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DATA_STORAGE\DATA_26-27\PIL\Stock Statement_Jul-26\New folder\"/>
    </mc:Choice>
  </mc:AlternateContent>
  <xr:revisionPtr revIDLastSave="0" documentId="13_ncr:1_{F19ED13B-2FAD-4F71-B6CF-1699B56913A4}" xr6:coauthVersionLast="47" xr6:coauthVersionMax="47" xr10:uidLastSave="{00000000-0000-0000-0000-000000000000}"/>
  <bookViews>
    <workbookView xWindow="-110" yWindow="-110" windowWidth="19420" windowHeight="10300" tabRatio="965" firstSheet="8" activeTab="14" xr2:uid="{00000000-000D-0000-FFFF-FFFF00000000}"/>
  </bookViews>
  <sheets>
    <sheet name="jan23" sheetId="1" state="hidden" r:id="rId1"/>
    <sheet name="Feb23" sheetId="3" state="hidden" r:id="rId2"/>
    <sheet name="Sheet3" sheetId="136" state="hidden" r:id="rId3"/>
    <sheet name="Deb nov 24 billwise (2)" sheetId="128" state="hidden" r:id="rId4"/>
    <sheet name="Deb June24" sheetId="86" state="hidden" r:id="rId5"/>
    <sheet name="Deb Jul 24 billwise (2)" sheetId="100" state="hidden" r:id="rId6"/>
    <sheet name="Deb June24 billwise" sheetId="83" state="hidden" r:id="rId7"/>
    <sheet name="Deb 24 billwise (2)" sheetId="131" state="hidden" r:id="rId8"/>
    <sheet name="Pivot" sheetId="112" r:id="rId9"/>
    <sheet name="Deb Mar 25 bill_extr" sheetId="152" state="hidden" r:id="rId10"/>
    <sheet name="Deb Jan 25 billwise_org" sheetId="142" state="hidden" r:id="rId11"/>
    <sheet name="cr_Aug-25 billwsie (2)" sheetId="169" state="hidden" r:id="rId12"/>
    <sheet name="Deb Sep 25 billwise_ext" sheetId="171" state="hidden" r:id="rId13"/>
    <sheet name="Deb nov 25 billwise (2)" sheetId="177" state="hidden" r:id="rId14"/>
    <sheet name="Deb July 26 billwise" sheetId="197" r:id="rId15"/>
    <sheet name="Deb July 26 billwise_extr" sheetId="201" r:id="rId16"/>
    <sheet name="Deb June 26 billwise" sheetId="200" r:id="rId17"/>
    <sheet name="Sheet4" sheetId="181" r:id="rId18"/>
    <sheet name="Sheet1" sheetId="176" r:id="rId19"/>
    <sheet name="Dr_check" sheetId="26" r:id="rId20"/>
    <sheet name="other details" sheetId="12" r:id="rId21"/>
    <sheet name="sal reg" sheetId="45" r:id="rId22"/>
    <sheet name="Cr Jul" sheetId="199" r:id="rId23"/>
    <sheet name="cr_JuLY-26 billwsie" sheetId="202" r:id="rId24"/>
    <sheet name="cr_June-26 billwsie" sheetId="198" r:id="rId25"/>
    <sheet name="Cr_check" sheetId="32" r:id="rId26"/>
  </sheets>
  <externalReferences>
    <externalReference r:id="rId27"/>
    <externalReference r:id="rId28"/>
    <externalReference r:id="rId29"/>
    <externalReference r:id="rId30"/>
  </externalReferences>
  <definedNames>
    <definedName name="_xlnm._FilterDatabase" localSheetId="11" hidden="1">'cr_Aug-25 billwsie (2)'!$A$3:$F$94</definedName>
    <definedName name="_xlnm._FilterDatabase" localSheetId="25" hidden="1">Cr_check!$A$1:$D$1</definedName>
    <definedName name="_xlnm._FilterDatabase" localSheetId="23" hidden="1">'cr_JuLY-26 billwsie'!$A$3:$H$200</definedName>
    <definedName name="_xlnm._FilterDatabase" localSheetId="24" hidden="1">'cr_June-26 billwsie'!$A$3:$H$88</definedName>
    <definedName name="_xlnm._FilterDatabase" localSheetId="7" hidden="1">'Deb 24 billwise (2)'!$A$4:$L$794</definedName>
    <definedName name="_xlnm._FilterDatabase" localSheetId="10" hidden="1">'Deb Jan 25 billwise_org'!$A$11:$K$713</definedName>
    <definedName name="_xlnm._FilterDatabase" localSheetId="5" hidden="1">'Deb Jul 24 billwise (2)'!$A$4:$P$519</definedName>
    <definedName name="_xlnm._FilterDatabase" localSheetId="14" hidden="1">'Deb July 26 billwise'!$A$3:$N$529</definedName>
    <definedName name="_xlnm._FilterDatabase" localSheetId="15" hidden="1">'Deb July 26 billwise_extr'!$A$3:$N$608</definedName>
    <definedName name="_xlnm._FilterDatabase" localSheetId="16" hidden="1">'Deb June 26 billwise'!$A$3:$N$3</definedName>
    <definedName name="_xlnm._FilterDatabase" localSheetId="4" hidden="1">'Deb June24'!$H$40:$K$102</definedName>
    <definedName name="_xlnm._FilterDatabase" localSheetId="6" hidden="1">'Deb June24 billwise'!$A$3:$K$674</definedName>
    <definedName name="_xlnm._FilterDatabase" localSheetId="9" hidden="1">'Deb Mar 25 bill_extr'!$A$11:$K$584</definedName>
    <definedName name="_xlnm._FilterDatabase" localSheetId="3" hidden="1">'Deb nov 24 billwise (2)'!$A$4:$L$679</definedName>
    <definedName name="_xlnm._FilterDatabase" localSheetId="13" hidden="1">'Deb nov 25 billwise (2)'!$A$11:$N$487</definedName>
    <definedName name="_xlnm._FilterDatabase" localSheetId="12" hidden="1">'Deb Sep 25 billwise_ext'!$A$11:$N$499</definedName>
    <definedName name="_xlnm._FilterDatabase" localSheetId="19" hidden="1">Dr_check!$A$1:$E$835</definedName>
    <definedName name="_xlnm._FilterDatabase" localSheetId="1" hidden="1">'Feb23'!$A$4:$I$668</definedName>
    <definedName name="_xlnm._FilterDatabase" localSheetId="0" hidden="1">'jan23'!$A$2:$K$648</definedName>
    <definedName name="_xlnm._FilterDatabase" localSheetId="8" hidden="1">Pivot!$A$5:$I$105</definedName>
    <definedName name="_xlnm._FilterDatabase" localSheetId="21" hidden="1">'sal reg'!$F$2:$T$1616</definedName>
    <definedName name="DATA2">#REF!</definedName>
    <definedName name="Excel_BuiltIn__FilterDatabase">#REF!</definedName>
    <definedName name="_xlnm.Print_Area" localSheetId="8">Pivot!$A$1:$G$98</definedName>
    <definedName name="_xlnm.Print_Titles" localSheetId="8">Pivot!$5:$5</definedName>
  </definedNames>
  <calcPr calcId="191029"/>
  <pivotCaches>
    <pivotCache cacheId="0" r:id="rId31"/>
    <pivotCache cacheId="1" r:id="rId32"/>
    <pivotCache cacheId="2" r:id="rId33"/>
    <pivotCache cacheId="3" r:id="rId3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2" l="1"/>
  <c r="E12" i="12"/>
  <c r="E13" i="12"/>
  <c r="E10" i="12"/>
  <c r="A1" i="197"/>
  <c r="E25" i="202" l="1"/>
  <c r="H137" i="197"/>
  <c r="J137" i="197" s="1"/>
  <c r="H138" i="197"/>
  <c r="I138" i="197" s="1"/>
  <c r="H121" i="197"/>
  <c r="I121" i="197" s="1"/>
  <c r="H111" i="197"/>
  <c r="I111" i="197" s="1"/>
  <c r="H100" i="197"/>
  <c r="J100" i="197" s="1"/>
  <c r="J121" i="197" l="1"/>
  <c r="I137" i="197"/>
  <c r="J111" i="197"/>
  <c r="I100" i="197"/>
  <c r="J138" i="197"/>
  <c r="G2" i="197"/>
  <c r="H529" i="197"/>
  <c r="J529" i="197" s="1"/>
  <c r="H528" i="197"/>
  <c r="I528" i="197" s="1"/>
  <c r="H527" i="197"/>
  <c r="H526" i="197"/>
  <c r="I526" i="197" s="1"/>
  <c r="H525" i="197"/>
  <c r="J525" i="197" s="1"/>
  <c r="H524" i="197"/>
  <c r="I524" i="197" s="1"/>
  <c r="H523" i="197"/>
  <c r="H522" i="197"/>
  <c r="I522" i="197" s="1"/>
  <c r="H521" i="197"/>
  <c r="J521" i="197" s="1"/>
  <c r="H520" i="197"/>
  <c r="I520" i="197" s="1"/>
  <c r="H519" i="197"/>
  <c r="H518" i="197"/>
  <c r="J518" i="197" s="1"/>
  <c r="H517" i="197"/>
  <c r="I517" i="197" s="1"/>
  <c r="H516" i="197"/>
  <c r="I516" i="197" s="1"/>
  <c r="H515" i="197"/>
  <c r="H514" i="197"/>
  <c r="J514" i="197" s="1"/>
  <c r="H513" i="197"/>
  <c r="J513" i="197" s="1"/>
  <c r="H512" i="197"/>
  <c r="I512" i="197" s="1"/>
  <c r="H511" i="197"/>
  <c r="H510" i="197"/>
  <c r="J510" i="197" s="1"/>
  <c r="H509" i="197"/>
  <c r="J509" i="197" s="1"/>
  <c r="H508" i="197"/>
  <c r="I508" i="197" s="1"/>
  <c r="H507" i="197"/>
  <c r="H506" i="197"/>
  <c r="J506" i="197" s="1"/>
  <c r="H505" i="197"/>
  <c r="J505" i="197" s="1"/>
  <c r="H504" i="197"/>
  <c r="I504" i="197" s="1"/>
  <c r="H503" i="197"/>
  <c r="H502" i="197"/>
  <c r="J502" i="197" s="1"/>
  <c r="H501" i="197"/>
  <c r="J501" i="197" s="1"/>
  <c r="H500" i="197"/>
  <c r="I500" i="197" s="1"/>
  <c r="H499" i="197"/>
  <c r="H498" i="197"/>
  <c r="J498" i="197" s="1"/>
  <c r="H497" i="197"/>
  <c r="J497" i="197" s="1"/>
  <c r="H496" i="197"/>
  <c r="I496" i="197" s="1"/>
  <c r="H495" i="197"/>
  <c r="H494" i="197"/>
  <c r="J494" i="197" s="1"/>
  <c r="H493" i="197"/>
  <c r="I493" i="197" s="1"/>
  <c r="H492" i="197"/>
  <c r="I492" i="197" s="1"/>
  <c r="H491" i="197"/>
  <c r="H490" i="197"/>
  <c r="J490" i="197" s="1"/>
  <c r="H489" i="197"/>
  <c r="J489" i="197" s="1"/>
  <c r="H488" i="197"/>
  <c r="I488" i="197" s="1"/>
  <c r="H487" i="197"/>
  <c r="H486" i="197"/>
  <c r="I486" i="197" s="1"/>
  <c r="H485" i="197"/>
  <c r="I485" i="197" s="1"/>
  <c r="H484" i="197"/>
  <c r="I484" i="197" s="1"/>
  <c r="H483" i="197"/>
  <c r="H482" i="197"/>
  <c r="I482" i="197" s="1"/>
  <c r="H481" i="197"/>
  <c r="J481" i="197" s="1"/>
  <c r="H480" i="197"/>
  <c r="I480" i="197" s="1"/>
  <c r="H479" i="197"/>
  <c r="H478" i="197"/>
  <c r="J478" i="197" s="1"/>
  <c r="H477" i="197"/>
  <c r="J477" i="197" s="1"/>
  <c r="H476" i="197"/>
  <c r="I476" i="197" s="1"/>
  <c r="H475" i="197"/>
  <c r="H474" i="197"/>
  <c r="J474" i="197" s="1"/>
  <c r="H473" i="197"/>
  <c r="J473" i="197" s="1"/>
  <c r="H472" i="197"/>
  <c r="I472" i="197" s="1"/>
  <c r="H471" i="197"/>
  <c r="H470" i="197"/>
  <c r="J470" i="197" s="1"/>
  <c r="H469" i="197"/>
  <c r="J469" i="197" s="1"/>
  <c r="H468" i="197"/>
  <c r="I468" i="197" s="1"/>
  <c r="H467" i="197"/>
  <c r="H466" i="197"/>
  <c r="J466" i="197" s="1"/>
  <c r="H465" i="197"/>
  <c r="I465" i="197" s="1"/>
  <c r="H464" i="197"/>
  <c r="I464" i="197" s="1"/>
  <c r="H463" i="197"/>
  <c r="H462" i="197"/>
  <c r="J462" i="197" s="1"/>
  <c r="H461" i="197"/>
  <c r="J461" i="197" s="1"/>
  <c r="H460" i="197"/>
  <c r="I460" i="197" s="1"/>
  <c r="H459" i="197"/>
  <c r="H458" i="197"/>
  <c r="J458" i="197" s="1"/>
  <c r="H457" i="197"/>
  <c r="J457" i="197" s="1"/>
  <c r="H456" i="197"/>
  <c r="I456" i="197" s="1"/>
  <c r="H455" i="197"/>
  <c r="H454" i="197"/>
  <c r="I454" i="197" s="1"/>
  <c r="H453" i="197"/>
  <c r="I453" i="197" s="1"/>
  <c r="H452" i="197"/>
  <c r="I452" i="197" s="1"/>
  <c r="H451" i="197"/>
  <c r="H450" i="197"/>
  <c r="J450" i="197" s="1"/>
  <c r="H449" i="197"/>
  <c r="I449" i="197" s="1"/>
  <c r="H448" i="197"/>
  <c r="I448" i="197" s="1"/>
  <c r="H447" i="197"/>
  <c r="H446" i="197"/>
  <c r="J446" i="197" s="1"/>
  <c r="H445" i="197"/>
  <c r="J445" i="197" s="1"/>
  <c r="H444" i="197"/>
  <c r="I444" i="197" s="1"/>
  <c r="H443" i="197"/>
  <c r="H442" i="197"/>
  <c r="J442" i="197" s="1"/>
  <c r="H441" i="197"/>
  <c r="J441" i="197" s="1"/>
  <c r="H440" i="197"/>
  <c r="I440" i="197" s="1"/>
  <c r="H439" i="197"/>
  <c r="H438" i="197"/>
  <c r="J438" i="197" s="1"/>
  <c r="H437" i="197"/>
  <c r="J437" i="197" s="1"/>
  <c r="H436" i="197"/>
  <c r="I436" i="197" s="1"/>
  <c r="H435" i="197"/>
  <c r="H434" i="197"/>
  <c r="I434" i="197" s="1"/>
  <c r="H433" i="197"/>
  <c r="J433" i="197" s="1"/>
  <c r="H432" i="197"/>
  <c r="I432" i="197" s="1"/>
  <c r="H431" i="197"/>
  <c r="H430" i="197"/>
  <c r="J430" i="197" s="1"/>
  <c r="H429" i="197"/>
  <c r="I429" i="197" s="1"/>
  <c r="H428" i="197"/>
  <c r="I428" i="197" s="1"/>
  <c r="H427" i="197"/>
  <c r="J427" i="197" s="1"/>
  <c r="H426" i="197"/>
  <c r="J426" i="197" s="1"/>
  <c r="H425" i="197"/>
  <c r="J425" i="197" s="1"/>
  <c r="H424" i="197"/>
  <c r="I424" i="197" s="1"/>
  <c r="H423" i="197"/>
  <c r="J423" i="197" s="1"/>
  <c r="H422" i="197"/>
  <c r="J422" i="197" s="1"/>
  <c r="H421" i="197"/>
  <c r="J421" i="197" s="1"/>
  <c r="H420" i="197"/>
  <c r="I420" i="197" s="1"/>
  <c r="H419" i="197"/>
  <c r="J419" i="197" s="1"/>
  <c r="H418" i="197"/>
  <c r="I418" i="197" s="1"/>
  <c r="H417" i="197"/>
  <c r="J417" i="197" s="1"/>
  <c r="H416" i="197"/>
  <c r="I416" i="197" s="1"/>
  <c r="H415" i="197"/>
  <c r="J415" i="197" s="1"/>
  <c r="H414" i="197"/>
  <c r="J414" i="197" s="1"/>
  <c r="H413" i="197"/>
  <c r="J413" i="197" s="1"/>
  <c r="H412" i="197"/>
  <c r="I412" i="197" s="1"/>
  <c r="H411" i="197"/>
  <c r="J411" i="197" s="1"/>
  <c r="G15" i="197"/>
  <c r="H15" i="197"/>
  <c r="J15" i="197" s="1"/>
  <c r="G117" i="197"/>
  <c r="I59" i="112"/>
  <c r="I62" i="112"/>
  <c r="H75" i="112"/>
  <c r="I75" i="112" s="1"/>
  <c r="H74" i="112"/>
  <c r="I74" i="112" s="1"/>
  <c r="H73" i="112"/>
  <c r="I73" i="112" s="1"/>
  <c r="H72" i="112"/>
  <c r="I72" i="112" s="1"/>
  <c r="H71" i="112"/>
  <c r="I71" i="112" s="1"/>
  <c r="H70" i="112"/>
  <c r="I70" i="112" s="1"/>
  <c r="H69" i="112"/>
  <c r="I69" i="112" s="1"/>
  <c r="H68" i="112"/>
  <c r="I68" i="112" s="1"/>
  <c r="H67" i="112"/>
  <c r="I67" i="112" s="1"/>
  <c r="H66" i="112"/>
  <c r="I66" i="112" s="1"/>
  <c r="H65" i="112"/>
  <c r="I65" i="112" s="1"/>
  <c r="H64" i="112"/>
  <c r="I64" i="112" s="1"/>
  <c r="H63" i="112"/>
  <c r="I63" i="112" s="1"/>
  <c r="H61" i="112"/>
  <c r="I61" i="112" s="1"/>
  <c r="H60" i="112"/>
  <c r="I60" i="112" s="1"/>
  <c r="H58" i="112"/>
  <c r="I58" i="112" s="1"/>
  <c r="H57" i="112"/>
  <c r="I57" i="112" s="1"/>
  <c r="H56" i="112"/>
  <c r="I56" i="112" s="1"/>
  <c r="H55" i="112"/>
  <c r="I55" i="112" s="1"/>
  <c r="H54" i="112"/>
  <c r="I54" i="112" s="1"/>
  <c r="H53" i="112"/>
  <c r="I53" i="112" s="1"/>
  <c r="H52" i="112"/>
  <c r="I52" i="112" s="1"/>
  <c r="H51" i="112"/>
  <c r="I51" i="112" s="1"/>
  <c r="H50" i="112"/>
  <c r="I50" i="112" s="1"/>
  <c r="H49" i="112"/>
  <c r="I49" i="112" s="1"/>
  <c r="H48" i="112"/>
  <c r="I48" i="112" s="1"/>
  <c r="H47" i="112"/>
  <c r="I47" i="112" s="1"/>
  <c r="H46" i="112"/>
  <c r="I46" i="112" s="1"/>
  <c r="H45" i="112"/>
  <c r="I45" i="112" s="1"/>
  <c r="H43" i="112"/>
  <c r="I43" i="112" s="1"/>
  <c r="H42" i="112"/>
  <c r="I42" i="112" s="1"/>
  <c r="H41" i="112"/>
  <c r="I41" i="112" s="1"/>
  <c r="H40" i="112"/>
  <c r="I40" i="112" s="1"/>
  <c r="H39" i="112"/>
  <c r="I39" i="112" s="1"/>
  <c r="H38" i="112"/>
  <c r="I38" i="112" s="1"/>
  <c r="H37" i="112"/>
  <c r="I37" i="112" s="1"/>
  <c r="H36" i="112"/>
  <c r="I36" i="112" s="1"/>
  <c r="H35" i="112"/>
  <c r="I35" i="112" s="1"/>
  <c r="H34" i="112"/>
  <c r="I34" i="112" s="1"/>
  <c r="H33" i="112"/>
  <c r="I33" i="112" s="1"/>
  <c r="H32" i="112"/>
  <c r="I32" i="112" s="1"/>
  <c r="H31" i="112"/>
  <c r="I31" i="112" s="1"/>
  <c r="H30" i="112"/>
  <c r="I30" i="112" s="1"/>
  <c r="H29" i="112"/>
  <c r="I29" i="112" s="1"/>
  <c r="H28" i="112"/>
  <c r="I28" i="112" s="1"/>
  <c r="H27" i="112"/>
  <c r="I27" i="112" s="1"/>
  <c r="H26" i="112"/>
  <c r="I26" i="112" s="1"/>
  <c r="H25" i="112"/>
  <c r="I25" i="112" s="1"/>
  <c r="H24" i="112"/>
  <c r="I24" i="112" s="1"/>
  <c r="H23" i="112"/>
  <c r="I23" i="112" s="1"/>
  <c r="H22" i="112"/>
  <c r="I22" i="112" s="1"/>
  <c r="H21" i="112"/>
  <c r="I21" i="112" s="1"/>
  <c r="H20" i="112"/>
  <c r="I20" i="112" s="1"/>
  <c r="H19" i="112"/>
  <c r="I19" i="112" s="1"/>
  <c r="H18" i="112"/>
  <c r="I18" i="112" s="1"/>
  <c r="H17" i="112"/>
  <c r="I17" i="112" s="1"/>
  <c r="H16" i="112"/>
  <c r="I16" i="112" s="1"/>
  <c r="H15" i="112"/>
  <c r="I15" i="112" s="1"/>
  <c r="H14" i="112"/>
  <c r="I14" i="112" s="1"/>
  <c r="H13" i="112"/>
  <c r="H8" i="112"/>
  <c r="H7" i="112"/>
  <c r="C41" i="199"/>
  <c r="D41" i="199" s="1"/>
  <c r="C40" i="199"/>
  <c r="D40" i="199" s="1"/>
  <c r="C39" i="199"/>
  <c r="D39" i="199" s="1"/>
  <c r="C38" i="199"/>
  <c r="D38" i="199" s="1"/>
  <c r="C37" i="199"/>
  <c r="D37" i="199" s="1"/>
  <c r="C36" i="199"/>
  <c r="D36" i="199" s="1"/>
  <c r="C35" i="199"/>
  <c r="D35" i="199" s="1"/>
  <c r="C34" i="199"/>
  <c r="D34" i="199" s="1"/>
  <c r="C33" i="199"/>
  <c r="D33" i="199" s="1"/>
  <c r="C32" i="199"/>
  <c r="D32" i="199" s="1"/>
  <c r="C31" i="199"/>
  <c r="D31" i="199" s="1"/>
  <c r="C30" i="199"/>
  <c r="D30" i="199" s="1"/>
  <c r="C29" i="199"/>
  <c r="D29" i="199" s="1"/>
  <c r="C28" i="199"/>
  <c r="D28" i="199" s="1"/>
  <c r="C27" i="199"/>
  <c r="D27" i="199" s="1"/>
  <c r="C26" i="199"/>
  <c r="D26" i="199" s="1"/>
  <c r="C25" i="199"/>
  <c r="D25" i="199" s="1"/>
  <c r="C24" i="199"/>
  <c r="D24" i="199" s="1"/>
  <c r="C23" i="199"/>
  <c r="D23" i="199" s="1"/>
  <c r="C22" i="199"/>
  <c r="D22" i="199" s="1"/>
  <c r="C21" i="199"/>
  <c r="D21" i="199" s="1"/>
  <c r="C20" i="199"/>
  <c r="D20" i="199" s="1"/>
  <c r="C19" i="199"/>
  <c r="D19" i="199" s="1"/>
  <c r="C18" i="199"/>
  <c r="D18" i="199" s="1"/>
  <c r="C17" i="199"/>
  <c r="D17" i="199" s="1"/>
  <c r="C16" i="199"/>
  <c r="D16" i="199" s="1"/>
  <c r="C15" i="199"/>
  <c r="D15" i="199" s="1"/>
  <c r="C14" i="199"/>
  <c r="D14" i="199" s="1"/>
  <c r="C13" i="199"/>
  <c r="D13" i="199" s="1"/>
  <c r="C12" i="199"/>
  <c r="D12" i="199" s="1"/>
  <c r="C11" i="199"/>
  <c r="D11" i="199" s="1"/>
  <c r="C10" i="199"/>
  <c r="D10" i="199" s="1"/>
  <c r="C9" i="199"/>
  <c r="D9" i="199" s="1"/>
  <c r="C8" i="199"/>
  <c r="D8" i="199" s="1"/>
  <c r="C7" i="199"/>
  <c r="D7" i="199" s="1"/>
  <c r="C6" i="199"/>
  <c r="D6" i="199" s="1"/>
  <c r="C5" i="199"/>
  <c r="D5" i="199" s="1"/>
  <c r="C4" i="199"/>
  <c r="D4" i="199" s="1"/>
  <c r="E21" i="202"/>
  <c r="E9" i="202"/>
  <c r="J432" i="197" l="1"/>
  <c r="J496" i="197"/>
  <c r="J464" i="197"/>
  <c r="I15" i="197"/>
  <c r="J456" i="197"/>
  <c r="J488" i="197"/>
  <c r="J520" i="197"/>
  <c r="J448" i="197"/>
  <c r="J480" i="197"/>
  <c r="J512" i="197"/>
  <c r="J416" i="197"/>
  <c r="J440" i="197"/>
  <c r="J472" i="197"/>
  <c r="J504" i="197"/>
  <c r="I458" i="197"/>
  <c r="I474" i="197"/>
  <c r="I490" i="197"/>
  <c r="I506" i="197"/>
  <c r="I417" i="197"/>
  <c r="J424" i="197"/>
  <c r="J522" i="197"/>
  <c r="I442" i="197"/>
  <c r="J436" i="197"/>
  <c r="J468" i="197"/>
  <c r="J500" i="197"/>
  <c r="J524" i="197"/>
  <c r="J420" i="197"/>
  <c r="J428" i="197"/>
  <c r="I437" i="197"/>
  <c r="J444" i="197"/>
  <c r="J460" i="197"/>
  <c r="I469" i="197"/>
  <c r="J476" i="197"/>
  <c r="J492" i="197"/>
  <c r="I501" i="197"/>
  <c r="J508" i="197"/>
  <c r="J517" i="197"/>
  <c r="J453" i="197"/>
  <c r="J485" i="197"/>
  <c r="J484" i="197"/>
  <c r="I422" i="197"/>
  <c r="J528" i="197"/>
  <c r="J452" i="197"/>
  <c r="J516" i="197"/>
  <c r="J412" i="197"/>
  <c r="I413" i="197"/>
  <c r="I427" i="197"/>
  <c r="J443" i="197"/>
  <c r="I443" i="197"/>
  <c r="J459" i="197"/>
  <c r="I459" i="197"/>
  <c r="J491" i="197"/>
  <c r="I491" i="197"/>
  <c r="I433" i="197"/>
  <c r="I438" i="197"/>
  <c r="I470" i="197"/>
  <c r="I502" i="197"/>
  <c r="I518" i="197"/>
  <c r="J418" i="197"/>
  <c r="J449" i="197"/>
  <c r="J454" i="197"/>
  <c r="J465" i="197"/>
  <c r="J486" i="197"/>
  <c r="I414" i="197"/>
  <c r="J439" i="197"/>
  <c r="I439" i="197"/>
  <c r="J455" i="197"/>
  <c r="I455" i="197"/>
  <c r="J471" i="197"/>
  <c r="I471" i="197"/>
  <c r="J503" i="197"/>
  <c r="I503" i="197"/>
  <c r="I419" i="197"/>
  <c r="I445" i="197"/>
  <c r="I450" i="197"/>
  <c r="I461" i="197"/>
  <c r="I466" i="197"/>
  <c r="I477" i="197"/>
  <c r="I498" i="197"/>
  <c r="I509" i="197"/>
  <c r="I514" i="197"/>
  <c r="I525" i="197"/>
  <c r="J429" i="197"/>
  <c r="J434" i="197"/>
  <c r="J482" i="197"/>
  <c r="J493" i="197"/>
  <c r="J451" i="197"/>
  <c r="I451" i="197"/>
  <c r="J467" i="197"/>
  <c r="I467" i="197"/>
  <c r="J483" i="197"/>
  <c r="I483" i="197"/>
  <c r="J499" i="197"/>
  <c r="I499" i="197"/>
  <c r="I430" i="197"/>
  <c r="I441" i="197"/>
  <c r="I462" i="197"/>
  <c r="I473" i="197"/>
  <c r="I489" i="197"/>
  <c r="I494" i="197"/>
  <c r="I505" i="197"/>
  <c r="I510" i="197"/>
  <c r="I521" i="197"/>
  <c r="I421" i="197"/>
  <c r="J526" i="197"/>
  <c r="I426" i="197"/>
  <c r="J431" i="197"/>
  <c r="I431" i="197"/>
  <c r="J447" i="197"/>
  <c r="I447" i="197"/>
  <c r="J463" i="197"/>
  <c r="I463" i="197"/>
  <c r="J479" i="197"/>
  <c r="I479" i="197"/>
  <c r="J495" i="197"/>
  <c r="I495" i="197"/>
  <c r="J511" i="197"/>
  <c r="I511" i="197"/>
  <c r="J527" i="197"/>
  <c r="I527" i="197"/>
  <c r="J475" i="197"/>
  <c r="I475" i="197"/>
  <c r="J507" i="197"/>
  <c r="I507" i="197"/>
  <c r="J523" i="197"/>
  <c r="I523" i="197"/>
  <c r="I481" i="197"/>
  <c r="I497" i="197"/>
  <c r="I513" i="197"/>
  <c r="I423" i="197"/>
  <c r="J487" i="197"/>
  <c r="I487" i="197"/>
  <c r="J519" i="197"/>
  <c r="I519" i="197"/>
  <c r="I415" i="197"/>
  <c r="I425" i="197"/>
  <c r="J435" i="197"/>
  <c r="I435" i="197"/>
  <c r="J515" i="197"/>
  <c r="I515" i="197"/>
  <c r="I446" i="197"/>
  <c r="I457" i="197"/>
  <c r="I478" i="197"/>
  <c r="I411" i="197"/>
  <c r="I529" i="197"/>
  <c r="E7" i="202"/>
  <c r="E2" i="202" s="1"/>
  <c r="G130" i="197"/>
  <c r="G71" i="197"/>
  <c r="G370" i="197"/>
  <c r="G346" i="197"/>
  <c r="H346" i="197"/>
  <c r="I346" i="197" s="1"/>
  <c r="G342" i="197"/>
  <c r="G339" i="197"/>
  <c r="H608" i="201"/>
  <c r="J608" i="201" s="1"/>
  <c r="H607" i="201"/>
  <c r="J607" i="201" s="1"/>
  <c r="H606" i="201"/>
  <c r="J606" i="201" s="1"/>
  <c r="H605" i="201"/>
  <c r="J605" i="201" s="1"/>
  <c r="H604" i="201"/>
  <c r="J604" i="201" s="1"/>
  <c r="H603" i="201"/>
  <c r="I603" i="201" s="1"/>
  <c r="H602" i="201"/>
  <c r="H601" i="201"/>
  <c r="J601" i="201" s="1"/>
  <c r="H600" i="201"/>
  <c r="J600" i="201" s="1"/>
  <c r="H599" i="201"/>
  <c r="J599" i="201" s="1"/>
  <c r="H598" i="201"/>
  <c r="J598" i="201" s="1"/>
  <c r="H597" i="201"/>
  <c r="J597" i="201" s="1"/>
  <c r="H596" i="201"/>
  <c r="J596" i="201" s="1"/>
  <c r="H595" i="201"/>
  <c r="I595" i="201" s="1"/>
  <c r="H594" i="201"/>
  <c r="J594" i="201" s="1"/>
  <c r="H593" i="201"/>
  <c r="J593" i="201" s="1"/>
  <c r="H592" i="201"/>
  <c r="J592" i="201" s="1"/>
  <c r="I591" i="201"/>
  <c r="H591" i="201"/>
  <c r="J591" i="201" s="1"/>
  <c r="H590" i="201"/>
  <c r="I590" i="201" s="1"/>
  <c r="H589" i="201"/>
  <c r="I589" i="201" s="1"/>
  <c r="H588" i="201"/>
  <c r="J588" i="201" s="1"/>
  <c r="H587" i="201"/>
  <c r="J587" i="201" s="1"/>
  <c r="H586" i="201"/>
  <c r="H585" i="201"/>
  <c r="J585" i="201" s="1"/>
  <c r="H584" i="201"/>
  <c r="J584" i="201" s="1"/>
  <c r="H583" i="201"/>
  <c r="J583" i="201" s="1"/>
  <c r="H582" i="201"/>
  <c r="J582" i="201" s="1"/>
  <c r="H581" i="201"/>
  <c r="J581" i="201" s="1"/>
  <c r="H580" i="201"/>
  <c r="J580" i="201" s="1"/>
  <c r="H579" i="201"/>
  <c r="I579" i="201" s="1"/>
  <c r="H578" i="201"/>
  <c r="H577" i="201"/>
  <c r="J577" i="201" s="1"/>
  <c r="H576" i="201"/>
  <c r="J576" i="201" s="1"/>
  <c r="H575" i="201"/>
  <c r="J575" i="201" s="1"/>
  <c r="H574" i="201"/>
  <c r="J574" i="201" s="1"/>
  <c r="H573" i="201"/>
  <c r="J573" i="201" s="1"/>
  <c r="G573" i="201"/>
  <c r="H572" i="201"/>
  <c r="H571" i="201"/>
  <c r="I571" i="201" s="1"/>
  <c r="H570" i="201"/>
  <c r="I570" i="201" s="1"/>
  <c r="I569" i="201"/>
  <c r="H569" i="201"/>
  <c r="J569" i="201" s="1"/>
  <c r="H568" i="201"/>
  <c r="H567" i="201"/>
  <c r="J567" i="201" s="1"/>
  <c r="H566" i="201"/>
  <c r="J566" i="201" s="1"/>
  <c r="H565" i="201"/>
  <c r="I565" i="201" s="1"/>
  <c r="H564" i="201"/>
  <c r="H563" i="201"/>
  <c r="J563" i="201" s="1"/>
  <c r="J562" i="201"/>
  <c r="H562" i="201"/>
  <c r="I562" i="201" s="1"/>
  <c r="H561" i="201"/>
  <c r="I561" i="201" s="1"/>
  <c r="H560" i="201"/>
  <c r="H559" i="201"/>
  <c r="H558" i="201"/>
  <c r="H557" i="201"/>
  <c r="J557" i="201" s="1"/>
  <c r="H556" i="201"/>
  <c r="H555" i="201"/>
  <c r="J555" i="201" s="1"/>
  <c r="H554" i="201"/>
  <c r="J554" i="201" s="1"/>
  <c r="H553" i="201"/>
  <c r="I553" i="201" s="1"/>
  <c r="H552" i="201"/>
  <c r="J551" i="201"/>
  <c r="H551" i="201"/>
  <c r="I551" i="201" s="1"/>
  <c r="H550" i="201"/>
  <c r="J550" i="201" s="1"/>
  <c r="I549" i="201"/>
  <c r="H549" i="201"/>
  <c r="J549" i="201" s="1"/>
  <c r="H548" i="201"/>
  <c r="H547" i="201"/>
  <c r="J547" i="201" s="1"/>
  <c r="H546" i="201"/>
  <c r="I546" i="201" s="1"/>
  <c r="H545" i="201"/>
  <c r="I545" i="201" s="1"/>
  <c r="H544" i="201"/>
  <c r="H543" i="201"/>
  <c r="I543" i="201" s="1"/>
  <c r="H542" i="201"/>
  <c r="J542" i="201" s="1"/>
  <c r="J541" i="201"/>
  <c r="I541" i="201"/>
  <c r="H541" i="201"/>
  <c r="H540" i="201"/>
  <c r="H539" i="201"/>
  <c r="J539" i="201" s="1"/>
  <c r="H538" i="201"/>
  <c r="J538" i="201" s="1"/>
  <c r="H537" i="201"/>
  <c r="J537" i="201" s="1"/>
  <c r="H536" i="201"/>
  <c r="H535" i="201"/>
  <c r="H534" i="201"/>
  <c r="J534" i="201" s="1"/>
  <c r="I533" i="201"/>
  <c r="H533" i="201"/>
  <c r="J533" i="201" s="1"/>
  <c r="H532" i="201"/>
  <c r="H531" i="201"/>
  <c r="J531" i="201" s="1"/>
  <c r="H530" i="201"/>
  <c r="H529" i="201"/>
  <c r="J529" i="201" s="1"/>
  <c r="H528" i="201"/>
  <c r="H527" i="201"/>
  <c r="J527" i="201" s="1"/>
  <c r="H526" i="201"/>
  <c r="J526" i="201" s="1"/>
  <c r="J525" i="201"/>
  <c r="I525" i="201"/>
  <c r="H525" i="201"/>
  <c r="H524" i="201"/>
  <c r="H523" i="201"/>
  <c r="I523" i="201" s="1"/>
  <c r="H522" i="201"/>
  <c r="I522" i="201" s="1"/>
  <c r="H521" i="201"/>
  <c r="I521" i="201" s="1"/>
  <c r="H520" i="201"/>
  <c r="H519" i="201"/>
  <c r="H518" i="201"/>
  <c r="J518" i="201" s="1"/>
  <c r="H517" i="201"/>
  <c r="J517" i="201" s="1"/>
  <c r="H516" i="201"/>
  <c r="H515" i="201"/>
  <c r="J515" i="201" s="1"/>
  <c r="H514" i="201"/>
  <c r="J514" i="201" s="1"/>
  <c r="H513" i="201"/>
  <c r="I513" i="201" s="1"/>
  <c r="H512" i="201"/>
  <c r="H511" i="201"/>
  <c r="H510" i="201"/>
  <c r="J510" i="201" s="1"/>
  <c r="H509" i="201"/>
  <c r="J509" i="201" s="1"/>
  <c r="H508" i="201"/>
  <c r="H507" i="201"/>
  <c r="J507" i="201" s="1"/>
  <c r="I506" i="201"/>
  <c r="H506" i="201"/>
  <c r="J506" i="201" s="1"/>
  <c r="I505" i="201"/>
  <c r="H505" i="201"/>
  <c r="J505" i="201" s="1"/>
  <c r="H504" i="201"/>
  <c r="H503" i="201"/>
  <c r="J503" i="201" s="1"/>
  <c r="H502" i="201"/>
  <c r="J502" i="201" s="1"/>
  <c r="H501" i="201"/>
  <c r="J501" i="201" s="1"/>
  <c r="H500" i="201"/>
  <c r="H499" i="201"/>
  <c r="J499" i="201" s="1"/>
  <c r="J498" i="201"/>
  <c r="H498" i="201"/>
  <c r="I498" i="201" s="1"/>
  <c r="J497" i="201"/>
  <c r="H497" i="201"/>
  <c r="I497" i="201" s="1"/>
  <c r="H496" i="201"/>
  <c r="H495" i="201"/>
  <c r="J495" i="201" s="1"/>
  <c r="H494" i="201"/>
  <c r="J494" i="201" s="1"/>
  <c r="H493" i="201"/>
  <c r="J493" i="201" s="1"/>
  <c r="H492" i="201"/>
  <c r="H491" i="201"/>
  <c r="I491" i="201" s="1"/>
  <c r="H490" i="201"/>
  <c r="J490" i="201" s="1"/>
  <c r="H489" i="201"/>
  <c r="I489" i="201" s="1"/>
  <c r="H488" i="201"/>
  <c r="H487" i="201"/>
  <c r="H486" i="201"/>
  <c r="I486" i="201" s="1"/>
  <c r="J485" i="201"/>
  <c r="H485" i="201"/>
  <c r="I485" i="201" s="1"/>
  <c r="H484" i="201"/>
  <c r="H483" i="201"/>
  <c r="J483" i="201" s="1"/>
  <c r="H482" i="201"/>
  <c r="J482" i="201" s="1"/>
  <c r="H481" i="201"/>
  <c r="I481" i="201" s="1"/>
  <c r="H480" i="201"/>
  <c r="H479" i="201"/>
  <c r="J479" i="201" s="1"/>
  <c r="H478" i="201"/>
  <c r="J478" i="201" s="1"/>
  <c r="H477" i="201"/>
  <c r="J477" i="201" s="1"/>
  <c r="H476" i="201"/>
  <c r="H475" i="201"/>
  <c r="J475" i="201" s="1"/>
  <c r="H474" i="201"/>
  <c r="I474" i="201" s="1"/>
  <c r="H473" i="201"/>
  <c r="J473" i="201" s="1"/>
  <c r="H472" i="201"/>
  <c r="H471" i="201"/>
  <c r="J471" i="201" s="1"/>
  <c r="H470" i="201"/>
  <c r="J470" i="201" s="1"/>
  <c r="J469" i="201"/>
  <c r="I469" i="201"/>
  <c r="H469" i="201"/>
  <c r="H468" i="201"/>
  <c r="H467" i="201"/>
  <c r="J467" i="201" s="1"/>
  <c r="H466" i="201"/>
  <c r="J466" i="201" s="1"/>
  <c r="H465" i="201"/>
  <c r="J465" i="201" s="1"/>
  <c r="H464" i="201"/>
  <c r="H463" i="201"/>
  <c r="H462" i="201"/>
  <c r="I462" i="201" s="1"/>
  <c r="H461" i="201"/>
  <c r="I461" i="201" s="1"/>
  <c r="H460" i="201"/>
  <c r="H459" i="201"/>
  <c r="J459" i="201" s="1"/>
  <c r="H458" i="201"/>
  <c r="J458" i="201" s="1"/>
  <c r="J457" i="201"/>
  <c r="H457" i="201"/>
  <c r="I457" i="201" s="1"/>
  <c r="H456" i="201"/>
  <c r="H455" i="201"/>
  <c r="J455" i="201" s="1"/>
  <c r="H454" i="201"/>
  <c r="J454" i="201" s="1"/>
  <c r="H453" i="201"/>
  <c r="I453" i="201" s="1"/>
  <c r="H452" i="201"/>
  <c r="H451" i="201"/>
  <c r="I451" i="201" s="1"/>
  <c r="H450" i="201"/>
  <c r="I450" i="201" s="1"/>
  <c r="J449" i="201"/>
  <c r="I449" i="201"/>
  <c r="H449" i="201"/>
  <c r="H448" i="201"/>
  <c r="H447" i="201"/>
  <c r="I447" i="201" s="1"/>
  <c r="H446" i="201"/>
  <c r="J446" i="201" s="1"/>
  <c r="H445" i="201"/>
  <c r="J445" i="201" s="1"/>
  <c r="H444" i="201"/>
  <c r="H443" i="201"/>
  <c r="J443" i="201" s="1"/>
  <c r="J442" i="201"/>
  <c r="H442" i="201"/>
  <c r="I442" i="201" s="1"/>
  <c r="H441" i="201"/>
  <c r="J441" i="201" s="1"/>
  <c r="H440" i="201"/>
  <c r="H439" i="201"/>
  <c r="H438" i="201"/>
  <c r="H437" i="201"/>
  <c r="J437" i="201" s="1"/>
  <c r="H436" i="201"/>
  <c r="H435" i="201"/>
  <c r="J435" i="201" s="1"/>
  <c r="H434" i="201"/>
  <c r="J434" i="201" s="1"/>
  <c r="I433" i="201"/>
  <c r="H433" i="201"/>
  <c r="J433" i="201" s="1"/>
  <c r="H432" i="201"/>
  <c r="H431" i="201"/>
  <c r="J431" i="201" s="1"/>
  <c r="H430" i="201"/>
  <c r="J430" i="201" s="1"/>
  <c r="H429" i="201"/>
  <c r="I429" i="201" s="1"/>
  <c r="H428" i="201"/>
  <c r="H427" i="201"/>
  <c r="I427" i="201" s="1"/>
  <c r="H426" i="201"/>
  <c r="I426" i="201" s="1"/>
  <c r="H425" i="201"/>
  <c r="J425" i="201" s="1"/>
  <c r="H424" i="201"/>
  <c r="H423" i="201"/>
  <c r="J423" i="201" s="1"/>
  <c r="H422" i="201"/>
  <c r="I422" i="201" s="1"/>
  <c r="J421" i="201"/>
  <c r="I421" i="201"/>
  <c r="H421" i="201"/>
  <c r="H420" i="201"/>
  <c r="H419" i="201"/>
  <c r="J419" i="201" s="1"/>
  <c r="H418" i="201"/>
  <c r="J418" i="201" s="1"/>
  <c r="H417" i="201"/>
  <c r="J417" i="201" s="1"/>
  <c r="H416" i="201"/>
  <c r="H415" i="201"/>
  <c r="H414" i="201"/>
  <c r="I414" i="201" s="1"/>
  <c r="J413" i="201"/>
  <c r="H413" i="201"/>
  <c r="I413" i="201" s="1"/>
  <c r="H412" i="201"/>
  <c r="H411" i="201"/>
  <c r="J411" i="201" s="1"/>
  <c r="H410" i="201"/>
  <c r="J410" i="201" s="1"/>
  <c r="H409" i="201"/>
  <c r="I409" i="201" s="1"/>
  <c r="H408" i="201"/>
  <c r="H407" i="201"/>
  <c r="J407" i="201" s="1"/>
  <c r="H406" i="201"/>
  <c r="J406" i="201" s="1"/>
  <c r="H405" i="201"/>
  <c r="J405" i="201" s="1"/>
  <c r="H404" i="201"/>
  <c r="I403" i="201"/>
  <c r="H403" i="201"/>
  <c r="J403" i="201" s="1"/>
  <c r="H402" i="201"/>
  <c r="I402" i="201" s="1"/>
  <c r="H401" i="201"/>
  <c r="J401" i="201" s="1"/>
  <c r="H400" i="201"/>
  <c r="H399" i="201"/>
  <c r="J399" i="201" s="1"/>
  <c r="H398" i="201"/>
  <c r="I398" i="201" s="1"/>
  <c r="H397" i="201"/>
  <c r="J397" i="201" s="1"/>
  <c r="H396" i="201"/>
  <c r="H395" i="201"/>
  <c r="J395" i="201" s="1"/>
  <c r="H394" i="201"/>
  <c r="I394" i="201" s="1"/>
  <c r="H393" i="201"/>
  <c r="I393" i="201" s="1"/>
  <c r="H392" i="201"/>
  <c r="H391" i="201"/>
  <c r="H390" i="201"/>
  <c r="J390" i="201" s="1"/>
  <c r="H389" i="201"/>
  <c r="J389" i="201" s="1"/>
  <c r="H388" i="201"/>
  <c r="H387" i="201"/>
  <c r="J387" i="201" s="1"/>
  <c r="H386" i="201"/>
  <c r="J386" i="201" s="1"/>
  <c r="H385" i="201"/>
  <c r="J385" i="201" s="1"/>
  <c r="H384" i="201"/>
  <c r="J383" i="201"/>
  <c r="I383" i="201"/>
  <c r="H383" i="201"/>
  <c r="H382" i="201"/>
  <c r="J382" i="201" s="1"/>
  <c r="H381" i="201"/>
  <c r="J381" i="201" s="1"/>
  <c r="H380" i="201"/>
  <c r="H379" i="201"/>
  <c r="J379" i="201" s="1"/>
  <c r="H378" i="201"/>
  <c r="I378" i="201" s="1"/>
  <c r="H377" i="201"/>
  <c r="I377" i="201" s="1"/>
  <c r="H376" i="201"/>
  <c r="I375" i="201"/>
  <c r="H375" i="201"/>
  <c r="J375" i="201" s="1"/>
  <c r="H374" i="201"/>
  <c r="J374" i="201" s="1"/>
  <c r="H373" i="201"/>
  <c r="J373" i="201" s="1"/>
  <c r="H372" i="201"/>
  <c r="H371" i="201"/>
  <c r="I371" i="201" s="1"/>
  <c r="H370" i="201"/>
  <c r="I370" i="201" s="1"/>
  <c r="J369" i="201"/>
  <c r="I369" i="201"/>
  <c r="H369" i="201"/>
  <c r="H368" i="201"/>
  <c r="H367" i="201"/>
  <c r="H366" i="201"/>
  <c r="J366" i="201" s="1"/>
  <c r="I365" i="201"/>
  <c r="H365" i="201"/>
  <c r="J365" i="201" s="1"/>
  <c r="H364" i="201"/>
  <c r="H363" i="201"/>
  <c r="J363" i="201" s="1"/>
  <c r="H362" i="201"/>
  <c r="J362" i="201" s="1"/>
  <c r="H361" i="201"/>
  <c r="I361" i="201" s="1"/>
  <c r="H360" i="201"/>
  <c r="J359" i="201"/>
  <c r="H359" i="201"/>
  <c r="I359" i="201" s="1"/>
  <c r="H358" i="201"/>
  <c r="J358" i="201" s="1"/>
  <c r="H357" i="201"/>
  <c r="I357" i="201" s="1"/>
  <c r="H356" i="201"/>
  <c r="H355" i="201"/>
  <c r="J355" i="201" s="1"/>
  <c r="H354" i="201"/>
  <c r="I354" i="201" s="1"/>
  <c r="H353" i="201"/>
  <c r="J353" i="201" s="1"/>
  <c r="H352" i="201"/>
  <c r="H351" i="201"/>
  <c r="I351" i="201" s="1"/>
  <c r="H350" i="201"/>
  <c r="I350" i="201" s="1"/>
  <c r="H349" i="201"/>
  <c r="J349" i="201" s="1"/>
  <c r="H348" i="201"/>
  <c r="H347" i="201"/>
  <c r="J347" i="201" s="1"/>
  <c r="H346" i="201"/>
  <c r="H345" i="201"/>
  <c r="J345" i="201" s="1"/>
  <c r="H344" i="201"/>
  <c r="H343" i="201"/>
  <c r="H342" i="201"/>
  <c r="J342" i="201" s="1"/>
  <c r="H341" i="201"/>
  <c r="J341" i="201" s="1"/>
  <c r="H340" i="201"/>
  <c r="H339" i="201"/>
  <c r="J339" i="201" s="1"/>
  <c r="H338" i="201"/>
  <c r="J338" i="201" s="1"/>
  <c r="H337" i="201"/>
  <c r="I337" i="201" s="1"/>
  <c r="H336" i="201"/>
  <c r="H335" i="201"/>
  <c r="J335" i="201" s="1"/>
  <c r="H334" i="201"/>
  <c r="J334" i="201" s="1"/>
  <c r="H333" i="201"/>
  <c r="J333" i="201" s="1"/>
  <c r="H332" i="201"/>
  <c r="J331" i="201"/>
  <c r="H331" i="201"/>
  <c r="I331" i="201" s="1"/>
  <c r="J330" i="201"/>
  <c r="H330" i="201"/>
  <c r="I330" i="201" s="1"/>
  <c r="H329" i="201"/>
  <c r="J329" i="201" s="1"/>
  <c r="H328" i="201"/>
  <c r="H327" i="201"/>
  <c r="I327" i="201" s="1"/>
  <c r="H326" i="201"/>
  <c r="I326" i="201" s="1"/>
  <c r="G326" i="201"/>
  <c r="H325" i="201"/>
  <c r="J325" i="201" s="1"/>
  <c r="H324" i="201"/>
  <c r="J324" i="201" s="1"/>
  <c r="H323" i="201"/>
  <c r="J323" i="201" s="1"/>
  <c r="H322" i="201"/>
  <c r="I322" i="201" s="1"/>
  <c r="H321" i="201"/>
  <c r="J321" i="201" s="1"/>
  <c r="H320" i="201"/>
  <c r="H319" i="201"/>
  <c r="J319" i="201" s="1"/>
  <c r="H318" i="201"/>
  <c r="J318" i="201" s="1"/>
  <c r="H317" i="201"/>
  <c r="I317" i="201" s="1"/>
  <c r="H316" i="201"/>
  <c r="J316" i="201" s="1"/>
  <c r="H315" i="201"/>
  <c r="H314" i="201"/>
  <c r="J314" i="201" s="1"/>
  <c r="J313" i="201"/>
  <c r="H313" i="201"/>
  <c r="I313" i="201" s="1"/>
  <c r="H312" i="201"/>
  <c r="J312" i="201" s="1"/>
  <c r="H311" i="201"/>
  <c r="J311" i="201" s="1"/>
  <c r="H310" i="201"/>
  <c r="J310" i="201" s="1"/>
  <c r="H309" i="201"/>
  <c r="I309" i="201" s="1"/>
  <c r="H308" i="201"/>
  <c r="J308" i="201" s="1"/>
  <c r="H307" i="201"/>
  <c r="H306" i="201"/>
  <c r="J306" i="201" s="1"/>
  <c r="J305" i="201"/>
  <c r="I305" i="201"/>
  <c r="H305" i="201"/>
  <c r="H304" i="201"/>
  <c r="J304" i="201" s="1"/>
  <c r="H303" i="201"/>
  <c r="J303" i="201" s="1"/>
  <c r="J302" i="201"/>
  <c r="H302" i="201"/>
  <c r="I302" i="201" s="1"/>
  <c r="H301" i="201"/>
  <c r="J301" i="201" s="1"/>
  <c r="H300" i="201"/>
  <c r="J300" i="201" s="1"/>
  <c r="H299" i="201"/>
  <c r="J299" i="201" s="1"/>
  <c r="H298" i="201"/>
  <c r="J298" i="201" s="1"/>
  <c r="I297" i="201"/>
  <c r="H297" i="201"/>
  <c r="J297" i="201" s="1"/>
  <c r="H296" i="201"/>
  <c r="J296" i="201" s="1"/>
  <c r="H295" i="201"/>
  <c r="I295" i="201" s="1"/>
  <c r="H294" i="201"/>
  <c r="H293" i="201"/>
  <c r="I293" i="201" s="1"/>
  <c r="H292" i="201"/>
  <c r="J292" i="201" s="1"/>
  <c r="H291" i="201"/>
  <c r="I291" i="201" s="1"/>
  <c r="H290" i="201"/>
  <c r="J290" i="201" s="1"/>
  <c r="H289" i="201"/>
  <c r="J289" i="201" s="1"/>
  <c r="H288" i="201"/>
  <c r="J288" i="201" s="1"/>
  <c r="H287" i="201"/>
  <c r="I287" i="201" s="1"/>
  <c r="H286" i="201"/>
  <c r="J286" i="201" s="1"/>
  <c r="J285" i="201"/>
  <c r="H285" i="201"/>
  <c r="I285" i="201" s="1"/>
  <c r="H284" i="201"/>
  <c r="J284" i="201" s="1"/>
  <c r="H283" i="201"/>
  <c r="J283" i="201" s="1"/>
  <c r="H282" i="201"/>
  <c r="I282" i="201" s="1"/>
  <c r="H281" i="201"/>
  <c r="J281" i="201" s="1"/>
  <c r="H280" i="201"/>
  <c r="J280" i="201" s="1"/>
  <c r="H279" i="201"/>
  <c r="H278" i="201"/>
  <c r="J278" i="201" s="1"/>
  <c r="H277" i="201"/>
  <c r="J277" i="201" s="1"/>
  <c r="H276" i="201"/>
  <c r="J276" i="201" s="1"/>
  <c r="H275" i="201"/>
  <c r="I275" i="201" s="1"/>
  <c r="H274" i="201"/>
  <c r="I274" i="201" s="1"/>
  <c r="H273" i="201"/>
  <c r="I273" i="201" s="1"/>
  <c r="H272" i="201"/>
  <c r="H271" i="201"/>
  <c r="J271" i="201" s="1"/>
  <c r="H270" i="201"/>
  <c r="H269" i="201"/>
  <c r="J269" i="201" s="1"/>
  <c r="H268" i="201"/>
  <c r="J268" i="201" s="1"/>
  <c r="H267" i="201"/>
  <c r="I267" i="201" s="1"/>
  <c r="H266" i="201"/>
  <c r="I266" i="201" s="1"/>
  <c r="G266" i="201"/>
  <c r="H265" i="201"/>
  <c r="I265" i="201" s="1"/>
  <c r="H264" i="201"/>
  <c r="J264" i="201" s="1"/>
  <c r="H263" i="201"/>
  <c r="I263" i="201" s="1"/>
  <c r="H262" i="201"/>
  <c r="J262" i="201" s="1"/>
  <c r="H261" i="201"/>
  <c r="I261" i="201" s="1"/>
  <c r="H260" i="201"/>
  <c r="J260" i="201" s="1"/>
  <c r="H259" i="201"/>
  <c r="J259" i="201" s="1"/>
  <c r="H258" i="201"/>
  <c r="J258" i="201" s="1"/>
  <c r="H257" i="201"/>
  <c r="I257" i="201" s="1"/>
  <c r="H256" i="201"/>
  <c r="I256" i="201" s="1"/>
  <c r="H255" i="201"/>
  <c r="H254" i="201"/>
  <c r="J254" i="201" s="1"/>
  <c r="H253" i="201"/>
  <c r="I253" i="201" s="1"/>
  <c r="J252" i="201"/>
  <c r="H252" i="201"/>
  <c r="I252" i="201" s="1"/>
  <c r="H251" i="201"/>
  <c r="J251" i="201" s="1"/>
  <c r="H250" i="201"/>
  <c r="J250" i="201" s="1"/>
  <c r="H249" i="201"/>
  <c r="I249" i="201" s="1"/>
  <c r="H248" i="201"/>
  <c r="I248" i="201" s="1"/>
  <c r="H247" i="201"/>
  <c r="J247" i="201" s="1"/>
  <c r="H246" i="201"/>
  <c r="J246" i="201" s="1"/>
  <c r="H245" i="201"/>
  <c r="I245" i="201" s="1"/>
  <c r="H244" i="201"/>
  <c r="H243" i="201"/>
  <c r="I243" i="201" s="1"/>
  <c r="H242" i="201"/>
  <c r="H241" i="201"/>
  <c r="I241" i="201" s="1"/>
  <c r="H240" i="201"/>
  <c r="J240" i="201" s="1"/>
  <c r="H239" i="201"/>
  <c r="J239" i="201" s="1"/>
  <c r="H238" i="201"/>
  <c r="J238" i="201" s="1"/>
  <c r="H237" i="201"/>
  <c r="I237" i="201" s="1"/>
  <c r="H236" i="201"/>
  <c r="J236" i="201" s="1"/>
  <c r="H235" i="201"/>
  <c r="J235" i="201" s="1"/>
  <c r="H234" i="201"/>
  <c r="J234" i="201" s="1"/>
  <c r="H233" i="201"/>
  <c r="J233" i="201" s="1"/>
  <c r="H232" i="201"/>
  <c r="I232" i="201" s="1"/>
  <c r="H231" i="201"/>
  <c r="I231" i="201" s="1"/>
  <c r="H230" i="201"/>
  <c r="J230" i="201" s="1"/>
  <c r="J229" i="201"/>
  <c r="I229" i="201"/>
  <c r="H229" i="201"/>
  <c r="H228" i="201"/>
  <c r="J228" i="201" s="1"/>
  <c r="H227" i="201"/>
  <c r="J227" i="201" s="1"/>
  <c r="H226" i="201"/>
  <c r="J226" i="201" s="1"/>
  <c r="J225" i="201"/>
  <c r="H225" i="201"/>
  <c r="I225" i="201" s="1"/>
  <c r="H224" i="201"/>
  <c r="I224" i="201" s="1"/>
  <c r="H223" i="201"/>
  <c r="J223" i="201" s="1"/>
  <c r="H222" i="201"/>
  <c r="J222" i="201" s="1"/>
  <c r="I221" i="201"/>
  <c r="H221" i="201"/>
  <c r="J221" i="201" s="1"/>
  <c r="H220" i="201"/>
  <c r="J220" i="201" s="1"/>
  <c r="H219" i="201"/>
  <c r="I219" i="201" s="1"/>
  <c r="H218" i="201"/>
  <c r="J218" i="201" s="1"/>
  <c r="H217" i="201"/>
  <c r="I217" i="201" s="1"/>
  <c r="H216" i="201"/>
  <c r="H215" i="201"/>
  <c r="J215" i="201" s="1"/>
  <c r="H214" i="201"/>
  <c r="J214" i="201" s="1"/>
  <c r="H213" i="201"/>
  <c r="J213" i="201" s="1"/>
  <c r="H212" i="201"/>
  <c r="J212" i="201" s="1"/>
  <c r="H211" i="201"/>
  <c r="J211" i="201" s="1"/>
  <c r="H210" i="201"/>
  <c r="J210" i="201" s="1"/>
  <c r="H209" i="201"/>
  <c r="J209" i="201" s="1"/>
  <c r="H208" i="201"/>
  <c r="J208" i="201" s="1"/>
  <c r="H207" i="201"/>
  <c r="J207" i="201" s="1"/>
  <c r="H206" i="201"/>
  <c r="J206" i="201" s="1"/>
  <c r="H205" i="201"/>
  <c r="J205" i="201" s="1"/>
  <c r="H204" i="201"/>
  <c r="J204" i="201" s="1"/>
  <c r="H203" i="201"/>
  <c r="H202" i="201"/>
  <c r="J202" i="201" s="1"/>
  <c r="H201" i="201"/>
  <c r="I201" i="201" s="1"/>
  <c r="H200" i="201"/>
  <c r="J200" i="201" s="1"/>
  <c r="H199" i="201"/>
  <c r="H198" i="201"/>
  <c r="J198" i="201" s="1"/>
  <c r="J197" i="201"/>
  <c r="H197" i="201"/>
  <c r="I197" i="201" s="1"/>
  <c r="H196" i="201"/>
  <c r="I196" i="201" s="1"/>
  <c r="H195" i="201"/>
  <c r="J195" i="201" s="1"/>
  <c r="H194" i="201"/>
  <c r="J194" i="201" s="1"/>
  <c r="H193" i="201"/>
  <c r="J193" i="201" s="1"/>
  <c r="H192" i="201"/>
  <c r="J192" i="201" s="1"/>
  <c r="H191" i="201"/>
  <c r="J191" i="201" s="1"/>
  <c r="I190" i="201"/>
  <c r="H190" i="201"/>
  <c r="J190" i="201" s="1"/>
  <c r="H189" i="201"/>
  <c r="J189" i="201" s="1"/>
  <c r="H188" i="201"/>
  <c r="I188" i="201" s="1"/>
  <c r="H187" i="201"/>
  <c r="J187" i="201" s="1"/>
  <c r="H186" i="201"/>
  <c r="J186" i="201" s="1"/>
  <c r="H185" i="201"/>
  <c r="I185" i="201" s="1"/>
  <c r="H184" i="201"/>
  <c r="J184" i="201" s="1"/>
  <c r="H183" i="201"/>
  <c r="I183" i="201" s="1"/>
  <c r="H182" i="201"/>
  <c r="J182" i="201" s="1"/>
  <c r="H181" i="201"/>
  <c r="J181" i="201" s="1"/>
  <c r="H180" i="201"/>
  <c r="J180" i="201" s="1"/>
  <c r="G180" i="201"/>
  <c r="H179" i="201"/>
  <c r="J179" i="201" s="1"/>
  <c r="H178" i="201"/>
  <c r="J178" i="201" s="1"/>
  <c r="H177" i="201"/>
  <c r="I177" i="201" s="1"/>
  <c r="H176" i="201"/>
  <c r="J176" i="201" s="1"/>
  <c r="H175" i="201"/>
  <c r="J175" i="201" s="1"/>
  <c r="H174" i="201"/>
  <c r="J174" i="201" s="1"/>
  <c r="H173" i="201"/>
  <c r="H172" i="201"/>
  <c r="I172" i="201" s="1"/>
  <c r="H171" i="201"/>
  <c r="J171" i="201" s="1"/>
  <c r="H170" i="201"/>
  <c r="I170" i="201" s="1"/>
  <c r="H169" i="201"/>
  <c r="I169" i="201" s="1"/>
  <c r="H168" i="201"/>
  <c r="I168" i="201" s="1"/>
  <c r="G168" i="201"/>
  <c r="H167" i="201"/>
  <c r="H166" i="201"/>
  <c r="I166" i="201" s="1"/>
  <c r="H165" i="201"/>
  <c r="J165" i="201" s="1"/>
  <c r="H164" i="201"/>
  <c r="I164" i="201" s="1"/>
  <c r="H163" i="201"/>
  <c r="J163" i="201" s="1"/>
  <c r="J162" i="201"/>
  <c r="I162" i="201"/>
  <c r="H162" i="201"/>
  <c r="H161" i="201"/>
  <c r="J161" i="201" s="1"/>
  <c r="H160" i="201"/>
  <c r="J160" i="201" s="1"/>
  <c r="H159" i="201"/>
  <c r="I159" i="201" s="1"/>
  <c r="H158" i="201"/>
  <c r="J158" i="201" s="1"/>
  <c r="H157" i="201"/>
  <c r="J157" i="201" s="1"/>
  <c r="H156" i="201"/>
  <c r="H155" i="201"/>
  <c r="J155" i="201" s="1"/>
  <c r="H154" i="201"/>
  <c r="I154" i="201" s="1"/>
  <c r="H153" i="201"/>
  <c r="J153" i="201" s="1"/>
  <c r="H152" i="201"/>
  <c r="J152" i="201" s="1"/>
  <c r="H151" i="201"/>
  <c r="H150" i="201"/>
  <c r="J150" i="201" s="1"/>
  <c r="H149" i="201"/>
  <c r="J149" i="201" s="1"/>
  <c r="H148" i="201"/>
  <c r="J148" i="201" s="1"/>
  <c r="H147" i="201"/>
  <c r="J147" i="201" s="1"/>
  <c r="H146" i="201"/>
  <c r="H145" i="201"/>
  <c r="I145" i="201" s="1"/>
  <c r="H144" i="201"/>
  <c r="J144" i="201" s="1"/>
  <c r="H143" i="201"/>
  <c r="J143" i="201" s="1"/>
  <c r="H142" i="201"/>
  <c r="J142" i="201" s="1"/>
  <c r="G142" i="201"/>
  <c r="H141" i="201"/>
  <c r="J141" i="201" s="1"/>
  <c r="H140" i="201"/>
  <c r="J140" i="201" s="1"/>
  <c r="J139" i="201"/>
  <c r="H139" i="201"/>
  <c r="I139" i="201" s="1"/>
  <c r="H138" i="201"/>
  <c r="J138" i="201" s="1"/>
  <c r="H137" i="201"/>
  <c r="J137" i="201" s="1"/>
  <c r="H136" i="201"/>
  <c r="J136" i="201" s="1"/>
  <c r="H135" i="201"/>
  <c r="J135" i="201" s="1"/>
  <c r="H134" i="201"/>
  <c r="J134" i="201" s="1"/>
  <c r="H133" i="201"/>
  <c r="I133" i="201" s="1"/>
  <c r="H132" i="201"/>
  <c r="J132" i="201" s="1"/>
  <c r="G132" i="201"/>
  <c r="J131" i="201"/>
  <c r="H131" i="201"/>
  <c r="I131" i="201" s="1"/>
  <c r="H130" i="201"/>
  <c r="I130" i="201" s="1"/>
  <c r="H129" i="201"/>
  <c r="I129" i="201" s="1"/>
  <c r="H128" i="201"/>
  <c r="H127" i="201"/>
  <c r="H126" i="201"/>
  <c r="I126" i="201" s="1"/>
  <c r="H125" i="201"/>
  <c r="I125" i="201" s="1"/>
  <c r="H124" i="201"/>
  <c r="H123" i="201"/>
  <c r="J123" i="201" s="1"/>
  <c r="H122" i="201"/>
  <c r="H121" i="201"/>
  <c r="I121" i="201" s="1"/>
  <c r="H120" i="201"/>
  <c r="H119" i="201"/>
  <c r="J119" i="201" s="1"/>
  <c r="H118" i="201"/>
  <c r="J118" i="201" s="1"/>
  <c r="H117" i="201"/>
  <c r="I117" i="201" s="1"/>
  <c r="H116" i="201"/>
  <c r="H115" i="201"/>
  <c r="J115" i="201" s="1"/>
  <c r="H114" i="201"/>
  <c r="J114" i="201" s="1"/>
  <c r="G114" i="201"/>
  <c r="H113" i="201"/>
  <c r="J113" i="201" s="1"/>
  <c r="H112" i="201"/>
  <c r="J112" i="201" s="1"/>
  <c r="H111" i="201"/>
  <c r="J111" i="201" s="1"/>
  <c r="G111" i="201"/>
  <c r="H110" i="201"/>
  <c r="J110" i="201" s="1"/>
  <c r="H109" i="201"/>
  <c r="J109" i="201" s="1"/>
  <c r="H108" i="201"/>
  <c r="J108" i="201" s="1"/>
  <c r="H107" i="201"/>
  <c r="J107" i="201" s="1"/>
  <c r="G107" i="201"/>
  <c r="H106" i="201"/>
  <c r="I106" i="201" s="1"/>
  <c r="G106" i="201"/>
  <c r="H105" i="201"/>
  <c r="J105" i="201" s="1"/>
  <c r="H104" i="201"/>
  <c r="J104" i="201" s="1"/>
  <c r="H103" i="201"/>
  <c r="J103" i="201" s="1"/>
  <c r="H102" i="201"/>
  <c r="J102" i="201" s="1"/>
  <c r="H101" i="201"/>
  <c r="J101" i="201" s="1"/>
  <c r="H100" i="201"/>
  <c r="I100" i="201" s="1"/>
  <c r="H99" i="201"/>
  <c r="J99" i="201" s="1"/>
  <c r="H98" i="201"/>
  <c r="J98" i="201" s="1"/>
  <c r="H97" i="201"/>
  <c r="J97" i="201" s="1"/>
  <c r="G97" i="201"/>
  <c r="H96" i="201"/>
  <c r="J96" i="201" s="1"/>
  <c r="G96" i="201"/>
  <c r="H95" i="201"/>
  <c r="I95" i="201" s="1"/>
  <c r="G95" i="201"/>
  <c r="H94" i="201"/>
  <c r="J94" i="201" s="1"/>
  <c r="H93" i="201"/>
  <c r="J93" i="201" s="1"/>
  <c r="H92" i="201"/>
  <c r="I92" i="201" s="1"/>
  <c r="H91" i="201"/>
  <c r="J91" i="201" s="1"/>
  <c r="H90" i="201"/>
  <c r="J90" i="201" s="1"/>
  <c r="H89" i="201"/>
  <c r="J89" i="201" s="1"/>
  <c r="H88" i="201"/>
  <c r="J88" i="201" s="1"/>
  <c r="H87" i="201"/>
  <c r="J87" i="201" s="1"/>
  <c r="H86" i="201"/>
  <c r="J86" i="201" s="1"/>
  <c r="G86" i="201"/>
  <c r="H85" i="201"/>
  <c r="J85" i="201" s="1"/>
  <c r="H84" i="201"/>
  <c r="I84" i="201" s="1"/>
  <c r="H83" i="201"/>
  <c r="J83" i="201" s="1"/>
  <c r="H82" i="201"/>
  <c r="I82" i="201" s="1"/>
  <c r="G82" i="201"/>
  <c r="H81" i="201"/>
  <c r="J80" i="201"/>
  <c r="H80" i="201"/>
  <c r="I80" i="201" s="1"/>
  <c r="H79" i="201"/>
  <c r="H78" i="201"/>
  <c r="J78" i="201" s="1"/>
  <c r="H77" i="201"/>
  <c r="J77" i="201" s="1"/>
  <c r="H76" i="201"/>
  <c r="I76" i="201" s="1"/>
  <c r="G76" i="201"/>
  <c r="H75" i="201"/>
  <c r="J75" i="201" s="1"/>
  <c r="H74" i="201"/>
  <c r="J74" i="201" s="1"/>
  <c r="H73" i="201"/>
  <c r="I73" i="201" s="1"/>
  <c r="I72" i="201"/>
  <c r="H72" i="201"/>
  <c r="J72" i="201" s="1"/>
  <c r="H71" i="201"/>
  <c r="H70" i="201"/>
  <c r="J70" i="201" s="1"/>
  <c r="H69" i="201"/>
  <c r="I69" i="201" s="1"/>
  <c r="H68" i="201"/>
  <c r="J68" i="201" s="1"/>
  <c r="H67" i="201"/>
  <c r="J67" i="201" s="1"/>
  <c r="G67" i="201"/>
  <c r="H66" i="201"/>
  <c r="J66" i="201" s="1"/>
  <c r="H65" i="201"/>
  <c r="J65" i="201" s="1"/>
  <c r="H64" i="201"/>
  <c r="J64" i="201" s="1"/>
  <c r="H63" i="201"/>
  <c r="J63" i="201" s="1"/>
  <c r="H62" i="201"/>
  <c r="H61" i="201"/>
  <c r="J61" i="201" s="1"/>
  <c r="H60" i="201"/>
  <c r="J60" i="201" s="1"/>
  <c r="H59" i="201"/>
  <c r="J59" i="201" s="1"/>
  <c r="H58" i="201"/>
  <c r="J58" i="201" s="1"/>
  <c r="H57" i="201"/>
  <c r="J57" i="201" s="1"/>
  <c r="H56" i="201"/>
  <c r="J56" i="201" s="1"/>
  <c r="H55" i="201"/>
  <c r="J55" i="201" s="1"/>
  <c r="H54" i="201"/>
  <c r="I54" i="201" s="1"/>
  <c r="H53" i="201"/>
  <c r="J53" i="201" s="1"/>
  <c r="H52" i="201"/>
  <c r="J52" i="201" s="1"/>
  <c r="H51" i="201"/>
  <c r="I51" i="201" s="1"/>
  <c r="H50" i="201"/>
  <c r="I50" i="201" s="1"/>
  <c r="H49" i="201"/>
  <c r="J49" i="201" s="1"/>
  <c r="H48" i="201"/>
  <c r="J48" i="201" s="1"/>
  <c r="H47" i="201"/>
  <c r="J47" i="201" s="1"/>
  <c r="H46" i="201"/>
  <c r="J46" i="201" s="1"/>
  <c r="H45" i="201"/>
  <c r="J45" i="201" s="1"/>
  <c r="H44" i="201"/>
  <c r="J44" i="201" s="1"/>
  <c r="H43" i="201"/>
  <c r="J43" i="201" s="1"/>
  <c r="H42" i="201"/>
  <c r="I42" i="201" s="1"/>
  <c r="H41" i="201"/>
  <c r="J41" i="201" s="1"/>
  <c r="H40" i="201"/>
  <c r="J40" i="201" s="1"/>
  <c r="G40" i="201"/>
  <c r="H39" i="201"/>
  <c r="J39" i="201" s="1"/>
  <c r="H38" i="201"/>
  <c r="J38" i="201" s="1"/>
  <c r="H37" i="201"/>
  <c r="I37" i="201" s="1"/>
  <c r="G37" i="201"/>
  <c r="H36" i="201"/>
  <c r="J36" i="201" s="1"/>
  <c r="H35" i="201"/>
  <c r="J35" i="201" s="1"/>
  <c r="H34" i="201"/>
  <c r="G34" i="201"/>
  <c r="H33" i="201"/>
  <c r="J33" i="201" s="1"/>
  <c r="H32" i="201"/>
  <c r="J32" i="201" s="1"/>
  <c r="H31" i="201"/>
  <c r="I31" i="201" s="1"/>
  <c r="H30" i="201"/>
  <c r="J30" i="201" s="1"/>
  <c r="H29" i="201"/>
  <c r="J29" i="201" s="1"/>
  <c r="H28" i="201"/>
  <c r="J28" i="201" s="1"/>
  <c r="H27" i="201"/>
  <c r="I27" i="201" s="1"/>
  <c r="H26" i="201"/>
  <c r="J26" i="201" s="1"/>
  <c r="H25" i="201"/>
  <c r="J25" i="201" s="1"/>
  <c r="H24" i="201"/>
  <c r="J24" i="201" s="1"/>
  <c r="H23" i="201"/>
  <c r="I23" i="201" s="1"/>
  <c r="H22" i="201"/>
  <c r="I22" i="201" s="1"/>
  <c r="H21" i="201"/>
  <c r="J21" i="201" s="1"/>
  <c r="H20" i="201"/>
  <c r="I20" i="201" s="1"/>
  <c r="H19" i="201"/>
  <c r="I19" i="201" s="1"/>
  <c r="H18" i="201"/>
  <c r="J18" i="201" s="1"/>
  <c r="H17" i="201"/>
  <c r="J17" i="201" s="1"/>
  <c r="H16" i="201"/>
  <c r="J16" i="201" s="1"/>
  <c r="H15" i="201"/>
  <c r="G15" i="201"/>
  <c r="H14" i="201"/>
  <c r="I14" i="201" s="1"/>
  <c r="H13" i="201"/>
  <c r="H12" i="201"/>
  <c r="I12" i="201" s="1"/>
  <c r="H11" i="201"/>
  <c r="J11" i="201" s="1"/>
  <c r="H10" i="201"/>
  <c r="I10" i="201" s="1"/>
  <c r="H9" i="201"/>
  <c r="G1" i="201" s="1"/>
  <c r="H8" i="201"/>
  <c r="I8" i="201" s="1"/>
  <c r="H7" i="201"/>
  <c r="J7" i="201" s="1"/>
  <c r="J6" i="201"/>
  <c r="H6" i="201"/>
  <c r="I6" i="201" s="1"/>
  <c r="H5" i="201"/>
  <c r="H4" i="201"/>
  <c r="J4" i="201" s="1"/>
  <c r="G2" i="201"/>
  <c r="I325" i="201" l="1"/>
  <c r="J361" i="201"/>
  <c r="I397" i="201"/>
  <c r="J489" i="201"/>
  <c r="I283" i="201"/>
  <c r="I210" i="201"/>
  <c r="I234" i="201"/>
  <c r="I353" i="201"/>
  <c r="I425" i="201"/>
  <c r="J451" i="201"/>
  <c r="I507" i="201"/>
  <c r="I585" i="201"/>
  <c r="I74" i="201"/>
  <c r="I299" i="201"/>
  <c r="I192" i="201"/>
  <c r="J201" i="201"/>
  <c r="J291" i="201"/>
  <c r="I333" i="201"/>
  <c r="J398" i="201"/>
  <c r="I435" i="201"/>
  <c r="J481" i="201"/>
  <c r="I529" i="201"/>
  <c r="I134" i="201"/>
  <c r="I57" i="201"/>
  <c r="J92" i="201"/>
  <c r="I228" i="201"/>
  <c r="J309" i="201"/>
  <c r="I381" i="201"/>
  <c r="I389" i="201"/>
  <c r="I445" i="201"/>
  <c r="I501" i="201"/>
  <c r="I45" i="201"/>
  <c r="I236" i="201"/>
  <c r="I277" i="201"/>
  <c r="J326" i="201"/>
  <c r="J409" i="201"/>
  <c r="I419" i="201"/>
  <c r="I539" i="201"/>
  <c r="J22" i="201"/>
  <c r="I213" i="201"/>
  <c r="J130" i="201"/>
  <c r="I278" i="201"/>
  <c r="I321" i="201"/>
  <c r="I401" i="201"/>
  <c r="I455" i="201"/>
  <c r="I465" i="201"/>
  <c r="J474" i="201"/>
  <c r="I531" i="201"/>
  <c r="J579" i="201"/>
  <c r="J263" i="201"/>
  <c r="J185" i="201"/>
  <c r="I194" i="201"/>
  <c r="J14" i="201"/>
  <c r="I32" i="201"/>
  <c r="J570" i="201"/>
  <c r="I143" i="201"/>
  <c r="I101" i="201"/>
  <c r="I119" i="201"/>
  <c r="J76" i="201"/>
  <c r="J84" i="201"/>
  <c r="I78" i="201"/>
  <c r="I113" i="201"/>
  <c r="I179" i="201"/>
  <c r="J188" i="201"/>
  <c r="I206" i="201"/>
  <c r="I214" i="201"/>
  <c r="I260" i="201"/>
  <c r="J337" i="201"/>
  <c r="I30" i="201"/>
  <c r="J129" i="201"/>
  <c r="J217" i="201"/>
  <c r="I53" i="201"/>
  <c r="J170" i="201"/>
  <c r="J232" i="201"/>
  <c r="J241" i="201"/>
  <c r="I289" i="201"/>
  <c r="J377" i="201"/>
  <c r="J37" i="201"/>
  <c r="I65" i="201"/>
  <c r="I85" i="201"/>
  <c r="J121" i="201"/>
  <c r="J8" i="201"/>
  <c r="J31" i="201"/>
  <c r="J73" i="201"/>
  <c r="J100" i="201"/>
  <c r="I114" i="201"/>
  <c r="I137" i="201"/>
  <c r="J154" i="201"/>
  <c r="I193" i="201"/>
  <c r="I223" i="201"/>
  <c r="J245" i="201"/>
  <c r="J253" i="201"/>
  <c r="I269" i="201"/>
  <c r="J426" i="201"/>
  <c r="I534" i="201"/>
  <c r="I181" i="201"/>
  <c r="I26" i="201"/>
  <c r="I88" i="201"/>
  <c r="I102" i="201"/>
  <c r="J125" i="201"/>
  <c r="J166" i="201"/>
  <c r="I182" i="201"/>
  <c r="I189" i="201"/>
  <c r="I230" i="201"/>
  <c r="J256" i="201"/>
  <c r="J322" i="201"/>
  <c r="I495" i="201"/>
  <c r="I407" i="201"/>
  <c r="J429" i="201"/>
  <c r="J461" i="201"/>
  <c r="I479" i="201"/>
  <c r="J522" i="201"/>
  <c r="J545" i="201"/>
  <c r="J571" i="201"/>
  <c r="J590" i="201"/>
  <c r="J12" i="201"/>
  <c r="J69" i="201"/>
  <c r="I96" i="201"/>
  <c r="I111" i="201"/>
  <c r="I141" i="201"/>
  <c r="I149" i="201"/>
  <c r="J159" i="201"/>
  <c r="J183" i="201"/>
  <c r="J196" i="201"/>
  <c r="J219" i="201"/>
  <c r="I226" i="201"/>
  <c r="J257" i="201"/>
  <c r="J265" i="201"/>
  <c r="J273" i="201"/>
  <c r="I281" i="201"/>
  <c r="J293" i="201"/>
  <c r="I301" i="201"/>
  <c r="I323" i="201"/>
  <c r="I345" i="201"/>
  <c r="J371" i="201"/>
  <c r="J393" i="201"/>
  <c r="I446" i="201"/>
  <c r="I470" i="201"/>
  <c r="J565" i="201"/>
  <c r="J249" i="201"/>
  <c r="I286" i="201"/>
  <c r="J327" i="201"/>
  <c r="J378" i="201"/>
  <c r="I18" i="201"/>
  <c r="J50" i="201"/>
  <c r="I437" i="201"/>
  <c r="J82" i="201"/>
  <c r="I385" i="201"/>
  <c r="I105" i="201"/>
  <c r="J168" i="201"/>
  <c r="I184" i="201"/>
  <c r="I227" i="201"/>
  <c r="J282" i="201"/>
  <c r="I288" i="201"/>
  <c r="J317" i="201"/>
  <c r="I387" i="201"/>
  <c r="I417" i="201"/>
  <c r="J603" i="201"/>
  <c r="J95" i="201"/>
  <c r="J117" i="201"/>
  <c r="I148" i="201"/>
  <c r="I174" i="201"/>
  <c r="I202" i="201"/>
  <c r="I98" i="201"/>
  <c r="J133" i="201"/>
  <c r="J287" i="201"/>
  <c r="J357" i="201"/>
  <c r="J414" i="201"/>
  <c r="J453" i="201"/>
  <c r="J513" i="201"/>
  <c r="J521" i="201"/>
  <c r="J553" i="201"/>
  <c r="J561" i="201"/>
  <c r="I49" i="201"/>
  <c r="J10" i="201"/>
  <c r="I59" i="201"/>
  <c r="I91" i="201"/>
  <c r="I110" i="201"/>
  <c r="I135" i="201"/>
  <c r="J164" i="201"/>
  <c r="I209" i="201"/>
  <c r="J231" i="201"/>
  <c r="J243" i="201"/>
  <c r="I258" i="201"/>
  <c r="J295" i="201"/>
  <c r="I338" i="201"/>
  <c r="I373" i="201"/>
  <c r="I405" i="201"/>
  <c r="I411" i="201"/>
  <c r="I431" i="201"/>
  <c r="J450" i="201"/>
  <c r="J462" i="201"/>
  <c r="I477" i="201"/>
  <c r="I483" i="201"/>
  <c r="I490" i="201"/>
  <c r="I503" i="201"/>
  <c r="I509" i="201"/>
  <c r="I517" i="201"/>
  <c r="I537" i="201"/>
  <c r="J543" i="201"/>
  <c r="I557" i="201"/>
  <c r="I577" i="201"/>
  <c r="I601" i="201"/>
  <c r="J54" i="201"/>
  <c r="I222" i="201"/>
  <c r="J237" i="201"/>
  <c r="I339" i="201"/>
  <c r="J354" i="201"/>
  <c r="I386" i="201"/>
  <c r="I594" i="201"/>
  <c r="I68" i="201"/>
  <c r="I7" i="201"/>
  <c r="I87" i="201"/>
  <c r="J267" i="201"/>
  <c r="I304" i="201"/>
  <c r="I318" i="201"/>
  <c r="I441" i="201"/>
  <c r="I473" i="201"/>
  <c r="I493" i="201"/>
  <c r="I527" i="201"/>
  <c r="I566" i="201"/>
  <c r="J589" i="201"/>
  <c r="J595" i="201"/>
  <c r="J27" i="201"/>
  <c r="I41" i="201"/>
  <c r="I55" i="201"/>
  <c r="I61" i="201"/>
  <c r="I175" i="201"/>
  <c r="I186" i="201"/>
  <c r="I205" i="201"/>
  <c r="I218" i="201"/>
  <c r="I233" i="201"/>
  <c r="I239" i="201"/>
  <c r="I329" i="201"/>
  <c r="I335" i="201"/>
  <c r="I341" i="201"/>
  <c r="I349" i="201"/>
  <c r="J106" i="201"/>
  <c r="I144" i="201"/>
  <c r="I153" i="201"/>
  <c r="I161" i="201"/>
  <c r="I198" i="201"/>
  <c r="I247" i="201"/>
  <c r="J261" i="201"/>
  <c r="I292" i="201"/>
  <c r="I312" i="201"/>
  <c r="I363" i="201"/>
  <c r="J370" i="201"/>
  <c r="J402" i="201"/>
  <c r="I459" i="201"/>
  <c r="J546" i="201"/>
  <c r="J346" i="197"/>
  <c r="I155" i="201"/>
  <c r="I180" i="201"/>
  <c r="I366" i="201"/>
  <c r="I28" i="201"/>
  <c r="J51" i="201"/>
  <c r="I324" i="201"/>
  <c r="J508" i="201"/>
  <c r="I508" i="201"/>
  <c r="I81" i="201"/>
  <c r="J81" i="201"/>
  <c r="J156" i="201"/>
  <c r="I156" i="201"/>
  <c r="I314" i="201"/>
  <c r="J367" i="201"/>
  <c r="I367" i="201"/>
  <c r="J23" i="201"/>
  <c r="I75" i="201"/>
  <c r="J126" i="201"/>
  <c r="J447" i="201"/>
  <c r="J602" i="201"/>
  <c r="I602" i="201"/>
  <c r="J248" i="201"/>
  <c r="J315" i="201"/>
  <c r="I315" i="201"/>
  <c r="I410" i="201"/>
  <c r="I151" i="201"/>
  <c r="J151" i="201"/>
  <c r="I171" i="201"/>
  <c r="J274" i="201"/>
  <c r="J350" i="201"/>
  <c r="I399" i="201"/>
  <c r="I443" i="201"/>
  <c r="J491" i="201"/>
  <c r="I66" i="201"/>
  <c r="I310" i="201"/>
  <c r="J486" i="201"/>
  <c r="J523" i="201"/>
  <c r="J19" i="201"/>
  <c r="J145" i="201"/>
  <c r="J394" i="201"/>
  <c r="J438" i="201"/>
  <c r="I438" i="201"/>
  <c r="I518" i="201"/>
  <c r="J524" i="201"/>
  <c r="I524" i="201"/>
  <c r="J568" i="201"/>
  <c r="I568" i="201"/>
  <c r="I94" i="201"/>
  <c r="J122" i="201"/>
  <c r="I122" i="201"/>
  <c r="J244" i="201"/>
  <c r="I244" i="201"/>
  <c r="J376" i="201"/>
  <c r="I376" i="201"/>
  <c r="J432" i="201"/>
  <c r="I432" i="201"/>
  <c r="I475" i="201"/>
  <c r="I563" i="201"/>
  <c r="I597" i="201"/>
  <c r="I62" i="201"/>
  <c r="J62" i="201"/>
  <c r="J79" i="201"/>
  <c r="I79" i="201"/>
  <c r="J328" i="201"/>
  <c r="I328" i="201"/>
  <c r="J340" i="201"/>
  <c r="I340" i="201"/>
  <c r="J9" i="201"/>
  <c r="I9" i="201"/>
  <c r="I203" i="201"/>
  <c r="J203" i="201"/>
  <c r="J224" i="201"/>
  <c r="I259" i="201"/>
  <c r="I319" i="201"/>
  <c r="J452" i="201"/>
  <c r="I452" i="201"/>
  <c r="I4" i="201"/>
  <c r="I215" i="201"/>
  <c r="J496" i="201"/>
  <c r="I496" i="201"/>
  <c r="I176" i="201"/>
  <c r="J404" i="201"/>
  <c r="I404" i="201"/>
  <c r="I47" i="201"/>
  <c r="I70" i="201"/>
  <c r="J216" i="201"/>
  <c r="I216" i="201"/>
  <c r="J572" i="201"/>
  <c r="I572" i="201"/>
  <c r="I24" i="201"/>
  <c r="I93" i="201"/>
  <c r="I103" i="201"/>
  <c r="I211" i="201"/>
  <c r="J480" i="201"/>
  <c r="I480" i="201"/>
  <c r="J42" i="201"/>
  <c r="I97" i="201"/>
  <c r="I13" i="201"/>
  <c r="J13" i="201"/>
  <c r="I298" i="201"/>
  <c r="J388" i="201"/>
  <c r="I388" i="201"/>
  <c r="J530" i="201"/>
  <c r="I530" i="201"/>
  <c r="I573" i="201"/>
  <c r="I89" i="201"/>
  <c r="I115" i="201"/>
  <c r="J146" i="201"/>
  <c r="I146" i="201"/>
  <c r="I38" i="201"/>
  <c r="I160" i="201"/>
  <c r="J167" i="201"/>
  <c r="I167" i="201"/>
  <c r="I207" i="201"/>
  <c r="I270" i="201"/>
  <c r="J270" i="201"/>
  <c r="J346" i="201"/>
  <c r="I346" i="201"/>
  <c r="I519" i="201"/>
  <c r="J519" i="201"/>
  <c r="J15" i="201"/>
  <c r="I15" i="201"/>
  <c r="J360" i="201"/>
  <c r="I360" i="201"/>
  <c r="I514" i="201"/>
  <c r="I46" i="201"/>
  <c r="J586" i="201"/>
  <c r="I586" i="201"/>
  <c r="I34" i="201"/>
  <c r="J34" i="201"/>
  <c r="I107" i="201"/>
  <c r="I220" i="201"/>
  <c r="I279" i="201"/>
  <c r="J279" i="201"/>
  <c r="I355" i="201"/>
  <c r="J415" i="201"/>
  <c r="I415" i="201"/>
  <c r="I458" i="201"/>
  <c r="J578" i="201"/>
  <c r="I578" i="201"/>
  <c r="I150" i="201"/>
  <c r="I254" i="201"/>
  <c r="J127" i="201"/>
  <c r="I127" i="201"/>
  <c r="J448" i="201"/>
  <c r="I448" i="201"/>
  <c r="J120" i="201"/>
  <c r="I120" i="201"/>
  <c r="J242" i="201"/>
  <c r="I242" i="201"/>
  <c r="J535" i="201"/>
  <c r="I535" i="201"/>
  <c r="I567" i="201"/>
  <c r="J71" i="201"/>
  <c r="I71" i="201"/>
  <c r="I199" i="201"/>
  <c r="J199" i="201"/>
  <c r="J116" i="201"/>
  <c r="I116" i="201"/>
  <c r="J558" i="201"/>
  <c r="I558" i="201"/>
  <c r="J487" i="201"/>
  <c r="I487" i="201"/>
  <c r="I300" i="201"/>
  <c r="I395" i="201"/>
  <c r="I466" i="201"/>
  <c r="I581" i="201"/>
  <c r="I605" i="201"/>
  <c r="I43" i="201"/>
  <c r="I99" i="201"/>
  <c r="I112" i="201"/>
  <c r="I195" i="201"/>
  <c r="I208" i="201"/>
  <c r="I250" i="201"/>
  <c r="J275" i="201"/>
  <c r="I311" i="201"/>
  <c r="J351" i="201"/>
  <c r="I390" i="201"/>
  <c r="J412" i="201"/>
  <c r="I412" i="201"/>
  <c r="J422" i="201"/>
  <c r="J427" i="201"/>
  <c r="J439" i="201"/>
  <c r="I439" i="201"/>
  <c r="I471" i="201"/>
  <c r="I482" i="201"/>
  <c r="J504" i="201"/>
  <c r="I504" i="201"/>
  <c r="I515" i="201"/>
  <c r="J520" i="201"/>
  <c r="I520" i="201"/>
  <c r="I542" i="201"/>
  <c r="I547" i="201"/>
  <c r="J559" i="201"/>
  <c r="I559" i="201"/>
  <c r="I575" i="201"/>
  <c r="I599" i="201"/>
  <c r="I11" i="201"/>
  <c r="J20" i="201"/>
  <c r="I39" i="201"/>
  <c r="I58" i="201"/>
  <c r="I67" i="201"/>
  <c r="I104" i="201"/>
  <c r="I108" i="201"/>
  <c r="J128" i="201"/>
  <c r="I128" i="201"/>
  <c r="I142" i="201"/>
  <c r="I158" i="201"/>
  <c r="J172" i="201"/>
  <c r="I191" i="201"/>
  <c r="I204" i="201"/>
  <c r="J266" i="201"/>
  <c r="I271" i="201"/>
  <c r="I280" i="201"/>
  <c r="I306" i="201"/>
  <c r="J336" i="201"/>
  <c r="I336" i="201"/>
  <c r="I347" i="201"/>
  <c r="J352" i="201"/>
  <c r="I352" i="201"/>
  <c r="I374" i="201"/>
  <c r="I379" i="201"/>
  <c r="I418" i="201"/>
  <c r="J428" i="201"/>
  <c r="I428" i="201"/>
  <c r="I510" i="201"/>
  <c r="J532" i="201"/>
  <c r="I532" i="201"/>
  <c r="I587" i="201"/>
  <c r="I16" i="201"/>
  <c r="I35" i="201"/>
  <c r="I63" i="201"/>
  <c r="I77" i="201"/>
  <c r="I86" i="201"/>
  <c r="I118" i="201"/>
  <c r="I123" i="201"/>
  <c r="I138" i="201"/>
  <c r="I147" i="201"/>
  <c r="I163" i="201"/>
  <c r="I173" i="201"/>
  <c r="J173" i="201"/>
  <c r="I187" i="201"/>
  <c r="I200" i="201"/>
  <c r="I235" i="201"/>
  <c r="I240" i="201"/>
  <c r="I262" i="201"/>
  <c r="I276" i="201"/>
  <c r="I296" i="201"/>
  <c r="I342" i="201"/>
  <c r="J364" i="201"/>
  <c r="I364" i="201"/>
  <c r="J391" i="201"/>
  <c r="I391" i="201"/>
  <c r="I423" i="201"/>
  <c r="I434" i="201"/>
  <c r="J456" i="201"/>
  <c r="I456" i="201"/>
  <c r="I467" i="201"/>
  <c r="J472" i="201"/>
  <c r="I472" i="201"/>
  <c r="I494" i="201"/>
  <c r="I499" i="201"/>
  <c r="I538" i="201"/>
  <c r="J548" i="201"/>
  <c r="I548" i="201"/>
  <c r="I582" i="201"/>
  <c r="I606" i="201"/>
  <c r="I246" i="201"/>
  <c r="J272" i="201"/>
  <c r="I272" i="201"/>
  <c r="J307" i="201"/>
  <c r="I307" i="201"/>
  <c r="J380" i="201"/>
  <c r="I380" i="201"/>
  <c r="J484" i="201"/>
  <c r="I484" i="201"/>
  <c r="J511" i="201"/>
  <c r="I511" i="201"/>
  <c r="I554" i="201"/>
  <c r="J294" i="201"/>
  <c r="I294" i="201"/>
  <c r="J460" i="201"/>
  <c r="I460" i="201"/>
  <c r="J552" i="201"/>
  <c r="I552" i="201"/>
  <c r="I212" i="201"/>
  <c r="J255" i="201"/>
  <c r="I255" i="201"/>
  <c r="I284" i="201"/>
  <c r="J476" i="201"/>
  <c r="I476" i="201"/>
  <c r="I90" i="201"/>
  <c r="J124" i="201"/>
  <c r="I124" i="201"/>
  <c r="J343" i="201"/>
  <c r="I343" i="201"/>
  <c r="J408" i="201"/>
  <c r="I408" i="201"/>
  <c r="J424" i="201"/>
  <c r="I424" i="201"/>
  <c r="J500" i="201"/>
  <c r="I500" i="201"/>
  <c r="J320" i="201"/>
  <c r="I320" i="201"/>
  <c r="J356" i="201"/>
  <c r="I356" i="201"/>
  <c r="I362" i="201"/>
  <c r="J384" i="201"/>
  <c r="I384" i="201"/>
  <c r="J400" i="201"/>
  <c r="I400" i="201"/>
  <c r="I5" i="201"/>
  <c r="J5" i="201"/>
  <c r="J177" i="201"/>
  <c r="I36" i="201"/>
  <c r="J332" i="201"/>
  <c r="I332" i="201"/>
  <c r="J436" i="201"/>
  <c r="I436" i="201"/>
  <c r="J463" i="201"/>
  <c r="I463" i="201"/>
  <c r="J528" i="201"/>
  <c r="I528" i="201"/>
  <c r="J544" i="201"/>
  <c r="I544" i="201"/>
  <c r="J556" i="201"/>
  <c r="I556" i="201"/>
  <c r="J348" i="201"/>
  <c r="I348" i="201"/>
  <c r="J372" i="201"/>
  <c r="I372" i="201"/>
  <c r="J396" i="201"/>
  <c r="I396" i="201"/>
  <c r="J420" i="201"/>
  <c r="I420" i="201"/>
  <c r="J444" i="201"/>
  <c r="I444" i="201"/>
  <c r="J468" i="201"/>
  <c r="I468" i="201"/>
  <c r="J492" i="201"/>
  <c r="I492" i="201"/>
  <c r="J516" i="201"/>
  <c r="I516" i="201"/>
  <c r="J540" i="201"/>
  <c r="I540" i="201"/>
  <c r="J564" i="201"/>
  <c r="I564" i="201"/>
  <c r="I17" i="201"/>
  <c r="I21" i="201"/>
  <c r="I25" i="201"/>
  <c r="I29" i="201"/>
  <c r="I33" i="201"/>
  <c r="I40" i="201"/>
  <c r="I44" i="201"/>
  <c r="I48" i="201"/>
  <c r="I52" i="201"/>
  <c r="I56" i="201"/>
  <c r="I60" i="201"/>
  <c r="I64" i="201"/>
  <c r="I83" i="201"/>
  <c r="I109" i="201"/>
  <c r="I132" i="201"/>
  <c r="I136" i="201"/>
  <c r="I140" i="201"/>
  <c r="I152" i="201"/>
  <c r="I165" i="201"/>
  <c r="J169" i="201"/>
  <c r="I178" i="201"/>
  <c r="I238" i="201"/>
  <c r="I251" i="201"/>
  <c r="I264" i="201"/>
  <c r="I268" i="201"/>
  <c r="I290" i="201"/>
  <c r="I303" i="201"/>
  <c r="I316" i="201"/>
  <c r="I334" i="201"/>
  <c r="I358" i="201"/>
  <c r="I382" i="201"/>
  <c r="I406" i="201"/>
  <c r="I430" i="201"/>
  <c r="I454" i="201"/>
  <c r="I478" i="201"/>
  <c r="I502" i="201"/>
  <c r="I526" i="201"/>
  <c r="I550" i="201"/>
  <c r="I583" i="201"/>
  <c r="I593" i="201"/>
  <c r="I607" i="201"/>
  <c r="J344" i="201"/>
  <c r="I344" i="201"/>
  <c r="J392" i="201"/>
  <c r="I392" i="201"/>
  <c r="J416" i="201"/>
  <c r="I416" i="201"/>
  <c r="J440" i="201"/>
  <c r="I440" i="201"/>
  <c r="J464" i="201"/>
  <c r="I464" i="201"/>
  <c r="J488" i="201"/>
  <c r="I488" i="201"/>
  <c r="J512" i="201"/>
  <c r="I512" i="201"/>
  <c r="J536" i="201"/>
  <c r="I536" i="201"/>
  <c r="I555" i="201"/>
  <c r="J560" i="201"/>
  <c r="I560" i="201"/>
  <c r="I574" i="201"/>
  <c r="I598" i="201"/>
  <c r="J368" i="201"/>
  <c r="I368" i="201"/>
  <c r="I157" i="201"/>
  <c r="I308" i="201"/>
  <c r="I576" i="201"/>
  <c r="I580" i="201"/>
  <c r="I584" i="201"/>
  <c r="I588" i="201"/>
  <c r="I592" i="201"/>
  <c r="I596" i="201"/>
  <c r="I600" i="201"/>
  <c r="I604" i="201"/>
  <c r="I608" i="201"/>
  <c r="G72" i="197" l="1"/>
  <c r="G75" i="197"/>
  <c r="G101" i="197"/>
  <c r="G33" i="197"/>
  <c r="G375" i="197"/>
  <c r="G115" i="197"/>
  <c r="G82" i="197"/>
  <c r="G143" i="197"/>
  <c r="H44" i="112"/>
  <c r="H408" i="197" l="1"/>
  <c r="H407" i="197"/>
  <c r="J407" i="197" s="1"/>
  <c r="H406" i="197"/>
  <c r="H405" i="197"/>
  <c r="H404" i="197"/>
  <c r="H403" i="197"/>
  <c r="J403" i="197" s="1"/>
  <c r="H402" i="197"/>
  <c r="I402" i="197" s="1"/>
  <c r="H401" i="197"/>
  <c r="J401" i="197" s="1"/>
  <c r="H400" i="197"/>
  <c r="J400" i="197" s="1"/>
  <c r="H399" i="197"/>
  <c r="H398" i="197"/>
  <c r="J398" i="197" s="1"/>
  <c r="H397" i="197"/>
  <c r="I397" i="197" s="1"/>
  <c r="H396" i="197"/>
  <c r="J396" i="197" s="1"/>
  <c r="H395" i="197"/>
  <c r="J395" i="197" s="1"/>
  <c r="H394" i="197"/>
  <c r="H393" i="197"/>
  <c r="J393" i="197" s="1"/>
  <c r="H392" i="197"/>
  <c r="J392" i="197" s="1"/>
  <c r="H391" i="197"/>
  <c r="J391" i="197" s="1"/>
  <c r="H390" i="197"/>
  <c r="H389" i="197"/>
  <c r="J389" i="197" s="1"/>
  <c r="H388" i="197"/>
  <c r="I388" i="197" s="1"/>
  <c r="H387" i="197"/>
  <c r="H386" i="197"/>
  <c r="I386" i="197" s="1"/>
  <c r="H385" i="197"/>
  <c r="I385" i="197" s="1"/>
  <c r="H384" i="197"/>
  <c r="I384" i="197" s="1"/>
  <c r="H383" i="197"/>
  <c r="J383" i="197" s="1"/>
  <c r="H382" i="197"/>
  <c r="H381" i="197"/>
  <c r="J381" i="197" s="1"/>
  <c r="H380" i="197"/>
  <c r="J380" i="197" s="1"/>
  <c r="H379" i="197"/>
  <c r="J379" i="197" s="1"/>
  <c r="H378" i="197"/>
  <c r="J378" i="197" s="1"/>
  <c r="H377" i="197"/>
  <c r="H376" i="197"/>
  <c r="H375" i="197"/>
  <c r="I375" i="197" s="1"/>
  <c r="H374" i="197"/>
  <c r="J374" i="197" s="1"/>
  <c r="H373" i="197"/>
  <c r="I373" i="197" s="1"/>
  <c r="H372" i="197"/>
  <c r="J372" i="197" s="1"/>
  <c r="H371" i="197"/>
  <c r="H370" i="197"/>
  <c r="J370" i="197" s="1"/>
  <c r="H369" i="197"/>
  <c r="H368" i="197"/>
  <c r="H367" i="197"/>
  <c r="J367" i="197" s="1"/>
  <c r="H366" i="197"/>
  <c r="J366" i="197" s="1"/>
  <c r="H365" i="197"/>
  <c r="J365" i="197" s="1"/>
  <c r="H364" i="197"/>
  <c r="J364" i="197" s="1"/>
  <c r="H363" i="197"/>
  <c r="I363" i="197" s="1"/>
  <c r="H362" i="197"/>
  <c r="I362" i="197" s="1"/>
  <c r="H361" i="197"/>
  <c r="J361" i="197" s="1"/>
  <c r="H360" i="197"/>
  <c r="J360" i="197" s="1"/>
  <c r="H359" i="197"/>
  <c r="J359" i="197" s="1"/>
  <c r="H358" i="197"/>
  <c r="H357" i="197"/>
  <c r="H356" i="197"/>
  <c r="J356" i="197" s="1"/>
  <c r="H355" i="197"/>
  <c r="J355" i="197" s="1"/>
  <c r="H354" i="197"/>
  <c r="I354" i="197" s="1"/>
  <c r="H353" i="197"/>
  <c r="J353" i="197" s="1"/>
  <c r="H352" i="197"/>
  <c r="J352" i="197" s="1"/>
  <c r="H351" i="197"/>
  <c r="I351" i="197" s="1"/>
  <c r="H350" i="197"/>
  <c r="J350" i="197" s="1"/>
  <c r="H349" i="197"/>
  <c r="I349" i="197" s="1"/>
  <c r="H348" i="197"/>
  <c r="I348" i="197" s="1"/>
  <c r="H347" i="197"/>
  <c r="J347" i="197" s="1"/>
  <c r="H345" i="197"/>
  <c r="I345" i="197" s="1"/>
  <c r="H344" i="197"/>
  <c r="I344" i="197" s="1"/>
  <c r="H343" i="197"/>
  <c r="I343" i="197" s="1"/>
  <c r="H342" i="197"/>
  <c r="J342" i="197" s="1"/>
  <c r="H341" i="197"/>
  <c r="H340" i="197"/>
  <c r="J340" i="197" s="1"/>
  <c r="H339" i="197"/>
  <c r="J339" i="197" s="1"/>
  <c r="H338" i="197"/>
  <c r="I338" i="197" s="1"/>
  <c r="H337" i="197"/>
  <c r="H336" i="197"/>
  <c r="I336" i="197" s="1"/>
  <c r="H335" i="197"/>
  <c r="I335" i="197" s="1"/>
  <c r="H334" i="197"/>
  <c r="H333" i="197"/>
  <c r="H332" i="197"/>
  <c r="I332" i="197" s="1"/>
  <c r="H331" i="197"/>
  <c r="I331" i="197" s="1"/>
  <c r="H330" i="197"/>
  <c r="I330" i="197" s="1"/>
  <c r="H329" i="197"/>
  <c r="I329" i="197" s="1"/>
  <c r="H328" i="197"/>
  <c r="I328" i="197" s="1"/>
  <c r="H327" i="197"/>
  <c r="I327" i="197" s="1"/>
  <c r="H326" i="197"/>
  <c r="I326" i="197" s="1"/>
  <c r="H325" i="197"/>
  <c r="I325" i="197" s="1"/>
  <c r="H324" i="197"/>
  <c r="H323" i="197"/>
  <c r="J323" i="197" s="1"/>
  <c r="H322" i="197"/>
  <c r="H321" i="197"/>
  <c r="J321" i="197" s="1"/>
  <c r="H320" i="197"/>
  <c r="J320" i="197" s="1"/>
  <c r="H319" i="197"/>
  <c r="I319" i="197" s="1"/>
  <c r="H9" i="112"/>
  <c r="H10" i="112"/>
  <c r="H11" i="112"/>
  <c r="H12" i="112"/>
  <c r="H556" i="200"/>
  <c r="J556" i="200" s="1"/>
  <c r="H555" i="200"/>
  <c r="J555" i="200" s="1"/>
  <c r="H554" i="200"/>
  <c r="J554" i="200" s="1"/>
  <c r="H553" i="200"/>
  <c r="J553" i="200" s="1"/>
  <c r="H552" i="200"/>
  <c r="J552" i="200" s="1"/>
  <c r="H551" i="200"/>
  <c r="J551" i="200" s="1"/>
  <c r="H550" i="200"/>
  <c r="J550" i="200" s="1"/>
  <c r="H549" i="200"/>
  <c r="J549" i="200" s="1"/>
  <c r="H548" i="200"/>
  <c r="J548" i="200" s="1"/>
  <c r="H547" i="200"/>
  <c r="J547" i="200" s="1"/>
  <c r="H546" i="200"/>
  <c r="J546" i="200" s="1"/>
  <c r="H545" i="200"/>
  <c r="J545" i="200" s="1"/>
  <c r="H544" i="200"/>
  <c r="J544" i="200" s="1"/>
  <c r="H543" i="200"/>
  <c r="J543" i="200" s="1"/>
  <c r="H542" i="200"/>
  <c r="J542" i="200" s="1"/>
  <c r="H541" i="200"/>
  <c r="J541" i="200" s="1"/>
  <c r="H540" i="200"/>
  <c r="H539" i="200"/>
  <c r="J539" i="200" s="1"/>
  <c r="H538" i="200"/>
  <c r="J538" i="200" s="1"/>
  <c r="H537" i="200"/>
  <c r="I537" i="200" s="1"/>
  <c r="H536" i="200"/>
  <c r="H535" i="200"/>
  <c r="J535" i="200" s="1"/>
  <c r="H534" i="200"/>
  <c r="I534" i="200" s="1"/>
  <c r="H533" i="200"/>
  <c r="J533" i="200" s="1"/>
  <c r="H532" i="200"/>
  <c r="J532" i="200" s="1"/>
  <c r="H531" i="200"/>
  <c r="J531" i="200" s="1"/>
  <c r="H530" i="200"/>
  <c r="J530" i="200" s="1"/>
  <c r="H529" i="200"/>
  <c r="J529" i="200" s="1"/>
  <c r="H528" i="200"/>
  <c r="J528" i="200" s="1"/>
  <c r="H527" i="200"/>
  <c r="J527" i="200" s="1"/>
  <c r="H526" i="200"/>
  <c r="J526" i="200" s="1"/>
  <c r="H525" i="200"/>
  <c r="J525" i="200" s="1"/>
  <c r="H524" i="200"/>
  <c r="J524" i="200" s="1"/>
  <c r="H523" i="200"/>
  <c r="J523" i="200" s="1"/>
  <c r="H522" i="200"/>
  <c r="J522" i="200" s="1"/>
  <c r="H521" i="200"/>
  <c r="J521" i="200" s="1"/>
  <c r="H520" i="200"/>
  <c r="J520" i="200" s="1"/>
  <c r="H519" i="200"/>
  <c r="J519" i="200" s="1"/>
  <c r="H518" i="200"/>
  <c r="I518" i="200" s="1"/>
  <c r="H517" i="200"/>
  <c r="I517" i="200" s="1"/>
  <c r="H516" i="200"/>
  <c r="J516" i="200" s="1"/>
  <c r="H515" i="200"/>
  <c r="J515" i="200" s="1"/>
  <c r="H514" i="200"/>
  <c r="J514" i="200" s="1"/>
  <c r="H513" i="200"/>
  <c r="J513" i="200" s="1"/>
  <c r="H512" i="200"/>
  <c r="H511" i="200"/>
  <c r="I511" i="200" s="1"/>
  <c r="H510" i="200"/>
  <c r="H509" i="200"/>
  <c r="J509" i="200" s="1"/>
  <c r="H508" i="200"/>
  <c r="J508" i="200" s="1"/>
  <c r="H507" i="200"/>
  <c r="I507" i="200" s="1"/>
  <c r="H506" i="200"/>
  <c r="J506" i="200" s="1"/>
  <c r="H505" i="200"/>
  <c r="J505" i="200" s="1"/>
  <c r="H504" i="200"/>
  <c r="J504" i="200" s="1"/>
  <c r="H503" i="200"/>
  <c r="J503" i="200" s="1"/>
  <c r="H502" i="200"/>
  <c r="J502" i="200" s="1"/>
  <c r="H501" i="200"/>
  <c r="J501" i="200" s="1"/>
  <c r="H500" i="200"/>
  <c r="J500" i="200" s="1"/>
  <c r="H499" i="200"/>
  <c r="J499" i="200" s="1"/>
  <c r="H498" i="200"/>
  <c r="J498" i="200" s="1"/>
  <c r="H497" i="200"/>
  <c r="J497" i="200" s="1"/>
  <c r="H496" i="200"/>
  <c r="J496" i="200" s="1"/>
  <c r="H495" i="200"/>
  <c r="J495" i="200" s="1"/>
  <c r="H494" i="200"/>
  <c r="J494" i="200" s="1"/>
  <c r="H493" i="200"/>
  <c r="J493" i="200" s="1"/>
  <c r="H492" i="200"/>
  <c r="J492" i="200" s="1"/>
  <c r="H491" i="200"/>
  <c r="J491" i="200" s="1"/>
  <c r="H490" i="200"/>
  <c r="J490" i="200" s="1"/>
  <c r="H489" i="200"/>
  <c r="J489" i="200" s="1"/>
  <c r="H488" i="200"/>
  <c r="J488" i="200" s="1"/>
  <c r="H487" i="200"/>
  <c r="J487" i="200" s="1"/>
  <c r="H486" i="200"/>
  <c r="J486" i="200" s="1"/>
  <c r="H485" i="200"/>
  <c r="H484" i="200"/>
  <c r="J484" i="200" s="1"/>
  <c r="H483" i="200"/>
  <c r="J483" i="200" s="1"/>
  <c r="H482" i="200"/>
  <c r="J482" i="200" s="1"/>
  <c r="H481" i="200"/>
  <c r="J481" i="200" s="1"/>
  <c r="H480" i="200"/>
  <c r="J480" i="200" s="1"/>
  <c r="H479" i="200"/>
  <c r="J479" i="200" s="1"/>
  <c r="H478" i="200"/>
  <c r="J478" i="200" s="1"/>
  <c r="H477" i="200"/>
  <c r="I477" i="200" s="1"/>
  <c r="H476" i="200"/>
  <c r="J476" i="200" s="1"/>
  <c r="H475" i="200"/>
  <c r="J475" i="200" s="1"/>
  <c r="H474" i="200"/>
  <c r="J474" i="200" s="1"/>
  <c r="H473" i="200"/>
  <c r="J473" i="200" s="1"/>
  <c r="H472" i="200"/>
  <c r="J472" i="200" s="1"/>
  <c r="H471" i="200"/>
  <c r="J471" i="200" s="1"/>
  <c r="H470" i="200"/>
  <c r="J470" i="200" s="1"/>
  <c r="H469" i="200"/>
  <c r="J469" i="200" s="1"/>
  <c r="H468" i="200"/>
  <c r="J468" i="200" s="1"/>
  <c r="H467" i="200"/>
  <c r="J467" i="200" s="1"/>
  <c r="H466" i="200"/>
  <c r="J466" i="200" s="1"/>
  <c r="H465" i="200"/>
  <c r="J465" i="200" s="1"/>
  <c r="H464" i="200"/>
  <c r="J464" i="200" s="1"/>
  <c r="H463" i="200"/>
  <c r="J463" i="200" s="1"/>
  <c r="H462" i="200"/>
  <c r="J462" i="200" s="1"/>
  <c r="H461" i="200"/>
  <c r="J461" i="200" s="1"/>
  <c r="H460" i="200"/>
  <c r="J460" i="200" s="1"/>
  <c r="H459" i="200"/>
  <c r="J459" i="200" s="1"/>
  <c r="H458" i="200"/>
  <c r="J458" i="200" s="1"/>
  <c r="H457" i="200"/>
  <c r="J457" i="200" s="1"/>
  <c r="H456" i="200"/>
  <c r="J456" i="200" s="1"/>
  <c r="H455" i="200"/>
  <c r="J455" i="200" s="1"/>
  <c r="H454" i="200"/>
  <c r="J454" i="200" s="1"/>
  <c r="H453" i="200"/>
  <c r="J453" i="200" s="1"/>
  <c r="H452" i="200"/>
  <c r="J452" i="200" s="1"/>
  <c r="H451" i="200"/>
  <c r="J451" i="200" s="1"/>
  <c r="H450" i="200"/>
  <c r="I450" i="200" s="1"/>
  <c r="H449" i="200"/>
  <c r="J449" i="200" s="1"/>
  <c r="H448" i="200"/>
  <c r="J448" i="200" s="1"/>
  <c r="H447" i="200"/>
  <c r="H446" i="200"/>
  <c r="J446" i="200" s="1"/>
  <c r="H445" i="200"/>
  <c r="J445" i="200" s="1"/>
  <c r="H444" i="200"/>
  <c r="J444" i="200" s="1"/>
  <c r="H443" i="200"/>
  <c r="J443" i="200" s="1"/>
  <c r="H442" i="200"/>
  <c r="J442" i="200" s="1"/>
  <c r="H441" i="200"/>
  <c r="J441" i="200" s="1"/>
  <c r="H440" i="200"/>
  <c r="J440" i="200" s="1"/>
  <c r="H439" i="200"/>
  <c r="J439" i="200" s="1"/>
  <c r="H438" i="200"/>
  <c r="J438" i="200" s="1"/>
  <c r="H437" i="200"/>
  <c r="J437" i="200" s="1"/>
  <c r="H436" i="200"/>
  <c r="J436" i="200" s="1"/>
  <c r="H435" i="200"/>
  <c r="J435" i="200" s="1"/>
  <c r="H434" i="200"/>
  <c r="J434" i="200" s="1"/>
  <c r="H433" i="200"/>
  <c r="J433" i="200" s="1"/>
  <c r="H432" i="200"/>
  <c r="J432" i="200" s="1"/>
  <c r="H431" i="200"/>
  <c r="J431" i="200" s="1"/>
  <c r="H430" i="200"/>
  <c r="J430" i="200" s="1"/>
  <c r="H429" i="200"/>
  <c r="J429" i="200" s="1"/>
  <c r="H428" i="200"/>
  <c r="J428" i="200" s="1"/>
  <c r="H427" i="200"/>
  <c r="J427" i="200" s="1"/>
  <c r="H426" i="200"/>
  <c r="J426" i="200" s="1"/>
  <c r="H425" i="200"/>
  <c r="J425" i="200" s="1"/>
  <c r="H424" i="200"/>
  <c r="J424" i="200" s="1"/>
  <c r="H423" i="200"/>
  <c r="J423" i="200" s="1"/>
  <c r="H422" i="200"/>
  <c r="J422" i="200" s="1"/>
  <c r="H421" i="200"/>
  <c r="J421" i="200" s="1"/>
  <c r="H420" i="200"/>
  <c r="J420" i="200" s="1"/>
  <c r="H419" i="200"/>
  <c r="J419" i="200" s="1"/>
  <c r="H418" i="200"/>
  <c r="J418" i="200" s="1"/>
  <c r="H417" i="200"/>
  <c r="J417" i="200" s="1"/>
  <c r="H416" i="200"/>
  <c r="J416" i="200" s="1"/>
  <c r="H415" i="200"/>
  <c r="J415" i="200" s="1"/>
  <c r="H414" i="200"/>
  <c r="J414" i="200" s="1"/>
  <c r="H413" i="200"/>
  <c r="I413" i="200" s="1"/>
  <c r="H412" i="200"/>
  <c r="J412" i="200" s="1"/>
  <c r="H411" i="200"/>
  <c r="J411" i="200" s="1"/>
  <c r="H410" i="200"/>
  <c r="J410" i="200" s="1"/>
  <c r="H409" i="200"/>
  <c r="J409" i="200" s="1"/>
  <c r="H408" i="200"/>
  <c r="J408" i="200" s="1"/>
  <c r="H407" i="200"/>
  <c r="J407" i="200" s="1"/>
  <c r="H406" i="200"/>
  <c r="J406" i="200" s="1"/>
  <c r="H405" i="200"/>
  <c r="J405" i="200" s="1"/>
  <c r="H404" i="200"/>
  <c r="J404" i="200" s="1"/>
  <c r="H403" i="200"/>
  <c r="J403" i="200" s="1"/>
  <c r="H402" i="200"/>
  <c r="J402" i="200" s="1"/>
  <c r="H401" i="200"/>
  <c r="J401" i="200" s="1"/>
  <c r="H400" i="200"/>
  <c r="J400" i="200" s="1"/>
  <c r="H399" i="200"/>
  <c r="J399" i="200" s="1"/>
  <c r="H398" i="200"/>
  <c r="J398" i="200" s="1"/>
  <c r="H397" i="200"/>
  <c r="J397" i="200" s="1"/>
  <c r="H396" i="200"/>
  <c r="J396" i="200" s="1"/>
  <c r="H395" i="200"/>
  <c r="J395" i="200" s="1"/>
  <c r="H394" i="200"/>
  <c r="J394" i="200" s="1"/>
  <c r="H393" i="200"/>
  <c r="J393" i="200" s="1"/>
  <c r="H392" i="200"/>
  <c r="J392" i="200" s="1"/>
  <c r="H391" i="200"/>
  <c r="J391" i="200" s="1"/>
  <c r="H390" i="200"/>
  <c r="J390" i="200" s="1"/>
  <c r="H389" i="200"/>
  <c r="J389" i="200" s="1"/>
  <c r="H388" i="200"/>
  <c r="J388" i="200" s="1"/>
  <c r="H387" i="200"/>
  <c r="J387" i="200" s="1"/>
  <c r="H386" i="200"/>
  <c r="J386" i="200" s="1"/>
  <c r="H385" i="200"/>
  <c r="J385" i="200" s="1"/>
  <c r="H384" i="200"/>
  <c r="J384" i="200" s="1"/>
  <c r="H383" i="200"/>
  <c r="J383" i="200" s="1"/>
  <c r="H382" i="200"/>
  <c r="J382" i="200" s="1"/>
  <c r="H381" i="200"/>
  <c r="J381" i="200" s="1"/>
  <c r="H380" i="200"/>
  <c r="J380" i="200" s="1"/>
  <c r="H379" i="200"/>
  <c r="J379" i="200" s="1"/>
  <c r="H378" i="200"/>
  <c r="J378" i="200" s="1"/>
  <c r="H377" i="200"/>
  <c r="J377" i="200" s="1"/>
  <c r="H376" i="200"/>
  <c r="J376" i="200" s="1"/>
  <c r="H375" i="200"/>
  <c r="J375" i="200" s="1"/>
  <c r="H374" i="200"/>
  <c r="J374" i="200" s="1"/>
  <c r="H373" i="200"/>
  <c r="J373" i="200" s="1"/>
  <c r="H372" i="200"/>
  <c r="J372" i="200" s="1"/>
  <c r="H371" i="200"/>
  <c r="J371" i="200" s="1"/>
  <c r="H370" i="200"/>
  <c r="J370" i="200" s="1"/>
  <c r="H369" i="200"/>
  <c r="J369" i="200" s="1"/>
  <c r="H368" i="200"/>
  <c r="J368" i="200" s="1"/>
  <c r="H367" i="200"/>
  <c r="J367" i="200" s="1"/>
  <c r="H366" i="200"/>
  <c r="J366" i="200" s="1"/>
  <c r="H365" i="200"/>
  <c r="J365" i="200" s="1"/>
  <c r="H364" i="200"/>
  <c r="J364" i="200" s="1"/>
  <c r="H363" i="200"/>
  <c r="J363" i="200" s="1"/>
  <c r="H362" i="200"/>
  <c r="J362" i="200" s="1"/>
  <c r="H361" i="200"/>
  <c r="J361" i="200" s="1"/>
  <c r="G361" i="200"/>
  <c r="H360" i="200"/>
  <c r="H359" i="200"/>
  <c r="J359" i="200" s="1"/>
  <c r="H358" i="200"/>
  <c r="J358" i="200" s="1"/>
  <c r="H357" i="200"/>
  <c r="J357" i="200" s="1"/>
  <c r="H356" i="200"/>
  <c r="J356" i="200" s="1"/>
  <c r="H355" i="200"/>
  <c r="J355" i="200" s="1"/>
  <c r="H354" i="200"/>
  <c r="J354" i="200" s="1"/>
  <c r="H353" i="200"/>
  <c r="J353" i="200" s="1"/>
  <c r="H352" i="200"/>
  <c r="J352" i="200" s="1"/>
  <c r="H351" i="200"/>
  <c r="J351" i="200" s="1"/>
  <c r="H350" i="200"/>
  <c r="J350" i="200" s="1"/>
  <c r="H349" i="200"/>
  <c r="H348" i="200"/>
  <c r="J348" i="200" s="1"/>
  <c r="H347" i="200"/>
  <c r="J347" i="200" s="1"/>
  <c r="H346" i="200"/>
  <c r="J346" i="200" s="1"/>
  <c r="H345" i="200"/>
  <c r="J345" i="200" s="1"/>
  <c r="H344" i="200"/>
  <c r="J344" i="200" s="1"/>
  <c r="H343" i="200"/>
  <c r="J343" i="200" s="1"/>
  <c r="H342" i="200"/>
  <c r="J342" i="200" s="1"/>
  <c r="H341" i="200"/>
  <c r="J341" i="200" s="1"/>
  <c r="H340" i="200"/>
  <c r="J340" i="200" s="1"/>
  <c r="H339" i="200"/>
  <c r="J339" i="200" s="1"/>
  <c r="H338" i="200"/>
  <c r="J338" i="200" s="1"/>
  <c r="H337" i="200"/>
  <c r="J337" i="200" s="1"/>
  <c r="H336" i="200"/>
  <c r="J336" i="200" s="1"/>
  <c r="H335" i="200"/>
  <c r="J335" i="200" s="1"/>
  <c r="H334" i="200"/>
  <c r="J334" i="200" s="1"/>
  <c r="H333" i="200"/>
  <c r="J333" i="200" s="1"/>
  <c r="H332" i="200"/>
  <c r="J332" i="200" s="1"/>
  <c r="H331" i="200"/>
  <c r="J331" i="200" s="1"/>
  <c r="H330" i="200"/>
  <c r="J330" i="200" s="1"/>
  <c r="H329" i="200"/>
  <c r="J329" i="200" s="1"/>
  <c r="H328" i="200"/>
  <c r="J328" i="200" s="1"/>
  <c r="H327" i="200"/>
  <c r="J327" i="200" s="1"/>
  <c r="H326" i="200"/>
  <c r="J326" i="200" s="1"/>
  <c r="H325" i="200"/>
  <c r="J325" i="200" s="1"/>
  <c r="H324" i="200"/>
  <c r="J324" i="200" s="1"/>
  <c r="H323" i="200"/>
  <c r="J323" i="200" s="1"/>
  <c r="H322" i="200"/>
  <c r="J322" i="200" s="1"/>
  <c r="H321" i="200"/>
  <c r="J321" i="200" s="1"/>
  <c r="H320" i="200"/>
  <c r="J320" i="200" s="1"/>
  <c r="H319" i="200"/>
  <c r="J319" i="200" s="1"/>
  <c r="H318" i="200"/>
  <c r="J318" i="200" s="1"/>
  <c r="H317" i="200"/>
  <c r="J317" i="200" s="1"/>
  <c r="H316" i="200"/>
  <c r="J316" i="200" s="1"/>
  <c r="H315" i="200"/>
  <c r="J315" i="200" s="1"/>
  <c r="H314" i="200"/>
  <c r="J314" i="200" s="1"/>
  <c r="H313" i="200"/>
  <c r="J313" i="200" s="1"/>
  <c r="H312" i="200"/>
  <c r="J312" i="200" s="1"/>
  <c r="H311" i="200"/>
  <c r="J311" i="200" s="1"/>
  <c r="H310" i="200"/>
  <c r="J310" i="200" s="1"/>
  <c r="H309" i="200"/>
  <c r="J309" i="200" s="1"/>
  <c r="H308" i="200"/>
  <c r="I308" i="200" s="1"/>
  <c r="H307" i="200"/>
  <c r="J307" i="200" s="1"/>
  <c r="H306" i="200"/>
  <c r="J306" i="200" s="1"/>
  <c r="H305" i="200"/>
  <c r="I305" i="200" s="1"/>
  <c r="H304" i="200"/>
  <c r="J304" i="200" s="1"/>
  <c r="H303" i="200"/>
  <c r="H302" i="200"/>
  <c r="J302" i="200" s="1"/>
  <c r="H301" i="200"/>
  <c r="I301" i="200" s="1"/>
  <c r="H300" i="200"/>
  <c r="J300" i="200" s="1"/>
  <c r="H299" i="200"/>
  <c r="J299" i="200" s="1"/>
  <c r="H298" i="200"/>
  <c r="J298" i="200" s="1"/>
  <c r="H297" i="200"/>
  <c r="J297" i="200" s="1"/>
  <c r="H296" i="200"/>
  <c r="J296" i="200" s="1"/>
  <c r="H295" i="200"/>
  <c r="J295" i="200" s="1"/>
  <c r="H294" i="200"/>
  <c r="J294" i="200" s="1"/>
  <c r="H293" i="200"/>
  <c r="J293" i="200" s="1"/>
  <c r="H292" i="200"/>
  <c r="J292" i="200" s="1"/>
  <c r="H291" i="200"/>
  <c r="J291" i="200" s="1"/>
  <c r="H290" i="200"/>
  <c r="J290" i="200" s="1"/>
  <c r="H289" i="200"/>
  <c r="J289" i="200" s="1"/>
  <c r="H288" i="200"/>
  <c r="J288" i="200" s="1"/>
  <c r="H287" i="200"/>
  <c r="J287" i="200" s="1"/>
  <c r="H286" i="200"/>
  <c r="H285" i="200"/>
  <c r="J285" i="200" s="1"/>
  <c r="H284" i="200"/>
  <c r="J284" i="200" s="1"/>
  <c r="H283" i="200"/>
  <c r="J283" i="200" s="1"/>
  <c r="H282" i="200"/>
  <c r="J282" i="200" s="1"/>
  <c r="H281" i="200"/>
  <c r="J281" i="200" s="1"/>
  <c r="H280" i="200"/>
  <c r="J280" i="200" s="1"/>
  <c r="H279" i="200"/>
  <c r="I279" i="200" s="1"/>
  <c r="H278" i="200"/>
  <c r="J278" i="200" s="1"/>
  <c r="H277" i="200"/>
  <c r="J277" i="200" s="1"/>
  <c r="H276" i="200"/>
  <c r="J276" i="200" s="1"/>
  <c r="H275" i="200"/>
  <c r="J275" i="200" s="1"/>
  <c r="H274" i="200"/>
  <c r="J274" i="200" s="1"/>
  <c r="H273" i="200"/>
  <c r="J273" i="200" s="1"/>
  <c r="H272" i="200"/>
  <c r="J272" i="200" s="1"/>
  <c r="H271" i="200"/>
  <c r="J271" i="200" s="1"/>
  <c r="H270" i="200"/>
  <c r="J270" i="200" s="1"/>
  <c r="H269" i="200"/>
  <c r="J269" i="200" s="1"/>
  <c r="H268" i="200"/>
  <c r="J268" i="200" s="1"/>
  <c r="H267" i="200"/>
  <c r="J267" i="200" s="1"/>
  <c r="H266" i="200"/>
  <c r="J266" i="200" s="1"/>
  <c r="H265" i="200"/>
  <c r="J265" i="200" s="1"/>
  <c r="H264" i="200"/>
  <c r="J264" i="200" s="1"/>
  <c r="H263" i="200"/>
  <c r="J263" i="200" s="1"/>
  <c r="H262" i="200"/>
  <c r="J262" i="200" s="1"/>
  <c r="H261" i="200"/>
  <c r="J261" i="200" s="1"/>
  <c r="H260" i="200"/>
  <c r="J260" i="200" s="1"/>
  <c r="H259" i="200"/>
  <c r="J259" i="200" s="1"/>
  <c r="H258" i="200"/>
  <c r="J258" i="200" s="1"/>
  <c r="H257" i="200"/>
  <c r="J257" i="200" s="1"/>
  <c r="H256" i="200"/>
  <c r="J256" i="200" s="1"/>
  <c r="H255" i="200"/>
  <c r="J255" i="200" s="1"/>
  <c r="H254" i="200"/>
  <c r="J254" i="200" s="1"/>
  <c r="H253" i="200"/>
  <c r="J253" i="200" s="1"/>
  <c r="H252" i="200"/>
  <c r="J252" i="200" s="1"/>
  <c r="H251" i="200"/>
  <c r="J251" i="200" s="1"/>
  <c r="H250" i="200"/>
  <c r="J250" i="200" s="1"/>
  <c r="H249" i="200"/>
  <c r="J249" i="200" s="1"/>
  <c r="H248" i="200"/>
  <c r="J248" i="200" s="1"/>
  <c r="H247" i="200"/>
  <c r="J247" i="200" s="1"/>
  <c r="H246" i="200"/>
  <c r="J246" i="200" s="1"/>
  <c r="H245" i="200"/>
  <c r="J245" i="200" s="1"/>
  <c r="H244" i="200"/>
  <c r="J244" i="200" s="1"/>
  <c r="H243" i="200"/>
  <c r="J243" i="200" s="1"/>
  <c r="H242" i="200"/>
  <c r="J242" i="200" s="1"/>
  <c r="H241" i="200"/>
  <c r="J241" i="200" s="1"/>
  <c r="H240" i="200"/>
  <c r="J240" i="200" s="1"/>
  <c r="H239" i="200"/>
  <c r="J239" i="200" s="1"/>
  <c r="H238" i="200"/>
  <c r="J238" i="200" s="1"/>
  <c r="H237" i="200"/>
  <c r="J237" i="200" s="1"/>
  <c r="H236" i="200"/>
  <c r="J236" i="200" s="1"/>
  <c r="H235" i="200"/>
  <c r="J235" i="200" s="1"/>
  <c r="H234" i="200"/>
  <c r="J234" i="200" s="1"/>
  <c r="H233" i="200"/>
  <c r="I233" i="200" s="1"/>
  <c r="H232" i="200"/>
  <c r="H231" i="200"/>
  <c r="J231" i="200" s="1"/>
  <c r="H230" i="200"/>
  <c r="J230" i="200" s="1"/>
  <c r="H229" i="200"/>
  <c r="J229" i="200" s="1"/>
  <c r="H228" i="200"/>
  <c r="I228" i="200" s="1"/>
  <c r="H227" i="200"/>
  <c r="J227" i="200" s="1"/>
  <c r="H226" i="200"/>
  <c r="I226" i="200" s="1"/>
  <c r="H225" i="200"/>
  <c r="J225" i="200" s="1"/>
  <c r="H224" i="200"/>
  <c r="I224" i="200" s="1"/>
  <c r="H223" i="200"/>
  <c r="J223" i="200" s="1"/>
  <c r="H222" i="200"/>
  <c r="J222" i="200" s="1"/>
  <c r="H221" i="200"/>
  <c r="J221" i="200" s="1"/>
  <c r="H220" i="200"/>
  <c r="J220" i="200" s="1"/>
  <c r="H219" i="200"/>
  <c r="J219" i="200" s="1"/>
  <c r="H218" i="200"/>
  <c r="J218" i="200" s="1"/>
  <c r="H217" i="200"/>
  <c r="J217" i="200" s="1"/>
  <c r="H216" i="200"/>
  <c r="J216" i="200" s="1"/>
  <c r="H215" i="200"/>
  <c r="J215" i="200" s="1"/>
  <c r="G215" i="200"/>
  <c r="H214" i="200"/>
  <c r="J214" i="200" s="1"/>
  <c r="H213" i="200"/>
  <c r="J213" i="200" s="1"/>
  <c r="H212" i="200"/>
  <c r="J212" i="200" s="1"/>
  <c r="H211" i="200"/>
  <c r="J211" i="200" s="1"/>
  <c r="H210" i="200"/>
  <c r="J210" i="200" s="1"/>
  <c r="H209" i="200"/>
  <c r="H208" i="200"/>
  <c r="J208" i="200" s="1"/>
  <c r="H207" i="200"/>
  <c r="J207" i="200" s="1"/>
  <c r="H206" i="200"/>
  <c r="J206" i="200" s="1"/>
  <c r="H205" i="200"/>
  <c r="J205" i="200" s="1"/>
  <c r="H204" i="200"/>
  <c r="J204" i="200" s="1"/>
  <c r="H203" i="200"/>
  <c r="J203" i="200" s="1"/>
  <c r="H202" i="200"/>
  <c r="I202" i="200" s="1"/>
  <c r="H201" i="200"/>
  <c r="J201" i="200" s="1"/>
  <c r="H200" i="200"/>
  <c r="J200" i="200" s="1"/>
  <c r="H199" i="200"/>
  <c r="J199" i="200" s="1"/>
  <c r="H198" i="200"/>
  <c r="J198" i="200" s="1"/>
  <c r="H197" i="200"/>
  <c r="J197" i="200" s="1"/>
  <c r="H196" i="200"/>
  <c r="J196" i="200" s="1"/>
  <c r="H195" i="200"/>
  <c r="J195" i="200" s="1"/>
  <c r="H194" i="200"/>
  <c r="J194" i="200" s="1"/>
  <c r="H193" i="200"/>
  <c r="J193" i="200" s="1"/>
  <c r="H192" i="200"/>
  <c r="J192" i="200" s="1"/>
  <c r="H191" i="200"/>
  <c r="H190" i="200"/>
  <c r="J190" i="200" s="1"/>
  <c r="H189" i="200"/>
  <c r="J189" i="200" s="1"/>
  <c r="H188" i="200"/>
  <c r="J188" i="200" s="1"/>
  <c r="H187" i="200"/>
  <c r="J187" i="200" s="1"/>
  <c r="H186" i="200"/>
  <c r="J186" i="200" s="1"/>
  <c r="H185" i="200"/>
  <c r="J185" i="200" s="1"/>
  <c r="H184" i="200"/>
  <c r="J184" i="200" s="1"/>
  <c r="H183" i="200"/>
  <c r="J183" i="200" s="1"/>
  <c r="H182" i="200"/>
  <c r="J182" i="200" s="1"/>
  <c r="H181" i="200"/>
  <c r="J181" i="200" s="1"/>
  <c r="H180" i="200"/>
  <c r="J180" i="200" s="1"/>
  <c r="H179" i="200"/>
  <c r="J179" i="200" s="1"/>
  <c r="H178" i="200"/>
  <c r="J178" i="200" s="1"/>
  <c r="H177" i="200"/>
  <c r="J177" i="200" s="1"/>
  <c r="H176" i="200"/>
  <c r="J176" i="200" s="1"/>
  <c r="H175" i="200"/>
  <c r="J175" i="200" s="1"/>
  <c r="H174" i="200"/>
  <c r="J174" i="200" s="1"/>
  <c r="G174" i="200"/>
  <c r="H173" i="200"/>
  <c r="J173" i="200" s="1"/>
  <c r="H172" i="200"/>
  <c r="I172" i="200" s="1"/>
  <c r="H171" i="200"/>
  <c r="J171" i="200" s="1"/>
  <c r="H170" i="200"/>
  <c r="J170" i="200" s="1"/>
  <c r="H169" i="200"/>
  <c r="J169" i="200" s="1"/>
  <c r="H168" i="200"/>
  <c r="I168" i="200" s="1"/>
  <c r="H167" i="200"/>
  <c r="J167" i="200" s="1"/>
  <c r="H166" i="200"/>
  <c r="I166" i="200" s="1"/>
  <c r="H165" i="200"/>
  <c r="J165" i="200" s="1"/>
  <c r="H164" i="200"/>
  <c r="I164" i="200" s="1"/>
  <c r="H163" i="200"/>
  <c r="J163" i="200" s="1"/>
  <c r="H162" i="200"/>
  <c r="I162" i="200" s="1"/>
  <c r="H161" i="200"/>
  <c r="H160" i="200"/>
  <c r="I160" i="200" s="1"/>
  <c r="H159" i="200"/>
  <c r="J159" i="200" s="1"/>
  <c r="H158" i="200"/>
  <c r="J158" i="200" s="1"/>
  <c r="H157" i="200"/>
  <c r="J157" i="200" s="1"/>
  <c r="H156" i="200"/>
  <c r="H155" i="200"/>
  <c r="J155" i="200" s="1"/>
  <c r="G155" i="200"/>
  <c r="H154" i="200"/>
  <c r="J154" i="200" s="1"/>
  <c r="H153" i="200"/>
  <c r="J153" i="200" s="1"/>
  <c r="H152" i="200"/>
  <c r="J152" i="200" s="1"/>
  <c r="H151" i="200"/>
  <c r="J151" i="200" s="1"/>
  <c r="H150" i="200"/>
  <c r="J150" i="200" s="1"/>
  <c r="H149" i="200"/>
  <c r="I149" i="200" s="1"/>
  <c r="H148" i="200"/>
  <c r="H147" i="200"/>
  <c r="J147" i="200" s="1"/>
  <c r="H146" i="200"/>
  <c r="J146" i="200" s="1"/>
  <c r="H145" i="200"/>
  <c r="I145" i="200" s="1"/>
  <c r="H144" i="200"/>
  <c r="J144" i="200" s="1"/>
  <c r="G144" i="200"/>
  <c r="H143" i="200"/>
  <c r="J143" i="200" s="1"/>
  <c r="H142" i="200"/>
  <c r="J142" i="200" s="1"/>
  <c r="H141" i="200"/>
  <c r="J141" i="200" s="1"/>
  <c r="G141" i="200"/>
  <c r="H140" i="200"/>
  <c r="J140" i="200" s="1"/>
  <c r="H139" i="200"/>
  <c r="J139" i="200" s="1"/>
  <c r="H138" i="200"/>
  <c r="J138" i="200" s="1"/>
  <c r="H137" i="200"/>
  <c r="G137" i="200"/>
  <c r="H136" i="200"/>
  <c r="J136" i="200" s="1"/>
  <c r="G136" i="200"/>
  <c r="H135" i="200"/>
  <c r="J135" i="200" s="1"/>
  <c r="H134" i="200"/>
  <c r="J134" i="200" s="1"/>
  <c r="H133" i="200"/>
  <c r="J133" i="200" s="1"/>
  <c r="H132" i="200"/>
  <c r="J132" i="200" s="1"/>
  <c r="H131" i="200"/>
  <c r="J131" i="200" s="1"/>
  <c r="H130" i="200"/>
  <c r="J130" i="200" s="1"/>
  <c r="H129" i="200"/>
  <c r="J129" i="200" s="1"/>
  <c r="H128" i="200"/>
  <c r="I128" i="200" s="1"/>
  <c r="H127" i="200"/>
  <c r="J127" i="200" s="1"/>
  <c r="G127" i="200"/>
  <c r="H126" i="200"/>
  <c r="I126" i="200" s="1"/>
  <c r="G126" i="200"/>
  <c r="H125" i="200"/>
  <c r="H124" i="200"/>
  <c r="H123" i="200"/>
  <c r="J123" i="200" s="1"/>
  <c r="G123" i="200"/>
  <c r="H122" i="200"/>
  <c r="I122" i="200" s="1"/>
  <c r="H121" i="200"/>
  <c r="J121" i="200" s="1"/>
  <c r="H120" i="200"/>
  <c r="J120" i="200" s="1"/>
  <c r="H119" i="200"/>
  <c r="J119" i="200" s="1"/>
  <c r="H118" i="200"/>
  <c r="I118" i="200" s="1"/>
  <c r="H117" i="200"/>
  <c r="J117" i="200" s="1"/>
  <c r="H116" i="200"/>
  <c r="J116" i="200" s="1"/>
  <c r="H115" i="200"/>
  <c r="J115" i="200" s="1"/>
  <c r="H114" i="200"/>
  <c r="I114" i="200" s="1"/>
  <c r="H113" i="200"/>
  <c r="J113" i="200" s="1"/>
  <c r="H112" i="200"/>
  <c r="J112" i="200" s="1"/>
  <c r="H111" i="200"/>
  <c r="J111" i="200" s="1"/>
  <c r="H110" i="200"/>
  <c r="I110" i="200" s="1"/>
  <c r="H109" i="200"/>
  <c r="J109" i="200" s="1"/>
  <c r="H108" i="200"/>
  <c r="J108" i="200" s="1"/>
  <c r="H107" i="200"/>
  <c r="J107" i="200" s="1"/>
  <c r="H106" i="200"/>
  <c r="I106" i="200" s="1"/>
  <c r="H105" i="200"/>
  <c r="H104" i="200"/>
  <c r="J104" i="200" s="1"/>
  <c r="H103" i="200"/>
  <c r="J103" i="200" s="1"/>
  <c r="H102" i="200"/>
  <c r="H101" i="200"/>
  <c r="J101" i="200" s="1"/>
  <c r="H100" i="200"/>
  <c r="I100" i="200" s="1"/>
  <c r="H99" i="200"/>
  <c r="G99" i="200"/>
  <c r="H98" i="200"/>
  <c r="J98" i="200" s="1"/>
  <c r="H97" i="200"/>
  <c r="J97" i="200" s="1"/>
  <c r="H96" i="200"/>
  <c r="H95" i="200"/>
  <c r="I95" i="200" s="1"/>
  <c r="H94" i="200"/>
  <c r="I94" i="200" s="1"/>
  <c r="G94" i="200"/>
  <c r="H93" i="200"/>
  <c r="J93" i="200" s="1"/>
  <c r="G93" i="200"/>
  <c r="H92" i="200"/>
  <c r="J92" i="200" s="1"/>
  <c r="H91" i="200"/>
  <c r="H90" i="200"/>
  <c r="H89" i="200"/>
  <c r="J89" i="200" s="1"/>
  <c r="H88" i="200"/>
  <c r="J88" i="200" s="1"/>
  <c r="H87" i="200"/>
  <c r="I87" i="200" s="1"/>
  <c r="H86" i="200"/>
  <c r="H85" i="200"/>
  <c r="J85" i="200" s="1"/>
  <c r="H84" i="200"/>
  <c r="I84" i="200" s="1"/>
  <c r="H83" i="200"/>
  <c r="J83" i="200" s="1"/>
  <c r="H82" i="200"/>
  <c r="H81" i="200"/>
  <c r="J81" i="200" s="1"/>
  <c r="H80" i="200"/>
  <c r="J80" i="200" s="1"/>
  <c r="H79" i="200"/>
  <c r="H78" i="200"/>
  <c r="H77" i="200"/>
  <c r="I77" i="200" s="1"/>
  <c r="H76" i="200"/>
  <c r="H75" i="200"/>
  <c r="J75" i="200" s="1"/>
  <c r="H74" i="200"/>
  <c r="H73" i="200"/>
  <c r="J73" i="200" s="1"/>
  <c r="H72" i="200"/>
  <c r="J72" i="200" s="1"/>
  <c r="H71" i="200"/>
  <c r="J71" i="200" s="1"/>
  <c r="H70" i="200"/>
  <c r="H69" i="200"/>
  <c r="J69" i="200" s="1"/>
  <c r="H68" i="200"/>
  <c r="H67" i="200"/>
  <c r="J67" i="200" s="1"/>
  <c r="H66" i="200"/>
  <c r="H65" i="200"/>
  <c r="J65" i="200" s="1"/>
  <c r="H64" i="200"/>
  <c r="J64" i="200" s="1"/>
  <c r="H63" i="200"/>
  <c r="I63" i="200" s="1"/>
  <c r="H62" i="200"/>
  <c r="H61" i="200"/>
  <c r="J61" i="200" s="1"/>
  <c r="H60" i="200"/>
  <c r="J60" i="200" s="1"/>
  <c r="H59" i="200"/>
  <c r="J59" i="200" s="1"/>
  <c r="H58" i="200"/>
  <c r="H57" i="200"/>
  <c r="J57" i="200" s="1"/>
  <c r="H56" i="200"/>
  <c r="G56" i="200"/>
  <c r="H55" i="200"/>
  <c r="I55" i="200" s="1"/>
  <c r="G55" i="200"/>
  <c r="H54" i="200"/>
  <c r="H53" i="200"/>
  <c r="J53" i="200" s="1"/>
  <c r="H52" i="200"/>
  <c r="J52" i="200" s="1"/>
  <c r="H51" i="200"/>
  <c r="I51" i="200" s="1"/>
  <c r="H50" i="200"/>
  <c r="J50" i="200" s="1"/>
  <c r="H49" i="200"/>
  <c r="I49" i="200" s="1"/>
  <c r="H48" i="200"/>
  <c r="J48" i="200" s="1"/>
  <c r="G48" i="200"/>
  <c r="H47" i="200"/>
  <c r="H46" i="200"/>
  <c r="J46" i="200" s="1"/>
  <c r="H45" i="200"/>
  <c r="I45" i="200" s="1"/>
  <c r="H44" i="200"/>
  <c r="J44" i="200" s="1"/>
  <c r="H43" i="200"/>
  <c r="H42" i="200"/>
  <c r="J42" i="200" s="1"/>
  <c r="H41" i="200"/>
  <c r="J41" i="200" s="1"/>
  <c r="H40" i="200"/>
  <c r="J40" i="200" s="1"/>
  <c r="G40" i="200"/>
  <c r="H39" i="200"/>
  <c r="J39" i="200" s="1"/>
  <c r="H38" i="200"/>
  <c r="J38" i="200" s="1"/>
  <c r="G38" i="200"/>
  <c r="H37" i="200"/>
  <c r="J37" i="200" s="1"/>
  <c r="G37" i="200"/>
  <c r="G2" i="200" s="1"/>
  <c r="H36" i="200"/>
  <c r="J36" i="200" s="1"/>
  <c r="H35" i="200"/>
  <c r="H34" i="200"/>
  <c r="J34" i="200" s="1"/>
  <c r="G34" i="200"/>
  <c r="H33" i="200"/>
  <c r="J33" i="200" s="1"/>
  <c r="H32" i="200"/>
  <c r="H31" i="200"/>
  <c r="J31" i="200" s="1"/>
  <c r="H30" i="200"/>
  <c r="I30" i="200" s="1"/>
  <c r="H29" i="200"/>
  <c r="J29" i="200" s="1"/>
  <c r="H28" i="200"/>
  <c r="J28" i="200" s="1"/>
  <c r="H27" i="200"/>
  <c r="H26" i="200"/>
  <c r="I26" i="200" s="1"/>
  <c r="H25" i="200"/>
  <c r="J25" i="200" s="1"/>
  <c r="H24" i="200"/>
  <c r="J24" i="200" s="1"/>
  <c r="H23" i="200"/>
  <c r="J23" i="200" s="1"/>
  <c r="H22" i="200"/>
  <c r="I22" i="200" s="1"/>
  <c r="H21" i="200"/>
  <c r="H20" i="200"/>
  <c r="J20" i="200" s="1"/>
  <c r="H19" i="200"/>
  <c r="I19" i="200" s="1"/>
  <c r="H18" i="200"/>
  <c r="H17" i="200"/>
  <c r="J17" i="200" s="1"/>
  <c r="H16" i="200"/>
  <c r="J16" i="200" s="1"/>
  <c r="H15" i="200"/>
  <c r="J15" i="200" s="1"/>
  <c r="G15" i="200"/>
  <c r="H14" i="200"/>
  <c r="H13" i="200"/>
  <c r="J13" i="200" s="1"/>
  <c r="H12" i="200"/>
  <c r="I12" i="200" s="1"/>
  <c r="H11" i="200"/>
  <c r="I11" i="200" s="1"/>
  <c r="H10" i="200"/>
  <c r="J10" i="200" s="1"/>
  <c r="H9" i="200"/>
  <c r="J9" i="200" s="1"/>
  <c r="H8" i="200"/>
  <c r="J8" i="200" s="1"/>
  <c r="H7" i="200"/>
  <c r="H6" i="200"/>
  <c r="J6" i="200" s="1"/>
  <c r="H5" i="200"/>
  <c r="J5" i="200" s="1"/>
  <c r="H4" i="200"/>
  <c r="J4" i="200" s="1"/>
  <c r="J408" i="197" l="1"/>
  <c r="I408" i="197"/>
  <c r="J322" i="197"/>
  <c r="I322" i="197"/>
  <c r="J330" i="197"/>
  <c r="J345" i="197"/>
  <c r="J357" i="197"/>
  <c r="I357" i="197"/>
  <c r="J358" i="197"/>
  <c r="I358" i="197"/>
  <c r="J343" i="197"/>
  <c r="J336" i="197"/>
  <c r="J348" i="197"/>
  <c r="J337" i="197"/>
  <c r="I337" i="197"/>
  <c r="J324" i="197"/>
  <c r="I324" i="197"/>
  <c r="J351" i="197"/>
  <c r="J368" i="197"/>
  <c r="I368" i="197"/>
  <c r="J376" i="197"/>
  <c r="I376" i="197"/>
  <c r="J325" i="197"/>
  <c r="J332" i="197"/>
  <c r="J362" i="197"/>
  <c r="J369" i="197"/>
  <c r="I369" i="197"/>
  <c r="J387" i="197"/>
  <c r="I387" i="197"/>
  <c r="J329" i="197"/>
  <c r="J334" i="197"/>
  <c r="I334" i="197"/>
  <c r="J344" i="197"/>
  <c r="J385" i="197"/>
  <c r="J405" i="197"/>
  <c r="I405" i="197"/>
  <c r="J331" i="197"/>
  <c r="J406" i="197"/>
  <c r="I406" i="197"/>
  <c r="J326" i="197"/>
  <c r="J333" i="197"/>
  <c r="I333" i="197"/>
  <c r="J341" i="197"/>
  <c r="I341" i="197"/>
  <c r="J327" i="197"/>
  <c r="J371" i="197"/>
  <c r="I371" i="197"/>
  <c r="J335" i="197"/>
  <c r="J354" i="197"/>
  <c r="J375" i="197"/>
  <c r="J384" i="197"/>
  <c r="J402" i="197"/>
  <c r="J349" i="197"/>
  <c r="J373" i="197"/>
  <c r="J328" i="197"/>
  <c r="J388" i="197"/>
  <c r="J397" i="197"/>
  <c r="J338" i="197"/>
  <c r="J363" i="197"/>
  <c r="J382" i="197"/>
  <c r="I382" i="197"/>
  <c r="J399" i="197"/>
  <c r="I399" i="197"/>
  <c r="J319" i="197"/>
  <c r="J386" i="197"/>
  <c r="J394" i="197"/>
  <c r="I394" i="197"/>
  <c r="J377" i="197"/>
  <c r="I377" i="197"/>
  <c r="J404" i="197"/>
  <c r="I404" i="197"/>
  <c r="J390" i="197"/>
  <c r="I390" i="197"/>
  <c r="I347" i="197"/>
  <c r="I366" i="197"/>
  <c r="I323" i="197"/>
  <c r="I342" i="197"/>
  <c r="I353" i="197"/>
  <c r="I361" i="197"/>
  <c r="I367" i="197"/>
  <c r="I372" i="197"/>
  <c r="I378" i="197"/>
  <c r="I391" i="197"/>
  <c r="I395" i="197"/>
  <c r="I401" i="197"/>
  <c r="I320" i="197"/>
  <c r="I379" i="197"/>
  <c r="I392" i="197"/>
  <c r="I339" i="197"/>
  <c r="I350" i="197"/>
  <c r="I355" i="197"/>
  <c r="I360" i="197"/>
  <c r="I364" i="197"/>
  <c r="I370" i="197"/>
  <c r="I374" i="197"/>
  <c r="I381" i="197"/>
  <c r="I389" i="197"/>
  <c r="I393" i="197"/>
  <c r="I398" i="197"/>
  <c r="I321" i="197"/>
  <c r="I340" i="197"/>
  <c r="I352" i="197"/>
  <c r="I356" i="197"/>
  <c r="I359" i="197"/>
  <c r="I365" i="197"/>
  <c r="I380" i="197"/>
  <c r="I383" i="197"/>
  <c r="I396" i="197"/>
  <c r="I400" i="197"/>
  <c r="I403" i="197"/>
  <c r="I407" i="197"/>
  <c r="I16" i="200"/>
  <c r="J114" i="200"/>
  <c r="J49" i="200"/>
  <c r="J145" i="200"/>
  <c r="I238" i="200"/>
  <c r="J450" i="200"/>
  <c r="J51" i="200"/>
  <c r="J308" i="200"/>
  <c r="J507" i="200"/>
  <c r="J63" i="200"/>
  <c r="J84" i="200"/>
  <c r="I146" i="200"/>
  <c r="I497" i="200"/>
  <c r="I134" i="200"/>
  <c r="I28" i="200"/>
  <c r="I73" i="200"/>
  <c r="J45" i="200"/>
  <c r="J11" i="200"/>
  <c r="J110" i="200"/>
  <c r="I120" i="200"/>
  <c r="I103" i="200"/>
  <c r="I214" i="200"/>
  <c r="I75" i="200"/>
  <c r="J128" i="200"/>
  <c r="I151" i="200"/>
  <c r="J224" i="200"/>
  <c r="J413" i="200"/>
  <c r="I31" i="200"/>
  <c r="I107" i="200"/>
  <c r="J517" i="200"/>
  <c r="J537" i="200"/>
  <c r="J518" i="200"/>
  <c r="J122" i="200"/>
  <c r="J162" i="200"/>
  <c r="J26" i="200"/>
  <c r="I141" i="200"/>
  <c r="I111" i="200"/>
  <c r="J511" i="200"/>
  <c r="I47" i="200"/>
  <c r="J47" i="200"/>
  <c r="I80" i="200"/>
  <c r="J87" i="200"/>
  <c r="I142" i="200"/>
  <c r="I190" i="200"/>
  <c r="I512" i="200"/>
  <c r="J512" i="200"/>
  <c r="J7" i="200"/>
  <c r="I7" i="200"/>
  <c r="I64" i="200"/>
  <c r="J96" i="200"/>
  <c r="I96" i="200"/>
  <c r="J105" i="200"/>
  <c r="I105" i="200"/>
  <c r="I191" i="200"/>
  <c r="J191" i="200"/>
  <c r="I304" i="200"/>
  <c r="I539" i="200"/>
  <c r="I40" i="200"/>
  <c r="J56" i="200"/>
  <c r="I56" i="200"/>
  <c r="I34" i="200"/>
  <c r="I137" i="200"/>
  <c r="J137" i="200"/>
  <c r="J233" i="200"/>
  <c r="J91" i="200"/>
  <c r="I91" i="200"/>
  <c r="I130" i="200"/>
  <c r="J172" i="200"/>
  <c r="I156" i="200"/>
  <c r="J156" i="200"/>
  <c r="I209" i="200"/>
  <c r="J209" i="200"/>
  <c r="I54" i="200"/>
  <c r="J54" i="200"/>
  <c r="J79" i="200"/>
  <c r="I79" i="200"/>
  <c r="J19" i="200"/>
  <c r="I59" i="200"/>
  <c r="J68" i="200"/>
  <c r="I68" i="200"/>
  <c r="I92" i="200"/>
  <c r="J124" i="200"/>
  <c r="I124" i="200"/>
  <c r="I32" i="200"/>
  <c r="J32" i="200"/>
  <c r="I71" i="200"/>
  <c r="J99" i="200"/>
  <c r="I99" i="200"/>
  <c r="I43" i="200"/>
  <c r="J43" i="200"/>
  <c r="J76" i="200"/>
  <c r="I76" i="200"/>
  <c r="J21" i="200"/>
  <c r="I21" i="200"/>
  <c r="I102" i="200"/>
  <c r="J102" i="200"/>
  <c r="J118" i="200"/>
  <c r="I268" i="200"/>
  <c r="I350" i="200"/>
  <c r="I88" i="200"/>
  <c r="I119" i="200"/>
  <c r="J149" i="200"/>
  <c r="J166" i="200"/>
  <c r="J226" i="200"/>
  <c r="I287" i="200"/>
  <c r="I345" i="200"/>
  <c r="J477" i="200"/>
  <c r="J534" i="200"/>
  <c r="I15" i="200"/>
  <c r="I36" i="200"/>
  <c r="I41" i="200"/>
  <c r="I60" i="200"/>
  <c r="I72" i="200"/>
  <c r="I83" i="200"/>
  <c r="J106" i="200"/>
  <c r="I138" i="200"/>
  <c r="J202" i="200"/>
  <c r="I542" i="200"/>
  <c r="J55" i="200"/>
  <c r="I67" i="200"/>
  <c r="J77" i="200"/>
  <c r="J94" i="200"/>
  <c r="J100" i="200"/>
  <c r="I167" i="200"/>
  <c r="I264" i="200"/>
  <c r="I478" i="200"/>
  <c r="I496" i="200"/>
  <c r="I521" i="200"/>
  <c r="I265" i="200"/>
  <c r="I522" i="200"/>
  <c r="I115" i="200"/>
  <c r="I50" i="200"/>
  <c r="I101" i="200"/>
  <c r="J125" i="200"/>
  <c r="I125" i="200"/>
  <c r="I185" i="200"/>
  <c r="I227" i="200"/>
  <c r="I266" i="200"/>
  <c r="I508" i="200"/>
  <c r="I513" i="200"/>
  <c r="J12" i="200"/>
  <c r="I69" i="200"/>
  <c r="J74" i="200"/>
  <c r="I74" i="200"/>
  <c r="I97" i="200"/>
  <c r="I116" i="200"/>
  <c r="I147" i="200"/>
  <c r="I152" i="200"/>
  <c r="I173" i="200"/>
  <c r="I210" i="200"/>
  <c r="I215" i="200"/>
  <c r="J286" i="200"/>
  <c r="I286" i="200"/>
  <c r="J305" i="200"/>
  <c r="I460" i="200"/>
  <c r="I8" i="200"/>
  <c r="I17" i="200"/>
  <c r="J22" i="200"/>
  <c r="I33" i="200"/>
  <c r="I37" i="200"/>
  <c r="I46" i="200"/>
  <c r="I93" i="200"/>
  <c r="I121" i="200"/>
  <c r="I135" i="200"/>
  <c r="I139" i="200"/>
  <c r="I143" i="200"/>
  <c r="I158" i="200"/>
  <c r="I163" i="200"/>
  <c r="J168" i="200"/>
  <c r="I179" i="200"/>
  <c r="I234" i="200"/>
  <c r="I244" i="200"/>
  <c r="J279" i="200"/>
  <c r="J360" i="200"/>
  <c r="I360" i="200"/>
  <c r="I552" i="200"/>
  <c r="I13" i="200"/>
  <c r="I65" i="200"/>
  <c r="J70" i="200"/>
  <c r="I70" i="200"/>
  <c r="I89" i="200"/>
  <c r="I112" i="200"/>
  <c r="J126" i="200"/>
  <c r="J148" i="200"/>
  <c r="I148" i="200"/>
  <c r="I229" i="200"/>
  <c r="I250" i="200"/>
  <c r="I267" i="200"/>
  <c r="I306" i="200"/>
  <c r="I509" i="200"/>
  <c r="I18" i="200"/>
  <c r="J18" i="200"/>
  <c r="I42" i="200"/>
  <c r="I52" i="200"/>
  <c r="I117" i="200"/>
  <c r="I131" i="200"/>
  <c r="I154" i="200"/>
  <c r="I169" i="200"/>
  <c r="J301" i="200"/>
  <c r="I461" i="200"/>
  <c r="I4" i="200"/>
  <c r="I9" i="200"/>
  <c r="J14" i="200"/>
  <c r="I14" i="200"/>
  <c r="I24" i="200"/>
  <c r="I29" i="200"/>
  <c r="I38" i="200"/>
  <c r="I61" i="200"/>
  <c r="J66" i="200"/>
  <c r="I66" i="200"/>
  <c r="I85" i="200"/>
  <c r="J90" i="200"/>
  <c r="I90" i="200"/>
  <c r="I108" i="200"/>
  <c r="I140" i="200"/>
  <c r="I159" i="200"/>
  <c r="J164" i="200"/>
  <c r="I194" i="200"/>
  <c r="I235" i="200"/>
  <c r="I245" i="200"/>
  <c r="I361" i="200"/>
  <c r="J510" i="200"/>
  <c r="I510" i="200"/>
  <c r="J540" i="200"/>
  <c r="I540" i="200"/>
  <c r="I553" i="200"/>
  <c r="I53" i="200"/>
  <c r="I113" i="200"/>
  <c r="I127" i="200"/>
  <c r="I136" i="200"/>
  <c r="I225" i="200"/>
  <c r="I230" i="200"/>
  <c r="I288" i="200"/>
  <c r="I302" i="200"/>
  <c r="I307" i="200"/>
  <c r="I348" i="200"/>
  <c r="I449" i="200"/>
  <c r="I505" i="200"/>
  <c r="I48" i="200"/>
  <c r="I57" i="200"/>
  <c r="J62" i="200"/>
  <c r="I62" i="200"/>
  <c r="I81" i="200"/>
  <c r="J86" i="200"/>
  <c r="I86" i="200"/>
  <c r="I104" i="200"/>
  <c r="I123" i="200"/>
  <c r="I132" i="200"/>
  <c r="I150" i="200"/>
  <c r="I165" i="200"/>
  <c r="I189" i="200"/>
  <c r="I201" i="200"/>
  <c r="I241" i="200"/>
  <c r="I462" i="200"/>
  <c r="I535" i="200"/>
  <c r="I541" i="200"/>
  <c r="I5" i="200"/>
  <c r="I20" i="200"/>
  <c r="I25" i="200"/>
  <c r="J30" i="200"/>
  <c r="J35" i="200"/>
  <c r="I35" i="200"/>
  <c r="I44" i="200"/>
  <c r="J95" i="200"/>
  <c r="I109" i="200"/>
  <c r="I155" i="200"/>
  <c r="J160" i="200"/>
  <c r="I171" i="200"/>
  <c r="I246" i="200"/>
  <c r="J303" i="200"/>
  <c r="I303" i="200"/>
  <c r="I344" i="200"/>
  <c r="J349" i="200"/>
  <c r="I349" i="200"/>
  <c r="I548" i="200"/>
  <c r="J58" i="200"/>
  <c r="I58" i="200"/>
  <c r="J82" i="200"/>
  <c r="I82" i="200"/>
  <c r="J161" i="200"/>
  <c r="I161" i="200"/>
  <c r="J485" i="200"/>
  <c r="I485" i="200"/>
  <c r="J536" i="200"/>
  <c r="I536" i="200"/>
  <c r="J78" i="200"/>
  <c r="I78" i="200"/>
  <c r="J27" i="200"/>
  <c r="I27" i="200"/>
  <c r="J232" i="200"/>
  <c r="I232" i="200"/>
  <c r="I446" i="200"/>
  <c r="I506" i="200"/>
  <c r="I538" i="200"/>
  <c r="I10" i="200"/>
  <c r="I23" i="200"/>
  <c r="I39" i="200"/>
  <c r="I98" i="200"/>
  <c r="I129" i="200"/>
  <c r="I133" i="200"/>
  <c r="I144" i="200"/>
  <c r="I153" i="200"/>
  <c r="I157" i="200"/>
  <c r="I170" i="200"/>
  <c r="I369" i="200"/>
  <c r="I6" i="200"/>
  <c r="J228" i="200"/>
  <c r="J447" i="200"/>
  <c r="I447" i="200"/>
  <c r="E69" i="198"/>
  <c r="E62" i="198"/>
  <c r="E44" i="198"/>
  <c r="E43" i="198"/>
  <c r="E38" i="198"/>
  <c r="E30" i="198"/>
  <c r="E29" i="198"/>
  <c r="E24" i="198"/>
  <c r="E12" i="198"/>
  <c r="E10" i="198"/>
  <c r="E9" i="198"/>
  <c r="E2" i="198"/>
  <c r="H112" i="197"/>
  <c r="I112" i="197" s="1"/>
  <c r="H78" i="197"/>
  <c r="I78" i="197" s="1"/>
  <c r="H79" i="197"/>
  <c r="J79" i="197" s="1"/>
  <c r="H80" i="197"/>
  <c r="I80" i="197" s="1"/>
  <c r="H67" i="197"/>
  <c r="J67" i="197" s="1"/>
  <c r="H68" i="197"/>
  <c r="I68" i="197" s="1"/>
  <c r="H69" i="197"/>
  <c r="I69" i="197" s="1"/>
  <c r="H70" i="197"/>
  <c r="J70" i="197" s="1"/>
  <c r="H62" i="197"/>
  <c r="J62" i="197" s="1"/>
  <c r="H63" i="197"/>
  <c r="I63" i="197" s="1"/>
  <c r="H64" i="197"/>
  <c r="I64" i="197" s="1"/>
  <c r="H60" i="197"/>
  <c r="I60" i="197" s="1"/>
  <c r="H61" i="197"/>
  <c r="J61" i="197" s="1"/>
  <c r="H54" i="197"/>
  <c r="I54" i="197" s="1"/>
  <c r="H55" i="197"/>
  <c r="J55" i="197" s="1"/>
  <c r="H56" i="197"/>
  <c r="J56" i="197" s="1"/>
  <c r="H57" i="197"/>
  <c r="I57" i="197" s="1"/>
  <c r="H58" i="197"/>
  <c r="I58" i="197" s="1"/>
  <c r="H59" i="197"/>
  <c r="I59" i="197" s="1"/>
  <c r="H49" i="197"/>
  <c r="I49" i="197" s="1"/>
  <c r="H50" i="197"/>
  <c r="I50" i="197" s="1"/>
  <c r="H51" i="197"/>
  <c r="I51" i="197" s="1"/>
  <c r="H52" i="197"/>
  <c r="J52" i="197" s="1"/>
  <c r="H53" i="197"/>
  <c r="I53" i="197" s="1"/>
  <c r="H45" i="197"/>
  <c r="J45" i="197" s="1"/>
  <c r="H46" i="197"/>
  <c r="I46" i="197" s="1"/>
  <c r="H47" i="197"/>
  <c r="I47" i="197" s="1"/>
  <c r="H48" i="197"/>
  <c r="I48" i="197" s="1"/>
  <c r="H38" i="197"/>
  <c r="J38" i="197" s="1"/>
  <c r="H39" i="197"/>
  <c r="I39" i="197" s="1"/>
  <c r="H40" i="197"/>
  <c r="I40" i="197" s="1"/>
  <c r="H41" i="197"/>
  <c r="J41" i="197" s="1"/>
  <c r="H33" i="197"/>
  <c r="I33" i="197" s="1"/>
  <c r="H34" i="197"/>
  <c r="I34" i="197" s="1"/>
  <c r="H35" i="197"/>
  <c r="I35" i="197" s="1"/>
  <c r="H36" i="197"/>
  <c r="I36" i="197" s="1"/>
  <c r="H37" i="197"/>
  <c r="J37" i="197" s="1"/>
  <c r="H410" i="197"/>
  <c r="H409" i="197"/>
  <c r="H316" i="197"/>
  <c r="H315" i="197"/>
  <c r="H314" i="197"/>
  <c r="H312" i="197"/>
  <c r="H311" i="197"/>
  <c r="H310" i="197"/>
  <c r="H309" i="197"/>
  <c r="H308" i="197"/>
  <c r="H298" i="197"/>
  <c r="H297" i="197"/>
  <c r="H296" i="197"/>
  <c r="H295" i="197"/>
  <c r="H294" i="197"/>
  <c r="H293" i="197"/>
  <c r="H292" i="197"/>
  <c r="H291" i="197"/>
  <c r="H290" i="197"/>
  <c r="H289" i="197"/>
  <c r="H288" i="197"/>
  <c r="H285" i="197"/>
  <c r="H284" i="197"/>
  <c r="H282" i="197"/>
  <c r="H281" i="197"/>
  <c r="H280" i="197"/>
  <c r="H270" i="197"/>
  <c r="H269" i="197"/>
  <c r="H268" i="197"/>
  <c r="H267" i="197"/>
  <c r="H266" i="197"/>
  <c r="H265" i="197"/>
  <c r="H264" i="197"/>
  <c r="H262" i="197"/>
  <c r="H261" i="197"/>
  <c r="H260" i="197"/>
  <c r="H259" i="197"/>
  <c r="H258" i="197"/>
  <c r="H257" i="197"/>
  <c r="H256" i="197"/>
  <c r="H255" i="197"/>
  <c r="H254" i="197"/>
  <c r="H253" i="197"/>
  <c r="H251" i="197"/>
  <c r="H250" i="197"/>
  <c r="H249" i="197"/>
  <c r="H248" i="197"/>
  <c r="H247" i="197"/>
  <c r="H246" i="197"/>
  <c r="H244" i="197"/>
  <c r="H243" i="197"/>
  <c r="H242" i="197"/>
  <c r="H241" i="197"/>
  <c r="H240" i="197"/>
  <c r="H239" i="197"/>
  <c r="H238" i="197"/>
  <c r="H237" i="197"/>
  <c r="H236" i="197"/>
  <c r="H235" i="197"/>
  <c r="H234" i="197"/>
  <c r="H233" i="197"/>
  <c r="H232" i="197"/>
  <c r="H231" i="197"/>
  <c r="H227" i="197"/>
  <c r="H226" i="197"/>
  <c r="H225" i="197"/>
  <c r="H224" i="197"/>
  <c r="H223" i="197"/>
  <c r="H222" i="197"/>
  <c r="H221" i="197"/>
  <c r="H220" i="197"/>
  <c r="H219" i="197"/>
  <c r="H216" i="197"/>
  <c r="H213" i="197"/>
  <c r="H212" i="197"/>
  <c r="H211" i="197"/>
  <c r="H210" i="197"/>
  <c r="H209" i="197"/>
  <c r="H208" i="197"/>
  <c r="H207" i="197"/>
  <c r="H206" i="197"/>
  <c r="H205" i="197"/>
  <c r="H204" i="197"/>
  <c r="H203" i="197"/>
  <c r="H202" i="197"/>
  <c r="H201" i="197"/>
  <c r="H200" i="197"/>
  <c r="H199" i="197"/>
  <c r="H198" i="197"/>
  <c r="H197" i="197"/>
  <c r="H196" i="197"/>
  <c r="H195" i="197"/>
  <c r="H194" i="197"/>
  <c r="H193" i="197"/>
  <c r="H192" i="197"/>
  <c r="H191" i="197"/>
  <c r="H190" i="197"/>
  <c r="H189" i="197"/>
  <c r="H188" i="197"/>
  <c r="H187" i="197"/>
  <c r="H186" i="197"/>
  <c r="H185" i="197"/>
  <c r="H184" i="197"/>
  <c r="H183" i="197"/>
  <c r="H182" i="197"/>
  <c r="H180" i="197"/>
  <c r="H179" i="197"/>
  <c r="H178" i="197"/>
  <c r="H177" i="197"/>
  <c r="H176" i="197"/>
  <c r="H175" i="197"/>
  <c r="H174" i="197"/>
  <c r="H173" i="197"/>
  <c r="H172" i="197"/>
  <c r="H171" i="197"/>
  <c r="H170" i="197"/>
  <c r="H169" i="197"/>
  <c r="H168" i="197"/>
  <c r="H167" i="197"/>
  <c r="H166" i="197"/>
  <c r="H165" i="197"/>
  <c r="H164" i="197"/>
  <c r="H163" i="197"/>
  <c r="H162" i="197"/>
  <c r="H161" i="197"/>
  <c r="H160" i="197"/>
  <c r="H159" i="197"/>
  <c r="H158" i="197"/>
  <c r="H287" i="197"/>
  <c r="H286" i="197"/>
  <c r="H283" i="197"/>
  <c r="I283" i="197" s="1"/>
  <c r="H275" i="197"/>
  <c r="H274" i="197"/>
  <c r="I274" i="197" s="1"/>
  <c r="H252" i="197"/>
  <c r="H245" i="197"/>
  <c r="H218" i="197"/>
  <c r="H217" i="197"/>
  <c r="H214" i="197"/>
  <c r="H157" i="197"/>
  <c r="I157" i="197" s="1"/>
  <c r="H144" i="197"/>
  <c r="I144" i="197" s="1"/>
  <c r="H143" i="197"/>
  <c r="H140" i="197"/>
  <c r="H139" i="197"/>
  <c r="H135" i="197"/>
  <c r="H134" i="197"/>
  <c r="H318" i="197"/>
  <c r="J318" i="197" s="1"/>
  <c r="H317" i="197"/>
  <c r="J317" i="197" s="1"/>
  <c r="H313" i="197"/>
  <c r="J313" i="197" s="1"/>
  <c r="H307" i="197"/>
  <c r="H306" i="197"/>
  <c r="J306" i="197" s="1"/>
  <c r="H305" i="197"/>
  <c r="J305" i="197" s="1"/>
  <c r="H304" i="197"/>
  <c r="J304" i="197" s="1"/>
  <c r="H303" i="197"/>
  <c r="J303" i="197" s="1"/>
  <c r="H302" i="197"/>
  <c r="J302" i="197" s="1"/>
  <c r="H301" i="197"/>
  <c r="J301" i="197" s="1"/>
  <c r="H300" i="197"/>
  <c r="J300" i="197" s="1"/>
  <c r="H299" i="197"/>
  <c r="I299" i="197" s="1"/>
  <c r="H279" i="197"/>
  <c r="J279" i="197" s="1"/>
  <c r="H278" i="197"/>
  <c r="I278" i="197" s="1"/>
  <c r="H277" i="197"/>
  <c r="J277" i="197" s="1"/>
  <c r="H276" i="197"/>
  <c r="J276" i="197" s="1"/>
  <c r="H273" i="197"/>
  <c r="J273" i="197" s="1"/>
  <c r="H272" i="197"/>
  <c r="J272" i="197" s="1"/>
  <c r="H271" i="197"/>
  <c r="J271" i="197" s="1"/>
  <c r="H263" i="197"/>
  <c r="H230" i="197"/>
  <c r="J230" i="197" s="1"/>
  <c r="H229" i="197"/>
  <c r="J229" i="197" s="1"/>
  <c r="H228" i="197"/>
  <c r="J228" i="197" s="1"/>
  <c r="H215" i="197"/>
  <c r="J215" i="197" s="1"/>
  <c r="H181" i="197"/>
  <c r="J181" i="197" s="1"/>
  <c r="H156" i="197"/>
  <c r="J156" i="197" s="1"/>
  <c r="H155" i="197"/>
  <c r="J155" i="197" s="1"/>
  <c r="H154" i="197"/>
  <c r="J154" i="197" s="1"/>
  <c r="H153" i="197"/>
  <c r="J153" i="197" s="1"/>
  <c r="H152" i="197"/>
  <c r="J152" i="197" s="1"/>
  <c r="H151" i="197"/>
  <c r="J151" i="197" s="1"/>
  <c r="H150" i="197"/>
  <c r="J150" i="197" s="1"/>
  <c r="H149" i="197"/>
  <c r="J149" i="197" s="1"/>
  <c r="H148" i="197"/>
  <c r="J148" i="197" s="1"/>
  <c r="H147" i="197"/>
  <c r="J147" i="197" s="1"/>
  <c r="H146" i="197"/>
  <c r="J146" i="197" s="1"/>
  <c r="H145" i="197"/>
  <c r="J145" i="197" s="1"/>
  <c r="H142" i="197"/>
  <c r="H141" i="197"/>
  <c r="H136" i="197"/>
  <c r="J136" i="197" s="1"/>
  <c r="G66" i="197"/>
  <c r="G29" i="197"/>
  <c r="G83" i="197"/>
  <c r="G84" i="197"/>
  <c r="H133" i="197"/>
  <c r="J133" i="197" s="1"/>
  <c r="H132" i="197"/>
  <c r="J132" i="197" s="1"/>
  <c r="H131" i="197"/>
  <c r="H130" i="197"/>
  <c r="I130" i="197" s="1"/>
  <c r="H129" i="197"/>
  <c r="J129" i="197" s="1"/>
  <c r="H128" i="197"/>
  <c r="I128" i="197" s="1"/>
  <c r="H127" i="197"/>
  <c r="I127" i="197" s="1"/>
  <c r="H126" i="197"/>
  <c r="I126" i="197" s="1"/>
  <c r="H125" i="197"/>
  <c r="J125" i="197" s="1"/>
  <c r="H124" i="197"/>
  <c r="H123" i="197"/>
  <c r="I123" i="197" s="1"/>
  <c r="H122" i="197"/>
  <c r="H120" i="197"/>
  <c r="J120" i="197" s="1"/>
  <c r="H119" i="197"/>
  <c r="I119" i="197" s="1"/>
  <c r="H118" i="197"/>
  <c r="J118" i="197" s="1"/>
  <c r="H117" i="197"/>
  <c r="J117" i="197" s="1"/>
  <c r="H116" i="197"/>
  <c r="H115" i="197"/>
  <c r="I115" i="197" s="1"/>
  <c r="H114" i="197"/>
  <c r="I114" i="197" s="1"/>
  <c r="H113" i="197"/>
  <c r="H110" i="197"/>
  <c r="H109" i="197"/>
  <c r="I109" i="197" s="1"/>
  <c r="H108" i="197"/>
  <c r="J108" i="197" s="1"/>
  <c r="H107" i="197"/>
  <c r="J107" i="197" s="1"/>
  <c r="H106" i="197"/>
  <c r="J106" i="197" s="1"/>
  <c r="H105" i="197"/>
  <c r="I105" i="197" s="1"/>
  <c r="H104" i="197"/>
  <c r="J104" i="197" s="1"/>
  <c r="H103" i="197"/>
  <c r="I103" i="197" s="1"/>
  <c r="H102" i="197"/>
  <c r="H101" i="197"/>
  <c r="J101" i="197" s="1"/>
  <c r="H99" i="197"/>
  <c r="J99" i="197" s="1"/>
  <c r="H98" i="197"/>
  <c r="J98" i="197" s="1"/>
  <c r="H97" i="197"/>
  <c r="J97" i="197" s="1"/>
  <c r="H96" i="197"/>
  <c r="J96" i="197" s="1"/>
  <c r="H95" i="197"/>
  <c r="J95" i="197" s="1"/>
  <c r="H94" i="197"/>
  <c r="J94" i="197" s="1"/>
  <c r="H93" i="197"/>
  <c r="H92" i="197"/>
  <c r="J92" i="197" s="1"/>
  <c r="H91" i="197"/>
  <c r="H90" i="197"/>
  <c r="H89" i="197"/>
  <c r="I89" i="197" s="1"/>
  <c r="H88" i="197"/>
  <c r="I88" i="197" s="1"/>
  <c r="H87" i="197"/>
  <c r="H86" i="197"/>
  <c r="H85" i="197"/>
  <c r="I85" i="197" s="1"/>
  <c r="H84" i="197"/>
  <c r="H83" i="197"/>
  <c r="H82" i="197"/>
  <c r="I82" i="197" s="1"/>
  <c r="H81" i="197"/>
  <c r="J81" i="197" s="1"/>
  <c r="H77" i="197"/>
  <c r="I77" i="197" s="1"/>
  <c r="H76" i="197"/>
  <c r="J76" i="197" s="1"/>
  <c r="H75" i="197"/>
  <c r="J75" i="197" s="1"/>
  <c r="H74" i="197"/>
  <c r="I74" i="197" s="1"/>
  <c r="H73" i="197"/>
  <c r="J73" i="197" s="1"/>
  <c r="H72" i="197"/>
  <c r="I72" i="197" s="1"/>
  <c r="H71" i="197"/>
  <c r="J71" i="197" s="1"/>
  <c r="H66" i="197"/>
  <c r="I66" i="197" s="1"/>
  <c r="H65" i="197"/>
  <c r="J65" i="197" s="1"/>
  <c r="H44" i="197"/>
  <c r="I44" i="197" s="1"/>
  <c r="H43" i="197"/>
  <c r="J43" i="197" s="1"/>
  <c r="H42" i="197"/>
  <c r="I42" i="197" s="1"/>
  <c r="H32" i="197"/>
  <c r="J32" i="197" s="1"/>
  <c r="H31" i="197"/>
  <c r="I31" i="197" s="1"/>
  <c r="H30" i="197"/>
  <c r="I30" i="197" s="1"/>
  <c r="H29" i="197"/>
  <c r="J29" i="197" s="1"/>
  <c r="H28" i="197"/>
  <c r="J28" i="197" s="1"/>
  <c r="H27" i="197"/>
  <c r="I27" i="197" s="1"/>
  <c r="H26" i="197"/>
  <c r="I26" i="197" s="1"/>
  <c r="H25" i="197"/>
  <c r="I25" i="197" s="1"/>
  <c r="H24" i="197"/>
  <c r="I24" i="197" s="1"/>
  <c r="H23" i="197"/>
  <c r="J23" i="197" s="1"/>
  <c r="H22" i="197"/>
  <c r="J22" i="197" s="1"/>
  <c r="H21" i="197"/>
  <c r="I21" i="197" s="1"/>
  <c r="H20" i="197"/>
  <c r="I20" i="197" s="1"/>
  <c r="H19" i="197"/>
  <c r="J19" i="197" s="1"/>
  <c r="H18" i="197"/>
  <c r="J18" i="197" s="1"/>
  <c r="H17" i="197"/>
  <c r="I17" i="197" s="1"/>
  <c r="H16" i="197"/>
  <c r="J16" i="197" s="1"/>
  <c r="H14" i="197"/>
  <c r="I14" i="197" s="1"/>
  <c r="H13" i="197"/>
  <c r="I13" i="197" s="1"/>
  <c r="H12" i="197"/>
  <c r="J12" i="197" s="1"/>
  <c r="H11" i="197"/>
  <c r="J11" i="197" s="1"/>
  <c r="H10" i="197"/>
  <c r="J10" i="197" s="1"/>
  <c r="H9" i="197"/>
  <c r="G1" i="197" s="1"/>
  <c r="H8" i="197"/>
  <c r="J8" i="197" s="1"/>
  <c r="H7" i="197"/>
  <c r="I7" i="197" s="1"/>
  <c r="H6" i="197"/>
  <c r="J6" i="197" s="1"/>
  <c r="H5" i="197"/>
  <c r="I5" i="197" s="1"/>
  <c r="H4" i="197"/>
  <c r="J4" i="197" s="1"/>
  <c r="J142" i="197" l="1"/>
  <c r="I142" i="197"/>
  <c r="J307" i="197"/>
  <c r="I307" i="197"/>
  <c r="J141" i="197"/>
  <c r="I141" i="197"/>
  <c r="J87" i="197"/>
  <c r="I87" i="197"/>
  <c r="J91" i="197"/>
  <c r="I91" i="197"/>
  <c r="J263" i="197"/>
  <c r="I263" i="197"/>
  <c r="J186" i="197"/>
  <c r="I186" i="197"/>
  <c r="J226" i="197"/>
  <c r="I226" i="197"/>
  <c r="J255" i="197"/>
  <c r="I255" i="197"/>
  <c r="J268" i="197"/>
  <c r="I268" i="197"/>
  <c r="J314" i="197"/>
  <c r="I314" i="197"/>
  <c r="J162" i="197"/>
  <c r="I162" i="197"/>
  <c r="J187" i="197"/>
  <c r="I187" i="197"/>
  <c r="J211" i="197"/>
  <c r="I211" i="197"/>
  <c r="J227" i="197"/>
  <c r="I227" i="197"/>
  <c r="J256" i="197"/>
  <c r="I256" i="197"/>
  <c r="J293" i="197"/>
  <c r="I293" i="197"/>
  <c r="J163" i="197"/>
  <c r="I163" i="197"/>
  <c r="J200" i="197"/>
  <c r="I200" i="197"/>
  <c r="J212" i="197"/>
  <c r="I212" i="197"/>
  <c r="J257" i="197"/>
  <c r="I257" i="197"/>
  <c r="J294" i="197"/>
  <c r="I294" i="197"/>
  <c r="J201" i="197"/>
  <c r="I201" i="197"/>
  <c r="J295" i="197"/>
  <c r="I295" i="197"/>
  <c r="J296" i="197"/>
  <c r="I296" i="197"/>
  <c r="J191" i="197"/>
  <c r="I191" i="197"/>
  <c r="J234" i="197"/>
  <c r="I234" i="197"/>
  <c r="J282" i="197"/>
  <c r="I282" i="197"/>
  <c r="J167" i="197"/>
  <c r="I167" i="197"/>
  <c r="J205" i="197"/>
  <c r="I205" i="197"/>
  <c r="J161" i="197"/>
  <c r="I161" i="197"/>
  <c r="J173" i="197"/>
  <c r="I173" i="197"/>
  <c r="J198" i="197"/>
  <c r="I198" i="197"/>
  <c r="J241" i="197"/>
  <c r="I241" i="197"/>
  <c r="J292" i="197"/>
  <c r="I292" i="197"/>
  <c r="J174" i="197"/>
  <c r="I174" i="197"/>
  <c r="J199" i="197"/>
  <c r="I199" i="197"/>
  <c r="J242" i="197"/>
  <c r="I242" i="197"/>
  <c r="J269" i="197"/>
  <c r="I269" i="197"/>
  <c r="J315" i="197"/>
  <c r="I315" i="197"/>
  <c r="J188" i="197"/>
  <c r="I188" i="197"/>
  <c r="J231" i="197"/>
  <c r="I231" i="197"/>
  <c r="J270" i="197"/>
  <c r="I270" i="197"/>
  <c r="J176" i="197"/>
  <c r="I176" i="197"/>
  <c r="J213" i="197"/>
  <c r="I213" i="197"/>
  <c r="J244" i="197"/>
  <c r="I244" i="197"/>
  <c r="J280" i="197"/>
  <c r="I280" i="197"/>
  <c r="J177" i="197"/>
  <c r="I177" i="197"/>
  <c r="J202" i="197"/>
  <c r="I202" i="197"/>
  <c r="J233" i="197"/>
  <c r="I233" i="197"/>
  <c r="J246" i="197"/>
  <c r="I246" i="197"/>
  <c r="J281" i="197"/>
  <c r="I281" i="197"/>
  <c r="J410" i="197"/>
  <c r="I410" i="197"/>
  <c r="J178" i="197"/>
  <c r="I178" i="197"/>
  <c r="J219" i="197"/>
  <c r="I219" i="197"/>
  <c r="J260" i="197"/>
  <c r="I260" i="197"/>
  <c r="J297" i="197"/>
  <c r="I297" i="197"/>
  <c r="J179" i="197"/>
  <c r="I179" i="197"/>
  <c r="J204" i="197"/>
  <c r="I204" i="197"/>
  <c r="J235" i="197"/>
  <c r="I235" i="197"/>
  <c r="J261" i="197"/>
  <c r="I261" i="197"/>
  <c r="J180" i="197"/>
  <c r="I180" i="197"/>
  <c r="J221" i="197"/>
  <c r="I221" i="197"/>
  <c r="J262" i="197"/>
  <c r="I262" i="197"/>
  <c r="J308" i="197"/>
  <c r="I308" i="197"/>
  <c r="J194" i="197"/>
  <c r="I194" i="197"/>
  <c r="J170" i="197"/>
  <c r="I170" i="197"/>
  <c r="J195" i="197"/>
  <c r="I195" i="197"/>
  <c r="J207" i="197"/>
  <c r="I207" i="197"/>
  <c r="J238" i="197"/>
  <c r="I238" i="197"/>
  <c r="J251" i="197"/>
  <c r="I251" i="197"/>
  <c r="J265" i="197"/>
  <c r="I265" i="197"/>
  <c r="J289" i="197"/>
  <c r="I289" i="197"/>
  <c r="J310" i="197"/>
  <c r="I310" i="197"/>
  <c r="J159" i="197"/>
  <c r="I159" i="197"/>
  <c r="J171" i="197"/>
  <c r="I171" i="197"/>
  <c r="J184" i="197"/>
  <c r="I184" i="197"/>
  <c r="J196" i="197"/>
  <c r="I196" i="197"/>
  <c r="J208" i="197"/>
  <c r="I208" i="197"/>
  <c r="J224" i="197"/>
  <c r="I224" i="197"/>
  <c r="J239" i="197"/>
  <c r="I239" i="197"/>
  <c r="J253" i="197"/>
  <c r="I253" i="197"/>
  <c r="J266" i="197"/>
  <c r="I266" i="197"/>
  <c r="J290" i="197"/>
  <c r="I290" i="197"/>
  <c r="J311" i="197"/>
  <c r="I311" i="197"/>
  <c r="J210" i="197"/>
  <c r="I210" i="197"/>
  <c r="J175" i="197"/>
  <c r="I175" i="197"/>
  <c r="J243" i="197"/>
  <c r="I243" i="197"/>
  <c r="J316" i="197"/>
  <c r="I316" i="197"/>
  <c r="J164" i="197"/>
  <c r="I164" i="197"/>
  <c r="J189" i="197"/>
  <c r="I189" i="197"/>
  <c r="J232" i="197"/>
  <c r="I232" i="197"/>
  <c r="J258" i="197"/>
  <c r="I258" i="197"/>
  <c r="J409" i="197"/>
  <c r="I409" i="197"/>
  <c r="J165" i="197"/>
  <c r="I165" i="197"/>
  <c r="J190" i="197"/>
  <c r="I190" i="197"/>
  <c r="J216" i="197"/>
  <c r="I216" i="197"/>
  <c r="J259" i="197"/>
  <c r="I259" i="197"/>
  <c r="J166" i="197"/>
  <c r="I166" i="197"/>
  <c r="J203" i="197"/>
  <c r="I203" i="197"/>
  <c r="J247" i="197"/>
  <c r="I247" i="197"/>
  <c r="J192" i="197"/>
  <c r="I192" i="197"/>
  <c r="J220" i="197"/>
  <c r="I220" i="197"/>
  <c r="J248" i="197"/>
  <c r="I248" i="197"/>
  <c r="J284" i="197"/>
  <c r="I284" i="197"/>
  <c r="J298" i="197"/>
  <c r="I298" i="197"/>
  <c r="J168" i="197"/>
  <c r="I168" i="197"/>
  <c r="J193" i="197"/>
  <c r="I193" i="197"/>
  <c r="J236" i="197"/>
  <c r="I236" i="197"/>
  <c r="J249" i="197"/>
  <c r="I249" i="197"/>
  <c r="J285" i="197"/>
  <c r="I285" i="197"/>
  <c r="J169" i="197"/>
  <c r="I169" i="197"/>
  <c r="J182" i="197"/>
  <c r="I182" i="197"/>
  <c r="J206" i="197"/>
  <c r="I206" i="197"/>
  <c r="J222" i="197"/>
  <c r="I222" i="197"/>
  <c r="J237" i="197"/>
  <c r="I237" i="197"/>
  <c r="J250" i="197"/>
  <c r="I250" i="197"/>
  <c r="J264" i="197"/>
  <c r="I264" i="197"/>
  <c r="J288" i="197"/>
  <c r="I288" i="197"/>
  <c r="J309" i="197"/>
  <c r="I309" i="197"/>
  <c r="J158" i="197"/>
  <c r="I158" i="197"/>
  <c r="J183" i="197"/>
  <c r="I183" i="197"/>
  <c r="J223" i="197"/>
  <c r="I223" i="197"/>
  <c r="J160" i="197"/>
  <c r="I160" i="197"/>
  <c r="J172" i="197"/>
  <c r="I172" i="197"/>
  <c r="J185" i="197"/>
  <c r="I185" i="197"/>
  <c r="J197" i="197"/>
  <c r="I197" i="197"/>
  <c r="J209" i="197"/>
  <c r="I209" i="197"/>
  <c r="J225" i="197"/>
  <c r="I225" i="197"/>
  <c r="J240" i="197"/>
  <c r="I240" i="197"/>
  <c r="J254" i="197"/>
  <c r="I254" i="197"/>
  <c r="J267" i="197"/>
  <c r="I267" i="197"/>
  <c r="J291" i="197"/>
  <c r="I291" i="197"/>
  <c r="J312" i="197"/>
  <c r="I312" i="197"/>
  <c r="I9" i="197"/>
  <c r="J102" i="197"/>
  <c r="I102" i="197"/>
  <c r="J110" i="197"/>
  <c r="I110" i="197"/>
  <c r="J139" i="197"/>
  <c r="I139" i="197"/>
  <c r="J275" i="197"/>
  <c r="I275" i="197"/>
  <c r="J140" i="197"/>
  <c r="I140" i="197"/>
  <c r="J143" i="197"/>
  <c r="I143" i="197"/>
  <c r="J286" i="197"/>
  <c r="I286" i="197"/>
  <c r="J122" i="197"/>
  <c r="I122" i="197"/>
  <c r="J287" i="197"/>
  <c r="I287" i="197"/>
  <c r="J214" i="197"/>
  <c r="I214" i="197"/>
  <c r="J124" i="197"/>
  <c r="I124" i="197"/>
  <c r="J113" i="197"/>
  <c r="I113" i="197"/>
  <c r="J116" i="197"/>
  <c r="I116" i="197"/>
  <c r="J134" i="197"/>
  <c r="I134" i="197"/>
  <c r="J252" i="197"/>
  <c r="I252" i="197"/>
  <c r="J217" i="197"/>
  <c r="I217" i="197"/>
  <c r="J218" i="197"/>
  <c r="I218" i="197"/>
  <c r="J245" i="197"/>
  <c r="I245" i="197"/>
  <c r="J135" i="197"/>
  <c r="I135" i="197"/>
  <c r="I61" i="197"/>
  <c r="J112" i="197"/>
  <c r="I79" i="197"/>
  <c r="I41" i="197"/>
  <c r="J64" i="197"/>
  <c r="I56" i="197"/>
  <c r="I62" i="197"/>
  <c r="J36" i="197"/>
  <c r="I45" i="197"/>
  <c r="I70" i="197"/>
  <c r="J40" i="197"/>
  <c r="I67" i="197"/>
  <c r="J53" i="197"/>
  <c r="J35" i="197"/>
  <c r="I38" i="197"/>
  <c r="I55" i="197"/>
  <c r="J33" i="197"/>
  <c r="J47" i="197"/>
  <c r="J59" i="197"/>
  <c r="J60" i="197"/>
  <c r="J57" i="197"/>
  <c r="J69" i="197"/>
  <c r="I52" i="197"/>
  <c r="J50" i="197"/>
  <c r="I37" i="197"/>
  <c r="J49" i="197"/>
  <c r="J48" i="197"/>
  <c r="J80" i="197"/>
  <c r="J34" i="197"/>
  <c r="J39" i="197"/>
  <c r="J46" i="197"/>
  <c r="J51" i="197"/>
  <c r="J58" i="197"/>
  <c r="J54" i="197"/>
  <c r="J63" i="197"/>
  <c r="J68" i="197"/>
  <c r="J78" i="197"/>
  <c r="J157" i="197"/>
  <c r="J283" i="197"/>
  <c r="I94" i="197"/>
  <c r="I99" i="197"/>
  <c r="J144" i="197"/>
  <c r="J105" i="197"/>
  <c r="J115" i="197"/>
  <c r="J109" i="197"/>
  <c r="I98" i="197"/>
  <c r="J274" i="197"/>
  <c r="I95" i="197"/>
  <c r="I96" i="197"/>
  <c r="I97" i="197"/>
  <c r="I150" i="197"/>
  <c r="I154" i="197"/>
  <c r="I229" i="197"/>
  <c r="I271" i="197"/>
  <c r="I277" i="197"/>
  <c r="I303" i="197"/>
  <c r="J299" i="197"/>
  <c r="I147" i="197"/>
  <c r="I151" i="197"/>
  <c r="I155" i="197"/>
  <c r="I181" i="197"/>
  <c r="I230" i="197"/>
  <c r="I272" i="197"/>
  <c r="I300" i="197"/>
  <c r="I304" i="197"/>
  <c r="I313" i="197"/>
  <c r="J278" i="197"/>
  <c r="I136" i="197"/>
  <c r="I148" i="197"/>
  <c r="I152" i="197"/>
  <c r="I156" i="197"/>
  <c r="I215" i="197"/>
  <c r="I273" i="197"/>
  <c r="I301" i="197"/>
  <c r="I305" i="197"/>
  <c r="I317" i="197"/>
  <c r="I146" i="197"/>
  <c r="I145" i="197"/>
  <c r="I149" i="197"/>
  <c r="I153" i="197"/>
  <c r="I228" i="197"/>
  <c r="I276" i="197"/>
  <c r="I279" i="197"/>
  <c r="I302" i="197"/>
  <c r="I306" i="197"/>
  <c r="I318" i="197"/>
  <c r="J114" i="197"/>
  <c r="J5" i="197"/>
  <c r="I117" i="197"/>
  <c r="J21" i="197"/>
  <c r="I120" i="197"/>
  <c r="I32" i="197"/>
  <c r="I73" i="197"/>
  <c r="I16" i="197"/>
  <c r="I81" i="197"/>
  <c r="J82" i="197"/>
  <c r="J130" i="197"/>
  <c r="J66" i="197"/>
  <c r="J72" i="197"/>
  <c r="J126" i="197"/>
  <c r="J13" i="197"/>
  <c r="I18" i="197"/>
  <c r="J26" i="197"/>
  <c r="J30" i="197"/>
  <c r="J42" i="197"/>
  <c r="J85" i="197"/>
  <c r="J128" i="197"/>
  <c r="J20" i="197"/>
  <c r="I101" i="197"/>
  <c r="J24" i="197"/>
  <c r="J88" i="197"/>
  <c r="I76" i="197"/>
  <c r="J25" i="197"/>
  <c r="I4" i="197"/>
  <c r="J74" i="197"/>
  <c r="J77" i="197"/>
  <c r="I106" i="197"/>
  <c r="J119" i="197"/>
  <c r="I28" i="197"/>
  <c r="I22" i="197"/>
  <c r="I65" i="197"/>
  <c r="J127" i="197"/>
  <c r="J7" i="197"/>
  <c r="J17" i="197"/>
  <c r="I108" i="197"/>
  <c r="J9" i="197"/>
  <c r="I10" i="197"/>
  <c r="I75" i="197"/>
  <c r="I92" i="197"/>
  <c r="I132" i="197"/>
  <c r="I6" i="197"/>
  <c r="I19" i="197"/>
  <c r="I23" i="197"/>
  <c r="J27" i="197"/>
  <c r="I43" i="197"/>
  <c r="J44" i="197"/>
  <c r="I118" i="197"/>
  <c r="J123" i="197"/>
  <c r="J90" i="197"/>
  <c r="I90" i="197"/>
  <c r="J86" i="197"/>
  <c r="I86" i="197"/>
  <c r="J93" i="197"/>
  <c r="I93" i="197"/>
  <c r="I11" i="197"/>
  <c r="J31" i="197"/>
  <c r="I71" i="197"/>
  <c r="I133" i="197"/>
  <c r="J103" i="197"/>
  <c r="J14" i="197"/>
  <c r="I12" i="197"/>
  <c r="I29" i="197"/>
  <c r="J83" i="197"/>
  <c r="I83" i="197"/>
  <c r="J89" i="197"/>
  <c r="I104" i="197"/>
  <c r="I107" i="197"/>
  <c r="I125" i="197"/>
  <c r="I8" i="197"/>
  <c r="J84" i="197"/>
  <c r="I84" i="197"/>
  <c r="J131" i="197"/>
  <c r="I131" i="197"/>
  <c r="I129" i="197"/>
  <c r="I7" i="112" l="1"/>
  <c r="I13" i="112"/>
  <c r="K43" i="112"/>
  <c r="T1" i="45" l="1"/>
  <c r="S1" i="45"/>
  <c r="R1" i="45" l="1"/>
  <c r="C62" i="32"/>
  <c r="C63" i="32"/>
  <c r="C64" i="32"/>
  <c r="C65" i="32"/>
  <c r="D65" i="32" s="1"/>
  <c r="C66" i="32"/>
  <c r="D66" i="32" s="1"/>
  <c r="C67" i="32"/>
  <c r="D67" i="32" s="1"/>
  <c r="C68" i="32"/>
  <c r="D68" i="32" s="1"/>
  <c r="C69" i="32"/>
  <c r="D69" i="32" s="1"/>
  <c r="C70" i="32"/>
  <c r="D70" i="32" s="1"/>
  <c r="C71" i="32"/>
  <c r="D71" i="32" s="1"/>
  <c r="C72" i="32"/>
  <c r="D72" i="32" s="1"/>
  <c r="C73" i="32"/>
  <c r="D73" i="32" s="1"/>
  <c r="C74" i="32"/>
  <c r="D74" i="32" s="1"/>
  <c r="C60" i="32" l="1"/>
  <c r="D60" i="32" s="1"/>
  <c r="C61" i="32"/>
  <c r="D61" i="32" s="1"/>
  <c r="D62" i="32"/>
  <c r="D63" i="32"/>
  <c r="D64" i="32"/>
  <c r="C29" i="32" l="1"/>
  <c r="D29" i="32" s="1"/>
  <c r="C30" i="32"/>
  <c r="D30" i="32" s="1"/>
  <c r="C31" i="32"/>
  <c r="D31" i="32" s="1"/>
  <c r="C32" i="32"/>
  <c r="D32" i="32" s="1"/>
  <c r="C33" i="32"/>
  <c r="D33" i="32" s="1"/>
  <c r="C34" i="32"/>
  <c r="D34" i="32" s="1"/>
  <c r="C35" i="32"/>
  <c r="D35" i="32" s="1"/>
  <c r="C36" i="32"/>
  <c r="D36" i="32" s="1"/>
  <c r="C37" i="32"/>
  <c r="D37" i="32" s="1"/>
  <c r="C38" i="32"/>
  <c r="D38" i="32" s="1"/>
  <c r="C39" i="32"/>
  <c r="D39" i="32" s="1"/>
  <c r="C40" i="32"/>
  <c r="D40" i="32" s="1"/>
  <c r="C41" i="32"/>
  <c r="D41" i="32" s="1"/>
  <c r="C42" i="32"/>
  <c r="D42" i="32" s="1"/>
  <c r="C43" i="32"/>
  <c r="D43" i="32" s="1"/>
  <c r="C44" i="32"/>
  <c r="D44" i="32" s="1"/>
  <c r="C45" i="32"/>
  <c r="D45" i="32" s="1"/>
  <c r="C46" i="32"/>
  <c r="D46" i="32" s="1"/>
  <c r="C47" i="32"/>
  <c r="D47" i="32" s="1"/>
  <c r="C48" i="32"/>
  <c r="D48" i="32" s="1"/>
  <c r="C49" i="32"/>
  <c r="D49" i="32" s="1"/>
  <c r="C50" i="32"/>
  <c r="D50" i="32" s="1"/>
  <c r="C51" i="32"/>
  <c r="D51" i="32" s="1"/>
  <c r="C52" i="32"/>
  <c r="D52" i="32" s="1"/>
  <c r="C53" i="32"/>
  <c r="D53" i="32" s="1"/>
  <c r="C54" i="32"/>
  <c r="D54" i="32" s="1"/>
  <c r="C55" i="32"/>
  <c r="D55" i="32" s="1"/>
  <c r="C56" i="32"/>
  <c r="D56" i="32" s="1"/>
  <c r="C57" i="32"/>
  <c r="D57" i="32" s="1"/>
  <c r="C58" i="32"/>
  <c r="D58" i="32" s="1"/>
  <c r="C59" i="32"/>
  <c r="D59" i="32" s="1"/>
  <c r="C3" i="32"/>
  <c r="D3" i="32" s="1"/>
  <c r="C4" i="32"/>
  <c r="D4" i="32" s="1"/>
  <c r="C5" i="32"/>
  <c r="D5" i="32" s="1"/>
  <c r="C6" i="32"/>
  <c r="D6" i="32" s="1"/>
  <c r="C7" i="32"/>
  <c r="D7" i="32" s="1"/>
  <c r="C8" i="32"/>
  <c r="D8" i="32" s="1"/>
  <c r="C9" i="32"/>
  <c r="D9" i="32" s="1"/>
  <c r="C10" i="32"/>
  <c r="D10" i="32" s="1"/>
  <c r="C11" i="32"/>
  <c r="D11" i="32" s="1"/>
  <c r="C12" i="32"/>
  <c r="D12" i="32" s="1"/>
  <c r="C13" i="32"/>
  <c r="D13" i="32" s="1"/>
  <c r="C14" i="32"/>
  <c r="D14" i="32" s="1"/>
  <c r="C15" i="32"/>
  <c r="D15" i="32" s="1"/>
  <c r="C16" i="32"/>
  <c r="D16" i="32" s="1"/>
  <c r="C17" i="32"/>
  <c r="D17" i="32" s="1"/>
  <c r="C18" i="32"/>
  <c r="D18" i="32" s="1"/>
  <c r="C19" i="32"/>
  <c r="D19" i="32" s="1"/>
  <c r="C20" i="32"/>
  <c r="D20" i="32" s="1"/>
  <c r="C21" i="32"/>
  <c r="D21" i="32" s="1"/>
  <c r="C22" i="32"/>
  <c r="D22" i="32" s="1"/>
  <c r="C23" i="32"/>
  <c r="D23" i="32" s="1"/>
  <c r="C24" i="32"/>
  <c r="D24" i="32" s="1"/>
  <c r="C25" i="32"/>
  <c r="D25" i="32" s="1"/>
  <c r="C26" i="32"/>
  <c r="D26" i="32" s="1"/>
  <c r="C27" i="32"/>
  <c r="D27" i="32" s="1"/>
  <c r="C28" i="32"/>
  <c r="D28" i="32" s="1"/>
  <c r="C2" i="32"/>
  <c r="D2" i="32" s="1"/>
  <c r="H487" i="177" l="1"/>
  <c r="J487" i="177" s="1"/>
  <c r="H486" i="177"/>
  <c r="J486" i="177" s="1"/>
  <c r="H485" i="177"/>
  <c r="J485" i="177" s="1"/>
  <c r="H484" i="177"/>
  <c r="H483" i="177"/>
  <c r="J483" i="177" s="1"/>
  <c r="H482" i="177"/>
  <c r="I482" i="177" s="1"/>
  <c r="I481" i="177"/>
  <c r="H481" i="177"/>
  <c r="J481" i="177" s="1"/>
  <c r="I480" i="177"/>
  <c r="H480" i="177"/>
  <c r="J480" i="177" s="1"/>
  <c r="H479" i="177"/>
  <c r="J478" i="177"/>
  <c r="I478" i="177"/>
  <c r="H478" i="177"/>
  <c r="J477" i="177"/>
  <c r="H477" i="177"/>
  <c r="I477" i="177" s="1"/>
  <c r="H476" i="177"/>
  <c r="J476" i="177" s="1"/>
  <c r="H475" i="177"/>
  <c r="J475" i="177" s="1"/>
  <c r="H474" i="177"/>
  <c r="I474" i="177" s="1"/>
  <c r="J473" i="177"/>
  <c r="I473" i="177"/>
  <c r="H473" i="177"/>
  <c r="I472" i="177"/>
  <c r="H472" i="177"/>
  <c r="J472" i="177" s="1"/>
  <c r="H471" i="177"/>
  <c r="J470" i="177"/>
  <c r="H470" i="177"/>
  <c r="I470" i="177" s="1"/>
  <c r="J469" i="177"/>
  <c r="H469" i="177"/>
  <c r="I469" i="177" s="1"/>
  <c r="H468" i="177"/>
  <c r="J468" i="177" s="1"/>
  <c r="H467" i="177"/>
  <c r="J467" i="177" s="1"/>
  <c r="H466" i="177"/>
  <c r="I466" i="177" s="1"/>
  <c r="J465" i="177"/>
  <c r="H465" i="177"/>
  <c r="I465" i="177" s="1"/>
  <c r="I464" i="177"/>
  <c r="H464" i="177"/>
  <c r="J464" i="177" s="1"/>
  <c r="H463" i="177"/>
  <c r="J462" i="177"/>
  <c r="I462" i="177"/>
  <c r="H462" i="177"/>
  <c r="H461" i="177"/>
  <c r="I461" i="177" s="1"/>
  <c r="I460" i="177"/>
  <c r="H460" i="177"/>
  <c r="J460" i="177" s="1"/>
  <c r="H459" i="177"/>
  <c r="J459" i="177" s="1"/>
  <c r="H458" i="177"/>
  <c r="I458" i="177" s="1"/>
  <c r="J457" i="177"/>
  <c r="I457" i="177"/>
  <c r="H457" i="177"/>
  <c r="H456" i="177"/>
  <c r="J456" i="177" s="1"/>
  <c r="H455" i="177"/>
  <c r="J454" i="177"/>
  <c r="H454" i="177"/>
  <c r="I454" i="177" s="1"/>
  <c r="J453" i="177"/>
  <c r="H453" i="177"/>
  <c r="I453" i="177" s="1"/>
  <c r="H452" i="177"/>
  <c r="J452" i="177" s="1"/>
  <c r="H451" i="177"/>
  <c r="J451" i="177" s="1"/>
  <c r="H450" i="177"/>
  <c r="I450" i="177" s="1"/>
  <c r="G450" i="177"/>
  <c r="J449" i="177"/>
  <c r="I449" i="177"/>
  <c r="H449" i="177"/>
  <c r="H448" i="177"/>
  <c r="I448" i="177" s="1"/>
  <c r="H447" i="177"/>
  <c r="J447" i="177" s="1"/>
  <c r="H446" i="177"/>
  <c r="J446" i="177" s="1"/>
  <c r="H445" i="177"/>
  <c r="I445" i="177" s="1"/>
  <c r="J444" i="177"/>
  <c r="I444" i="177"/>
  <c r="H444" i="177"/>
  <c r="H443" i="177"/>
  <c r="J443" i="177" s="1"/>
  <c r="H442" i="177"/>
  <c r="I441" i="177"/>
  <c r="H441" i="177"/>
  <c r="J441" i="177" s="1"/>
  <c r="J440" i="177"/>
  <c r="H440" i="177"/>
  <c r="I440" i="177" s="1"/>
  <c r="H439" i="177"/>
  <c r="J439" i="177" s="1"/>
  <c r="H438" i="177"/>
  <c r="J438" i="177" s="1"/>
  <c r="H437" i="177"/>
  <c r="I437" i="177" s="1"/>
  <c r="J436" i="177"/>
  <c r="H436" i="177"/>
  <c r="I436" i="177" s="1"/>
  <c r="I435" i="177"/>
  <c r="H435" i="177"/>
  <c r="J435" i="177" s="1"/>
  <c r="H434" i="177"/>
  <c r="H433" i="177"/>
  <c r="J433" i="177" s="1"/>
  <c r="H432" i="177"/>
  <c r="I432" i="177" s="1"/>
  <c r="H431" i="177"/>
  <c r="J431" i="177" s="1"/>
  <c r="H430" i="177"/>
  <c r="J430" i="177" s="1"/>
  <c r="H429" i="177"/>
  <c r="I429" i="177" s="1"/>
  <c r="H428" i="177"/>
  <c r="J428" i="177" s="1"/>
  <c r="H427" i="177"/>
  <c r="J427" i="177" s="1"/>
  <c r="H426" i="177"/>
  <c r="H425" i="177"/>
  <c r="J425" i="177" s="1"/>
  <c r="H424" i="177"/>
  <c r="I424" i="177" s="1"/>
  <c r="H423" i="177"/>
  <c r="J423" i="177" s="1"/>
  <c r="H422" i="177"/>
  <c r="J422" i="177" s="1"/>
  <c r="H421" i="177"/>
  <c r="I421" i="177" s="1"/>
  <c r="J420" i="177"/>
  <c r="I420" i="177"/>
  <c r="H420" i="177"/>
  <c r="I419" i="177"/>
  <c r="H419" i="177"/>
  <c r="J419" i="177" s="1"/>
  <c r="H418" i="177"/>
  <c r="J417" i="177"/>
  <c r="H417" i="177"/>
  <c r="I417" i="177" s="1"/>
  <c r="J416" i="177"/>
  <c r="H416" i="177"/>
  <c r="I416" i="177" s="1"/>
  <c r="H415" i="177"/>
  <c r="J415" i="177" s="1"/>
  <c r="H414" i="177"/>
  <c r="J414" i="177" s="1"/>
  <c r="H413" i="177"/>
  <c r="I413" i="177" s="1"/>
  <c r="J412" i="177"/>
  <c r="H412" i="177"/>
  <c r="I412" i="177" s="1"/>
  <c r="I411" i="177"/>
  <c r="H411" i="177"/>
  <c r="J411" i="177" s="1"/>
  <c r="H410" i="177"/>
  <c r="J409" i="177"/>
  <c r="I409" i="177"/>
  <c r="H409" i="177"/>
  <c r="H408" i="177"/>
  <c r="I408" i="177" s="1"/>
  <c r="H407" i="177"/>
  <c r="J407" i="177" s="1"/>
  <c r="H406" i="177"/>
  <c r="J406" i="177" s="1"/>
  <c r="H405" i="177"/>
  <c r="I405" i="177" s="1"/>
  <c r="J404" i="177"/>
  <c r="I404" i="177"/>
  <c r="H404" i="177"/>
  <c r="H403" i="177"/>
  <c r="J403" i="177" s="1"/>
  <c r="H402" i="177"/>
  <c r="I401" i="177"/>
  <c r="H401" i="177"/>
  <c r="J401" i="177" s="1"/>
  <c r="J400" i="177"/>
  <c r="H400" i="177"/>
  <c r="I400" i="177" s="1"/>
  <c r="H399" i="177"/>
  <c r="J399" i="177" s="1"/>
  <c r="H398" i="177"/>
  <c r="J398" i="177" s="1"/>
  <c r="H397" i="177"/>
  <c r="I397" i="177" s="1"/>
  <c r="J396" i="177"/>
  <c r="H396" i="177"/>
  <c r="I396" i="177" s="1"/>
  <c r="I395" i="177"/>
  <c r="H395" i="177"/>
  <c r="J395" i="177" s="1"/>
  <c r="G395" i="177"/>
  <c r="H394" i="177"/>
  <c r="J394" i="177" s="1"/>
  <c r="H393" i="177"/>
  <c r="J393" i="177" s="1"/>
  <c r="H392" i="177"/>
  <c r="I392" i="177" s="1"/>
  <c r="J391" i="177"/>
  <c r="I391" i="177"/>
  <c r="H391" i="177"/>
  <c r="H390" i="177"/>
  <c r="J390" i="177" s="1"/>
  <c r="H389" i="177"/>
  <c r="I388" i="177"/>
  <c r="H388" i="177"/>
  <c r="J388" i="177" s="1"/>
  <c r="J387" i="177"/>
  <c r="H387" i="177"/>
  <c r="I387" i="177" s="1"/>
  <c r="H386" i="177"/>
  <c r="J386" i="177" s="1"/>
  <c r="H385" i="177"/>
  <c r="J385" i="177" s="1"/>
  <c r="H384" i="177"/>
  <c r="I384" i="177" s="1"/>
  <c r="I383" i="177"/>
  <c r="H383" i="177"/>
  <c r="J383" i="177" s="1"/>
  <c r="I382" i="177"/>
  <c r="H382" i="177"/>
  <c r="J382" i="177" s="1"/>
  <c r="H381" i="177"/>
  <c r="J380" i="177"/>
  <c r="I380" i="177"/>
  <c r="H380" i="177"/>
  <c r="J379" i="177"/>
  <c r="H379" i="177"/>
  <c r="I379" i="177" s="1"/>
  <c r="H378" i="177"/>
  <c r="J378" i="177" s="1"/>
  <c r="H377" i="177"/>
  <c r="J377" i="177" s="1"/>
  <c r="H376" i="177"/>
  <c r="I376" i="177" s="1"/>
  <c r="I375" i="177"/>
  <c r="H375" i="177"/>
  <c r="J375" i="177" s="1"/>
  <c r="I374" i="177"/>
  <c r="H374" i="177"/>
  <c r="J374" i="177" s="1"/>
  <c r="H373" i="177"/>
  <c r="J372" i="177"/>
  <c r="I372" i="177"/>
  <c r="H372" i="177"/>
  <c r="J371" i="177"/>
  <c r="H371" i="177"/>
  <c r="I371" i="177" s="1"/>
  <c r="H370" i="177"/>
  <c r="J370" i="177" s="1"/>
  <c r="H369" i="177"/>
  <c r="J369" i="177" s="1"/>
  <c r="H368" i="177"/>
  <c r="I368" i="177" s="1"/>
  <c r="I367" i="177"/>
  <c r="H367" i="177"/>
  <c r="J367" i="177" s="1"/>
  <c r="I366" i="177"/>
  <c r="H366" i="177"/>
  <c r="J366" i="177" s="1"/>
  <c r="H365" i="177"/>
  <c r="J364" i="177"/>
  <c r="I364" i="177"/>
  <c r="H364" i="177"/>
  <c r="J363" i="177"/>
  <c r="H363" i="177"/>
  <c r="I363" i="177" s="1"/>
  <c r="I362" i="177"/>
  <c r="H362" i="177"/>
  <c r="J362" i="177" s="1"/>
  <c r="H361" i="177"/>
  <c r="J361" i="177" s="1"/>
  <c r="J360" i="177"/>
  <c r="H360" i="177"/>
  <c r="I360" i="177" s="1"/>
  <c r="J359" i="177"/>
  <c r="H359" i="177"/>
  <c r="I359" i="177" s="1"/>
  <c r="I358" i="177"/>
  <c r="H358" i="177"/>
  <c r="J358" i="177" s="1"/>
  <c r="H357" i="177"/>
  <c r="H356" i="177"/>
  <c r="J356" i="177" s="1"/>
  <c r="I355" i="177"/>
  <c r="H355" i="177"/>
  <c r="J355" i="177" s="1"/>
  <c r="H354" i="177"/>
  <c r="J354" i="177" s="1"/>
  <c r="H353" i="177"/>
  <c r="J353" i="177" s="1"/>
  <c r="J352" i="177"/>
  <c r="H352" i="177"/>
  <c r="I352" i="177" s="1"/>
  <c r="J351" i="177"/>
  <c r="H351" i="177"/>
  <c r="I351" i="177" s="1"/>
  <c r="I350" i="177"/>
  <c r="H350" i="177"/>
  <c r="J350" i="177" s="1"/>
  <c r="H349" i="177"/>
  <c r="H348" i="177"/>
  <c r="J348" i="177" s="1"/>
  <c r="I347" i="177"/>
  <c r="H347" i="177"/>
  <c r="J347" i="177" s="1"/>
  <c r="I346" i="177"/>
  <c r="H346" i="177"/>
  <c r="J346" i="177" s="1"/>
  <c r="H345" i="177"/>
  <c r="J345" i="177" s="1"/>
  <c r="H344" i="177"/>
  <c r="I344" i="177" s="1"/>
  <c r="I343" i="177"/>
  <c r="H343" i="177"/>
  <c r="J343" i="177" s="1"/>
  <c r="I342" i="177"/>
  <c r="H342" i="177"/>
  <c r="J342" i="177" s="1"/>
  <c r="H341" i="177"/>
  <c r="I340" i="177"/>
  <c r="H340" i="177"/>
  <c r="J340" i="177" s="1"/>
  <c r="J339" i="177"/>
  <c r="I339" i="177"/>
  <c r="H339" i="177"/>
  <c r="H338" i="177"/>
  <c r="J338" i="177" s="1"/>
  <c r="H337" i="177"/>
  <c r="J337" i="177" s="1"/>
  <c r="H336" i="177"/>
  <c r="I336" i="177" s="1"/>
  <c r="I335" i="177"/>
  <c r="H335" i="177"/>
  <c r="J335" i="177" s="1"/>
  <c r="I334" i="177"/>
  <c r="H334" i="177"/>
  <c r="J334" i="177" s="1"/>
  <c r="H333" i="177"/>
  <c r="I332" i="177"/>
  <c r="H332" i="177"/>
  <c r="J332" i="177" s="1"/>
  <c r="J331" i="177"/>
  <c r="I331" i="177"/>
  <c r="H331" i="177"/>
  <c r="H330" i="177"/>
  <c r="J330" i="177" s="1"/>
  <c r="G330" i="177"/>
  <c r="H329" i="177"/>
  <c r="J329" i="177" s="1"/>
  <c r="H328" i="177"/>
  <c r="G328" i="177"/>
  <c r="G10" i="177" s="1"/>
  <c r="H327" i="177"/>
  <c r="J327" i="177" s="1"/>
  <c r="G327" i="177"/>
  <c r="H326" i="177"/>
  <c r="G326" i="177"/>
  <c r="H325" i="177"/>
  <c r="J325" i="177" s="1"/>
  <c r="J324" i="177"/>
  <c r="H324" i="177"/>
  <c r="I324" i="177" s="1"/>
  <c r="J323" i="177"/>
  <c r="I323" i="177"/>
  <c r="H323" i="177"/>
  <c r="H322" i="177"/>
  <c r="J322" i="177" s="1"/>
  <c r="H321" i="177"/>
  <c r="J320" i="177"/>
  <c r="H320" i="177"/>
  <c r="I320" i="177" s="1"/>
  <c r="J319" i="177"/>
  <c r="I319" i="177"/>
  <c r="H319" i="177"/>
  <c r="H318" i="177"/>
  <c r="J318" i="177" s="1"/>
  <c r="H317" i="177"/>
  <c r="J317" i="177" s="1"/>
  <c r="J316" i="177"/>
  <c r="H316" i="177"/>
  <c r="I316" i="177" s="1"/>
  <c r="J315" i="177"/>
  <c r="I315" i="177"/>
  <c r="H315" i="177"/>
  <c r="H314" i="177"/>
  <c r="J314" i="177" s="1"/>
  <c r="H313" i="177"/>
  <c r="J312" i="177"/>
  <c r="H312" i="177"/>
  <c r="I312" i="177" s="1"/>
  <c r="J311" i="177"/>
  <c r="I311" i="177"/>
  <c r="H311" i="177"/>
  <c r="H310" i="177"/>
  <c r="J310" i="177" s="1"/>
  <c r="H309" i="177"/>
  <c r="J309" i="177" s="1"/>
  <c r="J308" i="177"/>
  <c r="H308" i="177"/>
  <c r="I308" i="177" s="1"/>
  <c r="J307" i="177"/>
  <c r="I307" i="177"/>
  <c r="H307" i="177"/>
  <c r="H306" i="177"/>
  <c r="J306" i="177" s="1"/>
  <c r="H305" i="177"/>
  <c r="J304" i="177"/>
  <c r="H304" i="177"/>
  <c r="I304" i="177" s="1"/>
  <c r="J303" i="177"/>
  <c r="I303" i="177"/>
  <c r="H303" i="177"/>
  <c r="I302" i="177"/>
  <c r="H302" i="177"/>
  <c r="J302" i="177" s="1"/>
  <c r="H301" i="177"/>
  <c r="J301" i="177" s="1"/>
  <c r="H300" i="177"/>
  <c r="I300" i="177" s="1"/>
  <c r="J299" i="177"/>
  <c r="I299" i="177"/>
  <c r="H299" i="177"/>
  <c r="I298" i="177"/>
  <c r="H298" i="177"/>
  <c r="J298" i="177" s="1"/>
  <c r="H297" i="177"/>
  <c r="I296" i="177"/>
  <c r="H296" i="177"/>
  <c r="J296" i="177" s="1"/>
  <c r="H295" i="177"/>
  <c r="J295" i="177" s="1"/>
  <c r="H294" i="177"/>
  <c r="J294" i="177" s="1"/>
  <c r="H293" i="177"/>
  <c r="J293" i="177" s="1"/>
  <c r="H292" i="177"/>
  <c r="I292" i="177" s="1"/>
  <c r="J291" i="177"/>
  <c r="I291" i="177"/>
  <c r="H291" i="177"/>
  <c r="I290" i="177"/>
  <c r="H290" i="177"/>
  <c r="J290" i="177" s="1"/>
  <c r="G290" i="177"/>
  <c r="H289" i="177"/>
  <c r="J289" i="177" s="1"/>
  <c r="H288" i="177"/>
  <c r="J288" i="177" s="1"/>
  <c r="J287" i="177"/>
  <c r="H287" i="177"/>
  <c r="I287" i="177" s="1"/>
  <c r="I286" i="177"/>
  <c r="H286" i="177"/>
  <c r="J286" i="177" s="1"/>
  <c r="I285" i="177"/>
  <c r="H285" i="177"/>
  <c r="J285" i="177" s="1"/>
  <c r="H284" i="177"/>
  <c r="J283" i="177"/>
  <c r="I283" i="177"/>
  <c r="H283" i="177"/>
  <c r="H282" i="177"/>
  <c r="J282" i="177" s="1"/>
  <c r="H281" i="177"/>
  <c r="J281" i="177" s="1"/>
  <c r="H280" i="177"/>
  <c r="J280" i="177" s="1"/>
  <c r="J279" i="177"/>
  <c r="H279" i="177"/>
  <c r="I279" i="177" s="1"/>
  <c r="H278" i="177"/>
  <c r="J278" i="177" s="1"/>
  <c r="H277" i="177"/>
  <c r="J277" i="177" s="1"/>
  <c r="H276" i="177"/>
  <c r="H275" i="177"/>
  <c r="J275" i="177" s="1"/>
  <c r="J274" i="177"/>
  <c r="I274" i="177"/>
  <c r="H274" i="177"/>
  <c r="H273" i="177"/>
  <c r="J273" i="177" s="1"/>
  <c r="H272" i="177"/>
  <c r="J272" i="177" s="1"/>
  <c r="J271" i="177"/>
  <c r="H271" i="177"/>
  <c r="I271" i="177" s="1"/>
  <c r="H270" i="177"/>
  <c r="J270" i="177" s="1"/>
  <c r="H269" i="177"/>
  <c r="J269" i="177" s="1"/>
  <c r="H268" i="177"/>
  <c r="H267" i="177"/>
  <c r="J267" i="177" s="1"/>
  <c r="J266" i="177"/>
  <c r="I266" i="177"/>
  <c r="H266" i="177"/>
  <c r="H265" i="177"/>
  <c r="J265" i="177" s="1"/>
  <c r="H264" i="177"/>
  <c r="J264" i="177" s="1"/>
  <c r="J263" i="177"/>
  <c r="H263" i="177"/>
  <c r="I263" i="177" s="1"/>
  <c r="H262" i="177"/>
  <c r="J262" i="177" s="1"/>
  <c r="H261" i="177"/>
  <c r="J261" i="177" s="1"/>
  <c r="H260" i="177"/>
  <c r="H259" i="177"/>
  <c r="J259" i="177" s="1"/>
  <c r="J258" i="177"/>
  <c r="I258" i="177"/>
  <c r="H258" i="177"/>
  <c r="I257" i="177"/>
  <c r="H257" i="177"/>
  <c r="J257" i="177" s="1"/>
  <c r="H256" i="177"/>
  <c r="J256" i="177" s="1"/>
  <c r="H255" i="177"/>
  <c r="I255" i="177" s="1"/>
  <c r="J254" i="177"/>
  <c r="I254" i="177"/>
  <c r="H254" i="177"/>
  <c r="I253" i="177"/>
  <c r="H253" i="177"/>
  <c r="J253" i="177" s="1"/>
  <c r="H252" i="177"/>
  <c r="I251" i="177"/>
  <c r="H251" i="177"/>
  <c r="J251" i="177" s="1"/>
  <c r="J250" i="177"/>
  <c r="H250" i="177"/>
  <c r="I250" i="177" s="1"/>
  <c r="H249" i="177"/>
  <c r="J249" i="177" s="1"/>
  <c r="H248" i="177"/>
  <c r="J248" i="177" s="1"/>
  <c r="H247" i="177"/>
  <c r="I247" i="177" s="1"/>
  <c r="J246" i="177"/>
  <c r="I246" i="177"/>
  <c r="H246" i="177"/>
  <c r="I245" i="177"/>
  <c r="H245" i="177"/>
  <c r="J245" i="177" s="1"/>
  <c r="H244" i="177"/>
  <c r="I243" i="177"/>
  <c r="H243" i="177"/>
  <c r="J243" i="177" s="1"/>
  <c r="J242" i="177"/>
  <c r="H242" i="177"/>
  <c r="I242" i="177" s="1"/>
  <c r="I241" i="177"/>
  <c r="H241" i="177"/>
  <c r="J241" i="177" s="1"/>
  <c r="H240" i="177"/>
  <c r="J240" i="177" s="1"/>
  <c r="J239" i="177"/>
  <c r="H239" i="177"/>
  <c r="I239" i="177" s="1"/>
  <c r="J238" i="177"/>
  <c r="H238" i="177"/>
  <c r="I238" i="177" s="1"/>
  <c r="I237" i="177"/>
  <c r="H237" i="177"/>
  <c r="J237" i="177" s="1"/>
  <c r="H236" i="177"/>
  <c r="H235" i="177"/>
  <c r="J235" i="177" s="1"/>
  <c r="I234" i="177"/>
  <c r="H234" i="177"/>
  <c r="J234" i="177" s="1"/>
  <c r="H233" i="177"/>
  <c r="J233" i="177" s="1"/>
  <c r="H232" i="177"/>
  <c r="J232" i="177" s="1"/>
  <c r="G232" i="177"/>
  <c r="H231" i="177"/>
  <c r="J230" i="177"/>
  <c r="H230" i="177"/>
  <c r="I230" i="177" s="1"/>
  <c r="J229" i="177"/>
  <c r="I229" i="177"/>
  <c r="H229" i="177"/>
  <c r="H228" i="177"/>
  <c r="J228" i="177" s="1"/>
  <c r="H227" i="177"/>
  <c r="J227" i="177" s="1"/>
  <c r="J226" i="177"/>
  <c r="H226" i="177"/>
  <c r="I226" i="177" s="1"/>
  <c r="J225" i="177"/>
  <c r="H225" i="177"/>
  <c r="I225" i="177" s="1"/>
  <c r="H224" i="177"/>
  <c r="J224" i="177" s="1"/>
  <c r="G224" i="177"/>
  <c r="H223" i="177"/>
  <c r="J223" i="177" s="1"/>
  <c r="H222" i="177"/>
  <c r="J222" i="177" s="1"/>
  <c r="J221" i="177"/>
  <c r="H221" i="177"/>
  <c r="I221" i="177" s="1"/>
  <c r="G221" i="177"/>
  <c r="I220" i="177"/>
  <c r="H220" i="177"/>
  <c r="J220" i="177" s="1"/>
  <c r="J219" i="177"/>
  <c r="H219" i="177"/>
  <c r="I219" i="177" s="1"/>
  <c r="I218" i="177"/>
  <c r="H218" i="177"/>
  <c r="J218" i="177" s="1"/>
  <c r="H217" i="177"/>
  <c r="H216" i="177"/>
  <c r="J216" i="177" s="1"/>
  <c r="I215" i="177"/>
  <c r="H215" i="177"/>
  <c r="J215" i="177" s="1"/>
  <c r="I214" i="177"/>
  <c r="H214" i="177"/>
  <c r="J214" i="177" s="1"/>
  <c r="H213" i="177"/>
  <c r="J212" i="177"/>
  <c r="I212" i="177"/>
  <c r="H212" i="177"/>
  <c r="J211" i="177"/>
  <c r="H211" i="177"/>
  <c r="I211" i="177" s="1"/>
  <c r="H210" i="177"/>
  <c r="J210" i="177" s="1"/>
  <c r="H209" i="177"/>
  <c r="J208" i="177"/>
  <c r="I208" i="177"/>
  <c r="H208" i="177"/>
  <c r="J207" i="177"/>
  <c r="H207" i="177"/>
  <c r="I207" i="177" s="1"/>
  <c r="H206" i="177"/>
  <c r="J206" i="177" s="1"/>
  <c r="H205" i="177"/>
  <c r="J204" i="177"/>
  <c r="H204" i="177"/>
  <c r="I204" i="177" s="1"/>
  <c r="J203" i="177"/>
  <c r="I203" i="177"/>
  <c r="H203" i="177"/>
  <c r="G203" i="177"/>
  <c r="J202" i="177"/>
  <c r="I202" i="177"/>
  <c r="H202" i="177"/>
  <c r="I201" i="177"/>
  <c r="H201" i="177"/>
  <c r="J201" i="177" s="1"/>
  <c r="H200" i="177"/>
  <c r="I199" i="177"/>
  <c r="H199" i="177"/>
  <c r="J199" i="177" s="1"/>
  <c r="J198" i="177"/>
  <c r="H198" i="177"/>
  <c r="I198" i="177" s="1"/>
  <c r="H197" i="177"/>
  <c r="J197" i="177" s="1"/>
  <c r="H196" i="177"/>
  <c r="J195" i="177"/>
  <c r="I195" i="177"/>
  <c r="H195" i="177"/>
  <c r="J194" i="177"/>
  <c r="H194" i="177"/>
  <c r="I194" i="177" s="1"/>
  <c r="H193" i="177"/>
  <c r="J193" i="177" s="1"/>
  <c r="H192" i="177"/>
  <c r="J191" i="177"/>
  <c r="I191" i="177"/>
  <c r="H191" i="177"/>
  <c r="J190" i="177"/>
  <c r="H190" i="177"/>
  <c r="I190" i="177" s="1"/>
  <c r="G190" i="177"/>
  <c r="H189" i="177"/>
  <c r="J189" i="177" s="1"/>
  <c r="H188" i="177"/>
  <c r="J188" i="177" s="1"/>
  <c r="H187" i="177"/>
  <c r="I186" i="177"/>
  <c r="H186" i="177"/>
  <c r="J186" i="177" s="1"/>
  <c r="H185" i="177"/>
  <c r="J185" i="177" s="1"/>
  <c r="H184" i="177"/>
  <c r="J184" i="177" s="1"/>
  <c r="H183" i="177"/>
  <c r="G183" i="177"/>
  <c r="H182" i="177"/>
  <c r="H181" i="177"/>
  <c r="J181" i="177" s="1"/>
  <c r="J180" i="177"/>
  <c r="I180" i="177"/>
  <c r="H180" i="177"/>
  <c r="I179" i="177"/>
  <c r="H179" i="177"/>
  <c r="J179" i="177" s="1"/>
  <c r="H178" i="177"/>
  <c r="I178" i="177" s="1"/>
  <c r="H177" i="177"/>
  <c r="J177" i="177" s="1"/>
  <c r="H176" i="177"/>
  <c r="J176" i="177" s="1"/>
  <c r="I175" i="177"/>
  <c r="H175" i="177"/>
  <c r="J175" i="177" s="1"/>
  <c r="H174" i="177"/>
  <c r="H173" i="177"/>
  <c r="J173" i="177" s="1"/>
  <c r="I172" i="177"/>
  <c r="H172" i="177"/>
  <c r="J172" i="177" s="1"/>
  <c r="H171" i="177"/>
  <c r="J171" i="177" s="1"/>
  <c r="H170" i="177"/>
  <c r="I170" i="177" s="1"/>
  <c r="J169" i="177"/>
  <c r="I169" i="177"/>
  <c r="H169" i="177"/>
  <c r="J168" i="177"/>
  <c r="H168" i="177"/>
  <c r="I168" i="177" s="1"/>
  <c r="G168" i="177"/>
  <c r="J167" i="177"/>
  <c r="I167" i="177"/>
  <c r="H167" i="177"/>
  <c r="H166" i="177"/>
  <c r="J166" i="177" s="1"/>
  <c r="H165" i="177"/>
  <c r="I165" i="177" s="1"/>
  <c r="J164" i="177"/>
  <c r="I164" i="177"/>
  <c r="H164" i="177"/>
  <c r="G164" i="177"/>
  <c r="H163" i="177"/>
  <c r="J163" i="177" s="1"/>
  <c r="I162" i="177"/>
  <c r="H162" i="177"/>
  <c r="J162" i="177" s="1"/>
  <c r="H161" i="177"/>
  <c r="J161" i="177" s="1"/>
  <c r="H160" i="177"/>
  <c r="I160" i="177" s="1"/>
  <c r="H159" i="177"/>
  <c r="J159" i="177" s="1"/>
  <c r="H158" i="177"/>
  <c r="J158" i="177" s="1"/>
  <c r="H157" i="177"/>
  <c r="J157" i="177" s="1"/>
  <c r="H156" i="177"/>
  <c r="H155" i="177"/>
  <c r="J155" i="177" s="1"/>
  <c r="J154" i="177"/>
  <c r="I154" i="177"/>
  <c r="H154" i="177"/>
  <c r="I153" i="177"/>
  <c r="H153" i="177"/>
  <c r="J153" i="177" s="1"/>
  <c r="H152" i="177"/>
  <c r="I152" i="177" s="1"/>
  <c r="H151" i="177"/>
  <c r="I151" i="177" s="1"/>
  <c r="H150" i="177"/>
  <c r="J150" i="177" s="1"/>
  <c r="H149" i="177"/>
  <c r="J149" i="177" s="1"/>
  <c r="H148" i="177"/>
  <c r="J148" i="177" s="1"/>
  <c r="H147" i="177"/>
  <c r="J147" i="177" s="1"/>
  <c r="J146" i="177"/>
  <c r="I146" i="177"/>
  <c r="H146" i="177"/>
  <c r="H145" i="177"/>
  <c r="J145" i="177" s="1"/>
  <c r="H144" i="177"/>
  <c r="J144" i="177" s="1"/>
  <c r="G144" i="177"/>
  <c r="I143" i="177"/>
  <c r="H143" i="177"/>
  <c r="J143" i="177" s="1"/>
  <c r="H142" i="177"/>
  <c r="J142" i="177" s="1"/>
  <c r="G142" i="177"/>
  <c r="H141" i="177"/>
  <c r="I141" i="177" s="1"/>
  <c r="H140" i="177"/>
  <c r="J140" i="177" s="1"/>
  <c r="H139" i="177"/>
  <c r="J139" i="177" s="1"/>
  <c r="H138" i="177"/>
  <c r="J138" i="177" s="1"/>
  <c r="H137" i="177"/>
  <c r="J137" i="177" s="1"/>
  <c r="J136" i="177"/>
  <c r="I136" i="177"/>
  <c r="H136" i="177"/>
  <c r="H135" i="177"/>
  <c r="J135" i="177" s="1"/>
  <c r="H134" i="177"/>
  <c r="J134" i="177" s="1"/>
  <c r="H133" i="177"/>
  <c r="I133" i="177" s="1"/>
  <c r="H132" i="177"/>
  <c r="J132" i="177" s="1"/>
  <c r="H131" i="177"/>
  <c r="J131" i="177" s="1"/>
  <c r="H130" i="177"/>
  <c r="J130" i="177" s="1"/>
  <c r="H129" i="177"/>
  <c r="J129" i="177" s="1"/>
  <c r="J128" i="177"/>
  <c r="I128" i="177"/>
  <c r="H128" i="177"/>
  <c r="J127" i="177"/>
  <c r="I127" i="177"/>
  <c r="H127" i="177"/>
  <c r="J126" i="177"/>
  <c r="I126" i="177"/>
  <c r="H126" i="177"/>
  <c r="H125" i="177"/>
  <c r="I125" i="177" s="1"/>
  <c r="I124" i="177"/>
  <c r="H124" i="177"/>
  <c r="J124" i="177" s="1"/>
  <c r="H123" i="177"/>
  <c r="J123" i="177" s="1"/>
  <c r="G123" i="177"/>
  <c r="H122" i="177"/>
  <c r="J122" i="177" s="1"/>
  <c r="H121" i="177"/>
  <c r="J121" i="177" s="1"/>
  <c r="H120" i="177"/>
  <c r="I120" i="177" s="1"/>
  <c r="H119" i="177"/>
  <c r="J119" i="177" s="1"/>
  <c r="H118" i="177"/>
  <c r="J118" i="177" s="1"/>
  <c r="H117" i="177"/>
  <c r="J117" i="177" s="1"/>
  <c r="H116" i="177"/>
  <c r="J116" i="177" s="1"/>
  <c r="G116" i="177"/>
  <c r="J115" i="177"/>
  <c r="H115" i="177"/>
  <c r="I115" i="177" s="1"/>
  <c r="G115" i="177"/>
  <c r="H114" i="177"/>
  <c r="J114" i="177" s="1"/>
  <c r="H113" i="177"/>
  <c r="J113" i="177" s="1"/>
  <c r="H112" i="177"/>
  <c r="J112" i="177" s="1"/>
  <c r="I111" i="177"/>
  <c r="H111" i="177"/>
  <c r="J111" i="177" s="1"/>
  <c r="J110" i="177"/>
  <c r="I110" i="177"/>
  <c r="H110" i="177"/>
  <c r="J109" i="177"/>
  <c r="I109" i="177"/>
  <c r="H109" i="177"/>
  <c r="J108" i="177"/>
  <c r="H108" i="177"/>
  <c r="I108" i="177" s="1"/>
  <c r="H107" i="177"/>
  <c r="J107" i="177" s="1"/>
  <c r="G107" i="177"/>
  <c r="H106" i="177"/>
  <c r="J106" i="177" s="1"/>
  <c r="I105" i="177"/>
  <c r="H105" i="177"/>
  <c r="J105" i="177" s="1"/>
  <c r="I104" i="177"/>
  <c r="H104" i="177"/>
  <c r="J104" i="177" s="1"/>
  <c r="H103" i="177"/>
  <c r="I103" i="177" s="1"/>
  <c r="J102" i="177"/>
  <c r="H102" i="177"/>
  <c r="I102" i="177" s="1"/>
  <c r="H101" i="177"/>
  <c r="J101" i="177" s="1"/>
  <c r="H100" i="177"/>
  <c r="J100" i="177" s="1"/>
  <c r="H99" i="177"/>
  <c r="J99" i="177" s="1"/>
  <c r="H98" i="177"/>
  <c r="J98" i="177" s="1"/>
  <c r="H97" i="177"/>
  <c r="J97" i="177" s="1"/>
  <c r="H96" i="177"/>
  <c r="J96" i="177" s="1"/>
  <c r="J95" i="177"/>
  <c r="H95" i="177"/>
  <c r="I95" i="177" s="1"/>
  <c r="H94" i="177"/>
  <c r="I94" i="177" s="1"/>
  <c r="H93" i="177"/>
  <c r="J93" i="177" s="1"/>
  <c r="H92" i="177"/>
  <c r="J92" i="177" s="1"/>
  <c r="H91" i="177"/>
  <c r="J91" i="177" s="1"/>
  <c r="J90" i="177"/>
  <c r="I90" i="177"/>
  <c r="H90" i="177"/>
  <c r="J89" i="177"/>
  <c r="I89" i="177"/>
  <c r="H89" i="177"/>
  <c r="I88" i="177"/>
  <c r="H88" i="177"/>
  <c r="J88" i="177" s="1"/>
  <c r="J87" i="177"/>
  <c r="H87" i="177"/>
  <c r="I87" i="177" s="1"/>
  <c r="H86" i="177"/>
  <c r="I86" i="177" s="1"/>
  <c r="H85" i="177"/>
  <c r="J85" i="177" s="1"/>
  <c r="H84" i="177"/>
  <c r="J84" i="177" s="1"/>
  <c r="H83" i="177"/>
  <c r="J83" i="177" s="1"/>
  <c r="I82" i="177"/>
  <c r="H82" i="177"/>
  <c r="J82" i="177" s="1"/>
  <c r="H81" i="177"/>
  <c r="J81" i="177" s="1"/>
  <c r="H80" i="177"/>
  <c r="J80" i="177" s="1"/>
  <c r="G80" i="177"/>
  <c r="H79" i="177"/>
  <c r="J79" i="177" s="1"/>
  <c r="H78" i="177"/>
  <c r="J78" i="177" s="1"/>
  <c r="G78" i="177"/>
  <c r="H77" i="177"/>
  <c r="I77" i="177" s="1"/>
  <c r="H76" i="177"/>
  <c r="I76" i="177" s="1"/>
  <c r="H75" i="177"/>
  <c r="J75" i="177" s="1"/>
  <c r="H74" i="177"/>
  <c r="J74" i="177" s="1"/>
  <c r="H73" i="177"/>
  <c r="J73" i="177" s="1"/>
  <c r="H72" i="177"/>
  <c r="J72" i="177" s="1"/>
  <c r="J71" i="177"/>
  <c r="I71" i="177"/>
  <c r="H71" i="177"/>
  <c r="I70" i="177"/>
  <c r="H70" i="177"/>
  <c r="J70" i="177" s="1"/>
  <c r="H69" i="177"/>
  <c r="I69" i="177" s="1"/>
  <c r="J68" i="177"/>
  <c r="H68" i="177"/>
  <c r="I68" i="177" s="1"/>
  <c r="H67" i="177"/>
  <c r="J67" i="177" s="1"/>
  <c r="G67" i="177"/>
  <c r="J66" i="177"/>
  <c r="I66" i="177"/>
  <c r="H66" i="177"/>
  <c r="H65" i="177"/>
  <c r="J65" i="177" s="1"/>
  <c r="H64" i="177"/>
  <c r="I64" i="177" s="1"/>
  <c r="H63" i="177"/>
  <c r="I63" i="177" s="1"/>
  <c r="H62" i="177"/>
  <c r="J62" i="177" s="1"/>
  <c r="H61" i="177"/>
  <c r="J61" i="177" s="1"/>
  <c r="H60" i="177"/>
  <c r="J60" i="177" s="1"/>
  <c r="H59" i="177"/>
  <c r="J59" i="177" s="1"/>
  <c r="I58" i="177"/>
  <c r="H58" i="177"/>
  <c r="J58" i="177" s="1"/>
  <c r="H57" i="177"/>
  <c r="J57" i="177" s="1"/>
  <c r="J56" i="177"/>
  <c r="H56" i="177"/>
  <c r="I56" i="177" s="1"/>
  <c r="J55" i="177"/>
  <c r="H55" i="177"/>
  <c r="I55" i="177" s="1"/>
  <c r="H54" i="177"/>
  <c r="J54" i="177" s="1"/>
  <c r="H53" i="177"/>
  <c r="J53" i="177" s="1"/>
  <c r="H52" i="177"/>
  <c r="J52" i="177" s="1"/>
  <c r="J51" i="177"/>
  <c r="I51" i="177"/>
  <c r="H51" i="177"/>
  <c r="J50" i="177"/>
  <c r="H50" i="177"/>
  <c r="I50" i="177" s="1"/>
  <c r="I49" i="177"/>
  <c r="H49" i="177"/>
  <c r="J49" i="177" s="1"/>
  <c r="H48" i="177"/>
  <c r="I48" i="177" s="1"/>
  <c r="H47" i="177"/>
  <c r="I47" i="177" s="1"/>
  <c r="H46" i="177"/>
  <c r="J46" i="177" s="1"/>
  <c r="H45" i="177"/>
  <c r="J45" i="177" s="1"/>
  <c r="H44" i="177"/>
  <c r="J44" i="177" s="1"/>
  <c r="H43" i="177"/>
  <c r="J43" i="177" s="1"/>
  <c r="J42" i="177"/>
  <c r="I42" i="177"/>
  <c r="H42" i="177"/>
  <c r="I41" i="177"/>
  <c r="H41" i="177"/>
  <c r="J41" i="177" s="1"/>
  <c r="H40" i="177"/>
  <c r="I40" i="177" s="1"/>
  <c r="D40" i="177"/>
  <c r="H39" i="177"/>
  <c r="J39" i="177" s="1"/>
  <c r="J38" i="177"/>
  <c r="H38" i="177"/>
  <c r="I38" i="177" s="1"/>
  <c r="J37" i="177"/>
  <c r="H37" i="177"/>
  <c r="I37" i="177" s="1"/>
  <c r="I36" i="177"/>
  <c r="H36" i="177"/>
  <c r="J36" i="177" s="1"/>
  <c r="J35" i="177"/>
  <c r="H35" i="177"/>
  <c r="I35" i="177" s="1"/>
  <c r="J34" i="177"/>
  <c r="H34" i="177"/>
  <c r="I34" i="177" s="1"/>
  <c r="G34" i="177"/>
  <c r="J33" i="177"/>
  <c r="I33" i="177"/>
  <c r="H33" i="177"/>
  <c r="J32" i="177"/>
  <c r="H32" i="177"/>
  <c r="I32" i="177" s="1"/>
  <c r="I31" i="177"/>
  <c r="H31" i="177"/>
  <c r="J31" i="177" s="1"/>
  <c r="H30" i="177"/>
  <c r="I30" i="177" s="1"/>
  <c r="H29" i="177"/>
  <c r="I29" i="177" s="1"/>
  <c r="H28" i="177"/>
  <c r="J28" i="177" s="1"/>
  <c r="H27" i="177"/>
  <c r="J27" i="177" s="1"/>
  <c r="H26" i="177"/>
  <c r="J26" i="177" s="1"/>
  <c r="G26" i="177"/>
  <c r="H25" i="177"/>
  <c r="I25" i="177" s="1"/>
  <c r="H24" i="177"/>
  <c r="I24" i="177" s="1"/>
  <c r="H23" i="177"/>
  <c r="J23" i="177" s="1"/>
  <c r="H22" i="177"/>
  <c r="J22" i="177" s="1"/>
  <c r="H21" i="177"/>
  <c r="J21" i="177" s="1"/>
  <c r="H20" i="177"/>
  <c r="J20" i="177" s="1"/>
  <c r="J19" i="177"/>
  <c r="I19" i="177"/>
  <c r="H19" i="177"/>
  <c r="I18" i="177"/>
  <c r="H18" i="177"/>
  <c r="J18" i="177" s="1"/>
  <c r="H17" i="177"/>
  <c r="I17" i="177" s="1"/>
  <c r="J16" i="177"/>
  <c r="H16" i="177"/>
  <c r="I16" i="177" s="1"/>
  <c r="H15" i="177"/>
  <c r="J15" i="177" s="1"/>
  <c r="H14" i="177"/>
  <c r="J14" i="177" s="1"/>
  <c r="H13" i="177"/>
  <c r="J13" i="177" s="1"/>
  <c r="J12" i="177"/>
  <c r="H12" i="177"/>
  <c r="I12" i="177" s="1"/>
  <c r="J24" i="177" l="1"/>
  <c r="J29" i="177"/>
  <c r="J47" i="177"/>
  <c r="I59" i="177"/>
  <c r="J64" i="177"/>
  <c r="J76" i="177"/>
  <c r="I80" i="177"/>
  <c r="I97" i="177"/>
  <c r="I144" i="177"/>
  <c r="I159" i="177"/>
  <c r="I163" i="177"/>
  <c r="I173" i="177"/>
  <c r="I177" i="177"/>
  <c r="I184" i="177"/>
  <c r="I216" i="177"/>
  <c r="I235" i="177"/>
  <c r="I262" i="177"/>
  <c r="I270" i="177"/>
  <c r="I278" i="177"/>
  <c r="I282" i="177"/>
  <c r="I329" i="177"/>
  <c r="J336" i="177"/>
  <c r="J344" i="177"/>
  <c r="I348" i="177"/>
  <c r="I356" i="177"/>
  <c r="J424" i="177"/>
  <c r="I428" i="177"/>
  <c r="I433" i="177"/>
  <c r="J25" i="177"/>
  <c r="I43" i="177"/>
  <c r="J48" i="177"/>
  <c r="I65" i="177"/>
  <c r="I72" i="177"/>
  <c r="J77" i="177"/>
  <c r="I81" i="177"/>
  <c r="J94" i="177"/>
  <c r="I106" i="177"/>
  <c r="I123" i="177"/>
  <c r="I142" i="177"/>
  <c r="I155" i="177"/>
  <c r="J170" i="177"/>
  <c r="I181" i="177"/>
  <c r="I185" i="177"/>
  <c r="I189" i="177"/>
  <c r="I206" i="177"/>
  <c r="I224" i="177"/>
  <c r="J247" i="177"/>
  <c r="J255" i="177"/>
  <c r="I259" i="177"/>
  <c r="I267" i="177"/>
  <c r="I275" i="177"/>
  <c r="I295" i="177"/>
  <c r="I306" i="177"/>
  <c r="I314" i="177"/>
  <c r="I322" i="177"/>
  <c r="J368" i="177"/>
  <c r="J376" i="177"/>
  <c r="I425" i="177"/>
  <c r="I456" i="177"/>
  <c r="I20" i="177"/>
  <c r="J30" i="177"/>
  <c r="J17" i="177"/>
  <c r="J40" i="177"/>
  <c r="I57" i="177"/>
  <c r="J69" i="177"/>
  <c r="J86" i="177"/>
  <c r="I98" i="177"/>
  <c r="J103" i="177"/>
  <c r="J178" i="177"/>
  <c r="I390" i="177"/>
  <c r="I399" i="177"/>
  <c r="I403" i="177"/>
  <c r="J408" i="177"/>
  <c r="I439" i="177"/>
  <c r="I443" i="177"/>
  <c r="J448" i="177"/>
  <c r="J461" i="177"/>
  <c r="J63" i="177"/>
  <c r="I96" i="177"/>
  <c r="I176" i="177"/>
  <c r="I261" i="177"/>
  <c r="I269" i="177"/>
  <c r="I277" i="177"/>
  <c r="I281" i="177"/>
  <c r="J292" i="177"/>
  <c r="J300" i="177"/>
  <c r="I423" i="177"/>
  <c r="I427" i="177"/>
  <c r="J432" i="177"/>
  <c r="J252" i="177"/>
  <c r="I252" i="177"/>
  <c r="I15" i="177"/>
  <c r="I23" i="177"/>
  <c r="I28" i="177"/>
  <c r="I46" i="177"/>
  <c r="I54" i="177"/>
  <c r="I62" i="177"/>
  <c r="I67" i="177"/>
  <c r="I75" i="177"/>
  <c r="I85" i="177"/>
  <c r="I93" i="177"/>
  <c r="I101" i="177"/>
  <c r="I114" i="177"/>
  <c r="I116" i="177"/>
  <c r="I119" i="177"/>
  <c r="I122" i="177"/>
  <c r="I130" i="177"/>
  <c r="J133" i="177"/>
  <c r="I139" i="177"/>
  <c r="I147" i="177"/>
  <c r="I150" i="177"/>
  <c r="I157" i="177"/>
  <c r="J160" i="177"/>
  <c r="I166" i="177"/>
  <c r="J182" i="177"/>
  <c r="I182" i="177"/>
  <c r="J192" i="177"/>
  <c r="I192" i="177"/>
  <c r="J209" i="177"/>
  <c r="I209" i="177"/>
  <c r="I223" i="177"/>
  <c r="I249" i="177"/>
  <c r="J260" i="177"/>
  <c r="I260" i="177"/>
  <c r="I294" i="177"/>
  <c r="J305" i="177"/>
  <c r="I305" i="177"/>
  <c r="J328" i="177"/>
  <c r="I328" i="177"/>
  <c r="I354" i="177"/>
  <c r="J365" i="177"/>
  <c r="I365" i="177"/>
  <c r="J418" i="177"/>
  <c r="I418" i="177"/>
  <c r="I431" i="177"/>
  <c r="I452" i="177"/>
  <c r="J426" i="177"/>
  <c r="I426" i="177"/>
  <c r="J196" i="177"/>
  <c r="I196" i="177"/>
  <c r="J213" i="177"/>
  <c r="I213" i="177"/>
  <c r="J268" i="177"/>
  <c r="I268" i="177"/>
  <c r="J313" i="177"/>
  <c r="I313" i="177"/>
  <c r="J373" i="177"/>
  <c r="I373" i="177"/>
  <c r="J389" i="177"/>
  <c r="I389" i="177"/>
  <c r="I39" i="177"/>
  <c r="I52" i="177"/>
  <c r="I78" i="177"/>
  <c r="I99" i="177"/>
  <c r="I112" i="177"/>
  <c r="J125" i="177"/>
  <c r="I131" i="177"/>
  <c r="I134" i="177"/>
  <c r="I145" i="177"/>
  <c r="I158" i="177"/>
  <c r="I161" i="177"/>
  <c r="J183" i="177"/>
  <c r="I183" i="177"/>
  <c r="I193" i="177"/>
  <c r="J200" i="177"/>
  <c r="I200" i="177"/>
  <c r="I210" i="177"/>
  <c r="J217" i="177"/>
  <c r="I217" i="177"/>
  <c r="J231" i="177"/>
  <c r="I231" i="177"/>
  <c r="I265" i="177"/>
  <c r="J276" i="177"/>
  <c r="I276" i="177"/>
  <c r="I310" i="177"/>
  <c r="J321" i="177"/>
  <c r="I321" i="177"/>
  <c r="I370" i="177"/>
  <c r="J381" i="177"/>
  <c r="I381" i="177"/>
  <c r="I394" i="177"/>
  <c r="J402" i="177"/>
  <c r="I402" i="177"/>
  <c r="I415" i="177"/>
  <c r="J205" i="177"/>
  <c r="I205" i="177"/>
  <c r="J297" i="177"/>
  <c r="I297" i="177"/>
  <c r="J410" i="177"/>
  <c r="I410" i="177"/>
  <c r="I13" i="177"/>
  <c r="I21" i="177"/>
  <c r="I26" i="177"/>
  <c r="I44" i="177"/>
  <c r="I60" i="177"/>
  <c r="I73" i="177"/>
  <c r="I83" i="177"/>
  <c r="I91" i="177"/>
  <c r="I107" i="177"/>
  <c r="I117" i="177"/>
  <c r="J120" i="177"/>
  <c r="I137" i="177"/>
  <c r="I140" i="177"/>
  <c r="I148" i="177"/>
  <c r="J151" i="177"/>
  <c r="J187" i="177"/>
  <c r="I187" i="177"/>
  <c r="I197" i="177"/>
  <c r="I228" i="177"/>
  <c r="I273" i="177"/>
  <c r="J284" i="177"/>
  <c r="I284" i="177"/>
  <c r="I318" i="177"/>
  <c r="I378" i="177"/>
  <c r="I386" i="177"/>
  <c r="I407" i="177"/>
  <c r="J479" i="177"/>
  <c r="I479" i="177"/>
  <c r="J484" i="177"/>
  <c r="I484" i="177"/>
  <c r="J326" i="177"/>
  <c r="I326" i="177"/>
  <c r="J333" i="177"/>
  <c r="I333" i="177"/>
  <c r="J471" i="177"/>
  <c r="I471" i="177"/>
  <c r="I22" i="177"/>
  <c r="I27" i="177"/>
  <c r="I45" i="177"/>
  <c r="I53" i="177"/>
  <c r="I61" i="177"/>
  <c r="I74" i="177"/>
  <c r="I79" i="177"/>
  <c r="I84" i="177"/>
  <c r="I92" i="177"/>
  <c r="I100" i="177"/>
  <c r="I113" i="177"/>
  <c r="I118" i="177"/>
  <c r="I121" i="177"/>
  <c r="I129" i="177"/>
  <c r="I132" i="177"/>
  <c r="I135" i="177"/>
  <c r="I149" i="177"/>
  <c r="J152" i="177"/>
  <c r="J174" i="177"/>
  <c r="I174" i="177"/>
  <c r="I188" i="177"/>
  <c r="J236" i="177"/>
  <c r="I236" i="177"/>
  <c r="I289" i="177"/>
  <c r="I330" i="177"/>
  <c r="J341" i="177"/>
  <c r="I341" i="177"/>
  <c r="J442" i="177"/>
  <c r="I442" i="177"/>
  <c r="J463" i="177"/>
  <c r="I463" i="177"/>
  <c r="I476" i="177"/>
  <c r="J357" i="177"/>
  <c r="I357" i="177"/>
  <c r="I14" i="177"/>
  <c r="I138" i="177"/>
  <c r="J141" i="177"/>
  <c r="J156" i="177"/>
  <c r="I156" i="177"/>
  <c r="J165" i="177"/>
  <c r="I171" i="177"/>
  <c r="I233" i="177"/>
  <c r="J244" i="177"/>
  <c r="I244" i="177"/>
  <c r="I338" i="177"/>
  <c r="J349" i="177"/>
  <c r="I349" i="177"/>
  <c r="J434" i="177"/>
  <c r="I434" i="177"/>
  <c r="I447" i="177"/>
  <c r="J455" i="177"/>
  <c r="I455" i="177"/>
  <c r="I468" i="177"/>
  <c r="J384" i="177"/>
  <c r="J392" i="177"/>
  <c r="J397" i="177"/>
  <c r="J405" i="177"/>
  <c r="J413" i="177"/>
  <c r="J421" i="177"/>
  <c r="J429" i="177"/>
  <c r="J437" i="177"/>
  <c r="J445" i="177"/>
  <c r="J450" i="177"/>
  <c r="J458" i="177"/>
  <c r="J466" i="177"/>
  <c r="J474" i="177"/>
  <c r="J482" i="177"/>
  <c r="I485" i="177"/>
  <c r="I222" i="177"/>
  <c r="I227" i="177"/>
  <c r="I232" i="177"/>
  <c r="I240" i="177"/>
  <c r="I248" i="177"/>
  <c r="I256" i="177"/>
  <c r="I264" i="177"/>
  <c r="I272" i="177"/>
  <c r="I280" i="177"/>
  <c r="I288" i="177"/>
  <c r="I293" i="177"/>
  <c r="I301" i="177"/>
  <c r="I309" i="177"/>
  <c r="I317" i="177"/>
  <c r="I325" i="177"/>
  <c r="I327" i="177"/>
  <c r="I337" i="177"/>
  <c r="I345" i="177"/>
  <c r="I353" i="177"/>
  <c r="I361" i="177"/>
  <c r="I369" i="177"/>
  <c r="I377" i="177"/>
  <c r="I385" i="177"/>
  <c r="I393" i="177"/>
  <c r="I398" i="177"/>
  <c r="I406" i="177"/>
  <c r="I414" i="177"/>
  <c r="I422" i="177"/>
  <c r="I430" i="177"/>
  <c r="I438" i="177"/>
  <c r="I446" i="177"/>
  <c r="I451" i="177"/>
  <c r="I459" i="177"/>
  <c r="I467" i="177"/>
  <c r="I475" i="177"/>
  <c r="I483" i="177"/>
  <c r="I486" i="177"/>
  <c r="I487" i="177"/>
  <c r="H499" i="171" l="1"/>
  <c r="J499" i="171" s="1"/>
  <c r="H498" i="171"/>
  <c r="H497" i="171"/>
  <c r="I497" i="171" s="1"/>
  <c r="H496" i="171"/>
  <c r="J496" i="171" s="1"/>
  <c r="H495" i="171"/>
  <c r="J495" i="171" s="1"/>
  <c r="H494" i="171"/>
  <c r="J494" i="171" s="1"/>
  <c r="H493" i="171"/>
  <c r="J493" i="171" s="1"/>
  <c r="H492" i="171"/>
  <c r="I492" i="171" s="1"/>
  <c r="H491" i="171"/>
  <c r="I491" i="171" s="1"/>
  <c r="H490" i="171"/>
  <c r="H489" i="171"/>
  <c r="I489" i="171" s="1"/>
  <c r="H488" i="171"/>
  <c r="J488" i="171" s="1"/>
  <c r="H487" i="171"/>
  <c r="J487" i="171" s="1"/>
  <c r="H486" i="171"/>
  <c r="J485" i="171"/>
  <c r="I485" i="171"/>
  <c r="H485" i="171"/>
  <c r="H484" i="171"/>
  <c r="J484" i="171" s="1"/>
  <c r="H483" i="171"/>
  <c r="H482" i="171"/>
  <c r="J481" i="171"/>
  <c r="H481" i="171"/>
  <c r="I481" i="171" s="1"/>
  <c r="H480" i="171"/>
  <c r="J480" i="171" s="1"/>
  <c r="H479" i="171"/>
  <c r="J479" i="171" s="1"/>
  <c r="H478" i="171"/>
  <c r="J477" i="171"/>
  <c r="I477" i="171"/>
  <c r="H477" i="171"/>
  <c r="H476" i="171"/>
  <c r="J476" i="171" s="1"/>
  <c r="H475" i="171"/>
  <c r="H474" i="171"/>
  <c r="J473" i="171"/>
  <c r="H473" i="171"/>
  <c r="I473" i="171" s="1"/>
  <c r="H472" i="171"/>
  <c r="J472" i="171" s="1"/>
  <c r="H471" i="171"/>
  <c r="J471" i="171" s="1"/>
  <c r="H470" i="171"/>
  <c r="J470" i="171" s="1"/>
  <c r="H469" i="171"/>
  <c r="J469" i="171" s="1"/>
  <c r="H468" i="171"/>
  <c r="I468" i="171" s="1"/>
  <c r="H467" i="171"/>
  <c r="I467" i="171" s="1"/>
  <c r="H466" i="171"/>
  <c r="H465" i="171"/>
  <c r="I465" i="171" s="1"/>
  <c r="H464" i="171"/>
  <c r="J464" i="171" s="1"/>
  <c r="H463" i="171"/>
  <c r="J463" i="171" s="1"/>
  <c r="J462" i="171"/>
  <c r="I462" i="171"/>
  <c r="H462" i="171"/>
  <c r="H461" i="171"/>
  <c r="J461" i="171" s="1"/>
  <c r="H460" i="171"/>
  <c r="J459" i="171"/>
  <c r="H459" i="171"/>
  <c r="I459" i="171" s="1"/>
  <c r="H458" i="171"/>
  <c r="H457" i="171"/>
  <c r="I457" i="171" s="1"/>
  <c r="H456" i="171"/>
  <c r="J456" i="171" s="1"/>
  <c r="H455" i="171"/>
  <c r="J454" i="171"/>
  <c r="I454" i="171"/>
  <c r="H454" i="171"/>
  <c r="H453" i="171"/>
  <c r="J453" i="171" s="1"/>
  <c r="H452" i="171"/>
  <c r="J452" i="171" s="1"/>
  <c r="J451" i="171"/>
  <c r="H451" i="171"/>
  <c r="I451" i="171" s="1"/>
  <c r="H450" i="171"/>
  <c r="H449" i="171"/>
  <c r="I449" i="171" s="1"/>
  <c r="H448" i="171"/>
  <c r="J448" i="171" s="1"/>
  <c r="H447" i="171"/>
  <c r="J447" i="171" s="1"/>
  <c r="H446" i="171"/>
  <c r="J446" i="171" s="1"/>
  <c r="H445" i="171"/>
  <c r="I445" i="171" s="1"/>
  <c r="J444" i="171"/>
  <c r="I444" i="171"/>
  <c r="H444" i="171"/>
  <c r="H443" i="171"/>
  <c r="I443" i="171" s="1"/>
  <c r="H442" i="171"/>
  <c r="H441" i="171"/>
  <c r="I441" i="171" s="1"/>
  <c r="H440" i="171"/>
  <c r="J440" i="171" s="1"/>
  <c r="H439" i="171"/>
  <c r="J439" i="171" s="1"/>
  <c r="H438" i="171"/>
  <c r="J438" i="171" s="1"/>
  <c r="H437" i="171"/>
  <c r="I437" i="171" s="1"/>
  <c r="J436" i="171"/>
  <c r="I436" i="171"/>
  <c r="H436" i="171"/>
  <c r="H435" i="171"/>
  <c r="I435" i="171" s="1"/>
  <c r="H434" i="171"/>
  <c r="H433" i="171"/>
  <c r="I433" i="171" s="1"/>
  <c r="H432" i="171"/>
  <c r="J432" i="171" s="1"/>
  <c r="I431" i="171"/>
  <c r="H431" i="171"/>
  <c r="J431" i="171" s="1"/>
  <c r="I430" i="171"/>
  <c r="H430" i="171"/>
  <c r="J430" i="171" s="1"/>
  <c r="H429" i="171"/>
  <c r="J428" i="171"/>
  <c r="I428" i="171"/>
  <c r="H428" i="171"/>
  <c r="J427" i="171"/>
  <c r="H427" i="171"/>
  <c r="I427" i="171" s="1"/>
  <c r="H426" i="171"/>
  <c r="H425" i="171"/>
  <c r="H424" i="171"/>
  <c r="J424" i="171" s="1"/>
  <c r="H423" i="171"/>
  <c r="J423" i="171" s="1"/>
  <c r="I422" i="171"/>
  <c r="H422" i="171"/>
  <c r="J422" i="171" s="1"/>
  <c r="H421" i="171"/>
  <c r="J420" i="171"/>
  <c r="I420" i="171"/>
  <c r="H420" i="171"/>
  <c r="J419" i="171"/>
  <c r="H419" i="171"/>
  <c r="I419" i="171" s="1"/>
  <c r="H418" i="171"/>
  <c r="H417" i="171"/>
  <c r="H416" i="171"/>
  <c r="J416" i="171" s="1"/>
  <c r="H415" i="171"/>
  <c r="J415" i="171" s="1"/>
  <c r="I414" i="171"/>
  <c r="H414" i="171"/>
  <c r="J414" i="171" s="1"/>
  <c r="H413" i="171"/>
  <c r="J412" i="171"/>
  <c r="I412" i="171"/>
  <c r="H412" i="171"/>
  <c r="J411" i="171"/>
  <c r="H411" i="171"/>
  <c r="I411" i="171" s="1"/>
  <c r="H410" i="171"/>
  <c r="H409" i="171"/>
  <c r="H408" i="171"/>
  <c r="J408" i="171" s="1"/>
  <c r="I407" i="171"/>
  <c r="H407" i="171"/>
  <c r="J407" i="171" s="1"/>
  <c r="H406" i="171"/>
  <c r="J406" i="171" s="1"/>
  <c r="H405" i="171"/>
  <c r="J405" i="171" s="1"/>
  <c r="J404" i="171"/>
  <c r="H404" i="171"/>
  <c r="I404" i="171" s="1"/>
  <c r="H403" i="171"/>
  <c r="I403" i="171" s="1"/>
  <c r="H402" i="171"/>
  <c r="H401" i="171"/>
  <c r="I401" i="171" s="1"/>
  <c r="H400" i="171"/>
  <c r="J400" i="171" s="1"/>
  <c r="H399" i="171"/>
  <c r="J399" i="171" s="1"/>
  <c r="H398" i="171"/>
  <c r="I398" i="171" s="1"/>
  <c r="J397" i="171"/>
  <c r="I397" i="171"/>
  <c r="H397" i="171"/>
  <c r="I396" i="171"/>
  <c r="H396" i="171"/>
  <c r="J396" i="171" s="1"/>
  <c r="H395" i="171"/>
  <c r="I395" i="171" s="1"/>
  <c r="H394" i="171"/>
  <c r="J393" i="171"/>
  <c r="H393" i="171"/>
  <c r="I393" i="171" s="1"/>
  <c r="H392" i="171"/>
  <c r="J392" i="171" s="1"/>
  <c r="H391" i="171"/>
  <c r="J391" i="171" s="1"/>
  <c r="H390" i="171"/>
  <c r="I390" i="171" s="1"/>
  <c r="J389" i="171"/>
  <c r="I389" i="171"/>
  <c r="H389" i="171"/>
  <c r="I388" i="171"/>
  <c r="H388" i="171"/>
  <c r="J388" i="171" s="1"/>
  <c r="H387" i="171"/>
  <c r="I387" i="171" s="1"/>
  <c r="H386" i="171"/>
  <c r="J385" i="171"/>
  <c r="H385" i="171"/>
  <c r="I385" i="171" s="1"/>
  <c r="H384" i="171"/>
  <c r="J384" i="171" s="1"/>
  <c r="I383" i="171"/>
  <c r="H383" i="171"/>
  <c r="J383" i="171" s="1"/>
  <c r="H382" i="171"/>
  <c r="J381" i="171"/>
  <c r="I381" i="171"/>
  <c r="H381" i="171"/>
  <c r="H380" i="171"/>
  <c r="J380" i="171" s="1"/>
  <c r="H379" i="171"/>
  <c r="H378" i="171"/>
  <c r="J377" i="171"/>
  <c r="H377" i="171"/>
  <c r="I377" i="171" s="1"/>
  <c r="H376" i="171"/>
  <c r="J376" i="171" s="1"/>
  <c r="H375" i="171"/>
  <c r="J375" i="171" s="1"/>
  <c r="H374" i="171"/>
  <c r="J373" i="171"/>
  <c r="I373" i="171"/>
  <c r="H373" i="171"/>
  <c r="H372" i="171"/>
  <c r="J372" i="171" s="1"/>
  <c r="H371" i="171"/>
  <c r="H370" i="171"/>
  <c r="J369" i="171"/>
  <c r="H369" i="171"/>
  <c r="I369" i="171" s="1"/>
  <c r="H368" i="171"/>
  <c r="H367" i="171"/>
  <c r="J367" i="171" s="1"/>
  <c r="H366" i="171"/>
  <c r="J366" i="171" s="1"/>
  <c r="J365" i="171"/>
  <c r="H365" i="171"/>
  <c r="I365" i="171" s="1"/>
  <c r="H364" i="171"/>
  <c r="I364" i="171" s="1"/>
  <c r="H363" i="171"/>
  <c r="I363" i="171" s="1"/>
  <c r="H362" i="171"/>
  <c r="I362" i="171" s="1"/>
  <c r="H361" i="171"/>
  <c r="I361" i="171" s="1"/>
  <c r="H360" i="171"/>
  <c r="H359" i="171"/>
  <c r="J359" i="171" s="1"/>
  <c r="H358" i="171"/>
  <c r="J358" i="171" s="1"/>
  <c r="J357" i="171"/>
  <c r="H357" i="171"/>
  <c r="I357" i="171" s="1"/>
  <c r="H356" i="171"/>
  <c r="I356" i="171" s="1"/>
  <c r="H355" i="171"/>
  <c r="I355" i="171" s="1"/>
  <c r="H354" i="171"/>
  <c r="I354" i="171" s="1"/>
  <c r="H353" i="171"/>
  <c r="I353" i="171" s="1"/>
  <c r="H352" i="171"/>
  <c r="H351" i="171"/>
  <c r="J351" i="171" s="1"/>
  <c r="J350" i="171"/>
  <c r="I350" i="171"/>
  <c r="H350" i="171"/>
  <c r="I349" i="171"/>
  <c r="H349" i="171"/>
  <c r="J349" i="171" s="1"/>
  <c r="H348" i="171"/>
  <c r="J347" i="171"/>
  <c r="H347" i="171"/>
  <c r="I347" i="171" s="1"/>
  <c r="H346" i="171"/>
  <c r="I346" i="171" s="1"/>
  <c r="J345" i="171"/>
  <c r="H345" i="171"/>
  <c r="I345" i="171" s="1"/>
  <c r="H344" i="171"/>
  <c r="H343" i="171"/>
  <c r="J342" i="171"/>
  <c r="I342" i="171"/>
  <c r="H342" i="171"/>
  <c r="H341" i="171"/>
  <c r="J341" i="171" s="1"/>
  <c r="G341" i="171"/>
  <c r="H340" i="171"/>
  <c r="I340" i="171" s="1"/>
  <c r="H339" i="171"/>
  <c r="H338" i="171"/>
  <c r="J338" i="171" s="1"/>
  <c r="H337" i="171"/>
  <c r="J337" i="171" s="1"/>
  <c r="H336" i="171"/>
  <c r="J336" i="171" s="1"/>
  <c r="J335" i="171"/>
  <c r="H335" i="171"/>
  <c r="I335" i="171" s="1"/>
  <c r="H334" i="171"/>
  <c r="I334" i="171" s="1"/>
  <c r="H333" i="171"/>
  <c r="I333" i="171" s="1"/>
  <c r="H332" i="171"/>
  <c r="I332" i="171" s="1"/>
  <c r="G332" i="171"/>
  <c r="I331" i="171"/>
  <c r="H331" i="171"/>
  <c r="J331" i="171" s="1"/>
  <c r="H330" i="171"/>
  <c r="J329" i="171"/>
  <c r="H329" i="171"/>
  <c r="I329" i="171" s="1"/>
  <c r="H328" i="171"/>
  <c r="I328" i="171" s="1"/>
  <c r="H327" i="171"/>
  <c r="I327" i="171" s="1"/>
  <c r="H326" i="171"/>
  <c r="H325" i="171"/>
  <c r="J325" i="171" s="1"/>
  <c r="J324" i="171"/>
  <c r="I324" i="171"/>
  <c r="H324" i="171"/>
  <c r="H323" i="171"/>
  <c r="J323" i="171" s="1"/>
  <c r="H322" i="171"/>
  <c r="J322" i="171" s="1"/>
  <c r="J321" i="171"/>
  <c r="H321" i="171"/>
  <c r="I321" i="171" s="1"/>
  <c r="J320" i="171"/>
  <c r="H320" i="171"/>
  <c r="I320" i="171" s="1"/>
  <c r="H319" i="171"/>
  <c r="I319" i="171" s="1"/>
  <c r="H318" i="171"/>
  <c r="I317" i="171"/>
  <c r="H317" i="171"/>
  <c r="J317" i="171" s="1"/>
  <c r="I316" i="171"/>
  <c r="H316" i="171"/>
  <c r="J316" i="171" s="1"/>
  <c r="H315" i="171"/>
  <c r="J314" i="171"/>
  <c r="I314" i="171"/>
  <c r="H314" i="171"/>
  <c r="J313" i="171"/>
  <c r="H313" i="171"/>
  <c r="I313" i="171" s="1"/>
  <c r="H312" i="171"/>
  <c r="I312" i="171" s="1"/>
  <c r="J311" i="171"/>
  <c r="H311" i="171"/>
  <c r="I311" i="171" s="1"/>
  <c r="H310" i="171"/>
  <c r="H309" i="171"/>
  <c r="J309" i="171" s="1"/>
  <c r="H308" i="171"/>
  <c r="J308" i="171" s="1"/>
  <c r="H307" i="171"/>
  <c r="J307" i="171" s="1"/>
  <c r="J306" i="171"/>
  <c r="H306" i="171"/>
  <c r="I306" i="171" s="1"/>
  <c r="H305" i="171"/>
  <c r="I305" i="171" s="1"/>
  <c r="H304" i="171"/>
  <c r="I304" i="171" s="1"/>
  <c r="H303" i="171"/>
  <c r="I303" i="171" s="1"/>
  <c r="H302" i="171"/>
  <c r="H301" i="171"/>
  <c r="J301" i="171" s="1"/>
  <c r="H300" i="171"/>
  <c r="J300" i="171" s="1"/>
  <c r="I299" i="171"/>
  <c r="H299" i="171"/>
  <c r="J299" i="171" s="1"/>
  <c r="J298" i="171"/>
  <c r="H298" i="171"/>
  <c r="I298" i="171" s="1"/>
  <c r="H297" i="171"/>
  <c r="I297" i="171" s="1"/>
  <c r="H296" i="171"/>
  <c r="J295" i="171"/>
  <c r="H295" i="171"/>
  <c r="I295" i="171" s="1"/>
  <c r="H294" i="171"/>
  <c r="H293" i="171"/>
  <c r="J293" i="171" s="1"/>
  <c r="H292" i="171"/>
  <c r="I292" i="171" s="1"/>
  <c r="J291" i="171"/>
  <c r="I291" i="171"/>
  <c r="H291" i="171"/>
  <c r="I290" i="171"/>
  <c r="H290" i="171"/>
  <c r="J290" i="171" s="1"/>
  <c r="H289" i="171"/>
  <c r="I289" i="171" s="1"/>
  <c r="H288" i="171"/>
  <c r="I288" i="171" s="1"/>
  <c r="J287" i="171"/>
  <c r="H287" i="171"/>
  <c r="I287" i="171" s="1"/>
  <c r="H286" i="171"/>
  <c r="H285" i="171"/>
  <c r="J285" i="171" s="1"/>
  <c r="H284" i="171"/>
  <c r="J284" i="171" s="1"/>
  <c r="J283" i="171"/>
  <c r="H283" i="171"/>
  <c r="I283" i="171" s="1"/>
  <c r="H282" i="171"/>
  <c r="I282" i="171" s="1"/>
  <c r="H281" i="171"/>
  <c r="I281" i="171" s="1"/>
  <c r="J280" i="171"/>
  <c r="H280" i="171"/>
  <c r="I280" i="171" s="1"/>
  <c r="H279" i="171"/>
  <c r="I279" i="171" s="1"/>
  <c r="H278" i="171"/>
  <c r="H277" i="171"/>
  <c r="J277" i="171" s="1"/>
  <c r="H276" i="171"/>
  <c r="J276" i="171" s="1"/>
  <c r="J275" i="171"/>
  <c r="H275" i="171"/>
  <c r="I275" i="171" s="1"/>
  <c r="H274" i="171"/>
  <c r="I274" i="171" s="1"/>
  <c r="J273" i="171"/>
  <c r="H273" i="171"/>
  <c r="I273" i="171" s="1"/>
  <c r="H272" i="171"/>
  <c r="I272" i="171" s="1"/>
  <c r="H271" i="171"/>
  <c r="I271" i="171" s="1"/>
  <c r="H270" i="171"/>
  <c r="H269" i="171"/>
  <c r="J269" i="171" s="1"/>
  <c r="I268" i="171"/>
  <c r="H268" i="171"/>
  <c r="J268" i="171" s="1"/>
  <c r="J267" i="171"/>
  <c r="H267" i="171"/>
  <c r="I267" i="171" s="1"/>
  <c r="H266" i="171"/>
  <c r="I266" i="171" s="1"/>
  <c r="H265" i="171"/>
  <c r="I265" i="171" s="1"/>
  <c r="H264" i="171"/>
  <c r="I264" i="171" s="1"/>
  <c r="H263" i="171"/>
  <c r="I263" i="171" s="1"/>
  <c r="H262" i="171"/>
  <c r="H261" i="171"/>
  <c r="J261" i="171" s="1"/>
  <c r="H260" i="171"/>
  <c r="J260" i="171" s="1"/>
  <c r="J259" i="171"/>
  <c r="H259" i="171"/>
  <c r="I259" i="171" s="1"/>
  <c r="H258" i="171"/>
  <c r="I258" i="171" s="1"/>
  <c r="J257" i="171"/>
  <c r="H257" i="171"/>
  <c r="I257" i="171" s="1"/>
  <c r="J256" i="171"/>
  <c r="H256" i="171"/>
  <c r="I256" i="171" s="1"/>
  <c r="J255" i="171"/>
  <c r="H255" i="171"/>
  <c r="I255" i="171" s="1"/>
  <c r="H254" i="171"/>
  <c r="H253" i="171"/>
  <c r="J252" i="171"/>
  <c r="I252" i="171"/>
  <c r="H252" i="171"/>
  <c r="H251" i="171"/>
  <c r="J251" i="171" s="1"/>
  <c r="H250" i="171"/>
  <c r="J250" i="171" s="1"/>
  <c r="J249" i="171"/>
  <c r="H249" i="171"/>
  <c r="I249" i="171" s="1"/>
  <c r="J248" i="171"/>
  <c r="H248" i="171"/>
  <c r="I248" i="171" s="1"/>
  <c r="H247" i="171"/>
  <c r="I247" i="171" s="1"/>
  <c r="H246" i="171"/>
  <c r="H245" i="171"/>
  <c r="J245" i="171" s="1"/>
  <c r="J244" i="171"/>
  <c r="I244" i="171"/>
  <c r="H244" i="171"/>
  <c r="H243" i="171"/>
  <c r="J243" i="171" s="1"/>
  <c r="H242" i="171"/>
  <c r="J242" i="171" s="1"/>
  <c r="J241" i="171"/>
  <c r="H241" i="171"/>
  <c r="I241" i="171" s="1"/>
  <c r="H240" i="171"/>
  <c r="I240" i="171" s="1"/>
  <c r="H239" i="171"/>
  <c r="I239" i="171" s="1"/>
  <c r="H238" i="171"/>
  <c r="H237" i="171"/>
  <c r="J237" i="171" s="1"/>
  <c r="J236" i="171"/>
  <c r="I236" i="171"/>
  <c r="H236" i="171"/>
  <c r="H235" i="171"/>
  <c r="J235" i="171" s="1"/>
  <c r="H234" i="171"/>
  <c r="J234" i="171" s="1"/>
  <c r="J233" i="171"/>
  <c r="H233" i="171"/>
  <c r="I233" i="171" s="1"/>
  <c r="H232" i="171"/>
  <c r="I232" i="171" s="1"/>
  <c r="H231" i="171"/>
  <c r="I231" i="171" s="1"/>
  <c r="H230" i="171"/>
  <c r="H229" i="171"/>
  <c r="J229" i="171" s="1"/>
  <c r="J228" i="171"/>
  <c r="I228" i="171"/>
  <c r="H228" i="171"/>
  <c r="H227" i="171"/>
  <c r="J227" i="171" s="1"/>
  <c r="H226" i="171"/>
  <c r="I226" i="171" s="1"/>
  <c r="H225" i="171"/>
  <c r="I225" i="171" s="1"/>
  <c r="J224" i="171"/>
  <c r="H224" i="171"/>
  <c r="I224" i="171" s="1"/>
  <c r="H223" i="171"/>
  <c r="J223" i="171" s="1"/>
  <c r="I222" i="171"/>
  <c r="H222" i="171"/>
  <c r="J222" i="171" s="1"/>
  <c r="H221" i="171"/>
  <c r="J221" i="171" s="1"/>
  <c r="H220" i="171"/>
  <c r="J220" i="171" s="1"/>
  <c r="J219" i="171"/>
  <c r="H219" i="171"/>
  <c r="I219" i="171" s="1"/>
  <c r="H218" i="171"/>
  <c r="J218" i="171" s="1"/>
  <c r="H217" i="171"/>
  <c r="H216" i="171"/>
  <c r="I216" i="171" s="1"/>
  <c r="H215" i="171"/>
  <c r="I215" i="171" s="1"/>
  <c r="G215" i="171"/>
  <c r="H214" i="171"/>
  <c r="J214" i="171" s="1"/>
  <c r="H213" i="171"/>
  <c r="I213" i="171" s="1"/>
  <c r="J212" i="171"/>
  <c r="H212" i="171"/>
  <c r="I212" i="171" s="1"/>
  <c r="H211" i="171"/>
  <c r="I211" i="171" s="1"/>
  <c r="H210" i="171"/>
  <c r="I210" i="171" s="1"/>
  <c r="H209" i="171"/>
  <c r="J209" i="171" s="1"/>
  <c r="H208" i="171"/>
  <c r="J208" i="171" s="1"/>
  <c r="J207" i="171"/>
  <c r="H207" i="171"/>
  <c r="I207" i="171" s="1"/>
  <c r="H206" i="171"/>
  <c r="J205" i="171"/>
  <c r="I205" i="171"/>
  <c r="H205" i="171"/>
  <c r="H204" i="171"/>
  <c r="I204" i="171" s="1"/>
  <c r="H203" i="171"/>
  <c r="I203" i="171" s="1"/>
  <c r="H202" i="171"/>
  <c r="J202" i="171" s="1"/>
  <c r="H201" i="171"/>
  <c r="J201" i="171" s="1"/>
  <c r="H200" i="171"/>
  <c r="J200" i="171" s="1"/>
  <c r="J199" i="171"/>
  <c r="I199" i="171"/>
  <c r="H199" i="171"/>
  <c r="H198" i="171"/>
  <c r="J198" i="171" s="1"/>
  <c r="H197" i="171"/>
  <c r="I197" i="171" s="1"/>
  <c r="J196" i="171"/>
  <c r="H196" i="171"/>
  <c r="I196" i="171" s="1"/>
  <c r="H195" i="171"/>
  <c r="I195" i="171" s="1"/>
  <c r="H194" i="171"/>
  <c r="H193" i="171"/>
  <c r="J193" i="171" s="1"/>
  <c r="H192" i="171"/>
  <c r="J192" i="171" s="1"/>
  <c r="J191" i="171"/>
  <c r="H191" i="171"/>
  <c r="I191" i="171" s="1"/>
  <c r="H190" i="171"/>
  <c r="J189" i="171"/>
  <c r="I189" i="171"/>
  <c r="H189" i="171"/>
  <c r="H188" i="171"/>
  <c r="I188" i="171" s="1"/>
  <c r="H187" i="171"/>
  <c r="I187" i="171" s="1"/>
  <c r="H186" i="171"/>
  <c r="J186" i="171" s="1"/>
  <c r="H185" i="171"/>
  <c r="J185" i="171" s="1"/>
  <c r="H184" i="171"/>
  <c r="J184" i="171" s="1"/>
  <c r="J183" i="171"/>
  <c r="I183" i="171"/>
  <c r="H183" i="171"/>
  <c r="H182" i="171"/>
  <c r="J182" i="171" s="1"/>
  <c r="H181" i="171"/>
  <c r="I181" i="171" s="1"/>
  <c r="G181" i="171"/>
  <c r="H180" i="171"/>
  <c r="J180" i="171" s="1"/>
  <c r="H179" i="171"/>
  <c r="J179" i="171" s="1"/>
  <c r="H178" i="171"/>
  <c r="J178" i="171" s="1"/>
  <c r="I177" i="171"/>
  <c r="H177" i="171"/>
  <c r="J177" i="171" s="1"/>
  <c r="H176" i="171"/>
  <c r="J176" i="171" s="1"/>
  <c r="G176" i="171"/>
  <c r="H175" i="171"/>
  <c r="J175" i="171" s="1"/>
  <c r="H174" i="171"/>
  <c r="J174" i="171" s="1"/>
  <c r="I173" i="171"/>
  <c r="H173" i="171"/>
  <c r="J173" i="171" s="1"/>
  <c r="J172" i="171"/>
  <c r="I172" i="171"/>
  <c r="H172" i="171"/>
  <c r="H171" i="171"/>
  <c r="J171" i="171" s="1"/>
  <c r="H170" i="171"/>
  <c r="I170" i="171" s="1"/>
  <c r="H169" i="171"/>
  <c r="I169" i="171" s="1"/>
  <c r="H168" i="171"/>
  <c r="J168" i="171" s="1"/>
  <c r="G168" i="171"/>
  <c r="J167" i="171"/>
  <c r="I167" i="171"/>
  <c r="H167" i="171"/>
  <c r="H166" i="171"/>
  <c r="H165" i="171"/>
  <c r="I165" i="171" s="1"/>
  <c r="H164" i="171"/>
  <c r="I164" i="171" s="1"/>
  <c r="H163" i="171"/>
  <c r="I163" i="171" s="1"/>
  <c r="H162" i="171"/>
  <c r="J162" i="171" s="1"/>
  <c r="H161" i="171"/>
  <c r="J161" i="171" s="1"/>
  <c r="H160" i="171"/>
  <c r="J160" i="171" s="1"/>
  <c r="H159" i="171"/>
  <c r="J159" i="171" s="1"/>
  <c r="H158" i="171"/>
  <c r="I158" i="171" s="1"/>
  <c r="H157" i="171"/>
  <c r="I157" i="171" s="1"/>
  <c r="H156" i="171"/>
  <c r="J156" i="171" s="1"/>
  <c r="G156" i="171"/>
  <c r="H155" i="171"/>
  <c r="J155" i="171" s="1"/>
  <c r="G155" i="171"/>
  <c r="H154" i="171"/>
  <c r="J154" i="171" s="1"/>
  <c r="H153" i="171"/>
  <c r="J153" i="171" s="1"/>
  <c r="H152" i="171"/>
  <c r="I152" i="171" s="1"/>
  <c r="H151" i="171"/>
  <c r="J150" i="171"/>
  <c r="I150" i="171"/>
  <c r="H150" i="171"/>
  <c r="G150" i="171"/>
  <c r="H149" i="171"/>
  <c r="J149" i="171" s="1"/>
  <c r="H148" i="171"/>
  <c r="J148" i="171" s="1"/>
  <c r="G148" i="171"/>
  <c r="H147" i="171"/>
  <c r="J147" i="171" s="1"/>
  <c r="H146" i="171"/>
  <c r="J146" i="171" s="1"/>
  <c r="J145" i="171"/>
  <c r="H145" i="171"/>
  <c r="I145" i="171" s="1"/>
  <c r="H144" i="171"/>
  <c r="J144" i="171" s="1"/>
  <c r="H143" i="171"/>
  <c r="J143" i="171" s="1"/>
  <c r="H142" i="171"/>
  <c r="I142" i="171" s="1"/>
  <c r="I141" i="171"/>
  <c r="H141" i="171"/>
  <c r="J141" i="171" s="1"/>
  <c r="J140" i="171"/>
  <c r="H140" i="171"/>
  <c r="I140" i="171" s="1"/>
  <c r="H139" i="171"/>
  <c r="J139" i="171" s="1"/>
  <c r="H138" i="171"/>
  <c r="J138" i="171" s="1"/>
  <c r="J137" i="171"/>
  <c r="H137" i="171"/>
  <c r="I137" i="171" s="1"/>
  <c r="H136" i="171"/>
  <c r="J136" i="171" s="1"/>
  <c r="H135" i="171"/>
  <c r="J135" i="171" s="1"/>
  <c r="H134" i="171"/>
  <c r="I134" i="171" s="1"/>
  <c r="H133" i="171"/>
  <c r="J132" i="171"/>
  <c r="I132" i="171"/>
  <c r="H132" i="171"/>
  <c r="H131" i="171"/>
  <c r="J131" i="171" s="1"/>
  <c r="H130" i="171"/>
  <c r="J130" i="171" s="1"/>
  <c r="H129" i="171"/>
  <c r="H128" i="171"/>
  <c r="J128" i="171" s="1"/>
  <c r="H127" i="171"/>
  <c r="I127" i="171" s="1"/>
  <c r="H126" i="171"/>
  <c r="I126" i="171" s="1"/>
  <c r="J125" i="171"/>
  <c r="I125" i="171"/>
  <c r="H125" i="171"/>
  <c r="I124" i="171"/>
  <c r="H124" i="171"/>
  <c r="J124" i="171" s="1"/>
  <c r="I123" i="171"/>
  <c r="H123" i="171"/>
  <c r="J123" i="171" s="1"/>
  <c r="H122" i="171"/>
  <c r="J122" i="171" s="1"/>
  <c r="J121" i="171"/>
  <c r="H121" i="171"/>
  <c r="I121" i="171" s="1"/>
  <c r="H120" i="171"/>
  <c r="J120" i="171" s="1"/>
  <c r="H119" i="171"/>
  <c r="J119" i="171" s="1"/>
  <c r="H118" i="171"/>
  <c r="I118" i="171" s="1"/>
  <c r="J117" i="171"/>
  <c r="I117" i="171"/>
  <c r="H117" i="171"/>
  <c r="H116" i="171"/>
  <c r="J116" i="171" s="1"/>
  <c r="I115" i="171"/>
  <c r="H115" i="171"/>
  <c r="J115" i="171" s="1"/>
  <c r="H114" i="171"/>
  <c r="J114" i="171" s="1"/>
  <c r="J113" i="171"/>
  <c r="H113" i="171"/>
  <c r="I113" i="171" s="1"/>
  <c r="H112" i="171"/>
  <c r="J112" i="171" s="1"/>
  <c r="H111" i="171"/>
  <c r="J111" i="171" s="1"/>
  <c r="H110" i="171"/>
  <c r="I110" i="171" s="1"/>
  <c r="J109" i="171"/>
  <c r="H109" i="171"/>
  <c r="I109" i="171" s="1"/>
  <c r="J108" i="171"/>
  <c r="H108" i="171"/>
  <c r="I108" i="171" s="1"/>
  <c r="H107" i="171"/>
  <c r="J107" i="171" s="1"/>
  <c r="H106" i="171"/>
  <c r="J106" i="171" s="1"/>
  <c r="H105" i="171"/>
  <c r="I105" i="171" s="1"/>
  <c r="H104" i="171"/>
  <c r="J104" i="171" s="1"/>
  <c r="H103" i="171"/>
  <c r="I103" i="171" s="1"/>
  <c r="H102" i="171"/>
  <c r="I102" i="171" s="1"/>
  <c r="H101" i="171"/>
  <c r="J100" i="171"/>
  <c r="I100" i="171"/>
  <c r="H100" i="171"/>
  <c r="H99" i="171"/>
  <c r="J99" i="171" s="1"/>
  <c r="H98" i="171"/>
  <c r="J98" i="171" s="1"/>
  <c r="H97" i="171"/>
  <c r="H96" i="171"/>
  <c r="J96" i="171" s="1"/>
  <c r="H95" i="171"/>
  <c r="I95" i="171" s="1"/>
  <c r="H94" i="171"/>
  <c r="I94" i="171" s="1"/>
  <c r="J93" i="171"/>
  <c r="I93" i="171"/>
  <c r="H93" i="171"/>
  <c r="G93" i="171"/>
  <c r="J92" i="171"/>
  <c r="H92" i="171"/>
  <c r="I92" i="171" s="1"/>
  <c r="H91" i="171"/>
  <c r="J91" i="171" s="1"/>
  <c r="H90" i="171"/>
  <c r="I90" i="171" s="1"/>
  <c r="H89" i="171"/>
  <c r="I89" i="171" s="1"/>
  <c r="H88" i="171"/>
  <c r="J88" i="171" s="1"/>
  <c r="G88" i="171"/>
  <c r="H87" i="171"/>
  <c r="I87" i="171" s="1"/>
  <c r="H86" i="171"/>
  <c r="J86" i="171" s="1"/>
  <c r="H85" i="171"/>
  <c r="I85" i="171" s="1"/>
  <c r="H84" i="171"/>
  <c r="I84" i="171" s="1"/>
  <c r="H83" i="171"/>
  <c r="J82" i="171"/>
  <c r="I82" i="171"/>
  <c r="H82" i="171"/>
  <c r="H81" i="171"/>
  <c r="J81" i="171" s="1"/>
  <c r="H80" i="171"/>
  <c r="J80" i="171" s="1"/>
  <c r="H79" i="171"/>
  <c r="H78" i="171"/>
  <c r="J78" i="171" s="1"/>
  <c r="H77" i="171"/>
  <c r="I77" i="171" s="1"/>
  <c r="H76" i="171"/>
  <c r="I76" i="171" s="1"/>
  <c r="J75" i="171"/>
  <c r="I75" i="171"/>
  <c r="H75" i="171"/>
  <c r="H74" i="171"/>
  <c r="J74" i="171" s="1"/>
  <c r="I73" i="171"/>
  <c r="H73" i="171"/>
  <c r="J73" i="171" s="1"/>
  <c r="H72" i="171"/>
  <c r="J72" i="171" s="1"/>
  <c r="J71" i="171"/>
  <c r="H71" i="171"/>
  <c r="I71" i="171" s="1"/>
  <c r="H70" i="171"/>
  <c r="J70" i="171" s="1"/>
  <c r="H69" i="171"/>
  <c r="I69" i="171" s="1"/>
  <c r="H68" i="171"/>
  <c r="I68" i="171" s="1"/>
  <c r="J67" i="171"/>
  <c r="I67" i="171"/>
  <c r="H67" i="171"/>
  <c r="H66" i="171"/>
  <c r="J66" i="171" s="1"/>
  <c r="H65" i="171"/>
  <c r="J65" i="171" s="1"/>
  <c r="H64" i="171"/>
  <c r="J64" i="171" s="1"/>
  <c r="J63" i="171"/>
  <c r="H63" i="171"/>
  <c r="I63" i="171" s="1"/>
  <c r="H62" i="171"/>
  <c r="J62" i="171" s="1"/>
  <c r="H61" i="171"/>
  <c r="J61" i="171" s="1"/>
  <c r="H60" i="171"/>
  <c r="I60" i="171" s="1"/>
  <c r="I59" i="171"/>
  <c r="H59" i="171"/>
  <c r="J59" i="171" s="1"/>
  <c r="J58" i="171"/>
  <c r="H58" i="171"/>
  <c r="I58" i="171" s="1"/>
  <c r="H57" i="171"/>
  <c r="J57" i="171" s="1"/>
  <c r="H56" i="171"/>
  <c r="J56" i="171" s="1"/>
  <c r="J55" i="171"/>
  <c r="H55" i="171"/>
  <c r="I55" i="171" s="1"/>
  <c r="G55" i="171"/>
  <c r="D55" i="171"/>
  <c r="H54" i="171"/>
  <c r="J54" i="171" s="1"/>
  <c r="D54" i="171"/>
  <c r="H53" i="171"/>
  <c r="I53" i="171" s="1"/>
  <c r="J52" i="171"/>
  <c r="I52" i="171"/>
  <c r="H52" i="171"/>
  <c r="J51" i="171"/>
  <c r="I51" i="171"/>
  <c r="H51" i="171"/>
  <c r="H50" i="171"/>
  <c r="J50" i="171" s="1"/>
  <c r="H49" i="171"/>
  <c r="J49" i="171" s="1"/>
  <c r="G49" i="171"/>
  <c r="H48" i="171"/>
  <c r="I48" i="171" s="1"/>
  <c r="G48" i="171"/>
  <c r="H47" i="171"/>
  <c r="J47" i="171" s="1"/>
  <c r="J46" i="171"/>
  <c r="H46" i="171"/>
  <c r="I46" i="171" s="1"/>
  <c r="H45" i="171"/>
  <c r="J45" i="171" s="1"/>
  <c r="H44" i="171"/>
  <c r="J44" i="171" s="1"/>
  <c r="H43" i="171"/>
  <c r="I43" i="171" s="1"/>
  <c r="G43" i="171"/>
  <c r="H42" i="171"/>
  <c r="I42" i="171" s="1"/>
  <c r="G42" i="171"/>
  <c r="H41" i="171"/>
  <c r="I41" i="171" s="1"/>
  <c r="H40" i="171"/>
  <c r="J40" i="171" s="1"/>
  <c r="H39" i="171"/>
  <c r="I39" i="171" s="1"/>
  <c r="G39" i="171"/>
  <c r="H38" i="171"/>
  <c r="I38" i="171" s="1"/>
  <c r="H37" i="171"/>
  <c r="J37" i="171" s="1"/>
  <c r="H36" i="171"/>
  <c r="I36" i="171" s="1"/>
  <c r="G36" i="171"/>
  <c r="H35" i="171"/>
  <c r="I35" i="171" s="1"/>
  <c r="H34" i="171"/>
  <c r="I34" i="171" s="1"/>
  <c r="H33" i="171"/>
  <c r="I33" i="171" s="1"/>
  <c r="H32" i="171"/>
  <c r="J32" i="171" s="1"/>
  <c r="H31" i="171"/>
  <c r="I31" i="171" s="1"/>
  <c r="H30" i="171"/>
  <c r="J29" i="171"/>
  <c r="I29" i="171"/>
  <c r="H29" i="171"/>
  <c r="H28" i="171"/>
  <c r="J28" i="171" s="1"/>
  <c r="H27" i="171"/>
  <c r="I27" i="171" s="1"/>
  <c r="G27" i="171"/>
  <c r="H26" i="171"/>
  <c r="I26" i="171" s="1"/>
  <c r="G26" i="171"/>
  <c r="H25" i="171"/>
  <c r="J25" i="171" s="1"/>
  <c r="G25" i="171"/>
  <c r="H24" i="171"/>
  <c r="I24" i="171" s="1"/>
  <c r="J23" i="171"/>
  <c r="H23" i="171"/>
  <c r="I23" i="171" s="1"/>
  <c r="H22" i="171"/>
  <c r="J22" i="171" s="1"/>
  <c r="H21" i="171"/>
  <c r="J21" i="171" s="1"/>
  <c r="H20" i="171"/>
  <c r="J20" i="171" s="1"/>
  <c r="J19" i="171"/>
  <c r="H19" i="171"/>
  <c r="I19" i="171" s="1"/>
  <c r="H18" i="171"/>
  <c r="I18" i="171" s="1"/>
  <c r="H17" i="171"/>
  <c r="I17" i="171" s="1"/>
  <c r="H16" i="171"/>
  <c r="J16" i="171" s="1"/>
  <c r="J15" i="171"/>
  <c r="I15" i="171"/>
  <c r="H15" i="171"/>
  <c r="J14" i="171"/>
  <c r="H14" i="171"/>
  <c r="I14" i="171" s="1"/>
  <c r="G14" i="171"/>
  <c r="H13" i="171"/>
  <c r="J13" i="171" s="1"/>
  <c r="H12" i="171"/>
  <c r="J12" i="171" s="1"/>
  <c r="I194" i="171" l="1"/>
  <c r="J194" i="171"/>
  <c r="I307" i="171"/>
  <c r="J281" i="171"/>
  <c r="I371" i="171"/>
  <c r="J371" i="171"/>
  <c r="I133" i="171"/>
  <c r="J133" i="171"/>
  <c r="I184" i="171"/>
  <c r="I206" i="171"/>
  <c r="J206" i="171"/>
  <c r="I234" i="171"/>
  <c r="I276" i="171"/>
  <c r="I160" i="171"/>
  <c r="I250" i="171"/>
  <c r="I330" i="171"/>
  <c r="J330" i="171"/>
  <c r="J340" i="171"/>
  <c r="J355" i="171"/>
  <c r="I366" i="171"/>
  <c r="J460" i="171"/>
  <c r="I460" i="171"/>
  <c r="J105" i="171"/>
  <c r="J253" i="171"/>
  <c r="I253" i="171"/>
  <c r="I296" i="171"/>
  <c r="J296" i="171"/>
  <c r="I322" i="171"/>
  <c r="J348" i="171"/>
  <c r="I348" i="171"/>
  <c r="I358" i="171"/>
  <c r="I409" i="171"/>
  <c r="J409" i="171"/>
  <c r="I425" i="171"/>
  <c r="J425" i="171"/>
  <c r="I494" i="171"/>
  <c r="J39" i="171"/>
  <c r="I200" i="171"/>
  <c r="J265" i="171"/>
  <c r="I79" i="171"/>
  <c r="J79" i="171"/>
  <c r="I101" i="171"/>
  <c r="J101" i="171"/>
  <c r="J30" i="171"/>
  <c r="I30" i="171"/>
  <c r="I74" i="171"/>
  <c r="I129" i="171"/>
  <c r="J129" i="171"/>
  <c r="I155" i="171"/>
  <c r="J181" i="171"/>
  <c r="J197" i="171"/>
  <c r="J213" i="171"/>
  <c r="I260" i="171"/>
  <c r="J288" i="171"/>
  <c r="I315" i="171"/>
  <c r="J315" i="171"/>
  <c r="I379" i="171"/>
  <c r="J379" i="171"/>
  <c r="I405" i="171"/>
  <c r="J421" i="171"/>
  <c r="I421" i="171"/>
  <c r="J478" i="171"/>
  <c r="I478" i="171"/>
  <c r="J486" i="171"/>
  <c r="I486" i="171"/>
  <c r="I83" i="171"/>
  <c r="J83" i="171"/>
  <c r="J343" i="171"/>
  <c r="I343" i="171"/>
  <c r="J166" i="171"/>
  <c r="I166" i="171"/>
  <c r="I417" i="171"/>
  <c r="J417" i="171"/>
  <c r="J455" i="171"/>
  <c r="I455" i="171"/>
  <c r="J467" i="171"/>
  <c r="J491" i="171"/>
  <c r="I475" i="171"/>
  <c r="J475" i="171"/>
  <c r="J332" i="171"/>
  <c r="I413" i="171"/>
  <c r="J413" i="171"/>
  <c r="J429" i="171"/>
  <c r="I429" i="171"/>
  <c r="I452" i="171"/>
  <c r="J34" i="171"/>
  <c r="J165" i="171"/>
  <c r="I217" i="171"/>
  <c r="J217" i="171"/>
  <c r="J382" i="171"/>
  <c r="I382" i="171"/>
  <c r="I447" i="171"/>
  <c r="I470" i="171"/>
  <c r="I190" i="171"/>
  <c r="J190" i="171"/>
  <c r="J303" i="171"/>
  <c r="I483" i="171"/>
  <c r="J483" i="171"/>
  <c r="I97" i="171"/>
  <c r="J97" i="171"/>
  <c r="I22" i="171"/>
  <c r="I65" i="171"/>
  <c r="J87" i="171"/>
  <c r="I147" i="171"/>
  <c r="I151" i="171"/>
  <c r="J151" i="171"/>
  <c r="I220" i="171"/>
  <c r="I242" i="171"/>
  <c r="I284" i="171"/>
  <c r="I336" i="171"/>
  <c r="J363" i="171"/>
  <c r="I374" i="171"/>
  <c r="J374" i="171"/>
  <c r="J401" i="171"/>
  <c r="I57" i="171"/>
  <c r="I66" i="171"/>
  <c r="I88" i="171"/>
  <c r="I107" i="171"/>
  <c r="I116" i="171"/>
  <c r="I139" i="171"/>
  <c r="I171" i="171"/>
  <c r="I178" i="171"/>
  <c r="I182" i="171"/>
  <c r="I198" i="171"/>
  <c r="J210" i="171"/>
  <c r="I214" i="171"/>
  <c r="I218" i="171"/>
  <c r="I227" i="171"/>
  <c r="J231" i="171"/>
  <c r="I235" i="171"/>
  <c r="J239" i="171"/>
  <c r="I243" i="171"/>
  <c r="I251" i="171"/>
  <c r="J258" i="171"/>
  <c r="J266" i="171"/>
  <c r="J274" i="171"/>
  <c r="J282" i="171"/>
  <c r="I285" i="171"/>
  <c r="J292" i="171"/>
  <c r="J297" i="171"/>
  <c r="I300" i="171"/>
  <c r="J305" i="171"/>
  <c r="I308" i="171"/>
  <c r="I323" i="171"/>
  <c r="J327" i="171"/>
  <c r="J334" i="171"/>
  <c r="I337" i="171"/>
  <c r="I341" i="171"/>
  <c r="J356" i="171"/>
  <c r="J364" i="171"/>
  <c r="I367" i="171"/>
  <c r="I372" i="171"/>
  <c r="I380" i="171"/>
  <c r="J390" i="171"/>
  <c r="J398" i="171"/>
  <c r="J403" i="171"/>
  <c r="I406" i="171"/>
  <c r="J437" i="171"/>
  <c r="J445" i="171"/>
  <c r="J449" i="171"/>
  <c r="I453" i="171"/>
  <c r="J468" i="171"/>
  <c r="I471" i="171"/>
  <c r="I476" i="171"/>
  <c r="I484" i="171"/>
  <c r="J492" i="171"/>
  <c r="J387" i="171"/>
  <c r="J395" i="171"/>
  <c r="J433" i="171"/>
  <c r="J441" i="171"/>
  <c r="I40" i="171"/>
  <c r="J457" i="171"/>
  <c r="I461" i="171"/>
  <c r="J497" i="171"/>
  <c r="I81" i="171"/>
  <c r="I99" i="171"/>
  <c r="I131" i="171"/>
  <c r="J195" i="171"/>
  <c r="J211" i="171"/>
  <c r="J263" i="171"/>
  <c r="J271" i="171"/>
  <c r="J328" i="171"/>
  <c r="J353" i="171"/>
  <c r="J361" i="171"/>
  <c r="I399" i="171"/>
  <c r="J435" i="171"/>
  <c r="I438" i="171"/>
  <c r="J443" i="171"/>
  <c r="I446" i="171"/>
  <c r="J465" i="171"/>
  <c r="I469" i="171"/>
  <c r="J489" i="171"/>
  <c r="I493" i="171"/>
  <c r="G10" i="171"/>
  <c r="J289" i="171"/>
  <c r="J312" i="171"/>
  <c r="J319" i="171"/>
  <c r="I351" i="171"/>
  <c r="I463" i="171"/>
  <c r="J378" i="171"/>
  <c r="I378" i="171"/>
  <c r="I12" i="171"/>
  <c r="I44" i="171"/>
  <c r="I119" i="171"/>
  <c r="I135" i="171"/>
  <c r="J272" i="171"/>
  <c r="J27" i="171"/>
  <c r="J35" i="171"/>
  <c r="J42" i="171"/>
  <c r="I45" i="171"/>
  <c r="I16" i="171"/>
  <c r="J24" i="171"/>
  <c r="J26" i="171"/>
  <c r="J31" i="171"/>
  <c r="J36" i="171"/>
  <c r="J41" i="171"/>
  <c r="J43" i="171"/>
  <c r="J48" i="171"/>
  <c r="J53" i="171"/>
  <c r="J60" i="171"/>
  <c r="J68" i="171"/>
  <c r="J76" i="171"/>
  <c r="J84" i="171"/>
  <c r="J89" i="171"/>
  <c r="J94" i="171"/>
  <c r="J102" i="171"/>
  <c r="J110" i="171"/>
  <c r="J118" i="171"/>
  <c r="J126" i="171"/>
  <c r="J134" i="171"/>
  <c r="J142" i="171"/>
  <c r="J152" i="171"/>
  <c r="J157" i="171"/>
  <c r="J163" i="171"/>
  <c r="J169" i="171"/>
  <c r="J187" i="171"/>
  <c r="J203" i="171"/>
  <c r="J215" i="171"/>
  <c r="J225" i="171"/>
  <c r="J232" i="171"/>
  <c r="J246" i="171"/>
  <c r="I246" i="171"/>
  <c r="J264" i="171"/>
  <c r="J278" i="171"/>
  <c r="I278" i="171"/>
  <c r="J310" i="171"/>
  <c r="I310" i="171"/>
  <c r="J370" i="171"/>
  <c r="I370" i="171"/>
  <c r="J434" i="171"/>
  <c r="I434" i="171"/>
  <c r="I32" i="171"/>
  <c r="I148" i="171"/>
  <c r="I479" i="171"/>
  <c r="I487" i="171"/>
  <c r="I495" i="171"/>
  <c r="J352" i="171"/>
  <c r="I352" i="171"/>
  <c r="I37" i="171"/>
  <c r="I61" i="171"/>
  <c r="I111" i="171"/>
  <c r="I143" i="171"/>
  <c r="I153" i="171"/>
  <c r="I176" i="171"/>
  <c r="J216" i="171"/>
  <c r="J304" i="171"/>
  <c r="J318" i="171"/>
  <c r="I318" i="171"/>
  <c r="I338" i="171"/>
  <c r="I359" i="171"/>
  <c r="J386" i="171"/>
  <c r="I386" i="171"/>
  <c r="I415" i="171"/>
  <c r="J450" i="171"/>
  <c r="I450" i="171"/>
  <c r="J17" i="171"/>
  <c r="I20" i="171"/>
  <c r="I25" i="171"/>
  <c r="I47" i="171"/>
  <c r="I49" i="171"/>
  <c r="I54" i="171"/>
  <c r="I56" i="171"/>
  <c r="I64" i="171"/>
  <c r="J69" i="171"/>
  <c r="I72" i="171"/>
  <c r="J77" i="171"/>
  <c r="I80" i="171"/>
  <c r="J85" i="171"/>
  <c r="J90" i="171"/>
  <c r="J95" i="171"/>
  <c r="I98" i="171"/>
  <c r="J103" i="171"/>
  <c r="I106" i="171"/>
  <c r="I114" i="171"/>
  <c r="I122" i="171"/>
  <c r="J127" i="171"/>
  <c r="I130" i="171"/>
  <c r="I138" i="171"/>
  <c r="I146" i="171"/>
  <c r="J158" i="171"/>
  <c r="I161" i="171"/>
  <c r="I179" i="171"/>
  <c r="I185" i="171"/>
  <c r="I201" i="171"/>
  <c r="I223" i="171"/>
  <c r="J226" i="171"/>
  <c r="I229" i="171"/>
  <c r="I261" i="171"/>
  <c r="I293" i="171"/>
  <c r="I325" i="171"/>
  <c r="J339" i="171"/>
  <c r="I339" i="171"/>
  <c r="J346" i="171"/>
  <c r="J360" i="171"/>
  <c r="I360" i="171"/>
  <c r="J394" i="171"/>
  <c r="I394" i="171"/>
  <c r="I423" i="171"/>
  <c r="J458" i="171"/>
  <c r="I458" i="171"/>
  <c r="J230" i="171"/>
  <c r="I230" i="171"/>
  <c r="J262" i="171"/>
  <c r="I262" i="171"/>
  <c r="J294" i="171"/>
  <c r="I294" i="171"/>
  <c r="J326" i="171"/>
  <c r="I326" i="171"/>
  <c r="J402" i="171"/>
  <c r="I402" i="171"/>
  <c r="J466" i="171"/>
  <c r="I466" i="171"/>
  <c r="I62" i="171"/>
  <c r="I70" i="171"/>
  <c r="I78" i="171"/>
  <c r="I86" i="171"/>
  <c r="I91" i="171"/>
  <c r="I96" i="171"/>
  <c r="I104" i="171"/>
  <c r="I112" i="171"/>
  <c r="I120" i="171"/>
  <c r="I128" i="171"/>
  <c r="I136" i="171"/>
  <c r="I144" i="171"/>
  <c r="I149" i="171"/>
  <c r="I154" i="171"/>
  <c r="I156" i="171"/>
  <c r="I159" i="171"/>
  <c r="I162" i="171"/>
  <c r="I168" i="171"/>
  <c r="I174" i="171"/>
  <c r="I180" i="171"/>
  <c r="I186" i="171"/>
  <c r="I192" i="171"/>
  <c r="I202" i="171"/>
  <c r="I208" i="171"/>
  <c r="I237" i="171"/>
  <c r="I269" i="171"/>
  <c r="I301" i="171"/>
  <c r="J333" i="171"/>
  <c r="J354" i="171"/>
  <c r="J368" i="171"/>
  <c r="I368" i="171"/>
  <c r="I375" i="171"/>
  <c r="J410" i="171"/>
  <c r="I410" i="171"/>
  <c r="I439" i="171"/>
  <c r="J474" i="171"/>
  <c r="I474" i="171"/>
  <c r="J442" i="171"/>
  <c r="I442" i="171"/>
  <c r="J164" i="171"/>
  <c r="J170" i="171"/>
  <c r="J204" i="171"/>
  <c r="J240" i="171"/>
  <c r="J254" i="171"/>
  <c r="I254" i="171"/>
  <c r="J286" i="171"/>
  <c r="I286" i="171"/>
  <c r="J18" i="171"/>
  <c r="I21" i="171"/>
  <c r="I28" i="171"/>
  <c r="J33" i="171"/>
  <c r="J38" i="171"/>
  <c r="I50" i="171"/>
  <c r="J238" i="171"/>
  <c r="I238" i="171"/>
  <c r="J270" i="171"/>
  <c r="I270" i="171"/>
  <c r="J302" i="171"/>
  <c r="I302" i="171"/>
  <c r="J418" i="171"/>
  <c r="I418" i="171"/>
  <c r="J482" i="171"/>
  <c r="I482" i="171"/>
  <c r="J490" i="171"/>
  <c r="I490" i="171"/>
  <c r="J498" i="171"/>
  <c r="I498" i="171"/>
  <c r="J188" i="171"/>
  <c r="J247" i="171"/>
  <c r="J279" i="171"/>
  <c r="I13" i="171"/>
  <c r="I175" i="171"/>
  <c r="I193" i="171"/>
  <c r="I209" i="171"/>
  <c r="I221" i="171"/>
  <c r="I245" i="171"/>
  <c r="I277" i="171"/>
  <c r="I309" i="171"/>
  <c r="J344" i="171"/>
  <c r="I344" i="171"/>
  <c r="J362" i="171"/>
  <c r="I391" i="171"/>
  <c r="J426" i="171"/>
  <c r="I426" i="171"/>
  <c r="I376" i="171"/>
  <c r="I384" i="171"/>
  <c r="I392" i="171"/>
  <c r="I400" i="171"/>
  <c r="I408" i="171"/>
  <c r="I416" i="171"/>
  <c r="I424" i="171"/>
  <c r="I432" i="171"/>
  <c r="I440" i="171"/>
  <c r="I448" i="171"/>
  <c r="I456" i="171"/>
  <c r="I464" i="171"/>
  <c r="I472" i="171"/>
  <c r="I480" i="171"/>
  <c r="I488" i="171"/>
  <c r="I496" i="171"/>
  <c r="I499" i="171"/>
  <c r="F80" i="169"/>
  <c r="E80" i="169"/>
  <c r="F62" i="169"/>
  <c r="E62" i="169"/>
  <c r="F54" i="169"/>
  <c r="E54" i="169"/>
  <c r="F32" i="169"/>
  <c r="E32" i="169"/>
  <c r="F15" i="169"/>
  <c r="E15" i="169"/>
  <c r="F11" i="169"/>
  <c r="E11" i="169"/>
  <c r="F5" i="169"/>
  <c r="E5" i="169"/>
  <c r="E103" i="169" s="1"/>
  <c r="B8" i="45" l="1"/>
  <c r="D272" i="26"/>
  <c r="D591" i="26" l="1"/>
  <c r="D590" i="26"/>
  <c r="D589" i="26"/>
  <c r="D588" i="26"/>
  <c r="D587" i="26"/>
  <c r="D586" i="26"/>
  <c r="D585" i="26"/>
  <c r="D584" i="26"/>
  <c r="D583" i="26"/>
  <c r="D582" i="26"/>
  <c r="D581" i="26"/>
  <c r="D580" i="26"/>
  <c r="D579" i="26"/>
  <c r="D578" i="26"/>
  <c r="D577" i="26"/>
  <c r="D576" i="26"/>
  <c r="D575" i="26"/>
  <c r="D574" i="26"/>
  <c r="D573" i="26"/>
  <c r="D572" i="26"/>
  <c r="D571" i="26"/>
  <c r="D570" i="26"/>
  <c r="D569" i="26"/>
  <c r="D568" i="26"/>
  <c r="D567" i="26"/>
  <c r="D566" i="26"/>
  <c r="D565" i="26"/>
  <c r="D564" i="26"/>
  <c r="D563" i="26"/>
  <c r="D562" i="26"/>
  <c r="D561" i="26"/>
  <c r="D560" i="26"/>
  <c r="D559" i="26"/>
  <c r="D558" i="26"/>
  <c r="D557" i="26"/>
  <c r="D556" i="26"/>
  <c r="D555" i="26"/>
  <c r="D554" i="26"/>
  <c r="D553" i="26"/>
  <c r="D552" i="26"/>
  <c r="D551" i="26"/>
  <c r="D550" i="26"/>
  <c r="D549" i="26"/>
  <c r="D548" i="26"/>
  <c r="D547" i="26"/>
  <c r="D546" i="26"/>
  <c r="D545" i="26"/>
  <c r="D544" i="26"/>
  <c r="D543" i="26"/>
  <c r="D542" i="26"/>
  <c r="D541" i="26"/>
  <c r="D540" i="26"/>
  <c r="D539" i="26"/>
  <c r="D538" i="26"/>
  <c r="D537" i="26"/>
  <c r="D536" i="26"/>
  <c r="D535" i="26"/>
  <c r="D534" i="26"/>
  <c r="D533" i="26"/>
  <c r="D532" i="26"/>
  <c r="D531" i="26"/>
  <c r="D530" i="26"/>
  <c r="D529" i="26"/>
  <c r="D528" i="26"/>
  <c r="D527" i="26"/>
  <c r="D526" i="26"/>
  <c r="D525" i="26"/>
  <c r="D524" i="26"/>
  <c r="D523" i="26"/>
  <c r="D522" i="26"/>
  <c r="D521" i="26"/>
  <c r="D520" i="26"/>
  <c r="D519" i="26"/>
  <c r="D518" i="26"/>
  <c r="D517" i="26"/>
  <c r="D516" i="26"/>
  <c r="D515" i="26"/>
  <c r="D514" i="26"/>
  <c r="D513" i="26"/>
  <c r="D512" i="26"/>
  <c r="D511" i="26"/>
  <c r="D510" i="26"/>
  <c r="D509" i="26"/>
  <c r="D508" i="26"/>
  <c r="D507" i="26"/>
  <c r="D506" i="26"/>
  <c r="D505" i="26"/>
  <c r="D504" i="26"/>
  <c r="D503" i="26"/>
  <c r="D502" i="26"/>
  <c r="D501" i="26"/>
  <c r="D500" i="26"/>
  <c r="D499" i="26"/>
  <c r="D498" i="26"/>
  <c r="D497" i="26"/>
  <c r="D496" i="26"/>
  <c r="D495" i="26"/>
  <c r="D494" i="26"/>
  <c r="D493" i="26"/>
  <c r="D492" i="26"/>
  <c r="D491" i="26"/>
  <c r="D490" i="26"/>
  <c r="D489" i="26"/>
  <c r="D488" i="26"/>
  <c r="D487" i="26"/>
  <c r="D486" i="26"/>
  <c r="D485" i="26"/>
  <c r="D484" i="26"/>
  <c r="D483" i="26"/>
  <c r="D482" i="26"/>
  <c r="D481" i="26"/>
  <c r="D480" i="26"/>
  <c r="D479" i="26"/>
  <c r="D478" i="26"/>
  <c r="D477" i="26"/>
  <c r="D476" i="26"/>
  <c r="D475" i="26"/>
  <c r="D474" i="26"/>
  <c r="D473" i="26"/>
  <c r="D472" i="26"/>
  <c r="D471" i="26"/>
  <c r="D470" i="26"/>
  <c r="D469" i="26"/>
  <c r="D468" i="26"/>
  <c r="D467" i="26"/>
  <c r="D466" i="26"/>
  <c r="D465" i="26"/>
  <c r="D464" i="26"/>
  <c r="D463" i="26"/>
  <c r="D462" i="26"/>
  <c r="D461" i="26"/>
  <c r="D460" i="26"/>
  <c r="D459" i="26"/>
  <c r="D458" i="26"/>
  <c r="D457" i="26"/>
  <c r="D456" i="26"/>
  <c r="D455" i="26"/>
  <c r="D454" i="26"/>
  <c r="D453" i="26"/>
  <c r="D452" i="26"/>
  <c r="D451" i="26"/>
  <c r="D450" i="26"/>
  <c r="D449" i="26"/>
  <c r="D448" i="26"/>
  <c r="D447" i="26"/>
  <c r="D446" i="26"/>
  <c r="D445" i="26"/>
  <c r="D444" i="26"/>
  <c r="D443" i="26"/>
  <c r="D442" i="26"/>
  <c r="D441" i="26"/>
  <c r="D440" i="26"/>
  <c r="D439" i="26"/>
  <c r="D438" i="26"/>
  <c r="D437" i="26"/>
  <c r="D436" i="26"/>
  <c r="D435" i="26"/>
  <c r="D434" i="26"/>
  <c r="D433" i="26"/>
  <c r="D432" i="26"/>
  <c r="D431" i="26"/>
  <c r="D430" i="26"/>
  <c r="D429" i="26"/>
  <c r="D428" i="26"/>
  <c r="D427" i="26"/>
  <c r="D426" i="26"/>
  <c r="D425" i="26"/>
  <c r="D424" i="26"/>
  <c r="D423" i="26"/>
  <c r="D422" i="26"/>
  <c r="D421" i="26"/>
  <c r="D420" i="26"/>
  <c r="D419" i="26"/>
  <c r="D418" i="26"/>
  <c r="D417" i="26"/>
  <c r="D416" i="26"/>
  <c r="D415" i="26"/>
  <c r="D414" i="26"/>
  <c r="D413" i="26"/>
  <c r="D412" i="26"/>
  <c r="D411" i="26"/>
  <c r="D410" i="26"/>
  <c r="D409" i="26"/>
  <c r="D408" i="26"/>
  <c r="D407" i="26"/>
  <c r="D406" i="26"/>
  <c r="D405" i="26"/>
  <c r="D404" i="26"/>
  <c r="D403" i="26"/>
  <c r="D402" i="26"/>
  <c r="D401" i="26"/>
  <c r="D400" i="26"/>
  <c r="D399" i="26"/>
  <c r="D398" i="26"/>
  <c r="D397" i="26"/>
  <c r="D396" i="26"/>
  <c r="D395" i="26"/>
  <c r="D394" i="26"/>
  <c r="D393" i="26"/>
  <c r="D392" i="26"/>
  <c r="D391" i="26"/>
  <c r="D390" i="26"/>
  <c r="D389" i="26"/>
  <c r="D388" i="26"/>
  <c r="D387" i="26"/>
  <c r="D386" i="26"/>
  <c r="D385" i="26"/>
  <c r="D384" i="26"/>
  <c r="D383" i="26"/>
  <c r="D382" i="26"/>
  <c r="D381" i="26"/>
  <c r="D380" i="26"/>
  <c r="D379" i="26"/>
  <c r="D378" i="26"/>
  <c r="D377" i="26"/>
  <c r="D376" i="26"/>
  <c r="D375" i="26"/>
  <c r="D374" i="26"/>
  <c r="D373" i="26"/>
  <c r="D372" i="26"/>
  <c r="D371" i="26"/>
  <c r="D370" i="26"/>
  <c r="D369" i="26"/>
  <c r="D368" i="26"/>
  <c r="D367" i="26"/>
  <c r="D366" i="26"/>
  <c r="D365" i="26"/>
  <c r="D364" i="26"/>
  <c r="D353" i="26"/>
  <c r="D354" i="26"/>
  <c r="D355" i="26"/>
  <c r="D356" i="26"/>
  <c r="D357" i="26"/>
  <c r="D358" i="26"/>
  <c r="D359" i="26"/>
  <c r="D360" i="26"/>
  <c r="D361" i="26"/>
  <c r="D362" i="26"/>
  <c r="D363" i="26"/>
  <c r="E353" i="26" l="1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E642" i="26"/>
  <c r="E643" i="26"/>
  <c r="E644" i="26"/>
  <c r="E645" i="26"/>
  <c r="E646" i="26"/>
  <c r="E647" i="26"/>
  <c r="E648" i="26"/>
  <c r="E649" i="26"/>
  <c r="E650" i="26"/>
  <c r="E651" i="26"/>
  <c r="E652" i="26"/>
  <c r="E653" i="26"/>
  <c r="E654" i="26"/>
  <c r="E655" i="26"/>
  <c r="E656" i="26"/>
  <c r="E657" i="26"/>
  <c r="E658" i="26"/>
  <c r="D3" i="26"/>
  <c r="E3" i="26" s="1"/>
  <c r="D4" i="26"/>
  <c r="E4" i="26" s="1"/>
  <c r="D5" i="26"/>
  <c r="E5" i="26" s="1"/>
  <c r="D6" i="26"/>
  <c r="E6" i="26" s="1"/>
  <c r="D7" i="26"/>
  <c r="E7" i="26" s="1"/>
  <c r="D8" i="26"/>
  <c r="E8" i="26" s="1"/>
  <c r="D9" i="26"/>
  <c r="E9" i="26" s="1"/>
  <c r="D10" i="26"/>
  <c r="E10" i="26" s="1"/>
  <c r="D11" i="26"/>
  <c r="E11" i="26" s="1"/>
  <c r="D12" i="26"/>
  <c r="E12" i="26" s="1"/>
  <c r="D13" i="26"/>
  <c r="E13" i="26" s="1"/>
  <c r="D14" i="26"/>
  <c r="E14" i="26" s="1"/>
  <c r="D15" i="26"/>
  <c r="E15" i="26" s="1"/>
  <c r="D16" i="26"/>
  <c r="E16" i="26" s="1"/>
  <c r="D17" i="26"/>
  <c r="E17" i="26" s="1"/>
  <c r="D18" i="26"/>
  <c r="E18" i="26" s="1"/>
  <c r="D19" i="26"/>
  <c r="E19" i="26" s="1"/>
  <c r="D20" i="26"/>
  <c r="E20" i="26" s="1"/>
  <c r="D21" i="26"/>
  <c r="E21" i="26" s="1"/>
  <c r="D22" i="26"/>
  <c r="E22" i="26" s="1"/>
  <c r="D23" i="26"/>
  <c r="E23" i="26" s="1"/>
  <c r="D24" i="26"/>
  <c r="E24" i="26" s="1"/>
  <c r="D25" i="26"/>
  <c r="E25" i="26" s="1"/>
  <c r="D26" i="26"/>
  <c r="E26" i="26" s="1"/>
  <c r="D27" i="26"/>
  <c r="E27" i="26" s="1"/>
  <c r="D28" i="26"/>
  <c r="E28" i="26" s="1"/>
  <c r="D29" i="26"/>
  <c r="E29" i="26" s="1"/>
  <c r="D30" i="26"/>
  <c r="E30" i="26" s="1"/>
  <c r="D31" i="26"/>
  <c r="E31" i="26" s="1"/>
  <c r="D32" i="26"/>
  <c r="E32" i="26" s="1"/>
  <c r="D33" i="26"/>
  <c r="E33" i="26" s="1"/>
  <c r="D34" i="26"/>
  <c r="E34" i="26" s="1"/>
  <c r="D35" i="26"/>
  <c r="E35" i="26" s="1"/>
  <c r="D36" i="26"/>
  <c r="E36" i="26" s="1"/>
  <c r="D37" i="26"/>
  <c r="E37" i="26" s="1"/>
  <c r="D38" i="26"/>
  <c r="E38" i="26" s="1"/>
  <c r="D39" i="26"/>
  <c r="E39" i="26" s="1"/>
  <c r="D40" i="26"/>
  <c r="E40" i="26" s="1"/>
  <c r="D41" i="26"/>
  <c r="E41" i="26" s="1"/>
  <c r="D42" i="26"/>
  <c r="E42" i="26" s="1"/>
  <c r="D43" i="26"/>
  <c r="E43" i="26" s="1"/>
  <c r="D44" i="26"/>
  <c r="E44" i="26" s="1"/>
  <c r="D45" i="26"/>
  <c r="E45" i="26" s="1"/>
  <c r="D46" i="26"/>
  <c r="E46" i="26" s="1"/>
  <c r="D47" i="26"/>
  <c r="E47" i="26" s="1"/>
  <c r="D48" i="26"/>
  <c r="E48" i="26" s="1"/>
  <c r="D49" i="26"/>
  <c r="E49" i="26" s="1"/>
  <c r="D50" i="26"/>
  <c r="E50" i="26" s="1"/>
  <c r="D51" i="26"/>
  <c r="E51" i="26" s="1"/>
  <c r="D52" i="26"/>
  <c r="E52" i="26" s="1"/>
  <c r="D53" i="26"/>
  <c r="E53" i="26" s="1"/>
  <c r="D54" i="26"/>
  <c r="E54" i="26" s="1"/>
  <c r="D55" i="26"/>
  <c r="E55" i="26" s="1"/>
  <c r="D56" i="26"/>
  <c r="E56" i="26" s="1"/>
  <c r="D57" i="26"/>
  <c r="E57" i="26" s="1"/>
  <c r="D58" i="26"/>
  <c r="E58" i="26" s="1"/>
  <c r="D59" i="26"/>
  <c r="E59" i="26" s="1"/>
  <c r="D60" i="26"/>
  <c r="E60" i="26" s="1"/>
  <c r="D61" i="26"/>
  <c r="E61" i="26" s="1"/>
  <c r="D62" i="26"/>
  <c r="E62" i="26" s="1"/>
  <c r="D63" i="26"/>
  <c r="E63" i="26" s="1"/>
  <c r="D64" i="26"/>
  <c r="E64" i="26" s="1"/>
  <c r="D65" i="26"/>
  <c r="E65" i="26" s="1"/>
  <c r="D66" i="26"/>
  <c r="E66" i="26" s="1"/>
  <c r="D67" i="26"/>
  <c r="E67" i="26" s="1"/>
  <c r="D68" i="26"/>
  <c r="E68" i="26" s="1"/>
  <c r="D69" i="26"/>
  <c r="E69" i="26" s="1"/>
  <c r="D70" i="26"/>
  <c r="E70" i="26" s="1"/>
  <c r="D71" i="26"/>
  <c r="E71" i="26" s="1"/>
  <c r="D72" i="26"/>
  <c r="E72" i="26" s="1"/>
  <c r="D73" i="26"/>
  <c r="E73" i="26" s="1"/>
  <c r="D74" i="26"/>
  <c r="E74" i="26" s="1"/>
  <c r="D75" i="26"/>
  <c r="E75" i="26" s="1"/>
  <c r="D76" i="26"/>
  <c r="E76" i="26" s="1"/>
  <c r="D77" i="26"/>
  <c r="E77" i="26" s="1"/>
  <c r="D78" i="26"/>
  <c r="E78" i="26" s="1"/>
  <c r="D79" i="26"/>
  <c r="E79" i="26" s="1"/>
  <c r="D80" i="26"/>
  <c r="E80" i="26" s="1"/>
  <c r="D81" i="26"/>
  <c r="E81" i="26" s="1"/>
  <c r="D82" i="26"/>
  <c r="E82" i="26" s="1"/>
  <c r="D83" i="26"/>
  <c r="E83" i="26" s="1"/>
  <c r="D84" i="26"/>
  <c r="E84" i="26" s="1"/>
  <c r="D85" i="26"/>
  <c r="E85" i="26" s="1"/>
  <c r="D86" i="26"/>
  <c r="E86" i="26" s="1"/>
  <c r="D87" i="26"/>
  <c r="E87" i="26" s="1"/>
  <c r="D88" i="26"/>
  <c r="E88" i="26" s="1"/>
  <c r="D89" i="26"/>
  <c r="E89" i="26" s="1"/>
  <c r="D90" i="26"/>
  <c r="E90" i="26" s="1"/>
  <c r="D91" i="26"/>
  <c r="E91" i="26" s="1"/>
  <c r="D92" i="26"/>
  <c r="E92" i="26" s="1"/>
  <c r="D93" i="26"/>
  <c r="E93" i="26" s="1"/>
  <c r="D94" i="26"/>
  <c r="E94" i="26" s="1"/>
  <c r="D95" i="26"/>
  <c r="E95" i="26" s="1"/>
  <c r="D96" i="26"/>
  <c r="E96" i="26" s="1"/>
  <c r="D97" i="26"/>
  <c r="E97" i="26" s="1"/>
  <c r="D98" i="26"/>
  <c r="E98" i="26" s="1"/>
  <c r="D99" i="26"/>
  <c r="E99" i="26" s="1"/>
  <c r="D100" i="26"/>
  <c r="E100" i="26" s="1"/>
  <c r="D101" i="26"/>
  <c r="E101" i="26" s="1"/>
  <c r="D102" i="26"/>
  <c r="E102" i="26" s="1"/>
  <c r="D103" i="26"/>
  <c r="E103" i="26" s="1"/>
  <c r="D104" i="26"/>
  <c r="E104" i="26" s="1"/>
  <c r="D105" i="26"/>
  <c r="E105" i="26" s="1"/>
  <c r="D106" i="26"/>
  <c r="E106" i="26" s="1"/>
  <c r="D107" i="26"/>
  <c r="E107" i="26" s="1"/>
  <c r="D108" i="26"/>
  <c r="E108" i="26" s="1"/>
  <c r="D109" i="26"/>
  <c r="E109" i="26" s="1"/>
  <c r="D110" i="26"/>
  <c r="E110" i="26" s="1"/>
  <c r="D111" i="26"/>
  <c r="E111" i="26" s="1"/>
  <c r="D112" i="26"/>
  <c r="E112" i="26" s="1"/>
  <c r="D113" i="26"/>
  <c r="E113" i="26" s="1"/>
  <c r="D114" i="26"/>
  <c r="E114" i="26" s="1"/>
  <c r="D115" i="26"/>
  <c r="E115" i="26" s="1"/>
  <c r="D116" i="26"/>
  <c r="E116" i="26" s="1"/>
  <c r="D117" i="26"/>
  <c r="E117" i="26" s="1"/>
  <c r="D118" i="26"/>
  <c r="E118" i="26" s="1"/>
  <c r="D119" i="26"/>
  <c r="E119" i="26" s="1"/>
  <c r="D120" i="26"/>
  <c r="E120" i="26" s="1"/>
  <c r="D121" i="26"/>
  <c r="E121" i="26" s="1"/>
  <c r="D122" i="26"/>
  <c r="E122" i="26" s="1"/>
  <c r="D123" i="26"/>
  <c r="E123" i="26" s="1"/>
  <c r="D124" i="26"/>
  <c r="E124" i="26" s="1"/>
  <c r="D125" i="26"/>
  <c r="E125" i="26" s="1"/>
  <c r="D126" i="26"/>
  <c r="E126" i="26" s="1"/>
  <c r="D127" i="26"/>
  <c r="E127" i="26" s="1"/>
  <c r="D128" i="26"/>
  <c r="E128" i="26" s="1"/>
  <c r="D129" i="26"/>
  <c r="E129" i="26" s="1"/>
  <c r="D130" i="26"/>
  <c r="E130" i="26" s="1"/>
  <c r="D131" i="26"/>
  <c r="E131" i="26" s="1"/>
  <c r="D132" i="26"/>
  <c r="E132" i="26" s="1"/>
  <c r="D133" i="26"/>
  <c r="E133" i="26" s="1"/>
  <c r="D134" i="26"/>
  <c r="E134" i="26" s="1"/>
  <c r="D135" i="26"/>
  <c r="E135" i="26" s="1"/>
  <c r="D136" i="26"/>
  <c r="E136" i="26" s="1"/>
  <c r="D137" i="26"/>
  <c r="E137" i="26" s="1"/>
  <c r="D138" i="26"/>
  <c r="E138" i="26" s="1"/>
  <c r="D139" i="26"/>
  <c r="E139" i="26" s="1"/>
  <c r="D140" i="26"/>
  <c r="E140" i="26" s="1"/>
  <c r="D141" i="26"/>
  <c r="E141" i="26" s="1"/>
  <c r="D142" i="26"/>
  <c r="E142" i="26" s="1"/>
  <c r="D143" i="26"/>
  <c r="E143" i="26" s="1"/>
  <c r="D144" i="26"/>
  <c r="E144" i="26" s="1"/>
  <c r="D145" i="26"/>
  <c r="E145" i="26" s="1"/>
  <c r="D146" i="26"/>
  <c r="E146" i="26" s="1"/>
  <c r="D147" i="26"/>
  <c r="E147" i="26" s="1"/>
  <c r="D148" i="26"/>
  <c r="E148" i="26" s="1"/>
  <c r="D149" i="26"/>
  <c r="E149" i="26" s="1"/>
  <c r="D150" i="26"/>
  <c r="E150" i="26" s="1"/>
  <c r="D151" i="26"/>
  <c r="E151" i="26" s="1"/>
  <c r="D152" i="26"/>
  <c r="E152" i="26" s="1"/>
  <c r="D153" i="26"/>
  <c r="E153" i="26" s="1"/>
  <c r="D154" i="26"/>
  <c r="E154" i="26" s="1"/>
  <c r="D155" i="26"/>
  <c r="E155" i="26" s="1"/>
  <c r="D156" i="26"/>
  <c r="E156" i="26" s="1"/>
  <c r="D157" i="26"/>
  <c r="E157" i="26" s="1"/>
  <c r="D158" i="26"/>
  <c r="E158" i="26" s="1"/>
  <c r="D159" i="26"/>
  <c r="E159" i="26" s="1"/>
  <c r="D160" i="26"/>
  <c r="E160" i="26" s="1"/>
  <c r="D161" i="26"/>
  <c r="E161" i="26" s="1"/>
  <c r="D162" i="26"/>
  <c r="E162" i="26" s="1"/>
  <c r="D163" i="26"/>
  <c r="E163" i="26" s="1"/>
  <c r="D164" i="26"/>
  <c r="E164" i="26" s="1"/>
  <c r="D165" i="26"/>
  <c r="E165" i="26" s="1"/>
  <c r="D166" i="26"/>
  <c r="E166" i="26" s="1"/>
  <c r="D167" i="26"/>
  <c r="E167" i="26" s="1"/>
  <c r="D168" i="26"/>
  <c r="E168" i="26" s="1"/>
  <c r="D169" i="26"/>
  <c r="E169" i="26" s="1"/>
  <c r="D170" i="26"/>
  <c r="E170" i="26" s="1"/>
  <c r="D171" i="26"/>
  <c r="E171" i="26" s="1"/>
  <c r="D172" i="26"/>
  <c r="E172" i="26" s="1"/>
  <c r="D173" i="26"/>
  <c r="E173" i="26" s="1"/>
  <c r="D174" i="26"/>
  <c r="E174" i="26" s="1"/>
  <c r="D175" i="26"/>
  <c r="E175" i="26" s="1"/>
  <c r="D176" i="26"/>
  <c r="E176" i="26" s="1"/>
  <c r="D177" i="26"/>
  <c r="E177" i="26" s="1"/>
  <c r="D178" i="26"/>
  <c r="E178" i="26" s="1"/>
  <c r="D179" i="26"/>
  <c r="E179" i="26" s="1"/>
  <c r="D180" i="26"/>
  <c r="E180" i="26" s="1"/>
  <c r="D181" i="26"/>
  <c r="E181" i="26" s="1"/>
  <c r="D182" i="26"/>
  <c r="E182" i="26" s="1"/>
  <c r="D183" i="26"/>
  <c r="E183" i="26" s="1"/>
  <c r="D184" i="26"/>
  <c r="E184" i="26" s="1"/>
  <c r="D185" i="26"/>
  <c r="E185" i="26" s="1"/>
  <c r="D186" i="26"/>
  <c r="E186" i="26" s="1"/>
  <c r="D187" i="26"/>
  <c r="E187" i="26" s="1"/>
  <c r="D188" i="26"/>
  <c r="E188" i="26" s="1"/>
  <c r="D189" i="26"/>
  <c r="E189" i="26" s="1"/>
  <c r="D190" i="26"/>
  <c r="E190" i="26" s="1"/>
  <c r="D191" i="26"/>
  <c r="E191" i="26" s="1"/>
  <c r="D192" i="26"/>
  <c r="E192" i="26" s="1"/>
  <c r="D193" i="26"/>
  <c r="E193" i="26" s="1"/>
  <c r="D194" i="26"/>
  <c r="E194" i="26" s="1"/>
  <c r="D195" i="26"/>
  <c r="E195" i="26" s="1"/>
  <c r="D196" i="26"/>
  <c r="E196" i="26" s="1"/>
  <c r="D197" i="26"/>
  <c r="E197" i="26" s="1"/>
  <c r="D198" i="26"/>
  <c r="E198" i="26" s="1"/>
  <c r="D199" i="26"/>
  <c r="E199" i="26" s="1"/>
  <c r="D200" i="26"/>
  <c r="E200" i="26" s="1"/>
  <c r="D201" i="26"/>
  <c r="E201" i="26" s="1"/>
  <c r="D202" i="26"/>
  <c r="E202" i="26" s="1"/>
  <c r="D203" i="26"/>
  <c r="E203" i="26" s="1"/>
  <c r="D204" i="26"/>
  <c r="E204" i="26" s="1"/>
  <c r="D205" i="26"/>
  <c r="E205" i="26" s="1"/>
  <c r="D206" i="26"/>
  <c r="E206" i="26" s="1"/>
  <c r="D207" i="26"/>
  <c r="E207" i="26" s="1"/>
  <c r="D208" i="26"/>
  <c r="E208" i="26" s="1"/>
  <c r="D209" i="26"/>
  <c r="E209" i="26" s="1"/>
  <c r="D210" i="26"/>
  <c r="E210" i="26" s="1"/>
  <c r="D211" i="26"/>
  <c r="E211" i="26" s="1"/>
  <c r="D212" i="26"/>
  <c r="E212" i="26" s="1"/>
  <c r="D213" i="26"/>
  <c r="E213" i="26" s="1"/>
  <c r="D214" i="26"/>
  <c r="E214" i="26" s="1"/>
  <c r="D215" i="26"/>
  <c r="E215" i="26" s="1"/>
  <c r="D216" i="26"/>
  <c r="E216" i="26" s="1"/>
  <c r="D217" i="26"/>
  <c r="E217" i="26" s="1"/>
  <c r="D218" i="26"/>
  <c r="E218" i="26" s="1"/>
  <c r="D219" i="26"/>
  <c r="E219" i="26" s="1"/>
  <c r="D220" i="26"/>
  <c r="E220" i="26" s="1"/>
  <c r="D221" i="26"/>
  <c r="E221" i="26" s="1"/>
  <c r="D222" i="26"/>
  <c r="E222" i="26" s="1"/>
  <c r="D223" i="26"/>
  <c r="E223" i="26" s="1"/>
  <c r="D224" i="26"/>
  <c r="E224" i="26" s="1"/>
  <c r="D225" i="26"/>
  <c r="E225" i="26" s="1"/>
  <c r="D226" i="26"/>
  <c r="E226" i="26" s="1"/>
  <c r="D227" i="26"/>
  <c r="E227" i="26" s="1"/>
  <c r="D228" i="26"/>
  <c r="E228" i="26" s="1"/>
  <c r="D229" i="26"/>
  <c r="E229" i="26" s="1"/>
  <c r="D230" i="26"/>
  <c r="E230" i="26" s="1"/>
  <c r="D231" i="26"/>
  <c r="E231" i="26" s="1"/>
  <c r="D232" i="26"/>
  <c r="E232" i="26" s="1"/>
  <c r="D233" i="26"/>
  <c r="E233" i="26" s="1"/>
  <c r="D234" i="26"/>
  <c r="E234" i="26" s="1"/>
  <c r="D235" i="26"/>
  <c r="E235" i="26" s="1"/>
  <c r="D236" i="26"/>
  <c r="E236" i="26" s="1"/>
  <c r="D237" i="26"/>
  <c r="E237" i="26" s="1"/>
  <c r="D238" i="26"/>
  <c r="E238" i="26" s="1"/>
  <c r="D239" i="26"/>
  <c r="E239" i="26" s="1"/>
  <c r="D240" i="26"/>
  <c r="E240" i="26" s="1"/>
  <c r="D241" i="26"/>
  <c r="E241" i="26" s="1"/>
  <c r="D242" i="26"/>
  <c r="E242" i="26" s="1"/>
  <c r="D243" i="26"/>
  <c r="E243" i="26" s="1"/>
  <c r="D244" i="26"/>
  <c r="E244" i="26" s="1"/>
  <c r="D245" i="26"/>
  <c r="E245" i="26" s="1"/>
  <c r="D246" i="26"/>
  <c r="E246" i="26" s="1"/>
  <c r="D247" i="26"/>
  <c r="E247" i="26" s="1"/>
  <c r="D248" i="26"/>
  <c r="E248" i="26" s="1"/>
  <c r="D249" i="26"/>
  <c r="E249" i="26" s="1"/>
  <c r="D250" i="26"/>
  <c r="E250" i="26" s="1"/>
  <c r="D251" i="26"/>
  <c r="E251" i="26" s="1"/>
  <c r="D252" i="26"/>
  <c r="E252" i="26" s="1"/>
  <c r="D253" i="26"/>
  <c r="E253" i="26" s="1"/>
  <c r="D254" i="26"/>
  <c r="E254" i="26" s="1"/>
  <c r="D255" i="26"/>
  <c r="E255" i="26" s="1"/>
  <c r="D256" i="26"/>
  <c r="E256" i="26" s="1"/>
  <c r="D257" i="26"/>
  <c r="E257" i="26" s="1"/>
  <c r="D258" i="26"/>
  <c r="E258" i="26" s="1"/>
  <c r="D259" i="26"/>
  <c r="E259" i="26" s="1"/>
  <c r="D260" i="26"/>
  <c r="E260" i="26" s="1"/>
  <c r="D261" i="26"/>
  <c r="E261" i="26" s="1"/>
  <c r="D262" i="26"/>
  <c r="E262" i="26" s="1"/>
  <c r="D263" i="26"/>
  <c r="E263" i="26" s="1"/>
  <c r="D264" i="26"/>
  <c r="E264" i="26" s="1"/>
  <c r="D265" i="26"/>
  <c r="E265" i="26" s="1"/>
  <c r="D266" i="26"/>
  <c r="E266" i="26" s="1"/>
  <c r="D267" i="26"/>
  <c r="E267" i="26" s="1"/>
  <c r="D268" i="26"/>
  <c r="E268" i="26" s="1"/>
  <c r="D269" i="26"/>
  <c r="E269" i="26" s="1"/>
  <c r="D270" i="26"/>
  <c r="E270" i="26" s="1"/>
  <c r="D271" i="26"/>
  <c r="E271" i="26" s="1"/>
  <c r="E272" i="26"/>
  <c r="D273" i="26"/>
  <c r="E273" i="26" s="1"/>
  <c r="D274" i="26"/>
  <c r="E274" i="26" s="1"/>
  <c r="D275" i="26"/>
  <c r="E275" i="26" s="1"/>
  <c r="D276" i="26"/>
  <c r="E276" i="26" s="1"/>
  <c r="D277" i="26"/>
  <c r="E277" i="26" s="1"/>
  <c r="D278" i="26"/>
  <c r="E278" i="26" s="1"/>
  <c r="D279" i="26"/>
  <c r="E279" i="26" s="1"/>
  <c r="D280" i="26"/>
  <c r="E280" i="26" s="1"/>
  <c r="D281" i="26"/>
  <c r="E281" i="26" s="1"/>
  <c r="D282" i="26"/>
  <c r="E282" i="26" s="1"/>
  <c r="D283" i="26"/>
  <c r="E283" i="26" s="1"/>
  <c r="D284" i="26"/>
  <c r="E284" i="26" s="1"/>
  <c r="D285" i="26"/>
  <c r="E285" i="26" s="1"/>
  <c r="D286" i="26"/>
  <c r="E286" i="26" s="1"/>
  <c r="D287" i="26"/>
  <c r="E287" i="26" s="1"/>
  <c r="D288" i="26"/>
  <c r="E288" i="26" s="1"/>
  <c r="D289" i="26"/>
  <c r="E289" i="26" s="1"/>
  <c r="D290" i="26"/>
  <c r="E290" i="26" s="1"/>
  <c r="D291" i="26"/>
  <c r="E291" i="26" s="1"/>
  <c r="D292" i="26"/>
  <c r="E292" i="26" s="1"/>
  <c r="D293" i="26"/>
  <c r="E293" i="26" s="1"/>
  <c r="D294" i="26"/>
  <c r="E294" i="26" s="1"/>
  <c r="D295" i="26"/>
  <c r="E295" i="26" s="1"/>
  <c r="D296" i="26"/>
  <c r="E296" i="26" s="1"/>
  <c r="D297" i="26"/>
  <c r="E297" i="26" s="1"/>
  <c r="D298" i="26"/>
  <c r="E298" i="26" s="1"/>
  <c r="D299" i="26"/>
  <c r="E299" i="26" s="1"/>
  <c r="D300" i="26"/>
  <c r="E300" i="26" s="1"/>
  <c r="D301" i="26"/>
  <c r="E301" i="26" s="1"/>
  <c r="D302" i="26"/>
  <c r="E302" i="26" s="1"/>
  <c r="D303" i="26"/>
  <c r="E303" i="26" s="1"/>
  <c r="D304" i="26"/>
  <c r="E304" i="26" s="1"/>
  <c r="D305" i="26"/>
  <c r="E305" i="26" s="1"/>
  <c r="D306" i="26"/>
  <c r="E306" i="26" s="1"/>
  <c r="D307" i="26"/>
  <c r="E307" i="26" s="1"/>
  <c r="D308" i="26"/>
  <c r="E308" i="26" s="1"/>
  <c r="D309" i="26"/>
  <c r="E309" i="26" s="1"/>
  <c r="D310" i="26"/>
  <c r="E310" i="26" s="1"/>
  <c r="D311" i="26"/>
  <c r="E311" i="26" s="1"/>
  <c r="D312" i="26"/>
  <c r="E312" i="26" s="1"/>
  <c r="D313" i="26"/>
  <c r="E313" i="26" s="1"/>
  <c r="D314" i="26"/>
  <c r="E314" i="26" s="1"/>
  <c r="D315" i="26"/>
  <c r="E315" i="26" s="1"/>
  <c r="D316" i="26"/>
  <c r="E316" i="26" s="1"/>
  <c r="D317" i="26"/>
  <c r="E317" i="26" s="1"/>
  <c r="D318" i="26"/>
  <c r="E318" i="26" s="1"/>
  <c r="D319" i="26"/>
  <c r="E319" i="26" s="1"/>
  <c r="D320" i="26"/>
  <c r="E320" i="26" s="1"/>
  <c r="D321" i="26"/>
  <c r="E321" i="26" s="1"/>
  <c r="D322" i="26"/>
  <c r="E322" i="26" s="1"/>
  <c r="D323" i="26"/>
  <c r="E323" i="26" s="1"/>
  <c r="D324" i="26"/>
  <c r="E324" i="26" s="1"/>
  <c r="D325" i="26"/>
  <c r="E325" i="26" s="1"/>
  <c r="D326" i="26"/>
  <c r="E326" i="26" s="1"/>
  <c r="D327" i="26"/>
  <c r="E327" i="26" s="1"/>
  <c r="D328" i="26"/>
  <c r="E328" i="26" s="1"/>
  <c r="D329" i="26"/>
  <c r="E329" i="26" s="1"/>
  <c r="D330" i="26"/>
  <c r="E330" i="26" s="1"/>
  <c r="D331" i="26"/>
  <c r="E331" i="26" s="1"/>
  <c r="D332" i="26"/>
  <c r="E332" i="26" s="1"/>
  <c r="D333" i="26"/>
  <c r="E333" i="26" s="1"/>
  <c r="D334" i="26"/>
  <c r="E334" i="26" s="1"/>
  <c r="D335" i="26"/>
  <c r="E335" i="26" s="1"/>
  <c r="D336" i="26"/>
  <c r="E336" i="26" s="1"/>
  <c r="D337" i="26"/>
  <c r="E337" i="26" s="1"/>
  <c r="D338" i="26"/>
  <c r="E338" i="26" s="1"/>
  <c r="D339" i="26"/>
  <c r="E339" i="26" s="1"/>
  <c r="D340" i="26"/>
  <c r="E340" i="26" s="1"/>
  <c r="D341" i="26"/>
  <c r="E341" i="26" s="1"/>
  <c r="D342" i="26"/>
  <c r="E342" i="26" s="1"/>
  <c r="D343" i="26"/>
  <c r="E343" i="26" s="1"/>
  <c r="D344" i="26"/>
  <c r="E344" i="26" s="1"/>
  <c r="D345" i="26"/>
  <c r="E345" i="26" s="1"/>
  <c r="D346" i="26"/>
  <c r="E346" i="26" s="1"/>
  <c r="D347" i="26"/>
  <c r="E347" i="26" s="1"/>
  <c r="D348" i="26"/>
  <c r="E348" i="26" s="1"/>
  <c r="D349" i="26"/>
  <c r="E349" i="26" s="1"/>
  <c r="D350" i="26"/>
  <c r="E350" i="26" s="1"/>
  <c r="D351" i="26"/>
  <c r="E351" i="26" s="1"/>
  <c r="D352" i="26"/>
  <c r="E352" i="26" s="1"/>
  <c r="D2" i="26"/>
  <c r="E2" i="26" s="1"/>
  <c r="H584" i="152" l="1"/>
  <c r="I584" i="152" s="1"/>
  <c r="H583" i="152"/>
  <c r="H582" i="152"/>
  <c r="J582" i="152" s="1"/>
  <c r="H581" i="152"/>
  <c r="H580" i="152"/>
  <c r="J580" i="152" s="1"/>
  <c r="H579" i="152"/>
  <c r="J579" i="152" s="1"/>
  <c r="H578" i="152"/>
  <c r="J578" i="152" s="1"/>
  <c r="H577" i="152"/>
  <c r="I577" i="152" s="1"/>
  <c r="H576" i="152"/>
  <c r="I576" i="152" s="1"/>
  <c r="H575" i="152"/>
  <c r="I575" i="152" s="1"/>
  <c r="H574" i="152"/>
  <c r="J574" i="152" s="1"/>
  <c r="H573" i="152"/>
  <c r="H572" i="152"/>
  <c r="J572" i="152" s="1"/>
  <c r="H571" i="152"/>
  <c r="J571" i="152" s="1"/>
  <c r="H570" i="152"/>
  <c r="J570" i="152" s="1"/>
  <c r="H569" i="152"/>
  <c r="I569" i="152" s="1"/>
  <c r="H568" i="152"/>
  <c r="J568" i="152" s="1"/>
  <c r="H567" i="152"/>
  <c r="I567" i="152" s="1"/>
  <c r="H566" i="152"/>
  <c r="J566" i="152" s="1"/>
  <c r="H565" i="152"/>
  <c r="H564" i="152"/>
  <c r="J564" i="152" s="1"/>
  <c r="H563" i="152"/>
  <c r="J563" i="152" s="1"/>
  <c r="H562" i="152"/>
  <c r="H561" i="152"/>
  <c r="I561" i="152" s="1"/>
  <c r="H560" i="152"/>
  <c r="I560" i="152" s="1"/>
  <c r="H559" i="152"/>
  <c r="H558" i="152"/>
  <c r="J558" i="152" s="1"/>
  <c r="H557" i="152"/>
  <c r="H556" i="152"/>
  <c r="J556" i="152" s="1"/>
  <c r="H555" i="152"/>
  <c r="J555" i="152" s="1"/>
  <c r="H554" i="152"/>
  <c r="J554" i="152" s="1"/>
  <c r="H553" i="152"/>
  <c r="I553" i="152" s="1"/>
  <c r="H552" i="152"/>
  <c r="J552" i="152" s="1"/>
  <c r="H551" i="152"/>
  <c r="J551" i="152" s="1"/>
  <c r="H550" i="152"/>
  <c r="J550" i="152" s="1"/>
  <c r="H549" i="152"/>
  <c r="H548" i="152"/>
  <c r="J548" i="152" s="1"/>
  <c r="H547" i="152"/>
  <c r="I547" i="152" s="1"/>
  <c r="H546" i="152"/>
  <c r="J546" i="152" s="1"/>
  <c r="H545" i="152"/>
  <c r="I544" i="152"/>
  <c r="H544" i="152"/>
  <c r="J544" i="152" s="1"/>
  <c r="H543" i="152"/>
  <c r="J543" i="152" s="1"/>
  <c r="H542" i="152"/>
  <c r="J542" i="152" s="1"/>
  <c r="H541" i="152"/>
  <c r="I540" i="152"/>
  <c r="H540" i="152"/>
  <c r="J540" i="152" s="1"/>
  <c r="H539" i="152"/>
  <c r="J539" i="152" s="1"/>
  <c r="H538" i="152"/>
  <c r="J538" i="152" s="1"/>
  <c r="H537" i="152"/>
  <c r="I537" i="152" s="1"/>
  <c r="H536" i="152"/>
  <c r="J536" i="152" s="1"/>
  <c r="H535" i="152"/>
  <c r="J535" i="152" s="1"/>
  <c r="H534" i="152"/>
  <c r="J534" i="152" s="1"/>
  <c r="H533" i="152"/>
  <c r="H532" i="152"/>
  <c r="J532" i="152" s="1"/>
  <c r="H531" i="152"/>
  <c r="J531" i="152" s="1"/>
  <c r="H530" i="152"/>
  <c r="J530" i="152" s="1"/>
  <c r="H529" i="152"/>
  <c r="I529" i="152" s="1"/>
  <c r="I528" i="152"/>
  <c r="H528" i="152"/>
  <c r="J528" i="152" s="1"/>
  <c r="H527" i="152"/>
  <c r="J527" i="152" s="1"/>
  <c r="H526" i="152"/>
  <c r="J526" i="152" s="1"/>
  <c r="H525" i="152"/>
  <c r="H524" i="152"/>
  <c r="J524" i="152" s="1"/>
  <c r="H523" i="152"/>
  <c r="J523" i="152" s="1"/>
  <c r="H522" i="152"/>
  <c r="J522" i="152" s="1"/>
  <c r="H521" i="152"/>
  <c r="I521" i="152" s="1"/>
  <c r="H520" i="152"/>
  <c r="J520" i="152" s="1"/>
  <c r="H519" i="152"/>
  <c r="I519" i="152" s="1"/>
  <c r="H518" i="152"/>
  <c r="J518" i="152" s="1"/>
  <c r="H517" i="152"/>
  <c r="H516" i="152"/>
  <c r="J516" i="152" s="1"/>
  <c r="J515" i="152"/>
  <c r="H515" i="152"/>
  <c r="I515" i="152" s="1"/>
  <c r="H514" i="152"/>
  <c r="J514" i="152" s="1"/>
  <c r="J513" i="152"/>
  <c r="H513" i="152"/>
  <c r="I513" i="152" s="1"/>
  <c r="H512" i="152"/>
  <c r="J512" i="152" s="1"/>
  <c r="H511" i="152"/>
  <c r="J511" i="152" s="1"/>
  <c r="H510" i="152"/>
  <c r="J510" i="152" s="1"/>
  <c r="H509" i="152"/>
  <c r="H508" i="152"/>
  <c r="J508" i="152" s="1"/>
  <c r="H507" i="152"/>
  <c r="J507" i="152" s="1"/>
  <c r="H506" i="152"/>
  <c r="J506" i="152" s="1"/>
  <c r="H505" i="152"/>
  <c r="I505" i="152" s="1"/>
  <c r="H504" i="152"/>
  <c r="J504" i="152" s="1"/>
  <c r="H503" i="152"/>
  <c r="I503" i="152" s="1"/>
  <c r="H502" i="152"/>
  <c r="J502" i="152" s="1"/>
  <c r="H501" i="152"/>
  <c r="H500" i="152"/>
  <c r="J500" i="152" s="1"/>
  <c r="H499" i="152"/>
  <c r="J499" i="152" s="1"/>
  <c r="H498" i="152"/>
  <c r="H497" i="152"/>
  <c r="I497" i="152" s="1"/>
  <c r="H496" i="152"/>
  <c r="J496" i="152" s="1"/>
  <c r="H495" i="152"/>
  <c r="H494" i="152"/>
  <c r="J494" i="152" s="1"/>
  <c r="H493" i="152"/>
  <c r="H492" i="152"/>
  <c r="I492" i="152" s="1"/>
  <c r="H491" i="152"/>
  <c r="J491" i="152" s="1"/>
  <c r="H490" i="152"/>
  <c r="J490" i="152" s="1"/>
  <c r="H489" i="152"/>
  <c r="I489" i="152" s="1"/>
  <c r="H488" i="152"/>
  <c r="J488" i="152" s="1"/>
  <c r="J487" i="152"/>
  <c r="H487" i="152"/>
  <c r="I487" i="152" s="1"/>
  <c r="H486" i="152"/>
  <c r="J486" i="152" s="1"/>
  <c r="H485" i="152"/>
  <c r="H484" i="152"/>
  <c r="J484" i="152" s="1"/>
  <c r="H483" i="152"/>
  <c r="J483" i="152" s="1"/>
  <c r="H482" i="152"/>
  <c r="J482" i="152" s="1"/>
  <c r="H481" i="152"/>
  <c r="H480" i="152"/>
  <c r="J480" i="152" s="1"/>
  <c r="I479" i="152"/>
  <c r="H479" i="152"/>
  <c r="J479" i="152" s="1"/>
  <c r="H478" i="152"/>
  <c r="J478" i="152" s="1"/>
  <c r="H477" i="152"/>
  <c r="H476" i="152"/>
  <c r="J476" i="152" s="1"/>
  <c r="H475" i="152"/>
  <c r="J475" i="152" s="1"/>
  <c r="H474" i="152"/>
  <c r="J474" i="152" s="1"/>
  <c r="H473" i="152"/>
  <c r="I473" i="152" s="1"/>
  <c r="H472" i="152"/>
  <c r="J472" i="152" s="1"/>
  <c r="H471" i="152"/>
  <c r="J471" i="152" s="1"/>
  <c r="H470" i="152"/>
  <c r="J470" i="152" s="1"/>
  <c r="H469" i="152"/>
  <c r="H468" i="152"/>
  <c r="J468" i="152" s="1"/>
  <c r="H467" i="152"/>
  <c r="J467" i="152" s="1"/>
  <c r="H466" i="152"/>
  <c r="J466" i="152" s="1"/>
  <c r="H465" i="152"/>
  <c r="I465" i="152" s="1"/>
  <c r="H464" i="152"/>
  <c r="J464" i="152" s="1"/>
  <c r="H463" i="152"/>
  <c r="J463" i="152" s="1"/>
  <c r="H462" i="152"/>
  <c r="J462" i="152" s="1"/>
  <c r="H461" i="152"/>
  <c r="J460" i="152"/>
  <c r="H460" i="152"/>
  <c r="I460" i="152" s="1"/>
  <c r="I459" i="152"/>
  <c r="H459" i="152"/>
  <c r="J459" i="152" s="1"/>
  <c r="H458" i="152"/>
  <c r="J458" i="152" s="1"/>
  <c r="H457" i="152"/>
  <c r="I457" i="152" s="1"/>
  <c r="H456" i="152"/>
  <c r="I456" i="152" s="1"/>
  <c r="H455" i="152"/>
  <c r="I455" i="152" s="1"/>
  <c r="H454" i="152"/>
  <c r="J454" i="152" s="1"/>
  <c r="H453" i="152"/>
  <c r="H452" i="152"/>
  <c r="I452" i="152" s="1"/>
  <c r="H451" i="152"/>
  <c r="I451" i="152" s="1"/>
  <c r="H450" i="152"/>
  <c r="J450" i="152" s="1"/>
  <c r="H449" i="152"/>
  <c r="I449" i="152" s="1"/>
  <c r="H448" i="152"/>
  <c r="J448" i="152" s="1"/>
  <c r="H447" i="152"/>
  <c r="I447" i="152" s="1"/>
  <c r="H446" i="152"/>
  <c r="J446" i="152" s="1"/>
  <c r="H445" i="152"/>
  <c r="H444" i="152"/>
  <c r="J444" i="152" s="1"/>
  <c r="J443" i="152"/>
  <c r="H443" i="152"/>
  <c r="I443" i="152" s="1"/>
  <c r="H442" i="152"/>
  <c r="J442" i="152" s="1"/>
  <c r="H441" i="152"/>
  <c r="I441" i="152" s="1"/>
  <c r="H440" i="152"/>
  <c r="J440" i="152" s="1"/>
  <c r="H439" i="152"/>
  <c r="I439" i="152" s="1"/>
  <c r="H438" i="152"/>
  <c r="J438" i="152" s="1"/>
  <c r="H437" i="152"/>
  <c r="H436" i="152"/>
  <c r="J436" i="152" s="1"/>
  <c r="I435" i="152"/>
  <c r="H435" i="152"/>
  <c r="J435" i="152" s="1"/>
  <c r="H434" i="152"/>
  <c r="H433" i="152"/>
  <c r="I433" i="152" s="1"/>
  <c r="H432" i="152"/>
  <c r="I432" i="152" s="1"/>
  <c r="H431" i="152"/>
  <c r="H430" i="152"/>
  <c r="J430" i="152" s="1"/>
  <c r="H429" i="152"/>
  <c r="H428" i="152"/>
  <c r="J428" i="152" s="1"/>
  <c r="H427" i="152"/>
  <c r="J427" i="152" s="1"/>
  <c r="H426" i="152"/>
  <c r="J426" i="152" s="1"/>
  <c r="H425" i="152"/>
  <c r="I425" i="152" s="1"/>
  <c r="H424" i="152"/>
  <c r="J424" i="152" s="1"/>
  <c r="H423" i="152"/>
  <c r="J423" i="152" s="1"/>
  <c r="H422" i="152"/>
  <c r="J422" i="152" s="1"/>
  <c r="H421" i="152"/>
  <c r="H420" i="152"/>
  <c r="I420" i="152" s="1"/>
  <c r="H419" i="152"/>
  <c r="J419" i="152" s="1"/>
  <c r="H418" i="152"/>
  <c r="J418" i="152" s="1"/>
  <c r="H417" i="152"/>
  <c r="H416" i="152"/>
  <c r="I416" i="152" s="1"/>
  <c r="H415" i="152"/>
  <c r="J415" i="152" s="1"/>
  <c r="H414" i="152"/>
  <c r="H413" i="152"/>
  <c r="H412" i="152"/>
  <c r="J412" i="152" s="1"/>
  <c r="I411" i="152"/>
  <c r="H411" i="152"/>
  <c r="J411" i="152" s="1"/>
  <c r="H410" i="152"/>
  <c r="J410" i="152" s="1"/>
  <c r="H409" i="152"/>
  <c r="I409" i="152" s="1"/>
  <c r="H408" i="152"/>
  <c r="I408" i="152" s="1"/>
  <c r="H407" i="152"/>
  <c r="J407" i="152" s="1"/>
  <c r="H406" i="152"/>
  <c r="J406" i="152" s="1"/>
  <c r="H405" i="152"/>
  <c r="J404" i="152"/>
  <c r="H404" i="152"/>
  <c r="I404" i="152" s="1"/>
  <c r="H403" i="152"/>
  <c r="J403" i="152" s="1"/>
  <c r="I402" i="152"/>
  <c r="H402" i="152"/>
  <c r="J402" i="152" s="1"/>
  <c r="H401" i="152"/>
  <c r="I401" i="152" s="1"/>
  <c r="H400" i="152"/>
  <c r="I400" i="152" s="1"/>
  <c r="H399" i="152"/>
  <c r="J399" i="152" s="1"/>
  <c r="H398" i="152"/>
  <c r="J398" i="152" s="1"/>
  <c r="H397" i="152"/>
  <c r="H396" i="152"/>
  <c r="J396" i="152" s="1"/>
  <c r="H395" i="152"/>
  <c r="J395" i="152" s="1"/>
  <c r="H394" i="152"/>
  <c r="J394" i="152" s="1"/>
  <c r="H393" i="152"/>
  <c r="I393" i="152" s="1"/>
  <c r="H392" i="152"/>
  <c r="J392" i="152" s="1"/>
  <c r="H391" i="152"/>
  <c r="I391" i="152" s="1"/>
  <c r="H390" i="152"/>
  <c r="J390" i="152" s="1"/>
  <c r="H389" i="152"/>
  <c r="H388" i="152"/>
  <c r="I388" i="152" s="1"/>
  <c r="H387" i="152"/>
  <c r="J387" i="152" s="1"/>
  <c r="H386" i="152"/>
  <c r="J386" i="152" s="1"/>
  <c r="H385" i="152"/>
  <c r="I385" i="152" s="1"/>
  <c r="H384" i="152"/>
  <c r="J384" i="152" s="1"/>
  <c r="H383" i="152"/>
  <c r="J383" i="152" s="1"/>
  <c r="H382" i="152"/>
  <c r="J382" i="152" s="1"/>
  <c r="H381" i="152"/>
  <c r="H380" i="152"/>
  <c r="I380" i="152" s="1"/>
  <c r="J379" i="152"/>
  <c r="I379" i="152"/>
  <c r="H379" i="152"/>
  <c r="G379" i="152"/>
  <c r="H378" i="152"/>
  <c r="I378" i="152" s="1"/>
  <c r="H377" i="152"/>
  <c r="J377" i="152" s="1"/>
  <c r="H376" i="152"/>
  <c r="H375" i="152"/>
  <c r="J375" i="152" s="1"/>
  <c r="H374" i="152"/>
  <c r="I374" i="152" s="1"/>
  <c r="H373" i="152"/>
  <c r="J373" i="152" s="1"/>
  <c r="H372" i="152"/>
  <c r="I372" i="152" s="1"/>
  <c r="H371" i="152"/>
  <c r="J371" i="152" s="1"/>
  <c r="H370" i="152"/>
  <c r="I370" i="152" s="1"/>
  <c r="H369" i="152"/>
  <c r="J369" i="152" s="1"/>
  <c r="H368" i="152"/>
  <c r="H367" i="152"/>
  <c r="J367" i="152" s="1"/>
  <c r="G367" i="152"/>
  <c r="H366" i="152"/>
  <c r="J366" i="152" s="1"/>
  <c r="H365" i="152"/>
  <c r="I365" i="152" s="1"/>
  <c r="H364" i="152"/>
  <c r="J364" i="152" s="1"/>
  <c r="H363" i="152"/>
  <c r="H362" i="152"/>
  <c r="I362" i="152" s="1"/>
  <c r="H361" i="152"/>
  <c r="I361" i="152" s="1"/>
  <c r="H360" i="152"/>
  <c r="J360" i="152" s="1"/>
  <c r="H359" i="152"/>
  <c r="I359" i="152" s="1"/>
  <c r="H358" i="152"/>
  <c r="J358" i="152" s="1"/>
  <c r="H357" i="152"/>
  <c r="J357" i="152" s="1"/>
  <c r="H356" i="152"/>
  <c r="J356" i="152" s="1"/>
  <c r="H355" i="152"/>
  <c r="H354" i="152"/>
  <c r="J354" i="152" s="1"/>
  <c r="H353" i="152"/>
  <c r="J353" i="152" s="1"/>
  <c r="H352" i="152"/>
  <c r="J352" i="152" s="1"/>
  <c r="H351" i="152"/>
  <c r="I351" i="152" s="1"/>
  <c r="H350" i="152"/>
  <c r="J350" i="152" s="1"/>
  <c r="H349" i="152"/>
  <c r="I349" i="152" s="1"/>
  <c r="G349" i="152"/>
  <c r="H348" i="152"/>
  <c r="I348" i="152" s="1"/>
  <c r="H347" i="152"/>
  <c r="J347" i="152" s="1"/>
  <c r="H346" i="152"/>
  <c r="I346" i="152" s="1"/>
  <c r="H345" i="152"/>
  <c r="J345" i="152" s="1"/>
  <c r="H344" i="152"/>
  <c r="J344" i="152" s="1"/>
  <c r="H343" i="152"/>
  <c r="J343" i="152" s="1"/>
  <c r="H342" i="152"/>
  <c r="I342" i="152" s="1"/>
  <c r="H341" i="152"/>
  <c r="J341" i="152" s="1"/>
  <c r="H340" i="152"/>
  <c r="I340" i="152" s="1"/>
  <c r="H339" i="152"/>
  <c r="J339" i="152" s="1"/>
  <c r="H338" i="152"/>
  <c r="I338" i="152" s="1"/>
  <c r="H337" i="152"/>
  <c r="J337" i="152" s="1"/>
  <c r="G337" i="152"/>
  <c r="H336" i="152"/>
  <c r="J336" i="152" s="1"/>
  <c r="H335" i="152"/>
  <c r="I335" i="152" s="1"/>
  <c r="H334" i="152"/>
  <c r="J334" i="152" s="1"/>
  <c r="H333" i="152"/>
  <c r="I333" i="152" s="1"/>
  <c r="J332" i="152"/>
  <c r="I332" i="152"/>
  <c r="H332" i="152"/>
  <c r="H331" i="152"/>
  <c r="I331" i="152" s="1"/>
  <c r="H330" i="152"/>
  <c r="J330" i="152" s="1"/>
  <c r="H329" i="152"/>
  <c r="I329" i="152" s="1"/>
  <c r="H328" i="152"/>
  <c r="J328" i="152" s="1"/>
  <c r="H327" i="152"/>
  <c r="I327" i="152" s="1"/>
  <c r="H326" i="152"/>
  <c r="J326" i="152" s="1"/>
  <c r="H325" i="152"/>
  <c r="I325" i="152" s="1"/>
  <c r="H324" i="152"/>
  <c r="J324" i="152" s="1"/>
  <c r="H323" i="152"/>
  <c r="J323" i="152" s="1"/>
  <c r="H322" i="152"/>
  <c r="J322" i="152" s="1"/>
  <c r="H321" i="152"/>
  <c r="I321" i="152" s="1"/>
  <c r="H320" i="152"/>
  <c r="J320" i="152" s="1"/>
  <c r="H319" i="152"/>
  <c r="J319" i="152" s="1"/>
  <c r="H318" i="152"/>
  <c r="J318" i="152" s="1"/>
  <c r="H317" i="152"/>
  <c r="I317" i="152" s="1"/>
  <c r="J316" i="152"/>
  <c r="H316" i="152"/>
  <c r="I316" i="152" s="1"/>
  <c r="J315" i="152"/>
  <c r="H315" i="152"/>
  <c r="I315" i="152" s="1"/>
  <c r="H314" i="152"/>
  <c r="J314" i="152" s="1"/>
  <c r="H313" i="152"/>
  <c r="I313" i="152" s="1"/>
  <c r="H312" i="152"/>
  <c r="J312" i="152" s="1"/>
  <c r="H311" i="152"/>
  <c r="I311" i="152" s="1"/>
  <c r="H310" i="152"/>
  <c r="J310" i="152" s="1"/>
  <c r="H309" i="152"/>
  <c r="I309" i="152" s="1"/>
  <c r="J308" i="152"/>
  <c r="H308" i="152"/>
  <c r="I308" i="152" s="1"/>
  <c r="H307" i="152"/>
  <c r="J307" i="152" s="1"/>
  <c r="H306" i="152"/>
  <c r="J306" i="152" s="1"/>
  <c r="H305" i="152"/>
  <c r="I305" i="152" s="1"/>
  <c r="H304" i="152"/>
  <c r="J304" i="152" s="1"/>
  <c r="H303" i="152"/>
  <c r="J303" i="152" s="1"/>
  <c r="H302" i="152"/>
  <c r="J302" i="152" s="1"/>
  <c r="H301" i="152"/>
  <c r="I301" i="152" s="1"/>
  <c r="H300" i="152"/>
  <c r="J300" i="152" s="1"/>
  <c r="H299" i="152"/>
  <c r="I299" i="152" s="1"/>
  <c r="H298" i="152"/>
  <c r="J298" i="152" s="1"/>
  <c r="H297" i="152"/>
  <c r="I297" i="152" s="1"/>
  <c r="H296" i="152"/>
  <c r="J296" i="152" s="1"/>
  <c r="H295" i="152"/>
  <c r="I295" i="152" s="1"/>
  <c r="H294" i="152"/>
  <c r="J294" i="152" s="1"/>
  <c r="H293" i="152"/>
  <c r="I293" i="152" s="1"/>
  <c r="H292" i="152"/>
  <c r="J292" i="152" s="1"/>
  <c r="H291" i="152"/>
  <c r="J291" i="152" s="1"/>
  <c r="H290" i="152"/>
  <c r="J290" i="152" s="1"/>
  <c r="H289" i="152"/>
  <c r="I289" i="152" s="1"/>
  <c r="H288" i="152"/>
  <c r="J288" i="152" s="1"/>
  <c r="H287" i="152"/>
  <c r="I287" i="152" s="1"/>
  <c r="G287" i="152"/>
  <c r="H286" i="152"/>
  <c r="I286" i="152" s="1"/>
  <c r="H285" i="152"/>
  <c r="J285" i="152" s="1"/>
  <c r="H284" i="152"/>
  <c r="I284" i="152" s="1"/>
  <c r="H283" i="152"/>
  <c r="I283" i="152" s="1"/>
  <c r="H282" i="152"/>
  <c r="J282" i="152" s="1"/>
  <c r="H281" i="152"/>
  <c r="J281" i="152" s="1"/>
  <c r="H280" i="152"/>
  <c r="I280" i="152" s="1"/>
  <c r="J279" i="152"/>
  <c r="H279" i="152"/>
  <c r="I279" i="152" s="1"/>
  <c r="H278" i="152"/>
  <c r="I278" i="152" s="1"/>
  <c r="H277" i="152"/>
  <c r="J277" i="152" s="1"/>
  <c r="H276" i="152"/>
  <c r="I276" i="152" s="1"/>
  <c r="H275" i="152"/>
  <c r="I275" i="152" s="1"/>
  <c r="H274" i="152"/>
  <c r="I274" i="152" s="1"/>
  <c r="H273" i="152"/>
  <c r="J273" i="152" s="1"/>
  <c r="H272" i="152"/>
  <c r="I272" i="152" s="1"/>
  <c r="H271" i="152"/>
  <c r="J271" i="152" s="1"/>
  <c r="G271" i="152"/>
  <c r="H270" i="152"/>
  <c r="J270" i="152" s="1"/>
  <c r="H269" i="152"/>
  <c r="J269" i="152" s="1"/>
  <c r="H268" i="152"/>
  <c r="J268" i="152" s="1"/>
  <c r="H267" i="152"/>
  <c r="I267" i="152" s="1"/>
  <c r="H266" i="152"/>
  <c r="J266" i="152" s="1"/>
  <c r="H265" i="152"/>
  <c r="I265" i="152" s="1"/>
  <c r="H264" i="152"/>
  <c r="J264" i="152" s="1"/>
  <c r="H263" i="152"/>
  <c r="I263" i="152" s="1"/>
  <c r="H262" i="152"/>
  <c r="J262" i="152" s="1"/>
  <c r="H261" i="152"/>
  <c r="I261" i="152" s="1"/>
  <c r="H260" i="152"/>
  <c r="J260" i="152" s="1"/>
  <c r="H259" i="152"/>
  <c r="I259" i="152" s="1"/>
  <c r="H258" i="152"/>
  <c r="I258" i="152" s="1"/>
  <c r="H257" i="152"/>
  <c r="J257" i="152" s="1"/>
  <c r="H256" i="152"/>
  <c r="J256" i="152" s="1"/>
  <c r="H255" i="152"/>
  <c r="I255" i="152" s="1"/>
  <c r="I254" i="152"/>
  <c r="H254" i="152"/>
  <c r="J254" i="152" s="1"/>
  <c r="G254" i="152"/>
  <c r="H253" i="152"/>
  <c r="J253" i="152" s="1"/>
  <c r="H252" i="152"/>
  <c r="I252" i="152" s="1"/>
  <c r="H251" i="152"/>
  <c r="J251" i="152" s="1"/>
  <c r="H250" i="152"/>
  <c r="I250" i="152" s="1"/>
  <c r="J249" i="152"/>
  <c r="H249" i="152"/>
  <c r="I249" i="152" s="1"/>
  <c r="H248" i="152"/>
  <c r="J248" i="152" s="1"/>
  <c r="H247" i="152"/>
  <c r="J247" i="152" s="1"/>
  <c r="H246" i="152"/>
  <c r="I246" i="152" s="1"/>
  <c r="H245" i="152"/>
  <c r="I245" i="152" s="1"/>
  <c r="H244" i="152"/>
  <c r="J244" i="152" s="1"/>
  <c r="H243" i="152"/>
  <c r="J243" i="152" s="1"/>
  <c r="H242" i="152"/>
  <c r="I242" i="152" s="1"/>
  <c r="H241" i="152"/>
  <c r="J241" i="152" s="1"/>
  <c r="H240" i="152"/>
  <c r="I240" i="152" s="1"/>
  <c r="H239" i="152"/>
  <c r="J239" i="152" s="1"/>
  <c r="H238" i="152"/>
  <c r="I238" i="152" s="1"/>
  <c r="J237" i="152"/>
  <c r="H237" i="152"/>
  <c r="I237" i="152" s="1"/>
  <c r="G237" i="152"/>
  <c r="H236" i="152"/>
  <c r="H235" i="152"/>
  <c r="J235" i="152" s="1"/>
  <c r="H234" i="152"/>
  <c r="J234" i="152" s="1"/>
  <c r="H233" i="152"/>
  <c r="J233" i="152" s="1"/>
  <c r="H232" i="152"/>
  <c r="J232" i="152" s="1"/>
  <c r="H231" i="152"/>
  <c r="I231" i="152" s="1"/>
  <c r="H230" i="152"/>
  <c r="I230" i="152" s="1"/>
  <c r="J229" i="152"/>
  <c r="H229" i="152"/>
  <c r="I229" i="152" s="1"/>
  <c r="H228" i="152"/>
  <c r="H227" i="152"/>
  <c r="I227" i="152" s="1"/>
  <c r="H226" i="152"/>
  <c r="J226" i="152" s="1"/>
  <c r="H225" i="152"/>
  <c r="J225" i="152" s="1"/>
  <c r="H224" i="152"/>
  <c r="J224" i="152" s="1"/>
  <c r="H223" i="152"/>
  <c r="I223" i="152" s="1"/>
  <c r="G223" i="152"/>
  <c r="H222" i="152"/>
  <c r="I222" i="152" s="1"/>
  <c r="H221" i="152"/>
  <c r="J221" i="152" s="1"/>
  <c r="H220" i="152"/>
  <c r="J220" i="152" s="1"/>
  <c r="H219" i="152"/>
  <c r="J219" i="152" s="1"/>
  <c r="H218" i="152"/>
  <c r="I218" i="152" s="1"/>
  <c r="H217" i="152"/>
  <c r="J217" i="152" s="1"/>
  <c r="H216" i="152"/>
  <c r="I216" i="152" s="1"/>
  <c r="H215" i="152"/>
  <c r="H214" i="152"/>
  <c r="J214" i="152" s="1"/>
  <c r="H213" i="152"/>
  <c r="J213" i="152" s="1"/>
  <c r="H212" i="152"/>
  <c r="J212" i="152" s="1"/>
  <c r="H211" i="152"/>
  <c r="J211" i="152" s="1"/>
  <c r="H210" i="152"/>
  <c r="I210" i="152" s="1"/>
  <c r="H209" i="152"/>
  <c r="J209" i="152" s="1"/>
  <c r="H208" i="152"/>
  <c r="I208" i="152" s="1"/>
  <c r="H207" i="152"/>
  <c r="H206" i="152"/>
  <c r="J206" i="152" s="1"/>
  <c r="H205" i="152"/>
  <c r="J205" i="152" s="1"/>
  <c r="H204" i="152"/>
  <c r="J204" i="152" s="1"/>
  <c r="I203" i="152"/>
  <c r="H203" i="152"/>
  <c r="J203" i="152" s="1"/>
  <c r="H202" i="152"/>
  <c r="I202" i="152" s="1"/>
  <c r="H201" i="152"/>
  <c r="I201" i="152" s="1"/>
  <c r="H200" i="152"/>
  <c r="I200" i="152" s="1"/>
  <c r="H199" i="152"/>
  <c r="H198" i="152"/>
  <c r="J198" i="152" s="1"/>
  <c r="I197" i="152"/>
  <c r="H197" i="152"/>
  <c r="J197" i="152" s="1"/>
  <c r="I196" i="152"/>
  <c r="H196" i="152"/>
  <c r="J196" i="152" s="1"/>
  <c r="H195" i="152"/>
  <c r="I195" i="152" s="1"/>
  <c r="H194" i="152"/>
  <c r="I194" i="152" s="1"/>
  <c r="G194" i="152"/>
  <c r="H193" i="152"/>
  <c r="I193" i="152" s="1"/>
  <c r="H192" i="152"/>
  <c r="J192" i="152" s="1"/>
  <c r="H191" i="152"/>
  <c r="I191" i="152" s="1"/>
  <c r="H190" i="152"/>
  <c r="J190" i="152" s="1"/>
  <c r="H189" i="152"/>
  <c r="I189" i="152" s="1"/>
  <c r="H188" i="152"/>
  <c r="I188" i="152" s="1"/>
  <c r="H187" i="152"/>
  <c r="I187" i="152" s="1"/>
  <c r="G187" i="152"/>
  <c r="H186" i="152"/>
  <c r="J186" i="152" s="1"/>
  <c r="H185" i="152"/>
  <c r="J185" i="152" s="1"/>
  <c r="H184" i="152"/>
  <c r="I184" i="152" s="1"/>
  <c r="H183" i="152"/>
  <c r="J183" i="152" s="1"/>
  <c r="H182" i="152"/>
  <c r="I182" i="152" s="1"/>
  <c r="H181" i="152"/>
  <c r="J181" i="152" s="1"/>
  <c r="J180" i="152"/>
  <c r="H180" i="152"/>
  <c r="I180" i="152" s="1"/>
  <c r="H179" i="152"/>
  <c r="J179" i="152" s="1"/>
  <c r="H178" i="152"/>
  <c r="I178" i="152" s="1"/>
  <c r="H177" i="152"/>
  <c r="I177" i="152" s="1"/>
  <c r="H176" i="152"/>
  <c r="I176" i="152" s="1"/>
  <c r="H175" i="152"/>
  <c r="J175" i="152" s="1"/>
  <c r="H174" i="152"/>
  <c r="I174" i="152" s="1"/>
  <c r="H173" i="152"/>
  <c r="J173" i="152" s="1"/>
  <c r="H172" i="152"/>
  <c r="J172" i="152" s="1"/>
  <c r="H171" i="152"/>
  <c r="J171" i="152" s="1"/>
  <c r="H170" i="152"/>
  <c r="J170" i="152" s="1"/>
  <c r="H169" i="152"/>
  <c r="J169" i="152" s="1"/>
  <c r="H168" i="152"/>
  <c r="I168" i="152" s="1"/>
  <c r="H167" i="152"/>
  <c r="J167" i="152" s="1"/>
  <c r="H166" i="152"/>
  <c r="I166" i="152" s="1"/>
  <c r="H165" i="152"/>
  <c r="J165" i="152" s="1"/>
  <c r="H164" i="152"/>
  <c r="I164" i="152" s="1"/>
  <c r="H163" i="152"/>
  <c r="J163" i="152" s="1"/>
  <c r="I162" i="152"/>
  <c r="H162" i="152"/>
  <c r="J162" i="152" s="1"/>
  <c r="H161" i="152"/>
  <c r="I161" i="152" s="1"/>
  <c r="H160" i="152"/>
  <c r="I160" i="152" s="1"/>
  <c r="H159" i="152"/>
  <c r="J159" i="152" s="1"/>
  <c r="H158" i="152"/>
  <c r="I158" i="152" s="1"/>
  <c r="H157" i="152"/>
  <c r="J157" i="152" s="1"/>
  <c r="G157" i="152"/>
  <c r="H156" i="152"/>
  <c r="I156" i="152" s="1"/>
  <c r="G156" i="152"/>
  <c r="H155" i="152"/>
  <c r="J155" i="152" s="1"/>
  <c r="H154" i="152"/>
  <c r="I154" i="152" s="1"/>
  <c r="H153" i="152"/>
  <c r="J153" i="152" s="1"/>
  <c r="H152" i="152"/>
  <c r="I152" i="152" s="1"/>
  <c r="H151" i="152"/>
  <c r="J151" i="152" s="1"/>
  <c r="H150" i="152"/>
  <c r="I150" i="152" s="1"/>
  <c r="H149" i="152"/>
  <c r="I149" i="152" s="1"/>
  <c r="H148" i="152"/>
  <c r="I148" i="152" s="1"/>
  <c r="G148" i="152"/>
  <c r="H147" i="152"/>
  <c r="I147" i="152" s="1"/>
  <c r="J146" i="152"/>
  <c r="H146" i="152"/>
  <c r="I146" i="152" s="1"/>
  <c r="G146" i="152"/>
  <c r="H145" i="152"/>
  <c r="J145" i="152" s="1"/>
  <c r="H144" i="152"/>
  <c r="J144" i="152" s="1"/>
  <c r="H143" i="152"/>
  <c r="J143" i="152" s="1"/>
  <c r="H142" i="152"/>
  <c r="J142" i="152" s="1"/>
  <c r="H141" i="152"/>
  <c r="J141" i="152" s="1"/>
  <c r="H140" i="152"/>
  <c r="I140" i="152" s="1"/>
  <c r="H139" i="152"/>
  <c r="J139" i="152" s="1"/>
  <c r="H138" i="152"/>
  <c r="I138" i="152" s="1"/>
  <c r="H137" i="152"/>
  <c r="J137" i="152" s="1"/>
  <c r="H136" i="152"/>
  <c r="I136" i="152" s="1"/>
  <c r="H135" i="152"/>
  <c r="J135" i="152" s="1"/>
  <c r="H134" i="152"/>
  <c r="I134" i="152" s="1"/>
  <c r="H133" i="152"/>
  <c r="J133" i="152" s="1"/>
  <c r="H132" i="152"/>
  <c r="I132" i="152" s="1"/>
  <c r="J131" i="152"/>
  <c r="H131" i="152"/>
  <c r="I131" i="152" s="1"/>
  <c r="G131" i="152"/>
  <c r="H130" i="152"/>
  <c r="J130" i="152" s="1"/>
  <c r="H129" i="152"/>
  <c r="I129" i="152" s="1"/>
  <c r="H128" i="152"/>
  <c r="J128" i="152" s="1"/>
  <c r="H127" i="152"/>
  <c r="I127" i="152" s="1"/>
  <c r="H126" i="152"/>
  <c r="I126" i="152" s="1"/>
  <c r="H125" i="152"/>
  <c r="I125" i="152" s="1"/>
  <c r="H124" i="152"/>
  <c r="J124" i="152" s="1"/>
  <c r="H123" i="152"/>
  <c r="J123" i="152" s="1"/>
  <c r="G123" i="152"/>
  <c r="H122" i="152"/>
  <c r="I122" i="152" s="1"/>
  <c r="H121" i="152"/>
  <c r="I121" i="152" s="1"/>
  <c r="H120" i="152"/>
  <c r="I120" i="152" s="1"/>
  <c r="H119" i="152"/>
  <c r="J119" i="152" s="1"/>
  <c r="H118" i="152"/>
  <c r="J118" i="152" s="1"/>
  <c r="H117" i="152"/>
  <c r="J117" i="152" s="1"/>
  <c r="H116" i="152"/>
  <c r="J116" i="152" s="1"/>
  <c r="H115" i="152"/>
  <c r="J115" i="152" s="1"/>
  <c r="H114" i="152"/>
  <c r="I114" i="152" s="1"/>
  <c r="H113" i="152"/>
  <c r="J113" i="152" s="1"/>
  <c r="H112" i="152"/>
  <c r="I112" i="152" s="1"/>
  <c r="H111" i="152"/>
  <c r="J111" i="152" s="1"/>
  <c r="H110" i="152"/>
  <c r="I110" i="152" s="1"/>
  <c r="H109" i="152"/>
  <c r="J109" i="152" s="1"/>
  <c r="H108" i="152"/>
  <c r="I108" i="152" s="1"/>
  <c r="H107" i="152"/>
  <c r="J107" i="152" s="1"/>
  <c r="H106" i="152"/>
  <c r="I106" i="152" s="1"/>
  <c r="H105" i="152"/>
  <c r="I105" i="152" s="1"/>
  <c r="H104" i="152"/>
  <c r="I104" i="152" s="1"/>
  <c r="H103" i="152"/>
  <c r="J103" i="152" s="1"/>
  <c r="H102" i="152"/>
  <c r="J102" i="152" s="1"/>
  <c r="H101" i="152"/>
  <c r="J101" i="152" s="1"/>
  <c r="H100" i="152"/>
  <c r="J100" i="152" s="1"/>
  <c r="H99" i="152"/>
  <c r="J99" i="152" s="1"/>
  <c r="H98" i="152"/>
  <c r="I98" i="152" s="1"/>
  <c r="J97" i="152"/>
  <c r="H97" i="152"/>
  <c r="I97" i="152" s="1"/>
  <c r="H96" i="152"/>
  <c r="I96" i="152" s="1"/>
  <c r="H95" i="152"/>
  <c r="J95" i="152" s="1"/>
  <c r="H94" i="152"/>
  <c r="I94" i="152" s="1"/>
  <c r="H93" i="152"/>
  <c r="J93" i="152" s="1"/>
  <c r="G93" i="152"/>
  <c r="H92" i="152"/>
  <c r="J92" i="152" s="1"/>
  <c r="G92" i="152"/>
  <c r="H91" i="152"/>
  <c r="J91" i="152" s="1"/>
  <c r="H90" i="152"/>
  <c r="J90" i="152" s="1"/>
  <c r="G90" i="152"/>
  <c r="J89" i="152"/>
  <c r="H89" i="152"/>
  <c r="I89" i="152" s="1"/>
  <c r="H88" i="152"/>
  <c r="J88" i="152" s="1"/>
  <c r="H87" i="152"/>
  <c r="J87" i="152" s="1"/>
  <c r="H86" i="152"/>
  <c r="J86" i="152" s="1"/>
  <c r="H85" i="152"/>
  <c r="J85" i="152" s="1"/>
  <c r="G85" i="152"/>
  <c r="H84" i="152"/>
  <c r="I84" i="152" s="1"/>
  <c r="H83" i="152"/>
  <c r="J83" i="152" s="1"/>
  <c r="I82" i="152"/>
  <c r="H82" i="152"/>
  <c r="J82" i="152" s="1"/>
  <c r="I81" i="152"/>
  <c r="H81" i="152"/>
  <c r="J81" i="152" s="1"/>
  <c r="G81" i="152"/>
  <c r="H80" i="152"/>
  <c r="J80" i="152" s="1"/>
  <c r="H79" i="152"/>
  <c r="I79" i="152" s="1"/>
  <c r="H78" i="152"/>
  <c r="J78" i="152" s="1"/>
  <c r="H77" i="152"/>
  <c r="J77" i="152" s="1"/>
  <c r="I76" i="152"/>
  <c r="H76" i="152"/>
  <c r="J76" i="152" s="1"/>
  <c r="H75" i="152"/>
  <c r="J75" i="152" s="1"/>
  <c r="H74" i="152"/>
  <c r="J74" i="152" s="1"/>
  <c r="H73" i="152"/>
  <c r="I73" i="152" s="1"/>
  <c r="H72" i="152"/>
  <c r="J72" i="152" s="1"/>
  <c r="H71" i="152"/>
  <c r="I71" i="152" s="1"/>
  <c r="H70" i="152"/>
  <c r="J70" i="152" s="1"/>
  <c r="H69" i="152"/>
  <c r="I69" i="152" s="1"/>
  <c r="H68" i="152"/>
  <c r="J68" i="152" s="1"/>
  <c r="J67" i="152"/>
  <c r="I67" i="152"/>
  <c r="H67" i="152"/>
  <c r="H66" i="152"/>
  <c r="I66" i="152" s="1"/>
  <c r="H65" i="152"/>
  <c r="I65" i="152" s="1"/>
  <c r="G65" i="152"/>
  <c r="H64" i="152"/>
  <c r="I64" i="152" s="1"/>
  <c r="H63" i="152"/>
  <c r="J63" i="152" s="1"/>
  <c r="H62" i="152"/>
  <c r="I62" i="152" s="1"/>
  <c r="G62" i="152"/>
  <c r="H61" i="152"/>
  <c r="I61" i="152" s="1"/>
  <c r="G61" i="152"/>
  <c r="H60" i="152"/>
  <c r="J60" i="152" s="1"/>
  <c r="H59" i="152"/>
  <c r="I59" i="152" s="1"/>
  <c r="H58" i="152"/>
  <c r="I58" i="152" s="1"/>
  <c r="H57" i="152"/>
  <c r="J57" i="152" s="1"/>
  <c r="H56" i="152"/>
  <c r="I56" i="152" s="1"/>
  <c r="H55" i="152"/>
  <c r="J55" i="152" s="1"/>
  <c r="H54" i="152"/>
  <c r="J54" i="152" s="1"/>
  <c r="H53" i="152"/>
  <c r="J53" i="152" s="1"/>
  <c r="H52" i="152"/>
  <c r="I52" i="152" s="1"/>
  <c r="H51" i="152"/>
  <c r="J51" i="152" s="1"/>
  <c r="H50" i="152"/>
  <c r="J50" i="152" s="1"/>
  <c r="G50" i="152"/>
  <c r="H49" i="152"/>
  <c r="I49" i="152" s="1"/>
  <c r="H48" i="152"/>
  <c r="I48" i="152" s="1"/>
  <c r="H47" i="152"/>
  <c r="I47" i="152" s="1"/>
  <c r="H46" i="152"/>
  <c r="J46" i="152" s="1"/>
  <c r="H45" i="152"/>
  <c r="J45" i="152" s="1"/>
  <c r="H44" i="152"/>
  <c r="J44" i="152" s="1"/>
  <c r="H43" i="152"/>
  <c r="J43" i="152" s="1"/>
  <c r="H42" i="152"/>
  <c r="J42" i="152" s="1"/>
  <c r="H41" i="152"/>
  <c r="I41" i="152" s="1"/>
  <c r="H40" i="152"/>
  <c r="I40" i="152" s="1"/>
  <c r="H39" i="152"/>
  <c r="I39" i="152" s="1"/>
  <c r="G39" i="152"/>
  <c r="H38" i="152"/>
  <c r="J38" i="152" s="1"/>
  <c r="H37" i="152"/>
  <c r="J37" i="152" s="1"/>
  <c r="H36" i="152"/>
  <c r="I36" i="152" s="1"/>
  <c r="H35" i="152"/>
  <c r="I35" i="152" s="1"/>
  <c r="H34" i="152"/>
  <c r="I34" i="152" s="1"/>
  <c r="H33" i="152"/>
  <c r="J33" i="152" s="1"/>
  <c r="H32" i="152"/>
  <c r="J32" i="152" s="1"/>
  <c r="H31" i="152"/>
  <c r="J31" i="152" s="1"/>
  <c r="H30" i="152"/>
  <c r="J30" i="152" s="1"/>
  <c r="H29" i="152"/>
  <c r="J29" i="152" s="1"/>
  <c r="H28" i="152"/>
  <c r="I28" i="152" s="1"/>
  <c r="H27" i="152"/>
  <c r="I27" i="152" s="1"/>
  <c r="H26" i="152"/>
  <c r="I26" i="152" s="1"/>
  <c r="H25" i="152"/>
  <c r="J25" i="152" s="1"/>
  <c r="H24" i="152"/>
  <c r="J24" i="152" s="1"/>
  <c r="H23" i="152"/>
  <c r="J23" i="152" s="1"/>
  <c r="H22" i="152"/>
  <c r="J22" i="152" s="1"/>
  <c r="H21" i="152"/>
  <c r="J21" i="152" s="1"/>
  <c r="H20" i="152"/>
  <c r="I20" i="152" s="1"/>
  <c r="H19" i="152"/>
  <c r="I19" i="152" s="1"/>
  <c r="H18" i="152"/>
  <c r="I18" i="152" s="1"/>
  <c r="H17" i="152"/>
  <c r="J17" i="152" s="1"/>
  <c r="H16" i="152"/>
  <c r="I16" i="152" s="1"/>
  <c r="H15" i="152"/>
  <c r="J15" i="152" s="1"/>
  <c r="H14" i="152"/>
  <c r="J14" i="152" s="1"/>
  <c r="H13" i="152"/>
  <c r="J13" i="152" s="1"/>
  <c r="H12" i="152"/>
  <c r="I12" i="152" s="1"/>
  <c r="G10" i="152"/>
  <c r="G9" i="152" s="1"/>
  <c r="J400" i="152" l="1"/>
  <c r="I74" i="152"/>
  <c r="I123" i="152"/>
  <c r="J147" i="152"/>
  <c r="J158" i="152"/>
  <c r="I163" i="152"/>
  <c r="J177" i="152"/>
  <c r="I220" i="152"/>
  <c r="J245" i="152"/>
  <c r="J286" i="152"/>
  <c r="J365" i="152"/>
  <c r="J370" i="152"/>
  <c r="I387" i="152"/>
  <c r="I412" i="152"/>
  <c r="J451" i="152"/>
  <c r="I536" i="152"/>
  <c r="J547" i="152"/>
  <c r="J560" i="152"/>
  <c r="I141" i="152"/>
  <c r="J194" i="152"/>
  <c r="I262" i="152"/>
  <c r="J374" i="152"/>
  <c r="J456" i="152"/>
  <c r="I171" i="152"/>
  <c r="J195" i="152"/>
  <c r="J200" i="152"/>
  <c r="J240" i="152"/>
  <c r="J252" i="152"/>
  <c r="J275" i="152"/>
  <c r="J401" i="152"/>
  <c r="J439" i="152"/>
  <c r="I478" i="152"/>
  <c r="I483" i="152"/>
  <c r="I530" i="152"/>
  <c r="I543" i="152"/>
  <c r="I568" i="152"/>
  <c r="I580" i="152"/>
  <c r="J79" i="152"/>
  <c r="I337" i="152"/>
  <c r="J432" i="152"/>
  <c r="I572" i="152"/>
  <c r="J69" i="152"/>
  <c r="I91" i="152"/>
  <c r="J178" i="152"/>
  <c r="J258" i="152"/>
  <c r="I282" i="152"/>
  <c r="I300" i="152"/>
  <c r="J361" i="152"/>
  <c r="I371" i="152"/>
  <c r="J420" i="152"/>
  <c r="J452" i="152"/>
  <c r="I556" i="152"/>
  <c r="I574" i="152"/>
  <c r="I116" i="152"/>
  <c r="J134" i="152"/>
  <c r="I482" i="152"/>
  <c r="I523" i="152"/>
  <c r="J126" i="152"/>
  <c r="J156" i="152"/>
  <c r="J161" i="152"/>
  <c r="I179" i="152"/>
  <c r="I217" i="152"/>
  <c r="I266" i="152"/>
  <c r="I271" i="152"/>
  <c r="J283" i="152"/>
  <c r="I288" i="152"/>
  <c r="J295" i="152"/>
  <c r="I336" i="152"/>
  <c r="I356" i="152"/>
  <c r="J362" i="152"/>
  <c r="I367" i="152"/>
  <c r="J372" i="152"/>
  <c r="J492" i="152"/>
  <c r="I507" i="152"/>
  <c r="I527" i="152"/>
  <c r="I23" i="152"/>
  <c r="I29" i="152"/>
  <c r="I13" i="152"/>
  <c r="J18" i="152"/>
  <c r="J36" i="152"/>
  <c r="J41" i="152"/>
  <c r="J59" i="152"/>
  <c r="J64" i="152"/>
  <c r="I93" i="152"/>
  <c r="J110" i="152"/>
  <c r="I128" i="152"/>
  <c r="I143" i="152"/>
  <c r="J152" i="152"/>
  <c r="J193" i="152"/>
  <c r="I214" i="152"/>
  <c r="I219" i="152"/>
  <c r="J223" i="152"/>
  <c r="J227" i="152"/>
  <c r="I260" i="152"/>
  <c r="I328" i="152"/>
  <c r="J348" i="152"/>
  <c r="I353" i="152"/>
  <c r="I358" i="152"/>
  <c r="J380" i="152"/>
  <c r="J391" i="152"/>
  <c r="I398" i="152"/>
  <c r="J416" i="152"/>
  <c r="I454" i="152"/>
  <c r="I462" i="152"/>
  <c r="I466" i="152"/>
  <c r="I494" i="152"/>
  <c r="I582" i="152"/>
  <c r="I31" i="152"/>
  <c r="I37" i="152"/>
  <c r="I42" i="152"/>
  <c r="I85" i="152"/>
  <c r="I101" i="152"/>
  <c r="I107" i="152"/>
  <c r="J129" i="152"/>
  <c r="I133" i="152"/>
  <c r="I175" i="152"/>
  <c r="I190" i="152"/>
  <c r="J210" i="152"/>
  <c r="I224" i="152"/>
  <c r="J293" i="152"/>
  <c r="I312" i="152"/>
  <c r="I345" i="152"/>
  <c r="I354" i="152"/>
  <c r="J359" i="152"/>
  <c r="J378" i="152"/>
  <c r="I399" i="152"/>
  <c r="J408" i="152"/>
  <c r="J455" i="152"/>
  <c r="I463" i="152"/>
  <c r="I467" i="152"/>
  <c r="I491" i="152"/>
  <c r="J519" i="152"/>
  <c r="I535" i="152"/>
  <c r="I552" i="152"/>
  <c r="I564" i="152"/>
  <c r="I579" i="152"/>
  <c r="J20" i="152"/>
  <c r="I15" i="152"/>
  <c r="J28" i="152"/>
  <c r="J49" i="152"/>
  <c r="J120" i="152"/>
  <c r="I130" i="152"/>
  <c r="J150" i="152"/>
  <c r="I205" i="152"/>
  <c r="I211" i="152"/>
  <c r="J340" i="152"/>
  <c r="I350" i="152"/>
  <c r="I360" i="152"/>
  <c r="J388" i="152"/>
  <c r="J409" i="152"/>
  <c r="I419" i="152"/>
  <c r="I436" i="152"/>
  <c r="J447" i="152"/>
  <c r="I464" i="152"/>
  <c r="J503" i="152"/>
  <c r="I44" i="152"/>
  <c r="J104" i="152"/>
  <c r="I109" i="152"/>
  <c r="I151" i="152"/>
  <c r="I165" i="152"/>
  <c r="J187" i="152"/>
  <c r="I192" i="152"/>
  <c r="I226" i="152"/>
  <c r="J231" i="152"/>
  <c r="I320" i="152"/>
  <c r="J327" i="152"/>
  <c r="I347" i="152"/>
  <c r="J385" i="152"/>
  <c r="I415" i="152"/>
  <c r="J465" i="152"/>
  <c r="I499" i="152"/>
  <c r="I532" i="152"/>
  <c r="I566" i="152"/>
  <c r="J576" i="152"/>
  <c r="I33" i="152"/>
  <c r="I46" i="152"/>
  <c r="I68" i="152"/>
  <c r="I86" i="152"/>
  <c r="J94" i="152"/>
  <c r="I99" i="152"/>
  <c r="I103" i="152"/>
  <c r="I113" i="152"/>
  <c r="I117" i="152"/>
  <c r="I144" i="152"/>
  <c r="I159" i="152"/>
  <c r="I185" i="152"/>
  <c r="J202" i="152"/>
  <c r="I206" i="152"/>
  <c r="I232" i="152"/>
  <c r="I241" i="152"/>
  <c r="J259" i="152"/>
  <c r="J299" i="152"/>
  <c r="I304" i="152"/>
  <c r="I324" i="152"/>
  <c r="I341" i="152"/>
  <c r="J349" i="152"/>
  <c r="I357" i="152"/>
  <c r="I375" i="152"/>
  <c r="I382" i="152"/>
  <c r="I395" i="152"/>
  <c r="I418" i="152"/>
  <c r="I427" i="152"/>
  <c r="I440" i="152"/>
  <c r="I444" i="152"/>
  <c r="I448" i="152"/>
  <c r="I470" i="152"/>
  <c r="I475" i="152"/>
  <c r="I486" i="152"/>
  <c r="I490" i="152"/>
  <c r="I502" i="152"/>
  <c r="I510" i="152"/>
  <c r="I518" i="152"/>
  <c r="I526" i="152"/>
  <c r="J529" i="152"/>
  <c r="I548" i="152"/>
  <c r="J34" i="152"/>
  <c r="I25" i="152"/>
  <c r="J52" i="152"/>
  <c r="J12" i="152"/>
  <c r="J66" i="152"/>
  <c r="I80" i="152"/>
  <c r="I88" i="152"/>
  <c r="I100" i="152"/>
  <c r="I115" i="152"/>
  <c r="I119" i="152"/>
  <c r="I135" i="152"/>
  <c r="J149" i="152"/>
  <c r="I169" i="152"/>
  <c r="J174" i="152"/>
  <c r="I181" i="152"/>
  <c r="I213" i="152"/>
  <c r="I221" i="152"/>
  <c r="I253" i="152"/>
  <c r="J265" i="152"/>
  <c r="I270" i="152"/>
  <c r="J278" i="152"/>
  <c r="I292" i="152"/>
  <c r="I296" i="152"/>
  <c r="J311" i="152"/>
  <c r="J335" i="152"/>
  <c r="I366" i="152"/>
  <c r="I369" i="152"/>
  <c r="I384" i="152"/>
  <c r="I392" i="152"/>
  <c r="I396" i="152"/>
  <c r="I403" i="152"/>
  <c r="I424" i="152"/>
  <c r="I428" i="152"/>
  <c r="J449" i="152"/>
  <c r="I472" i="152"/>
  <c r="I476" i="152"/>
  <c r="I480" i="152"/>
  <c r="I512" i="152"/>
  <c r="I534" i="152"/>
  <c r="I542" i="152"/>
  <c r="I546" i="152"/>
  <c r="I558" i="152"/>
  <c r="I563" i="152"/>
  <c r="I571" i="152"/>
  <c r="J47" i="152"/>
  <c r="J58" i="152"/>
  <c r="I21" i="152"/>
  <c r="I17" i="152"/>
  <c r="J26" i="152"/>
  <c r="J39" i="152"/>
  <c r="I53" i="152"/>
  <c r="I63" i="152"/>
  <c r="I70" i="152"/>
  <c r="J132" i="152"/>
  <c r="I153" i="152"/>
  <c r="J164" i="152"/>
  <c r="J218" i="152"/>
  <c r="J230" i="152"/>
  <c r="I234" i="152"/>
  <c r="J261" i="152"/>
  <c r="J274" i="152"/>
  <c r="J331" i="152"/>
  <c r="I377" i="152"/>
  <c r="I446" i="152"/>
  <c r="I468" i="152"/>
  <c r="I484" i="152"/>
  <c r="I488" i="152"/>
  <c r="I496" i="152"/>
  <c r="I500" i="152"/>
  <c r="I504" i="152"/>
  <c r="I508" i="152"/>
  <c r="I516" i="152"/>
  <c r="I520" i="152"/>
  <c r="I524" i="152"/>
  <c r="I531" i="152"/>
  <c r="I539" i="152"/>
  <c r="I550" i="152"/>
  <c r="I555" i="152"/>
  <c r="J567" i="152"/>
  <c r="J575" i="152"/>
  <c r="J584" i="152"/>
  <c r="I50" i="152"/>
  <c r="I92" i="152"/>
  <c r="I142" i="152"/>
  <c r="J238" i="152"/>
  <c r="J297" i="152"/>
  <c r="I511" i="152"/>
  <c r="J565" i="152"/>
  <c r="I565" i="152"/>
  <c r="J16" i="152"/>
  <c r="J127" i="152"/>
  <c r="J166" i="152"/>
  <c r="I14" i="152"/>
  <c r="J19" i="152"/>
  <c r="I22" i="152"/>
  <c r="J27" i="152"/>
  <c r="I30" i="152"/>
  <c r="J35" i="152"/>
  <c r="I38" i="152"/>
  <c r="J40" i="152"/>
  <c r="I43" i="152"/>
  <c r="J48" i="152"/>
  <c r="I57" i="152"/>
  <c r="I60" i="152"/>
  <c r="J62" i="152"/>
  <c r="J65" i="152"/>
  <c r="J84" i="152"/>
  <c r="I87" i="152"/>
  <c r="I90" i="152"/>
  <c r="I102" i="152"/>
  <c r="J105" i="152"/>
  <c r="J108" i="152"/>
  <c r="I118" i="152"/>
  <c r="J121" i="152"/>
  <c r="I124" i="152"/>
  <c r="J136" i="152"/>
  <c r="J148" i="152"/>
  <c r="J154" i="152"/>
  <c r="J160" i="152"/>
  <c r="J176" i="152"/>
  <c r="J188" i="152"/>
  <c r="J191" i="152"/>
  <c r="J201" i="152"/>
  <c r="J222" i="152"/>
  <c r="I225" i="152"/>
  <c r="J236" i="152"/>
  <c r="I236" i="152"/>
  <c r="I244" i="152"/>
  <c r="I251" i="152"/>
  <c r="J272" i="152"/>
  <c r="J284" i="152"/>
  <c r="J287" i="152"/>
  <c r="I291" i="152"/>
  <c r="I303" i="152"/>
  <c r="I310" i="152"/>
  <c r="I322" i="152"/>
  <c r="J329" i="152"/>
  <c r="J389" i="152"/>
  <c r="I389" i="152"/>
  <c r="I407" i="152"/>
  <c r="I426" i="152"/>
  <c r="J434" i="152"/>
  <c r="I434" i="152"/>
  <c r="I474" i="152"/>
  <c r="I551" i="152"/>
  <c r="I578" i="152"/>
  <c r="J207" i="152"/>
  <c r="I207" i="152"/>
  <c r="J517" i="152"/>
  <c r="I517" i="152"/>
  <c r="I24" i="152"/>
  <c r="I32" i="152"/>
  <c r="I45" i="152"/>
  <c r="J56" i="152"/>
  <c r="I77" i="152"/>
  <c r="J114" i="152"/>
  <c r="I139" i="152"/>
  <c r="J228" i="152"/>
  <c r="I228" i="152"/>
  <c r="I235" i="152"/>
  <c r="J250" i="152"/>
  <c r="I269" i="152"/>
  <c r="I344" i="152"/>
  <c r="I406" i="152"/>
  <c r="J413" i="152"/>
  <c r="I413" i="152"/>
  <c r="J473" i="152"/>
  <c r="J521" i="152"/>
  <c r="J557" i="152"/>
  <c r="I557" i="152"/>
  <c r="J561" i="152"/>
  <c r="I204" i="152"/>
  <c r="I247" i="152"/>
  <c r="I294" i="152"/>
  <c r="I306" i="152"/>
  <c r="J313" i="152"/>
  <c r="I410" i="152"/>
  <c r="J414" i="152"/>
  <c r="I414" i="152"/>
  <c r="J429" i="152"/>
  <c r="I429" i="152"/>
  <c r="J433" i="152"/>
  <c r="J477" i="152"/>
  <c r="I477" i="152"/>
  <c r="J562" i="152"/>
  <c r="I562" i="152"/>
  <c r="J581" i="152"/>
  <c r="I581" i="152"/>
  <c r="I51" i="152"/>
  <c r="I54" i="152"/>
  <c r="I72" i="152"/>
  <c r="I75" i="152"/>
  <c r="I78" i="152"/>
  <c r="J96" i="152"/>
  <c r="J112" i="152"/>
  <c r="J140" i="152"/>
  <c r="I157" i="152"/>
  <c r="I167" i="152"/>
  <c r="I170" i="152"/>
  <c r="I173" i="152"/>
  <c r="I183" i="152"/>
  <c r="I186" i="152"/>
  <c r="I198" i="152"/>
  <c r="I209" i="152"/>
  <c r="I212" i="152"/>
  <c r="J216" i="152"/>
  <c r="I248" i="152"/>
  <c r="I281" i="152"/>
  <c r="I307" i="152"/>
  <c r="I319" i="152"/>
  <c r="I326" i="152"/>
  <c r="J376" i="152"/>
  <c r="I376" i="152"/>
  <c r="I383" i="152"/>
  <c r="I386" i="152"/>
  <c r="J393" i="152"/>
  <c r="I423" i="152"/>
  <c r="I430" i="152"/>
  <c r="J453" i="152"/>
  <c r="I453" i="152"/>
  <c r="I471" i="152"/>
  <c r="J559" i="152"/>
  <c r="I559" i="152"/>
  <c r="I417" i="152"/>
  <c r="J417" i="152"/>
  <c r="J495" i="152"/>
  <c r="I495" i="152"/>
  <c r="I83" i="152"/>
  <c r="J98" i="152"/>
  <c r="I145" i="152"/>
  <c r="I172" i="152"/>
  <c r="I257" i="152"/>
  <c r="I290" i="152"/>
  <c r="J309" i="152"/>
  <c r="I514" i="152"/>
  <c r="J71" i="152"/>
  <c r="I95" i="152"/>
  <c r="I111" i="152"/>
  <c r="J182" i="152"/>
  <c r="J208" i="152"/>
  <c r="J215" i="152"/>
  <c r="I215" i="152"/>
  <c r="J325" i="152"/>
  <c r="J437" i="152"/>
  <c r="I437" i="152"/>
  <c r="I481" i="152"/>
  <c r="J481" i="152"/>
  <c r="I554" i="152"/>
  <c r="J106" i="152"/>
  <c r="J122" i="152"/>
  <c r="J125" i="152"/>
  <c r="I137" i="152"/>
  <c r="I155" i="152"/>
  <c r="J189" i="152"/>
  <c r="I233" i="152"/>
  <c r="I285" i="152"/>
  <c r="I323" i="152"/>
  <c r="J363" i="152"/>
  <c r="I363" i="152"/>
  <c r="I373" i="152"/>
  <c r="I390" i="152"/>
  <c r="J431" i="152"/>
  <c r="I431" i="152"/>
  <c r="I450" i="152"/>
  <c r="J457" i="152"/>
  <c r="J493" i="152"/>
  <c r="I493" i="152"/>
  <c r="J497" i="152"/>
  <c r="J501" i="152"/>
  <c r="I501" i="152"/>
  <c r="J537" i="152"/>
  <c r="J583" i="152"/>
  <c r="I583" i="152"/>
  <c r="J199" i="152"/>
  <c r="I199" i="152"/>
  <c r="J498" i="152"/>
  <c r="I498" i="152"/>
  <c r="J541" i="152"/>
  <c r="I541" i="152"/>
  <c r="I545" i="152"/>
  <c r="J545" i="152"/>
  <c r="I55" i="152"/>
  <c r="J61" i="152"/>
  <c r="J73" i="152"/>
  <c r="J138" i="152"/>
  <c r="J168" i="152"/>
  <c r="J184" i="152"/>
  <c r="I256" i="152"/>
  <c r="J263" i="152"/>
  <c r="J338" i="152"/>
  <c r="I364" i="152"/>
  <c r="I538" i="152"/>
  <c r="J397" i="152"/>
  <c r="I397" i="152"/>
  <c r="J461" i="152"/>
  <c r="I461" i="152"/>
  <c r="J525" i="152"/>
  <c r="I525" i="152"/>
  <c r="I239" i="152"/>
  <c r="J242" i="152"/>
  <c r="I264" i="152"/>
  <c r="J267" i="152"/>
  <c r="I273" i="152"/>
  <c r="J276" i="152"/>
  <c r="I298" i="152"/>
  <c r="J301" i="152"/>
  <c r="I314" i="152"/>
  <c r="J317" i="152"/>
  <c r="I330" i="152"/>
  <c r="J333" i="152"/>
  <c r="I339" i="152"/>
  <c r="J342" i="152"/>
  <c r="J351" i="152"/>
  <c r="I394" i="152"/>
  <c r="J421" i="152"/>
  <c r="I421" i="152"/>
  <c r="I438" i="152"/>
  <c r="J441" i="152"/>
  <c r="I458" i="152"/>
  <c r="J485" i="152"/>
  <c r="I485" i="152"/>
  <c r="J505" i="152"/>
  <c r="I522" i="152"/>
  <c r="J549" i="152"/>
  <c r="I549" i="152"/>
  <c r="J569" i="152"/>
  <c r="J355" i="152"/>
  <c r="I355" i="152"/>
  <c r="J368" i="152"/>
  <c r="I368" i="152"/>
  <c r="J381" i="152"/>
  <c r="I381" i="152"/>
  <c r="J445" i="152"/>
  <c r="I445" i="152"/>
  <c r="J509" i="152"/>
  <c r="I509" i="152"/>
  <c r="J573" i="152"/>
  <c r="I573" i="152"/>
  <c r="I243" i="152"/>
  <c r="J246" i="152"/>
  <c r="J255" i="152"/>
  <c r="I268" i="152"/>
  <c r="I277" i="152"/>
  <c r="J280" i="152"/>
  <c r="J289" i="152"/>
  <c r="I302" i="152"/>
  <c r="J305" i="152"/>
  <c r="I318" i="152"/>
  <c r="J321" i="152"/>
  <c r="I334" i="152"/>
  <c r="I343" i="152"/>
  <c r="J346" i="152"/>
  <c r="I352" i="152"/>
  <c r="J405" i="152"/>
  <c r="I405" i="152"/>
  <c r="I422" i="152"/>
  <c r="J425" i="152"/>
  <c r="I442" i="152"/>
  <c r="J469" i="152"/>
  <c r="I469" i="152"/>
  <c r="J489" i="152"/>
  <c r="I506" i="152"/>
  <c r="J533" i="152"/>
  <c r="I533" i="152"/>
  <c r="J553" i="152"/>
  <c r="I570" i="152"/>
  <c r="J577" i="152"/>
  <c r="H713" i="142" l="1"/>
  <c r="J713" i="142" s="1"/>
  <c r="H712" i="142"/>
  <c r="H711" i="142"/>
  <c r="J711" i="142" s="1"/>
  <c r="H710" i="142"/>
  <c r="J710" i="142" s="1"/>
  <c r="H709" i="142"/>
  <c r="J709" i="142" s="1"/>
  <c r="H708" i="142"/>
  <c r="I708" i="142" s="1"/>
  <c r="H707" i="142"/>
  <c r="J707" i="142" s="1"/>
  <c r="H706" i="142"/>
  <c r="I706" i="142" s="1"/>
  <c r="H705" i="142"/>
  <c r="J705" i="142" s="1"/>
  <c r="H704" i="142"/>
  <c r="H703" i="142"/>
  <c r="J703" i="142" s="1"/>
  <c r="H702" i="142"/>
  <c r="J702" i="142" s="1"/>
  <c r="H701" i="142"/>
  <c r="I701" i="142" s="1"/>
  <c r="H700" i="142"/>
  <c r="I700" i="142" s="1"/>
  <c r="H699" i="142"/>
  <c r="J699" i="142" s="1"/>
  <c r="J698" i="142"/>
  <c r="H698" i="142"/>
  <c r="I698" i="142" s="1"/>
  <c r="H697" i="142"/>
  <c r="J697" i="142" s="1"/>
  <c r="H696" i="142"/>
  <c r="H695" i="142"/>
  <c r="J695" i="142" s="1"/>
  <c r="H694" i="142"/>
  <c r="J694" i="142" s="1"/>
  <c r="J693" i="142"/>
  <c r="H693" i="142"/>
  <c r="I693" i="142" s="1"/>
  <c r="H692" i="142"/>
  <c r="I692" i="142" s="1"/>
  <c r="H691" i="142"/>
  <c r="J691" i="142" s="1"/>
  <c r="H690" i="142"/>
  <c r="I690" i="142" s="1"/>
  <c r="H689" i="142"/>
  <c r="J689" i="142" s="1"/>
  <c r="H688" i="142"/>
  <c r="H687" i="142"/>
  <c r="I687" i="142" s="1"/>
  <c r="I686" i="142"/>
  <c r="H686" i="142"/>
  <c r="J686" i="142" s="1"/>
  <c r="H685" i="142"/>
  <c r="J685" i="142" s="1"/>
  <c r="H684" i="142"/>
  <c r="I684" i="142" s="1"/>
  <c r="H683" i="142"/>
  <c r="J683" i="142" s="1"/>
  <c r="H682" i="142"/>
  <c r="J682" i="142" s="1"/>
  <c r="H681" i="142"/>
  <c r="J681" i="142" s="1"/>
  <c r="H680" i="142"/>
  <c r="H679" i="142"/>
  <c r="I679" i="142" s="1"/>
  <c r="H678" i="142"/>
  <c r="J678" i="142" s="1"/>
  <c r="H677" i="142"/>
  <c r="J677" i="142" s="1"/>
  <c r="H676" i="142"/>
  <c r="I676" i="142" s="1"/>
  <c r="H675" i="142"/>
  <c r="J675" i="142" s="1"/>
  <c r="H674" i="142"/>
  <c r="I674" i="142" s="1"/>
  <c r="H673" i="142"/>
  <c r="J673" i="142" s="1"/>
  <c r="H672" i="142"/>
  <c r="I671" i="142"/>
  <c r="H671" i="142"/>
  <c r="J671" i="142" s="1"/>
  <c r="H670" i="142"/>
  <c r="J670" i="142" s="1"/>
  <c r="H669" i="142"/>
  <c r="J669" i="142" s="1"/>
  <c r="H668" i="142"/>
  <c r="I668" i="142" s="1"/>
  <c r="H667" i="142"/>
  <c r="J667" i="142" s="1"/>
  <c r="J666" i="142"/>
  <c r="H666" i="142"/>
  <c r="I666" i="142" s="1"/>
  <c r="H665" i="142"/>
  <c r="J665" i="142" s="1"/>
  <c r="H664" i="142"/>
  <c r="I663" i="142"/>
  <c r="H663" i="142"/>
  <c r="J663" i="142" s="1"/>
  <c r="H662" i="142"/>
  <c r="I662" i="142" s="1"/>
  <c r="H661" i="142"/>
  <c r="J661" i="142" s="1"/>
  <c r="H660" i="142"/>
  <c r="I660" i="142" s="1"/>
  <c r="H659" i="142"/>
  <c r="I659" i="142" s="1"/>
  <c r="I658" i="142"/>
  <c r="H658" i="142"/>
  <c r="J658" i="142" s="1"/>
  <c r="H657" i="142"/>
  <c r="J657" i="142" s="1"/>
  <c r="H656" i="142"/>
  <c r="H655" i="142"/>
  <c r="I655" i="142" s="1"/>
  <c r="H654" i="142"/>
  <c r="I654" i="142" s="1"/>
  <c r="H653" i="142"/>
  <c r="J653" i="142" s="1"/>
  <c r="H652" i="142"/>
  <c r="I652" i="142" s="1"/>
  <c r="H651" i="142"/>
  <c r="I651" i="142" s="1"/>
  <c r="H650" i="142"/>
  <c r="I650" i="142" s="1"/>
  <c r="H649" i="142"/>
  <c r="J649" i="142" s="1"/>
  <c r="H648" i="142"/>
  <c r="I647" i="142"/>
  <c r="H647" i="142"/>
  <c r="J647" i="142" s="1"/>
  <c r="H646" i="142"/>
  <c r="I646" i="142" s="1"/>
  <c r="H645" i="142"/>
  <c r="J645" i="142" s="1"/>
  <c r="H644" i="142"/>
  <c r="I644" i="142" s="1"/>
  <c r="H643" i="142"/>
  <c r="I643" i="142" s="1"/>
  <c r="I642" i="142"/>
  <c r="H642" i="142"/>
  <c r="J642" i="142" s="1"/>
  <c r="H641" i="142"/>
  <c r="J641" i="142" s="1"/>
  <c r="H640" i="142"/>
  <c r="J639" i="142"/>
  <c r="I639" i="142"/>
  <c r="H639" i="142"/>
  <c r="H638" i="142"/>
  <c r="J638" i="142" s="1"/>
  <c r="H637" i="142"/>
  <c r="I637" i="142" s="1"/>
  <c r="H636" i="142"/>
  <c r="I636" i="142" s="1"/>
  <c r="H635" i="142"/>
  <c r="I635" i="142" s="1"/>
  <c r="H634" i="142"/>
  <c r="J634" i="142" s="1"/>
  <c r="H633" i="142"/>
  <c r="J633" i="142" s="1"/>
  <c r="H632" i="142"/>
  <c r="H631" i="142"/>
  <c r="J631" i="142" s="1"/>
  <c r="H630" i="142"/>
  <c r="J630" i="142" s="1"/>
  <c r="J629" i="142"/>
  <c r="H629" i="142"/>
  <c r="I629" i="142" s="1"/>
  <c r="H628" i="142"/>
  <c r="I628" i="142" s="1"/>
  <c r="H627" i="142"/>
  <c r="I627" i="142" s="1"/>
  <c r="H626" i="142"/>
  <c r="J626" i="142" s="1"/>
  <c r="H625" i="142"/>
  <c r="J625" i="142" s="1"/>
  <c r="H624" i="142"/>
  <c r="H623" i="142"/>
  <c r="I623" i="142" s="1"/>
  <c r="I622" i="142"/>
  <c r="H622" i="142"/>
  <c r="J622" i="142" s="1"/>
  <c r="H621" i="142"/>
  <c r="J621" i="142" s="1"/>
  <c r="H620" i="142"/>
  <c r="I620" i="142" s="1"/>
  <c r="H619" i="142"/>
  <c r="I619" i="142" s="1"/>
  <c r="J618" i="142"/>
  <c r="H618" i="142"/>
  <c r="I618" i="142" s="1"/>
  <c r="H617" i="142"/>
  <c r="J617" i="142" s="1"/>
  <c r="H616" i="142"/>
  <c r="H615" i="142"/>
  <c r="J615" i="142" s="1"/>
  <c r="J614" i="142"/>
  <c r="H614" i="142"/>
  <c r="I614" i="142" s="1"/>
  <c r="H613" i="142"/>
  <c r="J613" i="142" s="1"/>
  <c r="H612" i="142"/>
  <c r="I612" i="142" s="1"/>
  <c r="H611" i="142"/>
  <c r="I611" i="142" s="1"/>
  <c r="H610" i="142"/>
  <c r="I610" i="142" s="1"/>
  <c r="H609" i="142"/>
  <c r="J609" i="142" s="1"/>
  <c r="H608" i="142"/>
  <c r="H607" i="142"/>
  <c r="J607" i="142" s="1"/>
  <c r="H606" i="142"/>
  <c r="I606" i="142" s="1"/>
  <c r="H605" i="142"/>
  <c r="J605" i="142" s="1"/>
  <c r="H604" i="142"/>
  <c r="I604" i="142" s="1"/>
  <c r="H603" i="142"/>
  <c r="I603" i="142" s="1"/>
  <c r="J602" i="142"/>
  <c r="H602" i="142"/>
  <c r="I602" i="142" s="1"/>
  <c r="H601" i="142"/>
  <c r="J601" i="142" s="1"/>
  <c r="H600" i="142"/>
  <c r="H599" i="142"/>
  <c r="J599" i="142" s="1"/>
  <c r="H598" i="142"/>
  <c r="I598" i="142" s="1"/>
  <c r="I597" i="142"/>
  <c r="H597" i="142"/>
  <c r="J597" i="142" s="1"/>
  <c r="H596" i="142"/>
  <c r="I596" i="142" s="1"/>
  <c r="H595" i="142"/>
  <c r="I595" i="142" s="1"/>
  <c r="H594" i="142"/>
  <c r="I594" i="142" s="1"/>
  <c r="H593" i="142"/>
  <c r="J593" i="142" s="1"/>
  <c r="H592" i="142"/>
  <c r="H591" i="142"/>
  <c r="J591" i="142" s="1"/>
  <c r="H590" i="142"/>
  <c r="I590" i="142" s="1"/>
  <c r="H589" i="142"/>
  <c r="J589" i="142" s="1"/>
  <c r="H588" i="142"/>
  <c r="I588" i="142" s="1"/>
  <c r="J587" i="142"/>
  <c r="H587" i="142"/>
  <c r="I587" i="142" s="1"/>
  <c r="H586" i="142"/>
  <c r="I586" i="142" s="1"/>
  <c r="H585" i="142"/>
  <c r="J585" i="142" s="1"/>
  <c r="H584" i="142"/>
  <c r="I583" i="142"/>
  <c r="H583" i="142"/>
  <c r="J583" i="142" s="1"/>
  <c r="H582" i="142"/>
  <c r="I582" i="142" s="1"/>
  <c r="H581" i="142"/>
  <c r="J581" i="142" s="1"/>
  <c r="H580" i="142"/>
  <c r="I580" i="142" s="1"/>
  <c r="H579" i="142"/>
  <c r="I579" i="142" s="1"/>
  <c r="J578" i="142"/>
  <c r="H578" i="142"/>
  <c r="I578" i="142" s="1"/>
  <c r="H577" i="142"/>
  <c r="J577" i="142" s="1"/>
  <c r="H576" i="142"/>
  <c r="H575" i="142"/>
  <c r="J575" i="142" s="1"/>
  <c r="H574" i="142"/>
  <c r="I574" i="142" s="1"/>
  <c r="I573" i="142"/>
  <c r="H573" i="142"/>
  <c r="J573" i="142" s="1"/>
  <c r="H572" i="142"/>
  <c r="I572" i="142" s="1"/>
  <c r="H571" i="142"/>
  <c r="I571" i="142" s="1"/>
  <c r="H570" i="142"/>
  <c r="I570" i="142" s="1"/>
  <c r="H569" i="142"/>
  <c r="J569" i="142" s="1"/>
  <c r="H568" i="142"/>
  <c r="I567" i="142"/>
  <c r="H567" i="142"/>
  <c r="J567" i="142" s="1"/>
  <c r="H566" i="142"/>
  <c r="I566" i="142" s="1"/>
  <c r="I565" i="142"/>
  <c r="H565" i="142"/>
  <c r="J565" i="142" s="1"/>
  <c r="H564" i="142"/>
  <c r="I564" i="142" s="1"/>
  <c r="J563" i="142"/>
  <c r="H563" i="142"/>
  <c r="I563" i="142" s="1"/>
  <c r="H562" i="142"/>
  <c r="I562" i="142" s="1"/>
  <c r="H561" i="142"/>
  <c r="J561" i="142" s="1"/>
  <c r="H560" i="142"/>
  <c r="H559" i="142"/>
  <c r="J559" i="142" s="1"/>
  <c r="H558" i="142"/>
  <c r="I558" i="142" s="1"/>
  <c r="H557" i="142"/>
  <c r="J557" i="142" s="1"/>
  <c r="H556" i="142"/>
  <c r="I556" i="142" s="1"/>
  <c r="J555" i="142"/>
  <c r="H555" i="142"/>
  <c r="I555" i="142" s="1"/>
  <c r="H554" i="142"/>
  <c r="I554" i="142" s="1"/>
  <c r="H553" i="142"/>
  <c r="J553" i="142" s="1"/>
  <c r="H552" i="142"/>
  <c r="H551" i="142"/>
  <c r="J551" i="142" s="1"/>
  <c r="H550" i="142"/>
  <c r="I550" i="142" s="1"/>
  <c r="H549" i="142"/>
  <c r="J549" i="142" s="1"/>
  <c r="H548" i="142"/>
  <c r="I548" i="142" s="1"/>
  <c r="H547" i="142"/>
  <c r="I547" i="142" s="1"/>
  <c r="H546" i="142"/>
  <c r="I546" i="142" s="1"/>
  <c r="H545" i="142"/>
  <c r="J545" i="142" s="1"/>
  <c r="H544" i="142"/>
  <c r="H543" i="142"/>
  <c r="J543" i="142" s="1"/>
  <c r="H542" i="142"/>
  <c r="I542" i="142" s="1"/>
  <c r="H541" i="142"/>
  <c r="J541" i="142" s="1"/>
  <c r="H540" i="142"/>
  <c r="I540" i="142" s="1"/>
  <c r="H539" i="142"/>
  <c r="I539" i="142" s="1"/>
  <c r="J538" i="142"/>
  <c r="H538" i="142"/>
  <c r="I538" i="142" s="1"/>
  <c r="H537" i="142"/>
  <c r="J537" i="142" s="1"/>
  <c r="H536" i="142"/>
  <c r="H535" i="142"/>
  <c r="J535" i="142" s="1"/>
  <c r="H534" i="142"/>
  <c r="I534" i="142" s="1"/>
  <c r="I533" i="142"/>
  <c r="H533" i="142"/>
  <c r="J533" i="142" s="1"/>
  <c r="H532" i="142"/>
  <c r="I532" i="142" s="1"/>
  <c r="H531" i="142"/>
  <c r="I531" i="142" s="1"/>
  <c r="H530" i="142"/>
  <c r="I530" i="142" s="1"/>
  <c r="H529" i="142"/>
  <c r="J529" i="142" s="1"/>
  <c r="H528" i="142"/>
  <c r="H527" i="142"/>
  <c r="J527" i="142" s="1"/>
  <c r="H526" i="142"/>
  <c r="I526" i="142" s="1"/>
  <c r="H525" i="142"/>
  <c r="J525" i="142" s="1"/>
  <c r="H524" i="142"/>
  <c r="I524" i="142" s="1"/>
  <c r="H523" i="142"/>
  <c r="I523" i="142" s="1"/>
  <c r="H522" i="142"/>
  <c r="I522" i="142" s="1"/>
  <c r="H521" i="142"/>
  <c r="J521" i="142" s="1"/>
  <c r="H520" i="142"/>
  <c r="I519" i="142"/>
  <c r="H519" i="142"/>
  <c r="J519" i="142" s="1"/>
  <c r="J518" i="142"/>
  <c r="H518" i="142"/>
  <c r="I518" i="142" s="1"/>
  <c r="H517" i="142"/>
  <c r="J517" i="142" s="1"/>
  <c r="H516" i="142"/>
  <c r="I516" i="142" s="1"/>
  <c r="H515" i="142"/>
  <c r="I515" i="142" s="1"/>
  <c r="H514" i="142"/>
  <c r="I514" i="142" s="1"/>
  <c r="H513" i="142"/>
  <c r="J513" i="142" s="1"/>
  <c r="H512" i="142"/>
  <c r="H511" i="142"/>
  <c r="J511" i="142" s="1"/>
  <c r="H510" i="142"/>
  <c r="I510" i="142" s="1"/>
  <c r="I509" i="142"/>
  <c r="H509" i="142"/>
  <c r="J509" i="142" s="1"/>
  <c r="H508" i="142"/>
  <c r="I508" i="142" s="1"/>
  <c r="H507" i="142"/>
  <c r="I507" i="142" s="1"/>
  <c r="H506" i="142"/>
  <c r="I506" i="142" s="1"/>
  <c r="H505" i="142"/>
  <c r="J505" i="142" s="1"/>
  <c r="H504" i="142"/>
  <c r="I503" i="142"/>
  <c r="H503" i="142"/>
  <c r="J503" i="142" s="1"/>
  <c r="H502" i="142"/>
  <c r="I502" i="142" s="1"/>
  <c r="I501" i="142"/>
  <c r="H501" i="142"/>
  <c r="J501" i="142" s="1"/>
  <c r="H500" i="142"/>
  <c r="I500" i="142" s="1"/>
  <c r="H499" i="142"/>
  <c r="I499" i="142" s="1"/>
  <c r="H498" i="142"/>
  <c r="I498" i="142" s="1"/>
  <c r="H497" i="142"/>
  <c r="J497" i="142" s="1"/>
  <c r="H496" i="142"/>
  <c r="H495" i="142"/>
  <c r="J495" i="142" s="1"/>
  <c r="H494" i="142"/>
  <c r="I494" i="142" s="1"/>
  <c r="H493" i="142"/>
  <c r="J493" i="142" s="1"/>
  <c r="H492" i="142"/>
  <c r="I492" i="142" s="1"/>
  <c r="H491" i="142"/>
  <c r="I491" i="142" s="1"/>
  <c r="J490" i="142"/>
  <c r="H490" i="142"/>
  <c r="I490" i="142" s="1"/>
  <c r="H489" i="142"/>
  <c r="J489" i="142" s="1"/>
  <c r="H488" i="142"/>
  <c r="H487" i="142"/>
  <c r="J487" i="142" s="1"/>
  <c r="J486" i="142"/>
  <c r="H486" i="142"/>
  <c r="I486" i="142" s="1"/>
  <c r="H485" i="142"/>
  <c r="J485" i="142" s="1"/>
  <c r="H484" i="142"/>
  <c r="I484" i="142" s="1"/>
  <c r="H483" i="142"/>
  <c r="I483" i="142" s="1"/>
  <c r="H482" i="142"/>
  <c r="I482" i="142" s="1"/>
  <c r="H481" i="142"/>
  <c r="H480" i="142"/>
  <c r="H479" i="142"/>
  <c r="J479" i="142" s="1"/>
  <c r="H478" i="142"/>
  <c r="I478" i="142" s="1"/>
  <c r="H477" i="142"/>
  <c r="J477" i="142" s="1"/>
  <c r="H476" i="142"/>
  <c r="I476" i="142" s="1"/>
  <c r="H475" i="142"/>
  <c r="I475" i="142" s="1"/>
  <c r="J474" i="142"/>
  <c r="H474" i="142"/>
  <c r="I474" i="142" s="1"/>
  <c r="H473" i="142"/>
  <c r="H472" i="142"/>
  <c r="H471" i="142"/>
  <c r="I471" i="142" s="1"/>
  <c r="J470" i="142"/>
  <c r="H470" i="142"/>
  <c r="I470" i="142" s="1"/>
  <c r="H469" i="142"/>
  <c r="J469" i="142" s="1"/>
  <c r="H468" i="142"/>
  <c r="I468" i="142" s="1"/>
  <c r="H467" i="142"/>
  <c r="I467" i="142" s="1"/>
  <c r="H466" i="142"/>
  <c r="J466" i="142" s="1"/>
  <c r="H465" i="142"/>
  <c r="H464" i="142"/>
  <c r="J463" i="142"/>
  <c r="H463" i="142"/>
  <c r="I463" i="142" s="1"/>
  <c r="H462" i="142"/>
  <c r="J462" i="142" s="1"/>
  <c r="H461" i="142"/>
  <c r="J461" i="142" s="1"/>
  <c r="H460" i="142"/>
  <c r="I460" i="142" s="1"/>
  <c r="J459" i="142"/>
  <c r="H459" i="142"/>
  <c r="I459" i="142" s="1"/>
  <c r="H458" i="142"/>
  <c r="J458" i="142" s="1"/>
  <c r="H457" i="142"/>
  <c r="H456" i="142"/>
  <c r="G456" i="142"/>
  <c r="H455" i="142"/>
  <c r="I455" i="142" s="1"/>
  <c r="J454" i="142"/>
  <c r="H454" i="142"/>
  <c r="I454" i="142" s="1"/>
  <c r="H453" i="142"/>
  <c r="J453" i="142" s="1"/>
  <c r="H452" i="142"/>
  <c r="H451" i="142"/>
  <c r="H450" i="142"/>
  <c r="I450" i="142" s="1"/>
  <c r="H449" i="142"/>
  <c r="J449" i="142" s="1"/>
  <c r="H448" i="142"/>
  <c r="J448" i="142" s="1"/>
  <c r="H447" i="142"/>
  <c r="I447" i="142" s="1"/>
  <c r="H446" i="142"/>
  <c r="I446" i="142" s="1"/>
  <c r="H445" i="142"/>
  <c r="J445" i="142" s="1"/>
  <c r="H444" i="142"/>
  <c r="H443" i="142"/>
  <c r="H442" i="142"/>
  <c r="I442" i="142" s="1"/>
  <c r="H441" i="142"/>
  <c r="J441" i="142" s="1"/>
  <c r="H440" i="142"/>
  <c r="J440" i="142" s="1"/>
  <c r="H439" i="142"/>
  <c r="I439" i="142" s="1"/>
  <c r="H438" i="142"/>
  <c r="I438" i="142" s="1"/>
  <c r="H437" i="142"/>
  <c r="J437" i="142" s="1"/>
  <c r="H436" i="142"/>
  <c r="H435" i="142"/>
  <c r="J434" i="142"/>
  <c r="H434" i="142"/>
  <c r="I434" i="142" s="1"/>
  <c r="H433" i="142"/>
  <c r="J433" i="142" s="1"/>
  <c r="H432" i="142"/>
  <c r="J432" i="142" s="1"/>
  <c r="H431" i="142"/>
  <c r="I431" i="142" s="1"/>
  <c r="H430" i="142"/>
  <c r="I430" i="142" s="1"/>
  <c r="H429" i="142"/>
  <c r="J429" i="142" s="1"/>
  <c r="H428" i="142"/>
  <c r="H427" i="142"/>
  <c r="H426" i="142"/>
  <c r="J426" i="142" s="1"/>
  <c r="H425" i="142"/>
  <c r="J425" i="142" s="1"/>
  <c r="H424" i="142"/>
  <c r="J424" i="142" s="1"/>
  <c r="H423" i="142"/>
  <c r="I423" i="142" s="1"/>
  <c r="H422" i="142"/>
  <c r="I422" i="142" s="1"/>
  <c r="H421" i="142"/>
  <c r="J421" i="142" s="1"/>
  <c r="H420" i="142"/>
  <c r="H419" i="142"/>
  <c r="H418" i="142"/>
  <c r="J418" i="142" s="1"/>
  <c r="H417" i="142"/>
  <c r="J417" i="142" s="1"/>
  <c r="H416" i="142"/>
  <c r="J416" i="142" s="1"/>
  <c r="H415" i="142"/>
  <c r="I415" i="142" s="1"/>
  <c r="H414" i="142"/>
  <c r="I414" i="142" s="1"/>
  <c r="H413" i="142"/>
  <c r="J413" i="142" s="1"/>
  <c r="H412" i="142"/>
  <c r="J412" i="142" s="1"/>
  <c r="H411" i="142"/>
  <c r="H410" i="142"/>
  <c r="I410" i="142" s="1"/>
  <c r="H409" i="142"/>
  <c r="J409" i="142" s="1"/>
  <c r="H408" i="142"/>
  <c r="J408" i="142" s="1"/>
  <c r="J407" i="142"/>
  <c r="H407" i="142"/>
  <c r="I407" i="142" s="1"/>
  <c r="J406" i="142"/>
  <c r="H406" i="142"/>
  <c r="I406" i="142" s="1"/>
  <c r="H405" i="142"/>
  <c r="I405" i="142" s="1"/>
  <c r="H404" i="142"/>
  <c r="J404" i="142" s="1"/>
  <c r="H403" i="142"/>
  <c r="H402" i="142"/>
  <c r="I402" i="142" s="1"/>
  <c r="H401" i="142"/>
  <c r="I401" i="142" s="1"/>
  <c r="H400" i="142"/>
  <c r="J400" i="142" s="1"/>
  <c r="H399" i="142"/>
  <c r="I399" i="142" s="1"/>
  <c r="H398" i="142"/>
  <c r="I398" i="142" s="1"/>
  <c r="H397" i="142"/>
  <c r="J397" i="142" s="1"/>
  <c r="H396" i="142"/>
  <c r="G396" i="142"/>
  <c r="H395" i="142"/>
  <c r="J395" i="142" s="1"/>
  <c r="H394" i="142"/>
  <c r="I394" i="142" s="1"/>
  <c r="G394" i="142"/>
  <c r="H393" i="142"/>
  <c r="H392" i="142"/>
  <c r="J392" i="142" s="1"/>
  <c r="H391" i="142"/>
  <c r="I391" i="142" s="1"/>
  <c r="H390" i="142"/>
  <c r="J390" i="142" s="1"/>
  <c r="H389" i="142"/>
  <c r="I389" i="142" s="1"/>
  <c r="H388" i="142"/>
  <c r="I388" i="142" s="1"/>
  <c r="H387" i="142"/>
  <c r="J387" i="142" s="1"/>
  <c r="H386" i="142"/>
  <c r="H385" i="142"/>
  <c r="H384" i="142"/>
  <c r="I384" i="142" s="1"/>
  <c r="H383" i="142"/>
  <c r="I383" i="142" s="1"/>
  <c r="H382" i="142"/>
  <c r="J382" i="142" s="1"/>
  <c r="H381" i="142"/>
  <c r="I381" i="142" s="1"/>
  <c r="H380" i="142"/>
  <c r="I380" i="142" s="1"/>
  <c r="H379" i="142"/>
  <c r="H378" i="142"/>
  <c r="J378" i="142" s="1"/>
  <c r="H377" i="142"/>
  <c r="H376" i="142"/>
  <c r="J376" i="142" s="1"/>
  <c r="H375" i="142"/>
  <c r="I375" i="142" s="1"/>
  <c r="H374" i="142"/>
  <c r="J374" i="142" s="1"/>
  <c r="H373" i="142"/>
  <c r="H372" i="142"/>
  <c r="J372" i="142" s="1"/>
  <c r="H371" i="142"/>
  <c r="J371" i="142" s="1"/>
  <c r="H370" i="142"/>
  <c r="I370" i="142" s="1"/>
  <c r="H369" i="142"/>
  <c r="J369" i="142" s="1"/>
  <c r="H368" i="142"/>
  <c r="J368" i="142" s="1"/>
  <c r="H367" i="142"/>
  <c r="I367" i="142" s="1"/>
  <c r="H366" i="142"/>
  <c r="J366" i="142" s="1"/>
  <c r="H365" i="142"/>
  <c r="H364" i="142"/>
  <c r="J364" i="142" s="1"/>
  <c r="H363" i="142"/>
  <c r="J363" i="142" s="1"/>
  <c r="J362" i="142"/>
  <c r="H362" i="142"/>
  <c r="I362" i="142" s="1"/>
  <c r="H361" i="142"/>
  <c r="J361" i="142" s="1"/>
  <c r="H360" i="142"/>
  <c r="J360" i="142" s="1"/>
  <c r="H359" i="142"/>
  <c r="I359" i="142" s="1"/>
  <c r="H358" i="142"/>
  <c r="J358" i="142" s="1"/>
  <c r="H357" i="142"/>
  <c r="H356" i="142"/>
  <c r="J356" i="142" s="1"/>
  <c r="H355" i="142"/>
  <c r="J355" i="142" s="1"/>
  <c r="H354" i="142"/>
  <c r="I354" i="142" s="1"/>
  <c r="J353" i="142"/>
  <c r="I353" i="142"/>
  <c r="H353" i="142"/>
  <c r="H352" i="142"/>
  <c r="J352" i="142" s="1"/>
  <c r="H351" i="142"/>
  <c r="I351" i="142" s="1"/>
  <c r="H350" i="142"/>
  <c r="J350" i="142" s="1"/>
  <c r="H349" i="142"/>
  <c r="H348" i="142"/>
  <c r="J348" i="142" s="1"/>
  <c r="H347" i="142"/>
  <c r="J347" i="142" s="1"/>
  <c r="H346" i="142"/>
  <c r="I346" i="142" s="1"/>
  <c r="J345" i="142"/>
  <c r="H345" i="142"/>
  <c r="I345" i="142" s="1"/>
  <c r="H344" i="142"/>
  <c r="J344" i="142" s="1"/>
  <c r="H343" i="142"/>
  <c r="I343" i="142" s="1"/>
  <c r="H342" i="142"/>
  <c r="J342" i="142" s="1"/>
  <c r="H341" i="142"/>
  <c r="H340" i="142"/>
  <c r="J340" i="142" s="1"/>
  <c r="H339" i="142"/>
  <c r="J339" i="142" s="1"/>
  <c r="H338" i="142"/>
  <c r="I338" i="142" s="1"/>
  <c r="H337" i="142"/>
  <c r="I337" i="142" s="1"/>
  <c r="H336" i="142"/>
  <c r="J336" i="142" s="1"/>
  <c r="H335" i="142"/>
  <c r="I335" i="142" s="1"/>
  <c r="H334" i="142"/>
  <c r="J334" i="142" s="1"/>
  <c r="H333" i="142"/>
  <c r="H332" i="142"/>
  <c r="J332" i="142" s="1"/>
  <c r="H331" i="142"/>
  <c r="J331" i="142" s="1"/>
  <c r="H330" i="142"/>
  <c r="I330" i="142" s="1"/>
  <c r="H329" i="142"/>
  <c r="I329" i="142" s="1"/>
  <c r="H328" i="142"/>
  <c r="J328" i="142" s="1"/>
  <c r="H327" i="142"/>
  <c r="I327" i="142" s="1"/>
  <c r="H326" i="142"/>
  <c r="J326" i="142" s="1"/>
  <c r="H325" i="142"/>
  <c r="H324" i="142"/>
  <c r="J324" i="142" s="1"/>
  <c r="H323" i="142"/>
  <c r="J323" i="142" s="1"/>
  <c r="H322" i="142"/>
  <c r="I322" i="142" s="1"/>
  <c r="J321" i="142"/>
  <c r="I321" i="142"/>
  <c r="H321" i="142"/>
  <c r="I320" i="142"/>
  <c r="H320" i="142"/>
  <c r="J320" i="142" s="1"/>
  <c r="H319" i="142"/>
  <c r="I319" i="142" s="1"/>
  <c r="H318" i="142"/>
  <c r="J318" i="142" s="1"/>
  <c r="H317" i="142"/>
  <c r="H316" i="142"/>
  <c r="J316" i="142" s="1"/>
  <c r="H315" i="142"/>
  <c r="J315" i="142" s="1"/>
  <c r="J314" i="142"/>
  <c r="H314" i="142"/>
  <c r="I314" i="142" s="1"/>
  <c r="H313" i="142"/>
  <c r="I313" i="142" s="1"/>
  <c r="H312" i="142"/>
  <c r="J312" i="142" s="1"/>
  <c r="H311" i="142"/>
  <c r="I311" i="142" s="1"/>
  <c r="H310" i="142"/>
  <c r="J310" i="142" s="1"/>
  <c r="H309" i="142"/>
  <c r="H308" i="142"/>
  <c r="J308" i="142" s="1"/>
  <c r="H307" i="142"/>
  <c r="J307" i="142" s="1"/>
  <c r="H306" i="142"/>
  <c r="I306" i="142" s="1"/>
  <c r="I305" i="142"/>
  <c r="H305" i="142"/>
  <c r="J305" i="142" s="1"/>
  <c r="H304" i="142"/>
  <c r="J304" i="142" s="1"/>
  <c r="H303" i="142"/>
  <c r="I303" i="142" s="1"/>
  <c r="H302" i="142"/>
  <c r="J302" i="142" s="1"/>
  <c r="H301" i="142"/>
  <c r="H300" i="142"/>
  <c r="J300" i="142" s="1"/>
  <c r="H299" i="142"/>
  <c r="J299" i="142" s="1"/>
  <c r="H298" i="142"/>
  <c r="I298" i="142" s="1"/>
  <c r="H297" i="142"/>
  <c r="J297" i="142" s="1"/>
  <c r="H296" i="142"/>
  <c r="J296" i="142" s="1"/>
  <c r="H295" i="142"/>
  <c r="I295" i="142" s="1"/>
  <c r="H294" i="142"/>
  <c r="J294" i="142" s="1"/>
  <c r="H293" i="142"/>
  <c r="H292" i="142"/>
  <c r="J292" i="142" s="1"/>
  <c r="H291" i="142"/>
  <c r="J291" i="142" s="1"/>
  <c r="H290" i="142"/>
  <c r="I290" i="142" s="1"/>
  <c r="H289" i="142"/>
  <c r="J289" i="142" s="1"/>
  <c r="H288" i="142"/>
  <c r="J288" i="142" s="1"/>
  <c r="H287" i="142"/>
  <c r="I287" i="142" s="1"/>
  <c r="H286" i="142"/>
  <c r="I286" i="142" s="1"/>
  <c r="H285" i="142"/>
  <c r="H284" i="142"/>
  <c r="J284" i="142" s="1"/>
  <c r="H283" i="142"/>
  <c r="J283" i="142" s="1"/>
  <c r="H282" i="142"/>
  <c r="I282" i="142" s="1"/>
  <c r="H281" i="142"/>
  <c r="J281" i="142" s="1"/>
  <c r="H280" i="142"/>
  <c r="J280" i="142" s="1"/>
  <c r="H279" i="142"/>
  <c r="I279" i="142" s="1"/>
  <c r="G279" i="142"/>
  <c r="H278" i="142"/>
  <c r="J278" i="142" s="1"/>
  <c r="G278" i="142"/>
  <c r="H277" i="142"/>
  <c r="I277" i="142" s="1"/>
  <c r="H276" i="142"/>
  <c r="I276" i="142" s="1"/>
  <c r="H275" i="142"/>
  <c r="H274" i="142"/>
  <c r="J274" i="142" s="1"/>
  <c r="H273" i="142"/>
  <c r="J273" i="142" s="1"/>
  <c r="H272" i="142"/>
  <c r="J272" i="142" s="1"/>
  <c r="H271" i="142"/>
  <c r="J271" i="142" s="1"/>
  <c r="H270" i="142"/>
  <c r="J270" i="142" s="1"/>
  <c r="H269" i="142"/>
  <c r="I269" i="142" s="1"/>
  <c r="J268" i="142"/>
  <c r="H268" i="142"/>
  <c r="I268" i="142" s="1"/>
  <c r="H267" i="142"/>
  <c r="H266" i="142"/>
  <c r="J266" i="142" s="1"/>
  <c r="H265" i="142"/>
  <c r="J265" i="142" s="1"/>
  <c r="H264" i="142"/>
  <c r="J264" i="142" s="1"/>
  <c r="H263" i="142"/>
  <c r="J263" i="142" s="1"/>
  <c r="G263" i="142"/>
  <c r="H262" i="142"/>
  <c r="H261" i="142"/>
  <c r="J261" i="142" s="1"/>
  <c r="H260" i="142"/>
  <c r="J260" i="142" s="1"/>
  <c r="H259" i="142"/>
  <c r="J259" i="142" s="1"/>
  <c r="H258" i="142"/>
  <c r="J258" i="142" s="1"/>
  <c r="H257" i="142"/>
  <c r="J257" i="142" s="1"/>
  <c r="H256" i="142"/>
  <c r="I256" i="142" s="1"/>
  <c r="H255" i="142"/>
  <c r="I255" i="142" s="1"/>
  <c r="H254" i="142"/>
  <c r="H253" i="142"/>
  <c r="J253" i="142" s="1"/>
  <c r="H252" i="142"/>
  <c r="J252" i="142" s="1"/>
  <c r="H251" i="142"/>
  <c r="J251" i="142" s="1"/>
  <c r="H250" i="142"/>
  <c r="J250" i="142" s="1"/>
  <c r="H249" i="142"/>
  <c r="J249" i="142" s="1"/>
  <c r="H248" i="142"/>
  <c r="I248" i="142" s="1"/>
  <c r="H247" i="142"/>
  <c r="J247" i="142" s="1"/>
  <c r="H246" i="142"/>
  <c r="H245" i="142"/>
  <c r="J245" i="142" s="1"/>
  <c r="H244" i="142"/>
  <c r="J244" i="142" s="1"/>
  <c r="H243" i="142"/>
  <c r="I243" i="142" s="1"/>
  <c r="G243" i="142"/>
  <c r="H242" i="142"/>
  <c r="I242" i="142" s="1"/>
  <c r="H241" i="142"/>
  <c r="H240" i="142"/>
  <c r="J240" i="142" s="1"/>
  <c r="H239" i="142"/>
  <c r="J239" i="142" s="1"/>
  <c r="H238" i="142"/>
  <c r="J238" i="142" s="1"/>
  <c r="H237" i="142"/>
  <c r="J237" i="142" s="1"/>
  <c r="H236" i="142"/>
  <c r="J236" i="142" s="1"/>
  <c r="H235" i="142"/>
  <c r="I235" i="142" s="1"/>
  <c r="J234" i="142"/>
  <c r="H234" i="142"/>
  <c r="I234" i="142" s="1"/>
  <c r="H233" i="142"/>
  <c r="H232" i="142"/>
  <c r="J232" i="142" s="1"/>
  <c r="H231" i="142"/>
  <c r="J231" i="142" s="1"/>
  <c r="G231" i="142"/>
  <c r="H230" i="142"/>
  <c r="I230" i="142" s="1"/>
  <c r="H229" i="142"/>
  <c r="I229" i="142" s="1"/>
  <c r="H228" i="142"/>
  <c r="G228" i="142"/>
  <c r="H227" i="142"/>
  <c r="J227" i="142" s="1"/>
  <c r="H226" i="142"/>
  <c r="J226" i="142" s="1"/>
  <c r="H225" i="142"/>
  <c r="I225" i="142" s="1"/>
  <c r="H224" i="142"/>
  <c r="J224" i="142" s="1"/>
  <c r="H223" i="142"/>
  <c r="H222" i="142"/>
  <c r="J222" i="142" s="1"/>
  <c r="H221" i="142"/>
  <c r="J221" i="142" s="1"/>
  <c r="H220" i="142"/>
  <c r="J220" i="142" s="1"/>
  <c r="H219" i="142"/>
  <c r="J219" i="142" s="1"/>
  <c r="H218" i="142"/>
  <c r="J218" i="142" s="1"/>
  <c r="H217" i="142"/>
  <c r="I217" i="142" s="1"/>
  <c r="H216" i="142"/>
  <c r="J216" i="142" s="1"/>
  <c r="H215" i="142"/>
  <c r="H214" i="142"/>
  <c r="J214" i="142" s="1"/>
  <c r="H213" i="142"/>
  <c r="J213" i="142" s="1"/>
  <c r="H212" i="142"/>
  <c r="I212" i="142" s="1"/>
  <c r="H211" i="142"/>
  <c r="J211" i="142" s="1"/>
  <c r="H210" i="142"/>
  <c r="J210" i="142" s="1"/>
  <c r="H209" i="142"/>
  <c r="I209" i="142" s="1"/>
  <c r="H208" i="142"/>
  <c r="J208" i="142" s="1"/>
  <c r="H207" i="142"/>
  <c r="H206" i="142"/>
  <c r="J206" i="142" s="1"/>
  <c r="H205" i="142"/>
  <c r="J205" i="142" s="1"/>
  <c r="J204" i="142"/>
  <c r="H204" i="142"/>
  <c r="I204" i="142" s="1"/>
  <c r="H203" i="142"/>
  <c r="J203" i="142" s="1"/>
  <c r="H202" i="142"/>
  <c r="J202" i="142" s="1"/>
  <c r="G202" i="142"/>
  <c r="H201" i="142"/>
  <c r="J201" i="142" s="1"/>
  <c r="H200" i="142"/>
  <c r="J200" i="142" s="1"/>
  <c r="H199" i="142"/>
  <c r="J199" i="142" s="1"/>
  <c r="H198" i="142"/>
  <c r="J198" i="142" s="1"/>
  <c r="H197" i="142"/>
  <c r="J197" i="142" s="1"/>
  <c r="H196" i="142"/>
  <c r="I196" i="142" s="1"/>
  <c r="H195" i="142"/>
  <c r="I195" i="142" s="1"/>
  <c r="H194" i="142"/>
  <c r="H193" i="142"/>
  <c r="J193" i="142" s="1"/>
  <c r="H192" i="142"/>
  <c r="J192" i="142" s="1"/>
  <c r="H191" i="142"/>
  <c r="J191" i="142" s="1"/>
  <c r="H190" i="142"/>
  <c r="J190" i="142" s="1"/>
  <c r="H189" i="142"/>
  <c r="J189" i="142" s="1"/>
  <c r="H188" i="142"/>
  <c r="I188" i="142" s="1"/>
  <c r="H187" i="142"/>
  <c r="J187" i="142" s="1"/>
  <c r="H186" i="142"/>
  <c r="H185" i="142"/>
  <c r="J185" i="142" s="1"/>
  <c r="H184" i="142"/>
  <c r="J184" i="142" s="1"/>
  <c r="H183" i="142"/>
  <c r="J183" i="142" s="1"/>
  <c r="H182" i="142"/>
  <c r="J182" i="142" s="1"/>
  <c r="H181" i="142"/>
  <c r="J181" i="142" s="1"/>
  <c r="J180" i="142"/>
  <c r="H180" i="142"/>
  <c r="I180" i="142" s="1"/>
  <c r="H179" i="142"/>
  <c r="I179" i="142" s="1"/>
  <c r="H178" i="142"/>
  <c r="H177" i="142"/>
  <c r="J177" i="142" s="1"/>
  <c r="H176" i="142"/>
  <c r="J176" i="142" s="1"/>
  <c r="H175" i="142"/>
  <c r="J175" i="142" s="1"/>
  <c r="H174" i="142"/>
  <c r="J174" i="142" s="1"/>
  <c r="H173" i="142"/>
  <c r="J173" i="142" s="1"/>
  <c r="H172" i="142"/>
  <c r="I172" i="142" s="1"/>
  <c r="G172" i="142"/>
  <c r="H171" i="142"/>
  <c r="J171" i="142" s="1"/>
  <c r="H170" i="142"/>
  <c r="I170" i="142" s="1"/>
  <c r="H169" i="142"/>
  <c r="J169" i="142" s="1"/>
  <c r="H168" i="142"/>
  <c r="J168" i="142" s="1"/>
  <c r="H167" i="142"/>
  <c r="I167" i="142" s="1"/>
  <c r="H166" i="142"/>
  <c r="I166" i="142" s="1"/>
  <c r="H165" i="142"/>
  <c r="H164" i="142"/>
  <c r="J164" i="142" s="1"/>
  <c r="H163" i="142"/>
  <c r="J163" i="142" s="1"/>
  <c r="H162" i="142"/>
  <c r="J162" i="142" s="1"/>
  <c r="H161" i="142"/>
  <c r="J161" i="142" s="1"/>
  <c r="G161" i="142"/>
  <c r="H160" i="142"/>
  <c r="H159" i="142"/>
  <c r="J159" i="142" s="1"/>
  <c r="H158" i="142"/>
  <c r="J158" i="142" s="1"/>
  <c r="J157" i="142"/>
  <c r="I157" i="142"/>
  <c r="H157" i="142"/>
  <c r="H156" i="142"/>
  <c r="J156" i="142" s="1"/>
  <c r="H155" i="142"/>
  <c r="J155" i="142" s="1"/>
  <c r="H154" i="142"/>
  <c r="J154" i="142" s="1"/>
  <c r="H153" i="142"/>
  <c r="I153" i="142" s="1"/>
  <c r="H152" i="142"/>
  <c r="H151" i="142"/>
  <c r="J151" i="142" s="1"/>
  <c r="H150" i="142"/>
  <c r="J150" i="142" s="1"/>
  <c r="H149" i="142"/>
  <c r="J149" i="142" s="1"/>
  <c r="H148" i="142"/>
  <c r="J148" i="142" s="1"/>
  <c r="H147" i="142"/>
  <c r="J147" i="142" s="1"/>
  <c r="H146" i="142"/>
  <c r="I146" i="142" s="1"/>
  <c r="H145" i="142"/>
  <c r="I145" i="142" s="1"/>
  <c r="H144" i="142"/>
  <c r="H143" i="142"/>
  <c r="J143" i="142" s="1"/>
  <c r="J142" i="142"/>
  <c r="H142" i="142"/>
  <c r="I142" i="142" s="1"/>
  <c r="H141" i="142"/>
  <c r="J141" i="142" s="1"/>
  <c r="H140" i="142"/>
  <c r="J140" i="142" s="1"/>
  <c r="H139" i="142"/>
  <c r="J139" i="142" s="1"/>
  <c r="H138" i="142"/>
  <c r="J138" i="142" s="1"/>
  <c r="H137" i="142"/>
  <c r="J137" i="142" s="1"/>
  <c r="G137" i="142"/>
  <c r="H136" i="142"/>
  <c r="J136" i="142" s="1"/>
  <c r="H135" i="142"/>
  <c r="J135" i="142" s="1"/>
  <c r="H134" i="142"/>
  <c r="J134" i="142" s="1"/>
  <c r="H133" i="142"/>
  <c r="I133" i="142" s="1"/>
  <c r="H132" i="142"/>
  <c r="J132" i="142" s="1"/>
  <c r="H131" i="142"/>
  <c r="H130" i="142"/>
  <c r="H129" i="142"/>
  <c r="I129" i="142" s="1"/>
  <c r="H128" i="142"/>
  <c r="J128" i="142" s="1"/>
  <c r="H127" i="142"/>
  <c r="J127" i="142" s="1"/>
  <c r="G127" i="142"/>
  <c r="H126" i="142"/>
  <c r="H125" i="142"/>
  <c r="H124" i="142"/>
  <c r="I124" i="142" s="1"/>
  <c r="I123" i="142"/>
  <c r="H123" i="142"/>
  <c r="J123" i="142" s="1"/>
  <c r="H122" i="142"/>
  <c r="J122" i="142" s="1"/>
  <c r="H121" i="142"/>
  <c r="J121" i="142" s="1"/>
  <c r="H120" i="142"/>
  <c r="I120" i="142" s="1"/>
  <c r="H119" i="142"/>
  <c r="J119" i="142" s="1"/>
  <c r="H118" i="142"/>
  <c r="H117" i="142"/>
  <c r="J116" i="142"/>
  <c r="H116" i="142"/>
  <c r="I116" i="142" s="1"/>
  <c r="H115" i="142"/>
  <c r="J115" i="142" s="1"/>
  <c r="H114" i="142"/>
  <c r="J114" i="142" s="1"/>
  <c r="I113" i="142"/>
  <c r="H113" i="142"/>
  <c r="J113" i="142" s="1"/>
  <c r="H112" i="142"/>
  <c r="I112" i="142" s="1"/>
  <c r="H111" i="142"/>
  <c r="J111" i="142" s="1"/>
  <c r="H110" i="142"/>
  <c r="G110" i="142"/>
  <c r="H109" i="142"/>
  <c r="J109" i="142" s="1"/>
  <c r="H108" i="142"/>
  <c r="J108" i="142" s="1"/>
  <c r="H107" i="142"/>
  <c r="I107" i="142" s="1"/>
  <c r="I106" i="142"/>
  <c r="H106" i="142"/>
  <c r="J106" i="142" s="1"/>
  <c r="H105" i="142"/>
  <c r="H104" i="142"/>
  <c r="H103" i="142"/>
  <c r="I103" i="142" s="1"/>
  <c r="H102" i="142"/>
  <c r="J102" i="142" s="1"/>
  <c r="H101" i="142"/>
  <c r="J101" i="142" s="1"/>
  <c r="H100" i="142"/>
  <c r="J100" i="142" s="1"/>
  <c r="H99" i="142"/>
  <c r="I99" i="142" s="1"/>
  <c r="H98" i="142"/>
  <c r="I98" i="142" s="1"/>
  <c r="H97" i="142"/>
  <c r="H96" i="142"/>
  <c r="H95" i="142"/>
  <c r="I95" i="142" s="1"/>
  <c r="H94" i="142"/>
  <c r="J94" i="142" s="1"/>
  <c r="G94" i="142"/>
  <c r="H93" i="142"/>
  <c r="J93" i="142" s="1"/>
  <c r="H92" i="142"/>
  <c r="H91" i="142"/>
  <c r="H90" i="142"/>
  <c r="I90" i="142" s="1"/>
  <c r="H89" i="142"/>
  <c r="J89" i="142" s="1"/>
  <c r="H88" i="142"/>
  <c r="J88" i="142" s="1"/>
  <c r="G88" i="142"/>
  <c r="H87" i="142"/>
  <c r="H86" i="142"/>
  <c r="H85" i="142"/>
  <c r="I85" i="142" s="1"/>
  <c r="H84" i="142"/>
  <c r="J84" i="142" s="1"/>
  <c r="H83" i="142"/>
  <c r="J83" i="142" s="1"/>
  <c r="H82" i="142"/>
  <c r="J82" i="142" s="1"/>
  <c r="G82" i="142"/>
  <c r="H81" i="142"/>
  <c r="I81" i="142" s="1"/>
  <c r="H80" i="142"/>
  <c r="I80" i="142" s="1"/>
  <c r="H79" i="142"/>
  <c r="J79" i="142" s="1"/>
  <c r="H78" i="142"/>
  <c r="J78" i="142" s="1"/>
  <c r="H77" i="142"/>
  <c r="J77" i="142" s="1"/>
  <c r="H76" i="142"/>
  <c r="I76" i="142" s="1"/>
  <c r="H75" i="142"/>
  <c r="J75" i="142" s="1"/>
  <c r="G75" i="142"/>
  <c r="H74" i="142"/>
  <c r="J74" i="142" s="1"/>
  <c r="H73" i="142"/>
  <c r="J73" i="142" s="1"/>
  <c r="H72" i="142"/>
  <c r="J72" i="142" s="1"/>
  <c r="H71" i="142"/>
  <c r="J71" i="142" s="1"/>
  <c r="H70" i="142"/>
  <c r="I70" i="142" s="1"/>
  <c r="H69" i="142"/>
  <c r="I69" i="142" s="1"/>
  <c r="H68" i="142"/>
  <c r="I68" i="142" s="1"/>
  <c r="H67" i="142"/>
  <c r="I67" i="142" s="1"/>
  <c r="G67" i="142"/>
  <c r="H66" i="142"/>
  <c r="J66" i="142" s="1"/>
  <c r="H65" i="142"/>
  <c r="J65" i="142" s="1"/>
  <c r="H64" i="142"/>
  <c r="I64" i="142" s="1"/>
  <c r="H63" i="142"/>
  <c r="I63" i="142" s="1"/>
  <c r="H62" i="142"/>
  <c r="I62" i="142" s="1"/>
  <c r="H61" i="142"/>
  <c r="J61" i="142" s="1"/>
  <c r="H60" i="142"/>
  <c r="J60" i="142" s="1"/>
  <c r="H59" i="142"/>
  <c r="J59" i="142" s="1"/>
  <c r="H58" i="142"/>
  <c r="I58" i="142" s="1"/>
  <c r="H57" i="142"/>
  <c r="J57" i="142" s="1"/>
  <c r="H56" i="142"/>
  <c r="I56" i="142" s="1"/>
  <c r="H55" i="142"/>
  <c r="I55" i="142" s="1"/>
  <c r="H54" i="142"/>
  <c r="I54" i="142" s="1"/>
  <c r="H53" i="142"/>
  <c r="J53" i="142" s="1"/>
  <c r="H52" i="142"/>
  <c r="J52" i="142" s="1"/>
  <c r="H51" i="142"/>
  <c r="J51" i="142" s="1"/>
  <c r="H50" i="142"/>
  <c r="J50" i="142" s="1"/>
  <c r="H49" i="142"/>
  <c r="J49" i="142" s="1"/>
  <c r="H48" i="142"/>
  <c r="J48" i="142" s="1"/>
  <c r="H47" i="142"/>
  <c r="I47" i="142" s="1"/>
  <c r="H46" i="142"/>
  <c r="J46" i="142" s="1"/>
  <c r="H45" i="142"/>
  <c r="J45" i="142" s="1"/>
  <c r="H44" i="142"/>
  <c r="J44" i="142" s="1"/>
  <c r="H43" i="142"/>
  <c r="J43" i="142" s="1"/>
  <c r="H42" i="142"/>
  <c r="J42" i="142" s="1"/>
  <c r="H41" i="142"/>
  <c r="J41" i="142" s="1"/>
  <c r="H40" i="142"/>
  <c r="J40" i="142" s="1"/>
  <c r="H39" i="142"/>
  <c r="J39" i="142" s="1"/>
  <c r="H38" i="142"/>
  <c r="I38" i="142" s="1"/>
  <c r="G38" i="142"/>
  <c r="H37" i="142"/>
  <c r="J37" i="142" s="1"/>
  <c r="H36" i="142"/>
  <c r="J36" i="142" s="1"/>
  <c r="H35" i="142"/>
  <c r="J35" i="142" s="1"/>
  <c r="H34" i="142"/>
  <c r="J34" i="142" s="1"/>
  <c r="H33" i="142"/>
  <c r="I33" i="142" s="1"/>
  <c r="H32" i="142"/>
  <c r="J32" i="142" s="1"/>
  <c r="H31" i="142"/>
  <c r="I31" i="142" s="1"/>
  <c r="H30" i="142"/>
  <c r="J30" i="142" s="1"/>
  <c r="H29" i="142"/>
  <c r="J29" i="142" s="1"/>
  <c r="H28" i="142"/>
  <c r="J28" i="142" s="1"/>
  <c r="H27" i="142"/>
  <c r="J27" i="142" s="1"/>
  <c r="H26" i="142"/>
  <c r="J26" i="142" s="1"/>
  <c r="H25" i="142"/>
  <c r="I25" i="142" s="1"/>
  <c r="H24" i="142"/>
  <c r="I24" i="142" s="1"/>
  <c r="H23" i="142"/>
  <c r="I23" i="142" s="1"/>
  <c r="H22" i="142"/>
  <c r="J22" i="142" s="1"/>
  <c r="H21" i="142"/>
  <c r="J21" i="142" s="1"/>
  <c r="H20" i="142"/>
  <c r="J20" i="142" s="1"/>
  <c r="H19" i="142"/>
  <c r="J19" i="142" s="1"/>
  <c r="J18" i="142"/>
  <c r="H18" i="142"/>
  <c r="I18" i="142" s="1"/>
  <c r="H17" i="142"/>
  <c r="I17" i="142" s="1"/>
  <c r="H16" i="142"/>
  <c r="I16" i="142" s="1"/>
  <c r="H15" i="142"/>
  <c r="I15" i="142" s="1"/>
  <c r="H14" i="142"/>
  <c r="J14" i="142" s="1"/>
  <c r="H13" i="142"/>
  <c r="J13" i="142" s="1"/>
  <c r="H12" i="142"/>
  <c r="J12" i="142" s="1"/>
  <c r="J112" i="142" l="1"/>
  <c r="I122" i="142"/>
  <c r="I141" i="142"/>
  <c r="J103" i="142"/>
  <c r="I108" i="142"/>
  <c r="J298" i="142"/>
  <c r="J329" i="142"/>
  <c r="J335" i="142"/>
  <c r="I368" i="142"/>
  <c r="I382" i="142"/>
  <c r="J422" i="142"/>
  <c r="J534" i="142"/>
  <c r="J539" i="142"/>
  <c r="J558" i="142"/>
  <c r="J570" i="142"/>
  <c r="I607" i="142"/>
  <c r="J619" i="142"/>
  <c r="J662" i="142"/>
  <c r="I682" i="142"/>
  <c r="I709" i="142"/>
  <c r="I613" i="142"/>
  <c r="J514" i="142"/>
  <c r="I57" i="142"/>
  <c r="I109" i="142"/>
  <c r="J170" i="142"/>
  <c r="I183" i="142"/>
  <c r="J313" i="142"/>
  <c r="J319" i="142"/>
  <c r="J330" i="142"/>
  <c r="I336" i="142"/>
  <c r="I369" i="142"/>
  <c r="J410" i="142"/>
  <c r="I458" i="142"/>
  <c r="I485" i="142"/>
  <c r="I535" i="142"/>
  <c r="J554" i="142"/>
  <c r="J90" i="142"/>
  <c r="J582" i="142"/>
  <c r="G10" i="142"/>
  <c r="G9" i="142" s="1"/>
  <c r="I119" i="142"/>
  <c r="J16" i="142"/>
  <c r="I114" i="142"/>
  <c r="I198" i="142"/>
  <c r="J351" i="142"/>
  <c r="I418" i="142"/>
  <c r="J491" i="142"/>
  <c r="J523" i="142"/>
  <c r="I549" i="142"/>
  <c r="J598" i="142"/>
  <c r="J603" i="142"/>
  <c r="I263" i="142"/>
  <c r="J402" i="142"/>
  <c r="J282" i="142"/>
  <c r="I304" i="142"/>
  <c r="J442" i="142"/>
  <c r="I638" i="142"/>
  <c r="I32" i="142"/>
  <c r="J68" i="142"/>
  <c r="I94" i="142"/>
  <c r="I101" i="142"/>
  <c r="I121" i="142"/>
  <c r="J133" i="142"/>
  <c r="J166" i="142"/>
  <c r="I199" i="142"/>
  <c r="I220" i="142"/>
  <c r="J255" i="142"/>
  <c r="J506" i="142"/>
  <c r="J550" i="142"/>
  <c r="I599" i="142"/>
  <c r="J637" i="142"/>
  <c r="J654" i="142"/>
  <c r="I88" i="142"/>
  <c r="I93" i="142"/>
  <c r="J24" i="142"/>
  <c r="I77" i="142"/>
  <c r="I89" i="142"/>
  <c r="J98" i="142"/>
  <c r="I136" i="142"/>
  <c r="J145" i="142"/>
  <c r="I202" i="142"/>
  <c r="J243" i="142"/>
  <c r="I249" i="142"/>
  <c r="J286" i="142"/>
  <c r="J290" i="142"/>
  <c r="J322" i="142"/>
  <c r="I328" i="142"/>
  <c r="J337" i="142"/>
  <c r="J343" i="142"/>
  <c r="J383" i="142"/>
  <c r="J401" i="142"/>
  <c r="J450" i="142"/>
  <c r="J467" i="142"/>
  <c r="J478" i="142"/>
  <c r="J483" i="142"/>
  <c r="I493" i="142"/>
  <c r="J498" i="142"/>
  <c r="I527" i="142"/>
  <c r="J542" i="142"/>
  <c r="J547" i="142"/>
  <c r="I557" i="142"/>
  <c r="J562" i="142"/>
  <c r="I591" i="142"/>
  <c r="J606" i="142"/>
  <c r="J611" i="142"/>
  <c r="I621" i="142"/>
  <c r="I626" i="142"/>
  <c r="I631" i="142"/>
  <c r="J651" i="142"/>
  <c r="I661" i="142"/>
  <c r="I670" i="142"/>
  <c r="J674" i="142"/>
  <c r="J701" i="142"/>
  <c r="J679" i="142"/>
  <c r="I51" i="142"/>
  <c r="J146" i="142"/>
  <c r="J153" i="142"/>
  <c r="I203" i="142"/>
  <c r="I208" i="142"/>
  <c r="I250" i="142"/>
  <c r="J287" i="142"/>
  <c r="J338" i="142"/>
  <c r="I344" i="142"/>
  <c r="J359" i="142"/>
  <c r="J384" i="142"/>
  <c r="J391" i="142"/>
  <c r="J446" i="142"/>
  <c r="I479" i="142"/>
  <c r="J494" i="142"/>
  <c r="J499" i="142"/>
  <c r="I543" i="142"/>
  <c r="J15" i="142"/>
  <c r="J31" i="142"/>
  <c r="I100" i="142"/>
  <c r="I26" i="142"/>
  <c r="J95" i="142"/>
  <c r="I59" i="142"/>
  <c r="I66" i="142"/>
  <c r="J70" i="142"/>
  <c r="I75" i="142"/>
  <c r="I138" i="142"/>
  <c r="I154" i="142"/>
  <c r="J188" i="142"/>
  <c r="J195" i="142"/>
  <c r="J217" i="142"/>
  <c r="I288" i="142"/>
  <c r="J311" i="142"/>
  <c r="J354" i="142"/>
  <c r="I360" i="142"/>
  <c r="J375" i="142"/>
  <c r="J430" i="142"/>
  <c r="I495" i="142"/>
  <c r="J510" i="142"/>
  <c r="J515" i="142"/>
  <c r="I525" i="142"/>
  <c r="J530" i="142"/>
  <c r="I559" i="142"/>
  <c r="J574" i="142"/>
  <c r="J579" i="142"/>
  <c r="I589" i="142"/>
  <c r="J594" i="142"/>
  <c r="J643" i="142"/>
  <c r="I677" i="142"/>
  <c r="J76" i="142"/>
  <c r="I135" i="142"/>
  <c r="J196" i="142"/>
  <c r="I224" i="142"/>
  <c r="J248" i="142"/>
  <c r="J306" i="142"/>
  <c r="I312" i="142"/>
  <c r="J327" i="142"/>
  <c r="I361" i="142"/>
  <c r="J370" i="142"/>
  <c r="I376" i="142"/>
  <c r="I400" i="142"/>
  <c r="I409" i="142"/>
  <c r="J414" i="142"/>
  <c r="I426" i="142"/>
  <c r="J482" i="142"/>
  <c r="I511" i="142"/>
  <c r="J526" i="142"/>
  <c r="J531" i="142"/>
  <c r="I541" i="142"/>
  <c r="J546" i="142"/>
  <c r="I575" i="142"/>
  <c r="J590" i="142"/>
  <c r="J595" i="142"/>
  <c r="I605" i="142"/>
  <c r="J610" i="142"/>
  <c r="J635" i="142"/>
  <c r="I669" i="142"/>
  <c r="I678" i="142"/>
  <c r="J706" i="142"/>
  <c r="I71" i="142"/>
  <c r="I28" i="142"/>
  <c r="J67" i="142"/>
  <c r="I102" i="142"/>
  <c r="I111" i="142"/>
  <c r="I115" i="142"/>
  <c r="J120" i="142"/>
  <c r="J124" i="142"/>
  <c r="I140" i="142"/>
  <c r="I156" i="142"/>
  <c r="J167" i="142"/>
  <c r="J172" i="142"/>
  <c r="J179" i="142"/>
  <c r="I219" i="142"/>
  <c r="J303" i="142"/>
  <c r="J346" i="142"/>
  <c r="I352" i="142"/>
  <c r="J367" i="142"/>
  <c r="J405" i="142"/>
  <c r="J438" i="142"/>
  <c r="I487" i="142"/>
  <c r="J502" i="142"/>
  <c r="J507" i="142"/>
  <c r="I517" i="142"/>
  <c r="J522" i="142"/>
  <c r="I551" i="142"/>
  <c r="J566" i="142"/>
  <c r="J571" i="142"/>
  <c r="I581" i="142"/>
  <c r="J586" i="142"/>
  <c r="I615" i="142"/>
  <c r="I645" i="142"/>
  <c r="J655" i="142"/>
  <c r="I20" i="142"/>
  <c r="I12" i="142"/>
  <c r="J25" i="142"/>
  <c r="J58" i="142"/>
  <c r="J99" i="142"/>
  <c r="J107" i="142"/>
  <c r="J212" i="142"/>
  <c r="J229" i="142"/>
  <c r="J242" i="142"/>
  <c r="J276" i="142"/>
  <c r="J471" i="142"/>
  <c r="J623" i="142"/>
  <c r="J646" i="142"/>
  <c r="J650" i="142"/>
  <c r="J690" i="142"/>
  <c r="J17" i="142"/>
  <c r="I34" i="142"/>
  <c r="J38" i="142"/>
  <c r="I50" i="142"/>
  <c r="I65" i="142"/>
  <c r="I83" i="142"/>
  <c r="I127" i="142"/>
  <c r="I132" i="142"/>
  <c r="I169" i="142"/>
  <c r="I182" i="142"/>
  <c r="I187" i="142"/>
  <c r="I191" i="142"/>
  <c r="J209" i="142"/>
  <c r="I226" i="142"/>
  <c r="I238" i="142"/>
  <c r="I247" i="142"/>
  <c r="I259" i="142"/>
  <c r="I272" i="142"/>
  <c r="I280" i="142"/>
  <c r="I297" i="142"/>
  <c r="I302" i="142"/>
  <c r="I310" i="142"/>
  <c r="I318" i="142"/>
  <c r="I326" i="142"/>
  <c r="I334" i="142"/>
  <c r="I342" i="142"/>
  <c r="I350" i="142"/>
  <c r="I358" i="142"/>
  <c r="I366" i="142"/>
  <c r="I374" i="142"/>
  <c r="J388" i="142"/>
  <c r="I197" i="142"/>
  <c r="I218" i="142"/>
  <c r="J230" i="142"/>
  <c r="I251" i="142"/>
  <c r="I264" i="142"/>
  <c r="J277" i="142"/>
  <c r="I289" i="142"/>
  <c r="I294" i="142"/>
  <c r="I392" i="142"/>
  <c r="I408" i="142"/>
  <c r="J23" i="142"/>
  <c r="I39" i="142"/>
  <c r="I72" i="142"/>
  <c r="I84" i="142"/>
  <c r="I128" i="142"/>
  <c r="I148" i="142"/>
  <c r="I161" i="142"/>
  <c r="I174" i="142"/>
  <c r="I210" i="142"/>
  <c r="I227" i="142"/>
  <c r="J235" i="142"/>
  <c r="J256" i="142"/>
  <c r="J269" i="142"/>
  <c r="I281" i="142"/>
  <c r="J380" i="142"/>
  <c r="J389" i="142"/>
  <c r="I412" i="142"/>
  <c r="I416" i="142"/>
  <c r="I424" i="142"/>
  <c r="I432" i="142"/>
  <c r="I440" i="142"/>
  <c r="I448" i="142"/>
  <c r="J659" i="142"/>
  <c r="J687" i="142"/>
  <c r="I702" i="142"/>
  <c r="I36" i="142"/>
  <c r="I73" i="142"/>
  <c r="J85" i="142"/>
  <c r="J129" i="142"/>
  <c r="I137" i="142"/>
  <c r="I149" i="142"/>
  <c r="I162" i="142"/>
  <c r="I175" i="142"/>
  <c r="I211" i="142"/>
  <c r="I216" i="142"/>
  <c r="I236" i="142"/>
  <c r="I257" i="142"/>
  <c r="I270" i="142"/>
  <c r="J295" i="142"/>
  <c r="I390" i="142"/>
  <c r="J398" i="142"/>
  <c r="I413" i="142"/>
  <c r="I417" i="142"/>
  <c r="I421" i="142"/>
  <c r="I425" i="142"/>
  <c r="I429" i="142"/>
  <c r="I433" i="142"/>
  <c r="I437" i="142"/>
  <c r="I441" i="142"/>
  <c r="I445" i="142"/>
  <c r="I449" i="142"/>
  <c r="I453" i="142"/>
  <c r="I462" i="142"/>
  <c r="I466" i="142"/>
  <c r="I630" i="142"/>
  <c r="I634" i="142"/>
  <c r="I653" i="142"/>
  <c r="I685" i="142"/>
  <c r="J33" i="142"/>
  <c r="I41" i="142"/>
  <c r="I74" i="142"/>
  <c r="I82" i="142"/>
  <c r="I190" i="142"/>
  <c r="J225" i="142"/>
  <c r="I237" i="142"/>
  <c r="I258" i="142"/>
  <c r="I271" i="142"/>
  <c r="J279" i="142"/>
  <c r="I296" i="142"/>
  <c r="J394" i="142"/>
  <c r="J399" i="142"/>
  <c r="J475" i="142"/>
  <c r="J627" i="142"/>
  <c r="I694" i="142"/>
  <c r="I710" i="142"/>
  <c r="J640" i="142"/>
  <c r="I640" i="142"/>
  <c r="I13" i="142"/>
  <c r="I21" i="142"/>
  <c r="I29" i="142"/>
  <c r="I37" i="142"/>
  <c r="I42" i="142"/>
  <c r="I45" i="142"/>
  <c r="I48" i="142"/>
  <c r="J54" i="142"/>
  <c r="I61" i="142"/>
  <c r="J81" i="142"/>
  <c r="J194" i="142"/>
  <c r="I194" i="142"/>
  <c r="J207" i="142"/>
  <c r="I207" i="142"/>
  <c r="J117" i="142"/>
  <c r="I117" i="142"/>
  <c r="J125" i="142"/>
  <c r="I125" i="142"/>
  <c r="J228" i="142"/>
  <c r="I228" i="142"/>
  <c r="J241" i="142"/>
  <c r="I241" i="142"/>
  <c r="J262" i="142"/>
  <c r="I262" i="142"/>
  <c r="J275" i="142"/>
  <c r="I275" i="142"/>
  <c r="I19" i="142"/>
  <c r="I27" i="142"/>
  <c r="I35" i="142"/>
  <c r="I40" i="142"/>
  <c r="J55" i="142"/>
  <c r="J62" i="142"/>
  <c r="I78" i="142"/>
  <c r="J86" i="142"/>
  <c r="I86" i="142"/>
  <c r="J110" i="142"/>
  <c r="I110" i="142"/>
  <c r="J118" i="142"/>
  <c r="I118" i="142"/>
  <c r="J126" i="142"/>
  <c r="I126" i="142"/>
  <c r="J130" i="142"/>
  <c r="I130" i="142"/>
  <c r="J233" i="142"/>
  <c r="I233" i="142"/>
  <c r="J254" i="142"/>
  <c r="I254" i="142"/>
  <c r="J267" i="142"/>
  <c r="I267" i="142"/>
  <c r="J386" i="142"/>
  <c r="I386" i="142"/>
  <c r="J215" i="142"/>
  <c r="I215" i="142"/>
  <c r="I14" i="142"/>
  <c r="I22" i="142"/>
  <c r="I30" i="142"/>
  <c r="I43" i="142"/>
  <c r="I46" i="142"/>
  <c r="I49" i="142"/>
  <c r="J69" i="142"/>
  <c r="J87" i="142"/>
  <c r="I87" i="142"/>
  <c r="J91" i="142"/>
  <c r="I91" i="142"/>
  <c r="J131" i="142"/>
  <c r="I131" i="142"/>
  <c r="J186" i="142"/>
  <c r="I186" i="142"/>
  <c r="J246" i="142"/>
  <c r="I246" i="142"/>
  <c r="J301" i="142"/>
  <c r="I301" i="142"/>
  <c r="J309" i="142"/>
  <c r="I309" i="142"/>
  <c r="J317" i="142"/>
  <c r="I317" i="142"/>
  <c r="J325" i="142"/>
  <c r="I325" i="142"/>
  <c r="J333" i="142"/>
  <c r="I333" i="142"/>
  <c r="J341" i="142"/>
  <c r="I341" i="142"/>
  <c r="J349" i="142"/>
  <c r="I349" i="142"/>
  <c r="J357" i="142"/>
  <c r="I357" i="142"/>
  <c r="J365" i="142"/>
  <c r="I365" i="142"/>
  <c r="J373" i="142"/>
  <c r="I373" i="142"/>
  <c r="I52" i="142"/>
  <c r="J56" i="142"/>
  <c r="J63" i="142"/>
  <c r="I79" i="142"/>
  <c r="J92" i="142"/>
  <c r="I92" i="142"/>
  <c r="J160" i="142"/>
  <c r="I160" i="142"/>
  <c r="J293" i="142"/>
  <c r="I293" i="142"/>
  <c r="J96" i="142"/>
  <c r="I96" i="142"/>
  <c r="J104" i="142"/>
  <c r="I104" i="142"/>
  <c r="J152" i="142"/>
  <c r="I152" i="142"/>
  <c r="J165" i="142"/>
  <c r="I165" i="142"/>
  <c r="J178" i="142"/>
  <c r="I178" i="142"/>
  <c r="J285" i="142"/>
  <c r="I285" i="142"/>
  <c r="J379" i="142"/>
  <c r="I379" i="142"/>
  <c r="I44" i="142"/>
  <c r="J47" i="142"/>
  <c r="I53" i="142"/>
  <c r="I60" i="142"/>
  <c r="J64" i="142"/>
  <c r="J80" i="142"/>
  <c r="J97" i="142"/>
  <c r="I97" i="142"/>
  <c r="J105" i="142"/>
  <c r="I105" i="142"/>
  <c r="J144" i="142"/>
  <c r="I144" i="142"/>
  <c r="J223" i="142"/>
  <c r="I223" i="142"/>
  <c r="J396" i="142"/>
  <c r="I396" i="142"/>
  <c r="J393" i="142"/>
  <c r="I393" i="142"/>
  <c r="J403" i="142"/>
  <c r="I403" i="142"/>
  <c r="J648" i="142"/>
  <c r="I648" i="142"/>
  <c r="J688" i="142"/>
  <c r="I688" i="142"/>
  <c r="I134" i="142"/>
  <c r="I139" i="142"/>
  <c r="I147" i="142"/>
  <c r="I155" i="142"/>
  <c r="I168" i="142"/>
  <c r="I173" i="142"/>
  <c r="I181" i="142"/>
  <c r="I189" i="142"/>
  <c r="J656" i="142"/>
  <c r="I656" i="142"/>
  <c r="J680" i="142"/>
  <c r="I680" i="142"/>
  <c r="J704" i="142"/>
  <c r="I704" i="142"/>
  <c r="I150" i="142"/>
  <c r="I158" i="142"/>
  <c r="I163" i="142"/>
  <c r="I171" i="142"/>
  <c r="I176" i="142"/>
  <c r="I184" i="142"/>
  <c r="I192" i="142"/>
  <c r="I200" i="142"/>
  <c r="I205" i="142"/>
  <c r="I213" i="142"/>
  <c r="I221" i="142"/>
  <c r="I231" i="142"/>
  <c r="I239" i="142"/>
  <c r="I244" i="142"/>
  <c r="I252" i="142"/>
  <c r="I260" i="142"/>
  <c r="I265" i="142"/>
  <c r="I273" i="142"/>
  <c r="I278" i="142"/>
  <c r="I283" i="142"/>
  <c r="I291" i="142"/>
  <c r="I299" i="142"/>
  <c r="I307" i="142"/>
  <c r="I315" i="142"/>
  <c r="I323" i="142"/>
  <c r="I331" i="142"/>
  <c r="I339" i="142"/>
  <c r="I347" i="142"/>
  <c r="I355" i="142"/>
  <c r="I363" i="142"/>
  <c r="I371" i="142"/>
  <c r="I387" i="142"/>
  <c r="I397" i="142"/>
  <c r="I404" i="142"/>
  <c r="J411" i="142"/>
  <c r="I411" i="142"/>
  <c r="J664" i="142"/>
  <c r="I664" i="142"/>
  <c r="J672" i="142"/>
  <c r="I672" i="142"/>
  <c r="J377" i="142"/>
  <c r="I377" i="142"/>
  <c r="J419" i="142"/>
  <c r="I419" i="142"/>
  <c r="J427" i="142"/>
  <c r="I427" i="142"/>
  <c r="J435" i="142"/>
  <c r="I435" i="142"/>
  <c r="J443" i="142"/>
  <c r="I443" i="142"/>
  <c r="J451" i="142"/>
  <c r="I451" i="142"/>
  <c r="J420" i="142"/>
  <c r="I420" i="142"/>
  <c r="J428" i="142"/>
  <c r="I428" i="142"/>
  <c r="J436" i="142"/>
  <c r="I436" i="142"/>
  <c r="J444" i="142"/>
  <c r="I444" i="142"/>
  <c r="J452" i="142"/>
  <c r="I452" i="142"/>
  <c r="J456" i="142"/>
  <c r="I456" i="142"/>
  <c r="J464" i="142"/>
  <c r="I464" i="142"/>
  <c r="J472" i="142"/>
  <c r="I472" i="142"/>
  <c r="J480" i="142"/>
  <c r="I480" i="142"/>
  <c r="J488" i="142"/>
  <c r="I488" i="142"/>
  <c r="J496" i="142"/>
  <c r="I496" i="142"/>
  <c r="J504" i="142"/>
  <c r="I504" i="142"/>
  <c r="J512" i="142"/>
  <c r="I512" i="142"/>
  <c r="J520" i="142"/>
  <c r="I520" i="142"/>
  <c r="J528" i="142"/>
  <c r="I528" i="142"/>
  <c r="J536" i="142"/>
  <c r="I536" i="142"/>
  <c r="J544" i="142"/>
  <c r="I544" i="142"/>
  <c r="J552" i="142"/>
  <c r="I552" i="142"/>
  <c r="J560" i="142"/>
  <c r="I560" i="142"/>
  <c r="J568" i="142"/>
  <c r="I568" i="142"/>
  <c r="J576" i="142"/>
  <c r="I576" i="142"/>
  <c r="J584" i="142"/>
  <c r="I584" i="142"/>
  <c r="J592" i="142"/>
  <c r="I592" i="142"/>
  <c r="J600" i="142"/>
  <c r="I600" i="142"/>
  <c r="J608" i="142"/>
  <c r="I608" i="142"/>
  <c r="J616" i="142"/>
  <c r="I616" i="142"/>
  <c r="I143" i="142"/>
  <c r="I151" i="142"/>
  <c r="I159" i="142"/>
  <c r="I164" i="142"/>
  <c r="I177" i="142"/>
  <c r="I185" i="142"/>
  <c r="I193" i="142"/>
  <c r="I201" i="142"/>
  <c r="I206" i="142"/>
  <c r="I214" i="142"/>
  <c r="I222" i="142"/>
  <c r="I232" i="142"/>
  <c r="I240" i="142"/>
  <c r="I245" i="142"/>
  <c r="I253" i="142"/>
  <c r="I261" i="142"/>
  <c r="I266" i="142"/>
  <c r="I274" i="142"/>
  <c r="I284" i="142"/>
  <c r="I292" i="142"/>
  <c r="I300" i="142"/>
  <c r="I308" i="142"/>
  <c r="I316" i="142"/>
  <c r="I324" i="142"/>
  <c r="I332" i="142"/>
  <c r="I340" i="142"/>
  <c r="I348" i="142"/>
  <c r="I356" i="142"/>
  <c r="I364" i="142"/>
  <c r="I372" i="142"/>
  <c r="I378" i="142"/>
  <c r="J381" i="142"/>
  <c r="I395" i="142"/>
  <c r="J457" i="142"/>
  <c r="I457" i="142"/>
  <c r="I461" i="142"/>
  <c r="J465" i="142"/>
  <c r="I465" i="142"/>
  <c r="I469" i="142"/>
  <c r="J473" i="142"/>
  <c r="I473" i="142"/>
  <c r="I477" i="142"/>
  <c r="J481" i="142"/>
  <c r="I481" i="142"/>
  <c r="J624" i="142"/>
  <c r="I624" i="142"/>
  <c r="J696" i="142"/>
  <c r="I696" i="142"/>
  <c r="J712" i="142"/>
  <c r="I712" i="142"/>
  <c r="J385" i="142"/>
  <c r="I385" i="142"/>
  <c r="J632" i="142"/>
  <c r="I632" i="142"/>
  <c r="J415" i="142"/>
  <c r="J423" i="142"/>
  <c r="J431" i="142"/>
  <c r="J439" i="142"/>
  <c r="J447" i="142"/>
  <c r="J455" i="142"/>
  <c r="J460" i="142"/>
  <c r="J468" i="142"/>
  <c r="J476" i="142"/>
  <c r="J484" i="142"/>
  <c r="J492" i="142"/>
  <c r="J500" i="142"/>
  <c r="J508" i="142"/>
  <c r="J516" i="142"/>
  <c r="J524" i="142"/>
  <c r="J532" i="142"/>
  <c r="J540" i="142"/>
  <c r="J548" i="142"/>
  <c r="J556" i="142"/>
  <c r="J564" i="142"/>
  <c r="J572" i="142"/>
  <c r="J580" i="142"/>
  <c r="J588" i="142"/>
  <c r="J596" i="142"/>
  <c r="J604" i="142"/>
  <c r="J612" i="142"/>
  <c r="J620" i="142"/>
  <c r="J628" i="142"/>
  <c r="J636" i="142"/>
  <c r="J644" i="142"/>
  <c r="J652" i="142"/>
  <c r="J660" i="142"/>
  <c r="J668" i="142"/>
  <c r="J676" i="142"/>
  <c r="J684" i="142"/>
  <c r="J692" i="142"/>
  <c r="I695" i="142"/>
  <c r="J700" i="142"/>
  <c r="I703" i="142"/>
  <c r="J708" i="142"/>
  <c r="I711" i="142"/>
  <c r="I667" i="142"/>
  <c r="I675" i="142"/>
  <c r="I683" i="142"/>
  <c r="I691" i="142"/>
  <c r="I699" i="142"/>
  <c r="I707" i="142"/>
  <c r="I489" i="142"/>
  <c r="I497" i="142"/>
  <c r="I505" i="142"/>
  <c r="I513" i="142"/>
  <c r="I521" i="142"/>
  <c r="I529" i="142"/>
  <c r="I537" i="142"/>
  <c r="I545" i="142"/>
  <c r="I553" i="142"/>
  <c r="I561" i="142"/>
  <c r="I569" i="142"/>
  <c r="I577" i="142"/>
  <c r="I585" i="142"/>
  <c r="I593" i="142"/>
  <c r="I601" i="142"/>
  <c r="I609" i="142"/>
  <c r="I617" i="142"/>
  <c r="I625" i="142"/>
  <c r="I633" i="142"/>
  <c r="I641" i="142"/>
  <c r="I649" i="142"/>
  <c r="I657" i="142"/>
  <c r="I665" i="142"/>
  <c r="I673" i="142"/>
  <c r="I681" i="142"/>
  <c r="I689" i="142"/>
  <c r="I697" i="142"/>
  <c r="I705" i="142"/>
  <c r="I713" i="142"/>
  <c r="H794" i="131" l="1"/>
  <c r="I794" i="131" s="1"/>
  <c r="H793" i="131"/>
  <c r="H792" i="131"/>
  <c r="H791" i="131"/>
  <c r="J791" i="131" s="1"/>
  <c r="H790" i="131"/>
  <c r="I790" i="131" s="1"/>
  <c r="H789" i="131"/>
  <c r="I789" i="131" s="1"/>
  <c r="H788" i="131"/>
  <c r="H787" i="131"/>
  <c r="J787" i="131" s="1"/>
  <c r="H786" i="131"/>
  <c r="J786" i="131" s="1"/>
  <c r="H785" i="131"/>
  <c r="I785" i="131" s="1"/>
  <c r="H784" i="131"/>
  <c r="H783" i="131"/>
  <c r="J783" i="131" s="1"/>
  <c r="H782" i="131"/>
  <c r="I782" i="131" s="1"/>
  <c r="H781" i="131"/>
  <c r="J781" i="131" s="1"/>
  <c r="H780" i="131"/>
  <c r="H779" i="131"/>
  <c r="J779" i="131" s="1"/>
  <c r="H778" i="131"/>
  <c r="I778" i="131" s="1"/>
  <c r="H777" i="131"/>
  <c r="J777" i="131" s="1"/>
  <c r="H776" i="131"/>
  <c r="H775" i="131"/>
  <c r="J775" i="131" s="1"/>
  <c r="H774" i="131"/>
  <c r="H773" i="131"/>
  <c r="J773" i="131" s="1"/>
  <c r="H772" i="131"/>
  <c r="H771" i="131"/>
  <c r="J771" i="131" s="1"/>
  <c r="H770" i="131"/>
  <c r="I770" i="131" s="1"/>
  <c r="H769" i="131"/>
  <c r="I769" i="131" s="1"/>
  <c r="H768" i="131"/>
  <c r="H767" i="131"/>
  <c r="J767" i="131" s="1"/>
  <c r="H766" i="131"/>
  <c r="I766" i="131" s="1"/>
  <c r="H765" i="131"/>
  <c r="I765" i="131" s="1"/>
  <c r="H764" i="131"/>
  <c r="H763" i="131"/>
  <c r="J763" i="131" s="1"/>
  <c r="H762" i="131"/>
  <c r="I762" i="131" s="1"/>
  <c r="H761" i="131"/>
  <c r="I761" i="131" s="1"/>
  <c r="H760" i="131"/>
  <c r="H759" i="131"/>
  <c r="J759" i="131" s="1"/>
  <c r="H758" i="131"/>
  <c r="I758" i="131" s="1"/>
  <c r="H757" i="131"/>
  <c r="I757" i="131" s="1"/>
  <c r="H756" i="131"/>
  <c r="H755" i="131"/>
  <c r="J755" i="131" s="1"/>
  <c r="H754" i="131"/>
  <c r="I754" i="131" s="1"/>
  <c r="H753" i="131"/>
  <c r="I753" i="131" s="1"/>
  <c r="H752" i="131"/>
  <c r="H751" i="131"/>
  <c r="J751" i="131" s="1"/>
  <c r="H750" i="131"/>
  <c r="I750" i="131" s="1"/>
  <c r="H749" i="131"/>
  <c r="I749" i="131" s="1"/>
  <c r="H748" i="131"/>
  <c r="H747" i="131"/>
  <c r="J747" i="131" s="1"/>
  <c r="H746" i="131"/>
  <c r="I746" i="131" s="1"/>
  <c r="H745" i="131"/>
  <c r="I745" i="131" s="1"/>
  <c r="H744" i="131"/>
  <c r="H743" i="131"/>
  <c r="J743" i="131" s="1"/>
  <c r="H742" i="131"/>
  <c r="I742" i="131" s="1"/>
  <c r="H741" i="131"/>
  <c r="I741" i="131" s="1"/>
  <c r="H740" i="131"/>
  <c r="H739" i="131"/>
  <c r="H738" i="131"/>
  <c r="I738" i="131" s="1"/>
  <c r="H737" i="131"/>
  <c r="I737" i="131" s="1"/>
  <c r="H736" i="131"/>
  <c r="J736" i="131" s="1"/>
  <c r="H735" i="131"/>
  <c r="J735" i="131" s="1"/>
  <c r="H734" i="131"/>
  <c r="J734" i="131" s="1"/>
  <c r="H733" i="131"/>
  <c r="J733" i="131" s="1"/>
  <c r="H732" i="131"/>
  <c r="H731" i="131"/>
  <c r="H730" i="131"/>
  <c r="J730" i="131" s="1"/>
  <c r="H729" i="131"/>
  <c r="J729" i="131" s="1"/>
  <c r="H728" i="131"/>
  <c r="J728" i="131" s="1"/>
  <c r="H727" i="131"/>
  <c r="J727" i="131" s="1"/>
  <c r="H726" i="131"/>
  <c r="J726" i="131" s="1"/>
  <c r="H725" i="131"/>
  <c r="J725" i="131" s="1"/>
  <c r="H724" i="131"/>
  <c r="H723" i="131"/>
  <c r="H722" i="131"/>
  <c r="J722" i="131" s="1"/>
  <c r="H721" i="131"/>
  <c r="J721" i="131" s="1"/>
  <c r="H720" i="131"/>
  <c r="H719" i="131"/>
  <c r="J719" i="131" s="1"/>
  <c r="H718" i="131"/>
  <c r="J718" i="131" s="1"/>
  <c r="H717" i="131"/>
  <c r="J717" i="131" s="1"/>
  <c r="H716" i="131"/>
  <c r="H715" i="131"/>
  <c r="H714" i="131"/>
  <c r="J714" i="131" s="1"/>
  <c r="H713" i="131"/>
  <c r="J713" i="131" s="1"/>
  <c r="H712" i="131"/>
  <c r="H711" i="131"/>
  <c r="J711" i="131" s="1"/>
  <c r="H710" i="131"/>
  <c r="J710" i="131" s="1"/>
  <c r="H709" i="131"/>
  <c r="J709" i="131" s="1"/>
  <c r="H708" i="131"/>
  <c r="H707" i="131"/>
  <c r="H706" i="131"/>
  <c r="J706" i="131" s="1"/>
  <c r="H705" i="131"/>
  <c r="J705" i="131" s="1"/>
  <c r="H704" i="131"/>
  <c r="J704" i="131" s="1"/>
  <c r="H703" i="131"/>
  <c r="J703" i="131" s="1"/>
  <c r="H702" i="131"/>
  <c r="I702" i="131" s="1"/>
  <c r="H701" i="131"/>
  <c r="H700" i="131"/>
  <c r="H699" i="131"/>
  <c r="H698" i="131"/>
  <c r="I698" i="131" s="1"/>
  <c r="H697" i="131"/>
  <c r="H696" i="131"/>
  <c r="H695" i="131"/>
  <c r="J695" i="131" s="1"/>
  <c r="H694" i="131"/>
  <c r="I694" i="131" s="1"/>
  <c r="H693" i="131"/>
  <c r="H692" i="131"/>
  <c r="H691" i="131"/>
  <c r="H690" i="131"/>
  <c r="I690" i="131" s="1"/>
  <c r="H689" i="131"/>
  <c r="H688" i="131"/>
  <c r="H687" i="131"/>
  <c r="J687" i="131" s="1"/>
  <c r="H686" i="131"/>
  <c r="J686" i="131" s="1"/>
  <c r="H685" i="131"/>
  <c r="J685" i="131" s="1"/>
  <c r="H684" i="131"/>
  <c r="H683" i="131"/>
  <c r="I682" i="131"/>
  <c r="H682" i="131"/>
  <c r="J682" i="131" s="1"/>
  <c r="H681" i="131"/>
  <c r="J681" i="131" s="1"/>
  <c r="H680" i="131"/>
  <c r="J680" i="131" s="1"/>
  <c r="H679" i="131"/>
  <c r="J679" i="131" s="1"/>
  <c r="H678" i="131"/>
  <c r="J678" i="131" s="1"/>
  <c r="H677" i="131"/>
  <c r="J677" i="131" s="1"/>
  <c r="H676" i="131"/>
  <c r="H675" i="131"/>
  <c r="H674" i="131"/>
  <c r="J674" i="131" s="1"/>
  <c r="H673" i="131"/>
  <c r="I673" i="131" s="1"/>
  <c r="H672" i="131"/>
  <c r="J672" i="131" s="1"/>
  <c r="H671" i="131"/>
  <c r="J671" i="131" s="1"/>
  <c r="H670" i="131"/>
  <c r="J670" i="131" s="1"/>
  <c r="H669" i="131"/>
  <c r="I669" i="131" s="1"/>
  <c r="H668" i="131"/>
  <c r="H667" i="131"/>
  <c r="H666" i="131"/>
  <c r="J666" i="131" s="1"/>
  <c r="H665" i="131"/>
  <c r="I665" i="131" s="1"/>
  <c r="H664" i="131"/>
  <c r="J664" i="131" s="1"/>
  <c r="H663" i="131"/>
  <c r="J663" i="131" s="1"/>
  <c r="H662" i="131"/>
  <c r="J662" i="131" s="1"/>
  <c r="H661" i="131"/>
  <c r="I661" i="131" s="1"/>
  <c r="H660" i="131"/>
  <c r="H659" i="131"/>
  <c r="H658" i="131"/>
  <c r="J658" i="131" s="1"/>
  <c r="H657" i="131"/>
  <c r="I657" i="131" s="1"/>
  <c r="H656" i="131"/>
  <c r="J656" i="131" s="1"/>
  <c r="H655" i="131"/>
  <c r="J655" i="131" s="1"/>
  <c r="H654" i="131"/>
  <c r="H653" i="131"/>
  <c r="J653" i="131" s="1"/>
  <c r="H652" i="131"/>
  <c r="H651" i="131"/>
  <c r="H650" i="131"/>
  <c r="H649" i="131"/>
  <c r="J649" i="131" s="1"/>
  <c r="H648" i="131"/>
  <c r="H647" i="131"/>
  <c r="J647" i="131" s="1"/>
  <c r="H646" i="131"/>
  <c r="H645" i="131"/>
  <c r="J645" i="131" s="1"/>
  <c r="H644" i="131"/>
  <c r="H643" i="131"/>
  <c r="H642" i="131"/>
  <c r="H641" i="131"/>
  <c r="J641" i="131" s="1"/>
  <c r="H640" i="131"/>
  <c r="J640" i="131" s="1"/>
  <c r="H639" i="131"/>
  <c r="J639" i="131" s="1"/>
  <c r="H638" i="131"/>
  <c r="J638" i="131" s="1"/>
  <c r="H637" i="131"/>
  <c r="I637" i="131" s="1"/>
  <c r="H636" i="131"/>
  <c r="H635" i="131"/>
  <c r="H634" i="131"/>
  <c r="J634" i="131" s="1"/>
  <c r="H633" i="131"/>
  <c r="I633" i="131" s="1"/>
  <c r="H632" i="131"/>
  <c r="H631" i="131"/>
  <c r="J631" i="131" s="1"/>
  <c r="H630" i="131"/>
  <c r="J630" i="131" s="1"/>
  <c r="H629" i="131"/>
  <c r="I629" i="131" s="1"/>
  <c r="H628" i="131"/>
  <c r="H627" i="131"/>
  <c r="H626" i="131"/>
  <c r="J626" i="131" s="1"/>
  <c r="H625" i="131"/>
  <c r="I625" i="131" s="1"/>
  <c r="H624" i="131"/>
  <c r="J624" i="131" s="1"/>
  <c r="H623" i="131"/>
  <c r="H622" i="131"/>
  <c r="I622" i="131" s="1"/>
  <c r="H621" i="131"/>
  <c r="I621" i="131" s="1"/>
  <c r="H620" i="131"/>
  <c r="J620" i="131" s="1"/>
  <c r="H619" i="131"/>
  <c r="H618" i="131"/>
  <c r="I618" i="131" s="1"/>
  <c r="H617" i="131"/>
  <c r="I617" i="131" s="1"/>
  <c r="H616" i="131"/>
  <c r="J616" i="131" s="1"/>
  <c r="H615" i="131"/>
  <c r="H614" i="131"/>
  <c r="J614" i="131" s="1"/>
  <c r="H613" i="131"/>
  <c r="J613" i="131" s="1"/>
  <c r="H612" i="131"/>
  <c r="J612" i="131" s="1"/>
  <c r="H611" i="131"/>
  <c r="H610" i="131"/>
  <c r="J610" i="131" s="1"/>
  <c r="I609" i="131"/>
  <c r="H609" i="131"/>
  <c r="J609" i="131" s="1"/>
  <c r="H608" i="131"/>
  <c r="H607" i="131"/>
  <c r="H606" i="131"/>
  <c r="I606" i="131" s="1"/>
  <c r="H605" i="131"/>
  <c r="J605" i="131" s="1"/>
  <c r="H604" i="131"/>
  <c r="H603" i="131"/>
  <c r="H602" i="131"/>
  <c r="J602" i="131" s="1"/>
  <c r="H601" i="131"/>
  <c r="J601" i="131" s="1"/>
  <c r="H600" i="131"/>
  <c r="J600" i="131" s="1"/>
  <c r="H599" i="131"/>
  <c r="H598" i="131"/>
  <c r="I598" i="131" s="1"/>
  <c r="H597" i="131"/>
  <c r="H596" i="131"/>
  <c r="H595" i="131"/>
  <c r="H594" i="131"/>
  <c r="I594" i="131" s="1"/>
  <c r="H593" i="131"/>
  <c r="H592" i="131"/>
  <c r="H591" i="131"/>
  <c r="H590" i="131"/>
  <c r="J590" i="131" s="1"/>
  <c r="H589" i="131"/>
  <c r="J589" i="131" s="1"/>
  <c r="H588" i="131"/>
  <c r="J588" i="131" s="1"/>
  <c r="H587" i="131"/>
  <c r="H586" i="131"/>
  <c r="J586" i="131" s="1"/>
  <c r="H585" i="131"/>
  <c r="I585" i="131" s="1"/>
  <c r="H584" i="131"/>
  <c r="J584" i="131" s="1"/>
  <c r="H583" i="131"/>
  <c r="H582" i="131"/>
  <c r="J582" i="131" s="1"/>
  <c r="H581" i="131"/>
  <c r="I581" i="131" s="1"/>
  <c r="H580" i="131"/>
  <c r="J580" i="131" s="1"/>
  <c r="H579" i="131"/>
  <c r="H578" i="131"/>
  <c r="J578" i="131" s="1"/>
  <c r="H577" i="131"/>
  <c r="I577" i="131" s="1"/>
  <c r="H576" i="131"/>
  <c r="J576" i="131" s="1"/>
  <c r="H575" i="131"/>
  <c r="H574" i="131"/>
  <c r="H573" i="131"/>
  <c r="J573" i="131" s="1"/>
  <c r="H572" i="131"/>
  <c r="H571" i="131"/>
  <c r="H570" i="131"/>
  <c r="H569" i="131"/>
  <c r="J569" i="131" s="1"/>
  <c r="H568" i="131"/>
  <c r="J568" i="131" s="1"/>
  <c r="H567" i="131"/>
  <c r="I566" i="131"/>
  <c r="H566" i="131"/>
  <c r="J566" i="131" s="1"/>
  <c r="H565" i="131"/>
  <c r="J565" i="131" s="1"/>
  <c r="H564" i="131"/>
  <c r="H563" i="131"/>
  <c r="H562" i="131"/>
  <c r="J562" i="131" s="1"/>
  <c r="H561" i="131"/>
  <c r="J561" i="131" s="1"/>
  <c r="H560" i="131"/>
  <c r="J560" i="131" s="1"/>
  <c r="H559" i="131"/>
  <c r="H558" i="131"/>
  <c r="I558" i="131" s="1"/>
  <c r="H557" i="131"/>
  <c r="I557" i="131" s="1"/>
  <c r="H556" i="131"/>
  <c r="J556" i="131" s="1"/>
  <c r="H555" i="131"/>
  <c r="H554" i="131"/>
  <c r="I554" i="131" s="1"/>
  <c r="H553" i="131"/>
  <c r="I553" i="131" s="1"/>
  <c r="H552" i="131"/>
  <c r="J552" i="131" s="1"/>
  <c r="H551" i="131"/>
  <c r="G551" i="131"/>
  <c r="H550" i="131"/>
  <c r="H549" i="131"/>
  <c r="I549" i="131" s="1"/>
  <c r="H548" i="131"/>
  <c r="H547" i="131"/>
  <c r="H546" i="131"/>
  <c r="H545" i="131"/>
  <c r="I545" i="131" s="1"/>
  <c r="H544" i="131"/>
  <c r="H543" i="131"/>
  <c r="H542" i="131"/>
  <c r="H541" i="131"/>
  <c r="J541" i="131" s="1"/>
  <c r="H540" i="131"/>
  <c r="I540" i="131" s="1"/>
  <c r="H539" i="131"/>
  <c r="H538" i="131"/>
  <c r="I537" i="131"/>
  <c r="H537" i="131"/>
  <c r="J537" i="131" s="1"/>
  <c r="H536" i="131"/>
  <c r="J536" i="131" s="1"/>
  <c r="H535" i="131"/>
  <c r="J535" i="131" s="1"/>
  <c r="H534" i="131"/>
  <c r="H533" i="131"/>
  <c r="J533" i="131" s="1"/>
  <c r="H532" i="131"/>
  <c r="I532" i="131" s="1"/>
  <c r="H531" i="131"/>
  <c r="J531" i="131" s="1"/>
  <c r="H530" i="131"/>
  <c r="H529" i="131"/>
  <c r="H528" i="131"/>
  <c r="I528" i="131" s="1"/>
  <c r="H527" i="131"/>
  <c r="J527" i="131" s="1"/>
  <c r="H526" i="131"/>
  <c r="H525" i="131"/>
  <c r="J525" i="131" s="1"/>
  <c r="H524" i="131"/>
  <c r="J524" i="131" s="1"/>
  <c r="H523" i="131"/>
  <c r="J523" i="131" s="1"/>
  <c r="H522" i="131"/>
  <c r="H521" i="131"/>
  <c r="J521" i="131" s="1"/>
  <c r="H520" i="131"/>
  <c r="H519" i="131"/>
  <c r="H518" i="131"/>
  <c r="H517" i="131"/>
  <c r="H516" i="131"/>
  <c r="H515" i="131"/>
  <c r="H514" i="131"/>
  <c r="I514" i="131" s="1"/>
  <c r="H513" i="131"/>
  <c r="I513" i="131" s="1"/>
  <c r="H512" i="131"/>
  <c r="H511" i="131"/>
  <c r="J511" i="131" s="1"/>
  <c r="H510" i="131"/>
  <c r="I510" i="131" s="1"/>
  <c r="H509" i="131"/>
  <c r="I509" i="131" s="1"/>
  <c r="H508" i="131"/>
  <c r="I508" i="131" s="1"/>
  <c r="H507" i="131"/>
  <c r="J507" i="131" s="1"/>
  <c r="H506" i="131"/>
  <c r="H505" i="131"/>
  <c r="J505" i="131" s="1"/>
  <c r="H504" i="131"/>
  <c r="I504" i="131" s="1"/>
  <c r="H503" i="131"/>
  <c r="H502" i="131"/>
  <c r="H501" i="131"/>
  <c r="I501" i="131" s="1"/>
  <c r="H500" i="131"/>
  <c r="H499" i="131"/>
  <c r="H498" i="131"/>
  <c r="I498" i="131" s="1"/>
  <c r="H497" i="131"/>
  <c r="J497" i="131" s="1"/>
  <c r="H496" i="131"/>
  <c r="I496" i="131" s="1"/>
  <c r="H495" i="131"/>
  <c r="J495" i="131" s="1"/>
  <c r="H494" i="131"/>
  <c r="I494" i="131" s="1"/>
  <c r="H493" i="131"/>
  <c r="J493" i="131" s="1"/>
  <c r="H492" i="131"/>
  <c r="I492" i="131" s="1"/>
  <c r="H491" i="131"/>
  <c r="J491" i="131" s="1"/>
  <c r="H490" i="131"/>
  <c r="H489" i="131"/>
  <c r="I489" i="131" s="1"/>
  <c r="H488" i="131"/>
  <c r="H487" i="131"/>
  <c r="H486" i="131"/>
  <c r="H485" i="131"/>
  <c r="J485" i="131" s="1"/>
  <c r="H484" i="131"/>
  <c r="H483" i="131"/>
  <c r="H482" i="131"/>
  <c r="I482" i="131" s="1"/>
  <c r="H481" i="131"/>
  <c r="I481" i="131" s="1"/>
  <c r="H480" i="131"/>
  <c r="I480" i="131" s="1"/>
  <c r="H479" i="131"/>
  <c r="J479" i="131" s="1"/>
  <c r="H478" i="131"/>
  <c r="I478" i="131" s="1"/>
  <c r="J477" i="131"/>
  <c r="H477" i="131"/>
  <c r="I477" i="131" s="1"/>
  <c r="H476" i="131"/>
  <c r="I476" i="131" s="1"/>
  <c r="H475" i="131"/>
  <c r="J475" i="131" s="1"/>
  <c r="H474" i="131"/>
  <c r="H473" i="131"/>
  <c r="J473" i="131" s="1"/>
  <c r="H472" i="131"/>
  <c r="H471" i="131"/>
  <c r="H470" i="131"/>
  <c r="H469" i="131"/>
  <c r="H468" i="131"/>
  <c r="H467" i="131"/>
  <c r="H466" i="131"/>
  <c r="I466" i="131" s="1"/>
  <c r="H465" i="131"/>
  <c r="I465" i="131" s="1"/>
  <c r="H464" i="131"/>
  <c r="I464" i="131" s="1"/>
  <c r="H463" i="131"/>
  <c r="J463" i="131" s="1"/>
  <c r="H462" i="131"/>
  <c r="I462" i="131" s="1"/>
  <c r="H461" i="131"/>
  <c r="J461" i="131" s="1"/>
  <c r="H460" i="131"/>
  <c r="I460" i="131" s="1"/>
  <c r="H459" i="131"/>
  <c r="J459" i="131" s="1"/>
  <c r="H458" i="131"/>
  <c r="H457" i="131"/>
  <c r="I457" i="131" s="1"/>
  <c r="H456" i="131"/>
  <c r="I456" i="131" s="1"/>
  <c r="H455" i="131"/>
  <c r="H454" i="131"/>
  <c r="I454" i="131" s="1"/>
  <c r="H453" i="131"/>
  <c r="I453" i="131" s="1"/>
  <c r="H452" i="131"/>
  <c r="I452" i="131" s="1"/>
  <c r="H451" i="131"/>
  <c r="H450" i="131"/>
  <c r="H449" i="131"/>
  <c r="J449" i="131" s="1"/>
  <c r="H448" i="131"/>
  <c r="I448" i="131" s="1"/>
  <c r="H447" i="131"/>
  <c r="J447" i="131" s="1"/>
  <c r="H446" i="131"/>
  <c r="H445" i="131"/>
  <c r="I445" i="131" s="1"/>
  <c r="H444" i="131"/>
  <c r="I444" i="131" s="1"/>
  <c r="H443" i="131"/>
  <c r="J443" i="131" s="1"/>
  <c r="H442" i="131"/>
  <c r="H441" i="131"/>
  <c r="I441" i="131" s="1"/>
  <c r="H440" i="131"/>
  <c r="I440" i="131" s="1"/>
  <c r="H439" i="131"/>
  <c r="J439" i="131" s="1"/>
  <c r="H438" i="131"/>
  <c r="I438" i="131" s="1"/>
  <c r="H437" i="131"/>
  <c r="J437" i="131" s="1"/>
  <c r="H436" i="131"/>
  <c r="I436" i="131" s="1"/>
  <c r="H435" i="131"/>
  <c r="J435" i="131" s="1"/>
  <c r="H434" i="131"/>
  <c r="J433" i="131"/>
  <c r="H433" i="131"/>
  <c r="I433" i="131" s="1"/>
  <c r="H432" i="131"/>
  <c r="H431" i="131"/>
  <c r="I431" i="131" s="1"/>
  <c r="H430" i="131"/>
  <c r="I430" i="131" s="1"/>
  <c r="H429" i="131"/>
  <c r="H428" i="131"/>
  <c r="I428" i="131" s="1"/>
  <c r="H427" i="131"/>
  <c r="H426" i="131"/>
  <c r="H425" i="131"/>
  <c r="J425" i="131" s="1"/>
  <c r="H424" i="131"/>
  <c r="I424" i="131" s="1"/>
  <c r="H423" i="131"/>
  <c r="J423" i="131" s="1"/>
  <c r="H422" i="131"/>
  <c r="I422" i="131" s="1"/>
  <c r="H421" i="131"/>
  <c r="J421" i="131" s="1"/>
  <c r="H420" i="131"/>
  <c r="I420" i="131" s="1"/>
  <c r="H419" i="131"/>
  <c r="J419" i="131" s="1"/>
  <c r="H418" i="131"/>
  <c r="H417" i="131"/>
  <c r="H416" i="131"/>
  <c r="I416" i="131" s="1"/>
  <c r="H415" i="131"/>
  <c r="J415" i="131" s="1"/>
  <c r="H414" i="131"/>
  <c r="I414" i="131" s="1"/>
  <c r="H413" i="131"/>
  <c r="J413" i="131" s="1"/>
  <c r="H412" i="131"/>
  <c r="I412" i="131" s="1"/>
  <c r="G412" i="131"/>
  <c r="H411" i="131"/>
  <c r="I411" i="131" s="1"/>
  <c r="H410" i="131"/>
  <c r="J410" i="131" s="1"/>
  <c r="H409" i="131"/>
  <c r="H408" i="131"/>
  <c r="I408" i="131" s="1"/>
  <c r="H407" i="131"/>
  <c r="H406" i="131"/>
  <c r="J406" i="131" s="1"/>
  <c r="H405" i="131"/>
  <c r="H404" i="131"/>
  <c r="I404" i="131" s="1"/>
  <c r="H403" i="131"/>
  <c r="H402" i="131"/>
  <c r="I402" i="131" s="1"/>
  <c r="H401" i="131"/>
  <c r="I401" i="131" s="1"/>
  <c r="H400" i="131"/>
  <c r="H399" i="131"/>
  <c r="I399" i="131" s="1"/>
  <c r="H398" i="131"/>
  <c r="H397" i="131"/>
  <c r="H396" i="131"/>
  <c r="J396" i="131" s="1"/>
  <c r="H395" i="131"/>
  <c r="I395" i="131" s="1"/>
  <c r="H394" i="131"/>
  <c r="J394" i="131" s="1"/>
  <c r="H393" i="131"/>
  <c r="I393" i="131" s="1"/>
  <c r="H392" i="131"/>
  <c r="J392" i="131" s="1"/>
  <c r="H391" i="131"/>
  <c r="H390" i="131"/>
  <c r="J390" i="131" s="1"/>
  <c r="H389" i="131"/>
  <c r="H388" i="131"/>
  <c r="J388" i="131" s="1"/>
  <c r="H387" i="131"/>
  <c r="H386" i="131"/>
  <c r="I386" i="131" s="1"/>
  <c r="H385" i="131"/>
  <c r="H384" i="131"/>
  <c r="I384" i="131" s="1"/>
  <c r="H383" i="131"/>
  <c r="I383" i="131" s="1"/>
  <c r="H382" i="131"/>
  <c r="J382" i="131" s="1"/>
  <c r="H381" i="131"/>
  <c r="H380" i="131"/>
  <c r="I380" i="131" s="1"/>
  <c r="H379" i="131"/>
  <c r="I379" i="131" s="1"/>
  <c r="H378" i="131"/>
  <c r="H377" i="131"/>
  <c r="I377" i="131" s="1"/>
  <c r="H376" i="131"/>
  <c r="J376" i="131" s="1"/>
  <c r="H375" i="131"/>
  <c r="I375" i="131" s="1"/>
  <c r="H374" i="131"/>
  <c r="J374" i="131" s="1"/>
  <c r="H373" i="131"/>
  <c r="H372" i="131"/>
  <c r="J372" i="131" s="1"/>
  <c r="H371" i="131"/>
  <c r="I371" i="131" s="1"/>
  <c r="H370" i="131"/>
  <c r="J370" i="131" s="1"/>
  <c r="H369" i="131"/>
  <c r="I369" i="131" s="1"/>
  <c r="H368" i="131"/>
  <c r="J368" i="131" s="1"/>
  <c r="G368" i="131"/>
  <c r="H367" i="131"/>
  <c r="I367" i="131" s="1"/>
  <c r="H366" i="131"/>
  <c r="I366" i="131" s="1"/>
  <c r="H365" i="131"/>
  <c r="H364" i="131"/>
  <c r="I364" i="131" s="1"/>
  <c r="H363" i="131"/>
  <c r="I363" i="131" s="1"/>
  <c r="H362" i="131"/>
  <c r="I362" i="131" s="1"/>
  <c r="H361" i="131"/>
  <c r="J361" i="131" s="1"/>
  <c r="H360" i="131"/>
  <c r="H359" i="131"/>
  <c r="I359" i="131" s="1"/>
  <c r="H358" i="131"/>
  <c r="I358" i="131" s="1"/>
  <c r="H357" i="131"/>
  <c r="I357" i="131" s="1"/>
  <c r="H356" i="131"/>
  <c r="I356" i="131" s="1"/>
  <c r="H355" i="131"/>
  <c r="I355" i="131" s="1"/>
  <c r="H354" i="131"/>
  <c r="I354" i="131" s="1"/>
  <c r="H353" i="131"/>
  <c r="J353" i="131" s="1"/>
  <c r="H352" i="131"/>
  <c r="H351" i="131"/>
  <c r="J351" i="131" s="1"/>
  <c r="H350" i="131"/>
  <c r="I350" i="131" s="1"/>
  <c r="H349" i="131"/>
  <c r="J349" i="131" s="1"/>
  <c r="H348" i="131"/>
  <c r="I348" i="131" s="1"/>
  <c r="H347" i="131"/>
  <c r="I347" i="131" s="1"/>
  <c r="H346" i="131"/>
  <c r="H345" i="131"/>
  <c r="J345" i="131" s="1"/>
  <c r="H344" i="131"/>
  <c r="H343" i="131"/>
  <c r="I343" i="131" s="1"/>
  <c r="H342" i="131"/>
  <c r="H341" i="131"/>
  <c r="I341" i="131" s="1"/>
  <c r="H340" i="131"/>
  <c r="I340" i="131" s="1"/>
  <c r="H339" i="131"/>
  <c r="H338" i="131"/>
  <c r="I338" i="131" s="1"/>
  <c r="H337" i="131"/>
  <c r="J337" i="131" s="1"/>
  <c r="H336" i="131"/>
  <c r="H335" i="131"/>
  <c r="H334" i="131"/>
  <c r="I334" i="131" s="1"/>
  <c r="H333" i="131"/>
  <c r="J333" i="131" s="1"/>
  <c r="H332" i="131"/>
  <c r="I332" i="131" s="1"/>
  <c r="H331" i="131"/>
  <c r="J331" i="131" s="1"/>
  <c r="H330" i="131"/>
  <c r="H329" i="131"/>
  <c r="J329" i="131" s="1"/>
  <c r="H328" i="131"/>
  <c r="G328" i="131"/>
  <c r="H327" i="131"/>
  <c r="I327" i="131" s="1"/>
  <c r="H326" i="131"/>
  <c r="J326" i="131" s="1"/>
  <c r="H325" i="131"/>
  <c r="I325" i="131" s="1"/>
  <c r="H324" i="131"/>
  <c r="J324" i="131" s="1"/>
  <c r="H323" i="131"/>
  <c r="H322" i="131"/>
  <c r="I322" i="131" s="1"/>
  <c r="H321" i="131"/>
  <c r="I321" i="131" s="1"/>
  <c r="H320" i="131"/>
  <c r="H319" i="131"/>
  <c r="I319" i="131" s="1"/>
  <c r="H318" i="131"/>
  <c r="J318" i="131" s="1"/>
  <c r="H317" i="131"/>
  <c r="I317" i="131" s="1"/>
  <c r="H316" i="131"/>
  <c r="H315" i="131"/>
  <c r="H314" i="131"/>
  <c r="J314" i="131" s="1"/>
  <c r="H313" i="131"/>
  <c r="I313" i="131" s="1"/>
  <c r="H312" i="131"/>
  <c r="J312" i="131" s="1"/>
  <c r="H311" i="131"/>
  <c r="I311" i="131" s="1"/>
  <c r="H310" i="131"/>
  <c r="J310" i="131" s="1"/>
  <c r="H309" i="131"/>
  <c r="I309" i="131" s="1"/>
  <c r="H308" i="131"/>
  <c r="H307" i="131"/>
  <c r="H306" i="131"/>
  <c r="J306" i="131" s="1"/>
  <c r="H305" i="131"/>
  <c r="I305" i="131" s="1"/>
  <c r="H304" i="131"/>
  <c r="J304" i="131" s="1"/>
  <c r="H303" i="131"/>
  <c r="H302" i="131"/>
  <c r="I302" i="131" s="1"/>
  <c r="H301" i="131"/>
  <c r="H300" i="131"/>
  <c r="J300" i="131" s="1"/>
  <c r="H299" i="131"/>
  <c r="H298" i="131"/>
  <c r="I298" i="131" s="1"/>
  <c r="H297" i="131"/>
  <c r="H296" i="131"/>
  <c r="I296" i="131" s="1"/>
  <c r="H295" i="131"/>
  <c r="I295" i="131" s="1"/>
  <c r="H294" i="131"/>
  <c r="H293" i="131"/>
  <c r="I293" i="131" s="1"/>
  <c r="H292" i="131"/>
  <c r="H291" i="131"/>
  <c r="H290" i="131"/>
  <c r="I290" i="131" s="1"/>
  <c r="H289" i="131"/>
  <c r="I289" i="131" s="1"/>
  <c r="H288" i="131"/>
  <c r="H287" i="131"/>
  <c r="I287" i="131" s="1"/>
  <c r="H286" i="131"/>
  <c r="J286" i="131" s="1"/>
  <c r="H285" i="131"/>
  <c r="I285" i="131" s="1"/>
  <c r="H284" i="131"/>
  <c r="J284" i="131" s="1"/>
  <c r="H283" i="131"/>
  <c r="H282" i="131"/>
  <c r="J282" i="131" s="1"/>
  <c r="H281" i="131"/>
  <c r="I281" i="131" s="1"/>
  <c r="H280" i="131"/>
  <c r="J280" i="131" s="1"/>
  <c r="H279" i="131"/>
  <c r="I279" i="131" s="1"/>
  <c r="H278" i="131"/>
  <c r="J278" i="131" s="1"/>
  <c r="H277" i="131"/>
  <c r="I277" i="131" s="1"/>
  <c r="H276" i="131"/>
  <c r="J276" i="131" s="1"/>
  <c r="H275" i="131"/>
  <c r="H274" i="131"/>
  <c r="I274" i="131" s="1"/>
  <c r="H273" i="131"/>
  <c r="I273" i="131" s="1"/>
  <c r="H272" i="131"/>
  <c r="J272" i="131" s="1"/>
  <c r="H271" i="131"/>
  <c r="I271" i="131" s="1"/>
  <c r="G271" i="131"/>
  <c r="H270" i="131"/>
  <c r="H269" i="131"/>
  <c r="J269" i="131" s="1"/>
  <c r="H268" i="131"/>
  <c r="I268" i="131" s="1"/>
  <c r="H267" i="131"/>
  <c r="J267" i="131" s="1"/>
  <c r="H266" i="131"/>
  <c r="I266" i="131" s="1"/>
  <c r="H265" i="131"/>
  <c r="J265" i="131" s="1"/>
  <c r="H264" i="131"/>
  <c r="I264" i="131" s="1"/>
  <c r="H263" i="131"/>
  <c r="H262" i="131"/>
  <c r="H261" i="131"/>
  <c r="J261" i="131" s="1"/>
  <c r="H260" i="131"/>
  <c r="I260" i="131" s="1"/>
  <c r="G260" i="131"/>
  <c r="H259" i="131"/>
  <c r="I259" i="131" s="1"/>
  <c r="I258" i="131"/>
  <c r="H258" i="131"/>
  <c r="J258" i="131" s="1"/>
  <c r="H257" i="131"/>
  <c r="H256" i="131"/>
  <c r="J256" i="131" s="1"/>
  <c r="H255" i="131"/>
  <c r="I255" i="131" s="1"/>
  <c r="H254" i="131"/>
  <c r="J254" i="131" s="1"/>
  <c r="H253" i="131"/>
  <c r="H252" i="131"/>
  <c r="I252" i="131" s="1"/>
  <c r="H251" i="131"/>
  <c r="I251" i="131" s="1"/>
  <c r="H250" i="131"/>
  <c r="J250" i="131" s="1"/>
  <c r="H249" i="131"/>
  <c r="G249" i="131"/>
  <c r="H248" i="131"/>
  <c r="I248" i="131" s="1"/>
  <c r="H247" i="131"/>
  <c r="J247" i="131" s="1"/>
  <c r="H246" i="131"/>
  <c r="I246" i="131" s="1"/>
  <c r="H245" i="131"/>
  <c r="H244" i="131"/>
  <c r="H243" i="131"/>
  <c r="H242" i="131"/>
  <c r="H241" i="131"/>
  <c r="J241" i="131" s="1"/>
  <c r="H240" i="131"/>
  <c r="I240" i="131" s="1"/>
  <c r="H239" i="131"/>
  <c r="I239" i="131" s="1"/>
  <c r="H238" i="131"/>
  <c r="H237" i="131"/>
  <c r="J237" i="131" s="1"/>
  <c r="H236" i="131"/>
  <c r="H235" i="131"/>
  <c r="J235" i="131" s="1"/>
  <c r="H234" i="131"/>
  <c r="I234" i="131" s="1"/>
  <c r="H233" i="131"/>
  <c r="J233" i="131" s="1"/>
  <c r="H232" i="131"/>
  <c r="I232" i="131" s="1"/>
  <c r="J231" i="131"/>
  <c r="H231" i="131"/>
  <c r="I231" i="131" s="1"/>
  <c r="H230" i="131"/>
  <c r="I230" i="131" s="1"/>
  <c r="H229" i="131"/>
  <c r="J229" i="131" s="1"/>
  <c r="H228" i="131"/>
  <c r="H227" i="131"/>
  <c r="J227" i="131" s="1"/>
  <c r="H226" i="131"/>
  <c r="H225" i="131"/>
  <c r="H224" i="131"/>
  <c r="I224" i="131" s="1"/>
  <c r="H223" i="131"/>
  <c r="J223" i="131" s="1"/>
  <c r="H222" i="131"/>
  <c r="H221" i="131"/>
  <c r="H220" i="131"/>
  <c r="H219" i="131"/>
  <c r="H218" i="131"/>
  <c r="I218" i="131" s="1"/>
  <c r="H217" i="131"/>
  <c r="J217" i="131" s="1"/>
  <c r="H216" i="131"/>
  <c r="I216" i="131" s="1"/>
  <c r="H215" i="131"/>
  <c r="I215" i="131" s="1"/>
  <c r="G215" i="131"/>
  <c r="H214" i="131"/>
  <c r="H213" i="131"/>
  <c r="I213" i="131" s="1"/>
  <c r="H212" i="131"/>
  <c r="J212" i="131" s="1"/>
  <c r="G212" i="131"/>
  <c r="H211" i="131"/>
  <c r="J211" i="131" s="1"/>
  <c r="H210" i="131"/>
  <c r="H209" i="131"/>
  <c r="H208" i="131"/>
  <c r="I208" i="131" s="1"/>
  <c r="H207" i="131"/>
  <c r="H206" i="131"/>
  <c r="I206" i="131" s="1"/>
  <c r="H205" i="131"/>
  <c r="I205" i="131" s="1"/>
  <c r="H204" i="131"/>
  <c r="I204" i="131" s="1"/>
  <c r="H203" i="131"/>
  <c r="J203" i="131" s="1"/>
  <c r="H202" i="131"/>
  <c r="I202" i="131" s="1"/>
  <c r="H201" i="131"/>
  <c r="J201" i="131" s="1"/>
  <c r="H200" i="131"/>
  <c r="J200" i="131" s="1"/>
  <c r="H199" i="131"/>
  <c r="J199" i="131" s="1"/>
  <c r="H198" i="131"/>
  <c r="H197" i="131"/>
  <c r="I197" i="131" s="1"/>
  <c r="H196" i="131"/>
  <c r="I196" i="131" s="1"/>
  <c r="H195" i="131"/>
  <c r="J195" i="131" s="1"/>
  <c r="H194" i="131"/>
  <c r="I194" i="131" s="1"/>
  <c r="H193" i="131"/>
  <c r="J193" i="131" s="1"/>
  <c r="H192" i="131"/>
  <c r="J192" i="131" s="1"/>
  <c r="H191" i="131"/>
  <c r="J191" i="131" s="1"/>
  <c r="H190" i="131"/>
  <c r="J190" i="131" s="1"/>
  <c r="H189" i="131"/>
  <c r="I189" i="131" s="1"/>
  <c r="H188" i="131"/>
  <c r="I188" i="131" s="1"/>
  <c r="H187" i="131"/>
  <c r="J187" i="131" s="1"/>
  <c r="H186" i="131"/>
  <c r="I186" i="131" s="1"/>
  <c r="H185" i="131"/>
  <c r="J185" i="131" s="1"/>
  <c r="H184" i="131"/>
  <c r="J184" i="131" s="1"/>
  <c r="H183" i="131"/>
  <c r="I183" i="131" s="1"/>
  <c r="H182" i="131"/>
  <c r="J182" i="131" s="1"/>
  <c r="G182" i="131"/>
  <c r="H181" i="131"/>
  <c r="I181" i="131" s="1"/>
  <c r="H180" i="131"/>
  <c r="J180" i="131" s="1"/>
  <c r="H179" i="131"/>
  <c r="J179" i="131" s="1"/>
  <c r="H178" i="131"/>
  <c r="H177" i="131"/>
  <c r="J177" i="131" s="1"/>
  <c r="H176" i="131"/>
  <c r="J176" i="131" s="1"/>
  <c r="H175" i="131"/>
  <c r="I175" i="131" s="1"/>
  <c r="H174" i="131"/>
  <c r="H173" i="131"/>
  <c r="H172" i="131"/>
  <c r="J172" i="131" s="1"/>
  <c r="H171" i="131"/>
  <c r="J171" i="131" s="1"/>
  <c r="H170" i="131"/>
  <c r="J170" i="131" s="1"/>
  <c r="H169" i="131"/>
  <c r="J169" i="131" s="1"/>
  <c r="H168" i="131"/>
  <c r="I168" i="131" s="1"/>
  <c r="H167" i="131"/>
  <c r="I167" i="131" s="1"/>
  <c r="H166" i="131"/>
  <c r="J166" i="131" s="1"/>
  <c r="H165" i="131"/>
  <c r="H164" i="131"/>
  <c r="J164" i="131" s="1"/>
  <c r="H163" i="131"/>
  <c r="J163" i="131" s="1"/>
  <c r="H162" i="131"/>
  <c r="J162" i="131" s="1"/>
  <c r="H161" i="131"/>
  <c r="J161" i="131" s="1"/>
  <c r="H160" i="131"/>
  <c r="I160" i="131" s="1"/>
  <c r="H159" i="131"/>
  <c r="H158" i="131"/>
  <c r="J158" i="131" s="1"/>
  <c r="H157" i="131"/>
  <c r="I157" i="131" s="1"/>
  <c r="H156" i="131"/>
  <c r="J156" i="131" s="1"/>
  <c r="H155" i="131"/>
  <c r="J155" i="131" s="1"/>
  <c r="H154" i="131"/>
  <c r="H153" i="131"/>
  <c r="J153" i="131" s="1"/>
  <c r="H152" i="131"/>
  <c r="J152" i="131" s="1"/>
  <c r="H151" i="131"/>
  <c r="H150" i="131"/>
  <c r="H149" i="131"/>
  <c r="I149" i="131" s="1"/>
  <c r="H148" i="131"/>
  <c r="J148" i="131" s="1"/>
  <c r="H147" i="131"/>
  <c r="J147" i="131" s="1"/>
  <c r="H146" i="131"/>
  <c r="H145" i="131"/>
  <c r="J145" i="131" s="1"/>
  <c r="H144" i="131"/>
  <c r="J144" i="131" s="1"/>
  <c r="H143" i="131"/>
  <c r="J143" i="131" s="1"/>
  <c r="H142" i="131"/>
  <c r="J142" i="131" s="1"/>
  <c r="H141" i="131"/>
  <c r="I141" i="131" s="1"/>
  <c r="H140" i="131"/>
  <c r="J140" i="131" s="1"/>
  <c r="H139" i="131"/>
  <c r="J139" i="131" s="1"/>
  <c r="H138" i="131"/>
  <c r="J138" i="131" s="1"/>
  <c r="H137" i="131"/>
  <c r="J137" i="131" s="1"/>
  <c r="H136" i="131"/>
  <c r="J136" i="131" s="1"/>
  <c r="H135" i="131"/>
  <c r="I135" i="131" s="1"/>
  <c r="H134" i="131"/>
  <c r="H133" i="131"/>
  <c r="I133" i="131" s="1"/>
  <c r="H132" i="131"/>
  <c r="J132" i="131" s="1"/>
  <c r="H131" i="131"/>
  <c r="J131" i="131" s="1"/>
  <c r="H130" i="131"/>
  <c r="J130" i="131" s="1"/>
  <c r="H129" i="131"/>
  <c r="J129" i="131" s="1"/>
  <c r="H128" i="131"/>
  <c r="I128" i="131" s="1"/>
  <c r="H127" i="131"/>
  <c r="J127" i="131" s="1"/>
  <c r="H126" i="131"/>
  <c r="J126" i="131" s="1"/>
  <c r="H125" i="131"/>
  <c r="I125" i="131" s="1"/>
  <c r="H124" i="131"/>
  <c r="J124" i="131" s="1"/>
  <c r="H123" i="131"/>
  <c r="J123" i="131" s="1"/>
  <c r="H122" i="131"/>
  <c r="J122" i="131" s="1"/>
  <c r="H121" i="131"/>
  <c r="J121" i="131" s="1"/>
  <c r="H120" i="131"/>
  <c r="J120" i="131" s="1"/>
  <c r="H119" i="131"/>
  <c r="J119" i="131" s="1"/>
  <c r="H118" i="131"/>
  <c r="J118" i="131" s="1"/>
  <c r="H117" i="131"/>
  <c r="I117" i="131" s="1"/>
  <c r="H116" i="131"/>
  <c r="J116" i="131" s="1"/>
  <c r="H115" i="131"/>
  <c r="J115" i="131" s="1"/>
  <c r="H114" i="131"/>
  <c r="J114" i="131" s="1"/>
  <c r="H113" i="131"/>
  <c r="J113" i="131" s="1"/>
  <c r="H112" i="131"/>
  <c r="I112" i="131" s="1"/>
  <c r="H111" i="131"/>
  <c r="I111" i="131" s="1"/>
  <c r="H110" i="131"/>
  <c r="J110" i="131" s="1"/>
  <c r="H109" i="131"/>
  <c r="I109" i="131" s="1"/>
  <c r="H108" i="131"/>
  <c r="J108" i="131" s="1"/>
  <c r="H107" i="131"/>
  <c r="J107" i="131" s="1"/>
  <c r="H106" i="131"/>
  <c r="J106" i="131" s="1"/>
  <c r="H105" i="131"/>
  <c r="J105" i="131" s="1"/>
  <c r="H104" i="131"/>
  <c r="I104" i="131" s="1"/>
  <c r="G104" i="131"/>
  <c r="H103" i="131"/>
  <c r="J103" i="131" s="1"/>
  <c r="H102" i="131"/>
  <c r="J102" i="131" s="1"/>
  <c r="H101" i="131"/>
  <c r="J101" i="131" s="1"/>
  <c r="H100" i="131"/>
  <c r="J100" i="131" s="1"/>
  <c r="H99" i="131"/>
  <c r="I99" i="131" s="1"/>
  <c r="H98" i="131"/>
  <c r="I98" i="131" s="1"/>
  <c r="H97" i="131"/>
  <c r="J97" i="131" s="1"/>
  <c r="H96" i="131"/>
  <c r="I96" i="131" s="1"/>
  <c r="H95" i="131"/>
  <c r="J95" i="131" s="1"/>
  <c r="H94" i="131"/>
  <c r="J94" i="131" s="1"/>
  <c r="H93" i="131"/>
  <c r="J93" i="131" s="1"/>
  <c r="H92" i="131"/>
  <c r="J92" i="131" s="1"/>
  <c r="H91" i="131"/>
  <c r="I91" i="131" s="1"/>
  <c r="H90" i="131"/>
  <c r="J90" i="131" s="1"/>
  <c r="H89" i="131"/>
  <c r="J89" i="131" s="1"/>
  <c r="H88" i="131"/>
  <c r="I88" i="131" s="1"/>
  <c r="H87" i="131"/>
  <c r="J87" i="131" s="1"/>
  <c r="H86" i="131"/>
  <c r="J86" i="131" s="1"/>
  <c r="H85" i="131"/>
  <c r="J85" i="131" s="1"/>
  <c r="H84" i="131"/>
  <c r="J84" i="131" s="1"/>
  <c r="H83" i="131"/>
  <c r="J83" i="131" s="1"/>
  <c r="H82" i="131"/>
  <c r="J82" i="131" s="1"/>
  <c r="H81" i="131"/>
  <c r="J81" i="131" s="1"/>
  <c r="H80" i="131"/>
  <c r="I80" i="131" s="1"/>
  <c r="H79" i="131"/>
  <c r="J79" i="131" s="1"/>
  <c r="H78" i="131"/>
  <c r="J78" i="131" s="1"/>
  <c r="H77" i="131"/>
  <c r="J77" i="131" s="1"/>
  <c r="H76" i="131"/>
  <c r="J76" i="131" s="1"/>
  <c r="H75" i="131"/>
  <c r="J75" i="131" s="1"/>
  <c r="H74" i="131"/>
  <c r="I74" i="131" s="1"/>
  <c r="I73" i="131"/>
  <c r="H73" i="131"/>
  <c r="J73" i="131" s="1"/>
  <c r="H72" i="131"/>
  <c r="I72" i="131" s="1"/>
  <c r="H71" i="131"/>
  <c r="J71" i="131" s="1"/>
  <c r="H70" i="131"/>
  <c r="J70" i="131" s="1"/>
  <c r="H69" i="131"/>
  <c r="J69" i="131" s="1"/>
  <c r="H68" i="131"/>
  <c r="J68" i="131" s="1"/>
  <c r="H67" i="131"/>
  <c r="J67" i="131" s="1"/>
  <c r="H66" i="131"/>
  <c r="J66" i="131" s="1"/>
  <c r="H65" i="131"/>
  <c r="J65" i="131" s="1"/>
  <c r="H64" i="131"/>
  <c r="I64" i="131" s="1"/>
  <c r="H63" i="131"/>
  <c r="I63" i="131" s="1"/>
  <c r="H62" i="131"/>
  <c r="J62" i="131" s="1"/>
  <c r="H61" i="131"/>
  <c r="J61" i="131" s="1"/>
  <c r="H60" i="131"/>
  <c r="J60" i="131" s="1"/>
  <c r="H59" i="131"/>
  <c r="J59" i="131" s="1"/>
  <c r="H58" i="131"/>
  <c r="J58" i="131" s="1"/>
  <c r="H57" i="131"/>
  <c r="J57" i="131" s="1"/>
  <c r="H56" i="131"/>
  <c r="I56" i="131" s="1"/>
  <c r="H55" i="131"/>
  <c r="I55" i="131" s="1"/>
  <c r="H54" i="131"/>
  <c r="J54" i="131" s="1"/>
  <c r="H53" i="131"/>
  <c r="J53" i="131" s="1"/>
  <c r="H52" i="131"/>
  <c r="J52" i="131" s="1"/>
  <c r="H51" i="131"/>
  <c r="J51" i="131" s="1"/>
  <c r="H50" i="131"/>
  <c r="J50" i="131" s="1"/>
  <c r="H49" i="131"/>
  <c r="J49" i="131" s="1"/>
  <c r="H48" i="131"/>
  <c r="I48" i="131" s="1"/>
  <c r="H47" i="131"/>
  <c r="I47" i="131" s="1"/>
  <c r="H46" i="131"/>
  <c r="J46" i="131" s="1"/>
  <c r="H45" i="131"/>
  <c r="J45" i="131" s="1"/>
  <c r="H44" i="131"/>
  <c r="J44" i="131" s="1"/>
  <c r="H43" i="131"/>
  <c r="J43" i="131" s="1"/>
  <c r="H42" i="131"/>
  <c r="J42" i="131" s="1"/>
  <c r="H41" i="131"/>
  <c r="J41" i="131" s="1"/>
  <c r="H40" i="131"/>
  <c r="I40" i="131" s="1"/>
  <c r="H39" i="131"/>
  <c r="I39" i="131" s="1"/>
  <c r="H38" i="131"/>
  <c r="J38" i="131" s="1"/>
  <c r="H37" i="131"/>
  <c r="J37" i="131" s="1"/>
  <c r="H36" i="131"/>
  <c r="J36" i="131" s="1"/>
  <c r="H35" i="131"/>
  <c r="J35" i="131" s="1"/>
  <c r="J34" i="131"/>
  <c r="H34" i="131"/>
  <c r="I34" i="131" s="1"/>
  <c r="H33" i="131"/>
  <c r="J33" i="131" s="1"/>
  <c r="H32" i="131"/>
  <c r="I32" i="131" s="1"/>
  <c r="H31" i="131"/>
  <c r="I31" i="131" s="1"/>
  <c r="H30" i="131"/>
  <c r="J30" i="131" s="1"/>
  <c r="H29" i="131"/>
  <c r="J29" i="131" s="1"/>
  <c r="H28" i="131"/>
  <c r="J28" i="131" s="1"/>
  <c r="H27" i="131"/>
  <c r="J27" i="131" s="1"/>
  <c r="H26" i="131"/>
  <c r="J26" i="131" s="1"/>
  <c r="H25" i="131"/>
  <c r="J25" i="131" s="1"/>
  <c r="H24" i="131"/>
  <c r="I24" i="131" s="1"/>
  <c r="H23" i="131"/>
  <c r="I23" i="131" s="1"/>
  <c r="H22" i="131"/>
  <c r="J22" i="131" s="1"/>
  <c r="H21" i="131"/>
  <c r="J21" i="131" s="1"/>
  <c r="H20" i="131"/>
  <c r="J20" i="131" s="1"/>
  <c r="H19" i="131"/>
  <c r="J19" i="131" s="1"/>
  <c r="H18" i="131"/>
  <c r="J18" i="131" s="1"/>
  <c r="H17" i="131"/>
  <c r="J17" i="131" s="1"/>
  <c r="H16" i="131"/>
  <c r="I16" i="131" s="1"/>
  <c r="H15" i="131"/>
  <c r="I15" i="131" s="1"/>
  <c r="H14" i="131"/>
  <c r="J14" i="131" s="1"/>
  <c r="H13" i="131"/>
  <c r="J13" i="131" s="1"/>
  <c r="H12" i="131"/>
  <c r="J12" i="131" s="1"/>
  <c r="H11" i="131"/>
  <c r="J11" i="131" s="1"/>
  <c r="H10" i="131"/>
  <c r="J10" i="131" s="1"/>
  <c r="H9" i="131"/>
  <c r="J9" i="131" s="1"/>
  <c r="H8" i="131"/>
  <c r="I8" i="131" s="1"/>
  <c r="H7" i="131"/>
  <c r="I7" i="131" s="1"/>
  <c r="H6" i="131"/>
  <c r="J6" i="131" s="1"/>
  <c r="H5" i="131"/>
  <c r="J5" i="131" s="1"/>
  <c r="G3" i="131"/>
  <c r="I368" i="131" l="1"/>
  <c r="J430" i="131"/>
  <c r="J629" i="131"/>
  <c r="I569" i="131"/>
  <c r="J359" i="131"/>
  <c r="J91" i="131"/>
  <c r="J489" i="131"/>
  <c r="J218" i="131"/>
  <c r="J290" i="131"/>
  <c r="J357" i="131"/>
  <c r="I413" i="131"/>
  <c r="I641" i="131"/>
  <c r="J694" i="131"/>
  <c r="J746" i="131"/>
  <c r="J206" i="131"/>
  <c r="J298" i="131"/>
  <c r="J321" i="131"/>
  <c r="J401" i="131"/>
  <c r="J441" i="131"/>
  <c r="J540" i="131"/>
  <c r="I561" i="131"/>
  <c r="I649" i="131"/>
  <c r="I725" i="131"/>
  <c r="I200" i="131"/>
  <c r="I241" i="131"/>
  <c r="J379" i="131"/>
  <c r="I435" i="131"/>
  <c r="J606" i="131"/>
  <c r="I733" i="131"/>
  <c r="J778" i="131"/>
  <c r="J785" i="131"/>
  <c r="J416" i="131"/>
  <c r="I505" i="131"/>
  <c r="J557" i="131"/>
  <c r="J585" i="131"/>
  <c r="J757" i="131"/>
  <c r="J74" i="131"/>
  <c r="J157" i="131"/>
  <c r="J404" i="131"/>
  <c r="I722" i="131"/>
  <c r="J104" i="131"/>
  <c r="J135" i="131"/>
  <c r="J340" i="131"/>
  <c r="I58" i="131"/>
  <c r="I66" i="131"/>
  <c r="I144" i="131"/>
  <c r="J188" i="131"/>
  <c r="I201" i="131"/>
  <c r="J239" i="131"/>
  <c r="J319" i="131"/>
  <c r="J358" i="131"/>
  <c r="J363" i="131"/>
  <c r="J424" i="131"/>
  <c r="I485" i="131"/>
  <c r="I584" i="131"/>
  <c r="I729" i="131"/>
  <c r="I734" i="131"/>
  <c r="I376" i="131"/>
  <c r="J380" i="131"/>
  <c r="J513" i="131"/>
  <c r="I527" i="131"/>
  <c r="I565" i="131"/>
  <c r="J598" i="131"/>
  <c r="J637" i="131"/>
  <c r="I678" i="131"/>
  <c r="J762" i="131"/>
  <c r="J769" i="131"/>
  <c r="J790" i="131"/>
  <c r="J273" i="131"/>
  <c r="I300" i="131"/>
  <c r="I314" i="131"/>
  <c r="J355" i="131"/>
  <c r="J438" i="131"/>
  <c r="I443" i="131"/>
  <c r="I535" i="131"/>
  <c r="J625" i="131"/>
  <c r="J673" i="131"/>
  <c r="I685" i="131"/>
  <c r="J690" i="131"/>
  <c r="I710" i="131"/>
  <c r="I730" i="131"/>
  <c r="J749" i="131"/>
  <c r="I26" i="131"/>
  <c r="I211" i="131"/>
  <c r="J230" i="131"/>
  <c r="I256" i="131"/>
  <c r="I269" i="131"/>
  <c r="J274" i="131"/>
  <c r="J350" i="131"/>
  <c r="I372" i="131"/>
  <c r="J377" i="131"/>
  <c r="I382" i="131"/>
  <c r="I396" i="131"/>
  <c r="J408" i="131"/>
  <c r="J509" i="131"/>
  <c r="I536" i="131"/>
  <c r="I573" i="131"/>
  <c r="J633" i="131"/>
  <c r="I653" i="131"/>
  <c r="I674" i="131"/>
  <c r="I706" i="131"/>
  <c r="J745" i="131"/>
  <c r="I192" i="131"/>
  <c r="I217" i="131"/>
  <c r="J302" i="131"/>
  <c r="I337" i="131"/>
  <c r="I390" i="131"/>
  <c r="J440" i="131"/>
  <c r="J453" i="131"/>
  <c r="J476" i="131"/>
  <c r="I524" i="131"/>
  <c r="I562" i="131"/>
  <c r="I614" i="131"/>
  <c r="J621" i="131"/>
  <c r="J669" i="131"/>
  <c r="I686" i="131"/>
  <c r="I10" i="131"/>
  <c r="I42" i="131"/>
  <c r="J98" i="131"/>
  <c r="J109" i="131"/>
  <c r="J128" i="131"/>
  <c r="I158" i="131"/>
  <c r="I235" i="131"/>
  <c r="I247" i="131"/>
  <c r="J252" i="131"/>
  <c r="I310" i="131"/>
  <c r="I326" i="131"/>
  <c r="J347" i="131"/>
  <c r="I351" i="131"/>
  <c r="J364" i="131"/>
  <c r="J386" i="131"/>
  <c r="I439" i="131"/>
  <c r="J454" i="131"/>
  <c r="J480" i="131"/>
  <c r="J492" i="131"/>
  <c r="I541" i="131"/>
  <c r="J553" i="131"/>
  <c r="I589" i="131"/>
  <c r="J594" i="131"/>
  <c r="I600" i="131"/>
  <c r="I610" i="131"/>
  <c r="I626" i="131"/>
  <c r="I630" i="131"/>
  <c r="I634" i="131"/>
  <c r="I638" i="131"/>
  <c r="I656" i="131"/>
  <c r="J702" i="131"/>
  <c r="I718" i="131"/>
  <c r="I777" i="131"/>
  <c r="I781" i="131"/>
  <c r="I786" i="131"/>
  <c r="I18" i="131"/>
  <c r="I50" i="131"/>
  <c r="J99" i="131"/>
  <c r="J281" i="131"/>
  <c r="I333" i="131"/>
  <c r="J343" i="131"/>
  <c r="I370" i="131"/>
  <c r="I410" i="131"/>
  <c r="J414" i="131"/>
  <c r="I493" i="131"/>
  <c r="J549" i="131"/>
  <c r="J554" i="131"/>
  <c r="I560" i="131"/>
  <c r="J617" i="131"/>
  <c r="I645" i="131"/>
  <c r="I672" i="131"/>
  <c r="I681" i="131"/>
  <c r="I714" i="131"/>
  <c r="J741" i="131"/>
  <c r="J753" i="131"/>
  <c r="J765" i="131"/>
  <c r="J782" i="131"/>
  <c r="I90" i="131"/>
  <c r="J111" i="131"/>
  <c r="J125" i="131"/>
  <c r="I130" i="131"/>
  <c r="I143" i="131"/>
  <c r="J167" i="131"/>
  <c r="J186" i="131"/>
  <c r="I191" i="131"/>
  <c r="I227" i="131"/>
  <c r="I237" i="131"/>
  <c r="I318" i="131"/>
  <c r="J338" i="131"/>
  <c r="I349" i="131"/>
  <c r="J362" i="131"/>
  <c r="J366" i="131"/>
  <c r="J383" i="131"/>
  <c r="I388" i="131"/>
  <c r="I419" i="131"/>
  <c r="I425" i="131"/>
  <c r="J431" i="131"/>
  <c r="J456" i="131"/>
  <c r="J508" i="131"/>
  <c r="J581" i="131"/>
  <c r="I590" i="131"/>
  <c r="I602" i="131"/>
  <c r="I624" i="131"/>
  <c r="I677" i="131"/>
  <c r="J698" i="131"/>
  <c r="I704" i="131"/>
  <c r="J181" i="131"/>
  <c r="J215" i="131"/>
  <c r="J255" i="131"/>
  <c r="I276" i="131"/>
  <c r="I282" i="131"/>
  <c r="J375" i="131"/>
  <c r="J395" i="131"/>
  <c r="I406" i="131"/>
  <c r="I415" i="131"/>
  <c r="I437" i="131"/>
  <c r="J445" i="131"/>
  <c r="I586" i="131"/>
  <c r="I613" i="131"/>
  <c r="J761" i="131"/>
  <c r="J794" i="131"/>
  <c r="I85" i="131"/>
  <c r="J96" i="131"/>
  <c r="J112" i="131"/>
  <c r="I126" i="131"/>
  <c r="I138" i="131"/>
  <c r="J149" i="131"/>
  <c r="I162" i="131"/>
  <c r="I176" i="131"/>
  <c r="I187" i="131"/>
  <c r="I250" i="131"/>
  <c r="J268" i="131"/>
  <c r="I272" i="131"/>
  <c r="J295" i="131"/>
  <c r="I324" i="131"/>
  <c r="I329" i="131"/>
  <c r="J334" i="131"/>
  <c r="I345" i="131"/>
  <c r="J371" i="131"/>
  <c r="J384" i="131"/>
  <c r="J465" i="131"/>
  <c r="J545" i="131"/>
  <c r="I576" i="131"/>
  <c r="I721" i="131"/>
  <c r="I726" i="131"/>
  <c r="J737" i="131"/>
  <c r="J789" i="131"/>
  <c r="J234" i="131"/>
  <c r="I159" i="131"/>
  <c r="J159" i="131"/>
  <c r="I165" i="131"/>
  <c r="J165" i="131"/>
  <c r="J288" i="131"/>
  <c r="I288" i="131"/>
  <c r="I17" i="131"/>
  <c r="I33" i="131"/>
  <c r="I49" i="131"/>
  <c r="I57" i="131"/>
  <c r="I120" i="131"/>
  <c r="J207" i="131"/>
  <c r="I207" i="131"/>
  <c r="I238" i="131"/>
  <c r="J238" i="131"/>
  <c r="I278" i="131"/>
  <c r="J294" i="131"/>
  <c r="I294" i="131"/>
  <c r="J320" i="131"/>
  <c r="I320" i="131"/>
  <c r="J339" i="131"/>
  <c r="I339" i="131"/>
  <c r="J597" i="131"/>
  <c r="I597" i="131"/>
  <c r="J688" i="131"/>
  <c r="I688" i="131"/>
  <c r="J701" i="131"/>
  <c r="I701" i="131"/>
  <c r="J134" i="131"/>
  <c r="I134" i="131"/>
  <c r="J243" i="131"/>
  <c r="I243" i="131"/>
  <c r="I9" i="131"/>
  <c r="I25" i="131"/>
  <c r="I41" i="131"/>
  <c r="I65" i="131"/>
  <c r="I77" i="131"/>
  <c r="I82" i="131"/>
  <c r="J154" i="131"/>
  <c r="I154" i="131"/>
  <c r="I170" i="131"/>
  <c r="I212" i="131"/>
  <c r="I223" i="131"/>
  <c r="I229" i="131"/>
  <c r="I233" i="131"/>
  <c r="I254" i="131"/>
  <c r="I304" i="131"/>
  <c r="I361" i="131"/>
  <c r="J365" i="131"/>
  <c r="I365" i="131"/>
  <c r="I385" i="131"/>
  <c r="J385" i="131"/>
  <c r="I512" i="131"/>
  <c r="J512" i="131"/>
  <c r="I5" i="131"/>
  <c r="I13" i="131"/>
  <c r="I21" i="131"/>
  <c r="I29" i="131"/>
  <c r="I37" i="131"/>
  <c r="I45" i="131"/>
  <c r="I53" i="131"/>
  <c r="I61" i="131"/>
  <c r="I69" i="131"/>
  <c r="J117" i="131"/>
  <c r="J160" i="131"/>
  <c r="I166" i="131"/>
  <c r="J197" i="131"/>
  <c r="J245" i="131"/>
  <c r="I245" i="131"/>
  <c r="I265" i="131"/>
  <c r="J289" i="131"/>
  <c r="J316" i="131"/>
  <c r="I316" i="131"/>
  <c r="I330" i="131"/>
  <c r="J330" i="131"/>
  <c r="I353" i="131"/>
  <c r="J369" i="131"/>
  <c r="I391" i="131"/>
  <c r="J391" i="131"/>
  <c r="I449" i="131"/>
  <c r="I473" i="131"/>
  <c r="J501" i="131"/>
  <c r="I520" i="131"/>
  <c r="J520" i="131"/>
  <c r="I525" i="131"/>
  <c r="J570" i="131"/>
  <c r="I570" i="131"/>
  <c r="J608" i="131"/>
  <c r="I608" i="131"/>
  <c r="J618" i="131"/>
  <c r="J657" i="131"/>
  <c r="J689" i="131"/>
  <c r="I689" i="131"/>
  <c r="J738" i="131"/>
  <c r="J754" i="131"/>
  <c r="J770" i="131"/>
  <c r="I198" i="131"/>
  <c r="J198" i="131"/>
  <c r="J455" i="131"/>
  <c r="I455" i="131"/>
  <c r="J592" i="131"/>
  <c r="I592" i="131"/>
  <c r="I83" i="131"/>
  <c r="J88" i="131"/>
  <c r="I118" i="131"/>
  <c r="I122" i="131"/>
  <c r="I127" i="131"/>
  <c r="J150" i="131"/>
  <c r="I150" i="131"/>
  <c r="I173" i="131"/>
  <c r="J173" i="131"/>
  <c r="J178" i="131"/>
  <c r="I178" i="131"/>
  <c r="J183" i="131"/>
  <c r="I210" i="131"/>
  <c r="J210" i="131"/>
  <c r="J219" i="131"/>
  <c r="I219" i="131"/>
  <c r="I226" i="131"/>
  <c r="J226" i="131"/>
  <c r="J246" i="131"/>
  <c r="I280" i="131"/>
  <c r="I284" i="131"/>
  <c r="I301" i="131"/>
  <c r="J301" i="131"/>
  <c r="I306" i="131"/>
  <c r="I331" i="131"/>
  <c r="I346" i="131"/>
  <c r="J346" i="131"/>
  <c r="I387" i="131"/>
  <c r="J387" i="131"/>
  <c r="I392" i="131"/>
  <c r="J402" i="131"/>
  <c r="I421" i="131"/>
  <c r="I432" i="131"/>
  <c r="J432" i="131"/>
  <c r="J451" i="131"/>
  <c r="I451" i="131"/>
  <c r="I461" i="131"/>
  <c r="I521" i="131"/>
  <c r="J532" i="131"/>
  <c r="J548" i="131"/>
  <c r="I548" i="131"/>
  <c r="J558" i="131"/>
  <c r="J577" i="131"/>
  <c r="J593" i="131"/>
  <c r="I593" i="131"/>
  <c r="J665" i="131"/>
  <c r="J697" i="131"/>
  <c r="I697" i="131"/>
  <c r="J750" i="131"/>
  <c r="J766" i="131"/>
  <c r="J793" i="131"/>
  <c r="I793" i="131"/>
  <c r="J225" i="131"/>
  <c r="I225" i="131"/>
  <c r="J7" i="131"/>
  <c r="J47" i="131"/>
  <c r="I75" i="131"/>
  <c r="J80" i="131"/>
  <c r="I199" i="131"/>
  <c r="I261" i="131"/>
  <c r="I267" i="131"/>
  <c r="J296" i="131"/>
  <c r="I312" i="131"/>
  <c r="J322" i="131"/>
  <c r="J327" i="131"/>
  <c r="J341" i="131"/>
  <c r="J367" i="131"/>
  <c r="I374" i="131"/>
  <c r="J378" i="131"/>
  <c r="I378" i="131"/>
  <c r="I403" i="131"/>
  <c r="J403" i="131"/>
  <c r="J427" i="131"/>
  <c r="I427" i="131"/>
  <c r="I446" i="131"/>
  <c r="J446" i="131"/>
  <c r="J469" i="131"/>
  <c r="I469" i="131"/>
  <c r="I497" i="131"/>
  <c r="J654" i="131"/>
  <c r="I654" i="131"/>
  <c r="J214" i="131"/>
  <c r="I214" i="131"/>
  <c r="I407" i="131"/>
  <c r="J407" i="131"/>
  <c r="J646" i="131"/>
  <c r="I646" i="131"/>
  <c r="J15" i="131"/>
  <c r="J23" i="131"/>
  <c r="J31" i="131"/>
  <c r="J55" i="131"/>
  <c r="J63" i="131"/>
  <c r="I110" i="131"/>
  <c r="I136" i="131"/>
  <c r="I11" i="131"/>
  <c r="I27" i="131"/>
  <c r="I43" i="131"/>
  <c r="I59" i="131"/>
  <c r="I67" i="131"/>
  <c r="I89" i="131"/>
  <c r="I101" i="131"/>
  <c r="I114" i="131"/>
  <c r="I119" i="131"/>
  <c r="J189" i="131"/>
  <c r="J205" i="131"/>
  <c r="J221" i="131"/>
  <c r="I221" i="131"/>
  <c r="I297" i="131"/>
  <c r="J297" i="131"/>
  <c r="J308" i="131"/>
  <c r="I308" i="131"/>
  <c r="I342" i="131"/>
  <c r="J342" i="131"/>
  <c r="J398" i="131"/>
  <c r="I398" i="131"/>
  <c r="I409" i="131"/>
  <c r="J409" i="131"/>
  <c r="J417" i="131"/>
  <c r="I417" i="131"/>
  <c r="J543" i="131"/>
  <c r="I543" i="131"/>
  <c r="J642" i="131"/>
  <c r="I642" i="131"/>
  <c r="J720" i="131"/>
  <c r="I720" i="131"/>
  <c r="I774" i="131"/>
  <c r="J774" i="131"/>
  <c r="J209" i="131"/>
  <c r="I209" i="131"/>
  <c r="J335" i="131"/>
  <c r="I335" i="131"/>
  <c r="J39" i="131"/>
  <c r="I97" i="131"/>
  <c r="J141" i="131"/>
  <c r="I151" i="131"/>
  <c r="J151" i="131"/>
  <c r="J174" i="131"/>
  <c r="I174" i="131"/>
  <c r="I19" i="131"/>
  <c r="I35" i="131"/>
  <c r="I51" i="131"/>
  <c r="J72" i="131"/>
  <c r="J168" i="131"/>
  <c r="J8" i="131"/>
  <c r="J16" i="131"/>
  <c r="J24" i="131"/>
  <c r="J32" i="131"/>
  <c r="J40" i="131"/>
  <c r="J48" i="131"/>
  <c r="J56" i="131"/>
  <c r="J64" i="131"/>
  <c r="I81" i="131"/>
  <c r="I93" i="131"/>
  <c r="I106" i="131"/>
  <c r="J133" i="131"/>
  <c r="I142" i="131"/>
  <c r="J146" i="131"/>
  <c r="I146" i="131"/>
  <c r="I152" i="131"/>
  <c r="J175" i="131"/>
  <c r="I222" i="131"/>
  <c r="J222" i="131"/>
  <c r="I242" i="131"/>
  <c r="J242" i="131"/>
  <c r="I253" i="131"/>
  <c r="J253" i="131"/>
  <c r="J263" i="131"/>
  <c r="I263" i="131"/>
  <c r="J292" i="131"/>
  <c r="I292" i="131"/>
  <c r="I303" i="131"/>
  <c r="J303" i="131"/>
  <c r="I394" i="131"/>
  <c r="I423" i="131"/>
  <c r="J429" i="131"/>
  <c r="I429" i="131"/>
  <c r="I447" i="131"/>
  <c r="J457" i="131"/>
  <c r="J481" i="131"/>
  <c r="J517" i="131"/>
  <c r="I517" i="131"/>
  <c r="J528" i="131"/>
  <c r="J544" i="131"/>
  <c r="I544" i="131"/>
  <c r="J574" i="131"/>
  <c r="I574" i="131"/>
  <c r="J661" i="131"/>
  <c r="J693" i="131"/>
  <c r="I693" i="131"/>
  <c r="J400" i="131"/>
  <c r="I400" i="131"/>
  <c r="I472" i="131"/>
  <c r="J472" i="131"/>
  <c r="I488" i="131"/>
  <c r="J488" i="131"/>
  <c r="J529" i="131"/>
  <c r="I529" i="131"/>
  <c r="J622" i="131"/>
  <c r="J650" i="131"/>
  <c r="I650" i="131"/>
  <c r="J742" i="131"/>
  <c r="J758" i="131"/>
  <c r="I533" i="131"/>
  <c r="I552" i="131"/>
  <c r="I578" i="131"/>
  <c r="I582" i="131"/>
  <c r="I601" i="131"/>
  <c r="I605" i="131"/>
  <c r="I616" i="131"/>
  <c r="I658" i="131"/>
  <c r="I662" i="131"/>
  <c r="I666" i="131"/>
  <c r="I670" i="131"/>
  <c r="I705" i="131"/>
  <c r="I709" i="131"/>
  <c r="I713" i="131"/>
  <c r="I717" i="131"/>
  <c r="I736" i="131"/>
  <c r="J260" i="131"/>
  <c r="J264" i="131"/>
  <c r="I286" i="131"/>
  <c r="J305" i="131"/>
  <c r="J313" i="131"/>
  <c r="J393" i="131"/>
  <c r="J411" i="131"/>
  <c r="J422" i="131"/>
  <c r="J448" i="131"/>
  <c r="J460" i="131"/>
  <c r="J504" i="131"/>
  <c r="I568" i="131"/>
  <c r="I640" i="131"/>
  <c r="I773" i="131"/>
  <c r="J352" i="131"/>
  <c r="I352" i="131"/>
  <c r="J397" i="131"/>
  <c r="I397" i="131"/>
  <c r="J471" i="131"/>
  <c r="I471" i="131"/>
  <c r="J499" i="131"/>
  <c r="I499" i="131"/>
  <c r="I518" i="131"/>
  <c r="J518" i="131"/>
  <c r="J572" i="131"/>
  <c r="I572" i="131"/>
  <c r="J644" i="131"/>
  <c r="I644" i="131"/>
  <c r="J648" i="131"/>
  <c r="I648" i="131"/>
  <c r="I6" i="131"/>
  <c r="I14" i="131"/>
  <c r="I22" i="131"/>
  <c r="I30" i="131"/>
  <c r="I38" i="131"/>
  <c r="I46" i="131"/>
  <c r="I54" i="131"/>
  <c r="I62" i="131"/>
  <c r="I70" i="131"/>
  <c r="I78" i="131"/>
  <c r="I86" i="131"/>
  <c r="I94" i="131"/>
  <c r="I102" i="131"/>
  <c r="I107" i="131"/>
  <c r="I115" i="131"/>
  <c r="I123" i="131"/>
  <c r="I131" i="131"/>
  <c r="I139" i="131"/>
  <c r="I147" i="131"/>
  <c r="I155" i="131"/>
  <c r="I163" i="131"/>
  <c r="I171" i="131"/>
  <c r="I179" i="131"/>
  <c r="I184" i="131"/>
  <c r="J196" i="131"/>
  <c r="I203" i="131"/>
  <c r="J249" i="131"/>
  <c r="I249" i="131"/>
  <c r="J257" i="131"/>
  <c r="I257" i="131"/>
  <c r="J299" i="131"/>
  <c r="I299" i="131"/>
  <c r="J317" i="131"/>
  <c r="J356" i="131"/>
  <c r="J418" i="131"/>
  <c r="I418" i="131"/>
  <c r="J436" i="131"/>
  <c r="J450" i="131"/>
  <c r="I450" i="131"/>
  <c r="I490" i="131"/>
  <c r="J490" i="131"/>
  <c r="J500" i="131"/>
  <c r="I500" i="131"/>
  <c r="J519" i="131"/>
  <c r="I519" i="131"/>
  <c r="J542" i="131"/>
  <c r="I542" i="131"/>
  <c r="J405" i="131"/>
  <c r="I405" i="131"/>
  <c r="J467" i="131"/>
  <c r="I467" i="131"/>
  <c r="I486" i="131"/>
  <c r="J486" i="131"/>
  <c r="J539" i="131"/>
  <c r="I539" i="131"/>
  <c r="J550" i="131"/>
  <c r="I550" i="131"/>
  <c r="J699" i="131"/>
  <c r="I699" i="131"/>
  <c r="I12" i="131"/>
  <c r="I20" i="131"/>
  <c r="I28" i="131"/>
  <c r="I36" i="131"/>
  <c r="I44" i="131"/>
  <c r="I52" i="131"/>
  <c r="I60" i="131"/>
  <c r="I68" i="131"/>
  <c r="I76" i="131"/>
  <c r="I84" i="131"/>
  <c r="I92" i="131"/>
  <c r="I100" i="131"/>
  <c r="I105" i="131"/>
  <c r="I113" i="131"/>
  <c r="I121" i="131"/>
  <c r="I129" i="131"/>
  <c r="I137" i="131"/>
  <c r="I145" i="131"/>
  <c r="I153" i="131"/>
  <c r="I161" i="131"/>
  <c r="I169" i="131"/>
  <c r="I177" i="131"/>
  <c r="I182" i="131"/>
  <c r="I190" i="131"/>
  <c r="I193" i="131"/>
  <c r="J204" i="131"/>
  <c r="J277" i="131"/>
  <c r="J285" i="131"/>
  <c r="J293" i="131"/>
  <c r="J307" i="131"/>
  <c r="I307" i="131"/>
  <c r="J325" i="131"/>
  <c r="J332" i="131"/>
  <c r="J412" i="131"/>
  <c r="J426" i="131"/>
  <c r="I426" i="131"/>
  <c r="J444" i="131"/>
  <c r="I458" i="131"/>
  <c r="J458" i="131"/>
  <c r="J468" i="131"/>
  <c r="I468" i="131"/>
  <c r="J487" i="131"/>
  <c r="I487" i="131"/>
  <c r="J496" i="131"/>
  <c r="J515" i="131"/>
  <c r="I515" i="131"/>
  <c r="J547" i="131"/>
  <c r="I547" i="131"/>
  <c r="J596" i="131"/>
  <c r="I596" i="131"/>
  <c r="J607" i="131"/>
  <c r="I607" i="131"/>
  <c r="J692" i="131"/>
  <c r="I692" i="131"/>
  <c r="J696" i="131"/>
  <c r="I696" i="131"/>
  <c r="J715" i="131"/>
  <c r="I715" i="131"/>
  <c r="J599" i="131"/>
  <c r="I599" i="131"/>
  <c r="I71" i="131"/>
  <c r="I79" i="131"/>
  <c r="I87" i="131"/>
  <c r="I95" i="131"/>
  <c r="I103" i="131"/>
  <c r="I108" i="131"/>
  <c r="I116" i="131"/>
  <c r="I124" i="131"/>
  <c r="I132" i="131"/>
  <c r="I140" i="131"/>
  <c r="I148" i="131"/>
  <c r="I156" i="131"/>
  <c r="I164" i="131"/>
  <c r="I172" i="131"/>
  <c r="I180" i="131"/>
  <c r="I185" i="131"/>
  <c r="J208" i="131"/>
  <c r="J262" i="131"/>
  <c r="I262" i="131"/>
  <c r="J266" i="131"/>
  <c r="J270" i="131"/>
  <c r="I270" i="131"/>
  <c r="J311" i="131"/>
  <c r="J336" i="131"/>
  <c r="I336" i="131"/>
  <c r="J354" i="131"/>
  <c r="J381" i="131"/>
  <c r="I381" i="131"/>
  <c r="J399" i="131"/>
  <c r="I506" i="131"/>
  <c r="J506" i="131"/>
  <c r="J516" i="131"/>
  <c r="I516" i="131"/>
  <c r="J604" i="131"/>
  <c r="I604" i="131"/>
  <c r="J708" i="131"/>
  <c r="I708" i="131"/>
  <c r="J712" i="131"/>
  <c r="I712" i="131"/>
  <c r="J328" i="131"/>
  <c r="I328" i="131"/>
  <c r="J360" i="131"/>
  <c r="I360" i="131"/>
  <c r="J373" i="131"/>
  <c r="I373" i="131"/>
  <c r="J194" i="131"/>
  <c r="J251" i="131"/>
  <c r="J259" i="131"/>
  <c r="J315" i="131"/>
  <c r="I315" i="131"/>
  <c r="J420" i="131"/>
  <c r="J434" i="131"/>
  <c r="I434" i="131"/>
  <c r="J452" i="131"/>
  <c r="J464" i="131"/>
  <c r="J483" i="131"/>
  <c r="I483" i="131"/>
  <c r="I502" i="131"/>
  <c r="J502" i="131"/>
  <c r="J220" i="131"/>
  <c r="I220" i="131"/>
  <c r="J228" i="131"/>
  <c r="I228" i="131"/>
  <c r="J236" i="131"/>
  <c r="I236" i="131"/>
  <c r="J244" i="131"/>
  <c r="I244" i="131"/>
  <c r="J344" i="131"/>
  <c r="I344" i="131"/>
  <c r="J389" i="131"/>
  <c r="I389" i="131"/>
  <c r="I474" i="131"/>
  <c r="J474" i="131"/>
  <c r="J484" i="131"/>
  <c r="I484" i="131"/>
  <c r="J503" i="131"/>
  <c r="I503" i="131"/>
  <c r="J567" i="131"/>
  <c r="I567" i="131"/>
  <c r="J635" i="131"/>
  <c r="I635" i="131"/>
  <c r="I195" i="131"/>
  <c r="J202" i="131"/>
  <c r="J213" i="131"/>
  <c r="J216" i="131"/>
  <c r="J224" i="131"/>
  <c r="J232" i="131"/>
  <c r="J240" i="131"/>
  <c r="J248" i="131"/>
  <c r="J271" i="131"/>
  <c r="J275" i="131"/>
  <c r="I275" i="131"/>
  <c r="J279" i="131"/>
  <c r="J283" i="131"/>
  <c r="I283" i="131"/>
  <c r="J287" i="131"/>
  <c r="J291" i="131"/>
  <c r="I291" i="131"/>
  <c r="J309" i="131"/>
  <c r="J323" i="131"/>
  <c r="I323" i="131"/>
  <c r="J348" i="131"/>
  <c r="J428" i="131"/>
  <c r="J442" i="131"/>
  <c r="I442" i="131"/>
  <c r="I470" i="131"/>
  <c r="J470" i="131"/>
  <c r="I522" i="131"/>
  <c r="J522" i="131"/>
  <c r="J564" i="131"/>
  <c r="I564" i="131"/>
  <c r="J575" i="131"/>
  <c r="I575" i="131"/>
  <c r="J628" i="131"/>
  <c r="I628" i="131"/>
  <c r="J632" i="131"/>
  <c r="I632" i="131"/>
  <c r="J651" i="131"/>
  <c r="I651" i="131"/>
  <c r="J546" i="131"/>
  <c r="I546" i="131"/>
  <c r="J571" i="131"/>
  <c r="I571" i="131"/>
  <c r="J603" i="131"/>
  <c r="I603" i="131"/>
  <c r="J636" i="131"/>
  <c r="I636" i="131"/>
  <c r="J643" i="131"/>
  <c r="I643" i="131"/>
  <c r="J700" i="131"/>
  <c r="I700" i="131"/>
  <c r="J707" i="131"/>
  <c r="I707" i="131"/>
  <c r="J579" i="131"/>
  <c r="I579" i="131"/>
  <c r="J611" i="131"/>
  <c r="I611" i="131"/>
  <c r="J652" i="131"/>
  <c r="I652" i="131"/>
  <c r="J659" i="131"/>
  <c r="I659" i="131"/>
  <c r="J716" i="131"/>
  <c r="I716" i="131"/>
  <c r="J723" i="131"/>
  <c r="I723" i="131"/>
  <c r="J792" i="131"/>
  <c r="I792" i="131"/>
  <c r="J526" i="131"/>
  <c r="I526" i="131"/>
  <c r="J551" i="131"/>
  <c r="I551" i="131"/>
  <c r="J583" i="131"/>
  <c r="I583" i="131"/>
  <c r="J615" i="131"/>
  <c r="I615" i="131"/>
  <c r="J660" i="131"/>
  <c r="I660" i="131"/>
  <c r="J667" i="131"/>
  <c r="I667" i="131"/>
  <c r="J724" i="131"/>
  <c r="I724" i="131"/>
  <c r="J731" i="131"/>
  <c r="I731" i="131"/>
  <c r="J784" i="131"/>
  <c r="I784" i="131"/>
  <c r="J788" i="131"/>
  <c r="I788" i="131"/>
  <c r="I459" i="131"/>
  <c r="J462" i="131"/>
  <c r="I475" i="131"/>
  <c r="J478" i="131"/>
  <c r="I491" i="131"/>
  <c r="J494" i="131"/>
  <c r="I507" i="131"/>
  <c r="J510" i="131"/>
  <c r="I523" i="131"/>
  <c r="J530" i="131"/>
  <c r="I530" i="131"/>
  <c r="J555" i="131"/>
  <c r="I555" i="131"/>
  <c r="I580" i="131"/>
  <c r="J587" i="131"/>
  <c r="I587" i="131"/>
  <c r="I612" i="131"/>
  <c r="J619" i="131"/>
  <c r="I619" i="131"/>
  <c r="I664" i="131"/>
  <c r="J668" i="131"/>
  <c r="I668" i="131"/>
  <c r="J675" i="131"/>
  <c r="I675" i="131"/>
  <c r="I728" i="131"/>
  <c r="J732" i="131"/>
  <c r="I732" i="131"/>
  <c r="J739" i="131"/>
  <c r="I739" i="131"/>
  <c r="J776" i="131"/>
  <c r="I776" i="131"/>
  <c r="J780" i="131"/>
  <c r="I780" i="131"/>
  <c r="J534" i="131"/>
  <c r="I534" i="131"/>
  <c r="J559" i="131"/>
  <c r="I559" i="131"/>
  <c r="J591" i="131"/>
  <c r="I591" i="131"/>
  <c r="J623" i="131"/>
  <c r="I623" i="131"/>
  <c r="J676" i="131"/>
  <c r="I676" i="131"/>
  <c r="J683" i="131"/>
  <c r="I683" i="131"/>
  <c r="J740" i="131"/>
  <c r="I740" i="131"/>
  <c r="J744" i="131"/>
  <c r="I744" i="131"/>
  <c r="J748" i="131"/>
  <c r="I748" i="131"/>
  <c r="J752" i="131"/>
  <c r="I752" i="131"/>
  <c r="J756" i="131"/>
  <c r="I756" i="131"/>
  <c r="J760" i="131"/>
  <c r="I760" i="131"/>
  <c r="J764" i="131"/>
  <c r="I764" i="131"/>
  <c r="J768" i="131"/>
  <c r="I768" i="131"/>
  <c r="J772" i="131"/>
  <c r="I772" i="131"/>
  <c r="I463" i="131"/>
  <c r="J466" i="131"/>
  <c r="I479" i="131"/>
  <c r="J482" i="131"/>
  <c r="I495" i="131"/>
  <c r="J498" i="131"/>
  <c r="I511" i="131"/>
  <c r="J514" i="131"/>
  <c r="I531" i="131"/>
  <c r="J538" i="131"/>
  <c r="I538" i="131"/>
  <c r="I556" i="131"/>
  <c r="J563" i="131"/>
  <c r="I563" i="131"/>
  <c r="I588" i="131"/>
  <c r="J595" i="131"/>
  <c r="I595" i="131"/>
  <c r="I620" i="131"/>
  <c r="J627" i="131"/>
  <c r="I627" i="131"/>
  <c r="I680" i="131"/>
  <c r="J684" i="131"/>
  <c r="I684" i="131"/>
  <c r="J691" i="131"/>
  <c r="I691" i="131"/>
  <c r="I747" i="131"/>
  <c r="I755" i="131"/>
  <c r="I763" i="131"/>
  <c r="I771" i="131"/>
  <c r="I779" i="131"/>
  <c r="I787" i="131"/>
  <c r="I631" i="131"/>
  <c r="I639" i="131"/>
  <c r="I647" i="131"/>
  <c r="I655" i="131"/>
  <c r="I663" i="131"/>
  <c r="I671" i="131"/>
  <c r="I679" i="131"/>
  <c r="I687" i="131"/>
  <c r="I695" i="131"/>
  <c r="I703" i="131"/>
  <c r="I711" i="131"/>
  <c r="I719" i="131"/>
  <c r="I727" i="131"/>
  <c r="I735" i="131"/>
  <c r="I743" i="131"/>
  <c r="I751" i="131"/>
  <c r="I759" i="131"/>
  <c r="I767" i="131"/>
  <c r="I775" i="131"/>
  <c r="I783" i="131"/>
  <c r="I791" i="131"/>
  <c r="H679" i="128" l="1"/>
  <c r="J679" i="128" s="1"/>
  <c r="H678" i="128"/>
  <c r="I678" i="128" s="1"/>
  <c r="H677" i="128"/>
  <c r="J677" i="128" s="1"/>
  <c r="H676" i="128"/>
  <c r="H675" i="128"/>
  <c r="J675" i="128" s="1"/>
  <c r="H674" i="128"/>
  <c r="J674" i="128" s="1"/>
  <c r="H673" i="128"/>
  <c r="J673" i="128" s="1"/>
  <c r="H672" i="128"/>
  <c r="I672" i="128" s="1"/>
  <c r="H671" i="128"/>
  <c r="J671" i="128" s="1"/>
  <c r="H670" i="128"/>
  <c r="I670" i="128" s="1"/>
  <c r="H669" i="128"/>
  <c r="J669" i="128" s="1"/>
  <c r="H668" i="128"/>
  <c r="H667" i="128"/>
  <c r="J667" i="128" s="1"/>
  <c r="H666" i="128"/>
  <c r="J666" i="128" s="1"/>
  <c r="H665" i="128"/>
  <c r="J665" i="128" s="1"/>
  <c r="H664" i="128"/>
  <c r="H663" i="128"/>
  <c r="J663" i="128" s="1"/>
  <c r="H662" i="128"/>
  <c r="I662" i="128" s="1"/>
  <c r="H661" i="128"/>
  <c r="J661" i="128" s="1"/>
  <c r="H660" i="128"/>
  <c r="H659" i="128"/>
  <c r="J659" i="128" s="1"/>
  <c r="H658" i="128"/>
  <c r="I658" i="128" s="1"/>
  <c r="H657" i="128"/>
  <c r="J657" i="128" s="1"/>
  <c r="J656" i="128"/>
  <c r="H656" i="128"/>
  <c r="I656" i="128" s="1"/>
  <c r="H655" i="128"/>
  <c r="I655" i="128" s="1"/>
  <c r="H654" i="128"/>
  <c r="I654" i="128" s="1"/>
  <c r="H653" i="128"/>
  <c r="J653" i="128" s="1"/>
  <c r="H652" i="128"/>
  <c r="H651" i="128"/>
  <c r="J651" i="128" s="1"/>
  <c r="H650" i="128"/>
  <c r="J650" i="128" s="1"/>
  <c r="H649" i="128"/>
  <c r="J649" i="128" s="1"/>
  <c r="H648" i="128"/>
  <c r="J648" i="128" s="1"/>
  <c r="H647" i="128"/>
  <c r="I647" i="128" s="1"/>
  <c r="H646" i="128"/>
  <c r="I646" i="128" s="1"/>
  <c r="H645" i="128"/>
  <c r="I645" i="128" s="1"/>
  <c r="H644" i="128"/>
  <c r="H643" i="128"/>
  <c r="J643" i="128" s="1"/>
  <c r="H642" i="128"/>
  <c r="J642" i="128" s="1"/>
  <c r="J641" i="128"/>
  <c r="H641" i="128"/>
  <c r="I641" i="128" s="1"/>
  <c r="H640" i="128"/>
  <c r="H639" i="128"/>
  <c r="I639" i="128" s="1"/>
  <c r="H638" i="128"/>
  <c r="I638" i="128" s="1"/>
  <c r="H637" i="128"/>
  <c r="I637" i="128" s="1"/>
  <c r="H636" i="128"/>
  <c r="H635" i="128"/>
  <c r="J635" i="128" s="1"/>
  <c r="H634" i="128"/>
  <c r="J634" i="128" s="1"/>
  <c r="H633" i="128"/>
  <c r="I633" i="128" s="1"/>
  <c r="H632" i="128"/>
  <c r="J632" i="128" s="1"/>
  <c r="H631" i="128"/>
  <c r="I631" i="128" s="1"/>
  <c r="H630" i="128"/>
  <c r="I630" i="128" s="1"/>
  <c r="H629" i="128"/>
  <c r="J629" i="128" s="1"/>
  <c r="H628" i="128"/>
  <c r="H627" i="128"/>
  <c r="J627" i="128" s="1"/>
  <c r="H626" i="128"/>
  <c r="J626" i="128" s="1"/>
  <c r="H625" i="128"/>
  <c r="I625" i="128" s="1"/>
  <c r="H624" i="128"/>
  <c r="J624" i="128" s="1"/>
  <c r="H623" i="128"/>
  <c r="I623" i="128" s="1"/>
  <c r="H622" i="128"/>
  <c r="H621" i="128"/>
  <c r="I621" i="128" s="1"/>
  <c r="H620" i="128"/>
  <c r="H619" i="128"/>
  <c r="H618" i="128"/>
  <c r="J618" i="128" s="1"/>
  <c r="H617" i="128"/>
  <c r="J617" i="128" s="1"/>
  <c r="H616" i="128"/>
  <c r="J616" i="128" s="1"/>
  <c r="H615" i="128"/>
  <c r="I615" i="128" s="1"/>
  <c r="H614" i="128"/>
  <c r="I614" i="128" s="1"/>
  <c r="H613" i="128"/>
  <c r="J613" i="128" s="1"/>
  <c r="H612" i="128"/>
  <c r="H611" i="128"/>
  <c r="J611" i="128" s="1"/>
  <c r="H610" i="128"/>
  <c r="J610" i="128" s="1"/>
  <c r="H609" i="128"/>
  <c r="I609" i="128" s="1"/>
  <c r="H608" i="128"/>
  <c r="H607" i="128"/>
  <c r="I607" i="128" s="1"/>
  <c r="H606" i="128"/>
  <c r="H605" i="128"/>
  <c r="I605" i="128" s="1"/>
  <c r="H604" i="128"/>
  <c r="H603" i="128"/>
  <c r="J603" i="128" s="1"/>
  <c r="H602" i="128"/>
  <c r="J602" i="128" s="1"/>
  <c r="H601" i="128"/>
  <c r="J601" i="128" s="1"/>
  <c r="H600" i="128"/>
  <c r="J600" i="128" s="1"/>
  <c r="H599" i="128"/>
  <c r="I599" i="128" s="1"/>
  <c r="H598" i="128"/>
  <c r="I598" i="128" s="1"/>
  <c r="H597" i="128"/>
  <c r="I597" i="128" s="1"/>
  <c r="H596" i="128"/>
  <c r="H595" i="128"/>
  <c r="J595" i="128" s="1"/>
  <c r="H594" i="128"/>
  <c r="J594" i="128" s="1"/>
  <c r="H593" i="128"/>
  <c r="I593" i="128" s="1"/>
  <c r="H592" i="128"/>
  <c r="J592" i="128" s="1"/>
  <c r="H591" i="128"/>
  <c r="I591" i="128" s="1"/>
  <c r="H590" i="128"/>
  <c r="I590" i="128" s="1"/>
  <c r="H589" i="128"/>
  <c r="I589" i="128" s="1"/>
  <c r="H588" i="128"/>
  <c r="H587" i="128"/>
  <c r="J587" i="128" s="1"/>
  <c r="H586" i="128"/>
  <c r="J586" i="128" s="1"/>
  <c r="H585" i="128"/>
  <c r="I585" i="128" s="1"/>
  <c r="H584" i="128"/>
  <c r="J584" i="128" s="1"/>
  <c r="H583" i="128"/>
  <c r="I583" i="128" s="1"/>
  <c r="H582" i="128"/>
  <c r="I582" i="128" s="1"/>
  <c r="H581" i="128"/>
  <c r="J581" i="128" s="1"/>
  <c r="H580" i="128"/>
  <c r="H579" i="128"/>
  <c r="J579" i="128" s="1"/>
  <c r="H578" i="128"/>
  <c r="I578" i="128" s="1"/>
  <c r="H577" i="128"/>
  <c r="J577" i="128" s="1"/>
  <c r="H576" i="128"/>
  <c r="H575" i="128"/>
  <c r="I575" i="128" s="1"/>
  <c r="H574" i="128"/>
  <c r="I574" i="128" s="1"/>
  <c r="H573" i="128"/>
  <c r="I573" i="128" s="1"/>
  <c r="H572" i="128"/>
  <c r="H571" i="128"/>
  <c r="H570" i="128"/>
  <c r="I570" i="128" s="1"/>
  <c r="H569" i="128"/>
  <c r="I569" i="128" s="1"/>
  <c r="H568" i="128"/>
  <c r="J568" i="128" s="1"/>
  <c r="H567" i="128"/>
  <c r="I567" i="128" s="1"/>
  <c r="H566" i="128"/>
  <c r="I566" i="128" s="1"/>
  <c r="H565" i="128"/>
  <c r="J565" i="128" s="1"/>
  <c r="H564" i="128"/>
  <c r="H563" i="128"/>
  <c r="J563" i="128" s="1"/>
  <c r="H562" i="128"/>
  <c r="J562" i="128" s="1"/>
  <c r="H561" i="128"/>
  <c r="I561" i="128" s="1"/>
  <c r="H560" i="128"/>
  <c r="J560" i="128" s="1"/>
  <c r="H559" i="128"/>
  <c r="I559" i="128" s="1"/>
  <c r="H558" i="128"/>
  <c r="I558" i="128" s="1"/>
  <c r="H557" i="128"/>
  <c r="J557" i="128" s="1"/>
  <c r="H556" i="128"/>
  <c r="H555" i="128"/>
  <c r="H554" i="128"/>
  <c r="I554" i="128" s="1"/>
  <c r="H553" i="128"/>
  <c r="J553" i="128" s="1"/>
  <c r="H552" i="128"/>
  <c r="J552" i="128" s="1"/>
  <c r="H551" i="128"/>
  <c r="I551" i="128" s="1"/>
  <c r="H550" i="128"/>
  <c r="I550" i="128" s="1"/>
  <c r="H549" i="128"/>
  <c r="J549" i="128" s="1"/>
  <c r="H548" i="128"/>
  <c r="H547" i="128"/>
  <c r="J547" i="128" s="1"/>
  <c r="H546" i="128"/>
  <c r="I546" i="128" s="1"/>
  <c r="H545" i="128"/>
  <c r="J545" i="128" s="1"/>
  <c r="H544" i="128"/>
  <c r="J544" i="128" s="1"/>
  <c r="H543" i="128"/>
  <c r="I543" i="128" s="1"/>
  <c r="H542" i="128"/>
  <c r="H541" i="128"/>
  <c r="I541" i="128" s="1"/>
  <c r="H540" i="128"/>
  <c r="H539" i="128"/>
  <c r="J539" i="128" s="1"/>
  <c r="H538" i="128"/>
  <c r="I538" i="128" s="1"/>
  <c r="H537" i="128"/>
  <c r="J537" i="128" s="1"/>
  <c r="H536" i="128"/>
  <c r="J536" i="128" s="1"/>
  <c r="H535" i="128"/>
  <c r="I535" i="128" s="1"/>
  <c r="H534" i="128"/>
  <c r="I534" i="128" s="1"/>
  <c r="H533" i="128"/>
  <c r="J533" i="128" s="1"/>
  <c r="H532" i="128"/>
  <c r="H531" i="128"/>
  <c r="J531" i="128" s="1"/>
  <c r="H530" i="128"/>
  <c r="I530" i="128" s="1"/>
  <c r="H529" i="128"/>
  <c r="J529" i="128" s="1"/>
  <c r="H528" i="128"/>
  <c r="I528" i="128" s="1"/>
  <c r="H527" i="128"/>
  <c r="I527" i="128" s="1"/>
  <c r="H526" i="128"/>
  <c r="I526" i="128" s="1"/>
  <c r="H525" i="128"/>
  <c r="J525" i="128" s="1"/>
  <c r="H524" i="128"/>
  <c r="H523" i="128"/>
  <c r="J523" i="128" s="1"/>
  <c r="H522" i="128"/>
  <c r="I522" i="128" s="1"/>
  <c r="H521" i="128"/>
  <c r="J521" i="128" s="1"/>
  <c r="H520" i="128"/>
  <c r="J520" i="128" s="1"/>
  <c r="H519" i="128"/>
  <c r="I519" i="128" s="1"/>
  <c r="H518" i="128"/>
  <c r="I518" i="128" s="1"/>
  <c r="H517" i="128"/>
  <c r="J517" i="128" s="1"/>
  <c r="H516" i="128"/>
  <c r="H515" i="128"/>
  <c r="J515" i="128" s="1"/>
  <c r="H514" i="128"/>
  <c r="J514" i="128" s="1"/>
  <c r="H513" i="128"/>
  <c r="J513" i="128" s="1"/>
  <c r="H512" i="128"/>
  <c r="H511" i="128"/>
  <c r="I511" i="128" s="1"/>
  <c r="H510" i="128"/>
  <c r="I510" i="128" s="1"/>
  <c r="H509" i="128"/>
  <c r="J509" i="128" s="1"/>
  <c r="H508" i="128"/>
  <c r="H507" i="128"/>
  <c r="J507" i="128" s="1"/>
  <c r="H506" i="128"/>
  <c r="I506" i="128" s="1"/>
  <c r="H505" i="128"/>
  <c r="J505" i="128" s="1"/>
  <c r="H504" i="128"/>
  <c r="H503" i="128"/>
  <c r="I503" i="128" s="1"/>
  <c r="H502" i="128"/>
  <c r="I502" i="128" s="1"/>
  <c r="H501" i="128"/>
  <c r="I501" i="128" s="1"/>
  <c r="H500" i="128"/>
  <c r="H499" i="128"/>
  <c r="J499" i="128" s="1"/>
  <c r="H498" i="128"/>
  <c r="I498" i="128" s="1"/>
  <c r="H497" i="128"/>
  <c r="J497" i="128" s="1"/>
  <c r="H496" i="128"/>
  <c r="J496" i="128" s="1"/>
  <c r="H495" i="128"/>
  <c r="I495" i="128" s="1"/>
  <c r="H494" i="128"/>
  <c r="I494" i="128" s="1"/>
  <c r="H493" i="128"/>
  <c r="J493" i="128" s="1"/>
  <c r="H492" i="128"/>
  <c r="H491" i="128"/>
  <c r="H490" i="128"/>
  <c r="J490" i="128" s="1"/>
  <c r="H489" i="128"/>
  <c r="J489" i="128" s="1"/>
  <c r="H488" i="128"/>
  <c r="J488" i="128" s="1"/>
  <c r="H487" i="128"/>
  <c r="I487" i="128" s="1"/>
  <c r="H486" i="128"/>
  <c r="I486" i="128" s="1"/>
  <c r="I485" i="128"/>
  <c r="H485" i="128"/>
  <c r="J485" i="128" s="1"/>
  <c r="H484" i="128"/>
  <c r="H483" i="128"/>
  <c r="J483" i="128" s="1"/>
  <c r="H482" i="128"/>
  <c r="I482" i="128" s="1"/>
  <c r="H481" i="128"/>
  <c r="J481" i="128" s="1"/>
  <c r="H480" i="128"/>
  <c r="J480" i="128" s="1"/>
  <c r="H479" i="128"/>
  <c r="I479" i="128" s="1"/>
  <c r="H478" i="128"/>
  <c r="H477" i="128"/>
  <c r="J477" i="128" s="1"/>
  <c r="H476" i="128"/>
  <c r="H475" i="128"/>
  <c r="J475" i="128" s="1"/>
  <c r="H474" i="128"/>
  <c r="I474" i="128" s="1"/>
  <c r="H473" i="128"/>
  <c r="J473" i="128" s="1"/>
  <c r="H472" i="128"/>
  <c r="J472" i="128" s="1"/>
  <c r="H471" i="128"/>
  <c r="I471" i="128" s="1"/>
  <c r="H470" i="128"/>
  <c r="I470" i="128" s="1"/>
  <c r="H469" i="128"/>
  <c r="J469" i="128" s="1"/>
  <c r="H468" i="128"/>
  <c r="H467" i="128"/>
  <c r="H466" i="128"/>
  <c r="J466" i="128" s="1"/>
  <c r="H465" i="128"/>
  <c r="J465" i="128" s="1"/>
  <c r="H464" i="128"/>
  <c r="J464" i="128" s="1"/>
  <c r="H463" i="128"/>
  <c r="I463" i="128" s="1"/>
  <c r="H462" i="128"/>
  <c r="I462" i="128" s="1"/>
  <c r="H461" i="128"/>
  <c r="J461" i="128" s="1"/>
  <c r="H460" i="128"/>
  <c r="I459" i="128"/>
  <c r="H459" i="128"/>
  <c r="J459" i="128" s="1"/>
  <c r="H458" i="128"/>
  <c r="J458" i="128" s="1"/>
  <c r="H457" i="128"/>
  <c r="J457" i="128" s="1"/>
  <c r="H456" i="128"/>
  <c r="I456" i="128" s="1"/>
  <c r="H455" i="128"/>
  <c r="I455" i="128" s="1"/>
  <c r="H454" i="128"/>
  <c r="H453" i="128"/>
  <c r="J453" i="128" s="1"/>
  <c r="H452" i="128"/>
  <c r="H451" i="128"/>
  <c r="J451" i="128" s="1"/>
  <c r="H450" i="128"/>
  <c r="J450" i="128" s="1"/>
  <c r="H449" i="128"/>
  <c r="J449" i="128" s="1"/>
  <c r="H448" i="128"/>
  <c r="H447" i="128"/>
  <c r="I447" i="128" s="1"/>
  <c r="H446" i="128"/>
  <c r="I445" i="128"/>
  <c r="H445" i="128"/>
  <c r="J445" i="128" s="1"/>
  <c r="H444" i="128"/>
  <c r="H443" i="128"/>
  <c r="J443" i="128" s="1"/>
  <c r="H442" i="128"/>
  <c r="J442" i="128" s="1"/>
  <c r="H441" i="128"/>
  <c r="J441" i="128" s="1"/>
  <c r="H440" i="128"/>
  <c r="J440" i="128" s="1"/>
  <c r="H439" i="128"/>
  <c r="I439" i="128" s="1"/>
  <c r="H438" i="128"/>
  <c r="I438" i="128" s="1"/>
  <c r="H437" i="128"/>
  <c r="J437" i="128" s="1"/>
  <c r="H436" i="128"/>
  <c r="H435" i="128"/>
  <c r="J435" i="128" s="1"/>
  <c r="H434" i="128"/>
  <c r="J434" i="128" s="1"/>
  <c r="I433" i="128"/>
  <c r="H433" i="128"/>
  <c r="J433" i="128" s="1"/>
  <c r="H432" i="128"/>
  <c r="I432" i="128" s="1"/>
  <c r="H431" i="128"/>
  <c r="I431" i="128" s="1"/>
  <c r="H430" i="128"/>
  <c r="I430" i="128" s="1"/>
  <c r="H429" i="128"/>
  <c r="J429" i="128" s="1"/>
  <c r="H428" i="128"/>
  <c r="H427" i="128"/>
  <c r="H426" i="128"/>
  <c r="J426" i="128" s="1"/>
  <c r="H425" i="128"/>
  <c r="J425" i="128" s="1"/>
  <c r="H424" i="128"/>
  <c r="J424" i="128" s="1"/>
  <c r="H423" i="128"/>
  <c r="I423" i="128" s="1"/>
  <c r="H422" i="128"/>
  <c r="I422" i="128" s="1"/>
  <c r="H421" i="128"/>
  <c r="J421" i="128" s="1"/>
  <c r="H420" i="128"/>
  <c r="H419" i="128"/>
  <c r="J419" i="128" s="1"/>
  <c r="H418" i="128"/>
  <c r="J418" i="128" s="1"/>
  <c r="H417" i="128"/>
  <c r="J417" i="128" s="1"/>
  <c r="H416" i="128"/>
  <c r="I416" i="128" s="1"/>
  <c r="H415" i="128"/>
  <c r="J415" i="128" s="1"/>
  <c r="H414" i="128"/>
  <c r="I414" i="128" s="1"/>
  <c r="H413" i="128"/>
  <c r="J413" i="128" s="1"/>
  <c r="H412" i="128"/>
  <c r="H411" i="128"/>
  <c r="J411" i="128" s="1"/>
  <c r="H410" i="128"/>
  <c r="J410" i="128" s="1"/>
  <c r="H409" i="128"/>
  <c r="J409" i="128" s="1"/>
  <c r="H408" i="128"/>
  <c r="J408" i="128" s="1"/>
  <c r="H407" i="128"/>
  <c r="I407" i="128" s="1"/>
  <c r="H406" i="128"/>
  <c r="H405" i="128"/>
  <c r="J405" i="128" s="1"/>
  <c r="H404" i="128"/>
  <c r="H403" i="128"/>
  <c r="J403" i="128" s="1"/>
  <c r="H402" i="128"/>
  <c r="J402" i="128" s="1"/>
  <c r="H401" i="128"/>
  <c r="J401" i="128" s="1"/>
  <c r="H400" i="128"/>
  <c r="I400" i="128" s="1"/>
  <c r="H399" i="128"/>
  <c r="I399" i="128" s="1"/>
  <c r="H398" i="128"/>
  <c r="I398" i="128" s="1"/>
  <c r="H397" i="128"/>
  <c r="J397" i="128" s="1"/>
  <c r="H396" i="128"/>
  <c r="H395" i="128"/>
  <c r="H394" i="128"/>
  <c r="J394" i="128" s="1"/>
  <c r="H393" i="128"/>
  <c r="J393" i="128" s="1"/>
  <c r="H392" i="128"/>
  <c r="H391" i="128"/>
  <c r="I391" i="128" s="1"/>
  <c r="H390" i="128"/>
  <c r="I390" i="128" s="1"/>
  <c r="H389" i="128"/>
  <c r="J389" i="128" s="1"/>
  <c r="H388" i="128"/>
  <c r="H387" i="128"/>
  <c r="J387" i="128" s="1"/>
  <c r="H386" i="128"/>
  <c r="J386" i="128" s="1"/>
  <c r="H385" i="128"/>
  <c r="J385" i="128" s="1"/>
  <c r="H384" i="128"/>
  <c r="J384" i="128" s="1"/>
  <c r="H383" i="128"/>
  <c r="I383" i="128" s="1"/>
  <c r="H382" i="128"/>
  <c r="I382" i="128" s="1"/>
  <c r="H381" i="128"/>
  <c r="J381" i="128" s="1"/>
  <c r="H380" i="128"/>
  <c r="H379" i="128"/>
  <c r="J378" i="128"/>
  <c r="H378" i="128"/>
  <c r="I378" i="128" s="1"/>
  <c r="H377" i="128"/>
  <c r="J377" i="128" s="1"/>
  <c r="H376" i="128"/>
  <c r="H375" i="128"/>
  <c r="I375" i="128" s="1"/>
  <c r="H374" i="128"/>
  <c r="H373" i="128"/>
  <c r="J373" i="128" s="1"/>
  <c r="H372" i="128"/>
  <c r="H371" i="128"/>
  <c r="J371" i="128" s="1"/>
  <c r="H370" i="128"/>
  <c r="J370" i="128" s="1"/>
  <c r="H369" i="128"/>
  <c r="J369" i="128" s="1"/>
  <c r="H368" i="128"/>
  <c r="I368" i="128" s="1"/>
  <c r="H367" i="128"/>
  <c r="I367" i="128" s="1"/>
  <c r="H366" i="128"/>
  <c r="I366" i="128" s="1"/>
  <c r="J365" i="128"/>
  <c r="H365" i="128"/>
  <c r="I365" i="128" s="1"/>
  <c r="H364" i="128"/>
  <c r="H363" i="128"/>
  <c r="H362" i="128"/>
  <c r="J362" i="128" s="1"/>
  <c r="H361" i="128"/>
  <c r="J361" i="128" s="1"/>
  <c r="H360" i="128"/>
  <c r="H359" i="128"/>
  <c r="I359" i="128" s="1"/>
  <c r="H358" i="128"/>
  <c r="I358" i="128" s="1"/>
  <c r="H357" i="128"/>
  <c r="J357" i="128" s="1"/>
  <c r="H356" i="128"/>
  <c r="H355" i="128"/>
  <c r="J355" i="128" s="1"/>
  <c r="H354" i="128"/>
  <c r="I354" i="128" s="1"/>
  <c r="H353" i="128"/>
  <c r="J353" i="128" s="1"/>
  <c r="H352" i="128"/>
  <c r="J352" i="128" s="1"/>
  <c r="H351" i="128"/>
  <c r="I351" i="128" s="1"/>
  <c r="H350" i="128"/>
  <c r="I350" i="128" s="1"/>
  <c r="H349" i="128"/>
  <c r="J349" i="128" s="1"/>
  <c r="H348" i="128"/>
  <c r="H347" i="128"/>
  <c r="J347" i="128" s="1"/>
  <c r="H346" i="128"/>
  <c r="J346" i="128" s="1"/>
  <c r="H345" i="128"/>
  <c r="J345" i="128" s="1"/>
  <c r="H344" i="128"/>
  <c r="J344" i="128" s="1"/>
  <c r="H343" i="128"/>
  <c r="I343" i="128" s="1"/>
  <c r="H342" i="128"/>
  <c r="J342" i="128" s="1"/>
  <c r="H341" i="128"/>
  <c r="J341" i="128" s="1"/>
  <c r="H340" i="128"/>
  <c r="J340" i="128" s="1"/>
  <c r="H339" i="128"/>
  <c r="I339" i="128" s="1"/>
  <c r="H338" i="128"/>
  <c r="J338" i="128" s="1"/>
  <c r="H337" i="128"/>
  <c r="H336" i="128"/>
  <c r="J336" i="128" s="1"/>
  <c r="H335" i="128"/>
  <c r="I335" i="128" s="1"/>
  <c r="H334" i="128"/>
  <c r="J334" i="128" s="1"/>
  <c r="H333" i="128"/>
  <c r="J333" i="128" s="1"/>
  <c r="H332" i="128"/>
  <c r="J332" i="128" s="1"/>
  <c r="H331" i="128"/>
  <c r="J331" i="128" s="1"/>
  <c r="H330" i="128"/>
  <c r="J330" i="128" s="1"/>
  <c r="H329" i="128"/>
  <c r="H328" i="128"/>
  <c r="J328" i="128" s="1"/>
  <c r="H327" i="128"/>
  <c r="I327" i="128" s="1"/>
  <c r="H326" i="128"/>
  <c r="J326" i="128" s="1"/>
  <c r="H325" i="128"/>
  <c r="I325" i="128" s="1"/>
  <c r="H324" i="128"/>
  <c r="J324" i="128" s="1"/>
  <c r="H323" i="128"/>
  <c r="J323" i="128" s="1"/>
  <c r="H322" i="128"/>
  <c r="J322" i="128" s="1"/>
  <c r="H321" i="128"/>
  <c r="H320" i="128"/>
  <c r="H319" i="128"/>
  <c r="I319" i="128" s="1"/>
  <c r="H318" i="128"/>
  <c r="J318" i="128" s="1"/>
  <c r="H317" i="128"/>
  <c r="J317" i="128" s="1"/>
  <c r="H316" i="128"/>
  <c r="J316" i="128" s="1"/>
  <c r="H315" i="128"/>
  <c r="I315" i="128" s="1"/>
  <c r="H314" i="128"/>
  <c r="J314" i="128" s="1"/>
  <c r="H313" i="128"/>
  <c r="H312" i="128"/>
  <c r="I312" i="128" s="1"/>
  <c r="H311" i="128"/>
  <c r="I311" i="128" s="1"/>
  <c r="H310" i="128"/>
  <c r="J310" i="128" s="1"/>
  <c r="H309" i="128"/>
  <c r="J309" i="128" s="1"/>
  <c r="H308" i="128"/>
  <c r="J308" i="128" s="1"/>
  <c r="H307" i="128"/>
  <c r="J307" i="128" s="1"/>
  <c r="H306" i="128"/>
  <c r="J306" i="128" s="1"/>
  <c r="G306" i="128"/>
  <c r="H305" i="128"/>
  <c r="J305" i="128" s="1"/>
  <c r="H304" i="128"/>
  <c r="H303" i="128"/>
  <c r="J303" i="128" s="1"/>
  <c r="H302" i="128"/>
  <c r="J302" i="128" s="1"/>
  <c r="H301" i="128"/>
  <c r="I301" i="128" s="1"/>
  <c r="H300" i="128"/>
  <c r="H299" i="128"/>
  <c r="I299" i="128" s="1"/>
  <c r="H298" i="128"/>
  <c r="I298" i="128" s="1"/>
  <c r="H297" i="128"/>
  <c r="H296" i="128"/>
  <c r="J296" i="128" s="1"/>
  <c r="G296" i="128"/>
  <c r="H295" i="128"/>
  <c r="H294" i="128"/>
  <c r="H293" i="128"/>
  <c r="I293" i="128" s="1"/>
  <c r="H292" i="128"/>
  <c r="J292" i="128" s="1"/>
  <c r="H291" i="128"/>
  <c r="J291" i="128" s="1"/>
  <c r="H290" i="128"/>
  <c r="J290" i="128" s="1"/>
  <c r="H289" i="128"/>
  <c r="I289" i="128" s="1"/>
  <c r="H288" i="128"/>
  <c r="J288" i="128" s="1"/>
  <c r="H287" i="128"/>
  <c r="H286" i="128"/>
  <c r="I286" i="128" s="1"/>
  <c r="H285" i="128"/>
  <c r="I285" i="128" s="1"/>
  <c r="H284" i="128"/>
  <c r="J284" i="128" s="1"/>
  <c r="H283" i="128"/>
  <c r="J283" i="128" s="1"/>
  <c r="H282" i="128"/>
  <c r="J282" i="128" s="1"/>
  <c r="H281" i="128"/>
  <c r="I281" i="128" s="1"/>
  <c r="H280" i="128"/>
  <c r="J280" i="128" s="1"/>
  <c r="H279" i="128"/>
  <c r="H278" i="128"/>
  <c r="J278" i="128" s="1"/>
  <c r="H277" i="128"/>
  <c r="I277" i="128" s="1"/>
  <c r="H276" i="128"/>
  <c r="J276" i="128" s="1"/>
  <c r="H275" i="128"/>
  <c r="I275" i="128" s="1"/>
  <c r="H274" i="128"/>
  <c r="J274" i="128" s="1"/>
  <c r="H273" i="128"/>
  <c r="H272" i="128"/>
  <c r="I272" i="128" s="1"/>
  <c r="H271" i="128"/>
  <c r="H270" i="128"/>
  <c r="J270" i="128" s="1"/>
  <c r="H269" i="128"/>
  <c r="I269" i="128" s="1"/>
  <c r="H268" i="128"/>
  <c r="J268" i="128" s="1"/>
  <c r="H267" i="128"/>
  <c r="J267" i="128" s="1"/>
  <c r="H266" i="128"/>
  <c r="J266" i="128" s="1"/>
  <c r="H265" i="128"/>
  <c r="J265" i="128" s="1"/>
  <c r="H264" i="128"/>
  <c r="J264" i="128" s="1"/>
  <c r="H263" i="128"/>
  <c r="H262" i="128"/>
  <c r="J262" i="128" s="1"/>
  <c r="H261" i="128"/>
  <c r="J261" i="128" s="1"/>
  <c r="H260" i="128"/>
  <c r="J260" i="128" s="1"/>
  <c r="H259" i="128"/>
  <c r="J259" i="128" s="1"/>
  <c r="H258" i="128"/>
  <c r="I258" i="128" s="1"/>
  <c r="H257" i="128"/>
  <c r="J257" i="128" s="1"/>
  <c r="H256" i="128"/>
  <c r="I256" i="128" s="1"/>
  <c r="H255" i="128"/>
  <c r="H254" i="128"/>
  <c r="J254" i="128" s="1"/>
  <c r="H253" i="128"/>
  <c r="J253" i="128" s="1"/>
  <c r="H252" i="128"/>
  <c r="J252" i="128" s="1"/>
  <c r="H251" i="128"/>
  <c r="J251" i="128" s="1"/>
  <c r="H250" i="128"/>
  <c r="I250" i="128" s="1"/>
  <c r="H249" i="128"/>
  <c r="J249" i="128" s="1"/>
  <c r="H248" i="128"/>
  <c r="I248" i="128" s="1"/>
  <c r="H247" i="128"/>
  <c r="H246" i="128"/>
  <c r="J246" i="128" s="1"/>
  <c r="H245" i="128"/>
  <c r="J245" i="128" s="1"/>
  <c r="H244" i="128"/>
  <c r="J244" i="128" s="1"/>
  <c r="H243" i="128"/>
  <c r="J243" i="128" s="1"/>
  <c r="H242" i="128"/>
  <c r="I242" i="128" s="1"/>
  <c r="H241" i="128"/>
  <c r="J241" i="128" s="1"/>
  <c r="H240" i="128"/>
  <c r="J240" i="128" s="1"/>
  <c r="H239" i="128"/>
  <c r="H238" i="128"/>
  <c r="J238" i="128" s="1"/>
  <c r="H237" i="128"/>
  <c r="I237" i="128" s="1"/>
  <c r="H236" i="128"/>
  <c r="J236" i="128" s="1"/>
  <c r="H235" i="128"/>
  <c r="J235" i="128" s="1"/>
  <c r="H234" i="128"/>
  <c r="I234" i="128" s="1"/>
  <c r="H233" i="128"/>
  <c r="I233" i="128" s="1"/>
  <c r="H232" i="128"/>
  <c r="J232" i="128" s="1"/>
  <c r="H231" i="128"/>
  <c r="H230" i="128"/>
  <c r="J230" i="128" s="1"/>
  <c r="H229" i="128"/>
  <c r="I229" i="128" s="1"/>
  <c r="H228" i="128"/>
  <c r="J228" i="128" s="1"/>
  <c r="H227" i="128"/>
  <c r="J227" i="128" s="1"/>
  <c r="H226" i="128"/>
  <c r="I226" i="128" s="1"/>
  <c r="H225" i="128"/>
  <c r="J225" i="128" s="1"/>
  <c r="H224" i="128"/>
  <c r="I224" i="128" s="1"/>
  <c r="H223" i="128"/>
  <c r="H222" i="128"/>
  <c r="J222" i="128" s="1"/>
  <c r="H221" i="128"/>
  <c r="I221" i="128" s="1"/>
  <c r="H220" i="128"/>
  <c r="J220" i="128" s="1"/>
  <c r="H219" i="128"/>
  <c r="J219" i="128" s="1"/>
  <c r="H218" i="128"/>
  <c r="I218" i="128" s="1"/>
  <c r="H217" i="128"/>
  <c r="J217" i="128" s="1"/>
  <c r="H216" i="128"/>
  <c r="I216" i="128" s="1"/>
  <c r="H215" i="128"/>
  <c r="H214" i="128"/>
  <c r="J214" i="128" s="1"/>
  <c r="H213" i="128"/>
  <c r="J213" i="128" s="1"/>
  <c r="H212" i="128"/>
  <c r="J212" i="128" s="1"/>
  <c r="H211" i="128"/>
  <c r="J211" i="128" s="1"/>
  <c r="H210" i="128"/>
  <c r="I210" i="128" s="1"/>
  <c r="H209" i="128"/>
  <c r="J209" i="128" s="1"/>
  <c r="H208" i="128"/>
  <c r="J208" i="128" s="1"/>
  <c r="H207" i="128"/>
  <c r="H206" i="128"/>
  <c r="J206" i="128" s="1"/>
  <c r="H205" i="128"/>
  <c r="J205" i="128" s="1"/>
  <c r="H204" i="128"/>
  <c r="J204" i="128" s="1"/>
  <c r="H203" i="128"/>
  <c r="J203" i="128" s="1"/>
  <c r="H202" i="128"/>
  <c r="I202" i="128" s="1"/>
  <c r="H201" i="128"/>
  <c r="J201" i="128" s="1"/>
  <c r="H200" i="128"/>
  <c r="J200" i="128" s="1"/>
  <c r="H199" i="128"/>
  <c r="H198" i="128"/>
  <c r="J198" i="128" s="1"/>
  <c r="H197" i="128"/>
  <c r="J197" i="128" s="1"/>
  <c r="H196" i="128"/>
  <c r="J196" i="128" s="1"/>
  <c r="H195" i="128"/>
  <c r="J195" i="128" s="1"/>
  <c r="H194" i="128"/>
  <c r="I194" i="128" s="1"/>
  <c r="H193" i="128"/>
  <c r="J193" i="128" s="1"/>
  <c r="H192" i="128"/>
  <c r="J192" i="128" s="1"/>
  <c r="H191" i="128"/>
  <c r="H190" i="128"/>
  <c r="J190" i="128" s="1"/>
  <c r="H189" i="128"/>
  <c r="J189" i="128" s="1"/>
  <c r="H188" i="128"/>
  <c r="J188" i="128" s="1"/>
  <c r="H187" i="128"/>
  <c r="J187" i="128" s="1"/>
  <c r="H186" i="128"/>
  <c r="I186" i="128" s="1"/>
  <c r="H185" i="128"/>
  <c r="J185" i="128" s="1"/>
  <c r="H184" i="128"/>
  <c r="J184" i="128" s="1"/>
  <c r="H183" i="128"/>
  <c r="H182" i="128"/>
  <c r="J182" i="128" s="1"/>
  <c r="H181" i="128"/>
  <c r="I181" i="128" s="1"/>
  <c r="H180" i="128"/>
  <c r="J180" i="128" s="1"/>
  <c r="H179" i="128"/>
  <c r="J179" i="128" s="1"/>
  <c r="H178" i="128"/>
  <c r="I178" i="128" s="1"/>
  <c r="H177" i="128"/>
  <c r="J177" i="128" s="1"/>
  <c r="H176" i="128"/>
  <c r="I176" i="128" s="1"/>
  <c r="H175" i="128"/>
  <c r="H174" i="128"/>
  <c r="J174" i="128" s="1"/>
  <c r="H173" i="128"/>
  <c r="I173" i="128" s="1"/>
  <c r="H172" i="128"/>
  <c r="J172" i="128" s="1"/>
  <c r="H171" i="128"/>
  <c r="J171" i="128" s="1"/>
  <c r="H170" i="128"/>
  <c r="I170" i="128" s="1"/>
  <c r="H169" i="128"/>
  <c r="I169" i="128" s="1"/>
  <c r="H168" i="128"/>
  <c r="J168" i="128" s="1"/>
  <c r="H167" i="128"/>
  <c r="H166" i="128"/>
  <c r="J166" i="128" s="1"/>
  <c r="H165" i="128"/>
  <c r="J165" i="128" s="1"/>
  <c r="H164" i="128"/>
  <c r="J164" i="128" s="1"/>
  <c r="H163" i="128"/>
  <c r="J163" i="128" s="1"/>
  <c r="H162" i="128"/>
  <c r="I162" i="128" s="1"/>
  <c r="H161" i="128"/>
  <c r="J161" i="128" s="1"/>
  <c r="H160" i="128"/>
  <c r="J160" i="128" s="1"/>
  <c r="H159" i="128"/>
  <c r="H158" i="128"/>
  <c r="J158" i="128" s="1"/>
  <c r="H157" i="128"/>
  <c r="J157" i="128" s="1"/>
  <c r="H156" i="128"/>
  <c r="J156" i="128" s="1"/>
  <c r="H155" i="128"/>
  <c r="J155" i="128" s="1"/>
  <c r="H154" i="128"/>
  <c r="I154" i="128" s="1"/>
  <c r="H153" i="128"/>
  <c r="I153" i="128" s="1"/>
  <c r="H152" i="128"/>
  <c r="J152" i="128" s="1"/>
  <c r="H151" i="128"/>
  <c r="H150" i="128"/>
  <c r="J150" i="128" s="1"/>
  <c r="H149" i="128"/>
  <c r="I149" i="128" s="1"/>
  <c r="H148" i="128"/>
  <c r="J148" i="128" s="1"/>
  <c r="H147" i="128"/>
  <c r="J147" i="128" s="1"/>
  <c r="H146" i="128"/>
  <c r="I146" i="128" s="1"/>
  <c r="G146" i="128"/>
  <c r="H145" i="128"/>
  <c r="J145" i="128" s="1"/>
  <c r="H144" i="128"/>
  <c r="J144" i="128" s="1"/>
  <c r="H143" i="128"/>
  <c r="J143" i="128" s="1"/>
  <c r="H142" i="128"/>
  <c r="J142" i="128" s="1"/>
  <c r="H141" i="128"/>
  <c r="I141" i="128" s="1"/>
  <c r="H140" i="128"/>
  <c r="I140" i="128" s="1"/>
  <c r="H139" i="128"/>
  <c r="J139" i="128" s="1"/>
  <c r="H138" i="128"/>
  <c r="H137" i="128"/>
  <c r="I137" i="128" s="1"/>
  <c r="H136" i="128"/>
  <c r="J136" i="128" s="1"/>
  <c r="H135" i="128"/>
  <c r="J134" i="128"/>
  <c r="H134" i="128"/>
  <c r="I134" i="128" s="1"/>
  <c r="H133" i="128"/>
  <c r="I133" i="128" s="1"/>
  <c r="H132" i="128"/>
  <c r="H131" i="128"/>
  <c r="J131" i="128" s="1"/>
  <c r="H130" i="128"/>
  <c r="H129" i="128"/>
  <c r="J129" i="128" s="1"/>
  <c r="H128" i="128"/>
  <c r="I128" i="128" s="1"/>
  <c r="H127" i="128"/>
  <c r="J127" i="128" s="1"/>
  <c r="H126" i="128"/>
  <c r="J126" i="128" s="1"/>
  <c r="H125" i="128"/>
  <c r="I125" i="128" s="1"/>
  <c r="H124" i="128"/>
  <c r="I124" i="128" s="1"/>
  <c r="H123" i="128"/>
  <c r="J123" i="128" s="1"/>
  <c r="H122" i="128"/>
  <c r="H121" i="128"/>
  <c r="I121" i="128" s="1"/>
  <c r="H120" i="128"/>
  <c r="I120" i="128" s="1"/>
  <c r="H119" i="128"/>
  <c r="H118" i="128"/>
  <c r="J118" i="128" s="1"/>
  <c r="H117" i="128"/>
  <c r="I117" i="128" s="1"/>
  <c r="H116" i="128"/>
  <c r="H115" i="128"/>
  <c r="J115" i="128" s="1"/>
  <c r="H114" i="128"/>
  <c r="H113" i="128"/>
  <c r="J113" i="128" s="1"/>
  <c r="H112" i="128"/>
  <c r="J112" i="128" s="1"/>
  <c r="H111" i="128"/>
  <c r="J111" i="128" s="1"/>
  <c r="H110" i="128"/>
  <c r="J110" i="128" s="1"/>
  <c r="H109" i="128"/>
  <c r="I109" i="128" s="1"/>
  <c r="H108" i="128"/>
  <c r="I108" i="128" s="1"/>
  <c r="H107" i="128"/>
  <c r="J107" i="128" s="1"/>
  <c r="H106" i="128"/>
  <c r="H105" i="128"/>
  <c r="I105" i="128" s="1"/>
  <c r="H104" i="128"/>
  <c r="I104" i="128" s="1"/>
  <c r="H103" i="128"/>
  <c r="H102" i="128"/>
  <c r="I102" i="128" s="1"/>
  <c r="H101" i="128"/>
  <c r="J101" i="128" s="1"/>
  <c r="H100" i="128"/>
  <c r="J100" i="128" s="1"/>
  <c r="H99" i="128"/>
  <c r="I99" i="128" s="1"/>
  <c r="H98" i="128"/>
  <c r="J98" i="128" s="1"/>
  <c r="H97" i="128"/>
  <c r="J97" i="128" s="1"/>
  <c r="H96" i="128"/>
  <c r="J96" i="128" s="1"/>
  <c r="H95" i="128"/>
  <c r="H94" i="128"/>
  <c r="I94" i="128" s="1"/>
  <c r="H93" i="128"/>
  <c r="J93" i="128" s="1"/>
  <c r="H92" i="128"/>
  <c r="J92" i="128" s="1"/>
  <c r="H91" i="128"/>
  <c r="I91" i="128" s="1"/>
  <c r="H90" i="128"/>
  <c r="J90" i="128" s="1"/>
  <c r="H89" i="128"/>
  <c r="J89" i="128" s="1"/>
  <c r="H88" i="128"/>
  <c r="J88" i="128" s="1"/>
  <c r="H87" i="128"/>
  <c r="H86" i="128"/>
  <c r="I86" i="128" s="1"/>
  <c r="H85" i="128"/>
  <c r="J85" i="128" s="1"/>
  <c r="H84" i="128"/>
  <c r="J84" i="128" s="1"/>
  <c r="H83" i="128"/>
  <c r="I83" i="128" s="1"/>
  <c r="H82" i="128"/>
  <c r="J82" i="128" s="1"/>
  <c r="H81" i="128"/>
  <c r="J81" i="128" s="1"/>
  <c r="H80" i="128"/>
  <c r="J80" i="128" s="1"/>
  <c r="H79" i="128"/>
  <c r="H78" i="128"/>
  <c r="J78" i="128" s="1"/>
  <c r="H77" i="128"/>
  <c r="J77" i="128" s="1"/>
  <c r="H76" i="128"/>
  <c r="J76" i="128" s="1"/>
  <c r="H75" i="128"/>
  <c r="I75" i="128" s="1"/>
  <c r="H74" i="128"/>
  <c r="J74" i="128" s="1"/>
  <c r="H73" i="128"/>
  <c r="J73" i="128" s="1"/>
  <c r="H72" i="128"/>
  <c r="J72" i="128" s="1"/>
  <c r="H71" i="128"/>
  <c r="H70" i="128"/>
  <c r="J70" i="128" s="1"/>
  <c r="H69" i="128"/>
  <c r="J69" i="128" s="1"/>
  <c r="H68" i="128"/>
  <c r="J68" i="128" s="1"/>
  <c r="H67" i="128"/>
  <c r="I67" i="128" s="1"/>
  <c r="H66" i="128"/>
  <c r="J66" i="128" s="1"/>
  <c r="H65" i="128"/>
  <c r="J65" i="128" s="1"/>
  <c r="H64" i="128"/>
  <c r="J64" i="128" s="1"/>
  <c r="H63" i="128"/>
  <c r="G63" i="128"/>
  <c r="H62" i="128"/>
  <c r="I62" i="128" s="1"/>
  <c r="H61" i="128"/>
  <c r="J61" i="128" s="1"/>
  <c r="H60" i="128"/>
  <c r="J60" i="128" s="1"/>
  <c r="H59" i="128"/>
  <c r="J59" i="128" s="1"/>
  <c r="H58" i="128"/>
  <c r="H57" i="128"/>
  <c r="J57" i="128" s="1"/>
  <c r="H56" i="128"/>
  <c r="J56" i="128" s="1"/>
  <c r="H55" i="128"/>
  <c r="J55" i="128" s="1"/>
  <c r="H54" i="128"/>
  <c r="I54" i="128" s="1"/>
  <c r="H53" i="128"/>
  <c r="J53" i="128" s="1"/>
  <c r="H52" i="128"/>
  <c r="I52" i="128" s="1"/>
  <c r="H51" i="128"/>
  <c r="J51" i="128" s="1"/>
  <c r="H50" i="128"/>
  <c r="H49" i="128"/>
  <c r="J49" i="128" s="1"/>
  <c r="H48" i="128"/>
  <c r="J48" i="128" s="1"/>
  <c r="H47" i="128"/>
  <c r="J47" i="128" s="1"/>
  <c r="H46" i="128"/>
  <c r="I46" i="128" s="1"/>
  <c r="H45" i="128"/>
  <c r="H44" i="128"/>
  <c r="I44" i="128" s="1"/>
  <c r="H43" i="128"/>
  <c r="J43" i="128" s="1"/>
  <c r="H42" i="128"/>
  <c r="J42" i="128" s="1"/>
  <c r="H41" i="128"/>
  <c r="J41" i="128" s="1"/>
  <c r="H40" i="128"/>
  <c r="J40" i="128" s="1"/>
  <c r="H39" i="128"/>
  <c r="J39" i="128" s="1"/>
  <c r="H38" i="128"/>
  <c r="I38" i="128" s="1"/>
  <c r="H37" i="128"/>
  <c r="H36" i="128"/>
  <c r="J36" i="128" s="1"/>
  <c r="H35" i="128"/>
  <c r="J35" i="128" s="1"/>
  <c r="H34" i="128"/>
  <c r="J34" i="128" s="1"/>
  <c r="H33" i="128"/>
  <c r="J33" i="128" s="1"/>
  <c r="H32" i="128"/>
  <c r="I32" i="128" s="1"/>
  <c r="H31" i="128"/>
  <c r="J31" i="128" s="1"/>
  <c r="J30" i="128"/>
  <c r="H30" i="128"/>
  <c r="I30" i="128" s="1"/>
  <c r="H29" i="128"/>
  <c r="H28" i="128"/>
  <c r="I28" i="128" s="1"/>
  <c r="H27" i="128"/>
  <c r="J27" i="128" s="1"/>
  <c r="H26" i="128"/>
  <c r="J26" i="128" s="1"/>
  <c r="H25" i="128"/>
  <c r="I25" i="128" s="1"/>
  <c r="H24" i="128"/>
  <c r="J24" i="128" s="1"/>
  <c r="H23" i="128"/>
  <c r="J23" i="128" s="1"/>
  <c r="H22" i="128"/>
  <c r="I22" i="128" s="1"/>
  <c r="H21" i="128"/>
  <c r="H20" i="128"/>
  <c r="J20" i="128" s="1"/>
  <c r="H19" i="128"/>
  <c r="J19" i="128" s="1"/>
  <c r="H18" i="128"/>
  <c r="J18" i="128" s="1"/>
  <c r="H17" i="128"/>
  <c r="J17" i="128" s="1"/>
  <c r="H16" i="128"/>
  <c r="J16" i="128" s="1"/>
  <c r="H15" i="128"/>
  <c r="J15" i="128" s="1"/>
  <c r="H14" i="128"/>
  <c r="I14" i="128" s="1"/>
  <c r="H13" i="128"/>
  <c r="J12" i="128"/>
  <c r="H12" i="128"/>
  <c r="I12" i="128" s="1"/>
  <c r="H11" i="128"/>
  <c r="J11" i="128" s="1"/>
  <c r="H10" i="128"/>
  <c r="J10" i="128" s="1"/>
  <c r="J9" i="128"/>
  <c r="I9" i="128"/>
  <c r="H9" i="128"/>
  <c r="H8" i="128"/>
  <c r="J8" i="128" s="1"/>
  <c r="H7" i="128"/>
  <c r="J7" i="128" s="1"/>
  <c r="H6" i="128"/>
  <c r="I6" i="128" s="1"/>
  <c r="H5" i="128"/>
  <c r="G3" i="128"/>
  <c r="G1" i="128" s="1"/>
  <c r="J221" i="128" l="1"/>
  <c r="I276" i="128"/>
  <c r="J559" i="128"/>
  <c r="I565" i="128"/>
  <c r="I369" i="128"/>
  <c r="J621" i="128"/>
  <c r="J91" i="128"/>
  <c r="I539" i="128"/>
  <c r="J561" i="128"/>
  <c r="J359" i="128"/>
  <c r="I457" i="128"/>
  <c r="J570" i="128"/>
  <c r="J120" i="128"/>
  <c r="J482" i="128"/>
  <c r="I115" i="128"/>
  <c r="I403" i="128"/>
  <c r="I441" i="128"/>
  <c r="J506" i="128"/>
  <c r="J672" i="128"/>
  <c r="J605" i="128"/>
  <c r="J38" i="128"/>
  <c r="J154" i="128"/>
  <c r="J391" i="128"/>
  <c r="I112" i="128"/>
  <c r="I370" i="128"/>
  <c r="I473" i="128"/>
  <c r="J128" i="128"/>
  <c r="J176" i="128"/>
  <c r="I213" i="128"/>
  <c r="J149" i="128"/>
  <c r="I331" i="128"/>
  <c r="J354" i="128"/>
  <c r="I20" i="128"/>
  <c r="I33" i="128"/>
  <c r="I97" i="128"/>
  <c r="J137" i="128"/>
  <c r="I157" i="128"/>
  <c r="J289" i="128"/>
  <c r="I362" i="128"/>
  <c r="I373" i="128"/>
  <c r="J462" i="128"/>
  <c r="I490" i="128"/>
  <c r="J589" i="128"/>
  <c r="J623" i="128"/>
  <c r="I629" i="128"/>
  <c r="J105" i="128"/>
  <c r="J658" i="128"/>
  <c r="I57" i="128"/>
  <c r="I78" i="128"/>
  <c r="I189" i="128"/>
  <c r="J224" i="128"/>
  <c r="I381" i="128"/>
  <c r="I394" i="128"/>
  <c r="J431" i="128"/>
  <c r="J522" i="128"/>
  <c r="I586" i="128"/>
  <c r="J591" i="128"/>
  <c r="I613" i="128"/>
  <c r="I7" i="128"/>
  <c r="J256" i="128"/>
  <c r="J286" i="128"/>
  <c r="I322" i="128"/>
  <c r="I626" i="128"/>
  <c r="I314" i="128"/>
  <c r="J343" i="128"/>
  <c r="I361" i="128"/>
  <c r="I458" i="128"/>
  <c r="J583" i="128"/>
  <c r="J597" i="128"/>
  <c r="I648" i="128"/>
  <c r="I70" i="128"/>
  <c r="J102" i="128"/>
  <c r="J153" i="128"/>
  <c r="J248" i="128"/>
  <c r="I267" i="128"/>
  <c r="J272" i="128"/>
  <c r="I290" i="128"/>
  <c r="I296" i="128"/>
  <c r="I332" i="128"/>
  <c r="J351" i="128"/>
  <c r="J366" i="128"/>
  <c r="J400" i="128"/>
  <c r="I419" i="128"/>
  <c r="J432" i="128"/>
  <c r="I442" i="128"/>
  <c r="J447" i="128"/>
  <c r="J463" i="128"/>
  <c r="I481" i="128"/>
  <c r="J486" i="128"/>
  <c r="J511" i="128"/>
  <c r="J538" i="128"/>
  <c r="I562" i="128"/>
  <c r="J609" i="128"/>
  <c r="J625" i="128"/>
  <c r="J655" i="128"/>
  <c r="J141" i="128"/>
  <c r="I435" i="128"/>
  <c r="J474" i="128"/>
  <c r="J498" i="128"/>
  <c r="J530" i="128"/>
  <c r="I659" i="128"/>
  <c r="I17" i="128"/>
  <c r="I34" i="128"/>
  <c r="I47" i="128"/>
  <c r="J83" i="128"/>
  <c r="I172" i="128"/>
  <c r="I185" i="128"/>
  <c r="J229" i="128"/>
  <c r="I303" i="128"/>
  <c r="J339" i="128"/>
  <c r="I357" i="128"/>
  <c r="J455" i="128"/>
  <c r="I475" i="128"/>
  <c r="I499" i="128"/>
  <c r="J567" i="128"/>
  <c r="J578" i="128"/>
  <c r="I584" i="128"/>
  <c r="J593" i="128"/>
  <c r="J637" i="128"/>
  <c r="J52" i="128"/>
  <c r="J124" i="128"/>
  <c r="J216" i="128"/>
  <c r="I42" i="128"/>
  <c r="I55" i="128"/>
  <c r="I60" i="128"/>
  <c r="I168" i="128"/>
  <c r="I208" i="128"/>
  <c r="J237" i="128"/>
  <c r="I264" i="128"/>
  <c r="I268" i="128"/>
  <c r="I316" i="128"/>
  <c r="I340" i="128"/>
  <c r="I397" i="128"/>
  <c r="I402" i="128"/>
  <c r="J456" i="128"/>
  <c r="J546" i="128"/>
  <c r="J573" i="128"/>
  <c r="J585" i="128"/>
  <c r="I594" i="128"/>
  <c r="I617" i="128"/>
  <c r="J645" i="128"/>
  <c r="J277" i="128"/>
  <c r="J25" i="128"/>
  <c r="I92" i="128"/>
  <c r="J181" i="128"/>
  <c r="I225" i="128"/>
  <c r="J281" i="128"/>
  <c r="J312" i="128"/>
  <c r="I330" i="128"/>
  <c r="J335" i="128"/>
  <c r="I434" i="128"/>
  <c r="I466" i="128"/>
  <c r="J501" i="128"/>
  <c r="I514" i="128"/>
  <c r="J554" i="128"/>
  <c r="I560" i="128"/>
  <c r="J569" i="128"/>
  <c r="J590" i="128"/>
  <c r="I601" i="128"/>
  <c r="J633" i="128"/>
  <c r="J234" i="128"/>
  <c r="I409" i="128"/>
  <c r="J423" i="128"/>
  <c r="J541" i="128"/>
  <c r="J117" i="128"/>
  <c r="J125" i="128"/>
  <c r="I240" i="128"/>
  <c r="I244" i="128"/>
  <c r="I31" i="128"/>
  <c r="I131" i="128"/>
  <c r="J6" i="128"/>
  <c r="I10" i="128"/>
  <c r="I36" i="128"/>
  <c r="J44" i="128"/>
  <c r="I49" i="128"/>
  <c r="J28" i="128"/>
  <c r="J86" i="128"/>
  <c r="J46" i="128"/>
  <c r="I65" i="128"/>
  <c r="J133" i="128"/>
  <c r="J140" i="128"/>
  <c r="J162" i="128"/>
  <c r="J194" i="128"/>
  <c r="I198" i="128"/>
  <c r="J202" i="128"/>
  <c r="I212" i="128"/>
  <c r="J233" i="128"/>
  <c r="J242" i="128"/>
  <c r="J250" i="128"/>
  <c r="J258" i="128"/>
  <c r="J299" i="128"/>
  <c r="I308" i="128"/>
  <c r="J327" i="128"/>
  <c r="J368" i="128"/>
  <c r="I377" i="128"/>
  <c r="I386" i="128"/>
  <c r="J390" i="128"/>
  <c r="J399" i="128"/>
  <c r="I26" i="128"/>
  <c r="J62" i="128"/>
  <c r="J407" i="128"/>
  <c r="J416" i="128"/>
  <c r="J439" i="128"/>
  <c r="J471" i="128"/>
  <c r="J479" i="128"/>
  <c r="J487" i="128"/>
  <c r="J495" i="128"/>
  <c r="J519" i="128"/>
  <c r="J526" i="128"/>
  <c r="J534" i="128"/>
  <c r="J550" i="128"/>
  <c r="I675" i="128"/>
  <c r="J319" i="128"/>
  <c r="I324" i="128"/>
  <c r="I333" i="128"/>
  <c r="I338" i="128"/>
  <c r="I341" i="128"/>
  <c r="I346" i="128"/>
  <c r="J383" i="128"/>
  <c r="I413" i="128"/>
  <c r="I417" i="128"/>
  <c r="I421" i="128"/>
  <c r="I425" i="128"/>
  <c r="I429" i="128"/>
  <c r="I449" i="128"/>
  <c r="I453" i="128"/>
  <c r="I488" i="128"/>
  <c r="I496" i="128"/>
  <c r="J503" i="128"/>
  <c r="I520" i="128"/>
  <c r="J527" i="128"/>
  <c r="J535" i="128"/>
  <c r="J543" i="128"/>
  <c r="J551" i="128"/>
  <c r="J575" i="128"/>
  <c r="I602" i="128"/>
  <c r="I610" i="128"/>
  <c r="J614" i="128"/>
  <c r="I618" i="128"/>
  <c r="I649" i="128"/>
  <c r="I653" i="128"/>
  <c r="I665" i="128"/>
  <c r="I669" i="128"/>
  <c r="I673" i="128"/>
  <c r="I39" i="128"/>
  <c r="I200" i="128"/>
  <c r="I252" i="128"/>
  <c r="I18" i="128"/>
  <c r="I152" i="128"/>
  <c r="I160" i="128"/>
  <c r="I165" i="128"/>
  <c r="J169" i="128"/>
  <c r="J173" i="128"/>
  <c r="J178" i="128"/>
  <c r="I192" i="128"/>
  <c r="I205" i="128"/>
  <c r="J269" i="128"/>
  <c r="I288" i="128"/>
  <c r="J301" i="128"/>
  <c r="I306" i="128"/>
  <c r="J311" i="128"/>
  <c r="I634" i="128"/>
  <c r="J638" i="128"/>
  <c r="I642" i="128"/>
  <c r="J646" i="128"/>
  <c r="I657" i="128"/>
  <c r="I677" i="128"/>
  <c r="J94" i="128"/>
  <c r="I197" i="128"/>
  <c r="J210" i="128"/>
  <c r="I214" i="128"/>
  <c r="J218" i="128"/>
  <c r="I232" i="128"/>
  <c r="I245" i="128"/>
  <c r="I249" i="128"/>
  <c r="I253" i="128"/>
  <c r="I257" i="128"/>
  <c r="I261" i="128"/>
  <c r="J275" i="128"/>
  <c r="I280" i="128"/>
  <c r="J293" i="128"/>
  <c r="J315" i="128"/>
  <c r="J325" i="128"/>
  <c r="I334" i="128"/>
  <c r="I342" i="128"/>
  <c r="I353" i="128"/>
  <c r="J375" i="128"/>
  <c r="I389" i="128"/>
  <c r="I393" i="128"/>
  <c r="I401" i="128"/>
  <c r="I405" i="128"/>
  <c r="I418" i="128"/>
  <c r="I437" i="128"/>
  <c r="I461" i="128"/>
  <c r="I465" i="128"/>
  <c r="I469" i="128"/>
  <c r="I477" i="128"/>
  <c r="I489" i="128"/>
  <c r="I493" i="128"/>
  <c r="I513" i="128"/>
  <c r="I517" i="128"/>
  <c r="I563" i="128"/>
  <c r="J599" i="128"/>
  <c r="J607" i="128"/>
  <c r="J615" i="128"/>
  <c r="I661" i="128"/>
  <c r="J22" i="128"/>
  <c r="J67" i="128"/>
  <c r="J146" i="128"/>
  <c r="I182" i="128"/>
  <c r="I196" i="128"/>
  <c r="I260" i="128"/>
  <c r="J104" i="128"/>
  <c r="I118" i="128"/>
  <c r="J121" i="128"/>
  <c r="I139" i="128"/>
  <c r="I156" i="128"/>
  <c r="I15" i="128"/>
  <c r="I41" i="128"/>
  <c r="J75" i="128"/>
  <c r="J109" i="128"/>
  <c r="I136" i="128"/>
  <c r="I144" i="128"/>
  <c r="J170" i="128"/>
  <c r="I184" i="128"/>
  <c r="I201" i="128"/>
  <c r="I228" i="128"/>
  <c r="I241" i="128"/>
  <c r="J285" i="128"/>
  <c r="J298" i="128"/>
  <c r="J367" i="128"/>
  <c r="I385" i="128"/>
  <c r="I410" i="128"/>
  <c r="J414" i="128"/>
  <c r="J422" i="128"/>
  <c r="I426" i="128"/>
  <c r="I450" i="128"/>
  <c r="I497" i="128"/>
  <c r="I505" i="128"/>
  <c r="I509" i="128"/>
  <c r="I521" i="128"/>
  <c r="I525" i="128"/>
  <c r="I529" i="128"/>
  <c r="I533" i="128"/>
  <c r="I537" i="128"/>
  <c r="I545" i="128"/>
  <c r="I549" i="128"/>
  <c r="I553" i="128"/>
  <c r="I557" i="128"/>
  <c r="I577" i="128"/>
  <c r="I581" i="128"/>
  <c r="I592" i="128"/>
  <c r="I603" i="128"/>
  <c r="I624" i="128"/>
  <c r="J631" i="128"/>
  <c r="J639" i="128"/>
  <c r="J647" i="128"/>
  <c r="I650" i="128"/>
  <c r="J654" i="128"/>
  <c r="I666" i="128"/>
  <c r="I674" i="128"/>
  <c r="I84" i="128"/>
  <c r="I89" i="128"/>
  <c r="J186" i="128"/>
  <c r="I217" i="128"/>
  <c r="J226" i="128"/>
  <c r="J14" i="128"/>
  <c r="J99" i="128"/>
  <c r="J108" i="128"/>
  <c r="I23" i="128"/>
  <c r="J54" i="128"/>
  <c r="I627" i="128"/>
  <c r="I116" i="128"/>
  <c r="J116" i="128"/>
  <c r="I446" i="128"/>
  <c r="J446" i="128"/>
  <c r="I166" i="128"/>
  <c r="J223" i="128"/>
  <c r="I223" i="128"/>
  <c r="I304" i="128"/>
  <c r="J304" i="128"/>
  <c r="I21" i="128"/>
  <c r="J21" i="128"/>
  <c r="I81" i="128"/>
  <c r="I227" i="128"/>
  <c r="J239" i="128"/>
  <c r="I239" i="128"/>
  <c r="I246" i="128"/>
  <c r="I265" i="128"/>
  <c r="J427" i="128"/>
  <c r="I427" i="128"/>
  <c r="J676" i="128"/>
  <c r="I676" i="128"/>
  <c r="J63" i="128"/>
  <c r="I63" i="128"/>
  <c r="J135" i="128"/>
  <c r="I135" i="128"/>
  <c r="J159" i="128"/>
  <c r="I159" i="128"/>
  <c r="J255" i="128"/>
  <c r="I255" i="128"/>
  <c r="I283" i="128"/>
  <c r="I309" i="128"/>
  <c r="I326" i="128"/>
  <c r="I478" i="128"/>
  <c r="J478" i="128"/>
  <c r="I608" i="128"/>
  <c r="J608" i="128"/>
  <c r="I50" i="128"/>
  <c r="J50" i="128"/>
  <c r="I68" i="128"/>
  <c r="I73" i="128"/>
  <c r="I100" i="128"/>
  <c r="I147" i="128"/>
  <c r="I188" i="128"/>
  <c r="I204" i="128"/>
  <c r="I220" i="128"/>
  <c r="I262" i="128"/>
  <c r="J379" i="128"/>
  <c r="I379" i="128"/>
  <c r="J528" i="128"/>
  <c r="I531" i="128"/>
  <c r="J574" i="128"/>
  <c r="J582" i="128"/>
  <c r="J106" i="128"/>
  <c r="I106" i="128"/>
  <c r="I406" i="128"/>
  <c r="J406" i="128"/>
  <c r="I71" i="128"/>
  <c r="J71" i="128"/>
  <c r="J191" i="128"/>
  <c r="I191" i="128"/>
  <c r="I195" i="128"/>
  <c r="J664" i="128"/>
  <c r="I664" i="128"/>
  <c r="J5" i="128"/>
  <c r="I5" i="128"/>
  <c r="J37" i="128"/>
  <c r="I37" i="128"/>
  <c r="I58" i="128"/>
  <c r="J58" i="128"/>
  <c r="I150" i="128"/>
  <c r="I179" i="128"/>
  <c r="J279" i="128"/>
  <c r="I279" i="128"/>
  <c r="J300" i="128"/>
  <c r="I300" i="128"/>
  <c r="I163" i="128"/>
  <c r="J313" i="128"/>
  <c r="I313" i="128"/>
  <c r="I424" i="128"/>
  <c r="J470" i="128"/>
  <c r="I595" i="128"/>
  <c r="J87" i="128"/>
  <c r="I87" i="128"/>
  <c r="J122" i="128"/>
  <c r="I122" i="128"/>
  <c r="J132" i="128"/>
  <c r="I132" i="128"/>
  <c r="I236" i="128"/>
  <c r="I259" i="128"/>
  <c r="J297" i="128"/>
  <c r="I297" i="128"/>
  <c r="I323" i="128"/>
  <c r="J358" i="128"/>
  <c r="J460" i="128"/>
  <c r="I460" i="128"/>
  <c r="J467" i="128"/>
  <c r="I467" i="128"/>
  <c r="J510" i="128"/>
  <c r="J518" i="128"/>
  <c r="J628" i="128"/>
  <c r="I628" i="128"/>
  <c r="I632" i="128"/>
  <c r="J207" i="128"/>
  <c r="I207" i="128"/>
  <c r="I211" i="128"/>
  <c r="I230" i="128"/>
  <c r="I336" i="128"/>
  <c r="J363" i="128"/>
  <c r="I363" i="128"/>
  <c r="J376" i="128"/>
  <c r="I376" i="128"/>
  <c r="I464" i="128"/>
  <c r="J571" i="128"/>
  <c r="I571" i="128"/>
  <c r="I635" i="128"/>
  <c r="I504" i="128"/>
  <c r="J504" i="128"/>
  <c r="J103" i="128"/>
  <c r="I103" i="128"/>
  <c r="I273" i="128"/>
  <c r="J273" i="128"/>
  <c r="I13" i="128"/>
  <c r="J13" i="128"/>
  <c r="J29" i="128"/>
  <c r="I29" i="128"/>
  <c r="J45" i="128"/>
  <c r="I45" i="128"/>
  <c r="I76" i="128"/>
  <c r="J138" i="128"/>
  <c r="I138" i="128"/>
  <c r="J175" i="128"/>
  <c r="I175" i="128"/>
  <c r="J420" i="128"/>
  <c r="I420" i="128"/>
  <c r="J524" i="128"/>
  <c r="I524" i="128"/>
  <c r="I542" i="128"/>
  <c r="J542" i="128"/>
  <c r="I95" i="128"/>
  <c r="J95" i="128"/>
  <c r="I243" i="128"/>
  <c r="J287" i="128"/>
  <c r="I287" i="128"/>
  <c r="J119" i="128"/>
  <c r="I119" i="128"/>
  <c r="I79" i="128"/>
  <c r="J79" i="128"/>
  <c r="I294" i="128"/>
  <c r="J294" i="128"/>
  <c r="I320" i="128"/>
  <c r="J320" i="128"/>
  <c r="J329" i="128"/>
  <c r="I329" i="128"/>
  <c r="J398" i="128"/>
  <c r="I454" i="128"/>
  <c r="J454" i="128"/>
  <c r="J564" i="128"/>
  <c r="I564" i="128"/>
  <c r="I568" i="128"/>
  <c r="I622" i="128"/>
  <c r="J622" i="128"/>
  <c r="J372" i="128"/>
  <c r="I372" i="128"/>
  <c r="J636" i="128"/>
  <c r="I636" i="128"/>
  <c r="J640" i="128"/>
  <c r="I640" i="128"/>
  <c r="I53" i="128"/>
  <c r="I61" i="128"/>
  <c r="I66" i="128"/>
  <c r="I74" i="128"/>
  <c r="I82" i="128"/>
  <c r="I90" i="128"/>
  <c r="I98" i="128"/>
  <c r="I107" i="128"/>
  <c r="I110" i="128"/>
  <c r="I113" i="128"/>
  <c r="I123" i="128"/>
  <c r="I126" i="128"/>
  <c r="I129" i="128"/>
  <c r="I142" i="128"/>
  <c r="I145" i="128"/>
  <c r="J151" i="128"/>
  <c r="I151" i="128"/>
  <c r="J167" i="128"/>
  <c r="I167" i="128"/>
  <c r="J183" i="128"/>
  <c r="I183" i="128"/>
  <c r="J199" i="128"/>
  <c r="I199" i="128"/>
  <c r="J215" i="128"/>
  <c r="I215" i="128"/>
  <c r="J231" i="128"/>
  <c r="I231" i="128"/>
  <c r="J247" i="128"/>
  <c r="I247" i="128"/>
  <c r="J263" i="128"/>
  <c r="I263" i="128"/>
  <c r="I270" i="128"/>
  <c r="I284" i="128"/>
  <c r="I291" i="128"/>
  <c r="I307" i="128"/>
  <c r="I310" i="128"/>
  <c r="I317" i="128"/>
  <c r="I344" i="128"/>
  <c r="I347" i="128"/>
  <c r="I352" i="128"/>
  <c r="I355" i="128"/>
  <c r="J360" i="128"/>
  <c r="I360" i="128"/>
  <c r="J380" i="128"/>
  <c r="I380" i="128"/>
  <c r="I384" i="128"/>
  <c r="I387" i="128"/>
  <c r="J436" i="128"/>
  <c r="I436" i="128"/>
  <c r="I440" i="128"/>
  <c r="I507" i="128"/>
  <c r="J540" i="128"/>
  <c r="I540" i="128"/>
  <c r="I544" i="128"/>
  <c r="J558" i="128"/>
  <c r="J572" i="128"/>
  <c r="I572" i="128"/>
  <c r="J576" i="128"/>
  <c r="I576" i="128"/>
  <c r="I611" i="128"/>
  <c r="I8" i="128"/>
  <c r="I16" i="128"/>
  <c r="I24" i="128"/>
  <c r="I40" i="128"/>
  <c r="I48" i="128"/>
  <c r="I56" i="128"/>
  <c r="I69" i="128"/>
  <c r="I77" i="128"/>
  <c r="I85" i="128"/>
  <c r="I93" i="128"/>
  <c r="I101" i="128"/>
  <c r="I148" i="128"/>
  <c r="I161" i="128"/>
  <c r="I164" i="128"/>
  <c r="I177" i="128"/>
  <c r="I180" i="128"/>
  <c r="I193" i="128"/>
  <c r="I209" i="128"/>
  <c r="J295" i="128"/>
  <c r="I295" i="128"/>
  <c r="J321" i="128"/>
  <c r="I321" i="128"/>
  <c r="J348" i="128"/>
  <c r="I348" i="128"/>
  <c r="J356" i="128"/>
  <c r="I356" i="128"/>
  <c r="J388" i="128"/>
  <c r="I388" i="128"/>
  <c r="J392" i="128"/>
  <c r="I392" i="128"/>
  <c r="I443" i="128"/>
  <c r="J476" i="128"/>
  <c r="I476" i="128"/>
  <c r="I480" i="128"/>
  <c r="J494" i="128"/>
  <c r="J508" i="128"/>
  <c r="I508" i="128"/>
  <c r="J512" i="128"/>
  <c r="I512" i="128"/>
  <c r="I547" i="128"/>
  <c r="J612" i="128"/>
  <c r="I612" i="128"/>
  <c r="J619" i="128"/>
  <c r="I619" i="128"/>
  <c r="I651" i="128"/>
  <c r="J670" i="128"/>
  <c r="J337" i="128"/>
  <c r="I337" i="128"/>
  <c r="J500" i="128"/>
  <c r="I500" i="128"/>
  <c r="I19" i="128"/>
  <c r="J32" i="128"/>
  <c r="I35" i="128"/>
  <c r="I51" i="128"/>
  <c r="I59" i="128"/>
  <c r="I64" i="128"/>
  <c r="I72" i="128"/>
  <c r="I80" i="128"/>
  <c r="I88" i="128"/>
  <c r="I96" i="128"/>
  <c r="J114" i="128"/>
  <c r="I114" i="128"/>
  <c r="J130" i="128"/>
  <c r="I130" i="128"/>
  <c r="I155" i="128"/>
  <c r="I158" i="128"/>
  <c r="I171" i="128"/>
  <c r="I174" i="128"/>
  <c r="I187" i="128"/>
  <c r="I190" i="128"/>
  <c r="I203" i="128"/>
  <c r="I206" i="128"/>
  <c r="I219" i="128"/>
  <c r="I222" i="128"/>
  <c r="I235" i="128"/>
  <c r="I238" i="128"/>
  <c r="I251" i="128"/>
  <c r="I254" i="128"/>
  <c r="J271" i="128"/>
  <c r="I271" i="128"/>
  <c r="I278" i="128"/>
  <c r="I302" i="128"/>
  <c r="I305" i="128"/>
  <c r="I328" i="128"/>
  <c r="J404" i="128"/>
  <c r="I404" i="128"/>
  <c r="I408" i="128"/>
  <c r="I411" i="128"/>
  <c r="J430" i="128"/>
  <c r="J444" i="128"/>
  <c r="I444" i="128"/>
  <c r="J448" i="128"/>
  <c r="I448" i="128"/>
  <c r="I483" i="128"/>
  <c r="J548" i="128"/>
  <c r="I548" i="128"/>
  <c r="J555" i="128"/>
  <c r="I555" i="128"/>
  <c r="I587" i="128"/>
  <c r="I616" i="128"/>
  <c r="J652" i="128"/>
  <c r="I652" i="128"/>
  <c r="J662" i="128"/>
  <c r="J395" i="128"/>
  <c r="I395" i="128"/>
  <c r="J604" i="128"/>
  <c r="I604" i="128"/>
  <c r="I11" i="128"/>
  <c r="I27" i="128"/>
  <c r="I43" i="128"/>
  <c r="I111" i="128"/>
  <c r="I127" i="128"/>
  <c r="I143" i="128"/>
  <c r="I292" i="128"/>
  <c r="I318" i="128"/>
  <c r="I345" i="128"/>
  <c r="I349" i="128"/>
  <c r="I374" i="128"/>
  <c r="J374" i="128"/>
  <c r="J412" i="128"/>
  <c r="I412" i="128"/>
  <c r="J484" i="128"/>
  <c r="I484" i="128"/>
  <c r="J491" i="128"/>
  <c r="I491" i="128"/>
  <c r="I523" i="128"/>
  <c r="I552" i="128"/>
  <c r="J588" i="128"/>
  <c r="I588" i="128"/>
  <c r="J598" i="128"/>
  <c r="I606" i="128"/>
  <c r="J606" i="128"/>
  <c r="J468" i="128"/>
  <c r="I468" i="128"/>
  <c r="J532" i="128"/>
  <c r="I532" i="128"/>
  <c r="J596" i="128"/>
  <c r="I596" i="128"/>
  <c r="J660" i="128"/>
  <c r="I660" i="128"/>
  <c r="I266" i="128"/>
  <c r="I274" i="128"/>
  <c r="I282" i="128"/>
  <c r="J364" i="128"/>
  <c r="I364" i="128"/>
  <c r="J396" i="128"/>
  <c r="I396" i="128"/>
  <c r="J428" i="128"/>
  <c r="I428" i="128"/>
  <c r="J438" i="128"/>
  <c r="I451" i="128"/>
  <c r="I472" i="128"/>
  <c r="J492" i="128"/>
  <c r="I492" i="128"/>
  <c r="J502" i="128"/>
  <c r="I515" i="128"/>
  <c r="I536" i="128"/>
  <c r="J556" i="128"/>
  <c r="I556" i="128"/>
  <c r="J566" i="128"/>
  <c r="I579" i="128"/>
  <c r="I600" i="128"/>
  <c r="J620" i="128"/>
  <c r="I620" i="128"/>
  <c r="J630" i="128"/>
  <c r="I643" i="128"/>
  <c r="I667" i="128"/>
  <c r="J678" i="128"/>
  <c r="J350" i="128"/>
  <c r="I371" i="128"/>
  <c r="J382" i="128"/>
  <c r="J452" i="128"/>
  <c r="I452" i="128"/>
  <c r="J516" i="128"/>
  <c r="I516" i="128"/>
  <c r="J580" i="128"/>
  <c r="I580" i="128"/>
  <c r="J644" i="128"/>
  <c r="I644" i="128"/>
  <c r="J668" i="128"/>
  <c r="I668" i="128"/>
  <c r="I415" i="128"/>
  <c r="I663" i="128"/>
  <c r="I671" i="128"/>
  <c r="I679" i="128"/>
  <c r="I519" i="100" l="1"/>
  <c r="K519" i="100" s="1"/>
  <c r="I518" i="100"/>
  <c r="I517" i="100"/>
  <c r="K517" i="100" s="1"/>
  <c r="I516" i="100"/>
  <c r="K516" i="100" s="1"/>
  <c r="I515" i="100"/>
  <c r="K515" i="100" s="1"/>
  <c r="I514" i="100"/>
  <c r="K514" i="100" s="1"/>
  <c r="I513" i="100"/>
  <c r="K513" i="100" s="1"/>
  <c r="I512" i="100"/>
  <c r="J512" i="100" s="1"/>
  <c r="I511" i="100"/>
  <c r="K511" i="100" s="1"/>
  <c r="I510" i="100"/>
  <c r="I509" i="100"/>
  <c r="K509" i="100" s="1"/>
  <c r="I508" i="100"/>
  <c r="K508" i="100" s="1"/>
  <c r="I507" i="100"/>
  <c r="K507" i="100" s="1"/>
  <c r="I506" i="100"/>
  <c r="K506" i="100" s="1"/>
  <c r="I505" i="100"/>
  <c r="K505" i="100" s="1"/>
  <c r="I504" i="100"/>
  <c r="K504" i="100" s="1"/>
  <c r="I503" i="100"/>
  <c r="K503" i="100" s="1"/>
  <c r="I502" i="100"/>
  <c r="I501" i="100"/>
  <c r="K501" i="100" s="1"/>
  <c r="I500" i="100"/>
  <c r="K500" i="100" s="1"/>
  <c r="I499" i="100"/>
  <c r="K499" i="100" s="1"/>
  <c r="I498" i="100"/>
  <c r="K498" i="100" s="1"/>
  <c r="I497" i="100"/>
  <c r="K497" i="100" s="1"/>
  <c r="I496" i="100"/>
  <c r="J496" i="100" s="1"/>
  <c r="I495" i="100"/>
  <c r="K495" i="100" s="1"/>
  <c r="I494" i="100"/>
  <c r="I493" i="100"/>
  <c r="K493" i="100" s="1"/>
  <c r="I492" i="100"/>
  <c r="K492" i="100" s="1"/>
  <c r="I491" i="100"/>
  <c r="K491" i="100" s="1"/>
  <c r="I490" i="100"/>
  <c r="K490" i="100" s="1"/>
  <c r="I489" i="100"/>
  <c r="K489" i="100" s="1"/>
  <c r="I488" i="100"/>
  <c r="K488" i="100" s="1"/>
  <c r="I487" i="100"/>
  <c r="K487" i="100" s="1"/>
  <c r="I486" i="100"/>
  <c r="I485" i="100"/>
  <c r="J485" i="100" s="1"/>
  <c r="I484" i="100"/>
  <c r="K484" i="100" s="1"/>
  <c r="I483" i="100"/>
  <c r="K483" i="100" s="1"/>
  <c r="I482" i="100"/>
  <c r="K482" i="100" s="1"/>
  <c r="I481" i="100"/>
  <c r="K481" i="100" s="1"/>
  <c r="I480" i="100"/>
  <c r="K480" i="100" s="1"/>
  <c r="I479" i="100"/>
  <c r="K479" i="100" s="1"/>
  <c r="I478" i="100"/>
  <c r="I477" i="100"/>
  <c r="J477" i="100" s="1"/>
  <c r="I476" i="100"/>
  <c r="K476" i="100" s="1"/>
  <c r="I475" i="100"/>
  <c r="K475" i="100" s="1"/>
  <c r="I474" i="100"/>
  <c r="K474" i="100" s="1"/>
  <c r="I473" i="100"/>
  <c r="K473" i="100" s="1"/>
  <c r="I472" i="100"/>
  <c r="K472" i="100" s="1"/>
  <c r="I471" i="100"/>
  <c r="K471" i="100" s="1"/>
  <c r="I470" i="100"/>
  <c r="I469" i="100"/>
  <c r="K469" i="100" s="1"/>
  <c r="I468" i="100"/>
  <c r="K468" i="100" s="1"/>
  <c r="I467" i="100"/>
  <c r="K467" i="100" s="1"/>
  <c r="I466" i="100"/>
  <c r="K466" i="100" s="1"/>
  <c r="I465" i="100"/>
  <c r="J465" i="100" s="1"/>
  <c r="I464" i="100"/>
  <c r="K464" i="100" s="1"/>
  <c r="I463" i="100"/>
  <c r="K463" i="100" s="1"/>
  <c r="I462" i="100"/>
  <c r="I461" i="100"/>
  <c r="J461" i="100" s="1"/>
  <c r="I460" i="100"/>
  <c r="K460" i="100" s="1"/>
  <c r="I459" i="100"/>
  <c r="K459" i="100" s="1"/>
  <c r="I458" i="100"/>
  <c r="K458" i="100" s="1"/>
  <c r="I457" i="100"/>
  <c r="J457" i="100" s="1"/>
  <c r="I456" i="100"/>
  <c r="K456" i="100" s="1"/>
  <c r="I455" i="100"/>
  <c r="K455" i="100" s="1"/>
  <c r="I454" i="100"/>
  <c r="I453" i="100"/>
  <c r="K453" i="100" s="1"/>
  <c r="I452" i="100"/>
  <c r="K452" i="100" s="1"/>
  <c r="I451" i="100"/>
  <c r="K451" i="100" s="1"/>
  <c r="I450" i="100"/>
  <c r="K450" i="100" s="1"/>
  <c r="I449" i="100"/>
  <c r="K449" i="100" s="1"/>
  <c r="I448" i="100"/>
  <c r="J448" i="100" s="1"/>
  <c r="I447" i="100"/>
  <c r="K447" i="100" s="1"/>
  <c r="I446" i="100"/>
  <c r="I445" i="100"/>
  <c r="K445" i="100" s="1"/>
  <c r="I444" i="100"/>
  <c r="K444" i="100" s="1"/>
  <c r="I443" i="100"/>
  <c r="K443" i="100" s="1"/>
  <c r="I442" i="100"/>
  <c r="K442" i="100" s="1"/>
  <c r="I441" i="100"/>
  <c r="K441" i="100" s="1"/>
  <c r="I440" i="100"/>
  <c r="K440" i="100" s="1"/>
  <c r="I439" i="100"/>
  <c r="K439" i="100" s="1"/>
  <c r="I438" i="100"/>
  <c r="I437" i="100"/>
  <c r="J437" i="100" s="1"/>
  <c r="I436" i="100"/>
  <c r="K436" i="100" s="1"/>
  <c r="I435" i="100"/>
  <c r="K435" i="100" s="1"/>
  <c r="I434" i="100"/>
  <c r="K434" i="100" s="1"/>
  <c r="I433" i="100"/>
  <c r="K433" i="100" s="1"/>
  <c r="I432" i="100"/>
  <c r="K432" i="100" s="1"/>
  <c r="I431" i="100"/>
  <c r="K431" i="100" s="1"/>
  <c r="I430" i="100"/>
  <c r="I429" i="100"/>
  <c r="J429" i="100" s="1"/>
  <c r="I428" i="100"/>
  <c r="K428" i="100" s="1"/>
  <c r="I427" i="100"/>
  <c r="K427" i="100" s="1"/>
  <c r="I426" i="100"/>
  <c r="K426" i="100" s="1"/>
  <c r="I425" i="100"/>
  <c r="K425" i="100" s="1"/>
  <c r="I424" i="100"/>
  <c r="K424" i="100" s="1"/>
  <c r="I423" i="100"/>
  <c r="I422" i="100"/>
  <c r="I421" i="100"/>
  <c r="J421" i="100" s="1"/>
  <c r="I420" i="100"/>
  <c r="K420" i="100" s="1"/>
  <c r="I419" i="100"/>
  <c r="K419" i="100" s="1"/>
  <c r="I418" i="100"/>
  <c r="K418" i="100" s="1"/>
  <c r="I417" i="100"/>
  <c r="K417" i="100" s="1"/>
  <c r="I416" i="100"/>
  <c r="K416" i="100" s="1"/>
  <c r="I415" i="100"/>
  <c r="I414" i="100"/>
  <c r="I413" i="100"/>
  <c r="J413" i="100" s="1"/>
  <c r="I412" i="100"/>
  <c r="K412" i="100" s="1"/>
  <c r="I411" i="100"/>
  <c r="K411" i="100" s="1"/>
  <c r="I410" i="100"/>
  <c r="K410" i="100" s="1"/>
  <c r="I409" i="100"/>
  <c r="K409" i="100" s="1"/>
  <c r="I408" i="100"/>
  <c r="K408" i="100" s="1"/>
  <c r="I407" i="100"/>
  <c r="I406" i="100"/>
  <c r="I405" i="100"/>
  <c r="J405" i="100" s="1"/>
  <c r="I404" i="100"/>
  <c r="K404" i="100" s="1"/>
  <c r="I403" i="100"/>
  <c r="K403" i="100" s="1"/>
  <c r="I402" i="100"/>
  <c r="K402" i="100" s="1"/>
  <c r="I401" i="100"/>
  <c r="K401" i="100" s="1"/>
  <c r="I400" i="100"/>
  <c r="K400" i="100" s="1"/>
  <c r="I399" i="100"/>
  <c r="I398" i="100"/>
  <c r="I397" i="100"/>
  <c r="J397" i="100" s="1"/>
  <c r="I396" i="100"/>
  <c r="K396" i="100" s="1"/>
  <c r="I395" i="100"/>
  <c r="K395" i="100" s="1"/>
  <c r="I394" i="100"/>
  <c r="K394" i="100" s="1"/>
  <c r="I393" i="100"/>
  <c r="K393" i="100" s="1"/>
  <c r="I392" i="100"/>
  <c r="K392" i="100" s="1"/>
  <c r="I391" i="100"/>
  <c r="I390" i="100"/>
  <c r="I389" i="100"/>
  <c r="J389" i="100" s="1"/>
  <c r="I388" i="100"/>
  <c r="K388" i="100" s="1"/>
  <c r="I387" i="100"/>
  <c r="K387" i="100" s="1"/>
  <c r="I386" i="100"/>
  <c r="K386" i="100" s="1"/>
  <c r="I385" i="100"/>
  <c r="K385" i="100" s="1"/>
  <c r="I384" i="100"/>
  <c r="K384" i="100" s="1"/>
  <c r="I383" i="100"/>
  <c r="I382" i="100"/>
  <c r="I381" i="100"/>
  <c r="J381" i="100" s="1"/>
  <c r="I380" i="100"/>
  <c r="K380" i="100" s="1"/>
  <c r="I379" i="100"/>
  <c r="K379" i="100" s="1"/>
  <c r="I378" i="100"/>
  <c r="K378" i="100" s="1"/>
  <c r="I377" i="100"/>
  <c r="K377" i="100" s="1"/>
  <c r="I376" i="100"/>
  <c r="K376" i="100" s="1"/>
  <c r="I375" i="100"/>
  <c r="I374" i="100"/>
  <c r="I373" i="100"/>
  <c r="J373" i="100" s="1"/>
  <c r="I372" i="100"/>
  <c r="K372" i="100" s="1"/>
  <c r="I371" i="100"/>
  <c r="K371" i="100" s="1"/>
  <c r="I370" i="100"/>
  <c r="K370" i="100" s="1"/>
  <c r="I369" i="100"/>
  <c r="K369" i="100" s="1"/>
  <c r="I368" i="100"/>
  <c r="K368" i="100" s="1"/>
  <c r="I367" i="100"/>
  <c r="H367" i="100"/>
  <c r="I366" i="100"/>
  <c r="K366" i="100" s="1"/>
  <c r="I365" i="100"/>
  <c r="K365" i="100" s="1"/>
  <c r="I364" i="100"/>
  <c r="K364" i="100" s="1"/>
  <c r="I363" i="100"/>
  <c r="J363" i="100" s="1"/>
  <c r="I362" i="100"/>
  <c r="I361" i="100"/>
  <c r="I360" i="100"/>
  <c r="J360" i="100" s="1"/>
  <c r="I359" i="100"/>
  <c r="K359" i="100" s="1"/>
  <c r="I358" i="100"/>
  <c r="K358" i="100" s="1"/>
  <c r="I357" i="100"/>
  <c r="K357" i="100" s="1"/>
  <c r="I356" i="100"/>
  <c r="J356" i="100" s="1"/>
  <c r="I355" i="100"/>
  <c r="J355" i="100" s="1"/>
  <c r="I354" i="100"/>
  <c r="I353" i="100"/>
  <c r="I352" i="100"/>
  <c r="J352" i="100" s="1"/>
  <c r="I351" i="100"/>
  <c r="K351" i="100" s="1"/>
  <c r="I350" i="100"/>
  <c r="K350" i="100" s="1"/>
  <c r="I349" i="100"/>
  <c r="K349" i="100" s="1"/>
  <c r="I348" i="100"/>
  <c r="K348" i="100" s="1"/>
  <c r="I347" i="100"/>
  <c r="J347" i="100" s="1"/>
  <c r="I346" i="100"/>
  <c r="I345" i="100"/>
  <c r="I344" i="100"/>
  <c r="J344" i="100" s="1"/>
  <c r="I343" i="100"/>
  <c r="K343" i="100" s="1"/>
  <c r="I342" i="100"/>
  <c r="K342" i="100" s="1"/>
  <c r="I341" i="100"/>
  <c r="K341" i="100" s="1"/>
  <c r="I340" i="100"/>
  <c r="K340" i="100" s="1"/>
  <c r="I339" i="100"/>
  <c r="J339" i="100" s="1"/>
  <c r="I338" i="100"/>
  <c r="I337" i="100"/>
  <c r="I336" i="100"/>
  <c r="J336" i="100" s="1"/>
  <c r="I335" i="100"/>
  <c r="K335" i="100" s="1"/>
  <c r="I334" i="100"/>
  <c r="K334" i="100" s="1"/>
  <c r="I333" i="100"/>
  <c r="K333" i="100" s="1"/>
  <c r="I332" i="100"/>
  <c r="K332" i="100" s="1"/>
  <c r="I331" i="100"/>
  <c r="J331" i="100" s="1"/>
  <c r="I330" i="100"/>
  <c r="I329" i="100"/>
  <c r="H329" i="100"/>
  <c r="I328" i="100"/>
  <c r="K328" i="100" s="1"/>
  <c r="I327" i="100"/>
  <c r="J327" i="100" s="1"/>
  <c r="I326" i="100"/>
  <c r="J326" i="100" s="1"/>
  <c r="I325" i="100"/>
  <c r="I324" i="100"/>
  <c r="I323" i="100"/>
  <c r="J323" i="100" s="1"/>
  <c r="I322" i="100"/>
  <c r="K322" i="100" s="1"/>
  <c r="I321" i="100"/>
  <c r="K321" i="100" s="1"/>
  <c r="I320" i="100"/>
  <c r="K320" i="100" s="1"/>
  <c r="I319" i="100"/>
  <c r="K319" i="100" s="1"/>
  <c r="I318" i="100"/>
  <c r="K318" i="100" s="1"/>
  <c r="I317" i="100"/>
  <c r="I316" i="100"/>
  <c r="I315" i="100"/>
  <c r="J315" i="100" s="1"/>
  <c r="I314" i="100"/>
  <c r="K314" i="100" s="1"/>
  <c r="I313" i="100"/>
  <c r="K313" i="100" s="1"/>
  <c r="I312" i="100"/>
  <c r="K312" i="100" s="1"/>
  <c r="I311" i="100"/>
  <c r="K311" i="100" s="1"/>
  <c r="I310" i="100"/>
  <c r="K310" i="100" s="1"/>
  <c r="I309" i="100"/>
  <c r="I308" i="100"/>
  <c r="I307" i="100"/>
  <c r="J307" i="100" s="1"/>
  <c r="I306" i="100"/>
  <c r="K306" i="100" s="1"/>
  <c r="I305" i="100"/>
  <c r="K305" i="100" s="1"/>
  <c r="I304" i="100"/>
  <c r="K304" i="100" s="1"/>
  <c r="I303" i="100"/>
  <c r="J303" i="100" s="1"/>
  <c r="I302" i="100"/>
  <c r="J302" i="100" s="1"/>
  <c r="I301" i="100"/>
  <c r="I300" i="100"/>
  <c r="H300" i="100"/>
  <c r="I299" i="100"/>
  <c r="J299" i="100" s="1"/>
  <c r="I298" i="100"/>
  <c r="J298" i="100" s="1"/>
  <c r="I297" i="100"/>
  <c r="K297" i="100" s="1"/>
  <c r="I296" i="100"/>
  <c r="I295" i="100"/>
  <c r="I294" i="100"/>
  <c r="J294" i="100" s="1"/>
  <c r="H294" i="100"/>
  <c r="I293" i="100"/>
  <c r="J293" i="100" s="1"/>
  <c r="I292" i="100"/>
  <c r="K292" i="100" s="1"/>
  <c r="I291" i="100"/>
  <c r="I290" i="100"/>
  <c r="I289" i="100"/>
  <c r="J289" i="100" s="1"/>
  <c r="I288" i="100"/>
  <c r="K288" i="100" s="1"/>
  <c r="I287" i="100"/>
  <c r="K287" i="100" s="1"/>
  <c r="I286" i="100"/>
  <c r="K286" i="100" s="1"/>
  <c r="I285" i="100"/>
  <c r="J285" i="100" s="1"/>
  <c r="I284" i="100"/>
  <c r="J284" i="100" s="1"/>
  <c r="I283" i="100"/>
  <c r="I282" i="100"/>
  <c r="I281" i="100"/>
  <c r="J281" i="100" s="1"/>
  <c r="I280" i="100"/>
  <c r="K280" i="100" s="1"/>
  <c r="I279" i="100"/>
  <c r="K279" i="100" s="1"/>
  <c r="I278" i="100"/>
  <c r="K278" i="100" s="1"/>
  <c r="I277" i="100"/>
  <c r="J277" i="100" s="1"/>
  <c r="I276" i="100"/>
  <c r="K276" i="100" s="1"/>
  <c r="I275" i="100"/>
  <c r="I274" i="100"/>
  <c r="I273" i="100"/>
  <c r="J273" i="100" s="1"/>
  <c r="H273" i="100"/>
  <c r="I272" i="100"/>
  <c r="J272" i="100" s="1"/>
  <c r="I271" i="100"/>
  <c r="K271" i="100" s="1"/>
  <c r="I270" i="100"/>
  <c r="H270" i="100"/>
  <c r="I269" i="100"/>
  <c r="K269" i="100" s="1"/>
  <c r="I268" i="100"/>
  <c r="J268" i="100" s="1"/>
  <c r="I267" i="100"/>
  <c r="J267" i="100" s="1"/>
  <c r="I266" i="100"/>
  <c r="J266" i="100" s="1"/>
  <c r="I265" i="100"/>
  <c r="I264" i="100"/>
  <c r="I263" i="100"/>
  <c r="K263" i="100" s="1"/>
  <c r="I262" i="100"/>
  <c r="J262" i="100" s="1"/>
  <c r="I261" i="100"/>
  <c r="K261" i="100" s="1"/>
  <c r="I260" i="100"/>
  <c r="K260" i="100" s="1"/>
  <c r="I259" i="100"/>
  <c r="J259" i="100" s="1"/>
  <c r="I258" i="100"/>
  <c r="K258" i="100" s="1"/>
  <c r="I257" i="100"/>
  <c r="I256" i="100"/>
  <c r="I255" i="100"/>
  <c r="K255" i="100" s="1"/>
  <c r="I254" i="100"/>
  <c r="K254" i="100" s="1"/>
  <c r="I253" i="100"/>
  <c r="K253" i="100" s="1"/>
  <c r="I252" i="100"/>
  <c r="K252" i="100" s="1"/>
  <c r="I251" i="100"/>
  <c r="J251" i="100" s="1"/>
  <c r="I250" i="100"/>
  <c r="J250" i="100" s="1"/>
  <c r="I249" i="100"/>
  <c r="I248" i="100"/>
  <c r="I247" i="100"/>
  <c r="J247" i="100" s="1"/>
  <c r="I246" i="100"/>
  <c r="J246" i="100" s="1"/>
  <c r="I245" i="100"/>
  <c r="K245" i="100" s="1"/>
  <c r="I244" i="100"/>
  <c r="K244" i="100" s="1"/>
  <c r="I243" i="100"/>
  <c r="J243" i="100" s="1"/>
  <c r="I242" i="100"/>
  <c r="K242" i="100" s="1"/>
  <c r="I241" i="100"/>
  <c r="J241" i="100" s="1"/>
  <c r="I240" i="100"/>
  <c r="I239" i="100"/>
  <c r="J239" i="100" s="1"/>
  <c r="I238" i="100"/>
  <c r="J238" i="100" s="1"/>
  <c r="I237" i="100"/>
  <c r="K237" i="100" s="1"/>
  <c r="I236" i="100"/>
  <c r="K236" i="100" s="1"/>
  <c r="I235" i="100"/>
  <c r="J235" i="100" s="1"/>
  <c r="I234" i="100"/>
  <c r="K234" i="100" s="1"/>
  <c r="I233" i="100"/>
  <c r="J233" i="100" s="1"/>
  <c r="I232" i="100"/>
  <c r="I231" i="100"/>
  <c r="J231" i="100" s="1"/>
  <c r="I230" i="100"/>
  <c r="J230" i="100" s="1"/>
  <c r="I229" i="100"/>
  <c r="K229" i="100" s="1"/>
  <c r="I228" i="100"/>
  <c r="J228" i="100" s="1"/>
  <c r="I227" i="100"/>
  <c r="J227" i="100" s="1"/>
  <c r="K226" i="100"/>
  <c r="I226" i="100"/>
  <c r="J226" i="100" s="1"/>
  <c r="I225" i="100"/>
  <c r="J225" i="100" s="1"/>
  <c r="I224" i="100"/>
  <c r="I223" i="100"/>
  <c r="K223" i="100" s="1"/>
  <c r="I222" i="100"/>
  <c r="J222" i="100" s="1"/>
  <c r="I221" i="100"/>
  <c r="K221" i="100" s="1"/>
  <c r="I220" i="100"/>
  <c r="J220" i="100" s="1"/>
  <c r="I219" i="100"/>
  <c r="J219" i="100" s="1"/>
  <c r="I218" i="100"/>
  <c r="K218" i="100" s="1"/>
  <c r="I217" i="100"/>
  <c r="J217" i="100" s="1"/>
  <c r="I216" i="100"/>
  <c r="I215" i="100"/>
  <c r="K215" i="100" s="1"/>
  <c r="I214" i="100"/>
  <c r="J214" i="100" s="1"/>
  <c r="I213" i="100"/>
  <c r="K213" i="100" s="1"/>
  <c r="I212" i="100"/>
  <c r="K212" i="100" s="1"/>
  <c r="I211" i="100"/>
  <c r="J211" i="100" s="1"/>
  <c r="I210" i="100"/>
  <c r="K210" i="100" s="1"/>
  <c r="I209" i="100"/>
  <c r="K209" i="100" s="1"/>
  <c r="I208" i="100"/>
  <c r="I207" i="100"/>
  <c r="K207" i="100" s="1"/>
  <c r="I206" i="100"/>
  <c r="K206" i="100" s="1"/>
  <c r="I205" i="100"/>
  <c r="K205" i="100" s="1"/>
  <c r="I204" i="100"/>
  <c r="K204" i="100" s="1"/>
  <c r="I203" i="100"/>
  <c r="J203" i="100" s="1"/>
  <c r="I202" i="100"/>
  <c r="K202" i="100" s="1"/>
  <c r="I201" i="100"/>
  <c r="K201" i="100" s="1"/>
  <c r="I200" i="100"/>
  <c r="I199" i="100"/>
  <c r="K199" i="100" s="1"/>
  <c r="I198" i="100"/>
  <c r="K198" i="100" s="1"/>
  <c r="I197" i="100"/>
  <c r="K197" i="100" s="1"/>
  <c r="I196" i="100"/>
  <c r="K196" i="100" s="1"/>
  <c r="I195" i="100"/>
  <c r="J195" i="100" s="1"/>
  <c r="I194" i="100"/>
  <c r="K194" i="100" s="1"/>
  <c r="I193" i="100"/>
  <c r="K193" i="100" s="1"/>
  <c r="I192" i="100"/>
  <c r="I191" i="100"/>
  <c r="K191" i="100" s="1"/>
  <c r="I190" i="100"/>
  <c r="K190" i="100" s="1"/>
  <c r="I189" i="100"/>
  <c r="K189" i="100" s="1"/>
  <c r="I188" i="100"/>
  <c r="K188" i="100" s="1"/>
  <c r="I187" i="100"/>
  <c r="J187" i="100" s="1"/>
  <c r="I186" i="100"/>
  <c r="J186" i="100" s="1"/>
  <c r="I185" i="100"/>
  <c r="K185" i="100" s="1"/>
  <c r="I184" i="100"/>
  <c r="I183" i="100"/>
  <c r="K183" i="100" s="1"/>
  <c r="I182" i="100"/>
  <c r="K182" i="100" s="1"/>
  <c r="I181" i="100"/>
  <c r="K181" i="100" s="1"/>
  <c r="I180" i="100"/>
  <c r="K180" i="100" s="1"/>
  <c r="I179" i="100"/>
  <c r="J179" i="100" s="1"/>
  <c r="I178" i="100"/>
  <c r="K178" i="100" s="1"/>
  <c r="I177" i="100"/>
  <c r="K177" i="100" s="1"/>
  <c r="I176" i="100"/>
  <c r="I175" i="100"/>
  <c r="K175" i="100" s="1"/>
  <c r="I174" i="100"/>
  <c r="K174" i="100" s="1"/>
  <c r="I173" i="100"/>
  <c r="K173" i="100" s="1"/>
  <c r="I172" i="100"/>
  <c r="K172" i="100" s="1"/>
  <c r="I171" i="100"/>
  <c r="J171" i="100" s="1"/>
  <c r="I170" i="100"/>
  <c r="J170" i="100" s="1"/>
  <c r="I169" i="100"/>
  <c r="K169" i="100" s="1"/>
  <c r="I168" i="100"/>
  <c r="K168" i="100" s="1"/>
  <c r="I167" i="100"/>
  <c r="J167" i="100" s="1"/>
  <c r="I166" i="100"/>
  <c r="K166" i="100" s="1"/>
  <c r="I165" i="100"/>
  <c r="J165" i="100" s="1"/>
  <c r="I164" i="100"/>
  <c r="K164" i="100" s="1"/>
  <c r="I163" i="100"/>
  <c r="K163" i="100" s="1"/>
  <c r="I162" i="100"/>
  <c r="K162" i="100" s="1"/>
  <c r="I161" i="100"/>
  <c r="K161" i="100" s="1"/>
  <c r="I160" i="100"/>
  <c r="K160" i="100" s="1"/>
  <c r="I159" i="100"/>
  <c r="K159" i="100" s="1"/>
  <c r="I158" i="100"/>
  <c r="K158" i="100" s="1"/>
  <c r="I157" i="100"/>
  <c r="J157" i="100" s="1"/>
  <c r="I156" i="100"/>
  <c r="K156" i="100" s="1"/>
  <c r="I155" i="100"/>
  <c r="K155" i="100" s="1"/>
  <c r="I154" i="100"/>
  <c r="K154" i="100" s="1"/>
  <c r="I153" i="100"/>
  <c r="K153" i="100" s="1"/>
  <c r="I152" i="100"/>
  <c r="K152" i="100" s="1"/>
  <c r="I151" i="100"/>
  <c r="K151" i="100" s="1"/>
  <c r="I150" i="100"/>
  <c r="K150" i="100" s="1"/>
  <c r="I149" i="100"/>
  <c r="J149" i="100" s="1"/>
  <c r="I148" i="100"/>
  <c r="K148" i="100" s="1"/>
  <c r="I147" i="100"/>
  <c r="J147" i="100" s="1"/>
  <c r="I146" i="100"/>
  <c r="J146" i="100" s="1"/>
  <c r="I145" i="100"/>
  <c r="K145" i="100" s="1"/>
  <c r="I144" i="100"/>
  <c r="K144" i="100" s="1"/>
  <c r="I143" i="100"/>
  <c r="J143" i="100" s="1"/>
  <c r="I142" i="100"/>
  <c r="K142" i="100" s="1"/>
  <c r="I141" i="100"/>
  <c r="J141" i="100" s="1"/>
  <c r="I140" i="100"/>
  <c r="K140" i="100" s="1"/>
  <c r="I139" i="100"/>
  <c r="K139" i="100" s="1"/>
  <c r="I138" i="100"/>
  <c r="K138" i="100" s="1"/>
  <c r="I137" i="100"/>
  <c r="K137" i="100" s="1"/>
  <c r="I136" i="100"/>
  <c r="K136" i="100" s="1"/>
  <c r="I135" i="100"/>
  <c r="K135" i="100" s="1"/>
  <c r="I134" i="100"/>
  <c r="K134" i="100" s="1"/>
  <c r="I133" i="100"/>
  <c r="J133" i="100" s="1"/>
  <c r="I132" i="100"/>
  <c r="K132" i="100" s="1"/>
  <c r="I131" i="100"/>
  <c r="K131" i="100" s="1"/>
  <c r="I130" i="100"/>
  <c r="K130" i="100" s="1"/>
  <c r="I129" i="100"/>
  <c r="K129" i="100" s="1"/>
  <c r="I128" i="100"/>
  <c r="K128" i="100" s="1"/>
  <c r="I127" i="100"/>
  <c r="K127" i="100" s="1"/>
  <c r="I126" i="100"/>
  <c r="K126" i="100" s="1"/>
  <c r="I125" i="100"/>
  <c r="J125" i="100" s="1"/>
  <c r="I124" i="100"/>
  <c r="K124" i="100" s="1"/>
  <c r="I123" i="100"/>
  <c r="K123" i="100" s="1"/>
  <c r="I122" i="100"/>
  <c r="K122" i="100" s="1"/>
  <c r="I121" i="100"/>
  <c r="K121" i="100" s="1"/>
  <c r="I120" i="100"/>
  <c r="K120" i="100" s="1"/>
  <c r="I119" i="100"/>
  <c r="K119" i="100" s="1"/>
  <c r="I118" i="100"/>
  <c r="K118" i="100" s="1"/>
  <c r="I117" i="100"/>
  <c r="J117" i="100" s="1"/>
  <c r="I116" i="100"/>
  <c r="K116" i="100" s="1"/>
  <c r="I115" i="100"/>
  <c r="K115" i="100" s="1"/>
  <c r="I114" i="100"/>
  <c r="K114" i="100" s="1"/>
  <c r="I113" i="100"/>
  <c r="K113" i="100" s="1"/>
  <c r="I112" i="100"/>
  <c r="K112" i="100" s="1"/>
  <c r="I111" i="100"/>
  <c r="K111" i="100" s="1"/>
  <c r="I110" i="100"/>
  <c r="K110" i="100" s="1"/>
  <c r="I109" i="100"/>
  <c r="J109" i="100" s="1"/>
  <c r="I108" i="100"/>
  <c r="J108" i="100" s="1"/>
  <c r="I107" i="100"/>
  <c r="K107" i="100" s="1"/>
  <c r="I106" i="100"/>
  <c r="K106" i="100" s="1"/>
  <c r="I105" i="100"/>
  <c r="K105" i="100" s="1"/>
  <c r="I104" i="100"/>
  <c r="K104" i="100" s="1"/>
  <c r="I103" i="100"/>
  <c r="K103" i="100" s="1"/>
  <c r="I102" i="100"/>
  <c r="K102" i="100" s="1"/>
  <c r="I101" i="100"/>
  <c r="J101" i="100" s="1"/>
  <c r="I100" i="100"/>
  <c r="J100" i="100" s="1"/>
  <c r="I99" i="100"/>
  <c r="K99" i="100" s="1"/>
  <c r="I98" i="100"/>
  <c r="K98" i="100" s="1"/>
  <c r="I97" i="100"/>
  <c r="K97" i="100" s="1"/>
  <c r="I96" i="100"/>
  <c r="K96" i="100" s="1"/>
  <c r="I95" i="100"/>
  <c r="K95" i="100" s="1"/>
  <c r="I94" i="100"/>
  <c r="K94" i="100" s="1"/>
  <c r="I93" i="100"/>
  <c r="J93" i="100" s="1"/>
  <c r="I92" i="100"/>
  <c r="J92" i="100" s="1"/>
  <c r="I91" i="100"/>
  <c r="K91" i="100" s="1"/>
  <c r="I90" i="100"/>
  <c r="K90" i="100" s="1"/>
  <c r="I89" i="100"/>
  <c r="K89" i="100" s="1"/>
  <c r="I88" i="100"/>
  <c r="K88" i="100" s="1"/>
  <c r="I87" i="100"/>
  <c r="K87" i="100" s="1"/>
  <c r="I86" i="100"/>
  <c r="K86" i="100" s="1"/>
  <c r="I85" i="100"/>
  <c r="K85" i="100" s="1"/>
  <c r="I84" i="100"/>
  <c r="J84" i="100" s="1"/>
  <c r="I83" i="100"/>
  <c r="K83" i="100" s="1"/>
  <c r="I82" i="100"/>
  <c r="K82" i="100" s="1"/>
  <c r="I81" i="100"/>
  <c r="K81" i="100" s="1"/>
  <c r="I80" i="100"/>
  <c r="K80" i="100" s="1"/>
  <c r="I79" i="100"/>
  <c r="K79" i="100" s="1"/>
  <c r="I78" i="100"/>
  <c r="K78" i="100" s="1"/>
  <c r="I77" i="100"/>
  <c r="K77" i="100" s="1"/>
  <c r="I76" i="100"/>
  <c r="J76" i="100" s="1"/>
  <c r="I75" i="100"/>
  <c r="K75" i="100" s="1"/>
  <c r="I74" i="100"/>
  <c r="K74" i="100" s="1"/>
  <c r="I73" i="100"/>
  <c r="K73" i="100" s="1"/>
  <c r="I72" i="100"/>
  <c r="K72" i="100" s="1"/>
  <c r="I71" i="100"/>
  <c r="K71" i="100" s="1"/>
  <c r="I70" i="100"/>
  <c r="K70" i="100" s="1"/>
  <c r="I69" i="100"/>
  <c r="K69" i="100" s="1"/>
  <c r="I68" i="100"/>
  <c r="J68" i="100" s="1"/>
  <c r="I67" i="100"/>
  <c r="K67" i="100" s="1"/>
  <c r="I66" i="100"/>
  <c r="K66" i="100" s="1"/>
  <c r="I65" i="100"/>
  <c r="K65" i="100" s="1"/>
  <c r="I64" i="100"/>
  <c r="K64" i="100" s="1"/>
  <c r="I63" i="100"/>
  <c r="K63" i="100" s="1"/>
  <c r="I62" i="100"/>
  <c r="K62" i="100" s="1"/>
  <c r="I61" i="100"/>
  <c r="J61" i="100" s="1"/>
  <c r="H61" i="100"/>
  <c r="I60" i="100"/>
  <c r="K60" i="100" s="1"/>
  <c r="I59" i="100"/>
  <c r="K59" i="100" s="1"/>
  <c r="I58" i="100"/>
  <c r="K58" i="100" s="1"/>
  <c r="I57" i="100"/>
  <c r="K57" i="100" s="1"/>
  <c r="I56" i="100"/>
  <c r="J56" i="100" s="1"/>
  <c r="I55" i="100"/>
  <c r="J55" i="100" s="1"/>
  <c r="I54" i="100"/>
  <c r="K54" i="100" s="1"/>
  <c r="I53" i="100"/>
  <c r="K53" i="100" s="1"/>
  <c r="I52" i="100"/>
  <c r="K52" i="100" s="1"/>
  <c r="I51" i="100"/>
  <c r="K51" i="100" s="1"/>
  <c r="I50" i="100"/>
  <c r="K50" i="100" s="1"/>
  <c r="I49" i="100"/>
  <c r="K49" i="100" s="1"/>
  <c r="I48" i="100"/>
  <c r="J48" i="100" s="1"/>
  <c r="I47" i="100"/>
  <c r="J47" i="100" s="1"/>
  <c r="I46" i="100"/>
  <c r="K46" i="100" s="1"/>
  <c r="I45" i="100"/>
  <c r="K45" i="100" s="1"/>
  <c r="I44" i="100"/>
  <c r="K44" i="100" s="1"/>
  <c r="I43" i="100"/>
  <c r="K43" i="100" s="1"/>
  <c r="I42" i="100"/>
  <c r="J42" i="100" s="1"/>
  <c r="I41" i="100"/>
  <c r="K41" i="100" s="1"/>
  <c r="I40" i="100"/>
  <c r="K40" i="100" s="1"/>
  <c r="I39" i="100"/>
  <c r="J39" i="100" s="1"/>
  <c r="I38" i="100"/>
  <c r="K38" i="100" s="1"/>
  <c r="I37" i="100"/>
  <c r="K37" i="100" s="1"/>
  <c r="I36" i="100"/>
  <c r="K36" i="100" s="1"/>
  <c r="I35" i="100"/>
  <c r="K35" i="100" s="1"/>
  <c r="I34" i="100"/>
  <c r="K34" i="100" s="1"/>
  <c r="I33" i="100"/>
  <c r="K33" i="100" s="1"/>
  <c r="I32" i="100"/>
  <c r="K32" i="100" s="1"/>
  <c r="I31" i="100"/>
  <c r="J31" i="100" s="1"/>
  <c r="I30" i="100"/>
  <c r="K30" i="100" s="1"/>
  <c r="I29" i="100"/>
  <c r="K29" i="100" s="1"/>
  <c r="I28" i="100"/>
  <c r="K28" i="100" s="1"/>
  <c r="I27" i="100"/>
  <c r="K27" i="100" s="1"/>
  <c r="I26" i="100"/>
  <c r="K26" i="100" s="1"/>
  <c r="I25" i="100"/>
  <c r="K25" i="100" s="1"/>
  <c r="I24" i="100"/>
  <c r="J24" i="100" s="1"/>
  <c r="I23" i="100"/>
  <c r="J23" i="100" s="1"/>
  <c r="I22" i="100"/>
  <c r="K22" i="100" s="1"/>
  <c r="I21" i="100"/>
  <c r="K21" i="100" s="1"/>
  <c r="H21" i="100"/>
  <c r="I20" i="100"/>
  <c r="K20" i="100" s="1"/>
  <c r="I19" i="100"/>
  <c r="J19" i="100" s="1"/>
  <c r="I18" i="100"/>
  <c r="J18" i="100" s="1"/>
  <c r="I17" i="100"/>
  <c r="K17" i="100" s="1"/>
  <c r="H17" i="100"/>
  <c r="I16" i="100"/>
  <c r="J16" i="100" s="1"/>
  <c r="I15" i="100"/>
  <c r="K15" i="100" s="1"/>
  <c r="I14" i="100"/>
  <c r="J14" i="100" s="1"/>
  <c r="I13" i="100"/>
  <c r="J13" i="100" s="1"/>
  <c r="I12" i="100"/>
  <c r="K12" i="100" s="1"/>
  <c r="I11" i="100"/>
  <c r="K11" i="100" s="1"/>
  <c r="I10" i="100"/>
  <c r="K10" i="100" s="1"/>
  <c r="I9" i="100"/>
  <c r="K9" i="100" s="1"/>
  <c r="I8" i="100"/>
  <c r="K8" i="100" s="1"/>
  <c r="I7" i="100"/>
  <c r="K7" i="100" s="1"/>
  <c r="I6" i="100"/>
  <c r="J6" i="100" s="1"/>
  <c r="I5" i="100"/>
  <c r="J5" i="100" s="1"/>
  <c r="H3" i="100"/>
  <c r="H2" i="100"/>
  <c r="K326" i="100" l="1"/>
  <c r="J340" i="100"/>
  <c r="K355" i="100"/>
  <c r="J46" i="100"/>
  <c r="J126" i="100"/>
  <c r="K307" i="100"/>
  <c r="J393" i="100"/>
  <c r="K356" i="100"/>
  <c r="J38" i="100"/>
  <c r="K146" i="100"/>
  <c r="K219" i="100"/>
  <c r="K203" i="100"/>
  <c r="K231" i="100"/>
  <c r="K238" i="100"/>
  <c r="J107" i="100"/>
  <c r="J198" i="100"/>
  <c r="K457" i="100"/>
  <c r="K512" i="100"/>
  <c r="J34" i="100"/>
  <c r="J436" i="100"/>
  <c r="K147" i="100"/>
  <c r="J154" i="100"/>
  <c r="J288" i="100"/>
  <c r="J162" i="100"/>
  <c r="K170" i="100"/>
  <c r="K239" i="100"/>
  <c r="J417" i="100"/>
  <c r="K448" i="100"/>
  <c r="J37" i="100"/>
  <c r="J131" i="100"/>
  <c r="K228" i="100"/>
  <c r="K293" i="100"/>
  <c r="J304" i="100"/>
  <c r="J318" i="100"/>
  <c r="K339" i="100"/>
  <c r="J412" i="100"/>
  <c r="J122" i="100"/>
  <c r="K220" i="100"/>
  <c r="J372" i="100"/>
  <c r="K16" i="100"/>
  <c r="J119" i="100"/>
  <c r="J449" i="100"/>
  <c r="K214" i="100"/>
  <c r="K143" i="100"/>
  <c r="K303" i="100"/>
  <c r="J110" i="100"/>
  <c r="J475" i="100"/>
  <c r="J498" i="100"/>
  <c r="J29" i="100"/>
  <c r="K39" i="100"/>
  <c r="J50" i="100"/>
  <c r="J127" i="100"/>
  <c r="J158" i="100"/>
  <c r="J229" i="100"/>
  <c r="K235" i="100"/>
  <c r="K247" i="100"/>
  <c r="K268" i="100"/>
  <c r="K327" i="100"/>
  <c r="J357" i="100"/>
  <c r="J385" i="100"/>
  <c r="J480" i="100"/>
  <c r="K18" i="100"/>
  <c r="J58" i="100"/>
  <c r="J123" i="100"/>
  <c r="J166" i="100"/>
  <c r="J236" i="100"/>
  <c r="J263" i="100"/>
  <c r="J310" i="100"/>
  <c r="J328" i="100"/>
  <c r="J380" i="100"/>
  <c r="J444" i="100"/>
  <c r="J488" i="100"/>
  <c r="J508" i="100"/>
  <c r="K31" i="100"/>
  <c r="J450" i="100"/>
  <c r="J476" i="100"/>
  <c r="J482" i="100"/>
  <c r="J26" i="100"/>
  <c r="K42" i="100"/>
  <c r="K47" i="100"/>
  <c r="J182" i="100"/>
  <c r="J218" i="100"/>
  <c r="K222" i="100"/>
  <c r="K227" i="100"/>
  <c r="K250" i="100"/>
  <c r="K277" i="100"/>
  <c r="K284" i="100"/>
  <c r="K302" i="100"/>
  <c r="J306" i="100"/>
  <c r="J341" i="100"/>
  <c r="J497" i="100"/>
  <c r="J297" i="100"/>
  <c r="J319" i="100"/>
  <c r="J404" i="100"/>
  <c r="J425" i="100"/>
  <c r="J451" i="100"/>
  <c r="K465" i="100"/>
  <c r="J472" i="100"/>
  <c r="J21" i="100"/>
  <c r="J30" i="100"/>
  <c r="J53" i="100"/>
  <c r="K167" i="100"/>
  <c r="J173" i="100"/>
  <c r="K243" i="100"/>
  <c r="J254" i="100"/>
  <c r="K266" i="100"/>
  <c r="J276" i="100"/>
  <c r="J280" i="100"/>
  <c r="J322" i="100"/>
  <c r="K331" i="100"/>
  <c r="K347" i="100"/>
  <c r="K363" i="100"/>
  <c r="J483" i="100"/>
  <c r="K5" i="100"/>
  <c r="J22" i="100"/>
  <c r="J45" i="100"/>
  <c r="J54" i="100"/>
  <c r="J103" i="100"/>
  <c r="J115" i="100"/>
  <c r="J142" i="100"/>
  <c r="J163" i="100"/>
  <c r="J174" i="100"/>
  <c r="K195" i="100"/>
  <c r="J244" i="100"/>
  <c r="K262" i="100"/>
  <c r="K267" i="100"/>
  <c r="K272" i="100"/>
  <c r="K281" i="100"/>
  <c r="K298" i="100"/>
  <c r="J312" i="100"/>
  <c r="K323" i="100"/>
  <c r="J332" i="100"/>
  <c r="J348" i="100"/>
  <c r="J364" i="100"/>
  <c r="K461" i="100"/>
  <c r="J474" i="100"/>
  <c r="J484" i="100"/>
  <c r="K496" i="100"/>
  <c r="J507" i="100"/>
  <c r="J159" i="100"/>
  <c r="J369" i="100"/>
  <c r="J388" i="100"/>
  <c r="J401" i="100"/>
  <c r="J420" i="100"/>
  <c r="J433" i="100"/>
  <c r="J491" i="100"/>
  <c r="J513" i="100"/>
  <c r="K299" i="100"/>
  <c r="K23" i="100"/>
  <c r="K55" i="100"/>
  <c r="J99" i="100"/>
  <c r="J111" i="100"/>
  <c r="J138" i="100"/>
  <c r="K211" i="100"/>
  <c r="J221" i="100"/>
  <c r="K230" i="100"/>
  <c r="K246" i="100"/>
  <c r="J258" i="100"/>
  <c r="J278" i="100"/>
  <c r="J333" i="100"/>
  <c r="J349" i="100"/>
  <c r="J365" i="100"/>
  <c r="J377" i="100"/>
  <c r="J396" i="100"/>
  <c r="J409" i="100"/>
  <c r="J428" i="100"/>
  <c r="J441" i="100"/>
  <c r="J492" i="100"/>
  <c r="J504" i="100"/>
  <c r="J12" i="100"/>
  <c r="K13" i="100"/>
  <c r="J17" i="100"/>
  <c r="K68" i="100"/>
  <c r="K76" i="100"/>
  <c r="K84" i="100"/>
  <c r="K92" i="100"/>
  <c r="K100" i="100"/>
  <c r="K108" i="100"/>
  <c r="J130" i="100"/>
  <c r="J134" i="100"/>
  <c r="J151" i="100"/>
  <c r="J155" i="100"/>
  <c r="J206" i="100"/>
  <c r="J252" i="100"/>
  <c r="J255" i="100"/>
  <c r="K259" i="100"/>
  <c r="K273" i="100"/>
  <c r="J286" i="100"/>
  <c r="K294" i="100"/>
  <c r="J311" i="100"/>
  <c r="K315" i="100"/>
  <c r="J335" i="100"/>
  <c r="J343" i="100"/>
  <c r="J351" i="100"/>
  <c r="J359" i="100"/>
  <c r="J370" i="100"/>
  <c r="J378" i="100"/>
  <c r="J386" i="100"/>
  <c r="J394" i="100"/>
  <c r="J402" i="100"/>
  <c r="J410" i="100"/>
  <c r="J418" i="100"/>
  <c r="J426" i="100"/>
  <c r="J434" i="100"/>
  <c r="J442" i="100"/>
  <c r="J456" i="100"/>
  <c r="J459" i="100"/>
  <c r="J464" i="100"/>
  <c r="J467" i="100"/>
  <c r="J500" i="100"/>
  <c r="J505" i="100"/>
  <c r="J11" i="100"/>
  <c r="J25" i="100"/>
  <c r="J33" i="100"/>
  <c r="J41" i="100"/>
  <c r="J49" i="100"/>
  <c r="J57" i="100"/>
  <c r="J66" i="100"/>
  <c r="J74" i="100"/>
  <c r="J82" i="100"/>
  <c r="J90" i="100"/>
  <c r="J98" i="100"/>
  <c r="J106" i="100"/>
  <c r="J114" i="100"/>
  <c r="J118" i="100"/>
  <c r="J135" i="100"/>
  <c r="J139" i="100"/>
  <c r="J190" i="100"/>
  <c r="K233" i="100"/>
  <c r="K241" i="100"/>
  <c r="J260" i="100"/>
  <c r="J271" i="100"/>
  <c r="J292" i="100"/>
  <c r="J320" i="100"/>
  <c r="K336" i="100"/>
  <c r="K344" i="100"/>
  <c r="K352" i="100"/>
  <c r="K360" i="100"/>
  <c r="J368" i="100"/>
  <c r="J371" i="100"/>
  <c r="J376" i="100"/>
  <c r="J379" i="100"/>
  <c r="J384" i="100"/>
  <c r="J387" i="100"/>
  <c r="J392" i="100"/>
  <c r="J395" i="100"/>
  <c r="J400" i="100"/>
  <c r="J403" i="100"/>
  <c r="J408" i="100"/>
  <c r="J411" i="100"/>
  <c r="J416" i="100"/>
  <c r="J419" i="100"/>
  <c r="J424" i="100"/>
  <c r="J427" i="100"/>
  <c r="J432" i="100"/>
  <c r="J435" i="100"/>
  <c r="J440" i="100"/>
  <c r="J443" i="100"/>
  <c r="J460" i="100"/>
  <c r="J468" i="100"/>
  <c r="J473" i="100"/>
  <c r="J481" i="100"/>
  <c r="J489" i="100"/>
  <c r="J514" i="100"/>
  <c r="J8" i="100"/>
  <c r="J62" i="100"/>
  <c r="J70" i="100"/>
  <c r="J78" i="100"/>
  <c r="J86" i="100"/>
  <c r="J94" i="100"/>
  <c r="J102" i="100"/>
  <c r="K179" i="100"/>
  <c r="J253" i="100"/>
  <c r="J452" i="100"/>
  <c r="K477" i="100"/>
  <c r="K485" i="100"/>
  <c r="J506" i="100"/>
  <c r="J515" i="100"/>
  <c r="J63" i="100"/>
  <c r="J67" i="100"/>
  <c r="J71" i="100"/>
  <c r="J75" i="100"/>
  <c r="J79" i="100"/>
  <c r="J83" i="100"/>
  <c r="J87" i="100"/>
  <c r="J91" i="100"/>
  <c r="J95" i="100"/>
  <c r="J490" i="100"/>
  <c r="J20" i="100"/>
  <c r="J150" i="100"/>
  <c r="K171" i="100"/>
  <c r="K187" i="100"/>
  <c r="K251" i="100"/>
  <c r="J269" i="100"/>
  <c r="K285" i="100"/>
  <c r="K289" i="100"/>
  <c r="J314" i="100"/>
  <c r="J334" i="100"/>
  <c r="J342" i="100"/>
  <c r="J350" i="100"/>
  <c r="J358" i="100"/>
  <c r="J366" i="100"/>
  <c r="K373" i="100"/>
  <c r="K381" i="100"/>
  <c r="K389" i="100"/>
  <c r="K397" i="100"/>
  <c r="K405" i="100"/>
  <c r="K413" i="100"/>
  <c r="K421" i="100"/>
  <c r="K429" i="100"/>
  <c r="K437" i="100"/>
  <c r="J458" i="100"/>
  <c r="J466" i="100"/>
  <c r="J499" i="100"/>
  <c r="J516" i="100"/>
  <c r="K192" i="100"/>
  <c r="J192" i="100"/>
  <c r="K502" i="100"/>
  <c r="J502" i="100"/>
  <c r="J32" i="100"/>
  <c r="J40" i="100"/>
  <c r="J69" i="100"/>
  <c r="J77" i="100"/>
  <c r="J85" i="100"/>
  <c r="J202" i="100"/>
  <c r="J242" i="100"/>
  <c r="J245" i="100"/>
  <c r="J321" i="100"/>
  <c r="K329" i="100"/>
  <c r="J329" i="100"/>
  <c r="K337" i="100"/>
  <c r="J337" i="100"/>
  <c r="K353" i="100"/>
  <c r="J353" i="100"/>
  <c r="K494" i="100"/>
  <c r="J494" i="100"/>
  <c r="K6" i="100"/>
  <c r="J9" i="100"/>
  <c r="K14" i="100"/>
  <c r="K19" i="100"/>
  <c r="K24" i="100"/>
  <c r="J27" i="100"/>
  <c r="J35" i="100"/>
  <c r="J43" i="100"/>
  <c r="K48" i="100"/>
  <c r="J51" i="100"/>
  <c r="K56" i="100"/>
  <c r="J59" i="100"/>
  <c r="K61" i="100"/>
  <c r="J64" i="100"/>
  <c r="J72" i="100"/>
  <c r="J80" i="100"/>
  <c r="J88" i="100"/>
  <c r="K93" i="100"/>
  <c r="J96" i="100"/>
  <c r="K101" i="100"/>
  <c r="J104" i="100"/>
  <c r="K109" i="100"/>
  <c r="J112" i="100"/>
  <c r="K117" i="100"/>
  <c r="J120" i="100"/>
  <c r="K125" i="100"/>
  <c r="J128" i="100"/>
  <c r="K133" i="100"/>
  <c r="J136" i="100"/>
  <c r="K141" i="100"/>
  <c r="J144" i="100"/>
  <c r="K149" i="100"/>
  <c r="J152" i="100"/>
  <c r="K157" i="100"/>
  <c r="J160" i="100"/>
  <c r="K165" i="100"/>
  <c r="J168" i="100"/>
  <c r="J177" i="100"/>
  <c r="J180" i="100"/>
  <c r="J183" i="100"/>
  <c r="K186" i="100"/>
  <c r="J193" i="100"/>
  <c r="J196" i="100"/>
  <c r="J199" i="100"/>
  <c r="J209" i="100"/>
  <c r="J212" i="100"/>
  <c r="J215" i="100"/>
  <c r="K232" i="100"/>
  <c r="J232" i="100"/>
  <c r="K256" i="100"/>
  <c r="J256" i="100"/>
  <c r="K274" i="100"/>
  <c r="J274" i="100"/>
  <c r="K282" i="100"/>
  <c r="J282" i="100"/>
  <c r="K290" i="100"/>
  <c r="J290" i="100"/>
  <c r="K330" i="100"/>
  <c r="J330" i="100"/>
  <c r="K338" i="100"/>
  <c r="J338" i="100"/>
  <c r="K346" i="100"/>
  <c r="J346" i="100"/>
  <c r="K354" i="100"/>
  <c r="J354" i="100"/>
  <c r="K362" i="100"/>
  <c r="J362" i="100"/>
  <c r="K470" i="100"/>
  <c r="J470" i="100"/>
  <c r="K478" i="100"/>
  <c r="J478" i="100"/>
  <c r="K486" i="100"/>
  <c r="J486" i="100"/>
  <c r="J205" i="100"/>
  <c r="K270" i="100"/>
  <c r="J270" i="100"/>
  <c r="J305" i="100"/>
  <c r="K361" i="100"/>
  <c r="J361" i="100"/>
  <c r="K257" i="100"/>
  <c r="J257" i="100"/>
  <c r="K275" i="100"/>
  <c r="J275" i="100"/>
  <c r="K283" i="100"/>
  <c r="J283" i="100"/>
  <c r="K291" i="100"/>
  <c r="J291" i="100"/>
  <c r="K454" i="100"/>
  <c r="J454" i="100"/>
  <c r="K462" i="100"/>
  <c r="J462" i="100"/>
  <c r="K249" i="100"/>
  <c r="J249" i="100"/>
  <c r="J313" i="100"/>
  <c r="K345" i="100"/>
  <c r="J345" i="100"/>
  <c r="J7" i="100"/>
  <c r="K184" i="100"/>
  <c r="J184" i="100"/>
  <c r="K200" i="100"/>
  <c r="J200" i="100"/>
  <c r="K216" i="100"/>
  <c r="J216" i="100"/>
  <c r="K264" i="100"/>
  <c r="J264" i="100"/>
  <c r="K295" i="100"/>
  <c r="J295" i="100"/>
  <c r="K446" i="100"/>
  <c r="J446" i="100"/>
  <c r="J189" i="100"/>
  <c r="K225" i="100"/>
  <c r="J15" i="100"/>
  <c r="J28" i="100"/>
  <c r="J44" i="100"/>
  <c r="J52" i="100"/>
  <c r="J60" i="100"/>
  <c r="J65" i="100"/>
  <c r="J73" i="100"/>
  <c r="J81" i="100"/>
  <c r="J89" i="100"/>
  <c r="J97" i="100"/>
  <c r="J105" i="100"/>
  <c r="J113" i="100"/>
  <c r="J121" i="100"/>
  <c r="J129" i="100"/>
  <c r="J137" i="100"/>
  <c r="J145" i="100"/>
  <c r="J153" i="100"/>
  <c r="J161" i="100"/>
  <c r="J169" i="100"/>
  <c r="J172" i="100"/>
  <c r="J178" i="100"/>
  <c r="J181" i="100"/>
  <c r="J194" i="100"/>
  <c r="J197" i="100"/>
  <c r="J210" i="100"/>
  <c r="J213" i="100"/>
  <c r="J223" i="100"/>
  <c r="K240" i="100"/>
  <c r="J240" i="100"/>
  <c r="J261" i="100"/>
  <c r="K265" i="100"/>
  <c r="J265" i="100"/>
  <c r="J279" i="100"/>
  <c r="J287" i="100"/>
  <c r="K296" i="100"/>
  <c r="J296" i="100"/>
  <c r="K374" i="100"/>
  <c r="J374" i="100"/>
  <c r="K382" i="100"/>
  <c r="J382" i="100"/>
  <c r="K390" i="100"/>
  <c r="J390" i="100"/>
  <c r="K398" i="100"/>
  <c r="J398" i="100"/>
  <c r="K406" i="100"/>
  <c r="J406" i="100"/>
  <c r="K414" i="100"/>
  <c r="J414" i="100"/>
  <c r="K422" i="100"/>
  <c r="J422" i="100"/>
  <c r="K430" i="100"/>
  <c r="J430" i="100"/>
  <c r="K438" i="100"/>
  <c r="J438" i="100"/>
  <c r="K208" i="100"/>
  <c r="J208" i="100"/>
  <c r="K248" i="100"/>
  <c r="J248" i="100"/>
  <c r="J10" i="100"/>
  <c r="J36" i="100"/>
  <c r="J116" i="100"/>
  <c r="J124" i="100"/>
  <c r="J132" i="100"/>
  <c r="J140" i="100"/>
  <c r="J148" i="100"/>
  <c r="J156" i="100"/>
  <c r="J164" i="100"/>
  <c r="J175" i="100"/>
  <c r="J185" i="100"/>
  <c r="J188" i="100"/>
  <c r="J191" i="100"/>
  <c r="J201" i="100"/>
  <c r="J204" i="100"/>
  <c r="J207" i="100"/>
  <c r="K217" i="100"/>
  <c r="J234" i="100"/>
  <c r="J237" i="100"/>
  <c r="K300" i="100"/>
  <c r="J300" i="100"/>
  <c r="K308" i="100"/>
  <c r="J308" i="100"/>
  <c r="K316" i="100"/>
  <c r="J316" i="100"/>
  <c r="K324" i="100"/>
  <c r="J324" i="100"/>
  <c r="K367" i="100"/>
  <c r="J367" i="100"/>
  <c r="K375" i="100"/>
  <c r="J375" i="100"/>
  <c r="K383" i="100"/>
  <c r="J383" i="100"/>
  <c r="K391" i="100"/>
  <c r="J391" i="100"/>
  <c r="K399" i="100"/>
  <c r="J399" i="100"/>
  <c r="K407" i="100"/>
  <c r="J407" i="100"/>
  <c r="K415" i="100"/>
  <c r="J415" i="100"/>
  <c r="K423" i="100"/>
  <c r="J423" i="100"/>
  <c r="K518" i="100"/>
  <c r="J518" i="100"/>
  <c r="K176" i="100"/>
  <c r="J176" i="100"/>
  <c r="K224" i="100"/>
  <c r="J224" i="100"/>
  <c r="K301" i="100"/>
  <c r="J301" i="100"/>
  <c r="K309" i="100"/>
  <c r="J309" i="100"/>
  <c r="K317" i="100"/>
  <c r="J317" i="100"/>
  <c r="K325" i="100"/>
  <c r="J325" i="100"/>
  <c r="K510" i="100"/>
  <c r="J510" i="100"/>
  <c r="J445" i="100"/>
  <c r="J453" i="100"/>
  <c r="J469" i="100"/>
  <c r="J493" i="100"/>
  <c r="J501" i="100"/>
  <c r="J509" i="100"/>
  <c r="J517" i="100"/>
  <c r="J431" i="100"/>
  <c r="J439" i="100"/>
  <c r="J447" i="100"/>
  <c r="J455" i="100"/>
  <c r="J463" i="100"/>
  <c r="J471" i="100"/>
  <c r="J479" i="100"/>
  <c r="J487" i="100"/>
  <c r="J495" i="100"/>
  <c r="J503" i="100"/>
  <c r="J511" i="100"/>
  <c r="J519" i="100"/>
  <c r="H68" i="83" l="1"/>
  <c r="I68" i="83" s="1"/>
  <c r="J68" i="83" l="1"/>
  <c r="G74" i="83" l="1"/>
  <c r="G381" i="83"/>
  <c r="G388" i="83"/>
  <c r="G438" i="83"/>
  <c r="G428" i="83"/>
  <c r="G380" i="83"/>
  <c r="G377" i="83"/>
  <c r="G373" i="83"/>
  <c r="G368" i="83"/>
  <c r="G367" i="83"/>
  <c r="G365" i="83"/>
  <c r="G164" i="83"/>
  <c r="G156" i="83"/>
  <c r="G128" i="83"/>
  <c r="G119" i="83"/>
  <c r="G83" i="83"/>
  <c r="G71" i="83"/>
  <c r="G66" i="83"/>
  <c r="G65" i="83"/>
  <c r="G63" i="83"/>
  <c r="G501" i="83"/>
  <c r="G198" i="83"/>
  <c r="G201" i="83"/>
  <c r="G411" i="83"/>
  <c r="G105" i="83"/>
  <c r="G436" i="83"/>
  <c r="G162" i="83"/>
  <c r="G433" i="83"/>
  <c r="G429" i="83"/>
  <c r="G439" i="83"/>
  <c r="I42" i="86" l="1"/>
  <c r="I41" i="86"/>
  <c r="I12" i="86"/>
  <c r="I13" i="86"/>
  <c r="I14" i="86"/>
  <c r="I15" i="86"/>
  <c r="I16" i="86"/>
  <c r="I17" i="86"/>
  <c r="I18" i="86"/>
  <c r="I19" i="86"/>
  <c r="I20" i="86"/>
  <c r="I21" i="86"/>
  <c r="I22" i="86"/>
  <c r="I23" i="86"/>
  <c r="I24" i="86"/>
  <c r="I25" i="86"/>
  <c r="I26" i="86"/>
  <c r="I27" i="86"/>
  <c r="I28" i="86"/>
  <c r="I29" i="86"/>
  <c r="I30" i="86"/>
  <c r="I31" i="86"/>
  <c r="I32" i="86"/>
  <c r="I33" i="86"/>
  <c r="I34" i="86"/>
  <c r="I35" i="86"/>
  <c r="I36" i="86"/>
  <c r="I37" i="86"/>
  <c r="I38" i="86"/>
  <c r="I39" i="86"/>
  <c r="I43" i="86"/>
  <c r="G486" i="83"/>
  <c r="G9" i="83"/>
  <c r="G21" i="83"/>
  <c r="H481" i="83"/>
  <c r="I481" i="83" s="1"/>
  <c r="H40" i="86" l="1"/>
  <c r="H11" i="86"/>
  <c r="I11" i="86" s="1"/>
  <c r="J481" i="83"/>
  <c r="I46" i="86"/>
  <c r="I47" i="86"/>
  <c r="I48" i="86"/>
  <c r="I49" i="86"/>
  <c r="I50" i="86"/>
  <c r="I51" i="86"/>
  <c r="I52" i="86"/>
  <c r="I53" i="86"/>
  <c r="I54" i="86"/>
  <c r="I55" i="86"/>
  <c r="I56" i="86"/>
  <c r="I57" i="86"/>
  <c r="I58" i="86"/>
  <c r="I59" i="86"/>
  <c r="I60" i="86"/>
  <c r="I61" i="86"/>
  <c r="I62" i="86"/>
  <c r="I63" i="86"/>
  <c r="I64" i="86"/>
  <c r="I65" i="86"/>
  <c r="I66" i="86"/>
  <c r="I67" i="86"/>
  <c r="I68" i="86"/>
  <c r="I69" i="86"/>
  <c r="I70" i="86"/>
  <c r="I71" i="86"/>
  <c r="I72" i="86"/>
  <c r="I73" i="86"/>
  <c r="I74" i="86"/>
  <c r="I75" i="86"/>
  <c r="I76" i="86"/>
  <c r="I77" i="86"/>
  <c r="I78" i="86"/>
  <c r="I79" i="86"/>
  <c r="I80" i="86"/>
  <c r="I81" i="86"/>
  <c r="I82" i="86"/>
  <c r="I83" i="86"/>
  <c r="I84" i="86"/>
  <c r="I85" i="86"/>
  <c r="I86" i="86"/>
  <c r="I87" i="86"/>
  <c r="I88" i="86"/>
  <c r="I89" i="86"/>
  <c r="I90" i="86"/>
  <c r="I91" i="86"/>
  <c r="I92" i="86"/>
  <c r="I93" i="86"/>
  <c r="I94" i="86"/>
  <c r="I95" i="86"/>
  <c r="I96" i="86"/>
  <c r="I97" i="86"/>
  <c r="I98" i="86"/>
  <c r="I99" i="86"/>
  <c r="I100" i="86"/>
  <c r="I101" i="86"/>
  <c r="G441" i="83"/>
  <c r="I44" i="86" l="1"/>
  <c r="I45" i="86"/>
  <c r="G213" i="83"/>
  <c r="G2" i="83"/>
  <c r="H1" i="83" s="1"/>
  <c r="H674" i="83"/>
  <c r="H673" i="83"/>
  <c r="J673" i="83" s="1"/>
  <c r="H672" i="83"/>
  <c r="J672" i="83" s="1"/>
  <c r="H671" i="83"/>
  <c r="I671" i="83" s="1"/>
  <c r="H670" i="83"/>
  <c r="J670" i="83" s="1"/>
  <c r="H669" i="83"/>
  <c r="I669" i="83" s="1"/>
  <c r="H668" i="83"/>
  <c r="J668" i="83" s="1"/>
  <c r="H667" i="83"/>
  <c r="J667" i="83" s="1"/>
  <c r="H666" i="83"/>
  <c r="H665" i="83"/>
  <c r="J665" i="83" s="1"/>
  <c r="H664" i="83"/>
  <c r="J664" i="83" s="1"/>
  <c r="H663" i="83"/>
  <c r="I663" i="83" s="1"/>
  <c r="H662" i="83"/>
  <c r="J662" i="83" s="1"/>
  <c r="H661" i="83"/>
  <c r="I661" i="83" s="1"/>
  <c r="H660" i="83"/>
  <c r="J660" i="83" s="1"/>
  <c r="H659" i="83"/>
  <c r="I659" i="83" s="1"/>
  <c r="H658" i="83"/>
  <c r="H657" i="83"/>
  <c r="J657" i="83" s="1"/>
  <c r="H656" i="83"/>
  <c r="I656" i="83" s="1"/>
  <c r="H655" i="83"/>
  <c r="I655" i="83" s="1"/>
  <c r="H654" i="83"/>
  <c r="J654" i="83" s="1"/>
  <c r="H653" i="83"/>
  <c r="I653" i="83" s="1"/>
  <c r="H652" i="83"/>
  <c r="J652" i="83" s="1"/>
  <c r="H651" i="83"/>
  <c r="J651" i="83" s="1"/>
  <c r="H650" i="83"/>
  <c r="H649" i="83"/>
  <c r="J649" i="83" s="1"/>
  <c r="H648" i="83"/>
  <c r="I648" i="83" s="1"/>
  <c r="H647" i="83"/>
  <c r="I647" i="83" s="1"/>
  <c r="H646" i="83"/>
  <c r="J646" i="83" s="1"/>
  <c r="H645" i="83"/>
  <c r="I645" i="83" s="1"/>
  <c r="H644" i="83"/>
  <c r="J644" i="83" s="1"/>
  <c r="H643" i="83"/>
  <c r="J643" i="83" s="1"/>
  <c r="H642" i="83"/>
  <c r="H641" i="83"/>
  <c r="J641" i="83" s="1"/>
  <c r="H640" i="83"/>
  <c r="J640" i="83" s="1"/>
  <c r="H639" i="83"/>
  <c r="I639" i="83" s="1"/>
  <c r="H638" i="83"/>
  <c r="J638" i="83" s="1"/>
  <c r="H637" i="83"/>
  <c r="I637" i="83" s="1"/>
  <c r="H636" i="83"/>
  <c r="J636" i="83" s="1"/>
  <c r="H635" i="83"/>
  <c r="I635" i="83" s="1"/>
  <c r="H634" i="83"/>
  <c r="H633" i="83"/>
  <c r="J633" i="83" s="1"/>
  <c r="H632" i="83"/>
  <c r="J632" i="83" s="1"/>
  <c r="H631" i="83"/>
  <c r="I631" i="83" s="1"/>
  <c r="H630" i="83"/>
  <c r="J630" i="83" s="1"/>
  <c r="H629" i="83"/>
  <c r="I629" i="83" s="1"/>
  <c r="H628" i="83"/>
  <c r="J628" i="83" s="1"/>
  <c r="H627" i="83"/>
  <c r="J627" i="83" s="1"/>
  <c r="H626" i="83"/>
  <c r="H625" i="83"/>
  <c r="J625" i="83" s="1"/>
  <c r="H624" i="83"/>
  <c r="J624" i="83" s="1"/>
  <c r="H623" i="83"/>
  <c r="I623" i="83" s="1"/>
  <c r="H622" i="83"/>
  <c r="J622" i="83" s="1"/>
  <c r="H621" i="83"/>
  <c r="I621" i="83" s="1"/>
  <c r="H620" i="83"/>
  <c r="J620" i="83" s="1"/>
  <c r="H619" i="83"/>
  <c r="J619" i="83" s="1"/>
  <c r="H618" i="83"/>
  <c r="H617" i="83"/>
  <c r="J617" i="83" s="1"/>
  <c r="H616" i="83"/>
  <c r="I616" i="83" s="1"/>
  <c r="H615" i="83"/>
  <c r="I615" i="83" s="1"/>
  <c r="H614" i="83"/>
  <c r="J614" i="83" s="1"/>
  <c r="H613" i="83"/>
  <c r="I613" i="83" s="1"/>
  <c r="H612" i="83"/>
  <c r="J612" i="83" s="1"/>
  <c r="H611" i="83"/>
  <c r="I611" i="83" s="1"/>
  <c r="H610" i="83"/>
  <c r="H609" i="83"/>
  <c r="J609" i="83" s="1"/>
  <c r="H608" i="83"/>
  <c r="J608" i="83" s="1"/>
  <c r="H607" i="83"/>
  <c r="I607" i="83" s="1"/>
  <c r="H606" i="83"/>
  <c r="J606" i="83" s="1"/>
  <c r="H605" i="83"/>
  <c r="H604" i="83"/>
  <c r="J604" i="83" s="1"/>
  <c r="H603" i="83"/>
  <c r="I603" i="83" s="1"/>
  <c r="H602" i="83"/>
  <c r="H601" i="83"/>
  <c r="J601" i="83" s="1"/>
  <c r="H600" i="83"/>
  <c r="I600" i="83" s="1"/>
  <c r="H599" i="83"/>
  <c r="I599" i="83" s="1"/>
  <c r="H598" i="83"/>
  <c r="I598" i="83" s="1"/>
  <c r="H597" i="83"/>
  <c r="H596" i="83"/>
  <c r="J596" i="83" s="1"/>
  <c r="H595" i="83"/>
  <c r="J595" i="83" s="1"/>
  <c r="H594" i="83"/>
  <c r="H593" i="83"/>
  <c r="J593" i="83" s="1"/>
  <c r="H592" i="83"/>
  <c r="I592" i="83" s="1"/>
  <c r="H591" i="83"/>
  <c r="I591" i="83" s="1"/>
  <c r="H590" i="83"/>
  <c r="J590" i="83" s="1"/>
  <c r="H589" i="83"/>
  <c r="H588" i="83"/>
  <c r="J588" i="83" s="1"/>
  <c r="H587" i="83"/>
  <c r="J587" i="83" s="1"/>
  <c r="H586" i="83"/>
  <c r="H585" i="83"/>
  <c r="J585" i="83" s="1"/>
  <c r="H584" i="83"/>
  <c r="J584" i="83" s="1"/>
  <c r="H583" i="83"/>
  <c r="I583" i="83" s="1"/>
  <c r="H582" i="83"/>
  <c r="I582" i="83" s="1"/>
  <c r="H581" i="83"/>
  <c r="H580" i="83"/>
  <c r="J580" i="83" s="1"/>
  <c r="H579" i="83"/>
  <c r="I579" i="83" s="1"/>
  <c r="H578" i="83"/>
  <c r="H577" i="83"/>
  <c r="J577" i="83" s="1"/>
  <c r="H576" i="83"/>
  <c r="I576" i="83" s="1"/>
  <c r="H575" i="83"/>
  <c r="I575" i="83" s="1"/>
  <c r="H574" i="83"/>
  <c r="J574" i="83" s="1"/>
  <c r="H573" i="83"/>
  <c r="H572" i="83"/>
  <c r="J572" i="83" s="1"/>
  <c r="H571" i="83"/>
  <c r="I571" i="83" s="1"/>
  <c r="H570" i="83"/>
  <c r="H569" i="83"/>
  <c r="J569" i="83" s="1"/>
  <c r="H568" i="83"/>
  <c r="I568" i="83" s="1"/>
  <c r="H567" i="83"/>
  <c r="I567" i="83" s="1"/>
  <c r="H566" i="83"/>
  <c r="J566" i="83" s="1"/>
  <c r="H565" i="83"/>
  <c r="I565" i="83" s="1"/>
  <c r="H564" i="83"/>
  <c r="J564" i="83" s="1"/>
  <c r="H563" i="83"/>
  <c r="I563" i="83" s="1"/>
  <c r="H562" i="83"/>
  <c r="H561" i="83"/>
  <c r="J561" i="83" s="1"/>
  <c r="H560" i="83"/>
  <c r="J560" i="83" s="1"/>
  <c r="H559" i="83"/>
  <c r="I559" i="83" s="1"/>
  <c r="H558" i="83"/>
  <c r="I558" i="83" s="1"/>
  <c r="H557" i="83"/>
  <c r="I557" i="83" s="1"/>
  <c r="H556" i="83"/>
  <c r="J556" i="83" s="1"/>
  <c r="H555" i="83"/>
  <c r="I555" i="83" s="1"/>
  <c r="H554" i="83"/>
  <c r="H553" i="83"/>
  <c r="J553" i="83" s="1"/>
  <c r="H552" i="83"/>
  <c r="I552" i="83" s="1"/>
  <c r="H551" i="83"/>
  <c r="I551" i="83" s="1"/>
  <c r="H550" i="83"/>
  <c r="I550" i="83" s="1"/>
  <c r="H549" i="83"/>
  <c r="I549" i="83" s="1"/>
  <c r="H548" i="83"/>
  <c r="J548" i="83" s="1"/>
  <c r="H547" i="83"/>
  <c r="I547" i="83" s="1"/>
  <c r="H546" i="83"/>
  <c r="H545" i="83"/>
  <c r="J545" i="83" s="1"/>
  <c r="H544" i="83"/>
  <c r="J544" i="83" s="1"/>
  <c r="H543" i="83"/>
  <c r="I543" i="83" s="1"/>
  <c r="H542" i="83"/>
  <c r="I542" i="83" s="1"/>
  <c r="H541" i="83"/>
  <c r="I541" i="83" s="1"/>
  <c r="H540" i="83"/>
  <c r="J540" i="83" s="1"/>
  <c r="H539" i="83"/>
  <c r="I539" i="83" s="1"/>
  <c r="H538" i="83"/>
  <c r="H537" i="83"/>
  <c r="J537" i="83" s="1"/>
  <c r="H536" i="83"/>
  <c r="I536" i="83" s="1"/>
  <c r="H535" i="83"/>
  <c r="I535" i="83" s="1"/>
  <c r="H534" i="83"/>
  <c r="I534" i="83" s="1"/>
  <c r="H533" i="83"/>
  <c r="I533" i="83" s="1"/>
  <c r="H532" i="83"/>
  <c r="J532" i="83" s="1"/>
  <c r="H531" i="83"/>
  <c r="I531" i="83" s="1"/>
  <c r="H530" i="83"/>
  <c r="H529" i="83"/>
  <c r="J529" i="83" s="1"/>
  <c r="H528" i="83"/>
  <c r="J528" i="83" s="1"/>
  <c r="H527" i="83"/>
  <c r="I527" i="83" s="1"/>
  <c r="H526" i="83"/>
  <c r="I526" i="83" s="1"/>
  <c r="H525" i="83"/>
  <c r="I525" i="83" s="1"/>
  <c r="H524" i="83"/>
  <c r="J524" i="83" s="1"/>
  <c r="H523" i="83"/>
  <c r="J523" i="83" s="1"/>
  <c r="H522" i="83"/>
  <c r="J522" i="83" s="1"/>
  <c r="H521" i="83"/>
  <c r="J521" i="83" s="1"/>
  <c r="H520" i="83"/>
  <c r="H519" i="83"/>
  <c r="I519" i="83" s="1"/>
  <c r="H518" i="83"/>
  <c r="I518" i="83" s="1"/>
  <c r="H517" i="83"/>
  <c r="H516" i="83"/>
  <c r="H44" i="83"/>
  <c r="I44" i="83" s="1"/>
  <c r="H515" i="83"/>
  <c r="I515" i="83" s="1"/>
  <c r="H514" i="83"/>
  <c r="H513" i="83"/>
  <c r="H512" i="83"/>
  <c r="J512" i="83" s="1"/>
  <c r="H511" i="83"/>
  <c r="J511" i="83" s="1"/>
  <c r="H510" i="83"/>
  <c r="I510" i="83" s="1"/>
  <c r="H509" i="83"/>
  <c r="I509" i="83" s="1"/>
  <c r="H508" i="83"/>
  <c r="I508" i="83" s="1"/>
  <c r="H507" i="83"/>
  <c r="I507" i="83" s="1"/>
  <c r="H506" i="83"/>
  <c r="H505" i="83"/>
  <c r="J505" i="83" s="1"/>
  <c r="H504" i="83"/>
  <c r="J504" i="83" s="1"/>
  <c r="H503" i="83"/>
  <c r="J503" i="83" s="1"/>
  <c r="H502" i="83"/>
  <c r="J502" i="83" s="1"/>
  <c r="H501" i="83"/>
  <c r="I501" i="83" s="1"/>
  <c r="H500" i="83"/>
  <c r="I500" i="83" s="1"/>
  <c r="H499" i="83"/>
  <c r="I499" i="83" s="1"/>
  <c r="H498" i="83"/>
  <c r="H497" i="83"/>
  <c r="J497" i="83" s="1"/>
  <c r="H496" i="83"/>
  <c r="J496" i="83" s="1"/>
  <c r="H495" i="83"/>
  <c r="J495" i="83" s="1"/>
  <c r="H494" i="83"/>
  <c r="J494" i="83" s="1"/>
  <c r="H493" i="83"/>
  <c r="I493" i="83" s="1"/>
  <c r="H492" i="83"/>
  <c r="J492" i="83" s="1"/>
  <c r="H491" i="83"/>
  <c r="I491" i="83" s="1"/>
  <c r="H490" i="83"/>
  <c r="H489" i="83"/>
  <c r="J489" i="83" s="1"/>
  <c r="H488" i="83"/>
  <c r="J488" i="83" s="1"/>
  <c r="H487" i="83"/>
  <c r="J487" i="83" s="1"/>
  <c r="H486" i="83"/>
  <c r="J486" i="83" s="1"/>
  <c r="H485" i="83"/>
  <c r="I485" i="83" s="1"/>
  <c r="H484" i="83"/>
  <c r="I484" i="83" s="1"/>
  <c r="H483" i="83"/>
  <c r="I483" i="83" s="1"/>
  <c r="H482" i="83"/>
  <c r="H480" i="83"/>
  <c r="J480" i="83" s="1"/>
  <c r="H479" i="83"/>
  <c r="J479" i="83" s="1"/>
  <c r="H478" i="83"/>
  <c r="H477" i="83"/>
  <c r="I477" i="83" s="1"/>
  <c r="H476" i="83"/>
  <c r="J476" i="83" s="1"/>
  <c r="H475" i="83"/>
  <c r="H474" i="83"/>
  <c r="H473" i="83"/>
  <c r="J473" i="83" s="1"/>
  <c r="H472" i="83"/>
  <c r="I472" i="83" s="1"/>
  <c r="H471" i="83"/>
  <c r="J471" i="83" s="1"/>
  <c r="H470" i="83"/>
  <c r="J470" i="83" s="1"/>
  <c r="H469" i="83"/>
  <c r="I469" i="83" s="1"/>
  <c r="H468" i="83"/>
  <c r="J468" i="83" s="1"/>
  <c r="H467" i="83"/>
  <c r="I467" i="83" s="1"/>
  <c r="H466" i="83"/>
  <c r="H465" i="83"/>
  <c r="I465" i="83" s="1"/>
  <c r="H464" i="83"/>
  <c r="J464" i="83" s="1"/>
  <c r="H463" i="83"/>
  <c r="H462" i="83"/>
  <c r="I462" i="83" s="1"/>
  <c r="H461" i="83"/>
  <c r="J461" i="83" s="1"/>
  <c r="H460" i="83"/>
  <c r="J460" i="83" s="1"/>
  <c r="H459" i="83"/>
  <c r="J459" i="83" s="1"/>
  <c r="H458" i="83"/>
  <c r="I458" i="83" s="1"/>
  <c r="H457" i="83"/>
  <c r="H456" i="83"/>
  <c r="J456" i="83" s="1"/>
  <c r="H455" i="83"/>
  <c r="J455" i="83" s="1"/>
  <c r="H454" i="83"/>
  <c r="H453" i="83"/>
  <c r="J453" i="83" s="1"/>
  <c r="H452" i="83"/>
  <c r="J452" i="83" s="1"/>
  <c r="H451" i="83"/>
  <c r="J451" i="83" s="1"/>
  <c r="H450" i="83"/>
  <c r="I450" i="83" s="1"/>
  <c r="H449" i="83"/>
  <c r="J449" i="83" s="1"/>
  <c r="H448" i="83"/>
  <c r="J448" i="83" s="1"/>
  <c r="H447" i="83"/>
  <c r="J447" i="83" s="1"/>
  <c r="H446" i="83"/>
  <c r="J446" i="83" s="1"/>
  <c r="H445" i="83"/>
  <c r="J445" i="83" s="1"/>
  <c r="H444" i="83"/>
  <c r="J444" i="83" s="1"/>
  <c r="H443" i="83"/>
  <c r="I443" i="83" s="1"/>
  <c r="H442" i="83"/>
  <c r="I442" i="83" s="1"/>
  <c r="N441" i="83"/>
  <c r="H441" i="83"/>
  <c r="J441" i="83" s="1"/>
  <c r="N440" i="83"/>
  <c r="H440" i="83"/>
  <c r="I440" i="83" s="1"/>
  <c r="N439" i="83"/>
  <c r="H439" i="83"/>
  <c r="J439" i="83" s="1"/>
  <c r="N438" i="83"/>
  <c r="H438" i="83"/>
  <c r="N437" i="83"/>
  <c r="H437" i="83"/>
  <c r="N436" i="83"/>
  <c r="H436" i="83"/>
  <c r="I436" i="83" s="1"/>
  <c r="N435" i="83"/>
  <c r="H435" i="83"/>
  <c r="I435" i="83" s="1"/>
  <c r="N434" i="83"/>
  <c r="H434" i="83"/>
  <c r="I434" i="83" s="1"/>
  <c r="N433" i="83"/>
  <c r="H433" i="83"/>
  <c r="J433" i="83" s="1"/>
  <c r="N432" i="83"/>
  <c r="H432" i="83"/>
  <c r="I432" i="83" s="1"/>
  <c r="N431" i="83"/>
  <c r="H431" i="83"/>
  <c r="J431" i="83" s="1"/>
  <c r="N430" i="83"/>
  <c r="H430" i="83"/>
  <c r="I430" i="83" s="1"/>
  <c r="N429" i="83"/>
  <c r="H429" i="83"/>
  <c r="I429" i="83" s="1"/>
  <c r="N428" i="83"/>
  <c r="H428" i="83"/>
  <c r="N427" i="83"/>
  <c r="H427" i="83"/>
  <c r="J427" i="83" s="1"/>
  <c r="N426" i="83"/>
  <c r="H426" i="83"/>
  <c r="I426" i="83" s="1"/>
  <c r="N425" i="83"/>
  <c r="H425" i="83"/>
  <c r="I425" i="83" s="1"/>
  <c r="N424" i="83"/>
  <c r="H424" i="83"/>
  <c r="I424" i="83" s="1"/>
  <c r="N423" i="83"/>
  <c r="H423" i="83"/>
  <c r="J423" i="83" s="1"/>
  <c r="N422" i="83"/>
  <c r="H422" i="83"/>
  <c r="N421" i="83"/>
  <c r="H421" i="83"/>
  <c r="N420" i="83"/>
  <c r="H420" i="83"/>
  <c r="N419" i="83"/>
  <c r="H419" i="83"/>
  <c r="I419" i="83" s="1"/>
  <c r="N418" i="83"/>
  <c r="H418" i="83"/>
  <c r="I418" i="83" s="1"/>
  <c r="N417" i="83"/>
  <c r="H417" i="83"/>
  <c r="I417" i="83" s="1"/>
  <c r="N416" i="83"/>
  <c r="H416" i="83"/>
  <c r="I416" i="83" s="1"/>
  <c r="N415" i="83"/>
  <c r="H415" i="83"/>
  <c r="N414" i="83"/>
  <c r="H414" i="83"/>
  <c r="I414" i="83" s="1"/>
  <c r="N413" i="83"/>
  <c r="H413" i="83"/>
  <c r="I413" i="83" s="1"/>
  <c r="N412" i="83"/>
  <c r="H412" i="83"/>
  <c r="N411" i="83"/>
  <c r="H411" i="83"/>
  <c r="I411" i="83" s="1"/>
  <c r="N410" i="83"/>
  <c r="H410" i="83"/>
  <c r="I410" i="83" s="1"/>
  <c r="N409" i="83"/>
  <c r="H409" i="83"/>
  <c r="I409" i="83" s="1"/>
  <c r="N408" i="83"/>
  <c r="H408" i="83"/>
  <c r="I408" i="83" s="1"/>
  <c r="N407" i="83"/>
  <c r="H407" i="83"/>
  <c r="J407" i="83" s="1"/>
  <c r="N406" i="83"/>
  <c r="H406" i="83"/>
  <c r="N405" i="83"/>
  <c r="H405" i="83"/>
  <c r="I405" i="83" s="1"/>
  <c r="N404" i="83"/>
  <c r="H404" i="83"/>
  <c r="N403" i="83"/>
  <c r="H403" i="83"/>
  <c r="J403" i="83" s="1"/>
  <c r="N402" i="83"/>
  <c r="H402" i="83"/>
  <c r="I402" i="83" s="1"/>
  <c r="N401" i="83"/>
  <c r="H401" i="83"/>
  <c r="J401" i="83" s="1"/>
  <c r="N400" i="83"/>
  <c r="H400" i="83"/>
  <c r="I400" i="83" s="1"/>
  <c r="N399" i="83"/>
  <c r="H399" i="83"/>
  <c r="J399" i="83" s="1"/>
  <c r="N398" i="83"/>
  <c r="H398" i="83"/>
  <c r="N397" i="83"/>
  <c r="H397" i="83"/>
  <c r="I397" i="83" s="1"/>
  <c r="N396" i="83"/>
  <c r="H396" i="83"/>
  <c r="I396" i="83" s="1"/>
  <c r="N395" i="83"/>
  <c r="H395" i="83"/>
  <c r="J395" i="83" s="1"/>
  <c r="N394" i="83"/>
  <c r="H394" i="83"/>
  <c r="N393" i="83"/>
  <c r="H393" i="83"/>
  <c r="I393" i="83" s="1"/>
  <c r="N392" i="83"/>
  <c r="H392" i="83"/>
  <c r="I392" i="83" s="1"/>
  <c r="N391" i="83"/>
  <c r="H391" i="83"/>
  <c r="J391" i="83" s="1"/>
  <c r="N390" i="83"/>
  <c r="H390" i="83"/>
  <c r="N389" i="83"/>
  <c r="H389" i="83"/>
  <c r="I389" i="83" s="1"/>
  <c r="N388" i="83"/>
  <c r="H388" i="83"/>
  <c r="I388" i="83" s="1"/>
  <c r="N387" i="83"/>
  <c r="H387" i="83"/>
  <c r="I387" i="83" s="1"/>
  <c r="N386" i="83"/>
  <c r="H386" i="83"/>
  <c r="N385" i="83"/>
  <c r="H385" i="83"/>
  <c r="I385" i="83" s="1"/>
  <c r="N384" i="83"/>
  <c r="H384" i="83"/>
  <c r="I384" i="83" s="1"/>
  <c r="N383" i="83"/>
  <c r="H383" i="83"/>
  <c r="I383" i="83" s="1"/>
  <c r="N382" i="83"/>
  <c r="H382" i="83"/>
  <c r="I382" i="83" s="1"/>
  <c r="N381" i="83"/>
  <c r="H381" i="83"/>
  <c r="I381" i="83" s="1"/>
  <c r="N380" i="83"/>
  <c r="H380" i="83"/>
  <c r="I380" i="83" s="1"/>
  <c r="N379" i="83"/>
  <c r="H379" i="83"/>
  <c r="I379" i="83" s="1"/>
  <c r="N378" i="83"/>
  <c r="H378" i="83"/>
  <c r="N377" i="83"/>
  <c r="H377" i="83"/>
  <c r="I377" i="83" s="1"/>
  <c r="N376" i="83"/>
  <c r="H376" i="83"/>
  <c r="I376" i="83" s="1"/>
  <c r="N375" i="83"/>
  <c r="H375" i="83"/>
  <c r="I375" i="83" s="1"/>
  <c r="N374" i="83"/>
  <c r="H374" i="83"/>
  <c r="I374" i="83" s="1"/>
  <c r="N373" i="83"/>
  <c r="H373" i="83"/>
  <c r="I373" i="83" s="1"/>
  <c r="N372" i="83"/>
  <c r="H372" i="83"/>
  <c r="I372" i="83" s="1"/>
  <c r="N371" i="83"/>
  <c r="H371" i="83"/>
  <c r="I371" i="83" s="1"/>
  <c r="N370" i="83"/>
  <c r="H370" i="83"/>
  <c r="N369" i="83"/>
  <c r="H369" i="83"/>
  <c r="I369" i="83" s="1"/>
  <c r="N368" i="83"/>
  <c r="H368" i="83"/>
  <c r="I368" i="83" s="1"/>
  <c r="N367" i="83"/>
  <c r="H367" i="83"/>
  <c r="I367" i="83" s="1"/>
  <c r="N366" i="83"/>
  <c r="H366" i="83"/>
  <c r="I366" i="83" s="1"/>
  <c r="N365" i="83"/>
  <c r="H365" i="83"/>
  <c r="I365" i="83" s="1"/>
  <c r="N364" i="83"/>
  <c r="H364" i="83"/>
  <c r="I364" i="83" s="1"/>
  <c r="N363" i="83"/>
  <c r="H363" i="83"/>
  <c r="I363" i="83" s="1"/>
  <c r="N362" i="83"/>
  <c r="H362" i="83"/>
  <c r="N361" i="83"/>
  <c r="H361" i="83"/>
  <c r="I361" i="83" s="1"/>
  <c r="N360" i="83"/>
  <c r="H360" i="83"/>
  <c r="I360" i="83" s="1"/>
  <c r="N359" i="83"/>
  <c r="H359" i="83"/>
  <c r="I359" i="83" s="1"/>
  <c r="N358" i="83"/>
  <c r="H358" i="83"/>
  <c r="I358" i="83" s="1"/>
  <c r="N357" i="83"/>
  <c r="H357" i="83"/>
  <c r="I357" i="83" s="1"/>
  <c r="N356" i="83"/>
  <c r="H356" i="83"/>
  <c r="I356" i="83" s="1"/>
  <c r="N355" i="83"/>
  <c r="H355" i="83"/>
  <c r="I355" i="83" s="1"/>
  <c r="N354" i="83"/>
  <c r="H354" i="83"/>
  <c r="N353" i="83"/>
  <c r="H353" i="83"/>
  <c r="I353" i="83" s="1"/>
  <c r="N352" i="83"/>
  <c r="H352" i="83"/>
  <c r="I352" i="83" s="1"/>
  <c r="N351" i="83"/>
  <c r="H351" i="83"/>
  <c r="I351" i="83" s="1"/>
  <c r="N350" i="83"/>
  <c r="H350" i="83"/>
  <c r="I350" i="83" s="1"/>
  <c r="N349" i="83"/>
  <c r="H349" i="83"/>
  <c r="I349" i="83" s="1"/>
  <c r="N348" i="83"/>
  <c r="H348" i="83"/>
  <c r="I348" i="83" s="1"/>
  <c r="N347" i="83"/>
  <c r="H347" i="83"/>
  <c r="I347" i="83" s="1"/>
  <c r="N346" i="83"/>
  <c r="H346" i="83"/>
  <c r="N345" i="83"/>
  <c r="H345" i="83"/>
  <c r="I345" i="83" s="1"/>
  <c r="N344" i="83"/>
  <c r="H344" i="83"/>
  <c r="I344" i="83" s="1"/>
  <c r="N343" i="83"/>
  <c r="H343" i="83"/>
  <c r="I343" i="83" s="1"/>
  <c r="N342" i="83"/>
  <c r="H342" i="83"/>
  <c r="I342" i="83" s="1"/>
  <c r="N341" i="83"/>
  <c r="H341" i="83"/>
  <c r="I341" i="83" s="1"/>
  <c r="N340" i="83"/>
  <c r="H340" i="83"/>
  <c r="I340" i="83" s="1"/>
  <c r="N339" i="83"/>
  <c r="H339" i="83"/>
  <c r="I339" i="83" s="1"/>
  <c r="N338" i="83"/>
  <c r="H338" i="83"/>
  <c r="N337" i="83"/>
  <c r="H337" i="83"/>
  <c r="I337" i="83" s="1"/>
  <c r="N336" i="83"/>
  <c r="H336" i="83"/>
  <c r="I336" i="83" s="1"/>
  <c r="N335" i="83"/>
  <c r="H335" i="83"/>
  <c r="I335" i="83" s="1"/>
  <c r="N334" i="83"/>
  <c r="H334" i="83"/>
  <c r="I334" i="83" s="1"/>
  <c r="N333" i="83"/>
  <c r="H333" i="83"/>
  <c r="I333" i="83" s="1"/>
  <c r="N332" i="83"/>
  <c r="H332" i="83"/>
  <c r="I332" i="83" s="1"/>
  <c r="N331" i="83"/>
  <c r="H331" i="83"/>
  <c r="N330" i="83"/>
  <c r="H330" i="83"/>
  <c r="I330" i="83" s="1"/>
  <c r="N329" i="83"/>
  <c r="H329" i="83"/>
  <c r="I329" i="83" s="1"/>
  <c r="N328" i="83"/>
  <c r="H328" i="83"/>
  <c r="I328" i="83" s="1"/>
  <c r="N327" i="83"/>
  <c r="H327" i="83"/>
  <c r="I327" i="83" s="1"/>
  <c r="N326" i="83"/>
  <c r="H326" i="83"/>
  <c r="I326" i="83" s="1"/>
  <c r="N325" i="83"/>
  <c r="H325" i="83"/>
  <c r="I325" i="83" s="1"/>
  <c r="N324" i="83"/>
  <c r="H324" i="83"/>
  <c r="I324" i="83" s="1"/>
  <c r="N323" i="83"/>
  <c r="H323" i="83"/>
  <c r="N322" i="83"/>
  <c r="H322" i="83"/>
  <c r="J322" i="83" s="1"/>
  <c r="N321" i="83"/>
  <c r="H321" i="83"/>
  <c r="I321" i="83" s="1"/>
  <c r="N320" i="83"/>
  <c r="H320" i="83"/>
  <c r="I320" i="83" s="1"/>
  <c r="N319" i="83"/>
  <c r="H319" i="83"/>
  <c r="I319" i="83" s="1"/>
  <c r="N318" i="83"/>
  <c r="H318" i="83"/>
  <c r="I318" i="83" s="1"/>
  <c r="N317" i="83"/>
  <c r="H317" i="83"/>
  <c r="I317" i="83" s="1"/>
  <c r="N316" i="83"/>
  <c r="H316" i="83"/>
  <c r="N315" i="83"/>
  <c r="H315" i="83"/>
  <c r="I315" i="83" s="1"/>
  <c r="N314" i="83"/>
  <c r="H314" i="83"/>
  <c r="I314" i="83" s="1"/>
  <c r="N313" i="83"/>
  <c r="H313" i="83"/>
  <c r="I313" i="83" s="1"/>
  <c r="N312" i="83"/>
  <c r="H312" i="83"/>
  <c r="J312" i="83" s="1"/>
  <c r="N311" i="83"/>
  <c r="H311" i="83"/>
  <c r="I311" i="83" s="1"/>
  <c r="N310" i="83"/>
  <c r="H310" i="83"/>
  <c r="J310" i="83" s="1"/>
  <c r="N309" i="83"/>
  <c r="H309" i="83"/>
  <c r="I309" i="83" s="1"/>
  <c r="N308" i="83"/>
  <c r="H308" i="83"/>
  <c r="J308" i="83" s="1"/>
  <c r="N307" i="83"/>
  <c r="H307" i="83"/>
  <c r="N306" i="83"/>
  <c r="H306" i="83"/>
  <c r="J306" i="83" s="1"/>
  <c r="N305" i="83"/>
  <c r="H305" i="83"/>
  <c r="I305" i="83" s="1"/>
  <c r="N304" i="83"/>
  <c r="H304" i="83"/>
  <c r="I304" i="83" s="1"/>
  <c r="N303" i="83"/>
  <c r="H303" i="83"/>
  <c r="I303" i="83" s="1"/>
  <c r="N302" i="83"/>
  <c r="H302" i="83"/>
  <c r="I302" i="83" s="1"/>
  <c r="N301" i="83"/>
  <c r="H301" i="83"/>
  <c r="I301" i="83" s="1"/>
  <c r="N300" i="83"/>
  <c r="H300" i="83"/>
  <c r="N299" i="83"/>
  <c r="H299" i="83"/>
  <c r="I299" i="83" s="1"/>
  <c r="N298" i="83"/>
  <c r="H298" i="83"/>
  <c r="I298" i="83" s="1"/>
  <c r="N297" i="83"/>
  <c r="H297" i="83"/>
  <c r="N296" i="83"/>
  <c r="H296" i="83"/>
  <c r="J296" i="83" s="1"/>
  <c r="N295" i="83"/>
  <c r="H295" i="83"/>
  <c r="I295" i="83" s="1"/>
  <c r="N294" i="83"/>
  <c r="H294" i="83"/>
  <c r="J294" i="83" s="1"/>
  <c r="N293" i="83"/>
  <c r="H293" i="83"/>
  <c r="I293" i="83" s="1"/>
  <c r="N292" i="83"/>
  <c r="H292" i="83"/>
  <c r="J292" i="83" s="1"/>
  <c r="N291" i="83"/>
  <c r="H291" i="83"/>
  <c r="N290" i="83"/>
  <c r="H290" i="83"/>
  <c r="N289" i="83"/>
  <c r="H289" i="83"/>
  <c r="I289" i="83" s="1"/>
  <c r="N288" i="83"/>
  <c r="H288" i="83"/>
  <c r="I288" i="83" s="1"/>
  <c r="N287" i="83"/>
  <c r="H287" i="83"/>
  <c r="I287" i="83" s="1"/>
  <c r="N286" i="83"/>
  <c r="H286" i="83"/>
  <c r="I286" i="83" s="1"/>
  <c r="N285" i="83"/>
  <c r="H285" i="83"/>
  <c r="I285" i="83" s="1"/>
  <c r="N284" i="83"/>
  <c r="H284" i="83"/>
  <c r="J284" i="83" s="1"/>
  <c r="N283" i="83"/>
  <c r="H283" i="83"/>
  <c r="I283" i="83" s="1"/>
  <c r="N282" i="83"/>
  <c r="H282" i="83"/>
  <c r="N281" i="83"/>
  <c r="H281" i="83"/>
  <c r="J281" i="83" s="1"/>
  <c r="N280" i="83"/>
  <c r="H280" i="83"/>
  <c r="I280" i="83" s="1"/>
  <c r="N279" i="83"/>
  <c r="H279" i="83"/>
  <c r="I279" i="83" s="1"/>
  <c r="N278" i="83"/>
  <c r="H278" i="83"/>
  <c r="I278" i="83" s="1"/>
  <c r="N277" i="83"/>
  <c r="H277" i="83"/>
  <c r="J277" i="83" s="1"/>
  <c r="N276" i="83"/>
  <c r="H276" i="83"/>
  <c r="N275" i="83"/>
  <c r="H275" i="83"/>
  <c r="I275" i="83" s="1"/>
  <c r="N274" i="83"/>
  <c r="H274" i="83"/>
  <c r="I274" i="83" s="1"/>
  <c r="N273" i="83"/>
  <c r="H273" i="83"/>
  <c r="J273" i="83" s="1"/>
  <c r="N272" i="83"/>
  <c r="H272" i="83"/>
  <c r="I272" i="83" s="1"/>
  <c r="N271" i="83"/>
  <c r="H271" i="83"/>
  <c r="J271" i="83" s="1"/>
  <c r="N270" i="83"/>
  <c r="H270" i="83"/>
  <c r="I270" i="83" s="1"/>
  <c r="N269" i="83"/>
  <c r="H269" i="83"/>
  <c r="N268" i="83"/>
  <c r="H268" i="83"/>
  <c r="I268" i="83" s="1"/>
  <c r="N267" i="83"/>
  <c r="H267" i="83"/>
  <c r="I267" i="83" s="1"/>
  <c r="N266" i="83"/>
  <c r="H266" i="83"/>
  <c r="I266" i="83" s="1"/>
  <c r="N265" i="83"/>
  <c r="H265" i="83"/>
  <c r="J265" i="83" s="1"/>
  <c r="N264" i="83"/>
  <c r="H264" i="83"/>
  <c r="I264" i="83" s="1"/>
  <c r="N263" i="83"/>
  <c r="H263" i="83"/>
  <c r="I263" i="83" s="1"/>
  <c r="N262" i="83"/>
  <c r="H262" i="83"/>
  <c r="I262" i="83" s="1"/>
  <c r="N261" i="83"/>
  <c r="H261" i="83"/>
  <c r="J261" i="83" s="1"/>
  <c r="N260" i="83"/>
  <c r="H260" i="83"/>
  <c r="N259" i="83"/>
  <c r="H259" i="83"/>
  <c r="I259" i="83" s="1"/>
  <c r="N258" i="83"/>
  <c r="H258" i="83"/>
  <c r="I258" i="83" s="1"/>
  <c r="N257" i="83"/>
  <c r="H257" i="83"/>
  <c r="J257" i="83" s="1"/>
  <c r="N256" i="83"/>
  <c r="H256" i="83"/>
  <c r="I256" i="83" s="1"/>
  <c r="N255" i="83"/>
  <c r="H255" i="83"/>
  <c r="J255" i="83" s="1"/>
  <c r="N254" i="83"/>
  <c r="H254" i="83"/>
  <c r="I254" i="83" s="1"/>
  <c r="N253" i="83"/>
  <c r="H253" i="83"/>
  <c r="N252" i="83"/>
  <c r="H252" i="83"/>
  <c r="I252" i="83" s="1"/>
  <c r="N251" i="83"/>
  <c r="H251" i="83"/>
  <c r="I251" i="83" s="1"/>
  <c r="N250" i="83"/>
  <c r="H250" i="83"/>
  <c r="I250" i="83" s="1"/>
  <c r="N249" i="83"/>
  <c r="H249" i="83"/>
  <c r="J249" i="83" s="1"/>
  <c r="N248" i="83"/>
  <c r="H248" i="83"/>
  <c r="I248" i="83" s="1"/>
  <c r="N247" i="83"/>
  <c r="H247" i="83"/>
  <c r="I247" i="83" s="1"/>
  <c r="N246" i="83"/>
  <c r="H246" i="83"/>
  <c r="I246" i="83" s="1"/>
  <c r="N245" i="83"/>
  <c r="H245" i="83"/>
  <c r="J245" i="83" s="1"/>
  <c r="N244" i="83"/>
  <c r="H244" i="83"/>
  <c r="N243" i="83"/>
  <c r="H243" i="83"/>
  <c r="I243" i="83" s="1"/>
  <c r="N242" i="83"/>
  <c r="H242" i="83"/>
  <c r="I242" i="83" s="1"/>
  <c r="N241" i="83"/>
  <c r="H241" i="83"/>
  <c r="J241" i="83" s="1"/>
  <c r="N240" i="83"/>
  <c r="H240" i="83"/>
  <c r="I240" i="83" s="1"/>
  <c r="N239" i="83"/>
  <c r="H239" i="83"/>
  <c r="J239" i="83" s="1"/>
  <c r="N238" i="83"/>
  <c r="H238" i="83"/>
  <c r="I238" i="83" s="1"/>
  <c r="N237" i="83"/>
  <c r="H237" i="83"/>
  <c r="N236" i="83"/>
  <c r="H236" i="83"/>
  <c r="I236" i="83" s="1"/>
  <c r="N235" i="83"/>
  <c r="H235" i="83"/>
  <c r="J235" i="83" s="1"/>
  <c r="N234" i="83"/>
  <c r="H234" i="83"/>
  <c r="I234" i="83" s="1"/>
  <c r="N233" i="83"/>
  <c r="H233" i="83"/>
  <c r="J233" i="83" s="1"/>
  <c r="N232" i="83"/>
  <c r="H232" i="83"/>
  <c r="I232" i="83" s="1"/>
  <c r="N231" i="83"/>
  <c r="H231" i="83"/>
  <c r="J231" i="83" s="1"/>
  <c r="N230" i="83"/>
  <c r="H230" i="83"/>
  <c r="I230" i="83" s="1"/>
  <c r="N229" i="83"/>
  <c r="H229" i="83"/>
  <c r="J229" i="83" s="1"/>
  <c r="N228" i="83"/>
  <c r="H228" i="83"/>
  <c r="N227" i="83"/>
  <c r="H227" i="83"/>
  <c r="I227" i="83" s="1"/>
  <c r="N226" i="83"/>
  <c r="H226" i="83"/>
  <c r="I226" i="83" s="1"/>
  <c r="N225" i="83"/>
  <c r="H225" i="83"/>
  <c r="J225" i="83" s="1"/>
  <c r="N224" i="83"/>
  <c r="H224" i="83"/>
  <c r="I224" i="83" s="1"/>
  <c r="N223" i="83"/>
  <c r="H223" i="83"/>
  <c r="N222" i="83"/>
  <c r="H222" i="83"/>
  <c r="I222" i="83" s="1"/>
  <c r="N221" i="83"/>
  <c r="H221" i="83"/>
  <c r="I221" i="83" s="1"/>
  <c r="N220" i="83"/>
  <c r="H220" i="83"/>
  <c r="I220" i="83" s="1"/>
  <c r="N219" i="83"/>
  <c r="H219" i="83"/>
  <c r="J219" i="83" s="1"/>
  <c r="N218" i="83"/>
  <c r="H218" i="83"/>
  <c r="N217" i="83"/>
  <c r="H217" i="83"/>
  <c r="J217" i="83" s="1"/>
  <c r="N216" i="83"/>
  <c r="H216" i="83"/>
  <c r="I216" i="83" s="1"/>
  <c r="N215" i="83"/>
  <c r="H215" i="83"/>
  <c r="J215" i="83" s="1"/>
  <c r="N214" i="83"/>
  <c r="H214" i="83"/>
  <c r="J214" i="83" s="1"/>
  <c r="N213" i="83"/>
  <c r="H213" i="83"/>
  <c r="N212" i="83"/>
  <c r="H212" i="83"/>
  <c r="I212" i="83" s="1"/>
  <c r="N211" i="83"/>
  <c r="H211" i="83"/>
  <c r="N210" i="83"/>
  <c r="H210" i="83"/>
  <c r="J210" i="83" s="1"/>
  <c r="N209" i="83"/>
  <c r="H209" i="83"/>
  <c r="I209" i="83" s="1"/>
  <c r="N208" i="83"/>
  <c r="H208" i="83"/>
  <c r="I208" i="83" s="1"/>
  <c r="N207" i="83"/>
  <c r="H207" i="83"/>
  <c r="N206" i="83"/>
  <c r="H206" i="83"/>
  <c r="I206" i="83" s="1"/>
  <c r="N205" i="83"/>
  <c r="H205" i="83"/>
  <c r="I205" i="83" s="1"/>
  <c r="N204" i="83"/>
  <c r="H204" i="83"/>
  <c r="J204" i="83" s="1"/>
  <c r="N203" i="83"/>
  <c r="H203" i="83"/>
  <c r="J203" i="83" s="1"/>
  <c r="N202" i="83"/>
  <c r="H202" i="83"/>
  <c r="J202" i="83" s="1"/>
  <c r="N201" i="83"/>
  <c r="H201" i="83"/>
  <c r="I201" i="83" s="1"/>
  <c r="N200" i="83"/>
  <c r="H200" i="83"/>
  <c r="J200" i="83" s="1"/>
  <c r="N199" i="83"/>
  <c r="H199" i="83"/>
  <c r="N198" i="83"/>
  <c r="H198" i="83"/>
  <c r="I198" i="83" s="1"/>
  <c r="N197" i="83"/>
  <c r="H197" i="83"/>
  <c r="I197" i="83" s="1"/>
  <c r="N196" i="83"/>
  <c r="H196" i="83"/>
  <c r="J196" i="83" s="1"/>
  <c r="N195" i="83"/>
  <c r="H195" i="83"/>
  <c r="I195" i="83" s="1"/>
  <c r="N194" i="83"/>
  <c r="H194" i="83"/>
  <c r="I194" i="83" s="1"/>
  <c r="N193" i="83"/>
  <c r="H193" i="83"/>
  <c r="I193" i="83" s="1"/>
  <c r="N192" i="83"/>
  <c r="H192" i="83"/>
  <c r="J192" i="83" s="1"/>
  <c r="N191" i="83"/>
  <c r="H191" i="83"/>
  <c r="I191" i="83" s="1"/>
  <c r="N190" i="83"/>
  <c r="H190" i="83"/>
  <c r="I190" i="83" s="1"/>
  <c r="N189" i="83"/>
  <c r="H189" i="83"/>
  <c r="I189" i="83" s="1"/>
  <c r="N188" i="83"/>
  <c r="H188" i="83"/>
  <c r="I188" i="83" s="1"/>
  <c r="N187" i="83"/>
  <c r="H187" i="83"/>
  <c r="N186" i="83"/>
  <c r="H186" i="83"/>
  <c r="I186" i="83" s="1"/>
  <c r="N185" i="83"/>
  <c r="H185" i="83"/>
  <c r="I185" i="83" s="1"/>
  <c r="N184" i="83"/>
  <c r="H184" i="83"/>
  <c r="J184" i="83" s="1"/>
  <c r="N183" i="83"/>
  <c r="H183" i="83"/>
  <c r="N182" i="83"/>
  <c r="H182" i="83"/>
  <c r="J182" i="83" s="1"/>
  <c r="N181" i="83"/>
  <c r="H181" i="83"/>
  <c r="I181" i="83" s="1"/>
  <c r="N180" i="83"/>
  <c r="H180" i="83"/>
  <c r="J180" i="83" s="1"/>
  <c r="N179" i="83"/>
  <c r="H179" i="83"/>
  <c r="I179" i="83" s="1"/>
  <c r="N178" i="83"/>
  <c r="H178" i="83"/>
  <c r="J178" i="83" s="1"/>
  <c r="N177" i="83"/>
  <c r="H177" i="83"/>
  <c r="I177" i="83" s="1"/>
  <c r="N176" i="83"/>
  <c r="H176" i="83"/>
  <c r="J176" i="83" s="1"/>
  <c r="N175" i="83"/>
  <c r="H175" i="83"/>
  <c r="I175" i="83" s="1"/>
  <c r="N174" i="83"/>
  <c r="H174" i="83"/>
  <c r="I174" i="83" s="1"/>
  <c r="N173" i="83"/>
  <c r="H173" i="83"/>
  <c r="I173" i="83" s="1"/>
  <c r="N172" i="83"/>
  <c r="H172" i="83"/>
  <c r="J172" i="83" s="1"/>
  <c r="N171" i="83"/>
  <c r="H171" i="83"/>
  <c r="N170" i="83"/>
  <c r="H170" i="83"/>
  <c r="I170" i="83" s="1"/>
  <c r="N169" i="83"/>
  <c r="H169" i="83"/>
  <c r="I169" i="83" s="1"/>
  <c r="N168" i="83"/>
  <c r="H168" i="83"/>
  <c r="I168" i="83" s="1"/>
  <c r="N167" i="83"/>
  <c r="H167" i="83"/>
  <c r="N166" i="83"/>
  <c r="H166" i="83"/>
  <c r="J166" i="83" s="1"/>
  <c r="N165" i="83"/>
  <c r="H165" i="83"/>
  <c r="I165" i="83" s="1"/>
  <c r="N164" i="83"/>
  <c r="H164" i="83"/>
  <c r="J164" i="83" s="1"/>
  <c r="N163" i="83"/>
  <c r="H163" i="83"/>
  <c r="I163" i="83" s="1"/>
  <c r="N162" i="83"/>
  <c r="H162" i="83"/>
  <c r="J162" i="83" s="1"/>
  <c r="N161" i="83"/>
  <c r="H161" i="83"/>
  <c r="I161" i="83" s="1"/>
  <c r="N160" i="83"/>
  <c r="H160" i="83"/>
  <c r="J160" i="83" s="1"/>
  <c r="N159" i="83"/>
  <c r="H159" i="83"/>
  <c r="I159" i="83" s="1"/>
  <c r="N158" i="83"/>
  <c r="H158" i="83"/>
  <c r="I158" i="83" s="1"/>
  <c r="N157" i="83"/>
  <c r="H157" i="83"/>
  <c r="I157" i="83" s="1"/>
  <c r="N156" i="83"/>
  <c r="H156" i="83"/>
  <c r="I156" i="83" s="1"/>
  <c r="N155" i="83"/>
  <c r="H155" i="83"/>
  <c r="N154" i="83"/>
  <c r="H154" i="83"/>
  <c r="I154" i="83" s="1"/>
  <c r="N153" i="83"/>
  <c r="H153" i="83"/>
  <c r="I153" i="83" s="1"/>
  <c r="N152" i="83"/>
  <c r="H152" i="83"/>
  <c r="J152" i="83" s="1"/>
  <c r="N151" i="83"/>
  <c r="H151" i="83"/>
  <c r="N150" i="83"/>
  <c r="H150" i="83"/>
  <c r="J150" i="83" s="1"/>
  <c r="N149" i="83"/>
  <c r="H149" i="83"/>
  <c r="I149" i="83" s="1"/>
  <c r="N148" i="83"/>
  <c r="H148" i="83"/>
  <c r="J148" i="83" s="1"/>
  <c r="N147" i="83"/>
  <c r="H147" i="83"/>
  <c r="I147" i="83" s="1"/>
  <c r="N146" i="83"/>
  <c r="H146" i="83"/>
  <c r="I146" i="83" s="1"/>
  <c r="N145" i="83"/>
  <c r="H145" i="83"/>
  <c r="I145" i="83" s="1"/>
  <c r="N144" i="83"/>
  <c r="H144" i="83"/>
  <c r="N143" i="83"/>
  <c r="H143" i="83"/>
  <c r="J143" i="83" s="1"/>
  <c r="N142" i="83"/>
  <c r="H142" i="83"/>
  <c r="I142" i="83" s="1"/>
  <c r="N141" i="83"/>
  <c r="H141" i="83"/>
  <c r="I141" i="83" s="1"/>
  <c r="N140" i="83"/>
  <c r="H140" i="83"/>
  <c r="N139" i="83"/>
  <c r="H139" i="83"/>
  <c r="I139" i="83" s="1"/>
  <c r="N138" i="83"/>
  <c r="H138" i="83"/>
  <c r="I138" i="83" s="1"/>
  <c r="N137" i="83"/>
  <c r="H137" i="83"/>
  <c r="J137" i="83" s="1"/>
  <c r="N136" i="83"/>
  <c r="H136" i="83"/>
  <c r="I136" i="83" s="1"/>
  <c r="N135" i="83"/>
  <c r="H135" i="83"/>
  <c r="J135" i="83" s="1"/>
  <c r="N134" i="83"/>
  <c r="H134" i="83"/>
  <c r="I134" i="83" s="1"/>
  <c r="N133" i="83"/>
  <c r="H133" i="83"/>
  <c r="J133" i="83" s="1"/>
  <c r="N132" i="83"/>
  <c r="H132" i="83"/>
  <c r="I132" i="83" s="1"/>
  <c r="N131" i="83"/>
  <c r="H131" i="83"/>
  <c r="I131" i="83" s="1"/>
  <c r="N130" i="83"/>
  <c r="H130" i="83"/>
  <c r="I130" i="83" s="1"/>
  <c r="N129" i="83"/>
  <c r="H129" i="83"/>
  <c r="J129" i="83" s="1"/>
  <c r="N128" i="83"/>
  <c r="H128" i="83"/>
  <c r="J128" i="83" s="1"/>
  <c r="N127" i="83"/>
  <c r="H127" i="83"/>
  <c r="J127" i="83" s="1"/>
  <c r="N126" i="83"/>
  <c r="H126" i="83"/>
  <c r="J126" i="83" s="1"/>
  <c r="N125" i="83"/>
  <c r="H125" i="83"/>
  <c r="J125" i="83" s="1"/>
  <c r="N124" i="83"/>
  <c r="H124" i="83"/>
  <c r="J124" i="83" s="1"/>
  <c r="N123" i="83"/>
  <c r="H123" i="83"/>
  <c r="I123" i="83" s="1"/>
  <c r="N122" i="83"/>
  <c r="H122" i="83"/>
  <c r="J122" i="83" s="1"/>
  <c r="N121" i="83"/>
  <c r="H121" i="83"/>
  <c r="I121" i="83" s="1"/>
  <c r="N120" i="83"/>
  <c r="H120" i="83"/>
  <c r="J120" i="83" s="1"/>
  <c r="N119" i="83"/>
  <c r="H119" i="83"/>
  <c r="J119" i="83" s="1"/>
  <c r="N118" i="83"/>
  <c r="H118" i="83"/>
  <c r="J118" i="83" s="1"/>
  <c r="N117" i="83"/>
  <c r="H117" i="83"/>
  <c r="I117" i="83" s="1"/>
  <c r="N116" i="83"/>
  <c r="H116" i="83"/>
  <c r="J116" i="83" s="1"/>
  <c r="N115" i="83"/>
  <c r="H115" i="83"/>
  <c r="J115" i="83" s="1"/>
  <c r="N114" i="83"/>
  <c r="H114" i="83"/>
  <c r="J114" i="83" s="1"/>
  <c r="N113" i="83"/>
  <c r="H113" i="83"/>
  <c r="J113" i="83" s="1"/>
  <c r="N112" i="83"/>
  <c r="H112" i="83"/>
  <c r="J112" i="83" s="1"/>
  <c r="N111" i="83"/>
  <c r="H111" i="83"/>
  <c r="J111" i="83" s="1"/>
  <c r="N110" i="83"/>
  <c r="H110" i="83"/>
  <c r="J110" i="83" s="1"/>
  <c r="N109" i="83"/>
  <c r="H109" i="83"/>
  <c r="J109" i="83" s="1"/>
  <c r="N108" i="83"/>
  <c r="H108" i="83"/>
  <c r="J108" i="83" s="1"/>
  <c r="N107" i="83"/>
  <c r="H107" i="83"/>
  <c r="I107" i="83" s="1"/>
  <c r="N106" i="83"/>
  <c r="H106" i="83"/>
  <c r="J106" i="83" s="1"/>
  <c r="N105" i="83"/>
  <c r="H105" i="83"/>
  <c r="I105" i="83" s="1"/>
  <c r="N104" i="83"/>
  <c r="H104" i="83"/>
  <c r="J104" i="83" s="1"/>
  <c r="N103" i="83"/>
  <c r="H103" i="83"/>
  <c r="J103" i="83" s="1"/>
  <c r="N102" i="83"/>
  <c r="H102" i="83"/>
  <c r="J102" i="83" s="1"/>
  <c r="N101" i="83"/>
  <c r="H101" i="83"/>
  <c r="I101" i="83" s="1"/>
  <c r="N100" i="83"/>
  <c r="H100" i="83"/>
  <c r="J100" i="83" s="1"/>
  <c r="N99" i="83"/>
  <c r="H99" i="83"/>
  <c r="I99" i="83" s="1"/>
  <c r="N98" i="83"/>
  <c r="H98" i="83"/>
  <c r="J98" i="83" s="1"/>
  <c r="N97" i="83"/>
  <c r="H97" i="83"/>
  <c r="J97" i="83" s="1"/>
  <c r="N96" i="83"/>
  <c r="H96" i="83"/>
  <c r="J96" i="83" s="1"/>
  <c r="N95" i="83"/>
  <c r="H95" i="83"/>
  <c r="J95" i="83" s="1"/>
  <c r="N94" i="83"/>
  <c r="H94" i="83"/>
  <c r="J94" i="83" s="1"/>
  <c r="N93" i="83"/>
  <c r="H93" i="83"/>
  <c r="J93" i="83" s="1"/>
  <c r="N92" i="83"/>
  <c r="H92" i="83"/>
  <c r="J92" i="83" s="1"/>
  <c r="N91" i="83"/>
  <c r="H91" i="83"/>
  <c r="I91" i="83" s="1"/>
  <c r="N90" i="83"/>
  <c r="H90" i="83"/>
  <c r="J90" i="83" s="1"/>
  <c r="N89" i="83"/>
  <c r="H89" i="83"/>
  <c r="J89" i="83" s="1"/>
  <c r="N88" i="83"/>
  <c r="H88" i="83"/>
  <c r="J88" i="83" s="1"/>
  <c r="N87" i="83"/>
  <c r="H87" i="83"/>
  <c r="J87" i="83" s="1"/>
  <c r="N86" i="83"/>
  <c r="H86" i="83"/>
  <c r="J86" i="83" s="1"/>
  <c r="N85" i="83"/>
  <c r="H85" i="83"/>
  <c r="I85" i="83" s="1"/>
  <c r="N84" i="83"/>
  <c r="H84" i="83"/>
  <c r="J84" i="83" s="1"/>
  <c r="N83" i="83"/>
  <c r="H83" i="83"/>
  <c r="J83" i="83" s="1"/>
  <c r="N82" i="83"/>
  <c r="H82" i="83"/>
  <c r="J82" i="83" s="1"/>
  <c r="N81" i="83"/>
  <c r="H81" i="83"/>
  <c r="I81" i="83" s="1"/>
  <c r="N80" i="83"/>
  <c r="H80" i="83"/>
  <c r="J80" i="83" s="1"/>
  <c r="N79" i="83"/>
  <c r="H79" i="83"/>
  <c r="J79" i="83" s="1"/>
  <c r="N78" i="83"/>
  <c r="H78" i="83"/>
  <c r="J78" i="83" s="1"/>
  <c r="N77" i="83"/>
  <c r="H77" i="83"/>
  <c r="J77" i="83" s="1"/>
  <c r="N76" i="83"/>
  <c r="H76" i="83"/>
  <c r="J76" i="83" s="1"/>
  <c r="N75" i="83"/>
  <c r="H75" i="83"/>
  <c r="I75" i="83" s="1"/>
  <c r="N74" i="83"/>
  <c r="H74" i="83"/>
  <c r="J74" i="83" s="1"/>
  <c r="N73" i="83"/>
  <c r="H73" i="83"/>
  <c r="J73" i="83" s="1"/>
  <c r="N72" i="83"/>
  <c r="H72" i="83"/>
  <c r="J72" i="83" s="1"/>
  <c r="N71" i="83"/>
  <c r="H71" i="83"/>
  <c r="J71" i="83" s="1"/>
  <c r="N70" i="83"/>
  <c r="H70" i="83"/>
  <c r="J70" i="83" s="1"/>
  <c r="N69" i="83"/>
  <c r="H69" i="83"/>
  <c r="I69" i="83" s="1"/>
  <c r="N67" i="83"/>
  <c r="H67" i="83"/>
  <c r="J67" i="83" s="1"/>
  <c r="N66" i="83"/>
  <c r="H66" i="83"/>
  <c r="J66" i="83" s="1"/>
  <c r="N65" i="83"/>
  <c r="H65" i="83"/>
  <c r="J65" i="83" s="1"/>
  <c r="N64" i="83"/>
  <c r="H64" i="83"/>
  <c r="I64" i="83" s="1"/>
  <c r="N63" i="83"/>
  <c r="H63" i="83"/>
  <c r="J63" i="83" s="1"/>
  <c r="N62" i="83"/>
  <c r="H62" i="83"/>
  <c r="J62" i="83" s="1"/>
  <c r="N61" i="83"/>
  <c r="H61" i="83"/>
  <c r="J61" i="83" s="1"/>
  <c r="N60" i="83"/>
  <c r="H60" i="83"/>
  <c r="J60" i="83" s="1"/>
  <c r="N59" i="83"/>
  <c r="H59" i="83"/>
  <c r="I59" i="83" s="1"/>
  <c r="N58" i="83"/>
  <c r="H58" i="83"/>
  <c r="J58" i="83" s="1"/>
  <c r="N57" i="83"/>
  <c r="H57" i="83"/>
  <c r="J57" i="83" s="1"/>
  <c r="N56" i="83"/>
  <c r="H56" i="83"/>
  <c r="J56" i="83" s="1"/>
  <c r="N55" i="83"/>
  <c r="H55" i="83"/>
  <c r="J55" i="83" s="1"/>
  <c r="N54" i="83"/>
  <c r="H54" i="83"/>
  <c r="J54" i="83" s="1"/>
  <c r="N53" i="83"/>
  <c r="H53" i="83"/>
  <c r="J53" i="83" s="1"/>
  <c r="N52" i="83"/>
  <c r="H52" i="83"/>
  <c r="I52" i="83" s="1"/>
  <c r="N51" i="83"/>
  <c r="H51" i="83"/>
  <c r="J51" i="83" s="1"/>
  <c r="N50" i="83"/>
  <c r="H50" i="83"/>
  <c r="J50" i="83" s="1"/>
  <c r="N49" i="83"/>
  <c r="H49" i="83"/>
  <c r="J49" i="83" s="1"/>
  <c r="N48" i="83"/>
  <c r="H48" i="83"/>
  <c r="J48" i="83" s="1"/>
  <c r="N47" i="83"/>
  <c r="H47" i="83"/>
  <c r="J47" i="83" s="1"/>
  <c r="N46" i="83"/>
  <c r="H46" i="83"/>
  <c r="J46" i="83" s="1"/>
  <c r="N45" i="83"/>
  <c r="H45" i="83"/>
  <c r="I45" i="83" s="1"/>
  <c r="N44" i="83"/>
  <c r="N43" i="83"/>
  <c r="H43" i="83"/>
  <c r="J43" i="83" s="1"/>
  <c r="N42" i="83"/>
  <c r="H42" i="83"/>
  <c r="J42" i="83" s="1"/>
  <c r="N41" i="83"/>
  <c r="H41" i="83"/>
  <c r="I41" i="83" s="1"/>
  <c r="N40" i="83"/>
  <c r="H40" i="83"/>
  <c r="J40" i="83" s="1"/>
  <c r="N39" i="83"/>
  <c r="H39" i="83"/>
  <c r="I39" i="83" s="1"/>
  <c r="N38" i="83"/>
  <c r="H38" i="83"/>
  <c r="J38" i="83" s="1"/>
  <c r="N37" i="83"/>
  <c r="H37" i="83"/>
  <c r="J37" i="83" s="1"/>
  <c r="N36" i="83"/>
  <c r="H36" i="83"/>
  <c r="J36" i="83" s="1"/>
  <c r="N35" i="83"/>
  <c r="H35" i="83"/>
  <c r="J35" i="83" s="1"/>
  <c r="N34" i="83"/>
  <c r="H34" i="83"/>
  <c r="I34" i="83" s="1"/>
  <c r="N33" i="83"/>
  <c r="H33" i="83"/>
  <c r="J33" i="83" s="1"/>
  <c r="N32" i="83"/>
  <c r="H32" i="83"/>
  <c r="J32" i="83" s="1"/>
  <c r="N31" i="83"/>
  <c r="H31" i="83"/>
  <c r="J31" i="83" s="1"/>
  <c r="N30" i="83"/>
  <c r="H30" i="83"/>
  <c r="J30" i="83" s="1"/>
  <c r="N29" i="83"/>
  <c r="H29" i="83"/>
  <c r="I29" i="83" s="1"/>
  <c r="N28" i="83"/>
  <c r="H28" i="83"/>
  <c r="J28" i="83" s="1"/>
  <c r="N27" i="83"/>
  <c r="H27" i="83"/>
  <c r="J27" i="83" s="1"/>
  <c r="N26" i="83"/>
  <c r="H26" i="83"/>
  <c r="J26" i="83" s="1"/>
  <c r="N25" i="83"/>
  <c r="H25" i="83"/>
  <c r="I25" i="83" s="1"/>
  <c r="N24" i="83"/>
  <c r="H24" i="83"/>
  <c r="J24" i="83" s="1"/>
  <c r="N23" i="83"/>
  <c r="H23" i="83"/>
  <c r="J23" i="83" s="1"/>
  <c r="N22" i="83"/>
  <c r="H22" i="83"/>
  <c r="J22" i="83" s="1"/>
  <c r="N21" i="83"/>
  <c r="H21" i="83"/>
  <c r="J21" i="83" s="1"/>
  <c r="N20" i="83"/>
  <c r="H20" i="83"/>
  <c r="I20" i="83" s="1"/>
  <c r="N19" i="83"/>
  <c r="H19" i="83"/>
  <c r="J19" i="83" s="1"/>
  <c r="N18" i="83"/>
  <c r="H18" i="83"/>
  <c r="J18" i="83" s="1"/>
  <c r="N17" i="83"/>
  <c r="H17" i="83"/>
  <c r="J17" i="83" s="1"/>
  <c r="N16" i="83"/>
  <c r="H16" i="83"/>
  <c r="J16" i="83" s="1"/>
  <c r="N15" i="83"/>
  <c r="H15" i="83"/>
  <c r="I15" i="83" s="1"/>
  <c r="N14" i="83"/>
  <c r="H14" i="83"/>
  <c r="J14" i="83" s="1"/>
  <c r="N13" i="83"/>
  <c r="H13" i="83"/>
  <c r="J13" i="83" s="1"/>
  <c r="N12" i="83"/>
  <c r="H12" i="83"/>
  <c r="J12" i="83" s="1"/>
  <c r="N11" i="83"/>
  <c r="H11" i="83"/>
  <c r="J11" i="83" s="1"/>
  <c r="N10" i="83"/>
  <c r="H10" i="83"/>
  <c r="J10" i="83" s="1"/>
  <c r="N9" i="83"/>
  <c r="H9" i="83"/>
  <c r="J9" i="83" s="1"/>
  <c r="N8" i="83"/>
  <c r="H8" i="83"/>
  <c r="J8" i="83" s="1"/>
  <c r="N7" i="83"/>
  <c r="H7" i="83"/>
  <c r="J7" i="83" s="1"/>
  <c r="N6" i="83"/>
  <c r="H6" i="83"/>
  <c r="J6" i="83" s="1"/>
  <c r="N5" i="83"/>
  <c r="H5" i="83"/>
  <c r="J5" i="83" s="1"/>
  <c r="N4" i="83"/>
  <c r="H4" i="83"/>
  <c r="J4" i="83" s="1"/>
  <c r="B9" i="45"/>
  <c r="E3" i="3"/>
  <c r="H668" i="3"/>
  <c r="J668" i="3" s="1"/>
  <c r="G668" i="3"/>
  <c r="H667" i="3"/>
  <c r="G667" i="3"/>
  <c r="H666" i="3"/>
  <c r="I666" i="3" s="1"/>
  <c r="H665" i="3"/>
  <c r="I665" i="3" s="1"/>
  <c r="H664" i="3"/>
  <c r="H663" i="3"/>
  <c r="I663" i="3" s="1"/>
  <c r="H662" i="3"/>
  <c r="J662" i="3" s="1"/>
  <c r="H661" i="3"/>
  <c r="J661" i="3" s="1"/>
  <c r="H660" i="3"/>
  <c r="I660" i="3" s="1"/>
  <c r="H659" i="3"/>
  <c r="I659" i="3" s="1"/>
  <c r="H658" i="3"/>
  <c r="I658" i="3" s="1"/>
  <c r="H657" i="3"/>
  <c r="H656" i="3"/>
  <c r="I656" i="3" s="1"/>
  <c r="H655" i="3"/>
  <c r="I655" i="3" s="1"/>
  <c r="H654" i="3"/>
  <c r="J654" i="3" s="1"/>
  <c r="H653" i="3"/>
  <c r="H652" i="3"/>
  <c r="I652" i="3" s="1"/>
  <c r="H651" i="3"/>
  <c r="I651" i="3" s="1"/>
  <c r="H650" i="3"/>
  <c r="H649" i="3"/>
  <c r="H648" i="3"/>
  <c r="H647" i="3"/>
  <c r="I647" i="3" s="1"/>
  <c r="H646" i="3"/>
  <c r="H645" i="3"/>
  <c r="I645" i="3" s="1"/>
  <c r="H644" i="3"/>
  <c r="I644" i="3" s="1"/>
  <c r="H643" i="3"/>
  <c r="H642" i="3"/>
  <c r="H641" i="3"/>
  <c r="I641" i="3" s="1"/>
  <c r="H640" i="3"/>
  <c r="H639" i="3"/>
  <c r="I639" i="3" s="1"/>
  <c r="H638" i="3"/>
  <c r="I638" i="3" s="1"/>
  <c r="H637" i="3"/>
  <c r="I637" i="3" s="1"/>
  <c r="H636" i="3"/>
  <c r="H635" i="3"/>
  <c r="I635" i="3" s="1"/>
  <c r="H634" i="3"/>
  <c r="I634" i="3" s="1"/>
  <c r="H633" i="3"/>
  <c r="H632" i="3"/>
  <c r="H631" i="3"/>
  <c r="I631" i="3" s="1"/>
  <c r="H630" i="3"/>
  <c r="I630" i="3" s="1"/>
  <c r="H629" i="3"/>
  <c r="I629" i="3" s="1"/>
  <c r="H628" i="3"/>
  <c r="H627" i="3"/>
  <c r="I627" i="3" s="1"/>
  <c r="H626" i="3"/>
  <c r="I626" i="3" s="1"/>
  <c r="H625" i="3"/>
  <c r="J625" i="3" s="1"/>
  <c r="H624" i="3"/>
  <c r="I624" i="3" s="1"/>
  <c r="H623" i="3"/>
  <c r="I623" i="3" s="1"/>
  <c r="H622" i="3"/>
  <c r="H621" i="3"/>
  <c r="J621" i="3" s="1"/>
  <c r="H620" i="3"/>
  <c r="I620" i="3" s="1"/>
  <c r="H619" i="3"/>
  <c r="H618" i="3"/>
  <c r="H617" i="3"/>
  <c r="H616" i="3"/>
  <c r="I616" i="3" s="1"/>
  <c r="H615" i="3"/>
  <c r="I615" i="3" s="1"/>
  <c r="H614" i="3"/>
  <c r="J614" i="3" s="1"/>
  <c r="H613" i="3"/>
  <c r="H612" i="3"/>
  <c r="I612" i="3" s="1"/>
  <c r="H611" i="3"/>
  <c r="H610" i="3"/>
  <c r="H609" i="3"/>
  <c r="I609" i="3"/>
  <c r="H608" i="3"/>
  <c r="I608" i="3" s="1"/>
  <c r="H607" i="3"/>
  <c r="H606" i="3"/>
  <c r="I606" i="3" s="1"/>
  <c r="H605" i="3"/>
  <c r="H604" i="3"/>
  <c r="I604" i="3" s="1"/>
  <c r="H603" i="3"/>
  <c r="I603" i="3" s="1"/>
  <c r="H602" i="3"/>
  <c r="I602" i="3"/>
  <c r="H601" i="3"/>
  <c r="I601" i="3" s="1"/>
  <c r="H600" i="3"/>
  <c r="J600" i="3" s="1"/>
  <c r="H599" i="3"/>
  <c r="I599" i="3" s="1"/>
  <c r="H598" i="3"/>
  <c r="J598" i="3" s="1"/>
  <c r="H597" i="3"/>
  <c r="I597" i="3" s="1"/>
  <c r="H596" i="3"/>
  <c r="I596" i="3" s="1"/>
  <c r="H595" i="3"/>
  <c r="I595" i="3" s="1"/>
  <c r="H594" i="3"/>
  <c r="I594" i="3" s="1"/>
  <c r="H593" i="3"/>
  <c r="H592" i="3"/>
  <c r="I592" i="3" s="1"/>
  <c r="H591" i="3"/>
  <c r="H590" i="3"/>
  <c r="J590" i="3" s="1"/>
  <c r="H589" i="3"/>
  <c r="I589" i="3" s="1"/>
  <c r="H588" i="3"/>
  <c r="J588" i="3" s="1"/>
  <c r="H587" i="3"/>
  <c r="I587" i="3" s="1"/>
  <c r="H586" i="3"/>
  <c r="J586" i="3" s="1"/>
  <c r="H585" i="3"/>
  <c r="H584" i="3"/>
  <c r="H583" i="3"/>
  <c r="I583" i="3" s="1"/>
  <c r="H582" i="3"/>
  <c r="H581" i="3"/>
  <c r="I581" i="3" s="1"/>
  <c r="H580" i="3"/>
  <c r="I580" i="3" s="1"/>
  <c r="H579" i="3"/>
  <c r="I579" i="3" s="1"/>
  <c r="H578" i="3"/>
  <c r="H577" i="3"/>
  <c r="H576" i="3"/>
  <c r="H575" i="3"/>
  <c r="I575" i="3" s="1"/>
  <c r="H574" i="3"/>
  <c r="H573" i="3"/>
  <c r="J573" i="3" s="1"/>
  <c r="H572" i="3"/>
  <c r="I572" i="3" s="1"/>
  <c r="H571" i="3"/>
  <c r="I571" i="3" s="1"/>
  <c r="H570" i="3"/>
  <c r="I570" i="3" s="1"/>
  <c r="H569" i="3"/>
  <c r="I569" i="3" s="1"/>
  <c r="H568" i="3"/>
  <c r="I568" i="3" s="1"/>
  <c r="H567" i="3"/>
  <c r="I567" i="3" s="1"/>
  <c r="H566" i="3"/>
  <c r="J566" i="3" s="1"/>
  <c r="H565" i="3"/>
  <c r="J565" i="3" s="1"/>
  <c r="H564" i="3"/>
  <c r="I564" i="3" s="1"/>
  <c r="H563" i="3"/>
  <c r="I563" i="3" s="1"/>
  <c r="H562" i="3"/>
  <c r="H561" i="3"/>
  <c r="I561" i="3" s="1"/>
  <c r="H560" i="3"/>
  <c r="I560" i="3" s="1"/>
  <c r="H559" i="3"/>
  <c r="H558" i="3"/>
  <c r="J558" i="3" s="1"/>
  <c r="H557" i="3"/>
  <c r="H556" i="3"/>
  <c r="I556" i="3" s="1"/>
  <c r="H555" i="3"/>
  <c r="I555" i="3" s="1"/>
  <c r="H554" i="3"/>
  <c r="I554" i="3" s="1"/>
  <c r="H553" i="3"/>
  <c r="H552" i="3"/>
  <c r="I552" i="3" s="1"/>
  <c r="H551" i="3"/>
  <c r="I551" i="3" s="1"/>
  <c r="H550" i="3"/>
  <c r="H549" i="3"/>
  <c r="H548" i="3"/>
  <c r="I548" i="3" s="1"/>
  <c r="H547" i="3"/>
  <c r="I547" i="3" s="1"/>
  <c r="H546" i="3"/>
  <c r="I546" i="3" s="1"/>
  <c r="H545" i="3"/>
  <c r="I545" i="3" s="1"/>
  <c r="H544" i="3"/>
  <c r="I544" i="3" s="1"/>
  <c r="H543" i="3"/>
  <c r="H542" i="3"/>
  <c r="I542" i="3" s="1"/>
  <c r="H541" i="3"/>
  <c r="J541" i="3" s="1"/>
  <c r="H540" i="3"/>
  <c r="I540" i="3" s="1"/>
  <c r="H539" i="3"/>
  <c r="I539" i="3" s="1"/>
  <c r="H538" i="3"/>
  <c r="I538" i="3" s="1"/>
  <c r="H537" i="3"/>
  <c r="I537" i="3" s="1"/>
  <c r="H536" i="3"/>
  <c r="H535" i="3"/>
  <c r="I535" i="3" s="1"/>
  <c r="H534" i="3"/>
  <c r="J534" i="3" s="1"/>
  <c r="H533" i="3"/>
  <c r="J533" i="3" s="1"/>
  <c r="H532" i="3"/>
  <c r="I532" i="3" s="1"/>
  <c r="H531" i="3"/>
  <c r="I531" i="3" s="1"/>
  <c r="H530" i="3"/>
  <c r="I530" i="3" s="1"/>
  <c r="H529" i="3"/>
  <c r="H528" i="3"/>
  <c r="I528" i="3" s="1"/>
  <c r="H527" i="3"/>
  <c r="I527" i="3" s="1"/>
  <c r="H526" i="3"/>
  <c r="J526" i="3" s="1"/>
  <c r="H525" i="3"/>
  <c r="H524" i="3"/>
  <c r="I524" i="3" s="1"/>
  <c r="H523" i="3"/>
  <c r="H522" i="3"/>
  <c r="H521" i="3"/>
  <c r="I521" i="3" s="1"/>
  <c r="H520" i="3"/>
  <c r="I520" i="3" s="1"/>
  <c r="H519" i="3"/>
  <c r="I519" i="3" s="1"/>
  <c r="H518" i="3"/>
  <c r="H517" i="3"/>
  <c r="I517" i="3" s="1"/>
  <c r="H516" i="3"/>
  <c r="I516" i="3" s="1"/>
  <c r="H515" i="3"/>
  <c r="H514" i="3"/>
  <c r="I514" i="3" s="1"/>
  <c r="H513" i="3"/>
  <c r="I513" i="3" s="1"/>
  <c r="H512" i="3"/>
  <c r="H511" i="3"/>
  <c r="I511" i="3" s="1"/>
  <c r="H510" i="3"/>
  <c r="I510" i="3" s="1"/>
  <c r="H509" i="3"/>
  <c r="I509" i="3" s="1"/>
  <c r="H508" i="3"/>
  <c r="H507" i="3"/>
  <c r="I507" i="3" s="1"/>
  <c r="H506" i="3"/>
  <c r="H505" i="3"/>
  <c r="H504" i="3"/>
  <c r="H503" i="3"/>
  <c r="I503" i="3" s="1"/>
  <c r="H502" i="3"/>
  <c r="I502" i="3" s="1"/>
  <c r="H501" i="3"/>
  <c r="H500" i="3"/>
  <c r="H499" i="3"/>
  <c r="I499" i="3" s="1"/>
  <c r="H498" i="3"/>
  <c r="I498" i="3" s="1"/>
  <c r="H497" i="3"/>
  <c r="J497" i="3" s="1"/>
  <c r="H496" i="3"/>
  <c r="I496" i="3" s="1"/>
  <c r="H495" i="3"/>
  <c r="I495" i="3" s="1"/>
  <c r="H494" i="3"/>
  <c r="J494" i="3" s="1"/>
  <c r="H493" i="3"/>
  <c r="I493" i="3" s="1"/>
  <c r="H492" i="3"/>
  <c r="I492" i="3" s="1"/>
  <c r="H491" i="3"/>
  <c r="I491" i="3" s="1"/>
  <c r="H490" i="3"/>
  <c r="H489" i="3"/>
  <c r="H488" i="3"/>
  <c r="H487" i="3"/>
  <c r="I487" i="3" s="1"/>
  <c r="H486" i="3"/>
  <c r="J486" i="3" s="1"/>
  <c r="H485" i="3"/>
  <c r="H484" i="3"/>
  <c r="I484" i="3" s="1"/>
  <c r="H483" i="3"/>
  <c r="I483" i="3" s="1"/>
  <c r="H482" i="3"/>
  <c r="H481" i="3"/>
  <c r="J481" i="3" s="1"/>
  <c r="H480" i="3"/>
  <c r="I480" i="3" s="1"/>
  <c r="H479" i="3"/>
  <c r="H478" i="3"/>
  <c r="J478" i="3" s="1"/>
  <c r="H477" i="3"/>
  <c r="H476" i="3"/>
  <c r="I476" i="3" s="1"/>
  <c r="H475" i="3"/>
  <c r="I475" i="3" s="1"/>
  <c r="H474" i="3"/>
  <c r="J474" i="3" s="1"/>
  <c r="H473" i="3"/>
  <c r="I473" i="3" s="1"/>
  <c r="H472" i="3"/>
  <c r="J472" i="3" s="1"/>
  <c r="H471" i="3"/>
  <c r="I471" i="3" s="1"/>
  <c r="H470" i="3"/>
  <c r="I470" i="3" s="1"/>
  <c r="H469" i="3"/>
  <c r="J469" i="3" s="1"/>
  <c r="H468" i="3"/>
  <c r="H467" i="3"/>
  <c r="H466" i="3"/>
  <c r="I466" i="3" s="1"/>
  <c r="H465" i="3"/>
  <c r="I465" i="3" s="1"/>
  <c r="H464" i="3"/>
  <c r="I464" i="3" s="1"/>
  <c r="H463" i="3"/>
  <c r="I463" i="3" s="1"/>
  <c r="H462" i="3"/>
  <c r="I462" i="3" s="1"/>
  <c r="H461" i="3"/>
  <c r="J461" i="3" s="1"/>
  <c r="H460" i="3"/>
  <c r="J460" i="3" s="1"/>
  <c r="H459" i="3"/>
  <c r="I459" i="3" s="1"/>
  <c r="H458" i="3"/>
  <c r="I458" i="3" s="1"/>
  <c r="H457" i="3"/>
  <c r="I457" i="3" s="1"/>
  <c r="H456" i="3"/>
  <c r="H455" i="3"/>
  <c r="I455" i="3" s="1"/>
  <c r="H454" i="3"/>
  <c r="J454" i="3" s="1"/>
  <c r="H453" i="3"/>
  <c r="I453" i="3" s="1"/>
  <c r="H452" i="3"/>
  <c r="I452" i="3" s="1"/>
  <c r="H451" i="3"/>
  <c r="I451" i="3" s="1"/>
  <c r="H450" i="3"/>
  <c r="H449" i="3"/>
  <c r="H448" i="3"/>
  <c r="I448" i="3" s="1"/>
  <c r="H447" i="3"/>
  <c r="H446" i="3"/>
  <c r="I446" i="3" s="1"/>
  <c r="H445" i="3"/>
  <c r="H444" i="3"/>
  <c r="H443" i="3"/>
  <c r="I443" i="3" s="1"/>
  <c r="H442" i="3"/>
  <c r="H441" i="3"/>
  <c r="I441" i="3" s="1"/>
  <c r="H440" i="3"/>
  <c r="I440" i="3" s="1"/>
  <c r="H439" i="3"/>
  <c r="H438" i="3"/>
  <c r="I438" i="3" s="1"/>
  <c r="H437" i="3"/>
  <c r="I437" i="3" s="1"/>
  <c r="H436" i="3"/>
  <c r="I436" i="3" s="1"/>
  <c r="H435" i="3"/>
  <c r="I435" i="3" s="1"/>
  <c r="H434" i="3"/>
  <c r="H433" i="3"/>
  <c r="I433" i="3" s="1"/>
  <c r="H432" i="3"/>
  <c r="I432" i="3" s="1"/>
  <c r="H431" i="3"/>
  <c r="H430" i="3"/>
  <c r="J430" i="3" s="1"/>
  <c r="H429" i="3"/>
  <c r="I429" i="3" s="1"/>
  <c r="H428" i="3"/>
  <c r="I428" i="3" s="1"/>
  <c r="H427" i="3"/>
  <c r="I427" i="3" s="1"/>
  <c r="H426" i="3"/>
  <c r="I426" i="3" s="1"/>
  <c r="H425" i="3"/>
  <c r="H424" i="3"/>
  <c r="I424" i="3" s="1"/>
  <c r="H423" i="3"/>
  <c r="I423" i="3" s="1"/>
  <c r="H422" i="3"/>
  <c r="J422" i="3" s="1"/>
  <c r="H421" i="3"/>
  <c r="H420" i="3"/>
  <c r="I420" i="3" s="1"/>
  <c r="H419" i="3"/>
  <c r="J419" i="3" s="1"/>
  <c r="H418" i="3"/>
  <c r="H417" i="3"/>
  <c r="J417" i="3" s="1"/>
  <c r="H416" i="3"/>
  <c r="I416" i="3" s="1"/>
  <c r="H415" i="3"/>
  <c r="H414" i="3"/>
  <c r="I414" i="3" s="1"/>
  <c r="H413" i="3"/>
  <c r="J413" i="3" s="1"/>
  <c r="H412" i="3"/>
  <c r="I412" i="3" s="1"/>
  <c r="H411" i="3"/>
  <c r="H410" i="3"/>
  <c r="J410" i="3" s="1"/>
  <c r="H409" i="3"/>
  <c r="I409" i="3" s="1"/>
  <c r="H408" i="3"/>
  <c r="I408" i="3" s="1"/>
  <c r="H407" i="3"/>
  <c r="I407" i="3" s="1"/>
  <c r="H406" i="3"/>
  <c r="H405" i="3"/>
  <c r="H404" i="3"/>
  <c r="I404" i="3" s="1"/>
  <c r="H403" i="3"/>
  <c r="I403" i="3" s="1"/>
  <c r="H402" i="3"/>
  <c r="I402" i="3" s="1"/>
  <c r="H401" i="3"/>
  <c r="H400" i="3"/>
  <c r="I400" i="3" s="1"/>
  <c r="H399" i="3"/>
  <c r="I399" i="3" s="1"/>
  <c r="H398" i="3"/>
  <c r="H397" i="3"/>
  <c r="I397" i="3" s="1"/>
  <c r="H396" i="3"/>
  <c r="I396" i="3" s="1"/>
  <c r="H395" i="3"/>
  <c r="I395" i="3" s="1"/>
  <c r="H394" i="3"/>
  <c r="H393" i="3"/>
  <c r="I393" i="3" s="1"/>
  <c r="H392" i="3"/>
  <c r="I392" i="3" s="1"/>
  <c r="H391" i="3"/>
  <c r="I391" i="3" s="1"/>
  <c r="H390" i="3"/>
  <c r="J390" i="3" s="1"/>
  <c r="H389" i="3"/>
  <c r="I389" i="3" s="1"/>
  <c r="H388" i="3"/>
  <c r="I388" i="3" s="1"/>
  <c r="H387" i="3"/>
  <c r="H386" i="3"/>
  <c r="H385" i="3"/>
  <c r="J385" i="3" s="1"/>
  <c r="H384" i="3"/>
  <c r="H383" i="3"/>
  <c r="I383" i="3" s="1"/>
  <c r="H382" i="3"/>
  <c r="J382" i="3" s="1"/>
  <c r="H381" i="3"/>
  <c r="I381" i="3" s="1"/>
  <c r="H380" i="3"/>
  <c r="H379" i="3"/>
  <c r="I379" i="3" s="1"/>
  <c r="H378" i="3"/>
  <c r="I378" i="3" s="1"/>
  <c r="H377" i="3"/>
  <c r="H376" i="3"/>
  <c r="H375" i="3"/>
  <c r="I375" i="3" s="1"/>
  <c r="H374" i="3"/>
  <c r="J374" i="3" s="1"/>
  <c r="H373" i="3"/>
  <c r="I373" i="3" s="1"/>
  <c r="H372" i="3"/>
  <c r="H371" i="3"/>
  <c r="I371" i="3" s="1"/>
  <c r="H370" i="3"/>
  <c r="I370" i="3" s="1"/>
  <c r="H369" i="3"/>
  <c r="J369" i="3" s="1"/>
  <c r="H368" i="3"/>
  <c r="I368" i="3" s="1"/>
  <c r="H367" i="3"/>
  <c r="I367" i="3" s="1"/>
  <c r="H366" i="3"/>
  <c r="J366" i="3" s="1"/>
  <c r="H365" i="3"/>
  <c r="I365" i="3" s="1"/>
  <c r="H364" i="3"/>
  <c r="I364" i="3" s="1"/>
  <c r="H363" i="3"/>
  <c r="I363" i="3" s="1"/>
  <c r="H362" i="3"/>
  <c r="H361" i="3"/>
  <c r="I361" i="3" s="1"/>
  <c r="H360" i="3"/>
  <c r="I360" i="3" s="1"/>
  <c r="H359" i="3"/>
  <c r="H358" i="3"/>
  <c r="J358" i="3" s="1"/>
  <c r="H357" i="3"/>
  <c r="H356" i="3"/>
  <c r="I356" i="3" s="1"/>
  <c r="H355" i="3"/>
  <c r="H354" i="3"/>
  <c r="H353" i="3"/>
  <c r="I353" i="3" s="1"/>
  <c r="H352" i="3"/>
  <c r="I352" i="3" s="1"/>
  <c r="H351" i="3"/>
  <c r="H350" i="3"/>
  <c r="J350" i="3" s="1"/>
  <c r="H349" i="3"/>
  <c r="J349" i="3" s="1"/>
  <c r="H348" i="3"/>
  <c r="I348" i="3" s="1"/>
  <c r="H347" i="3"/>
  <c r="I347" i="3" s="1"/>
  <c r="H346" i="3"/>
  <c r="I346" i="3" s="1"/>
  <c r="H345" i="3"/>
  <c r="I345" i="3" s="1"/>
  <c r="H344" i="3"/>
  <c r="J344" i="3" s="1"/>
  <c r="H343" i="3"/>
  <c r="I343" i="3" s="1"/>
  <c r="H342" i="3"/>
  <c r="J342" i="3" s="1"/>
  <c r="H341" i="3"/>
  <c r="J341" i="3" s="1"/>
  <c r="H340" i="3"/>
  <c r="I340" i="3" s="1"/>
  <c r="H339" i="3"/>
  <c r="H338" i="3"/>
  <c r="I338" i="3" s="1"/>
  <c r="H337" i="3"/>
  <c r="H336" i="3"/>
  <c r="I336" i="3" s="1"/>
  <c r="H335" i="3"/>
  <c r="H334" i="3"/>
  <c r="J334" i="3" s="1"/>
  <c r="H333" i="3"/>
  <c r="J333" i="3" s="1"/>
  <c r="H332" i="3"/>
  <c r="J332" i="3" s="1"/>
  <c r="H331" i="3"/>
  <c r="I331" i="3" s="1"/>
  <c r="H330" i="3"/>
  <c r="J330" i="3" s="1"/>
  <c r="I330" i="3"/>
  <c r="H329" i="3"/>
  <c r="I329" i="3" s="1"/>
  <c r="H328" i="3"/>
  <c r="H327" i="3"/>
  <c r="I327" i="3" s="1"/>
  <c r="H326" i="3"/>
  <c r="H325" i="3"/>
  <c r="I325" i="3" s="1"/>
  <c r="H324" i="3"/>
  <c r="I324" i="3" s="1"/>
  <c r="H323" i="3"/>
  <c r="I323" i="3" s="1"/>
  <c r="H322" i="3"/>
  <c r="I322" i="3" s="1"/>
  <c r="H321" i="3"/>
  <c r="H320" i="3"/>
  <c r="I320" i="3" s="1"/>
  <c r="H319" i="3"/>
  <c r="I319" i="3" s="1"/>
  <c r="H318" i="3"/>
  <c r="J318" i="3" s="1"/>
  <c r="H317" i="3"/>
  <c r="J317" i="3" s="1"/>
  <c r="H316" i="3"/>
  <c r="I316" i="3" s="1"/>
  <c r="H315" i="3"/>
  <c r="I315" i="3" s="1"/>
  <c r="H314" i="3"/>
  <c r="H313" i="3"/>
  <c r="I313" i="3" s="1"/>
  <c r="H312" i="3"/>
  <c r="I312" i="3" s="1"/>
  <c r="H311" i="3"/>
  <c r="I311" i="3" s="1"/>
  <c r="H310" i="3"/>
  <c r="J310" i="3" s="1"/>
  <c r="H309" i="3"/>
  <c r="J309" i="3" s="1"/>
  <c r="H308" i="3"/>
  <c r="I308" i="3" s="1"/>
  <c r="H307" i="3"/>
  <c r="I307" i="3" s="1"/>
  <c r="H306" i="3"/>
  <c r="H305" i="3"/>
  <c r="J305" i="3" s="1"/>
  <c r="H304" i="3"/>
  <c r="I304" i="3" s="1"/>
  <c r="H303" i="3"/>
  <c r="I303" i="3" s="1"/>
  <c r="H302" i="3"/>
  <c r="J302" i="3" s="1"/>
  <c r="H301" i="3"/>
  <c r="I301" i="3" s="1"/>
  <c r="H300" i="3"/>
  <c r="H299" i="3"/>
  <c r="I299" i="3" s="1"/>
  <c r="H298" i="3"/>
  <c r="I298" i="3" s="1"/>
  <c r="H297" i="3"/>
  <c r="H296" i="3"/>
  <c r="I296" i="3" s="1"/>
  <c r="H295" i="3"/>
  <c r="I295" i="3" s="1"/>
  <c r="H294" i="3"/>
  <c r="J294" i="3" s="1"/>
  <c r="H293" i="3"/>
  <c r="H292" i="3"/>
  <c r="I292" i="3" s="1"/>
  <c r="H291" i="3"/>
  <c r="J291" i="3" s="1"/>
  <c r="H290" i="3"/>
  <c r="H289" i="3"/>
  <c r="J289" i="3" s="1"/>
  <c r="H288" i="3"/>
  <c r="I288" i="3" s="1"/>
  <c r="H287" i="3"/>
  <c r="H286" i="3"/>
  <c r="I286" i="3" s="1"/>
  <c r="H285" i="3"/>
  <c r="J285" i="3" s="1"/>
  <c r="H284" i="3"/>
  <c r="I284" i="3" s="1"/>
  <c r="H283" i="3"/>
  <c r="H282" i="3"/>
  <c r="J282" i="3" s="1"/>
  <c r="H281" i="3"/>
  <c r="H280" i="3"/>
  <c r="H279" i="3"/>
  <c r="I279" i="3" s="1"/>
  <c r="H278" i="3"/>
  <c r="J278" i="3" s="1"/>
  <c r="H277" i="3"/>
  <c r="J277" i="3" s="1"/>
  <c r="H276" i="3"/>
  <c r="I276" i="3" s="1"/>
  <c r="H275" i="3"/>
  <c r="I275" i="3" s="1"/>
  <c r="H274" i="3"/>
  <c r="H273" i="3"/>
  <c r="I273" i="3" s="1"/>
  <c r="H272" i="3"/>
  <c r="I272" i="3" s="1"/>
  <c r="H271" i="3"/>
  <c r="I271" i="3" s="1"/>
  <c r="H270" i="3"/>
  <c r="H269" i="3"/>
  <c r="H268" i="3"/>
  <c r="I268" i="3" s="1"/>
  <c r="H267" i="3"/>
  <c r="I267" i="3" s="1"/>
  <c r="H266" i="3"/>
  <c r="J266" i="3" s="1"/>
  <c r="H265" i="3"/>
  <c r="I265" i="3" s="1"/>
  <c r="H264" i="3"/>
  <c r="H263" i="3"/>
  <c r="H262" i="3"/>
  <c r="J262" i="3" s="1"/>
  <c r="H261" i="3"/>
  <c r="I261" i="3" s="1"/>
  <c r="H260" i="3"/>
  <c r="I260" i="3" s="1"/>
  <c r="H259" i="3"/>
  <c r="I259" i="3" s="1"/>
  <c r="H258" i="3"/>
  <c r="I258" i="3" s="1"/>
  <c r="H257" i="3"/>
  <c r="J257" i="3" s="1"/>
  <c r="H256" i="3"/>
  <c r="I256" i="3" s="1"/>
  <c r="H255" i="3"/>
  <c r="I255" i="3" s="1"/>
  <c r="H254" i="3"/>
  <c r="J254" i="3" s="1"/>
  <c r="H253" i="3"/>
  <c r="J253" i="3" s="1"/>
  <c r="H252" i="3"/>
  <c r="H251" i="3"/>
  <c r="H250" i="3"/>
  <c r="H249" i="3"/>
  <c r="J249" i="3" s="1"/>
  <c r="H248" i="3"/>
  <c r="I248" i="3" s="1"/>
  <c r="H247" i="3"/>
  <c r="I247" i="3" s="1"/>
  <c r="H246" i="3"/>
  <c r="I246" i="3" s="1"/>
  <c r="H245" i="3"/>
  <c r="I245" i="3" s="1"/>
  <c r="G477" i="3"/>
  <c r="G342" i="3"/>
  <c r="G327" i="3"/>
  <c r="J641" i="3"/>
  <c r="J609" i="3"/>
  <c r="J353" i="3"/>
  <c r="J602" i="3"/>
  <c r="J441" i="3"/>
  <c r="J370" i="3"/>
  <c r="J433" i="3"/>
  <c r="I309" i="3"/>
  <c r="J373" i="3"/>
  <c r="J381" i="3"/>
  <c r="I445" i="3"/>
  <c r="J445" i="3"/>
  <c r="I565" i="3"/>
  <c r="J629" i="3"/>
  <c r="I342" i="3"/>
  <c r="I494" i="3"/>
  <c r="I668" i="3"/>
  <c r="I278" i="3"/>
  <c r="J568" i="3"/>
  <c r="J424" i="3"/>
  <c r="J655" i="3"/>
  <c r="J487" i="3"/>
  <c r="J652" i="3"/>
  <c r="J532" i="3"/>
  <c r="J587" i="3"/>
  <c r="J539" i="3"/>
  <c r="H225" i="3"/>
  <c r="I225" i="3" s="1"/>
  <c r="H226" i="3"/>
  <c r="H227" i="3"/>
  <c r="H228" i="3"/>
  <c r="I228" i="3" s="1"/>
  <c r="H229" i="3"/>
  <c r="H230" i="3"/>
  <c r="J230" i="3" s="1"/>
  <c r="H231" i="3"/>
  <c r="I231" i="3" s="1"/>
  <c r="H232" i="3"/>
  <c r="H233" i="3"/>
  <c r="I233" i="3" s="1"/>
  <c r="H234" i="3"/>
  <c r="I234" i="3" s="1"/>
  <c r="H235" i="3"/>
  <c r="I235" i="3" s="1"/>
  <c r="H236" i="3"/>
  <c r="J236" i="3" s="1"/>
  <c r="H237" i="3"/>
  <c r="H238" i="3"/>
  <c r="J238" i="3" s="1"/>
  <c r="H239" i="3"/>
  <c r="I239" i="3" s="1"/>
  <c r="H240" i="3"/>
  <c r="I240" i="3" s="1"/>
  <c r="H241" i="3"/>
  <c r="I241" i="3" s="1"/>
  <c r="H242" i="3"/>
  <c r="J242" i="3" s="1"/>
  <c r="H243" i="3"/>
  <c r="J243" i="3" s="1"/>
  <c r="H244" i="3"/>
  <c r="H224" i="3"/>
  <c r="J224" i="3" s="1"/>
  <c r="H6" i="3"/>
  <c r="J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H13" i="3"/>
  <c r="I13" i="3" s="1"/>
  <c r="H14" i="3"/>
  <c r="I14" i="3" s="1"/>
  <c r="H15" i="3"/>
  <c r="I15" i="3" s="1"/>
  <c r="H16" i="3"/>
  <c r="I16" i="3" s="1"/>
  <c r="H17" i="3"/>
  <c r="I17" i="3" s="1"/>
  <c r="H18" i="3"/>
  <c r="J18" i="3" s="1"/>
  <c r="H19" i="3"/>
  <c r="I19" i="3" s="1"/>
  <c r="H20" i="3"/>
  <c r="H21" i="3"/>
  <c r="I21" i="3" s="1"/>
  <c r="H22" i="3"/>
  <c r="J22" i="3" s="1"/>
  <c r="H23" i="3"/>
  <c r="I23" i="3" s="1"/>
  <c r="H24" i="3"/>
  <c r="I24" i="3" s="1"/>
  <c r="H25" i="3"/>
  <c r="I25" i="3" s="1"/>
  <c r="H26" i="3"/>
  <c r="I26" i="3" s="1"/>
  <c r="H27" i="3"/>
  <c r="I27" i="3" s="1"/>
  <c r="H28" i="3"/>
  <c r="H29" i="3"/>
  <c r="I29" i="3" s="1"/>
  <c r="H30" i="3"/>
  <c r="I30" i="3" s="1"/>
  <c r="H31" i="3"/>
  <c r="I31" i="3" s="1"/>
  <c r="H32" i="3"/>
  <c r="H33" i="3"/>
  <c r="I33" i="3" s="1"/>
  <c r="H34" i="3"/>
  <c r="H35" i="3"/>
  <c r="I35" i="3" s="1"/>
  <c r="H36" i="3"/>
  <c r="I36" i="3" s="1"/>
  <c r="H37" i="3"/>
  <c r="I37" i="3" s="1"/>
  <c r="H38" i="3"/>
  <c r="I38" i="3" s="1"/>
  <c r="H39" i="3"/>
  <c r="I39" i="3" s="1"/>
  <c r="H40" i="3"/>
  <c r="I40" i="3" s="1"/>
  <c r="H41" i="3"/>
  <c r="I41" i="3" s="1"/>
  <c r="H42" i="3"/>
  <c r="I42" i="3" s="1"/>
  <c r="H43" i="3"/>
  <c r="J43" i="3" s="1"/>
  <c r="H44" i="3"/>
  <c r="I44" i="3" s="1"/>
  <c r="H45" i="3"/>
  <c r="I45" i="3" s="1"/>
  <c r="H46" i="3"/>
  <c r="J46" i="3" s="1"/>
  <c r="H47" i="3"/>
  <c r="I47" i="3" s="1"/>
  <c r="H48" i="3"/>
  <c r="I48" i="3" s="1"/>
  <c r="H49" i="3"/>
  <c r="J49" i="3" s="1"/>
  <c r="H50" i="3"/>
  <c r="J50" i="3" s="1"/>
  <c r="H51" i="3"/>
  <c r="I51" i="3" s="1"/>
  <c r="H52" i="3"/>
  <c r="H53" i="3"/>
  <c r="I53" i="3" s="1"/>
  <c r="H54" i="3"/>
  <c r="J54" i="3" s="1"/>
  <c r="H55" i="3"/>
  <c r="I55" i="3" s="1"/>
  <c r="H56" i="3"/>
  <c r="H57" i="3"/>
  <c r="I57" i="3" s="1"/>
  <c r="H58" i="3"/>
  <c r="I58" i="3" s="1"/>
  <c r="H59" i="3"/>
  <c r="I59" i="3" s="1"/>
  <c r="H60" i="3"/>
  <c r="H61" i="3"/>
  <c r="J61" i="3" s="1"/>
  <c r="H62" i="3"/>
  <c r="J62" i="3" s="1"/>
  <c r="H63" i="3"/>
  <c r="I63" i="3" s="1"/>
  <c r="H64" i="3"/>
  <c r="H65" i="3"/>
  <c r="I65" i="3" s="1"/>
  <c r="H66" i="3"/>
  <c r="I66" i="3" s="1"/>
  <c r="H67" i="3"/>
  <c r="I67" i="3" s="1"/>
  <c r="H68" i="3"/>
  <c r="H69" i="3"/>
  <c r="I69" i="3" s="1"/>
  <c r="H70" i="3"/>
  <c r="J70" i="3" s="1"/>
  <c r="H71" i="3"/>
  <c r="I71" i="3" s="1"/>
  <c r="H72" i="3"/>
  <c r="I72" i="3" s="1"/>
  <c r="H73" i="3"/>
  <c r="I73" i="3" s="1"/>
  <c r="H74" i="3"/>
  <c r="I74" i="3" s="1"/>
  <c r="H75" i="3"/>
  <c r="I75" i="3" s="1"/>
  <c r="H76" i="3"/>
  <c r="I76" i="3" s="1"/>
  <c r="H77" i="3"/>
  <c r="J77" i="3" s="1"/>
  <c r="H78" i="3"/>
  <c r="J78" i="3" s="1"/>
  <c r="H79" i="3"/>
  <c r="I79" i="3" s="1"/>
  <c r="H80" i="3"/>
  <c r="I80" i="3" s="1"/>
  <c r="H81" i="3"/>
  <c r="I81" i="3" s="1"/>
  <c r="H82" i="3"/>
  <c r="J82" i="3" s="1"/>
  <c r="H83" i="3"/>
  <c r="I83" i="3" s="1"/>
  <c r="H84" i="3"/>
  <c r="I84" i="3" s="1"/>
  <c r="H85" i="3"/>
  <c r="H86" i="3"/>
  <c r="J86" i="3" s="1"/>
  <c r="H87" i="3"/>
  <c r="I87" i="3" s="1"/>
  <c r="H88" i="3"/>
  <c r="I88" i="3" s="1"/>
  <c r="H89" i="3"/>
  <c r="I89" i="3" s="1"/>
  <c r="H90" i="3"/>
  <c r="I90" i="3" s="1"/>
  <c r="H91" i="3"/>
  <c r="I91" i="3" s="1"/>
  <c r="H92" i="3"/>
  <c r="I92" i="3" s="1"/>
  <c r="H93" i="3"/>
  <c r="I93" i="3" s="1"/>
  <c r="H94" i="3"/>
  <c r="I94" i="3" s="1"/>
  <c r="H95" i="3"/>
  <c r="I95" i="3" s="1"/>
  <c r="H96" i="3"/>
  <c r="H97" i="3"/>
  <c r="J97" i="3" s="1"/>
  <c r="H98" i="3"/>
  <c r="H99" i="3"/>
  <c r="I99" i="3" s="1"/>
  <c r="H100" i="3"/>
  <c r="H101" i="3"/>
  <c r="I101" i="3" s="1"/>
  <c r="H102" i="3"/>
  <c r="I102" i="3" s="1"/>
  <c r="H103" i="3"/>
  <c r="I103" i="3" s="1"/>
  <c r="H104" i="3"/>
  <c r="I104" i="3" s="1"/>
  <c r="H105" i="3"/>
  <c r="I105" i="3" s="1"/>
  <c r="H106" i="3"/>
  <c r="I106" i="3" s="1"/>
  <c r="H107" i="3"/>
  <c r="H108" i="3"/>
  <c r="J108" i="3" s="1"/>
  <c r="H109" i="3"/>
  <c r="I109" i="3" s="1"/>
  <c r="H110" i="3"/>
  <c r="I110" i="3" s="1"/>
  <c r="H111" i="3"/>
  <c r="I111" i="3" s="1"/>
  <c r="H112" i="3"/>
  <c r="I112" i="3" s="1"/>
  <c r="H113" i="3"/>
  <c r="I113" i="3" s="1"/>
  <c r="H114" i="3"/>
  <c r="J114" i="3" s="1"/>
  <c r="H115" i="3"/>
  <c r="I115" i="3" s="1"/>
  <c r="H116" i="3"/>
  <c r="H117" i="3"/>
  <c r="I117" i="3" s="1"/>
  <c r="H118" i="3"/>
  <c r="J118" i="3" s="1"/>
  <c r="H119" i="3"/>
  <c r="I119" i="3" s="1"/>
  <c r="H120" i="3"/>
  <c r="J120" i="3" s="1"/>
  <c r="H121" i="3"/>
  <c r="I121" i="3" s="1"/>
  <c r="H122" i="3"/>
  <c r="I122" i="3" s="1"/>
  <c r="H123" i="3"/>
  <c r="I123" i="3" s="1"/>
  <c r="H124" i="3"/>
  <c r="J124" i="3" s="1"/>
  <c r="H125" i="3"/>
  <c r="I125" i="3" s="1"/>
  <c r="H126" i="3"/>
  <c r="J126" i="3" s="1"/>
  <c r="H127" i="3"/>
  <c r="I127" i="3" s="1"/>
  <c r="H128" i="3"/>
  <c r="H129" i="3"/>
  <c r="I129" i="3" s="1"/>
  <c r="H130" i="3"/>
  <c r="I130" i="3" s="1"/>
  <c r="H131" i="3"/>
  <c r="I131" i="3" s="1"/>
  <c r="H132" i="3"/>
  <c r="H133" i="3"/>
  <c r="I133" i="3" s="1"/>
  <c r="H134" i="3"/>
  <c r="J134" i="3" s="1"/>
  <c r="H135" i="3"/>
  <c r="I135" i="3" s="1"/>
  <c r="H136" i="3"/>
  <c r="I136" i="3" s="1"/>
  <c r="H137" i="3"/>
  <c r="I137" i="3" s="1"/>
  <c r="H138" i="3"/>
  <c r="I138" i="3" s="1"/>
  <c r="H139" i="3"/>
  <c r="I139" i="3" s="1"/>
  <c r="H140" i="3"/>
  <c r="J140" i="3" s="1"/>
  <c r="H141" i="3"/>
  <c r="H142" i="3"/>
  <c r="I142" i="3" s="1"/>
  <c r="H143" i="3"/>
  <c r="I143" i="3" s="1"/>
  <c r="H144" i="3"/>
  <c r="I144" i="3" s="1"/>
  <c r="H145" i="3"/>
  <c r="I145" i="3" s="1"/>
  <c r="H146" i="3"/>
  <c r="I146" i="3" s="1"/>
  <c r="H147" i="3"/>
  <c r="J147" i="3" s="1"/>
  <c r="H148" i="3"/>
  <c r="H149" i="3"/>
  <c r="I149" i="3" s="1"/>
  <c r="H150" i="3"/>
  <c r="J150" i="3" s="1"/>
  <c r="H151" i="3"/>
  <c r="I151" i="3" s="1"/>
  <c r="H152" i="3"/>
  <c r="I152" i="3" s="1"/>
  <c r="H153" i="3"/>
  <c r="I153" i="3" s="1"/>
  <c r="H154" i="3"/>
  <c r="I154" i="3" s="1"/>
  <c r="H155" i="3"/>
  <c r="J155" i="3" s="1"/>
  <c r="H156" i="3"/>
  <c r="J156" i="3" s="1"/>
  <c r="H157" i="3"/>
  <c r="I157" i="3" s="1"/>
  <c r="H158" i="3"/>
  <c r="J158" i="3" s="1"/>
  <c r="H159" i="3"/>
  <c r="I159" i="3" s="1"/>
  <c r="H160" i="3"/>
  <c r="H161" i="3"/>
  <c r="J161" i="3" s="1"/>
  <c r="H162" i="3"/>
  <c r="H163" i="3"/>
  <c r="I163" i="3" s="1"/>
  <c r="H164" i="3"/>
  <c r="I164" i="3" s="1"/>
  <c r="H165" i="3"/>
  <c r="I165" i="3" s="1"/>
  <c r="H166" i="3"/>
  <c r="J166" i="3" s="1"/>
  <c r="H167" i="3"/>
  <c r="H168" i="3"/>
  <c r="I168" i="3" s="1"/>
  <c r="H169" i="3"/>
  <c r="I169" i="3" s="1"/>
  <c r="H170" i="3"/>
  <c r="I170" i="3" s="1"/>
  <c r="H171" i="3"/>
  <c r="I171" i="3" s="1"/>
  <c r="H172" i="3"/>
  <c r="I172" i="3" s="1"/>
  <c r="H173" i="3"/>
  <c r="H174" i="3"/>
  <c r="I174" i="3" s="1"/>
  <c r="H175" i="3"/>
  <c r="I175" i="3" s="1"/>
  <c r="H176" i="3"/>
  <c r="I176" i="3" s="1"/>
  <c r="H177" i="3"/>
  <c r="I177" i="3" s="1"/>
  <c r="H178" i="3"/>
  <c r="J178" i="3" s="1"/>
  <c r="H179" i="3"/>
  <c r="I179" i="3" s="1"/>
  <c r="H180" i="3"/>
  <c r="H181" i="3"/>
  <c r="J181" i="3" s="1"/>
  <c r="H182" i="3"/>
  <c r="J182" i="3" s="1"/>
  <c r="H183" i="3"/>
  <c r="I183" i="3" s="1"/>
  <c r="H184" i="3"/>
  <c r="I184" i="3" s="1"/>
  <c r="H185" i="3"/>
  <c r="I185" i="3" s="1"/>
  <c r="H186" i="3"/>
  <c r="I186" i="3" s="1"/>
  <c r="H187" i="3"/>
  <c r="H188" i="3"/>
  <c r="I188" i="3" s="1"/>
  <c r="H189" i="3"/>
  <c r="I189" i="3" s="1"/>
  <c r="H190" i="3"/>
  <c r="I190" i="3" s="1"/>
  <c r="H191" i="3"/>
  <c r="H192" i="3"/>
  <c r="H193" i="3"/>
  <c r="I193" i="3" s="1"/>
  <c r="H194" i="3"/>
  <c r="I194" i="3" s="1"/>
  <c r="H195" i="3"/>
  <c r="I195" i="3" s="1"/>
  <c r="H196" i="3"/>
  <c r="J196" i="3" s="1"/>
  <c r="H197" i="3"/>
  <c r="I197" i="3" s="1"/>
  <c r="H198" i="3"/>
  <c r="I198" i="3" s="1"/>
  <c r="H199" i="3"/>
  <c r="I199" i="3" s="1"/>
  <c r="H200" i="3"/>
  <c r="I200" i="3" s="1"/>
  <c r="H201" i="3"/>
  <c r="I201" i="3" s="1"/>
  <c r="H202" i="3"/>
  <c r="I202" i="3" s="1"/>
  <c r="H203" i="3"/>
  <c r="I203" i="3" s="1"/>
  <c r="H204" i="3"/>
  <c r="I204" i="3" s="1"/>
  <c r="H205" i="3"/>
  <c r="I205" i="3" s="1"/>
  <c r="H206" i="3"/>
  <c r="I206" i="3" s="1"/>
  <c r="H207" i="3"/>
  <c r="I207" i="3" s="1"/>
  <c r="H208" i="3"/>
  <c r="I208" i="3" s="1"/>
  <c r="H209" i="3"/>
  <c r="I209" i="3" s="1"/>
  <c r="H210" i="3"/>
  <c r="J210" i="3" s="1"/>
  <c r="H211" i="3"/>
  <c r="I211" i="3" s="1"/>
  <c r="H212" i="3"/>
  <c r="H213" i="3"/>
  <c r="I213" i="3" s="1"/>
  <c r="H214" i="3"/>
  <c r="J214" i="3" s="1"/>
  <c r="H215" i="3"/>
  <c r="I215" i="3" s="1"/>
  <c r="H216" i="3"/>
  <c r="I216" i="3" s="1"/>
  <c r="H217" i="3"/>
  <c r="I217" i="3" s="1"/>
  <c r="H218" i="3"/>
  <c r="I218" i="3" s="1"/>
  <c r="H219" i="3"/>
  <c r="I219" i="3" s="1"/>
  <c r="H220" i="3"/>
  <c r="J220" i="3" s="1"/>
  <c r="H221" i="3"/>
  <c r="J221" i="3" s="1"/>
  <c r="H222" i="3"/>
  <c r="I222" i="3" s="1"/>
  <c r="H223" i="3"/>
  <c r="H5" i="3"/>
  <c r="J92" i="3"/>
  <c r="J44" i="3"/>
  <c r="J35" i="3"/>
  <c r="J36" i="3"/>
  <c r="I210" i="3"/>
  <c r="J194" i="3"/>
  <c r="I50" i="3"/>
  <c r="I18" i="3"/>
  <c r="I242" i="3"/>
  <c r="I196" i="3"/>
  <c r="I161" i="3"/>
  <c r="J81" i="3"/>
  <c r="J41" i="3"/>
  <c r="J9" i="3"/>
  <c r="J200" i="3"/>
  <c r="J184" i="3"/>
  <c r="J176" i="3"/>
  <c r="J168" i="3"/>
  <c r="J136" i="3"/>
  <c r="I120" i="3"/>
  <c r="J112" i="3"/>
  <c r="J104" i="3"/>
  <c r="J88" i="3"/>
  <c r="J80" i="3"/>
  <c r="I56" i="3"/>
  <c r="J56" i="3"/>
  <c r="J48" i="3"/>
  <c r="J40" i="3"/>
  <c r="J24" i="3"/>
  <c r="J16" i="3"/>
  <c r="J8" i="3"/>
  <c r="J204" i="3"/>
  <c r="J103" i="3"/>
  <c r="J55" i="3"/>
  <c r="J231" i="3"/>
  <c r="E1" i="1"/>
  <c r="G417" i="1"/>
  <c r="G390" i="1"/>
  <c r="G379" i="1"/>
  <c r="J151" i="3" l="1"/>
  <c r="J145" i="3"/>
  <c r="J404" i="3"/>
  <c r="J392" i="3"/>
  <c r="I566" i="3"/>
  <c r="J426" i="3"/>
  <c r="J545" i="3"/>
  <c r="J340" i="3"/>
  <c r="J71" i="3"/>
  <c r="J552" i="3"/>
  <c r="I382" i="3"/>
  <c r="I344" i="3"/>
  <c r="J554" i="3"/>
  <c r="J241" i="3"/>
  <c r="J363" i="3"/>
  <c r="J631" i="3"/>
  <c r="J616" i="3"/>
  <c r="I302" i="3"/>
  <c r="I341" i="3"/>
  <c r="J663" i="3"/>
  <c r="J301" i="3"/>
  <c r="J639" i="3"/>
  <c r="J246" i="3"/>
  <c r="I294" i="3"/>
  <c r="J538" i="3"/>
  <c r="I474" i="3"/>
  <c r="I481" i="3"/>
  <c r="J14" i="3"/>
  <c r="J233" i="3"/>
  <c r="J113" i="3"/>
  <c r="J395" i="3"/>
  <c r="I598" i="3"/>
  <c r="I461" i="3"/>
  <c r="J594" i="3"/>
  <c r="I305" i="3"/>
  <c r="I70" i="3"/>
  <c r="J215" i="3"/>
  <c r="J33" i="3"/>
  <c r="J177" i="3"/>
  <c r="J627" i="3"/>
  <c r="J271" i="3"/>
  <c r="I310" i="3"/>
  <c r="I478" i="3"/>
  <c r="J437" i="3"/>
  <c r="I385" i="3"/>
  <c r="I126" i="3"/>
  <c r="J209" i="3"/>
  <c r="J635" i="3"/>
  <c r="J367" i="3"/>
  <c r="I390" i="3"/>
  <c r="J589" i="3"/>
  <c r="J206" i="3"/>
  <c r="J239" i="3"/>
  <c r="I49" i="3"/>
  <c r="J651" i="3"/>
  <c r="J423" i="3"/>
  <c r="J408" i="3"/>
  <c r="I253" i="3"/>
  <c r="I573" i="3"/>
  <c r="J465" i="3"/>
  <c r="J15" i="3"/>
  <c r="I97" i="3"/>
  <c r="J396" i="3"/>
  <c r="J567" i="3"/>
  <c r="I614" i="3"/>
  <c r="I374" i="3"/>
  <c r="J493" i="3"/>
  <c r="J402" i="3"/>
  <c r="I419" i="3"/>
  <c r="I588" i="3"/>
  <c r="J31" i="3"/>
  <c r="J208" i="3"/>
  <c r="J105" i="3"/>
  <c r="J193" i="3"/>
  <c r="J524" i="3"/>
  <c r="J375" i="3"/>
  <c r="J286" i="3"/>
  <c r="I422" i="3"/>
  <c r="J346" i="3"/>
  <c r="J361" i="3"/>
  <c r="I257" i="3"/>
  <c r="I332" i="3"/>
  <c r="I586" i="3"/>
  <c r="I600" i="3"/>
  <c r="J79" i="3"/>
  <c r="J129" i="3"/>
  <c r="J620" i="3"/>
  <c r="J470" i="3"/>
  <c r="J597" i="3"/>
  <c r="I317" i="3"/>
  <c r="J561" i="3"/>
  <c r="I282" i="3"/>
  <c r="I289" i="3"/>
  <c r="I497" i="3"/>
  <c r="J127" i="3"/>
  <c r="J119" i="3"/>
  <c r="J65" i="3"/>
  <c r="J331" i="3"/>
  <c r="J660" i="3"/>
  <c r="J583" i="3"/>
  <c r="J448" i="3"/>
  <c r="I534" i="3"/>
  <c r="I410" i="3"/>
  <c r="I417" i="3"/>
  <c r="J175" i="3"/>
  <c r="J17" i="3"/>
  <c r="J169" i="3"/>
  <c r="J303" i="3"/>
  <c r="I486" i="3"/>
  <c r="I318" i="3"/>
  <c r="J658" i="3"/>
  <c r="J510" i="3"/>
  <c r="J570" i="3"/>
  <c r="I86" i="3"/>
  <c r="J606" i="3"/>
  <c r="I158" i="3"/>
  <c r="I124" i="3"/>
  <c r="J102" i="3"/>
  <c r="J76" i="3"/>
  <c r="J659" i="3"/>
  <c r="J319" i="3"/>
  <c r="J520" i="3"/>
  <c r="J365" i="3"/>
  <c r="I166" i="3"/>
  <c r="J248" i="3"/>
  <c r="I78" i="3"/>
  <c r="J30" i="3"/>
  <c r="J222" i="3"/>
  <c r="J556" i="3"/>
  <c r="J495" i="3"/>
  <c r="J94" i="3"/>
  <c r="J451" i="3"/>
  <c r="I621" i="3"/>
  <c r="J84" i="3"/>
  <c r="J459" i="3"/>
  <c r="J572" i="3"/>
  <c r="J519" i="3"/>
  <c r="I533" i="3"/>
  <c r="I6" i="3"/>
  <c r="I46" i="3"/>
  <c r="J172" i="3"/>
  <c r="I140" i="3"/>
  <c r="J276" i="3"/>
  <c r="J551" i="3"/>
  <c r="I558" i="3"/>
  <c r="I254" i="3"/>
  <c r="J429" i="3"/>
  <c r="J601" i="3"/>
  <c r="I230" i="3"/>
  <c r="I220" i="3"/>
  <c r="J275" i="3"/>
  <c r="J308" i="3"/>
  <c r="J296" i="3"/>
  <c r="J298" i="3"/>
  <c r="I134" i="3"/>
  <c r="I214" i="3"/>
  <c r="J414" i="3"/>
  <c r="I333" i="3"/>
  <c r="I150" i="3"/>
  <c r="J348" i="3"/>
  <c r="J38" i="3"/>
  <c r="J564" i="3"/>
  <c r="J511" i="3"/>
  <c r="J502" i="3"/>
  <c r="J666" i="3"/>
  <c r="I662" i="3"/>
  <c r="J521" i="3"/>
  <c r="J110" i="3"/>
  <c r="I114" i="3"/>
  <c r="J164" i="3"/>
  <c r="J428" i="3"/>
  <c r="I654" i="3"/>
  <c r="I54" i="3"/>
  <c r="I118" i="3"/>
  <c r="I182" i="3"/>
  <c r="J217" i="3"/>
  <c r="J225" i="3"/>
  <c r="J130" i="3"/>
  <c r="J547" i="3"/>
  <c r="J476" i="3"/>
  <c r="J596" i="3"/>
  <c r="J638" i="3"/>
  <c r="J542" i="3"/>
  <c r="I358" i="3"/>
  <c r="J637" i="3"/>
  <c r="I349" i="3"/>
  <c r="I238" i="3"/>
  <c r="I62" i="3"/>
  <c r="J198" i="3"/>
  <c r="I156" i="3"/>
  <c r="J45" i="3"/>
  <c r="J72" i="3"/>
  <c r="J144" i="3"/>
  <c r="J25" i="3"/>
  <c r="J73" i="3"/>
  <c r="J137" i="3"/>
  <c r="J201" i="3"/>
  <c r="I178" i="3"/>
  <c r="I243" i="3"/>
  <c r="J323" i="3"/>
  <c r="J579" i="3"/>
  <c r="J316" i="3"/>
  <c r="J492" i="3"/>
  <c r="J383" i="3"/>
  <c r="J575" i="3"/>
  <c r="J608" i="3"/>
  <c r="J630" i="3"/>
  <c r="I469" i="3"/>
  <c r="J397" i="3"/>
  <c r="J338" i="3"/>
  <c r="J378" i="3"/>
  <c r="I266" i="3"/>
  <c r="I369" i="3"/>
  <c r="I387" i="3"/>
  <c r="J387" i="3"/>
  <c r="J490" i="3"/>
  <c r="I490" i="3"/>
  <c r="I512" i="3"/>
  <c r="J512" i="3"/>
  <c r="I557" i="3"/>
  <c r="J557" i="3"/>
  <c r="I468" i="3"/>
  <c r="J468" i="3"/>
  <c r="I431" i="3"/>
  <c r="J431" i="3"/>
  <c r="J536" i="3"/>
  <c r="I536" i="3"/>
  <c r="J5" i="3"/>
  <c r="I5" i="3"/>
  <c r="I192" i="3"/>
  <c r="J192" i="3"/>
  <c r="I160" i="3"/>
  <c r="J160" i="3"/>
  <c r="I128" i="3"/>
  <c r="J128" i="3"/>
  <c r="I96" i="3"/>
  <c r="J96" i="3"/>
  <c r="I64" i="3"/>
  <c r="J64" i="3"/>
  <c r="I32" i="3"/>
  <c r="J32" i="3"/>
  <c r="I232" i="3"/>
  <c r="J232" i="3"/>
  <c r="J259" i="3"/>
  <c r="J483" i="3"/>
  <c r="J255" i="3"/>
  <c r="J463" i="3"/>
  <c r="I359" i="3"/>
  <c r="J359" i="3"/>
  <c r="I411" i="3"/>
  <c r="J411" i="3"/>
  <c r="I418" i="3"/>
  <c r="J418" i="3"/>
  <c r="I439" i="3"/>
  <c r="J439" i="3"/>
  <c r="I447" i="3"/>
  <c r="J447" i="3"/>
  <c r="J477" i="3"/>
  <c r="I477" i="3"/>
  <c r="I522" i="3"/>
  <c r="J522" i="3"/>
  <c r="I529" i="3"/>
  <c r="J529" i="3"/>
  <c r="J559" i="3"/>
  <c r="I559" i="3"/>
  <c r="I574" i="3"/>
  <c r="J574" i="3"/>
  <c r="I625" i="3"/>
  <c r="I632" i="3"/>
  <c r="J632" i="3"/>
  <c r="I640" i="3"/>
  <c r="J640" i="3"/>
  <c r="I314" i="3"/>
  <c r="J314" i="3"/>
  <c r="I504" i="3"/>
  <c r="J504" i="3"/>
  <c r="I550" i="3"/>
  <c r="J550" i="3"/>
  <c r="I280" i="3"/>
  <c r="J280" i="3"/>
  <c r="I339" i="3"/>
  <c r="J339" i="3"/>
  <c r="I523" i="3"/>
  <c r="J523" i="3"/>
  <c r="I454" i="3"/>
  <c r="I281" i="3"/>
  <c r="J281" i="3"/>
  <c r="I376" i="3"/>
  <c r="J376" i="3"/>
  <c r="I406" i="3"/>
  <c r="J406" i="3"/>
  <c r="I449" i="3"/>
  <c r="J449" i="3"/>
  <c r="I500" i="3"/>
  <c r="J500" i="3"/>
  <c r="I553" i="3"/>
  <c r="J553" i="3"/>
  <c r="I611" i="3"/>
  <c r="J611" i="3"/>
  <c r="I619" i="3"/>
  <c r="J619" i="3"/>
  <c r="J664" i="3"/>
  <c r="I664" i="3"/>
  <c r="J615" i="3"/>
  <c r="I300" i="3"/>
  <c r="J300" i="3"/>
  <c r="I653" i="3"/>
  <c r="J653" i="3"/>
  <c r="I667" i="3"/>
  <c r="J667" i="3"/>
  <c r="J412" i="3"/>
  <c r="G3" i="3"/>
  <c r="I442" i="3"/>
  <c r="J442" i="3"/>
  <c r="I577" i="3"/>
  <c r="J577" i="3"/>
  <c r="I591" i="3"/>
  <c r="J591" i="3"/>
  <c r="J605" i="3"/>
  <c r="I605" i="3"/>
  <c r="I650" i="3"/>
  <c r="J650" i="3"/>
  <c r="J216" i="3"/>
  <c r="I212" i="3"/>
  <c r="J212" i="3"/>
  <c r="I132" i="3"/>
  <c r="J132" i="3"/>
  <c r="I60" i="3"/>
  <c r="J60" i="3"/>
  <c r="I20" i="3"/>
  <c r="J20" i="3"/>
  <c r="J12" i="3"/>
  <c r="I12" i="3"/>
  <c r="I244" i="3"/>
  <c r="J244" i="3"/>
  <c r="I350" i="3"/>
  <c r="I661" i="3"/>
  <c r="J509" i="3"/>
  <c r="J355" i="3"/>
  <c r="I355" i="3"/>
  <c r="I488" i="3"/>
  <c r="J488" i="3"/>
  <c r="I525" i="3"/>
  <c r="J525" i="3"/>
  <c r="I643" i="3"/>
  <c r="J643" i="3"/>
  <c r="I269" i="3"/>
  <c r="J269" i="3"/>
  <c r="I277" i="3"/>
  <c r="I405" i="3"/>
  <c r="J405" i="3"/>
  <c r="I515" i="3"/>
  <c r="J515" i="3"/>
  <c r="I618" i="3"/>
  <c r="J618" i="3"/>
  <c r="J438" i="3"/>
  <c r="J446" i="3"/>
  <c r="I274" i="3"/>
  <c r="J274" i="3"/>
  <c r="I362" i="3"/>
  <c r="J362" i="3"/>
  <c r="I501" i="3"/>
  <c r="J501" i="3"/>
  <c r="I657" i="3"/>
  <c r="J657" i="3"/>
  <c r="J152" i="3"/>
  <c r="I180" i="3"/>
  <c r="J180" i="3"/>
  <c r="I148" i="3"/>
  <c r="J148" i="3"/>
  <c r="I100" i="3"/>
  <c r="J100" i="3"/>
  <c r="I68" i="3"/>
  <c r="J68" i="3"/>
  <c r="I28" i="3"/>
  <c r="J28" i="3"/>
  <c r="J188" i="3"/>
  <c r="I107" i="3"/>
  <c r="J107" i="3"/>
  <c r="I227" i="3"/>
  <c r="J227" i="3"/>
  <c r="J595" i="3"/>
  <c r="J273" i="3"/>
  <c r="I283" i="3"/>
  <c r="J283" i="3"/>
  <c r="I290" i="3"/>
  <c r="J290" i="3"/>
  <c r="I321" i="3"/>
  <c r="J321" i="3"/>
  <c r="I335" i="3"/>
  <c r="J335" i="3"/>
  <c r="I394" i="3"/>
  <c r="J394" i="3"/>
  <c r="I401" i="3"/>
  <c r="J401" i="3"/>
  <c r="I460" i="3"/>
  <c r="I467" i="3"/>
  <c r="J467" i="3"/>
  <c r="J622" i="3"/>
  <c r="I622" i="3"/>
  <c r="I22" i="3"/>
  <c r="J174" i="3"/>
  <c r="J189" i="3"/>
  <c r="I77" i="3"/>
  <c r="J26" i="3"/>
  <c r="J347" i="3"/>
  <c r="J475" i="3"/>
  <c r="J295" i="3"/>
  <c r="J399" i="3"/>
  <c r="J440" i="3"/>
  <c r="J498" i="3"/>
  <c r="J634" i="3"/>
  <c r="J142" i="3"/>
  <c r="J190" i="3"/>
  <c r="I82" i="3"/>
  <c r="J37" i="3"/>
  <c r="J149" i="3"/>
  <c r="J267" i="3"/>
  <c r="J603" i="3"/>
  <c r="J364" i="3"/>
  <c r="J604" i="3"/>
  <c r="J527" i="3"/>
  <c r="J623" i="3"/>
  <c r="J312" i="3"/>
  <c r="I413" i="3"/>
  <c r="J458" i="3"/>
  <c r="J626" i="3"/>
  <c r="J513" i="3"/>
  <c r="I291" i="3"/>
  <c r="I472" i="3"/>
  <c r="G1" i="1"/>
  <c r="J122" i="3"/>
  <c r="J531" i="3"/>
  <c r="I229" i="3"/>
  <c r="J229" i="3"/>
  <c r="I642" i="3"/>
  <c r="J642" i="3"/>
  <c r="I85" i="3"/>
  <c r="J85" i="3"/>
  <c r="I237" i="3"/>
  <c r="J237" i="3"/>
  <c r="I386" i="3"/>
  <c r="J386" i="3"/>
  <c r="J456" i="3"/>
  <c r="I456" i="3"/>
  <c r="I518" i="3"/>
  <c r="J518" i="3"/>
  <c r="J125" i="3"/>
  <c r="J21" i="3"/>
  <c r="J90" i="3"/>
  <c r="J186" i="3"/>
  <c r="J101" i="3"/>
  <c r="I116" i="3"/>
  <c r="J116" i="3"/>
  <c r="I52" i="3"/>
  <c r="J52" i="3"/>
  <c r="J299" i="3"/>
  <c r="J403" i="3"/>
  <c r="J491" i="3"/>
  <c r="J436" i="3"/>
  <c r="I590" i="3"/>
  <c r="I541" i="3"/>
  <c r="I263" i="3"/>
  <c r="J263" i="3"/>
  <c r="I372" i="3"/>
  <c r="J372" i="3"/>
  <c r="J380" i="3"/>
  <c r="I380" i="3"/>
  <c r="J415" i="3"/>
  <c r="I415" i="3"/>
  <c r="I421" i="3"/>
  <c r="J421" i="3"/>
  <c r="I628" i="3"/>
  <c r="J628" i="3"/>
  <c r="J636" i="3"/>
  <c r="I636" i="3"/>
  <c r="J29" i="3"/>
  <c r="J213" i="3"/>
  <c r="I326" i="3"/>
  <c r="J326" i="3"/>
  <c r="I450" i="3"/>
  <c r="J450" i="3"/>
  <c r="J205" i="3"/>
  <c r="J93" i="3"/>
  <c r="J109" i="3"/>
  <c r="I221" i="3"/>
  <c r="I162" i="3"/>
  <c r="J162" i="3"/>
  <c r="I98" i="3"/>
  <c r="J98" i="3"/>
  <c r="I34" i="3"/>
  <c r="J34" i="3"/>
  <c r="I226" i="3"/>
  <c r="J226" i="3"/>
  <c r="J427" i="3"/>
  <c r="I334" i="3"/>
  <c r="I250" i="3"/>
  <c r="J250" i="3"/>
  <c r="J444" i="3"/>
  <c r="I444" i="3"/>
  <c r="J479" i="3"/>
  <c r="I479" i="3"/>
  <c r="I485" i="3"/>
  <c r="J485" i="3"/>
  <c r="I506" i="3"/>
  <c r="J506" i="3"/>
  <c r="I576" i="3"/>
  <c r="J576" i="3"/>
  <c r="I617" i="3"/>
  <c r="J617" i="3"/>
  <c r="I181" i="3"/>
  <c r="I187" i="3"/>
  <c r="J187" i="3"/>
  <c r="I582" i="3"/>
  <c r="J582" i="3"/>
  <c r="I251" i="3"/>
  <c r="J251" i="3"/>
  <c r="J157" i="3"/>
  <c r="J69" i="3"/>
  <c r="I328" i="3"/>
  <c r="J328" i="3"/>
  <c r="I646" i="3"/>
  <c r="J646" i="3"/>
  <c r="I61" i="3"/>
  <c r="J58" i="3"/>
  <c r="J311" i="3"/>
  <c r="I526" i="3"/>
  <c r="I285" i="3"/>
  <c r="J258" i="3"/>
  <c r="I252" i="3"/>
  <c r="J252" i="3"/>
  <c r="J287" i="3"/>
  <c r="I287" i="3"/>
  <c r="I293" i="3"/>
  <c r="J293" i="3"/>
  <c r="I384" i="3"/>
  <c r="J384" i="3"/>
  <c r="I425" i="3"/>
  <c r="J425" i="3"/>
  <c r="I508" i="3"/>
  <c r="J508" i="3"/>
  <c r="J543" i="3"/>
  <c r="I543" i="3"/>
  <c r="I549" i="3"/>
  <c r="J549" i="3"/>
  <c r="I141" i="3"/>
  <c r="J141" i="3"/>
  <c r="J264" i="3"/>
  <c r="I264" i="3"/>
  <c r="I224" i="3"/>
  <c r="J53" i="3"/>
  <c r="J165" i="3"/>
  <c r="J146" i="3"/>
  <c r="J218" i="3"/>
  <c r="J133" i="3"/>
  <c r="J117" i="3"/>
  <c r="J234" i="3"/>
  <c r="J66" i="3"/>
  <c r="J179" i="3"/>
  <c r="J197" i="3"/>
  <c r="I108" i="3"/>
  <c r="I223" i="3"/>
  <c r="J223" i="3"/>
  <c r="I191" i="3"/>
  <c r="J191" i="3"/>
  <c r="I167" i="3"/>
  <c r="J167" i="3"/>
  <c r="I262" i="3"/>
  <c r="J462" i="3"/>
  <c r="J398" i="3"/>
  <c r="I398" i="3"/>
  <c r="I578" i="3"/>
  <c r="J578" i="3"/>
  <c r="J648" i="3"/>
  <c r="I648" i="3"/>
  <c r="I173" i="3"/>
  <c r="J173" i="3"/>
  <c r="I270" i="3"/>
  <c r="J270" i="3"/>
  <c r="J268" i="3"/>
  <c r="J503" i="3"/>
  <c r="J584" i="3"/>
  <c r="I584" i="3"/>
  <c r="J154" i="3"/>
  <c r="J13" i="3"/>
  <c r="J555" i="3"/>
  <c r="I337" i="3"/>
  <c r="J337" i="3"/>
  <c r="J351" i="3"/>
  <c r="I351" i="3"/>
  <c r="I357" i="3"/>
  <c r="J357" i="3"/>
  <c r="I489" i="3"/>
  <c r="J489" i="3"/>
  <c r="I593" i="3"/>
  <c r="J593" i="3"/>
  <c r="J607" i="3"/>
  <c r="I607" i="3"/>
  <c r="I613" i="3"/>
  <c r="J613" i="3"/>
  <c r="J327" i="3"/>
  <c r="J391" i="3"/>
  <c r="J455" i="3"/>
  <c r="J647" i="3"/>
  <c r="J75" i="3"/>
  <c r="J307" i="3"/>
  <c r="J371" i="3"/>
  <c r="J435" i="3"/>
  <c r="J499" i="3"/>
  <c r="J563" i="3"/>
  <c r="J279" i="3"/>
  <c r="J343" i="3"/>
  <c r="J407" i="3"/>
  <c r="J471" i="3"/>
  <c r="J535" i="3"/>
  <c r="J599" i="3"/>
  <c r="J360" i="3"/>
  <c r="I366" i="3"/>
  <c r="J645" i="3"/>
  <c r="J581" i="3"/>
  <c r="J517" i="3"/>
  <c r="J453" i="3"/>
  <c r="J389" i="3"/>
  <c r="J325" i="3"/>
  <c r="J261" i="3"/>
  <c r="J466" i="3"/>
  <c r="J131" i="3"/>
  <c r="J315" i="3"/>
  <c r="J379" i="3"/>
  <c r="J443" i="3"/>
  <c r="J507" i="3"/>
  <c r="J571" i="3"/>
  <c r="J284" i="3"/>
  <c r="J540" i="3"/>
  <c r="J546" i="3"/>
  <c r="I430" i="3"/>
  <c r="J530" i="3"/>
  <c r="J304" i="3"/>
  <c r="J368" i="3"/>
  <c r="J432" i="3"/>
  <c r="J496" i="3"/>
  <c r="J560" i="3"/>
  <c r="J624" i="3"/>
  <c r="J313" i="3"/>
  <c r="J665" i="3"/>
  <c r="J7" i="3"/>
  <c r="J47" i="3"/>
  <c r="J87" i="3"/>
  <c r="J135" i="3"/>
  <c r="J183" i="3"/>
  <c r="J95" i="3"/>
  <c r="J199" i="3"/>
  <c r="J91" i="3"/>
  <c r="J139" i="3"/>
  <c r="J195" i="3"/>
  <c r="J11" i="3"/>
  <c r="J51" i="3"/>
  <c r="J123" i="3"/>
  <c r="J203" i="3"/>
  <c r="J260" i="3"/>
  <c r="J324" i="3"/>
  <c r="J388" i="3"/>
  <c r="J452" i="3"/>
  <c r="J516" i="3"/>
  <c r="J580" i="3"/>
  <c r="J644" i="3"/>
  <c r="J345" i="3"/>
  <c r="I585" i="3"/>
  <c r="J585" i="3"/>
  <c r="I649" i="3"/>
  <c r="J649" i="3"/>
  <c r="J256" i="3"/>
  <c r="J320" i="3"/>
  <c r="J245" i="3"/>
  <c r="J409" i="3"/>
  <c r="J514" i="3"/>
  <c r="J329" i="3"/>
  <c r="I249" i="3"/>
  <c r="I306" i="3"/>
  <c r="J306" i="3"/>
  <c r="I434" i="3"/>
  <c r="J434" i="3"/>
  <c r="I562" i="3"/>
  <c r="J562" i="3"/>
  <c r="J211" i="3"/>
  <c r="J19" i="3"/>
  <c r="J99" i="3"/>
  <c r="J67" i="3"/>
  <c r="J219" i="3"/>
  <c r="I377" i="3"/>
  <c r="J377" i="3"/>
  <c r="J505" i="3"/>
  <c r="I505" i="3"/>
  <c r="I633" i="3"/>
  <c r="J633" i="3"/>
  <c r="I43" i="3"/>
  <c r="I155" i="3"/>
  <c r="I147" i="3"/>
  <c r="I236" i="3"/>
  <c r="J247" i="3"/>
  <c r="J272" i="3"/>
  <c r="J336" i="3"/>
  <c r="J400" i="3"/>
  <c r="J464" i="3"/>
  <c r="J528" i="3"/>
  <c r="J592" i="3"/>
  <c r="J656" i="3"/>
  <c r="J473" i="3"/>
  <c r="I354" i="3"/>
  <c r="J354" i="3"/>
  <c r="J482" i="3"/>
  <c r="I482" i="3"/>
  <c r="I610" i="3"/>
  <c r="J610" i="3"/>
  <c r="J23" i="3"/>
  <c r="J63" i="3"/>
  <c r="J111" i="3"/>
  <c r="J159" i="3"/>
  <c r="J207" i="3"/>
  <c r="J39" i="3"/>
  <c r="J143" i="3"/>
  <c r="J240" i="3"/>
  <c r="J57" i="3"/>
  <c r="J89" i="3"/>
  <c r="J121" i="3"/>
  <c r="J153" i="3"/>
  <c r="J185" i="3"/>
  <c r="J10" i="3"/>
  <c r="J42" i="3"/>
  <c r="J74" i="3"/>
  <c r="J106" i="3"/>
  <c r="J138" i="3"/>
  <c r="J170" i="3"/>
  <c r="J202" i="3"/>
  <c r="J59" i="3"/>
  <c r="J115" i="3"/>
  <c r="J171" i="3"/>
  <c r="J228" i="3"/>
  <c r="J235" i="3"/>
  <c r="J27" i="3"/>
  <c r="J83" i="3"/>
  <c r="J163" i="3"/>
  <c r="J292" i="3"/>
  <c r="J356" i="3"/>
  <c r="J420" i="3"/>
  <c r="J484" i="3"/>
  <c r="J548" i="3"/>
  <c r="J612" i="3"/>
  <c r="J537" i="3"/>
  <c r="J393" i="3"/>
  <c r="I297" i="3"/>
  <c r="J297" i="3"/>
  <c r="J288" i="3"/>
  <c r="J352" i="3"/>
  <c r="J416" i="3"/>
  <c r="J480" i="3"/>
  <c r="J544" i="3"/>
  <c r="J569" i="3"/>
  <c r="J322" i="3"/>
  <c r="J265" i="3"/>
  <c r="J457" i="3"/>
  <c r="I40" i="86"/>
  <c r="J592" i="83"/>
  <c r="J462" i="83"/>
  <c r="J571" i="83"/>
  <c r="I172" i="83"/>
  <c r="J539" i="83"/>
  <c r="J576" i="83"/>
  <c r="J59" i="83"/>
  <c r="J659" i="83"/>
  <c r="I217" i="83"/>
  <c r="J348" i="83"/>
  <c r="J598" i="83"/>
  <c r="I265" i="83"/>
  <c r="J332" i="83"/>
  <c r="J402" i="83"/>
  <c r="J536" i="83"/>
  <c r="J542" i="83"/>
  <c r="J15" i="83"/>
  <c r="J52" i="83"/>
  <c r="I231" i="83"/>
  <c r="J274" i="83"/>
  <c r="J139" i="83"/>
  <c r="J340" i="83"/>
  <c r="J351" i="83"/>
  <c r="J552" i="83"/>
  <c r="J567" i="83"/>
  <c r="I638" i="83"/>
  <c r="J411" i="83"/>
  <c r="J527" i="83"/>
  <c r="J534" i="83"/>
  <c r="J661" i="83"/>
  <c r="J484" i="83"/>
  <c r="I569" i="83"/>
  <c r="J648" i="83"/>
  <c r="J508" i="83"/>
  <c r="J515" i="83"/>
  <c r="J611" i="83"/>
  <c r="J188" i="83"/>
  <c r="I215" i="83"/>
  <c r="J325" i="83"/>
  <c r="I496" i="83"/>
  <c r="J409" i="83"/>
  <c r="I446" i="83"/>
  <c r="J467" i="83"/>
  <c r="I503" i="83"/>
  <c r="I523" i="83"/>
  <c r="J607" i="83"/>
  <c r="J621" i="83"/>
  <c r="I654" i="83"/>
  <c r="I162" i="83"/>
  <c r="J121" i="83"/>
  <c r="J575" i="83"/>
  <c r="J623" i="83"/>
  <c r="I630" i="83"/>
  <c r="J637" i="83"/>
  <c r="J656" i="83"/>
  <c r="J194" i="83"/>
  <c r="I296" i="83"/>
  <c r="J388" i="83"/>
  <c r="I464" i="83"/>
  <c r="J500" i="83"/>
  <c r="J526" i="83"/>
  <c r="I544" i="83"/>
  <c r="J558" i="83"/>
  <c r="J565" i="83"/>
  <c r="J39" i="83"/>
  <c r="I104" i="83"/>
  <c r="I127" i="83"/>
  <c r="J174" i="83"/>
  <c r="J189" i="83"/>
  <c r="I204" i="83"/>
  <c r="J226" i="83"/>
  <c r="J293" i="83"/>
  <c r="J367" i="83"/>
  <c r="I473" i="83"/>
  <c r="I479" i="83"/>
  <c r="J550" i="83"/>
  <c r="J563" i="83"/>
  <c r="J568" i="83"/>
  <c r="J616" i="83"/>
  <c r="J655" i="83"/>
  <c r="I667" i="83"/>
  <c r="I35" i="83"/>
  <c r="I79" i="83"/>
  <c r="I98" i="83"/>
  <c r="J101" i="83"/>
  <c r="J131" i="83"/>
  <c r="J142" i="83"/>
  <c r="I241" i="83"/>
  <c r="J286" i="83"/>
  <c r="J364" i="83"/>
  <c r="J153" i="83"/>
  <c r="I214" i="83"/>
  <c r="J234" i="83"/>
  <c r="I257" i="83"/>
  <c r="J328" i="83"/>
  <c r="I608" i="83"/>
  <c r="I49" i="83"/>
  <c r="I58" i="83"/>
  <c r="J64" i="83"/>
  <c r="I92" i="83"/>
  <c r="J99" i="83"/>
  <c r="J169" i="83"/>
  <c r="I202" i="83"/>
  <c r="J318" i="83"/>
  <c r="J396" i="83"/>
  <c r="I407" i="83"/>
  <c r="I476" i="83"/>
  <c r="J603" i="83"/>
  <c r="J613" i="83"/>
  <c r="I50" i="83"/>
  <c r="I82" i="83"/>
  <c r="J107" i="83"/>
  <c r="I128" i="83"/>
  <c r="J154" i="83"/>
  <c r="I178" i="83"/>
  <c r="I651" i="83"/>
  <c r="I26" i="83"/>
  <c r="I72" i="83"/>
  <c r="I122" i="83"/>
  <c r="J146" i="83"/>
  <c r="I233" i="83"/>
  <c r="J251" i="83"/>
  <c r="J258" i="83"/>
  <c r="J339" i="83"/>
  <c r="J349" i="83"/>
  <c r="J352" i="83"/>
  <c r="J365" i="83"/>
  <c r="J368" i="83"/>
  <c r="J387" i="83"/>
  <c r="J410" i="83"/>
  <c r="J413" i="83"/>
  <c r="I439" i="83"/>
  <c r="I448" i="83"/>
  <c r="I627" i="83"/>
  <c r="I23" i="83"/>
  <c r="J69" i="83"/>
  <c r="I108" i="83"/>
  <c r="J206" i="83"/>
  <c r="I308" i="83"/>
  <c r="J356" i="83"/>
  <c r="J359" i="83"/>
  <c r="J376" i="83"/>
  <c r="I433" i="83"/>
  <c r="J436" i="83"/>
  <c r="J443" i="83"/>
  <c r="I487" i="83"/>
  <c r="J493" i="83"/>
  <c r="J547" i="83"/>
  <c r="J599" i="83"/>
  <c r="I6" i="83"/>
  <c r="I9" i="83"/>
  <c r="I18" i="83"/>
  <c r="J41" i="83"/>
  <c r="I65" i="83"/>
  <c r="J170" i="83"/>
  <c r="J173" i="83"/>
  <c r="J208" i="83"/>
  <c r="J216" i="83"/>
  <c r="J221" i="83"/>
  <c r="J227" i="83"/>
  <c r="I281" i="83"/>
  <c r="J343" i="83"/>
  <c r="I391" i="83"/>
  <c r="J405" i="83"/>
  <c r="J408" i="83"/>
  <c r="I150" i="83"/>
  <c r="I184" i="83"/>
  <c r="J440" i="83"/>
  <c r="I560" i="83"/>
  <c r="I46" i="83"/>
  <c r="I63" i="83"/>
  <c r="J134" i="83"/>
  <c r="J141" i="83"/>
  <c r="I164" i="83"/>
  <c r="J198" i="83"/>
  <c r="I219" i="83"/>
  <c r="J238" i="83"/>
  <c r="J267" i="83"/>
  <c r="I292" i="83"/>
  <c r="J295" i="83"/>
  <c r="J309" i="83"/>
  <c r="J324" i="83"/>
  <c r="J357" i="83"/>
  <c r="J360" i="83"/>
  <c r="I399" i="83"/>
  <c r="J434" i="83"/>
  <c r="I489" i="83"/>
  <c r="J533" i="83"/>
  <c r="J555" i="83"/>
  <c r="J582" i="83"/>
  <c r="J44" i="83"/>
  <c r="J379" i="83"/>
  <c r="J393" i="83"/>
  <c r="J418" i="83"/>
  <c r="J425" i="83"/>
  <c r="J432" i="83"/>
  <c r="I566" i="83"/>
  <c r="I574" i="83"/>
  <c r="I595" i="83"/>
  <c r="I619" i="83"/>
  <c r="I19" i="83"/>
  <c r="J45" i="83"/>
  <c r="I66" i="83"/>
  <c r="I73" i="83"/>
  <c r="I76" i="83"/>
  <c r="I96" i="83"/>
  <c r="I129" i="83"/>
  <c r="J163" i="83"/>
  <c r="J275" i="83"/>
  <c r="I310" i="83"/>
  <c r="J319" i="83"/>
  <c r="J347" i="83"/>
  <c r="I452" i="83"/>
  <c r="J458" i="83"/>
  <c r="J485" i="83"/>
  <c r="J501" i="83"/>
  <c r="J518" i="83"/>
  <c r="I584" i="83"/>
  <c r="J591" i="83"/>
  <c r="I614" i="83"/>
  <c r="J635" i="83"/>
  <c r="I640" i="83"/>
  <c r="I5" i="83"/>
  <c r="I33" i="83"/>
  <c r="I90" i="83"/>
  <c r="J105" i="83"/>
  <c r="I111" i="83"/>
  <c r="J117" i="83"/>
  <c r="J123" i="83"/>
  <c r="J157" i="83"/>
  <c r="J185" i="83"/>
  <c r="J197" i="83"/>
  <c r="J205" i="83"/>
  <c r="J242" i="83"/>
  <c r="I249" i="83"/>
  <c r="J263" i="83"/>
  <c r="J266" i="83"/>
  <c r="J279" i="83"/>
  <c r="J285" i="83"/>
  <c r="J301" i="83"/>
  <c r="J304" i="83"/>
  <c r="J317" i="83"/>
  <c r="J333" i="83"/>
  <c r="J335" i="83"/>
  <c r="J341" i="83"/>
  <c r="J344" i="83"/>
  <c r="J373" i="83"/>
  <c r="J400" i="83"/>
  <c r="J469" i="83"/>
  <c r="I497" i="83"/>
  <c r="I537" i="83"/>
  <c r="J579" i="83"/>
  <c r="J600" i="83"/>
  <c r="I606" i="83"/>
  <c r="J631" i="83"/>
  <c r="J653" i="83"/>
  <c r="I423" i="83"/>
  <c r="J426" i="83"/>
  <c r="I57" i="83"/>
  <c r="I97" i="83"/>
  <c r="I115" i="83"/>
  <c r="I460" i="83"/>
  <c r="I632" i="83"/>
  <c r="I11" i="83"/>
  <c r="J25" i="83"/>
  <c r="I32" i="83"/>
  <c r="J34" i="83"/>
  <c r="J81" i="83"/>
  <c r="I88" i="83"/>
  <c r="J91" i="83"/>
  <c r="I106" i="83"/>
  <c r="I112" i="83"/>
  <c r="J130" i="83"/>
  <c r="I133" i="83"/>
  <c r="J158" i="83"/>
  <c r="J168" i="83"/>
  <c r="J177" i="83"/>
  <c r="J186" i="83"/>
  <c r="I192" i="83"/>
  <c r="J201" i="83"/>
  <c r="J243" i="83"/>
  <c r="J270" i="83"/>
  <c r="J302" i="83"/>
  <c r="J311" i="83"/>
  <c r="J336" i="83"/>
  <c r="I395" i="83"/>
  <c r="J417" i="83"/>
  <c r="I471" i="83"/>
  <c r="J509" i="83"/>
  <c r="I521" i="83"/>
  <c r="J531" i="83"/>
  <c r="J535" i="83"/>
  <c r="J543" i="83"/>
  <c r="J355" i="83"/>
  <c r="J429" i="83"/>
  <c r="I451" i="83"/>
  <c r="I468" i="83"/>
  <c r="I486" i="83"/>
  <c r="I502" i="83"/>
  <c r="J510" i="83"/>
  <c r="J519" i="83"/>
  <c r="I528" i="83"/>
  <c r="J615" i="83"/>
  <c r="J645" i="83"/>
  <c r="I662" i="83"/>
  <c r="J671" i="83"/>
  <c r="I51" i="83"/>
  <c r="I113" i="83"/>
  <c r="I135" i="83"/>
  <c r="J156" i="83"/>
  <c r="I182" i="83"/>
  <c r="I225" i="83"/>
  <c r="J397" i="83"/>
  <c r="I441" i="83"/>
  <c r="I444" i="83"/>
  <c r="I461" i="83"/>
  <c r="J472" i="83"/>
  <c r="J483" i="83"/>
  <c r="J499" i="83"/>
  <c r="J507" i="83"/>
  <c r="I590" i="83"/>
  <c r="I624" i="83"/>
  <c r="I24" i="83"/>
  <c r="J29" i="83"/>
  <c r="I60" i="83"/>
  <c r="I74" i="83"/>
  <c r="I80" i="83"/>
  <c r="J85" i="83"/>
  <c r="I124" i="83"/>
  <c r="J138" i="83"/>
  <c r="I148" i="83"/>
  <c r="J179" i="83"/>
  <c r="J220" i="83"/>
  <c r="J224" i="83"/>
  <c r="J247" i="83"/>
  <c r="J250" i="83"/>
  <c r="J259" i="83"/>
  <c r="J320" i="83"/>
  <c r="J326" i="83"/>
  <c r="J329" i="83"/>
  <c r="J371" i="83"/>
  <c r="J380" i="83"/>
  <c r="J383" i="83"/>
  <c r="J389" i="83"/>
  <c r="J392" i="83"/>
  <c r="J424" i="83"/>
  <c r="J465" i="83"/>
  <c r="I495" i="83"/>
  <c r="I511" i="83"/>
  <c r="I529" i="83"/>
  <c r="I545" i="83"/>
  <c r="I553" i="83"/>
  <c r="I561" i="83"/>
  <c r="J629" i="83"/>
  <c r="I646" i="83"/>
  <c r="J663" i="83"/>
  <c r="I672" i="83"/>
  <c r="I27" i="83"/>
  <c r="I83" i="83"/>
  <c r="I89" i="83"/>
  <c r="I166" i="83"/>
  <c r="I203" i="83"/>
  <c r="I235" i="83"/>
  <c r="I294" i="83"/>
  <c r="I401" i="83"/>
  <c r="I445" i="83"/>
  <c r="I492" i="83"/>
  <c r="I587" i="83"/>
  <c r="I643" i="83"/>
  <c r="J647" i="83"/>
  <c r="I664" i="83"/>
  <c r="I8" i="83"/>
  <c r="I13" i="83"/>
  <c r="J20" i="83"/>
  <c r="I38" i="83"/>
  <c r="I56" i="83"/>
  <c r="J75" i="83"/>
  <c r="I95" i="83"/>
  <c r="I114" i="83"/>
  <c r="I120" i="83"/>
  <c r="J136" i="83"/>
  <c r="J145" i="83"/>
  <c r="I152" i="83"/>
  <c r="J254" i="83"/>
  <c r="I273" i="83"/>
  <c r="J288" i="83"/>
  <c r="J321" i="83"/>
  <c r="J363" i="83"/>
  <c r="J372" i="83"/>
  <c r="J375" i="83"/>
  <c r="J381" i="83"/>
  <c r="J384" i="83"/>
  <c r="J416" i="83"/>
  <c r="I431" i="83"/>
  <c r="J442" i="83"/>
  <c r="I449" i="83"/>
  <c r="I470" i="83"/>
  <c r="I488" i="83"/>
  <c r="I504" i="83"/>
  <c r="J551" i="83"/>
  <c r="J559" i="83"/>
  <c r="J583" i="83"/>
  <c r="I622" i="83"/>
  <c r="J639" i="83"/>
  <c r="J669" i="83"/>
  <c r="J149" i="83"/>
  <c r="J159" i="83"/>
  <c r="I199" i="83"/>
  <c r="J199" i="83"/>
  <c r="I171" i="83"/>
  <c r="J171" i="83"/>
  <c r="I144" i="83"/>
  <c r="J144" i="83"/>
  <c r="J223" i="83"/>
  <c r="I223" i="83"/>
  <c r="I151" i="83"/>
  <c r="J151" i="83"/>
  <c r="J316" i="83"/>
  <c r="I316" i="83"/>
  <c r="J463" i="83"/>
  <c r="I463" i="83"/>
  <c r="J674" i="83"/>
  <c r="I674" i="83"/>
  <c r="I16" i="83"/>
  <c r="I21" i="83"/>
  <c r="I30" i="83"/>
  <c r="I36" i="83"/>
  <c r="I42" i="83"/>
  <c r="I47" i="83"/>
  <c r="I54" i="83"/>
  <c r="I61" i="83"/>
  <c r="I70" i="83"/>
  <c r="I77" i="83"/>
  <c r="I86" i="83"/>
  <c r="I93" i="83"/>
  <c r="I102" i="83"/>
  <c r="I109" i="83"/>
  <c r="I118" i="83"/>
  <c r="I125" i="83"/>
  <c r="J132" i="83"/>
  <c r="I137" i="83"/>
  <c r="J147" i="83"/>
  <c r="I167" i="83"/>
  <c r="J167" i="83"/>
  <c r="I187" i="83"/>
  <c r="J187" i="83"/>
  <c r="I200" i="83"/>
  <c r="I210" i="83"/>
  <c r="I14" i="83"/>
  <c r="I28" i="83"/>
  <c r="I40" i="83"/>
  <c r="I53" i="83"/>
  <c r="I67" i="83"/>
  <c r="I84" i="83"/>
  <c r="I100" i="83"/>
  <c r="I116" i="83"/>
  <c r="I160" i="83"/>
  <c r="J165" i="83"/>
  <c r="J175" i="83"/>
  <c r="I180" i="83"/>
  <c r="J190" i="83"/>
  <c r="J195" i="83"/>
  <c r="I218" i="83"/>
  <c r="J218" i="83"/>
  <c r="I228" i="83"/>
  <c r="J228" i="83"/>
  <c r="J237" i="83"/>
  <c r="I237" i="83"/>
  <c r="I140" i="83"/>
  <c r="J140" i="83"/>
  <c r="I155" i="83"/>
  <c r="J155" i="83"/>
  <c r="J193" i="83"/>
  <c r="J253" i="83"/>
  <c r="I253" i="83"/>
  <c r="I4" i="83"/>
  <c r="I7" i="83"/>
  <c r="I10" i="83"/>
  <c r="I12" i="83"/>
  <c r="I17" i="83"/>
  <c r="I31" i="83"/>
  <c r="I43" i="83"/>
  <c r="I55" i="83"/>
  <c r="I71" i="83"/>
  <c r="I87" i="83"/>
  <c r="I103" i="83"/>
  <c r="I119" i="83"/>
  <c r="I143" i="83"/>
  <c r="I183" i="83"/>
  <c r="J183" i="83"/>
  <c r="I207" i="83"/>
  <c r="J207" i="83"/>
  <c r="I213" i="83"/>
  <c r="J213" i="83"/>
  <c r="I244" i="83"/>
  <c r="J244" i="83"/>
  <c r="J269" i="83"/>
  <c r="I269" i="83"/>
  <c r="I291" i="83"/>
  <c r="J291" i="83"/>
  <c r="I211" i="83"/>
  <c r="J211" i="83"/>
  <c r="I276" i="83"/>
  <c r="J276" i="83"/>
  <c r="I354" i="83"/>
  <c r="J354" i="83"/>
  <c r="J475" i="83"/>
  <c r="I475" i="83"/>
  <c r="I605" i="83"/>
  <c r="J605" i="83"/>
  <c r="J618" i="83"/>
  <c r="I618" i="83"/>
  <c r="I22" i="83"/>
  <c r="I37" i="83"/>
  <c r="I48" i="83"/>
  <c r="I62" i="83"/>
  <c r="I78" i="83"/>
  <c r="I94" i="83"/>
  <c r="I110" i="83"/>
  <c r="I126" i="83"/>
  <c r="J161" i="83"/>
  <c r="I176" i="83"/>
  <c r="J181" i="83"/>
  <c r="J191" i="83"/>
  <c r="I196" i="83"/>
  <c r="I260" i="83"/>
  <c r="J260" i="83"/>
  <c r="J240" i="83"/>
  <c r="J256" i="83"/>
  <c r="J272" i="83"/>
  <c r="J305" i="83"/>
  <c r="I331" i="83"/>
  <c r="J331" i="83"/>
  <c r="I229" i="83"/>
  <c r="I245" i="83"/>
  <c r="I261" i="83"/>
  <c r="I277" i="83"/>
  <c r="J300" i="83"/>
  <c r="I300" i="83"/>
  <c r="I370" i="83"/>
  <c r="J370" i="83"/>
  <c r="J212" i="83"/>
  <c r="J236" i="83"/>
  <c r="J252" i="83"/>
  <c r="J268" i="83"/>
  <c r="I284" i="83"/>
  <c r="J289" i="83"/>
  <c r="I297" i="83"/>
  <c r="J297" i="83"/>
  <c r="J303" i="83"/>
  <c r="J314" i="83"/>
  <c r="I346" i="83"/>
  <c r="J346" i="83"/>
  <c r="I394" i="83"/>
  <c r="J394" i="83"/>
  <c r="I420" i="83"/>
  <c r="J420" i="83"/>
  <c r="I282" i="83"/>
  <c r="J282" i="83"/>
  <c r="I323" i="83"/>
  <c r="J323" i="83"/>
  <c r="I386" i="83"/>
  <c r="J386" i="83"/>
  <c r="J209" i="83"/>
  <c r="J232" i="83"/>
  <c r="I239" i="83"/>
  <c r="J248" i="83"/>
  <c r="I255" i="83"/>
  <c r="J264" i="83"/>
  <c r="I271" i="83"/>
  <c r="J280" i="83"/>
  <c r="J287" i="83"/>
  <c r="J298" i="83"/>
  <c r="I312" i="83"/>
  <c r="I362" i="83"/>
  <c r="J362" i="83"/>
  <c r="J415" i="83"/>
  <c r="I415" i="83"/>
  <c r="J222" i="83"/>
  <c r="J230" i="83"/>
  <c r="J246" i="83"/>
  <c r="J262" i="83"/>
  <c r="J278" i="83"/>
  <c r="J290" i="83"/>
  <c r="I290" i="83"/>
  <c r="I307" i="83"/>
  <c r="J307" i="83"/>
  <c r="I338" i="83"/>
  <c r="J338" i="83"/>
  <c r="I412" i="83"/>
  <c r="J412" i="83"/>
  <c r="I378" i="83"/>
  <c r="J378" i="83"/>
  <c r="I404" i="83"/>
  <c r="J404" i="83"/>
  <c r="J437" i="83"/>
  <c r="I437" i="83"/>
  <c r="J454" i="83"/>
  <c r="I454" i="83"/>
  <c r="I597" i="83"/>
  <c r="J597" i="83"/>
  <c r="J421" i="83"/>
  <c r="I421" i="83"/>
  <c r="I589" i="83"/>
  <c r="J589" i="83"/>
  <c r="J283" i="83"/>
  <c r="J299" i="83"/>
  <c r="I306" i="83"/>
  <c r="J315" i="83"/>
  <c r="I322" i="83"/>
  <c r="J327" i="83"/>
  <c r="J334" i="83"/>
  <c r="J342" i="83"/>
  <c r="J350" i="83"/>
  <c r="J358" i="83"/>
  <c r="J366" i="83"/>
  <c r="J374" i="83"/>
  <c r="J382" i="83"/>
  <c r="I390" i="83"/>
  <c r="J390" i="83"/>
  <c r="I403" i="83"/>
  <c r="I427" i="83"/>
  <c r="J435" i="83"/>
  <c r="I438" i="83"/>
  <c r="J438" i="83"/>
  <c r="I581" i="83"/>
  <c r="J581" i="83"/>
  <c r="J313" i="83"/>
  <c r="J330" i="83"/>
  <c r="J337" i="83"/>
  <c r="J345" i="83"/>
  <c r="J353" i="83"/>
  <c r="J361" i="83"/>
  <c r="J369" i="83"/>
  <c r="J377" i="83"/>
  <c r="J385" i="83"/>
  <c r="I398" i="83"/>
  <c r="J398" i="83"/>
  <c r="J419" i="83"/>
  <c r="I422" i="83"/>
  <c r="J422" i="83"/>
  <c r="J457" i="83"/>
  <c r="I457" i="83"/>
  <c r="J520" i="83"/>
  <c r="I520" i="83"/>
  <c r="I573" i="83"/>
  <c r="J573" i="83"/>
  <c r="I406" i="83"/>
  <c r="J406" i="83"/>
  <c r="J478" i="83"/>
  <c r="I478" i="83"/>
  <c r="I466" i="83"/>
  <c r="J466" i="83"/>
  <c r="I517" i="83"/>
  <c r="J517" i="83"/>
  <c r="J554" i="83"/>
  <c r="I554" i="83"/>
  <c r="I428" i="83"/>
  <c r="J428" i="83"/>
  <c r="J513" i="83"/>
  <c r="I513" i="83"/>
  <c r="I455" i="83"/>
  <c r="J482" i="83"/>
  <c r="I482" i="83"/>
  <c r="J514" i="83"/>
  <c r="I514" i="83"/>
  <c r="J525" i="83"/>
  <c r="J562" i="83"/>
  <c r="I562" i="83"/>
  <c r="J610" i="83"/>
  <c r="I610" i="83"/>
  <c r="J570" i="83"/>
  <c r="I570" i="83"/>
  <c r="J578" i="83"/>
  <c r="I578" i="83"/>
  <c r="J586" i="83"/>
  <c r="I586" i="83"/>
  <c r="J594" i="83"/>
  <c r="I594" i="83"/>
  <c r="J602" i="83"/>
  <c r="I602" i="83"/>
  <c r="J666" i="83"/>
  <c r="I666" i="83"/>
  <c r="J414" i="83"/>
  <c r="J430" i="83"/>
  <c r="I447" i="83"/>
  <c r="J450" i="83"/>
  <c r="I453" i="83"/>
  <c r="I456" i="83"/>
  <c r="I459" i="83"/>
  <c r="I480" i="83"/>
  <c r="J490" i="83"/>
  <c r="I490" i="83"/>
  <c r="I494" i="83"/>
  <c r="I522" i="83"/>
  <c r="J541" i="83"/>
  <c r="J658" i="83"/>
  <c r="I658" i="83"/>
  <c r="J477" i="83"/>
  <c r="J491" i="83"/>
  <c r="I505" i="83"/>
  <c r="I512" i="83"/>
  <c r="J549" i="83"/>
  <c r="J650" i="83"/>
  <c r="I650" i="83"/>
  <c r="J474" i="83"/>
  <c r="I474" i="83"/>
  <c r="J498" i="83"/>
  <c r="I498" i="83"/>
  <c r="J530" i="83"/>
  <c r="I530" i="83"/>
  <c r="J557" i="83"/>
  <c r="J642" i="83"/>
  <c r="I642" i="83"/>
  <c r="I516" i="83"/>
  <c r="J516" i="83"/>
  <c r="J538" i="83"/>
  <c r="I538" i="83"/>
  <c r="J634" i="83"/>
  <c r="I634" i="83"/>
  <c r="J506" i="83"/>
  <c r="I506" i="83"/>
  <c r="J546" i="83"/>
  <c r="I546" i="83"/>
  <c r="J626" i="83"/>
  <c r="I626" i="83"/>
  <c r="I670" i="83"/>
  <c r="I577" i="83"/>
  <c r="I585" i="83"/>
  <c r="I593" i="83"/>
  <c r="I601" i="83"/>
  <c r="I609" i="83"/>
  <c r="I617" i="83"/>
  <c r="I625" i="83"/>
  <c r="I633" i="83"/>
  <c r="I641" i="83"/>
  <c r="I649" i="83"/>
  <c r="I657" i="83"/>
  <c r="I665" i="83"/>
  <c r="I673" i="83"/>
  <c r="I524" i="83"/>
  <c r="I532" i="83"/>
  <c r="I540" i="83"/>
  <c r="I548" i="83"/>
  <c r="I556" i="83"/>
  <c r="I564" i="83"/>
  <c r="I572" i="83"/>
  <c r="I580" i="83"/>
  <c r="I588" i="83"/>
  <c r="I596" i="83"/>
  <c r="I604" i="83"/>
  <c r="I612" i="83"/>
  <c r="I620" i="83"/>
  <c r="I628" i="83"/>
  <c r="I636" i="83"/>
  <c r="I644" i="83"/>
  <c r="I652" i="83"/>
  <c r="I660" i="83"/>
  <c r="I668" i="83"/>
  <c r="B4" i="45" l="1"/>
  <c r="B11" i="45" s="1"/>
  <c r="B12" i="45" l="1"/>
  <c r="B14" i="45" s="1"/>
</calcChain>
</file>

<file path=xl/sharedStrings.xml><?xml version="1.0" encoding="utf-8"?>
<sst xmlns="http://schemas.openxmlformats.org/spreadsheetml/2006/main" count="66385" uniqueCount="6027">
  <si>
    <t>Akshara Graphics</t>
  </si>
  <si>
    <t>23BTLPS7416R1ZT</t>
  </si>
  <si>
    <t>PIL2/D/4</t>
  </si>
  <si>
    <t>Almatis  Alumina Private Limited</t>
  </si>
  <si>
    <t>19AACCA2120N1ZT</t>
  </si>
  <si>
    <t>Arysta Lifescience India Ltd</t>
  </si>
  <si>
    <t>24AAACD0557C1ZB</t>
  </si>
  <si>
    <t>Deep Worldwide LLP</t>
  </si>
  <si>
    <t>24AAKFD2174J1ZF</t>
  </si>
  <si>
    <t>PIL2/D/824</t>
  </si>
  <si>
    <t>Dineshkumar Shantilal &amp; Co.</t>
  </si>
  <si>
    <t>24ADWPD8466C1ZC</t>
  </si>
  <si>
    <t>PIL2/D/895</t>
  </si>
  <si>
    <t>Fairdeal Jumbo Packaging Pvt Ltd - Sales</t>
  </si>
  <si>
    <t>24AABCF1436D1ZA</t>
  </si>
  <si>
    <t>PIL2/D/163</t>
  </si>
  <si>
    <t>IMBB - Sales</t>
  </si>
  <si>
    <t>24AAFFI2770J1ZD</t>
  </si>
  <si>
    <t>PIL2/D/821</t>
  </si>
  <si>
    <t>PIL2/D/888</t>
  </si>
  <si>
    <t>Khushboo Enterprises - Gujarat</t>
  </si>
  <si>
    <t>24AXUPB6571E1ZD</t>
  </si>
  <si>
    <t>PIL2/D/1247</t>
  </si>
  <si>
    <t>PIL2/D/1251</t>
  </si>
  <si>
    <t>PIL2/D/1286</t>
  </si>
  <si>
    <t>PIL2/D/1310</t>
  </si>
  <si>
    <t>Mehjal Adhesive Tapes Pvt. Ltd. - Sales</t>
  </si>
  <si>
    <t>24AAICM7843C1ZJ</t>
  </si>
  <si>
    <t>PIL2/D/661</t>
  </si>
  <si>
    <t>Mytri International</t>
  </si>
  <si>
    <t>24CUVPP9462N1ZF</t>
  </si>
  <si>
    <t>PIL2/D/117</t>
  </si>
  <si>
    <t>Padmanabh Alloys And Polymers Ltd.</t>
  </si>
  <si>
    <t>24AABCP6526G1ZL</t>
  </si>
  <si>
    <t>PIL2/D/299</t>
  </si>
  <si>
    <t>Rajkumar &amp; Sons</t>
  </si>
  <si>
    <t>09ABAFR1522K1Z9</t>
  </si>
  <si>
    <t>PIL2/D/714</t>
  </si>
  <si>
    <t>SABAR FLEX INDUSTRIES</t>
  </si>
  <si>
    <t>88INDIG0000I8Z8</t>
  </si>
  <si>
    <t>PIL1/D/3487</t>
  </si>
  <si>
    <t>PIL1/D/3694</t>
  </si>
  <si>
    <t>Shiv Enterprise - 24CNIPS9979P1ZL</t>
  </si>
  <si>
    <t>24CNIPS9979P1ZL</t>
  </si>
  <si>
    <t>PIL2/D/849</t>
  </si>
  <si>
    <t>Shri Nath Industries, Rajasthan</t>
  </si>
  <si>
    <t>08ABHPJ3310N1ZN</t>
  </si>
  <si>
    <t>PIL2/D/869</t>
  </si>
  <si>
    <t>T G V Sraac Limited</t>
  </si>
  <si>
    <t>37AACCS8581M1ZM</t>
  </si>
  <si>
    <t>PIL2/D/467</t>
  </si>
  <si>
    <t>Upl Limited - Jhagadia</t>
  </si>
  <si>
    <t>24AABCS1698G3Z9</t>
  </si>
  <si>
    <t>PIL2/D/546</t>
  </si>
  <si>
    <t>Upl Limited - Unit 1</t>
  </si>
  <si>
    <t>PIL2/D/856</t>
  </si>
  <si>
    <t>PLASTENE POLYFILMS LTD-SALES</t>
  </si>
  <si>
    <t>24AAFCP2956A1ZR</t>
  </si>
  <si>
    <t>PIL1/HSS/20/22-23</t>
  </si>
  <si>
    <t>PIL1/D/1219</t>
  </si>
  <si>
    <t>PIL1/D/1220</t>
  </si>
  <si>
    <t>PIL2/D/840</t>
  </si>
  <si>
    <t>PIL2/D/841</t>
  </si>
  <si>
    <t>PIL1/D/1223</t>
  </si>
  <si>
    <t>PIL1/D/1224</t>
  </si>
  <si>
    <t>PIL1/D/1226</t>
  </si>
  <si>
    <t>PIL1/D/1227</t>
  </si>
  <si>
    <t>PIL1/D/1228</t>
  </si>
  <si>
    <t>PIL1/D/1236</t>
  </si>
  <si>
    <t>PIL1/D/1237</t>
  </si>
  <si>
    <t>PIL1/D/1238</t>
  </si>
  <si>
    <t>PIL6/D/123</t>
  </si>
  <si>
    <t>PIL1/D/1240</t>
  </si>
  <si>
    <t>PIL1/D/1241</t>
  </si>
  <si>
    <t>PIL1/D/1242</t>
  </si>
  <si>
    <t>PIL1/D/1243</t>
  </si>
  <si>
    <t>PIL1/D/1244</t>
  </si>
  <si>
    <t>PIL6/D/124</t>
  </si>
  <si>
    <t>PIL6/D/125</t>
  </si>
  <si>
    <t>PIL1/D/1245</t>
  </si>
  <si>
    <t>PIL1/D/1246</t>
  </si>
  <si>
    <t>PIL1/D/1248</t>
  </si>
  <si>
    <t>PIL1/D/1249</t>
  </si>
  <si>
    <t>PIL1/D/1251</t>
  </si>
  <si>
    <t>PIL1/D/1252</t>
  </si>
  <si>
    <t>PIL1/D/1260</t>
  </si>
  <si>
    <t>PIL1/D/1261</t>
  </si>
  <si>
    <t>PIL1/D/1262</t>
  </si>
  <si>
    <t>PIL1/D/1263</t>
  </si>
  <si>
    <t>PIL1/D/1264</t>
  </si>
  <si>
    <t>PIL1/D/1267</t>
  </si>
  <si>
    <t>PIL1/D/1268</t>
  </si>
  <si>
    <t>PIL1/D/1270</t>
  </si>
  <si>
    <t>PIL1/D/1271</t>
  </si>
  <si>
    <t>PIL1/D/1272</t>
  </si>
  <si>
    <t>PIL1/D/1275</t>
  </si>
  <si>
    <t>PIL1/D/1276</t>
  </si>
  <si>
    <t>PIL2/D/873</t>
  </si>
  <si>
    <t>PIL2/D/874</t>
  </si>
  <si>
    <t>PIL2/D/875</t>
  </si>
  <si>
    <t>PIL1/D/1282</t>
  </si>
  <si>
    <t>PIL1/D/1283</t>
  </si>
  <si>
    <t>PIL6/D/127</t>
  </si>
  <si>
    <t>PIL1/D/1287</t>
  </si>
  <si>
    <t>PIL1/D/1288</t>
  </si>
  <si>
    <t>PIL1/D/1294</t>
  </si>
  <si>
    <t>PIL1/D/1296</t>
  </si>
  <si>
    <t>PIL1/D/1298</t>
  </si>
  <si>
    <t>PIL1/D/1299</t>
  </si>
  <si>
    <t>PIL1/D/1300</t>
  </si>
  <si>
    <t>PIL1/D/1303</t>
  </si>
  <si>
    <t>PIL1/D/1304</t>
  </si>
  <si>
    <t>PIL1/HSS/22/22-23</t>
  </si>
  <si>
    <t>PIL1/D/1306</t>
  </si>
  <si>
    <t>PIL1/D/1307</t>
  </si>
  <si>
    <t>PIL1/D/1309</t>
  </si>
  <si>
    <t>PIL1/D/1310</t>
  </si>
  <si>
    <t>PIL1/D/1311</t>
  </si>
  <si>
    <t>PIL1/D/1316</t>
  </si>
  <si>
    <t>PIL1/D/1317</t>
  </si>
  <si>
    <t>PIL1/D/1323</t>
  </si>
  <si>
    <t>PIL1/D/1324</t>
  </si>
  <si>
    <t>PIL1/D/1325</t>
  </si>
  <si>
    <t>PIL2/D/901</t>
  </si>
  <si>
    <t>PIL2/D/902</t>
  </si>
  <si>
    <t>Plastene Polyfilms Ltd-Sales</t>
  </si>
  <si>
    <t>PIL1/D/1329</t>
  </si>
  <si>
    <t>PIL1/D/1330</t>
  </si>
  <si>
    <t>PIL1/D/1331</t>
  </si>
  <si>
    <t>PIL1/D/1332</t>
  </si>
  <si>
    <t>PIL1/D/1333</t>
  </si>
  <si>
    <t>PIL1/D/1334</t>
  </si>
  <si>
    <t>PIL1/D/1335</t>
  </si>
  <si>
    <t>PIL1/D/1336</t>
  </si>
  <si>
    <t>PIL1/D/1337</t>
  </si>
  <si>
    <t>PIL1/D/1344</t>
  </si>
  <si>
    <t>PIL1/D/1345</t>
  </si>
  <si>
    <t>PIL1/D/1347</t>
  </si>
  <si>
    <t>PIL1/D/1348</t>
  </si>
  <si>
    <t>PIL1/D/1346</t>
  </si>
  <si>
    <t>PIL1/D/1349</t>
  </si>
  <si>
    <t>PIL1/D/1350</t>
  </si>
  <si>
    <t>PIL1/D/1354</t>
  </si>
  <si>
    <t>PIL1/D/1357</t>
  </si>
  <si>
    <t>PIL1/D/1358</t>
  </si>
  <si>
    <t>PIL1/D/1359</t>
  </si>
  <si>
    <t>PIL1/D/1356</t>
  </si>
  <si>
    <t>PIL1/D/1360</t>
  </si>
  <si>
    <t>PIL1/D/1361</t>
  </si>
  <si>
    <t>PIL1/D/1363</t>
  </si>
  <si>
    <t>PIL1/D/1364</t>
  </si>
  <si>
    <t>PIL1/D/1362</t>
  </si>
  <si>
    <t>PIL1/D/1367</t>
  </si>
  <si>
    <t>PIL1/D/1368</t>
  </si>
  <si>
    <t>PIL1/D/1369</t>
  </si>
  <si>
    <t>PIL1/D/1370</t>
  </si>
  <si>
    <t>PIL1/D/1371</t>
  </si>
  <si>
    <t>PIL1/D/1374</t>
  </si>
  <si>
    <t>PIL1/D/1375</t>
  </si>
  <si>
    <t>PIL1/D/1377</t>
  </si>
  <si>
    <t>PIL1/D/1373</t>
  </si>
  <si>
    <t>PIL1/D/1376</t>
  </si>
  <si>
    <t>PIL1/HSS/25/22-23</t>
  </si>
  <si>
    <t>PIL1/HSS/26/22-23</t>
  </si>
  <si>
    <t>PIL1/D/1380</t>
  </si>
  <si>
    <t>PIL1/D/1381</t>
  </si>
  <si>
    <t>PIL1/D/1382</t>
  </si>
  <si>
    <t>PIL1/D/1383</t>
  </si>
  <si>
    <t>PIL1/D/1386</t>
  </si>
  <si>
    <t>PIL1/D/1387</t>
  </si>
  <si>
    <t>PIL1/D/1384</t>
  </si>
  <si>
    <t>PIL1/D/1385</t>
  </si>
  <si>
    <t>PIL1/D/1388</t>
  </si>
  <si>
    <t>PIL1/D/1389</t>
  </si>
  <si>
    <t>PIL1/D/1391</t>
  </si>
  <si>
    <t>PIL1/D/1393</t>
  </si>
  <si>
    <t>PIL1/D/1390</t>
  </si>
  <si>
    <t>PIL1/D/1396</t>
  </si>
  <si>
    <t>PIL1/D/1397</t>
  </si>
  <si>
    <t>PIL1/D/1400</t>
  </si>
  <si>
    <t>PIL1/D/1401</t>
  </si>
  <si>
    <t>PIL1/D/1403</t>
  </si>
  <si>
    <t>PIL1/D/1404</t>
  </si>
  <si>
    <t>PIL1/D/1406</t>
  </si>
  <si>
    <t>PIL1/D/1402</t>
  </si>
  <si>
    <t>PIL1/D/1410</t>
  </si>
  <si>
    <t>PIL1/D/1412</t>
  </si>
  <si>
    <t>PIL1/D/1413</t>
  </si>
  <si>
    <t>PIL1/D/1411</t>
  </si>
  <si>
    <t>PIL1/D/1414</t>
  </si>
  <si>
    <t>PIL1/D/1416</t>
  </si>
  <si>
    <t>PIL1/D/1417</t>
  </si>
  <si>
    <t>PIL1/D/1418</t>
  </si>
  <si>
    <t>PIL1/D/1419</t>
  </si>
  <si>
    <t>PIL1/D/1420</t>
  </si>
  <si>
    <t>PIL1/D/1421</t>
  </si>
  <si>
    <t>PIL1/D/1422</t>
  </si>
  <si>
    <t>PIL1/D/1423</t>
  </si>
  <si>
    <t>PIL1/D/1424</t>
  </si>
  <si>
    <t>PIL1/D/1425</t>
  </si>
  <si>
    <t>PIL1/D/1426</t>
  </si>
  <si>
    <t>PIL1/D/1427</t>
  </si>
  <si>
    <t>PIL1/D/1428</t>
  </si>
  <si>
    <t>PIL1/D/1429</t>
  </si>
  <si>
    <t>PIL1/D/1430</t>
  </si>
  <si>
    <t>PIL1/D/1431</t>
  </si>
  <si>
    <t>PIL1/D/1435</t>
  </si>
  <si>
    <t>PIL1/D/1436</t>
  </si>
  <si>
    <t>PIL1/D/1437</t>
  </si>
  <si>
    <t>PIL1/D/1438</t>
  </si>
  <si>
    <t>PIL1/D/1439</t>
  </si>
  <si>
    <t>PIL1/D/1440</t>
  </si>
  <si>
    <t>PIL1/D/1441</t>
  </si>
  <si>
    <t>PIL1/D/1442</t>
  </si>
  <si>
    <t>PIL1/D/1443</t>
  </si>
  <si>
    <t>PIL1/D/1444</t>
  </si>
  <si>
    <t>PIL1/D/1445</t>
  </si>
  <si>
    <t>PIL1/D/1448</t>
  </si>
  <si>
    <t>PIL1/D/1449</t>
  </si>
  <si>
    <t>PIL1/D/1450</t>
  </si>
  <si>
    <t>PIL1/D/1451</t>
  </si>
  <si>
    <t>Aayush Plastic</t>
  </si>
  <si>
    <t>24AIGPD1030P1ZK</t>
  </si>
  <si>
    <t>PIL1/D/1453</t>
  </si>
  <si>
    <t>PIL1/D/1454</t>
  </si>
  <si>
    <t>PIL1/D/1455</t>
  </si>
  <si>
    <t>PIL1/D/1456</t>
  </si>
  <si>
    <t>PIL1/D/1467</t>
  </si>
  <si>
    <t>PIL1/D/1468</t>
  </si>
  <si>
    <t>PIL1/D/1470</t>
  </si>
  <si>
    <t>PIL1/D/1471</t>
  </si>
  <si>
    <t>PIL1/D/1474</t>
  </si>
  <si>
    <t>PIL1/D/1475</t>
  </si>
  <si>
    <t>PIL1/D/1476</t>
  </si>
  <si>
    <t>Haresh Enterprise</t>
  </si>
  <si>
    <t>24AOWPS2124R1Z4</t>
  </si>
  <si>
    <t>PIL1/D/1484</t>
  </si>
  <si>
    <t>PIL1/D/1481</t>
  </si>
  <si>
    <t>PIL1/D/1482</t>
  </si>
  <si>
    <t>PIL1/D/1485</t>
  </si>
  <si>
    <t>PIL1/D/1483</t>
  </si>
  <si>
    <t>PIL1/HSS/29/22-23</t>
  </si>
  <si>
    <t>PIL1/D/1487</t>
  </si>
  <si>
    <t>PIL1/D/1488</t>
  </si>
  <si>
    <t>PIL1/D/1489</t>
  </si>
  <si>
    <t>PIL1/D/1495</t>
  </si>
  <si>
    <t>PIL1/D/1498</t>
  </si>
  <si>
    <t>PIL1/D/1500</t>
  </si>
  <si>
    <t>PIL1/D/1501</t>
  </si>
  <si>
    <t>PIL1/D/1503</t>
  </si>
  <si>
    <t>PIL1/D/1499</t>
  </si>
  <si>
    <t>PIL1/D/1502</t>
  </si>
  <si>
    <t>Parikh Enterprises Private Limited</t>
  </si>
  <si>
    <t>24AAACP9275D1ZG</t>
  </si>
  <si>
    <t>PIL2/D/903</t>
  </si>
  <si>
    <t>PIL2/D/907</t>
  </si>
  <si>
    <t>PIL2/D/908</t>
  </si>
  <si>
    <t>PIL2/D/922</t>
  </si>
  <si>
    <t>PIL2/D/923</t>
  </si>
  <si>
    <t>Coromandel International Ltd-Sarigam</t>
  </si>
  <si>
    <t>24AAACC7852K1ZJ</t>
  </si>
  <si>
    <t>PIL2/D/924</t>
  </si>
  <si>
    <t>PIL2/D/925</t>
  </si>
  <si>
    <t>Nikhil Packagers</t>
  </si>
  <si>
    <t>09APZPG7653R1ZJ</t>
  </si>
  <si>
    <t>PIL2/D/931</t>
  </si>
  <si>
    <t>PIL2/D/938</t>
  </si>
  <si>
    <t>PIL2/D/941</t>
  </si>
  <si>
    <t>PIL2/D/946</t>
  </si>
  <si>
    <t>PIL2/D/962</t>
  </si>
  <si>
    <t>PIL2/D/963</t>
  </si>
  <si>
    <t>PIL2/D/978</t>
  </si>
  <si>
    <t>PIL2/D/979</t>
  </si>
  <si>
    <t>PIL2/D/980</t>
  </si>
  <si>
    <t>PIL2/D/975</t>
  </si>
  <si>
    <t>PIL2/D/986</t>
  </si>
  <si>
    <t>PIL2/D/988</t>
  </si>
  <si>
    <t>Hindustan Gunny Bags And Allied Suppliers</t>
  </si>
  <si>
    <t>27AACFH0325B1Z5</t>
  </si>
  <si>
    <t>PIL2/D/998</t>
  </si>
  <si>
    <t>PIL2/D/993</t>
  </si>
  <si>
    <t>PIL2/D/994</t>
  </si>
  <si>
    <t>PIL2/D/1001</t>
  </si>
  <si>
    <t>PIL2/D/1002</t>
  </si>
  <si>
    <t>Sanstar Limited</t>
  </si>
  <si>
    <t>27AAACC1062D1ZA</t>
  </si>
  <si>
    <t>PIL2/D/1004</t>
  </si>
  <si>
    <t>PIL2/D/1008</t>
  </si>
  <si>
    <t>PIL2/D/1024</t>
  </si>
  <si>
    <t>PIL2/D/1025</t>
  </si>
  <si>
    <t>PIL2/D/1040</t>
  </si>
  <si>
    <t>PIL2/D/1049</t>
  </si>
  <si>
    <t>PIL2/D/1050</t>
  </si>
  <si>
    <t>Everplus Plastics Pvt Ltd.- Sales</t>
  </si>
  <si>
    <t>26AABCE0901A1ZL</t>
  </si>
  <si>
    <t>PIL2/D/1060</t>
  </si>
  <si>
    <t>PIL2/D/1053</t>
  </si>
  <si>
    <t>PIL2/D/1054</t>
  </si>
  <si>
    <t>PIL2/D/1055</t>
  </si>
  <si>
    <t>PIL2/D/1067</t>
  </si>
  <si>
    <t>PIL2/D/1069</t>
  </si>
  <si>
    <t>PIL2/D/1074</t>
  </si>
  <si>
    <t>PIL2/D/1075</t>
  </si>
  <si>
    <t>PIL6/D/130</t>
  </si>
  <si>
    <t>PIL6/D/131</t>
  </si>
  <si>
    <t>PIL6/D/132</t>
  </si>
  <si>
    <t>PIL6/D/134</t>
  </si>
  <si>
    <t>PIL6/D/136</t>
  </si>
  <si>
    <t>PIL6/D/137</t>
  </si>
  <si>
    <t>PIL6/D/138</t>
  </si>
  <si>
    <t>PIL6/D/139</t>
  </si>
  <si>
    <t>PIL1/D/1506</t>
  </si>
  <si>
    <t>PIL1/D/1507</t>
  </si>
  <si>
    <t>PIL1/D/1512</t>
  </si>
  <si>
    <t>PIL1/D/1513</t>
  </si>
  <si>
    <t>PIL1/D/1517</t>
  </si>
  <si>
    <t>PIL1/D/1518</t>
  </si>
  <si>
    <t>PIL1/D/1521</t>
  </si>
  <si>
    <t>PIL1/D/1519</t>
  </si>
  <si>
    <t>PIL1/D/1520</t>
  </si>
  <si>
    <t>PIL1/D/1522</t>
  </si>
  <si>
    <t>PIL1/D/1523</t>
  </si>
  <si>
    <t>PIL1/D/1525</t>
  </si>
  <si>
    <t>PIL1/D/1526</t>
  </si>
  <si>
    <t>PIL1/D/1529</t>
  </si>
  <si>
    <t>PIL1/D/1531</t>
  </si>
  <si>
    <t>PIL1/D/1530</t>
  </si>
  <si>
    <t>PIL1/D/1533</t>
  </si>
  <si>
    <t>PIL1/D/1535</t>
  </si>
  <si>
    <t>PIL1/D/1536</t>
  </si>
  <si>
    <t>PIL1/D/1537</t>
  </si>
  <si>
    <t>PIL1/D/1534</t>
  </si>
  <si>
    <t>PIL1/D/1538</t>
  </si>
  <si>
    <t>PIL1/D/1543</t>
  </si>
  <si>
    <t>PIL1/D/1542</t>
  </si>
  <si>
    <t>PIL1/DE/75/22-23</t>
  </si>
  <si>
    <t>PIL1/D/1547</t>
  </si>
  <si>
    <t>PIL1/D/1548</t>
  </si>
  <si>
    <t>PIL1/D/1551</t>
  </si>
  <si>
    <t>PIL1/D/1552</t>
  </si>
  <si>
    <t>PIL1/D/1556</t>
  </si>
  <si>
    <t>PIL1/D/1559</t>
  </si>
  <si>
    <t>PIL1/D/1560</t>
  </si>
  <si>
    <t>PIL1/D/1567</t>
  </si>
  <si>
    <t>PIL1/D/1570</t>
  </si>
  <si>
    <t>PIL1/D/1571</t>
  </si>
  <si>
    <t>PIL1/D/1565</t>
  </si>
  <si>
    <t>PIL1/D/1568</t>
  </si>
  <si>
    <t>PIL1/D/1569</t>
  </si>
  <si>
    <t>PIL1/D/1572</t>
  </si>
  <si>
    <t>PIL1/D/1573</t>
  </si>
  <si>
    <t>PIL1/D/1574</t>
  </si>
  <si>
    <t>PIL1/D/1575</t>
  </si>
  <si>
    <t>PIL1/D/1576</t>
  </si>
  <si>
    <t>PIL1/D/1577</t>
  </si>
  <si>
    <t>PIL1/D/1578</t>
  </si>
  <si>
    <t>PIL1/D/1579</t>
  </si>
  <si>
    <t>PIL1/D/1582</t>
  </si>
  <si>
    <t>PIL1/D/1584</t>
  </si>
  <si>
    <t>PIL1/D/1585</t>
  </si>
  <si>
    <t>PIL1/D/1586</t>
  </si>
  <si>
    <t>PIL1/D/1587</t>
  </si>
  <si>
    <t>PIL1/D/1594</t>
  </si>
  <si>
    <t>PIL1/D/1595</t>
  </si>
  <si>
    <t>PIL1/D/1589</t>
  </si>
  <si>
    <t>PIL1/D/1599</t>
  </si>
  <si>
    <t>PIL1/D/1600</t>
  </si>
  <si>
    <t>PIL1/D/1601</t>
  </si>
  <si>
    <t>PIL1/D/1602</t>
  </si>
  <si>
    <t>PIL1/D/1604</t>
  </si>
  <si>
    <t>PIL1/D/1605</t>
  </si>
  <si>
    <t>PIL1/D/1603</t>
  </si>
  <si>
    <t>PIL1/D/1606</t>
  </si>
  <si>
    <t>PIL1/HSS/31/22-23</t>
  </si>
  <si>
    <t>PIL1/D/1609</t>
  </si>
  <si>
    <t>PIL1/D/1610</t>
  </si>
  <si>
    <t>PIL1/D/1607</t>
  </si>
  <si>
    <t>PIL1/D/1608</t>
  </si>
  <si>
    <t>PIL1/D/1613</t>
  </si>
  <si>
    <t>PIL1/D/1614</t>
  </si>
  <si>
    <t>PIL1/D/1617</t>
  </si>
  <si>
    <t>PIL1/D/1618</t>
  </si>
  <si>
    <t>PIL1/D/1615</t>
  </si>
  <si>
    <t>PIL1/D/1616</t>
  </si>
  <si>
    <t>PIL1/D/1619</t>
  </si>
  <si>
    <t>PIL1/D/1620</t>
  </si>
  <si>
    <t>PIL1/D/1621</t>
  </si>
  <si>
    <t>PIL1/D/1623</t>
  </si>
  <si>
    <t>PIL1/D/1624</t>
  </si>
  <si>
    <t>PIL1/D/1625</t>
  </si>
  <si>
    <t>PIL1/D/1622</t>
  </si>
  <si>
    <t>PIL1/DE/77/22-23</t>
  </si>
  <si>
    <t>PIL1/D/1626</t>
  </si>
  <si>
    <t>PIL1/D/1629</t>
  </si>
  <si>
    <t>PIL1/D/1630</t>
  </si>
  <si>
    <t>PIL1/DE/78/22-23</t>
  </si>
  <si>
    <t>PIL1/D/1631</t>
  </si>
  <si>
    <t>PIL1/D/1632</t>
  </si>
  <si>
    <t>PIL1/D/1634</t>
  </si>
  <si>
    <t>PIL1/D/1636</t>
  </si>
  <si>
    <t>PIL1/D/1637</t>
  </si>
  <si>
    <t>PIL1/D/1633</t>
  </si>
  <si>
    <t>PIL1/D/1635</t>
  </si>
  <si>
    <t>PIL1/D/1641</t>
  </si>
  <si>
    <t>PIL1/D/1642</t>
  </si>
  <si>
    <t>PIL1/D/1640</t>
  </si>
  <si>
    <t>PIL1/D/1650</t>
  </si>
  <si>
    <t>PIL1/D/1651</t>
  </si>
  <si>
    <t>PIL1/D/1647</t>
  </si>
  <si>
    <t>PIL1/D/1648</t>
  </si>
  <si>
    <t>PIL1/D/1652</t>
  </si>
  <si>
    <t>PIL1/D/1654</t>
  </si>
  <si>
    <t>PIL1/D/1655</t>
  </si>
  <si>
    <t>PIL1/D/1653</t>
  </si>
  <si>
    <t>PIL1/D/1656</t>
  </si>
  <si>
    <t>PIL1/D/1657</t>
  </si>
  <si>
    <t>PIL1/D/1658</t>
  </si>
  <si>
    <t>PIL1/D/1665</t>
  </si>
  <si>
    <t>PIL1/D/1666</t>
  </si>
  <si>
    <t>PIL1/D/1667</t>
  </si>
  <si>
    <t>PIL1/D/1669</t>
  </si>
  <si>
    <t>PIL1/D/1670</t>
  </si>
  <si>
    <t>PIL1/D/1659</t>
  </si>
  <si>
    <t>PIL1/D/1668</t>
  </si>
  <si>
    <t>Jet Tech Pvt Ltd</t>
  </si>
  <si>
    <t>24AAACJ5890J1ZC</t>
  </si>
  <si>
    <t>PIL2/D/1081</t>
  </si>
  <si>
    <t>PIL2/D/1091</t>
  </si>
  <si>
    <t>PIL2/D/1095</t>
  </si>
  <si>
    <t>PIL2/D/1096</t>
  </si>
  <si>
    <t>Shivam Traders - Sales (24AGUPS9760R1ZZ)</t>
  </si>
  <si>
    <t>24AGUPS9760R1ZZ</t>
  </si>
  <si>
    <t>PIL2/D/1092</t>
  </si>
  <si>
    <t>PIL2/D/1108</t>
  </si>
  <si>
    <t>PIL2/D/1109</t>
  </si>
  <si>
    <t>PIL2/D/1127</t>
  </si>
  <si>
    <t>PIL2/D/1128</t>
  </si>
  <si>
    <t>PIL2/D/1129</t>
  </si>
  <si>
    <t>PIL2/D/1142</t>
  </si>
  <si>
    <t>PIL2/D/1143</t>
  </si>
  <si>
    <t>PIL2/D/1144</t>
  </si>
  <si>
    <t>PIL2/D/1145</t>
  </si>
  <si>
    <t>PIL2/D/1156</t>
  </si>
  <si>
    <t>Surendra Kumar &amp; Sons</t>
  </si>
  <si>
    <t>09AFJPG3579G2Z5</t>
  </si>
  <si>
    <t>PIL2/D/1157</t>
  </si>
  <si>
    <t>PIL2/D/1158</t>
  </si>
  <si>
    <t>PIL2/D/1159</t>
  </si>
  <si>
    <t>PIL2/D/1165</t>
  </si>
  <si>
    <t>PIL2/D/1170</t>
  </si>
  <si>
    <t>PIL2/D/1171</t>
  </si>
  <si>
    <t>PIL2/D/1172</t>
  </si>
  <si>
    <t>PIL2/D/1175</t>
  </si>
  <si>
    <t>PIL2/D/1176</t>
  </si>
  <si>
    <t>PIL2/D/1187</t>
  </si>
  <si>
    <t>PIL2/D/1188</t>
  </si>
  <si>
    <t>Guru Rajendra Metalloys India Pvt Ltd</t>
  </si>
  <si>
    <t>24AACCG2504N1ZS</t>
  </si>
  <si>
    <t>PIL2/D/1194</t>
  </si>
  <si>
    <t>PIL2/D/1189</t>
  </si>
  <si>
    <t>PIL2/D/1190</t>
  </si>
  <si>
    <t>PIL6/D/140</t>
  </si>
  <si>
    <t>PIL6/D/142</t>
  </si>
  <si>
    <t>PIL6/D/143</t>
  </si>
  <si>
    <t>PIL6/D/144</t>
  </si>
  <si>
    <t>PIL6/D/146</t>
  </si>
  <si>
    <t>PIL6/D/147</t>
  </si>
  <si>
    <t>PIL6/D/148</t>
  </si>
  <si>
    <t>PIL6/D/149</t>
  </si>
  <si>
    <t>PIL6/D/150</t>
  </si>
  <si>
    <t>PIL6/D/151</t>
  </si>
  <si>
    <t>PIL6/D/152</t>
  </si>
  <si>
    <t>Name of Debtors</t>
  </si>
  <si>
    <t>GST No.</t>
  </si>
  <si>
    <t>Invoice Detail</t>
  </si>
  <si>
    <t>Date (dd/mm/yyyy)</t>
  </si>
  <si>
    <t>Value (maximum 2 decimal)</t>
  </si>
  <si>
    <t>Domestic</t>
  </si>
  <si>
    <t>Type</t>
  </si>
  <si>
    <t>Morethan180Days</t>
  </si>
  <si>
    <t>91-120DAYS</t>
  </si>
  <si>
    <t>1-90 DAYS</t>
  </si>
  <si>
    <t>121-180 DAYS</t>
  </si>
  <si>
    <t>Days</t>
  </si>
  <si>
    <t>Ageing</t>
  </si>
  <si>
    <t>K.P. Woven Pvt Ltd-Sales</t>
  </si>
  <si>
    <t>24AAECK6307M1ZF</t>
  </si>
  <si>
    <t>PIL2/D/1151</t>
  </si>
  <si>
    <t>PIL2/D/1163</t>
  </si>
  <si>
    <t>PIL2/D/1164</t>
  </si>
  <si>
    <t>PIL2/D/1166</t>
  </si>
  <si>
    <t>PIL1/D/1628</t>
  </si>
  <si>
    <t>PIL2/D/1167</t>
  </si>
  <si>
    <t>PIL2/D/1168</t>
  </si>
  <si>
    <t>PIL2/D/1180</t>
  </si>
  <si>
    <t>PIL2/D/1181</t>
  </si>
  <si>
    <t>PIL1/D/1645</t>
  </si>
  <si>
    <t>PIL2/D/1182</t>
  </si>
  <si>
    <t>PIL2/D/1183</t>
  </si>
  <si>
    <t>PIL2/D/1184</t>
  </si>
  <si>
    <t>PIL2/D/1185</t>
  </si>
  <si>
    <t>PIL2/D/1186</t>
  </si>
  <si>
    <t>PIL1/D/1660</t>
  </si>
  <si>
    <t>PIL1/D/1661</t>
  </si>
  <si>
    <t>PIL1/D/1662</t>
  </si>
  <si>
    <t>PIL1/DE/79/22-23</t>
  </si>
  <si>
    <t>Oliva Garden S.A.</t>
  </si>
  <si>
    <t>99EXPOR0000E9Z9</t>
  </si>
  <si>
    <t>PIL1/E/488/22-23</t>
  </si>
  <si>
    <t>PIL1/E/489/22-23</t>
  </si>
  <si>
    <t>PIL1/E/490/22-23</t>
  </si>
  <si>
    <t>PIL1/E/503/22-23</t>
  </si>
  <si>
    <t>PIL1/E/504/22-23</t>
  </si>
  <si>
    <t>PIL1/E/525/22-23</t>
  </si>
  <si>
    <t>PIL1/E/526/22-23</t>
  </si>
  <si>
    <t>PIL1/E/527/22-23</t>
  </si>
  <si>
    <t>PIL2/E/257/22-23</t>
  </si>
  <si>
    <t>associates</t>
  </si>
  <si>
    <t>ACCESS WORLD</t>
  </si>
  <si>
    <t>PIL1/TP/118/19-20</t>
  </si>
  <si>
    <t>COBALT HOLDINGS LTD</t>
  </si>
  <si>
    <t>PIL2/E/225/19-20</t>
  </si>
  <si>
    <t>Flexibox Container Gmbh</t>
  </si>
  <si>
    <t>PIL2/E/198/22-23</t>
  </si>
  <si>
    <t>Safesack Scandinavia Ab</t>
  </si>
  <si>
    <t>PIL6/E/211/22-23</t>
  </si>
  <si>
    <t>Olega S A</t>
  </si>
  <si>
    <t>PIL2/E/199/22-23</t>
  </si>
  <si>
    <t>Condepols, S.A.</t>
  </si>
  <si>
    <t>PIL1/TP/009</t>
  </si>
  <si>
    <t>Frelun S.A.</t>
  </si>
  <si>
    <t>PIL1/E/675/22-23</t>
  </si>
  <si>
    <t>LC Packaging Netherlands Bv</t>
  </si>
  <si>
    <t>PIL6/E/215/22-23</t>
  </si>
  <si>
    <t>Safesack Finland Oy</t>
  </si>
  <si>
    <t>PIL6/E/214/22-23</t>
  </si>
  <si>
    <t>FPS Flexibles UK Ltd</t>
  </si>
  <si>
    <t>PIL1/JW/035</t>
  </si>
  <si>
    <t>Juta A.S.</t>
  </si>
  <si>
    <t>PIL1/E/683/22-23</t>
  </si>
  <si>
    <t>Multi Negoce</t>
  </si>
  <si>
    <t>PIL2/E/200/22-23</t>
  </si>
  <si>
    <t>PIL2/E/201/22-23</t>
  </si>
  <si>
    <t>Rugo Bags Gmbh</t>
  </si>
  <si>
    <t>PIL6/E/217/22-23</t>
  </si>
  <si>
    <t>Lafarge Calcinor Maroc</t>
  </si>
  <si>
    <t>PIL2/E/202/22-23</t>
  </si>
  <si>
    <t>PIL6/E/218/22-23</t>
  </si>
  <si>
    <t>Lionel Samson Packaging Co Pty Ltd.</t>
  </si>
  <si>
    <t>PIL1/E/691/22-23</t>
  </si>
  <si>
    <t>PIL1/JW/036</t>
  </si>
  <si>
    <t>Hidden Gold LLC</t>
  </si>
  <si>
    <t>PIL2/E/205/22-23</t>
  </si>
  <si>
    <t>SAS Emballage Industrie Concept - Bazelle</t>
  </si>
  <si>
    <t>PIL1/E/701/22-23</t>
  </si>
  <si>
    <t>BALCON ENTERPRISES INC.</t>
  </si>
  <si>
    <t>PIL2/E/206/22-23</t>
  </si>
  <si>
    <t>United Cable In Industries Co.</t>
  </si>
  <si>
    <t>PIL1/E/705/22-23</t>
  </si>
  <si>
    <t>Dajusa 2002 S.L.</t>
  </si>
  <si>
    <t>PIL1/E/710/22-23</t>
  </si>
  <si>
    <t>PIL1/E/711/22-23</t>
  </si>
  <si>
    <t>PIL1/E/712/22-23</t>
  </si>
  <si>
    <t>PIL1/E/717/22-23</t>
  </si>
  <si>
    <t>NNZ Bv</t>
  </si>
  <si>
    <t>PIL2/E/212/22-23</t>
  </si>
  <si>
    <t>PIL2/E/213/22-23</t>
  </si>
  <si>
    <t>BLUEPACK A/S</t>
  </si>
  <si>
    <t>PIL1/E/720/22-23</t>
  </si>
  <si>
    <t>PIL6/E/223/22-23</t>
  </si>
  <si>
    <t>Cesur Usa, Llc</t>
  </si>
  <si>
    <t>PIL2/E/215/22-23</t>
  </si>
  <si>
    <t>PIL2/E/217/22-23</t>
  </si>
  <si>
    <t>Procon Pacific Llc</t>
  </si>
  <si>
    <t>PIL1/JW/037</t>
  </si>
  <si>
    <t>Mercados Mundiales Import Export, S.A.U</t>
  </si>
  <si>
    <t>PIL1/E/739/22-23</t>
  </si>
  <si>
    <t>Polypak Plastene Ltd</t>
  </si>
  <si>
    <t>PIL6/E/224/22-23</t>
  </si>
  <si>
    <t>Enviroplast Inc</t>
  </si>
  <si>
    <t>PIL1/E/745/22-23</t>
  </si>
  <si>
    <t>FPS Flexibles Irelands Ltd</t>
  </si>
  <si>
    <t>PIL6/E/227/22-23</t>
  </si>
  <si>
    <t>PIL1/E/744/22-23</t>
  </si>
  <si>
    <t>Qpac Packaging LLP</t>
  </si>
  <si>
    <t>PIL2/E/219/22-23</t>
  </si>
  <si>
    <t>PIL6/E/226/22-23</t>
  </si>
  <si>
    <t>PIL6/E/229/22-23</t>
  </si>
  <si>
    <t>Rafia Industrial S.A.</t>
  </si>
  <si>
    <t>PIL1/JW/038</t>
  </si>
  <si>
    <t>PIL6/E/230/22-23</t>
  </si>
  <si>
    <t>Agon A/S</t>
  </si>
  <si>
    <t>PIL6/E/234/22-23</t>
  </si>
  <si>
    <t>PIL2/E/222/22-23</t>
  </si>
  <si>
    <t>PIL1/JW/040</t>
  </si>
  <si>
    <t>PIL1/JW/042</t>
  </si>
  <si>
    <t>Ravitaillement International Inc.</t>
  </si>
  <si>
    <t>PIL1/JW/041</t>
  </si>
  <si>
    <t>SO Bag</t>
  </si>
  <si>
    <t>PIL1/JW/039</t>
  </si>
  <si>
    <t>H Polesy &amp; Co Pty Ltd</t>
  </si>
  <si>
    <t>PIL1/E/760/22-23</t>
  </si>
  <si>
    <t>PIL2/E/226/22-23</t>
  </si>
  <si>
    <t>PIL2/E/227/22-23</t>
  </si>
  <si>
    <t>PIL1/JW/043</t>
  </si>
  <si>
    <t>PIL1/JW/044</t>
  </si>
  <si>
    <t>Minini Spa</t>
  </si>
  <si>
    <t>PIL1/E/775/22-23</t>
  </si>
  <si>
    <t>PIL2/E/229/22-23</t>
  </si>
  <si>
    <t>Polipropilen Elyaf Sanayi Ve Dis Ticaret A.S Turkey</t>
  </si>
  <si>
    <t>PIL1/E/778/22-23</t>
  </si>
  <si>
    <t>PIL6/E/237/22-23</t>
  </si>
  <si>
    <t>PIL1/JW/045</t>
  </si>
  <si>
    <t>Porastek, LLC</t>
  </si>
  <si>
    <t>PIL2/E/230/22-23</t>
  </si>
  <si>
    <t>PIL6/E/239/22-23</t>
  </si>
  <si>
    <t>PIL6/E/240/22-23</t>
  </si>
  <si>
    <t>Concord Supply Inc.</t>
  </si>
  <si>
    <t>PIL1/E/781/22-23</t>
  </si>
  <si>
    <t>PIL6/E/245/22-23</t>
  </si>
  <si>
    <t>PIL1/JW/046</t>
  </si>
  <si>
    <t>PIL2/E/236/22-23</t>
  </si>
  <si>
    <t>PIL1/E/813/22-23</t>
  </si>
  <si>
    <t>PIL6/E/246/22-23</t>
  </si>
  <si>
    <t>PIL1/JW/047</t>
  </si>
  <si>
    <t>PIL1/JW/048</t>
  </si>
  <si>
    <t>PIL1/JW/049</t>
  </si>
  <si>
    <t>PIL1/JW/050</t>
  </si>
  <si>
    <t>GC-M PTA Company Limited</t>
  </si>
  <si>
    <t>PIL1/TP/010</t>
  </si>
  <si>
    <t>PIL2/E/238/22-23</t>
  </si>
  <si>
    <t>Manyan Inc.</t>
  </si>
  <si>
    <t>PIL1/E/822/22-23</t>
  </si>
  <si>
    <t>PIL1/JW/051</t>
  </si>
  <si>
    <t>PIL6/E/250/22-23</t>
  </si>
  <si>
    <t>Jumbo Sack Corporation</t>
  </si>
  <si>
    <t>PIL2/E/239/22-23</t>
  </si>
  <si>
    <t>DS SafetyWear Arbeitsschutzprodukte GmbH</t>
  </si>
  <si>
    <t>PIL2/E/240/22-23</t>
  </si>
  <si>
    <t>PIL2/E/241/22-23</t>
  </si>
  <si>
    <t>PIL1/E/823/22-23</t>
  </si>
  <si>
    <t>PIL1/E/828/22-23</t>
  </si>
  <si>
    <t>PIL1/TP/011</t>
  </si>
  <si>
    <t>PIL6/E/252/22-23</t>
  </si>
  <si>
    <t>PIL2/E/244/22-23</t>
  </si>
  <si>
    <t>PIL1/E/840/22-23</t>
  </si>
  <si>
    <t>PIL1/JW/052</t>
  </si>
  <si>
    <t>FPS Flexibles Chile Spa</t>
  </si>
  <si>
    <t>PIL1/JW/053</t>
  </si>
  <si>
    <t>PIL6/E/254/22-23</t>
  </si>
  <si>
    <t>Technopac Gmbh</t>
  </si>
  <si>
    <t>PIL2/E/245/22-23</t>
  </si>
  <si>
    <t>PIL1/E/846/22-23</t>
  </si>
  <si>
    <t>Technopac Austria Gmbh</t>
  </si>
  <si>
    <t>PIL1/E/847/22-23</t>
  </si>
  <si>
    <t>PIL1/E/856/22-23</t>
  </si>
  <si>
    <t>PIL1/JW/054</t>
  </si>
  <si>
    <t>Rocheux International</t>
  </si>
  <si>
    <t>PIL2/E/246/22-23</t>
  </si>
  <si>
    <t>PIL1/E/855/22-23</t>
  </si>
  <si>
    <t>PIL2/E/248/22-23</t>
  </si>
  <si>
    <t>PIL2/E/247/22-23</t>
  </si>
  <si>
    <t>Alimentos Cielo S.A.C.</t>
  </si>
  <si>
    <t>PIL1/E/862/22-23</t>
  </si>
  <si>
    <t>Karapatsias Ltd</t>
  </si>
  <si>
    <t>PIL1/E/863/22-23</t>
  </si>
  <si>
    <t>PIL1/E/864/22-23</t>
  </si>
  <si>
    <t>Bluepack A/S</t>
  </si>
  <si>
    <t>PIL1/E/876/22-23</t>
  </si>
  <si>
    <t>PIL1/E/875/22-23</t>
  </si>
  <si>
    <t>PIL6/E/258/22-23</t>
  </si>
  <si>
    <t>PIL1/E/873/22-23</t>
  </si>
  <si>
    <t>PIL1/E/874/22-23</t>
  </si>
  <si>
    <t>PIL6/E/259/22-23</t>
  </si>
  <si>
    <t>PIL6/E/260/22-23</t>
  </si>
  <si>
    <t>PIL1/E/895/22-23</t>
  </si>
  <si>
    <t>PIL6/E/261/22-23</t>
  </si>
  <si>
    <t>PIL1/JW/055</t>
  </si>
  <si>
    <t xml:space="preserve">Town &amp; Country Aggregates </t>
  </si>
  <si>
    <t>PIL6/E/262/22-23</t>
  </si>
  <si>
    <t>PIL1/JW/056</t>
  </si>
  <si>
    <t>Rossi Imballaggi Srl</t>
  </si>
  <si>
    <t>PIL1/JW/057</t>
  </si>
  <si>
    <t>PIL6/E/263/22-23</t>
  </si>
  <si>
    <t>PIL1/E/907/22-23</t>
  </si>
  <si>
    <t>PIL6/E/264/22-23</t>
  </si>
  <si>
    <t>PIL1/JW/058</t>
  </si>
  <si>
    <t>PIL2/E/250/22-23</t>
  </si>
  <si>
    <t>PIL2/E/251/22-23</t>
  </si>
  <si>
    <t>PIL1/E/923/22-23</t>
  </si>
  <si>
    <t>PIL2/E/252/22-23</t>
  </si>
  <si>
    <t>PIL2/E/256/22-23</t>
  </si>
  <si>
    <t>PIL1/JW/059</t>
  </si>
  <si>
    <t>Werba S.A.</t>
  </si>
  <si>
    <t>PIL2/E/255/22-23</t>
  </si>
  <si>
    <t>PIL1/JW/060</t>
  </si>
  <si>
    <t>PIL2/E/258/22-23</t>
  </si>
  <si>
    <t>PIL2/E/260/22-23</t>
  </si>
  <si>
    <t>PIL1/JW/061</t>
  </si>
  <si>
    <t>PIL2/E/261/22-23</t>
  </si>
  <si>
    <t>PIL6/E/268/22-23</t>
  </si>
  <si>
    <t>Miniere Afarha Bentonite S.A</t>
  </si>
  <si>
    <t>PIL1/E/952/22-23</t>
  </si>
  <si>
    <t>PIL1/E/964/22-23</t>
  </si>
  <si>
    <t>PIL1/E/968/22-23</t>
  </si>
  <si>
    <t>PIL1/E/967/22-23</t>
  </si>
  <si>
    <t>PIL1/JW/062</t>
  </si>
  <si>
    <t>LC Packaging Belgium NV</t>
  </si>
  <si>
    <t>PIL6/E/271/22-23</t>
  </si>
  <si>
    <t>PIL1/E/969/22-23</t>
  </si>
  <si>
    <t>PIL1/E/981/22-23</t>
  </si>
  <si>
    <t>PIL1/JW/064</t>
  </si>
  <si>
    <t>PIL1/JW/063</t>
  </si>
  <si>
    <t>PIL1/E/980/22-23</t>
  </si>
  <si>
    <t>PIL2/E/267/22-23</t>
  </si>
  <si>
    <t>Balcon Enterprises Inc.</t>
  </si>
  <si>
    <t>PIL2/E/269/22-23</t>
  </si>
  <si>
    <t>PIL2/E/268/22-23</t>
  </si>
  <si>
    <t>PIL1/E/982/22-23</t>
  </si>
  <si>
    <t>PIL1/E/983/22-23</t>
  </si>
  <si>
    <t>PIL1/E/984/22-23</t>
  </si>
  <si>
    <t>PIL6/E/272/22-23</t>
  </si>
  <si>
    <t>PIL1/E/991/22-23</t>
  </si>
  <si>
    <t>PIL1/E/1002/22-23</t>
  </si>
  <si>
    <t>Fertiplast Sacos, S.L.</t>
  </si>
  <si>
    <t>PIL1/E/1007/22-23</t>
  </si>
  <si>
    <t>PIL1/JW/065</t>
  </si>
  <si>
    <t>PIL1/E/1019/22-23</t>
  </si>
  <si>
    <t>Codefine International SA</t>
  </si>
  <si>
    <t>PIL2/E/272/22-23</t>
  </si>
  <si>
    <t>PIL1/TP/012</t>
  </si>
  <si>
    <t>PIL2/E/273/22-23</t>
  </si>
  <si>
    <t>Asco Italia Sas</t>
  </si>
  <si>
    <t>PIL2/E/277/22-23</t>
  </si>
  <si>
    <t>PIL1/TP/013</t>
  </si>
  <si>
    <t>PIL2/TP/001</t>
  </si>
  <si>
    <t>PIL2/E/278/22-23</t>
  </si>
  <si>
    <t>PIL1/E/1033/22-23</t>
  </si>
  <si>
    <t>PIL1/E/1036/22-23</t>
  </si>
  <si>
    <t>PIL1/E/1034/22-23</t>
  </si>
  <si>
    <t>PIL1/E/1035/22-23</t>
  </si>
  <si>
    <t>PIL2/E/279/22-23</t>
  </si>
  <si>
    <t>PIL2/E/280/22-23</t>
  </si>
  <si>
    <t>PIL2/E/283/22-23</t>
  </si>
  <si>
    <t>PIL1/JW/066</t>
  </si>
  <si>
    <t>PIL1/JW/067</t>
  </si>
  <si>
    <t>PIL1/E/1039/22-23</t>
  </si>
  <si>
    <t>PIL1/E/1040/22-23</t>
  </si>
  <si>
    <t>PIL1/JW/068</t>
  </si>
  <si>
    <t>PIL2/E/284/22-23</t>
  </si>
  <si>
    <t>PIL6/E/277/22-23</t>
  </si>
  <si>
    <t>PIL6/E/278/22-23</t>
  </si>
  <si>
    <t>PIL6/E/279/22-23</t>
  </si>
  <si>
    <t>PIL1/E/1049/22-23</t>
  </si>
  <si>
    <t>PIL1/E/1050/22-23</t>
  </si>
  <si>
    <t>PIL1/E/1048/22-23</t>
  </si>
  <si>
    <t>PIL1/JW/069</t>
  </si>
  <si>
    <t>Tisser, LDA</t>
  </si>
  <si>
    <t>PIL2/E/288/22-23</t>
  </si>
  <si>
    <t>PIL2/E/289/22-23</t>
  </si>
  <si>
    <t>PIL1/JW/070</t>
  </si>
  <si>
    <t>Sandwood Enterprises Inc</t>
  </si>
  <si>
    <t>PIL1/E/1057/22-23</t>
  </si>
  <si>
    <t>PIL2/E/290/22-23</t>
  </si>
  <si>
    <t>PIL1/E/1061/22-23</t>
  </si>
  <si>
    <t>PIL2/E/291/22-23</t>
  </si>
  <si>
    <t>PIL2/E/292/22-23</t>
  </si>
  <si>
    <t>PIL2/E/293/22-23</t>
  </si>
  <si>
    <t>PIL6/E/285/22-23</t>
  </si>
  <si>
    <t>PIL1/TP/014</t>
  </si>
  <si>
    <t>PIL1/E/1062/22-23</t>
  </si>
  <si>
    <t>PIL1/E/1063/22-23</t>
  </si>
  <si>
    <t>PIL2/E/294/22-23</t>
  </si>
  <si>
    <t>PIL2/E/296/22-23</t>
  </si>
  <si>
    <t>PIL6/E/287/22-23</t>
  </si>
  <si>
    <t>PIL6/E/286/22-23</t>
  </si>
  <si>
    <t>PIL1/TP/015</t>
  </si>
  <si>
    <t>PIL6/E/290/22-23</t>
  </si>
  <si>
    <t>PIL1/TP/016</t>
  </si>
  <si>
    <t>PIL6/E/291/22-23</t>
  </si>
  <si>
    <t>PIL1/JW/071</t>
  </si>
  <si>
    <t>PIL2/E/302/22-23</t>
  </si>
  <si>
    <t>More than 180 Days</t>
  </si>
  <si>
    <t>0-120 DAYS</t>
  </si>
  <si>
    <t>overseas</t>
  </si>
  <si>
    <t>Export Advance License</t>
  </si>
  <si>
    <t>GST RECEIVABLE</t>
  </si>
  <si>
    <t>category</t>
  </si>
  <si>
    <t>G</t>
  </si>
  <si>
    <t>R</t>
  </si>
  <si>
    <t>O</t>
  </si>
  <si>
    <t>N</t>
  </si>
  <si>
    <t>JAN-23</t>
  </si>
  <si>
    <t>PIL1/JW/072</t>
  </si>
  <si>
    <t>PIL2/E/303/22-23</t>
  </si>
  <si>
    <t>PIL2/E/304/22-23</t>
  </si>
  <si>
    <t>PIL2/E/305/22-23</t>
  </si>
  <si>
    <t>Industria Sulfuria S.A.</t>
  </si>
  <si>
    <t>PIL1/E/1103/22-23</t>
  </si>
  <si>
    <t>PIL1/E/1104/22-23</t>
  </si>
  <si>
    <t>PIL2/E/306/22-23</t>
  </si>
  <si>
    <t>PIL2/E/307/22-23</t>
  </si>
  <si>
    <t>PIL6/E/293/22-23</t>
  </si>
  <si>
    <t>PIL1/JW/073</t>
  </si>
  <si>
    <t>PIL2/E/309/22-23</t>
  </si>
  <si>
    <t>PIL1/E/1114/22-23</t>
  </si>
  <si>
    <t>PIL1/E/1117/22-23</t>
  </si>
  <si>
    <t>PIL2/E/311/22-23</t>
  </si>
  <si>
    <t>PIL1/E/1118/22-23</t>
  </si>
  <si>
    <t>PIL1/E/1121/22-23</t>
  </si>
  <si>
    <t>PIL1/E/1120/22-23</t>
  </si>
  <si>
    <t>SP Group Global Ltd</t>
  </si>
  <si>
    <t>PIL2/E/312/22-23</t>
  </si>
  <si>
    <t>PIL1/JW/074</t>
  </si>
  <si>
    <t>Oswal Extrusion Ltd- KASEZ-Sales</t>
  </si>
  <si>
    <t>PIL6/E/296/22-23</t>
  </si>
  <si>
    <t>PIL6/E/297/22-23</t>
  </si>
  <si>
    <t>PIL1/E/1128/22-23</t>
  </si>
  <si>
    <t>PIL1/E/1134/22-23</t>
  </si>
  <si>
    <t>PIL1/E/1135/22-23</t>
  </si>
  <si>
    <t>PIL1/TP/017</t>
  </si>
  <si>
    <t>PIL1/E/1136/22-23</t>
  </si>
  <si>
    <t>PIL6/E/306/22-23</t>
  </si>
  <si>
    <t>PIL1/TP/018</t>
  </si>
  <si>
    <t>PIL1/E/1140/22-23</t>
  </si>
  <si>
    <t>PIL2/E/317/22-23</t>
  </si>
  <si>
    <t>PIL6/E/307/22-23</t>
  </si>
  <si>
    <t>PIL2/E/318/22-23</t>
  </si>
  <si>
    <t>PIL1/TP/019</t>
  </si>
  <si>
    <t>PIL2/E/319/22-23</t>
  </si>
  <si>
    <t>PIL2/E/321/22-23</t>
  </si>
  <si>
    <t>PIL1/JW/075</t>
  </si>
  <si>
    <t>Raficon Trade Srl</t>
  </si>
  <si>
    <t>PIL1/E/1148/22-23</t>
  </si>
  <si>
    <t>Terceirense De Racoes Sa</t>
  </si>
  <si>
    <t>PIL1/E/1147/22-23</t>
  </si>
  <si>
    <t>Passos &amp; Oliveira, Lda.</t>
  </si>
  <si>
    <t>PIL2/E/322/22-23</t>
  </si>
  <si>
    <t>PIL2/E/323/22-23</t>
  </si>
  <si>
    <t>PIL1/E/1150/22-23</t>
  </si>
  <si>
    <t>PIL6/E/309/22-23</t>
  </si>
  <si>
    <t>PIL1/TP/020</t>
  </si>
  <si>
    <t>PIL2/E/324/22-23</t>
  </si>
  <si>
    <t>PIL6/E/311/22-23</t>
  </si>
  <si>
    <t>PIL1/TP/021</t>
  </si>
  <si>
    <t>PIL1/TP/022</t>
  </si>
  <si>
    <t>PIL6/E/320/22-23</t>
  </si>
  <si>
    <t>PIL1/TP/023</t>
  </si>
  <si>
    <t>PIL1/TP/024</t>
  </si>
  <si>
    <t>PIL1/TP/025</t>
  </si>
  <si>
    <t>PIL2/E/326/22-23</t>
  </si>
  <si>
    <t>PIL1/E/1182/22-23</t>
  </si>
  <si>
    <t>PIL1/E/1183/22-23</t>
  </si>
  <si>
    <t>PIL1/JW/076</t>
  </si>
  <si>
    <t>PIL2/E/328/22-23</t>
  </si>
  <si>
    <t>PIL6/E/322/22-23</t>
  </si>
  <si>
    <t>PIL6/E/321/22-23</t>
  </si>
  <si>
    <t>PIL6/E/326/22-23</t>
  </si>
  <si>
    <t>PIL6/E/325/22-23</t>
  </si>
  <si>
    <t>Overseas</t>
  </si>
  <si>
    <t>PIL2/D/1260</t>
  </si>
  <si>
    <t>PIL2/D/1261</t>
  </si>
  <si>
    <t>PIL2/D/1262</t>
  </si>
  <si>
    <t>PIL2/D/1267</t>
  </si>
  <si>
    <t>PIL2/D/1269</t>
  </si>
  <si>
    <t>PIL2/D/1270</t>
  </si>
  <si>
    <t>PIL2/D/1284</t>
  </si>
  <si>
    <t>PIL2/D/1285</t>
  </si>
  <si>
    <t>PIL2/D/1295</t>
  </si>
  <si>
    <t>PIL2/D/1296</t>
  </si>
  <si>
    <t>PIL2/D/1297</t>
  </si>
  <si>
    <t>PIL2/D/1298</t>
  </si>
  <si>
    <t>PIL2/D/1299</t>
  </si>
  <si>
    <t>PIL2/D/1305</t>
  </si>
  <si>
    <t>PIL6/D/155</t>
  </si>
  <si>
    <t>PIL8/D/37</t>
  </si>
  <si>
    <t>PIL8/D/38</t>
  </si>
  <si>
    <t>Associates</t>
  </si>
  <si>
    <t>PIL1/D/1749</t>
  </si>
  <si>
    <t>PIL1/D/1672</t>
  </si>
  <si>
    <t>PIL1/D/1673</t>
  </si>
  <si>
    <t>PIL1/D/1674</t>
  </si>
  <si>
    <t>PIL1/D/1671</t>
  </si>
  <si>
    <t>PIL1/HSS/32/22-23</t>
  </si>
  <si>
    <t>PIL1/D/1676</t>
  </si>
  <si>
    <t>PIL1/D/1677</t>
  </si>
  <si>
    <t>PIL1/D/1678</t>
  </si>
  <si>
    <t>PIL1/D/1679</t>
  </si>
  <si>
    <t>PIL1/D/1686</t>
  </si>
  <si>
    <t>PIL1/D/1687</t>
  </si>
  <si>
    <t>PIL1/D/1688</t>
  </si>
  <si>
    <t>PIL1/D/1689</t>
  </si>
  <si>
    <t>PIL1/D/1685</t>
  </si>
  <si>
    <t>PIL1/D/1690</t>
  </si>
  <si>
    <t>PIL1/D/1692</t>
  </si>
  <si>
    <t>PIL1/D/1693</t>
  </si>
  <si>
    <t>PIL1/D/1691</t>
  </si>
  <si>
    <t>PIL1/D/1694</t>
  </si>
  <si>
    <t>PIL1/D/1695</t>
  </si>
  <si>
    <t>PIL1/D/1696</t>
  </si>
  <si>
    <t>PIL1/D/1701</t>
  </si>
  <si>
    <t>PIL1/D/1702</t>
  </si>
  <si>
    <t>PIL1/D/1697</t>
  </si>
  <si>
    <t>PIL1/D/1699</t>
  </si>
  <si>
    <t>PIL1/D/1700</t>
  </si>
  <si>
    <t>PIL1/D/1703</t>
  </si>
  <si>
    <t>PIL1/D/1708</t>
  </si>
  <si>
    <t>PIL1/D/1709</t>
  </si>
  <si>
    <t>PIL1/D/1711</t>
  </si>
  <si>
    <t>PIL1/D/1710</t>
  </si>
  <si>
    <t>PIL1/D/1714</t>
  </si>
  <si>
    <t>PIL1/D/1715</t>
  </si>
  <si>
    <t>PIL1/D/1716</t>
  </si>
  <si>
    <t>PIL1/D/1712</t>
  </si>
  <si>
    <t>PIL1/D/1717</t>
  </si>
  <si>
    <t>PIL1/D/1718</t>
  </si>
  <si>
    <t>PIL1/D/1724</t>
  </si>
  <si>
    <t>PIL1/D/1725</t>
  </si>
  <si>
    <t>PIL1/D/1726</t>
  </si>
  <si>
    <t>PIL1/D/1728</t>
  </si>
  <si>
    <t>PIL1/D/1729</t>
  </si>
  <si>
    <t>PIL1/D/1732</t>
  </si>
  <si>
    <t>PIL1/D/1735</t>
  </si>
  <si>
    <t>PIL1/D/1733</t>
  </si>
  <si>
    <t>PIL1/D/1734</t>
  </si>
  <si>
    <t>PIL1/D/1737</t>
  </si>
  <si>
    <t>PIL1/D/1738</t>
  </si>
  <si>
    <t>PIL1/D/1740</t>
  </si>
  <si>
    <t>PIL1/D/1741</t>
  </si>
  <si>
    <t>PIL1/D/1736</t>
  </si>
  <si>
    <t>PIL1/D/1739</t>
  </si>
  <si>
    <t>PIL1/D/1745</t>
  </si>
  <si>
    <t>PIL1/D/1746</t>
  </si>
  <si>
    <t>PIL1/D/1747</t>
  </si>
  <si>
    <t>PIL1/D/1744</t>
  </si>
  <si>
    <t>PIL1/DE/80/22-23</t>
  </si>
  <si>
    <t>PIL1/D/1748</t>
  </si>
  <si>
    <t>PIL1/D/1752</t>
  </si>
  <si>
    <t>PIL1/D/1754</t>
  </si>
  <si>
    <t>PIL1/D/1750</t>
  </si>
  <si>
    <t>PIL1/DE/81/22-23</t>
  </si>
  <si>
    <t>PIL1/D/1756</t>
  </si>
  <si>
    <t>PIL1/D/1757</t>
  </si>
  <si>
    <t>PIL1/DE/82/22-23</t>
  </si>
  <si>
    <t>PIL1/D/1759</t>
  </si>
  <si>
    <t>PIL1/D/1760</t>
  </si>
  <si>
    <t>PIL1/DE/83/22-23</t>
  </si>
  <si>
    <t>PIL1/D/1765</t>
  </si>
  <si>
    <t>PIL1/D/1766</t>
  </si>
  <si>
    <t>PIL1/D/1769</t>
  </si>
  <si>
    <t>PIL1/D/1770</t>
  </si>
  <si>
    <t>PIL1/D/1771</t>
  </si>
  <si>
    <t>PIL1/D/1772</t>
  </si>
  <si>
    <t>PIL1/DE/84/22-23</t>
  </si>
  <si>
    <t>PIL1/D/1774</t>
  </si>
  <si>
    <t>PIL1/D/1775</t>
  </si>
  <si>
    <t>PIL1/DE/85/22-23</t>
  </si>
  <si>
    <t>PIL1/D/1777</t>
  </si>
  <si>
    <t>PIL1/D/1778</t>
  </si>
  <si>
    <t>PIL1/D/1776</t>
  </si>
  <si>
    <t>PIL1/DE/86/22-23</t>
  </si>
  <si>
    <t>PIL1/D/1780</t>
  </si>
  <si>
    <t>PIL1/D/1782</t>
  </si>
  <si>
    <t>PIL1/D/1783</t>
  </si>
  <si>
    <t>PIL1/D/1781</t>
  </si>
  <si>
    <t>PIL1/DE/87/22-23</t>
  </si>
  <si>
    <t>PIL1/D/1788</t>
  </si>
  <si>
    <t>PIL1/D/1789</t>
  </si>
  <si>
    <t>PIL1/D/1790</t>
  </si>
  <si>
    <t>PIL1/D/1791</t>
  </si>
  <si>
    <t>PIL1/DE/88/22-23</t>
  </si>
  <si>
    <t>PIL1/DE/89/22-23</t>
  </si>
  <si>
    <t>PIL1/D/1794</t>
  </si>
  <si>
    <t>PIL1/D/1795</t>
  </si>
  <si>
    <t>PIL1/D/1796</t>
  </si>
  <si>
    <t>PIL1/DE/90/22-23</t>
  </si>
  <si>
    <t>PIL1/DE/91/22-23</t>
  </si>
  <si>
    <t>PIL1/D/1797</t>
  </si>
  <si>
    <t>PIL1/D/1798</t>
  </si>
  <si>
    <t>PIL1/D/1800</t>
  </si>
  <si>
    <t>PIL1/D/1801</t>
  </si>
  <si>
    <t>PIL1/D/1803</t>
  </si>
  <si>
    <t>PIL1/D/1804</t>
  </si>
  <si>
    <t>PIL1/D/1802</t>
  </si>
  <si>
    <t>PIL1/D/1805</t>
  </si>
  <si>
    <t>PIL1/D/1806</t>
  </si>
  <si>
    <t>PIL1/D/1807</t>
  </si>
  <si>
    <t>PIL1/D/1809</t>
  </si>
  <si>
    <t>PIL1/D/1810</t>
  </si>
  <si>
    <t>PIL1/D/1811</t>
  </si>
  <si>
    <t>PIL1/D/1808</t>
  </si>
  <si>
    <t>PIL1/D/1812</t>
  </si>
  <si>
    <t>PIL1/D/1813</t>
  </si>
  <si>
    <t>PIL1/D/1815</t>
  </si>
  <si>
    <t>PIL1/D/1817</t>
  </si>
  <si>
    <t>PIL1/D/1818</t>
  </si>
  <si>
    <t>PIL1/D/1819</t>
  </si>
  <si>
    <t>PIL1/D/1820</t>
  </si>
  <si>
    <t>PIL1/D/1821</t>
  </si>
  <si>
    <t>PIL1/D/1822</t>
  </si>
  <si>
    <t>PIL2/D/1200</t>
  </si>
  <si>
    <t>PIL2/D/1207</t>
  </si>
  <si>
    <t>PIL2/D/1208</t>
  </si>
  <si>
    <t>PIL2/D/1216</t>
  </si>
  <si>
    <t>PIL2/D/1217</t>
  </si>
  <si>
    <t>PIL2/D/1223</t>
  </si>
  <si>
    <t>PIL2/D/1224</t>
  </si>
  <si>
    <t>PIL2/D/1229</t>
  </si>
  <si>
    <t>PIL2/D/1230</t>
  </si>
  <si>
    <t>PIL2/D/1234</t>
  </si>
  <si>
    <t>PIL2/D/1243</t>
  </si>
  <si>
    <t>PIL2/D/1244</t>
  </si>
  <si>
    <t>PIL2/D/1245</t>
  </si>
  <si>
    <t>PIL2/D/1246</t>
  </si>
  <si>
    <t>PIL2/D/1256</t>
  </si>
  <si>
    <t>PIL2/D/1257</t>
  </si>
  <si>
    <t>PIL2/D/1258</t>
  </si>
  <si>
    <t>PIL2/D/1265</t>
  </si>
  <si>
    <t>PIL2/D/1268</t>
  </si>
  <si>
    <t>PIL2/D/1273</t>
  </si>
  <si>
    <t>PIL2/D/1274</t>
  </si>
  <si>
    <t>PIL2/D/1276</t>
  </si>
  <si>
    <t>PIL2/D/1277</t>
  </si>
  <si>
    <t>PIL2/D/1280</t>
  </si>
  <si>
    <t>PIL2/D/1281</t>
  </si>
  <si>
    <t>PIL2/D/1291</t>
  </si>
  <si>
    <t>PIL2/D/1288</t>
  </si>
  <si>
    <t>PIL2/D/1289</t>
  </si>
  <si>
    <t>PIL2/D/1290</t>
  </si>
  <si>
    <t>PIL2/D/1292</t>
  </si>
  <si>
    <t>PIL2/D/1300</t>
  </si>
  <si>
    <t>PIL2/D/1301</t>
  </si>
  <si>
    <t>PIL2/D/1302</t>
  </si>
  <si>
    <t>PIL2/D/1307</t>
  </si>
  <si>
    <t>PIL2/D/1308</t>
  </si>
  <si>
    <t>PIL6/D/153</t>
  </si>
  <si>
    <t>PIL6/D/154</t>
  </si>
  <si>
    <t>PIL6/D/156</t>
  </si>
  <si>
    <t>PIL6/D/157</t>
  </si>
  <si>
    <t>PIL6/D/158</t>
  </si>
  <si>
    <t>PIL6/D/159</t>
  </si>
  <si>
    <t>PIL6/D/160</t>
  </si>
  <si>
    <t>PIL6/D/161</t>
  </si>
  <si>
    <t>PIL6/D/162</t>
  </si>
  <si>
    <t>GST Receivables</t>
  </si>
  <si>
    <t>Advance License</t>
  </si>
  <si>
    <t>Government</t>
  </si>
  <si>
    <t>Feb-23</t>
  </si>
  <si>
    <t>Grand Total</t>
  </si>
  <si>
    <t>Sum of Value (maximum 2 decimal)</t>
  </si>
  <si>
    <t>Row Labels</t>
  </si>
  <si>
    <t>Ageing2</t>
  </si>
  <si>
    <t>Comercial Pra Cafe Ltda - Manaus</t>
  </si>
  <si>
    <t>Column Labels</t>
  </si>
  <si>
    <t>Agroszemek Kft</t>
  </si>
  <si>
    <t>ELS Sacs Voladors, S.L.U</t>
  </si>
  <si>
    <t xml:space="preserve">Chandresh Cables Ltd Unit-2- Sales </t>
  </si>
  <si>
    <t>24AAACC3384Q1ZC</t>
  </si>
  <si>
    <t>4/22-23</t>
  </si>
  <si>
    <t>PIL2/D/6</t>
  </si>
  <si>
    <t>Particulars</t>
  </si>
  <si>
    <t>Projected for / at the end of Current Accounting Year</t>
  </si>
  <si>
    <t xml:space="preserve">Upto the end / at the end of the last month </t>
  </si>
  <si>
    <t>During / at the end of the month under Report</t>
  </si>
  <si>
    <t>NET SALES (Gross Sales - Excise duty/Sales Tax ) </t>
  </si>
  <si>
    <t>Production (Quantity)</t>
  </si>
  <si>
    <t>Consumption of Raw Materials</t>
  </si>
  <si>
    <t>Consumption of Stores</t>
  </si>
  <si>
    <t>Sundry Creditor - Trade(With &amp; Without LC)</t>
  </si>
  <si>
    <t>Particular</t>
  </si>
  <si>
    <t>GST-IN</t>
  </si>
  <si>
    <t>Invoice No</t>
  </si>
  <si>
    <t>Date</t>
  </si>
  <si>
    <t>Bill Amount</t>
  </si>
  <si>
    <t>24AACCF3900B1ZG</t>
  </si>
  <si>
    <t>GST-522-2122</t>
  </si>
  <si>
    <t>Alok Master Batches Private Limited- Dadra</t>
  </si>
  <si>
    <t>26AAACA6143K1ZR</t>
  </si>
  <si>
    <t>Alok Master Batches Private Limited- Surangi</t>
  </si>
  <si>
    <t>Suqian Unitecommerce Co. Ltd</t>
  </si>
  <si>
    <t>Jain Bulk Pack - Sales</t>
  </si>
  <si>
    <t>24AFOPG7793M1ZO</t>
  </si>
  <si>
    <t>M B And Sons</t>
  </si>
  <si>
    <t>24AZSPS3924Q1ZE</t>
  </si>
  <si>
    <t>PIL2/D/161</t>
  </si>
  <si>
    <t>Export</t>
  </si>
  <si>
    <t>Fibco Plastic Industry Llc</t>
  </si>
  <si>
    <t>20 Microns Limited</t>
  </si>
  <si>
    <t>24AAACZ0580B1ZS</t>
  </si>
  <si>
    <t>PIL2/D/433</t>
  </si>
  <si>
    <t>Upper Trade Importacao E Exportacao Ltda</t>
  </si>
  <si>
    <t>Ambiflex S.R.O</t>
  </si>
  <si>
    <t>PIL2/D/637</t>
  </si>
  <si>
    <t>Giri Organic Village Pvt Ltd</t>
  </si>
  <si>
    <t>24AACCG1856D1Z0</t>
  </si>
  <si>
    <t>Reliance Industries Ltd-Gujarat</t>
  </si>
  <si>
    <t>ONGC Petro Addition Ltd</t>
  </si>
  <si>
    <t>24AAACO9200B3Z2</t>
  </si>
  <si>
    <t>Company Name</t>
  </si>
  <si>
    <t>Voucher Type</t>
  </si>
  <si>
    <t>Voucher No</t>
  </si>
  <si>
    <t>Invoice Date</t>
  </si>
  <si>
    <t>Main Group</t>
  </si>
  <si>
    <t>Group Name</t>
  </si>
  <si>
    <t>Sub Group</t>
  </si>
  <si>
    <t>sales Group Name</t>
  </si>
  <si>
    <t>Item Name</t>
  </si>
  <si>
    <t>Quantity</t>
  </si>
  <si>
    <t>Amount</t>
  </si>
  <si>
    <t xml:space="preserve">Plastene India Limited </t>
  </si>
  <si>
    <t>Sales</t>
  </si>
  <si>
    <t>Sales - Within State  Manufactured Goods</t>
  </si>
  <si>
    <t>SF</t>
  </si>
  <si>
    <t>Yarn All</t>
  </si>
  <si>
    <t>PP Yarn</t>
  </si>
  <si>
    <t>PP Filament Yarn</t>
  </si>
  <si>
    <t>PP MF Yarn Twisted 1000 UV NW</t>
  </si>
  <si>
    <t>PP/PE Fabric</t>
  </si>
  <si>
    <t>PP UL Fabric</t>
  </si>
  <si>
    <t>PP WOVEN FABRIC (FG)</t>
  </si>
  <si>
    <t>PP UL Fabric With UV</t>
  </si>
  <si>
    <t>Sales - Within State - Traded Goods</t>
  </si>
  <si>
    <t>Stores/Spares</t>
  </si>
  <si>
    <t>MS Structure Items</t>
  </si>
  <si>
    <t>Spares &amp; Stores</t>
  </si>
  <si>
    <t>Stores &amp; Consumables</t>
  </si>
  <si>
    <t>MS Pipe 4  C Class</t>
  </si>
  <si>
    <t>Liners</t>
  </si>
  <si>
    <t>LDPE/LLDPE Bags</t>
  </si>
  <si>
    <t>LLDPE BAGS</t>
  </si>
  <si>
    <t>LDPE/LLDPE Bags/Liner</t>
  </si>
  <si>
    <t>Webbing</t>
  </si>
  <si>
    <t>PP Webbing</t>
  </si>
  <si>
    <t>RM</t>
  </si>
  <si>
    <t>Granules</t>
  </si>
  <si>
    <t>K.P. Woven Pvt Ltd - Unit 3 -Sales</t>
  </si>
  <si>
    <t>Export Sales</t>
  </si>
  <si>
    <t>Sales - Kasez - Mfg - U/B</t>
  </si>
  <si>
    <t>PP Lam Fabric</t>
  </si>
  <si>
    <t>PP Laminated Fabric</t>
  </si>
  <si>
    <t>PP Lam Fabric With UV</t>
  </si>
  <si>
    <t>PP Granules</t>
  </si>
  <si>
    <t>PP Granuels</t>
  </si>
  <si>
    <t>Filler Cord</t>
  </si>
  <si>
    <t>PP Braided Rope MW 6 to 8 GPM</t>
  </si>
  <si>
    <t>Sales - Direct Export - Mfg - U/B</t>
  </si>
  <si>
    <t>FG</t>
  </si>
  <si>
    <t>FIBC Bags</t>
  </si>
  <si>
    <t>PP Big Bag</t>
  </si>
  <si>
    <t>FIBC Bags With UV Without Liner</t>
  </si>
  <si>
    <t>SALES (FOREX)</t>
  </si>
  <si>
    <t>RP Granules</t>
  </si>
  <si>
    <t>Reprocess Granules</t>
  </si>
  <si>
    <t>Tape Stock</t>
  </si>
  <si>
    <t>PP Tapes</t>
  </si>
  <si>
    <t>PP TAPE</t>
  </si>
  <si>
    <t>UV MB</t>
  </si>
  <si>
    <t>Master Batch</t>
  </si>
  <si>
    <t>UV PIL NFG 20LD</t>
  </si>
  <si>
    <t>HCP Plastene Bulkpack Limited - Sales</t>
  </si>
  <si>
    <t>PP MF Yarn Twisted 2500 Denier UV NW</t>
  </si>
  <si>
    <t>PP MF Yarn Twisted 3000 Denier UV NW</t>
  </si>
  <si>
    <t>LLDPE Co-Extruded Film.</t>
  </si>
  <si>
    <t>LDPE/LLDPE Film</t>
  </si>
  <si>
    <t>Masterbatch</t>
  </si>
  <si>
    <t>Sales - Waste &amp; Scrape</t>
  </si>
  <si>
    <t>Wastage/Scrap</t>
  </si>
  <si>
    <t>HDPE/PP Plastik Waste</t>
  </si>
  <si>
    <t>PP/HD Wastage/Scrap</t>
  </si>
  <si>
    <t>FIBC Bags With UV With Liner</t>
  </si>
  <si>
    <t>Small Bags</t>
  </si>
  <si>
    <t>PP Bags</t>
  </si>
  <si>
    <t>Plastene India Limited (Unit -II)</t>
  </si>
  <si>
    <t>PP WOVEN BIG BAGS / SACKS</t>
  </si>
  <si>
    <t>PP Woven Fabrics(FG)</t>
  </si>
  <si>
    <t>Other Purchase</t>
  </si>
  <si>
    <t>Consumble Stores</t>
  </si>
  <si>
    <t>MS Pipe</t>
  </si>
  <si>
    <t>PP WEBBING (FG)</t>
  </si>
  <si>
    <t>FIBC WIP</t>
  </si>
  <si>
    <t>FILLER CORD</t>
  </si>
  <si>
    <t>trad sale</t>
  </si>
  <si>
    <t>fg sale</t>
  </si>
  <si>
    <t>amt</t>
  </si>
  <si>
    <t>fibc sale rate</t>
  </si>
  <si>
    <t>prod rate</t>
  </si>
  <si>
    <t>consumption</t>
  </si>
  <si>
    <t>total sale</t>
  </si>
  <si>
    <t>prod qty</t>
  </si>
  <si>
    <t>Colman Polychem Llp</t>
  </si>
  <si>
    <t>24AARFC6352J1Z5</t>
  </si>
  <si>
    <t>Sales - Interstate - Manufactured Goods</t>
  </si>
  <si>
    <t>PIL2/D/943</t>
  </si>
  <si>
    <t>PIL2/E/285/23-24</t>
  </si>
  <si>
    <t>Vyankatesh Udyog (I) Pvt Ltd - Purchase</t>
  </si>
  <si>
    <t>27AAECV8365Q1ZC</t>
  </si>
  <si>
    <t>Rudra Trading Co.</t>
  </si>
  <si>
    <t>Tatwir Al Masni For Trading Co</t>
  </si>
  <si>
    <t>PIL1/E/1114/23-24</t>
  </si>
  <si>
    <t>PIL1/E/1115/23-24</t>
  </si>
  <si>
    <t>PIL1/E/1126/23-24</t>
  </si>
  <si>
    <t>PIL2/E/379/23-24</t>
  </si>
  <si>
    <t>PIL2/E/382/23-24</t>
  </si>
  <si>
    <t>PIL2/E/384/23-24</t>
  </si>
  <si>
    <t>PIL1/TP/046</t>
  </si>
  <si>
    <t>PIL2/TP/010</t>
  </si>
  <si>
    <t>Mahadhan Agritech Limited</t>
  </si>
  <si>
    <t>27AACCA5046P2ZC</t>
  </si>
  <si>
    <t>27BCGPD5673M1Z7</t>
  </si>
  <si>
    <t>Associate</t>
  </si>
  <si>
    <t>Webbing MF</t>
  </si>
  <si>
    <t>PIL2/E/389/23-24</t>
  </si>
  <si>
    <t>PIL2/E/390/23-24</t>
  </si>
  <si>
    <t>PIL2/E/391/23-24</t>
  </si>
  <si>
    <t>PIL2/E/392/23-24</t>
  </si>
  <si>
    <t>PIL2/E/393/23-24</t>
  </si>
  <si>
    <t>PIL2/E/394/23-24</t>
  </si>
  <si>
    <t>PIL2/E/400/23-24</t>
  </si>
  <si>
    <t>PIL2/TP/014</t>
  </si>
  <si>
    <t>PIL2/E/406/23-24</t>
  </si>
  <si>
    <t>PIL2/E/407/23-24</t>
  </si>
  <si>
    <t>PIL2/E/408/23-24</t>
  </si>
  <si>
    <t>PIL2/E/409/23-24</t>
  </si>
  <si>
    <t>PIL2/E/413/23-24</t>
  </si>
  <si>
    <t>PIL2/E/414/23-24</t>
  </si>
  <si>
    <t>PIL2/E/415/23-24</t>
  </si>
  <si>
    <t>PIL2/E/420/23-24</t>
  </si>
  <si>
    <t>PIL2/E/427/23-24</t>
  </si>
  <si>
    <t>PIL2/E/428/23-24</t>
  </si>
  <si>
    <t>PIL2/E/430/23-24</t>
  </si>
  <si>
    <t>PIL2/E/433/23-24</t>
  </si>
  <si>
    <t>PIL2/E/437/23-24</t>
  </si>
  <si>
    <t>PIL2/E/441/23-24</t>
  </si>
  <si>
    <t>PIL2/E/438/23-24</t>
  </si>
  <si>
    <t>PIL2/E/439/23-24</t>
  </si>
  <si>
    <t>PIL2/E/440/23-24</t>
  </si>
  <si>
    <t>PIL2/D/1121</t>
  </si>
  <si>
    <t>PIL1/E/1167/23-24</t>
  </si>
  <si>
    <t>PIL1/E/1168/23-24</t>
  </si>
  <si>
    <t>PIL1/E/1169/23-24</t>
  </si>
  <si>
    <t>PIL1/E/1193/23-24</t>
  </si>
  <si>
    <t>PIL1/E/1194/23-24</t>
  </si>
  <si>
    <t>PIL1/E/1217/23-24</t>
  </si>
  <si>
    <t>Madi Sp. z.o.o.</t>
  </si>
  <si>
    <t>Mikitos Ind E Com De Gen Alim Do Amazonas Ltda</t>
  </si>
  <si>
    <t>Calloni Srl</t>
  </si>
  <si>
    <t>Textiles Santa Susana Sa De Cv</t>
  </si>
  <si>
    <t>Glory Duty Free Marine Shops Ltd</t>
  </si>
  <si>
    <t>Egyptian Agriculture Services &amp; Trade Co</t>
  </si>
  <si>
    <t>Cesur Latam Sac</t>
  </si>
  <si>
    <t>PIL1/E/1299/23-24</t>
  </si>
  <si>
    <t>PIL1/E/1310/23-24</t>
  </si>
  <si>
    <t>PIL1/E/1309/23-24</t>
  </si>
  <si>
    <t>PIL1/E/1308/23-24</t>
  </si>
  <si>
    <t>PIL1/E/1313/23-24</t>
  </si>
  <si>
    <t>PIL1/E/1334/23-24</t>
  </si>
  <si>
    <t>PIL1/E/1342/23-24</t>
  </si>
  <si>
    <t>PIL1/E/1341/23-24</t>
  </si>
  <si>
    <t>PIL1/E/1361/23-24</t>
  </si>
  <si>
    <t>PIL1/E/1370/23-24</t>
  </si>
  <si>
    <t>PIL1/E/1371/23-24</t>
  </si>
  <si>
    <t>PIL1/E/1384/23-24</t>
  </si>
  <si>
    <t>PIL1/E/1385/23-24</t>
  </si>
  <si>
    <t>PIL1/E/1386/23-24</t>
  </si>
  <si>
    <t>PIL1/E/1387/23-24</t>
  </si>
  <si>
    <t>PIL1/E/1376/23-24</t>
  </si>
  <si>
    <t>PIL1/E/1391/23-24</t>
  </si>
  <si>
    <t>PIL1/E/1390/23-24</t>
  </si>
  <si>
    <t>PIL1/E/1393/23-24</t>
  </si>
  <si>
    <t>PIL1/E/1394/23-24</t>
  </si>
  <si>
    <t>PIL2/E/445/23-24</t>
  </si>
  <si>
    <t>PIL2/E/446/23-24</t>
  </si>
  <si>
    <t>PIL2/E/447/23-24</t>
  </si>
  <si>
    <t>PIL2/TP/015</t>
  </si>
  <si>
    <t>PIL2/E/454/23-24</t>
  </si>
  <si>
    <t>PIL2/E/455/23-24</t>
  </si>
  <si>
    <t>PIL2/E/456/23-24</t>
  </si>
  <si>
    <t>PIL2/E/458/23-24</t>
  </si>
  <si>
    <t>PIL2/E/461/23-24</t>
  </si>
  <si>
    <t>PIL2/E/467/23-24</t>
  </si>
  <si>
    <t>PIL2/E/468/23-24</t>
  </si>
  <si>
    <t>PIL2/TP/016</t>
  </si>
  <si>
    <t>PIL2/E/469/23-24</t>
  </si>
  <si>
    <t>PIL2/E/470/23-24</t>
  </si>
  <si>
    <t>PIL2/E/471/23-24</t>
  </si>
  <si>
    <t>PIL2/E/474/23-24</t>
  </si>
  <si>
    <t>PIL2/E/476/23-24</t>
  </si>
  <si>
    <t>PIL2/E/477/23-24</t>
  </si>
  <si>
    <t>PIL2/E/478/23-24</t>
  </si>
  <si>
    <t>PIL2/E/479/23-24</t>
  </si>
  <si>
    <t>PIL2/E/481/23-24</t>
  </si>
  <si>
    <t>PIL2/E/482/23-24</t>
  </si>
  <si>
    <t>PIL2/E/483/23-24</t>
  </si>
  <si>
    <t>PIL2/E/486/23-24</t>
  </si>
  <si>
    <t>PIL2/E/487/23-24</t>
  </si>
  <si>
    <t>PIL2/E/488/23-24</t>
  </si>
  <si>
    <t>PIL2/E/489/23-24</t>
  </si>
  <si>
    <t>PIL2/E/490/23-24</t>
  </si>
  <si>
    <t>PIL2/E/491/23-24</t>
  </si>
  <si>
    <t>PIL2/E/492/23-24</t>
  </si>
  <si>
    <t>PIL2/E/493/23-24</t>
  </si>
  <si>
    <t>PIL2/E/494/23-24</t>
  </si>
  <si>
    <t>PIL2/E/495/23-24</t>
  </si>
  <si>
    <t>PIL6/E/291/23-24</t>
  </si>
  <si>
    <t>PIL6/E/296/23-24</t>
  </si>
  <si>
    <t>PIL6/E/298/23-24</t>
  </si>
  <si>
    <t>PIL6/E/302/23-24</t>
  </si>
  <si>
    <t>PIL6/E/307/23-24</t>
  </si>
  <si>
    <t>PIL6/E/310/23-24</t>
  </si>
  <si>
    <t>PIL6/E/311/23-24</t>
  </si>
  <si>
    <t>PIL1/TP/052</t>
  </si>
  <si>
    <t>PIL1/TP/055</t>
  </si>
  <si>
    <t>PIL1/TP/056</t>
  </si>
  <si>
    <t>PIL1/D/1832</t>
  </si>
  <si>
    <t>PIL1/D/1833</t>
  </si>
  <si>
    <t>PIL1/D/1845</t>
  </si>
  <si>
    <t>PIL1/D/1938</t>
  </si>
  <si>
    <t>PIL1/D/1939</t>
  </si>
  <si>
    <t>PIL1/D/1941</t>
  </si>
  <si>
    <t>PIL1/D/1947</t>
  </si>
  <si>
    <t>PIL1/D/1948</t>
  </si>
  <si>
    <t>PIL1/D/1953</t>
  </si>
  <si>
    <t>PIL1/D/1954</t>
  </si>
  <si>
    <t>PIL1/D/1955</t>
  </si>
  <si>
    <t>PIL1/D/1956</t>
  </si>
  <si>
    <t>PIL1/E/1333/23-24</t>
  </si>
  <si>
    <t>Om Corporation</t>
  </si>
  <si>
    <t>24AAAFO6551C1ZO</t>
  </si>
  <si>
    <t>Cofco International Uruguay S.A.</t>
  </si>
  <si>
    <t>Km Obaly S.R.O.</t>
  </si>
  <si>
    <t>Big Bags Disaka S.L.</t>
  </si>
  <si>
    <t>A.Perdios Trading Ltd</t>
  </si>
  <si>
    <t>NNZ Gmbh (Austria)</t>
  </si>
  <si>
    <t>PIL1/E/17/24-25</t>
  </si>
  <si>
    <t>PIL1/JW/001</t>
  </si>
  <si>
    <t>PIL1/JW/002</t>
  </si>
  <si>
    <t>PIL1/JW/003</t>
  </si>
  <si>
    <t>PIL1/E/46/24-25</t>
  </si>
  <si>
    <t>PIL1/E/52/24-25</t>
  </si>
  <si>
    <t>PIL1/E/60/24-25</t>
  </si>
  <si>
    <t>PIL1/JW/004</t>
  </si>
  <si>
    <t>PIL1/E/64/24-25</t>
  </si>
  <si>
    <t>PIL1/E/69/24-25</t>
  </si>
  <si>
    <t>PIL1/E/82/24-25</t>
  </si>
  <si>
    <t>PIL1/JW/005</t>
  </si>
  <si>
    <t>PIL1/E/86/24-25</t>
  </si>
  <si>
    <t>PIL1/E/93/24-25</t>
  </si>
  <si>
    <t>PIL1/E/94/24-25</t>
  </si>
  <si>
    <t>PIL1/E/95/24-25</t>
  </si>
  <si>
    <t>PIL2/E/1/24-25</t>
  </si>
  <si>
    <t>PIL2/E/2/24-25</t>
  </si>
  <si>
    <t>PIL2/E/5/24-25</t>
  </si>
  <si>
    <t>PIL2/E/11/24-25</t>
  </si>
  <si>
    <t>PIL2/E/13/24-25</t>
  </si>
  <si>
    <t>PIL2/E/14/24-25</t>
  </si>
  <si>
    <t>PIL2/E/15/24-25</t>
  </si>
  <si>
    <t>PIL2/E/16/24-25</t>
  </si>
  <si>
    <t>PIL2/E/17/24-25</t>
  </si>
  <si>
    <t>PIL2/E/23/24-25</t>
  </si>
  <si>
    <t>PIL2/E/24/24-25</t>
  </si>
  <si>
    <t>PIL2/E/26/24-25</t>
  </si>
  <si>
    <t>PIL2/E/25/24-25</t>
  </si>
  <si>
    <t>PIL2/E/28/24-25</t>
  </si>
  <si>
    <t>PIL2/E/31/24-25</t>
  </si>
  <si>
    <t>PIL2/E/32/24-25</t>
  </si>
  <si>
    <t>PIL2/E/33/24-25</t>
  </si>
  <si>
    <t>PIL2/E/34/24-25</t>
  </si>
  <si>
    <t>PIL2/E/35/24-25</t>
  </si>
  <si>
    <t>PIL2/E/36/24-25</t>
  </si>
  <si>
    <t>PIL6/E/7/24-25</t>
  </si>
  <si>
    <t>PIL6/E/6/24-25</t>
  </si>
  <si>
    <t>PIL6/E/10/24-25</t>
  </si>
  <si>
    <t>PIL6/E/9/24-25</t>
  </si>
  <si>
    <t>PIL6/E/17/24-25</t>
  </si>
  <si>
    <t>PIL6/E/14/24-25</t>
  </si>
  <si>
    <t>PIL6/E/20/24-25</t>
  </si>
  <si>
    <t>PIL6/E/23/24-25</t>
  </si>
  <si>
    <t>PIL6/E/24/24-25</t>
  </si>
  <si>
    <t>PIL6/E/26/24-25</t>
  </si>
  <si>
    <t>PIL6/E/28/24-25</t>
  </si>
  <si>
    <t>PIL6/E/29/24-25</t>
  </si>
  <si>
    <t>PIL6/E/31/24-25</t>
  </si>
  <si>
    <t>PIL1/TP/002</t>
  </si>
  <si>
    <t>PIL1/TP/003</t>
  </si>
  <si>
    <t>PIL1/TP/005</t>
  </si>
  <si>
    <t>PIL1/TP/006</t>
  </si>
  <si>
    <t>PIL1/TP/008</t>
  </si>
  <si>
    <t>PIL1/D/7</t>
  </si>
  <si>
    <t>PIL1/D/24</t>
  </si>
  <si>
    <t>PIL1/D/49</t>
  </si>
  <si>
    <t>PIL1/D/54</t>
  </si>
  <si>
    <t>PIL1/D/75</t>
  </si>
  <si>
    <t>PIL1/D/78</t>
  </si>
  <si>
    <t>PIL1/D/103</t>
  </si>
  <si>
    <t>PIL1/D/133</t>
  </si>
  <si>
    <t>PIL1/D/134</t>
  </si>
  <si>
    <t>PIL1/D/172</t>
  </si>
  <si>
    <t>PIL2/D/5</t>
  </si>
  <si>
    <t>PIL2/D/33</t>
  </si>
  <si>
    <t>PIL2/D/44</t>
  </si>
  <si>
    <t>PIL2/D/49</t>
  </si>
  <si>
    <t>PIL2/D/83</t>
  </si>
  <si>
    <t>PIL2/D/89</t>
  </si>
  <si>
    <t>Coraplast Industries</t>
  </si>
  <si>
    <t>24AADFB7416Q1Z7</t>
  </si>
  <si>
    <t>Fairdeal Multifilament Pvt Ltd</t>
  </si>
  <si>
    <t>11/03/2022</t>
  </si>
  <si>
    <t>29/07/2023</t>
  </si>
  <si>
    <t>23/01/2024</t>
  </si>
  <si>
    <t>24/01/2024</t>
  </si>
  <si>
    <t>26/01/2024</t>
  </si>
  <si>
    <t>30/01/2024</t>
  </si>
  <si>
    <t>13/01/2024</t>
  </si>
  <si>
    <t>16/01/2024</t>
  </si>
  <si>
    <t>03/02/2024</t>
  </si>
  <si>
    <t>09/02/2024</t>
  </si>
  <si>
    <t>12/02/2024</t>
  </si>
  <si>
    <t>13/02/2024</t>
  </si>
  <si>
    <t>27/02/2024</t>
  </si>
  <si>
    <t>07/02/2024</t>
  </si>
  <si>
    <t>11/02/2024</t>
  </si>
  <si>
    <t>18/02/2024</t>
  </si>
  <si>
    <t>21/02/2024</t>
  </si>
  <si>
    <t>24/02/2024</t>
  </si>
  <si>
    <t>28/02/2024</t>
  </si>
  <si>
    <t>02/04/2022</t>
  </si>
  <si>
    <t>04/04/2023</t>
  </si>
  <si>
    <t>02/08/2023</t>
  </si>
  <si>
    <t>17/09/2023</t>
  </si>
  <si>
    <t>21/10/2022</t>
  </si>
  <si>
    <t>21/05/2021</t>
  </si>
  <si>
    <t>18/02/2023</t>
  </si>
  <si>
    <t>08/02/2022</t>
  </si>
  <si>
    <t>15/02/2022</t>
  </si>
  <si>
    <t>21/02/2022</t>
  </si>
  <si>
    <t>17/05/2023</t>
  </si>
  <si>
    <t>11/12/2023</t>
  </si>
  <si>
    <t>25/01/2017</t>
  </si>
  <si>
    <t>10/02/2017</t>
  </si>
  <si>
    <t>06/02/2024</t>
  </si>
  <si>
    <t>16/02/2024</t>
  </si>
  <si>
    <t>07/12/2023</t>
  </si>
  <si>
    <t>30/04/2024</t>
  </si>
  <si>
    <t>01/04/2024</t>
  </si>
  <si>
    <t>06/03/2024</t>
  </si>
  <si>
    <t>08/03/2024</t>
  </si>
  <si>
    <t>10/03/2024</t>
  </si>
  <si>
    <t>11/03/2024</t>
  </si>
  <si>
    <t>12/03/2024</t>
  </si>
  <si>
    <t>17/03/2024</t>
  </si>
  <si>
    <t>18/03/2024</t>
  </si>
  <si>
    <t>22/03/2024</t>
  </si>
  <si>
    <t>24/03/2024</t>
  </si>
  <si>
    <t>27/03/2024</t>
  </si>
  <si>
    <t>28/03/2024</t>
  </si>
  <si>
    <t>29/03/2024</t>
  </si>
  <si>
    <t>30/03/2024</t>
  </si>
  <si>
    <t>31/03/2024</t>
  </si>
  <si>
    <t>01/03/2024</t>
  </si>
  <si>
    <t>05/03/2024</t>
  </si>
  <si>
    <t>09/03/2024</t>
  </si>
  <si>
    <t>14/03/2024</t>
  </si>
  <si>
    <t>15/03/2024</t>
  </si>
  <si>
    <t>20/03/2024</t>
  </si>
  <si>
    <t>21/03/2024</t>
  </si>
  <si>
    <t>23/03/2024</t>
  </si>
  <si>
    <t>26/03/2024</t>
  </si>
  <si>
    <t>19/03/2024</t>
  </si>
  <si>
    <t>03/03/2024</t>
  </si>
  <si>
    <t>04/03/2024</t>
  </si>
  <si>
    <t>13/03/2024</t>
  </si>
  <si>
    <t>04/04/2024</t>
  </si>
  <si>
    <t>06/04/2024</t>
  </si>
  <si>
    <t>10/04/2024</t>
  </si>
  <si>
    <t>11/04/2024</t>
  </si>
  <si>
    <t>12/04/2024</t>
  </si>
  <si>
    <t>13/04/2024</t>
  </si>
  <si>
    <t>16/04/2024</t>
  </si>
  <si>
    <t>17/04/2024</t>
  </si>
  <si>
    <t>19/04/2024</t>
  </si>
  <si>
    <t>22/04/2024</t>
  </si>
  <si>
    <t>23/04/2024</t>
  </si>
  <si>
    <t>26/04/2024</t>
  </si>
  <si>
    <t>27/04/2024</t>
  </si>
  <si>
    <t>02/04/2024</t>
  </si>
  <si>
    <t>20/04/2024</t>
  </si>
  <si>
    <t>21/04/2024</t>
  </si>
  <si>
    <t>24/04/2024</t>
  </si>
  <si>
    <t>28/04/2024</t>
  </si>
  <si>
    <t>08/04/2024</t>
  </si>
  <si>
    <t>15/04/2024</t>
  </si>
  <si>
    <t>03/04/2024</t>
  </si>
  <si>
    <t>25/04/2024</t>
  </si>
  <si>
    <t>15/03/2022</t>
  </si>
  <si>
    <t>Polyester Yarn Twisted</t>
  </si>
  <si>
    <t>Shiv Plastic - 24ACXFS2019L1ZN</t>
  </si>
  <si>
    <t>Ambika Petrochem Private Limited - Mundra</t>
  </si>
  <si>
    <t>Coromandel International Ltd (Dahej)</t>
  </si>
  <si>
    <t>24ACXFS2019L1ZN</t>
  </si>
  <si>
    <t>24AACCA3482H1ZW</t>
  </si>
  <si>
    <t>24AAACC7852K2ZI</t>
  </si>
  <si>
    <t>PIL1/D/179</t>
  </si>
  <si>
    <t>PIL1/D/180</t>
  </si>
  <si>
    <t>PIL1/D/185</t>
  </si>
  <si>
    <t>PIL1/D/215</t>
  </si>
  <si>
    <t>PIL1/D/227</t>
  </si>
  <si>
    <t>PIL1/D/245</t>
  </si>
  <si>
    <t>PIL1/D/246</t>
  </si>
  <si>
    <t>PIL1/D/244</t>
  </si>
  <si>
    <t>PIL1/D/241</t>
  </si>
  <si>
    <t>PIL1/D/247</t>
  </si>
  <si>
    <t>PIL1/D/248</t>
  </si>
  <si>
    <t>PIL1/D/249</t>
  </si>
  <si>
    <t>PIL1/D/250</t>
  </si>
  <si>
    <t>PIL1/D/251</t>
  </si>
  <si>
    <t>PIL1/D/252</t>
  </si>
  <si>
    <t>PIL1/D/253</t>
  </si>
  <si>
    <t>PIL1/D/254</t>
  </si>
  <si>
    <t>PIL1/D/258</t>
  </si>
  <si>
    <t>PIL1/D/261</t>
  </si>
  <si>
    <t>PIL1/D/262</t>
  </si>
  <si>
    <t>PIL1/D/260</t>
  </si>
  <si>
    <t>PIL1/D/266</t>
  </si>
  <si>
    <t>PIL1/D/270</t>
  </si>
  <si>
    <t>PIL1/D/271</t>
  </si>
  <si>
    <t>PIL1/D/267</t>
  </si>
  <si>
    <t>PIL1/D/277</t>
  </si>
  <si>
    <t>PIL1/D/280</t>
  </si>
  <si>
    <t>PIL1/D/281</t>
  </si>
  <si>
    <t>PIL1/D/275</t>
  </si>
  <si>
    <t>PIL1/D/276</t>
  </si>
  <si>
    <t>PIL1/D/283</t>
  </si>
  <si>
    <t>PIL1/D/284</t>
  </si>
  <si>
    <t>PIL1/D/285</t>
  </si>
  <si>
    <t>PIL1/D/287</t>
  </si>
  <si>
    <t>PIL1/D/288</t>
  </si>
  <si>
    <t>PIL1/D/286</t>
  </si>
  <si>
    <t>PIL1/D/293</t>
  </si>
  <si>
    <t>PIL1/D/294</t>
  </si>
  <si>
    <t>PIL1/D/297</t>
  </si>
  <si>
    <t>PIL1/D/298</t>
  </si>
  <si>
    <t>PIL1/D/299</t>
  </si>
  <si>
    <t>PIL1/D/296</t>
  </si>
  <si>
    <t>PIL1/D/303</t>
  </si>
  <si>
    <t>PIL1/D/307</t>
  </si>
  <si>
    <t>PIL1/D/302</t>
  </si>
  <si>
    <t>PIL1/D/304</t>
  </si>
  <si>
    <t>PIL1/D/305</t>
  </si>
  <si>
    <t>PIL1/D/306</t>
  </si>
  <si>
    <t>PIL1/D/308</t>
  </si>
  <si>
    <t>PIL1/D/312</t>
  </si>
  <si>
    <t>PIL1/D/313</t>
  </si>
  <si>
    <t>PIL1/D/310</t>
  </si>
  <si>
    <t>PIL1/D/311</t>
  </si>
  <si>
    <t>PIL1/D/315</t>
  </si>
  <si>
    <t>PIL1/D/309</t>
  </si>
  <si>
    <t>PIL1/D/322</t>
  </si>
  <si>
    <t>PIL1/D/319</t>
  </si>
  <si>
    <t>PIL1/D/320</t>
  </si>
  <si>
    <t>PIL1/D/321</t>
  </si>
  <si>
    <t>PIL1/D/325</t>
  </si>
  <si>
    <t>PIL1/D/326</t>
  </si>
  <si>
    <t>PIL1/D/327</t>
  </si>
  <si>
    <t>PIL1/D/328</t>
  </si>
  <si>
    <t>PIL1/D/329</t>
  </si>
  <si>
    <t>PIL1/D/330</t>
  </si>
  <si>
    <t>PIL1/D/333</t>
  </si>
  <si>
    <t>PIL1/D/335</t>
  </si>
  <si>
    <t>PIL1/D/336</t>
  </si>
  <si>
    <t>PIL1/D/334</t>
  </si>
  <si>
    <t>PIL1/D/340</t>
  </si>
  <si>
    <t>PIL1/D/341</t>
  </si>
  <si>
    <t>PIL1/D/342</t>
  </si>
  <si>
    <t>PIL1/D/343</t>
  </si>
  <si>
    <t>PIL1/D/344</t>
  </si>
  <si>
    <t>PIL1/D/345</t>
  </si>
  <si>
    <t>PIL1/D/346</t>
  </si>
  <si>
    <t>PIL1/D/347</t>
  </si>
  <si>
    <t>PIL1/D/348</t>
  </si>
  <si>
    <t>PIL1/D/353</t>
  </si>
  <si>
    <t>PIL1/D/349</t>
  </si>
  <si>
    <t>PIL1/D/350</t>
  </si>
  <si>
    <t>PIL1/D/360</t>
  </si>
  <si>
    <t>PIL1/D/358</t>
  </si>
  <si>
    <t>PIL1/D/359</t>
  </si>
  <si>
    <t>PIL1/D/361</t>
  </si>
  <si>
    <t>PIL1/D/365</t>
  </si>
  <si>
    <t>PIL1/D/366</t>
  </si>
  <si>
    <t>PIL1/D/367</t>
  </si>
  <si>
    <t>PIL1/D/368</t>
  </si>
  <si>
    <t>PIL1/D/369</t>
  </si>
  <si>
    <t>PIL1/D/370</t>
  </si>
  <si>
    <t>PIL1/D/371</t>
  </si>
  <si>
    <t>PIL1/D/372</t>
  </si>
  <si>
    <t>PIL1/D/377</t>
  </si>
  <si>
    <t>PIL1/D/373</t>
  </si>
  <si>
    <t>PIL1/D/375</t>
  </si>
  <si>
    <t>PIL1/D/376</t>
  </si>
  <si>
    <t>PIL1/D/374</t>
  </si>
  <si>
    <t>PIL2/D/116</t>
  </si>
  <si>
    <t>PIL2/D/126</t>
  </si>
  <si>
    <t>PIL2/D/128</t>
  </si>
  <si>
    <t>PIL2/D/129</t>
  </si>
  <si>
    <t>PIL2/D/130</t>
  </si>
  <si>
    <t>PIL2/D/135</t>
  </si>
  <si>
    <t>PIL2/D/136</t>
  </si>
  <si>
    <t>PIL2/D/143</t>
  </si>
  <si>
    <t>PIL2/D/140</t>
  </si>
  <si>
    <t>PIL2/D/141</t>
  </si>
  <si>
    <t>PIL2/D/142</t>
  </si>
  <si>
    <t>PIL2/D/146</t>
  </si>
  <si>
    <t>PIL2/D/148</t>
  </si>
  <si>
    <t>PIL2/D/156</t>
  </si>
  <si>
    <t>PIL2/D/157</t>
  </si>
  <si>
    <t>PIL2/D/159</t>
  </si>
  <si>
    <t>PIL2/D/173</t>
  </si>
  <si>
    <t>PIL2/D/174</t>
  </si>
  <si>
    <t>PIL2/D/176</t>
  </si>
  <si>
    <t>PIL2/DE/5/24-25</t>
  </si>
  <si>
    <t>PIL2/D/182</t>
  </si>
  <si>
    <t>PIL2/D/181</t>
  </si>
  <si>
    <t>PIL2/D/183</t>
  </si>
  <si>
    <t>PIL2/D/184</t>
  </si>
  <si>
    <t>PIL2/D/192</t>
  </si>
  <si>
    <t>PIL2/D/196</t>
  </si>
  <si>
    <t>PIL2/DE/6/24-25</t>
  </si>
  <si>
    <t>PIL2/DE/8/24-25</t>
  </si>
  <si>
    <t>PIL2/D/203</t>
  </si>
  <si>
    <t>PIL2/D/204</t>
  </si>
  <si>
    <t>PIL2/D/207</t>
  </si>
  <si>
    <t>PIL2/D/208</t>
  </si>
  <si>
    <t>PIL2/E/82/24-25</t>
  </si>
  <si>
    <t>PIL2/D/218</t>
  </si>
  <si>
    <t>PIL2/D/221</t>
  </si>
  <si>
    <t>PIL2/D/222</t>
  </si>
  <si>
    <t>PIL6/D/13</t>
  </si>
  <si>
    <t>PIL6/D/15</t>
  </si>
  <si>
    <t>PIL6/D/16</t>
  </si>
  <si>
    <t>PIL6/D/18</t>
  </si>
  <si>
    <t>PIL6/D/19</t>
  </si>
  <si>
    <t>PIL6/D/25</t>
  </si>
  <si>
    <t>PIL6/D/26</t>
  </si>
  <si>
    <t>PIL6/D/27</t>
  </si>
  <si>
    <t>PIL6/D/28</t>
  </si>
  <si>
    <t>PIL6/D/29</t>
  </si>
  <si>
    <t>Coresa SA</t>
  </si>
  <si>
    <t>Hq Tek Limited</t>
  </si>
  <si>
    <t>Saeed Ali Godhran Plastic Pipe Factory</t>
  </si>
  <si>
    <t>NNZ GMBH</t>
  </si>
  <si>
    <t>PIL1/E/112/24-25</t>
  </si>
  <si>
    <t>PIL1/E/114/24-25</t>
  </si>
  <si>
    <t>PIL1/E/118/24-25</t>
  </si>
  <si>
    <t>PIL1/E/115/24-25</t>
  </si>
  <si>
    <t>PIL1/E/124/24-25</t>
  </si>
  <si>
    <t>PIL1/E/128/24-25</t>
  </si>
  <si>
    <t>PIL1/E/134/24-25</t>
  </si>
  <si>
    <t>PIL1/E/135/24-25</t>
  </si>
  <si>
    <t>PIL1/E/137/24-25</t>
  </si>
  <si>
    <t>PIL1/E/136/24-25</t>
  </si>
  <si>
    <t>PIL1/E/145/24-25</t>
  </si>
  <si>
    <t>PIL1/E/148/24-25</t>
  </si>
  <si>
    <t>PIL1/E/159/24-25</t>
  </si>
  <si>
    <t>PIL1/E/158/24-25</t>
  </si>
  <si>
    <t>PIL1/E/168/24-25</t>
  </si>
  <si>
    <t>PIL1/E/160/24-25</t>
  </si>
  <si>
    <t>PIL1/E/163/24-25</t>
  </si>
  <si>
    <t>PIL1/E/167/24-25</t>
  </si>
  <si>
    <t>PIL1/E/171/24-25</t>
  </si>
  <si>
    <t>PIL1/E/174/24-25</t>
  </si>
  <si>
    <t>PIL1/E/176/24-25</t>
  </si>
  <si>
    <t>PIL1/E/175/24-25</t>
  </si>
  <si>
    <t>PIL1/E/190/24-25</t>
  </si>
  <si>
    <t>PIL1/E/196/24-25</t>
  </si>
  <si>
    <t>PIL1/E/199/24-25</t>
  </si>
  <si>
    <t>PIL1/E/200/24-25</t>
  </si>
  <si>
    <t>PIL1/E/205/24-25</t>
  </si>
  <si>
    <t>PIL1/E/206/24-25</t>
  </si>
  <si>
    <t>PIL1/E/207/24-25</t>
  </si>
  <si>
    <t>PIL1/E/214/24-25</t>
  </si>
  <si>
    <t>PIL1/E/215/24-25</t>
  </si>
  <si>
    <t>PIL1/E/216/24-25</t>
  </si>
  <si>
    <t>PIL1/E/221/24-25</t>
  </si>
  <si>
    <t>PIL1/E/229/24-25</t>
  </si>
  <si>
    <t>PIL1/E/230/24-25</t>
  </si>
  <si>
    <t>PIL2/E/37/24-25</t>
  </si>
  <si>
    <t>PIL2/E/39/24-25</t>
  </si>
  <si>
    <t>PIL2/E/48/24-25</t>
  </si>
  <si>
    <t>PIL2/E/44/24-25</t>
  </si>
  <si>
    <t>PIL2/E/45/24-25</t>
  </si>
  <si>
    <t>PIL2/E/46/24-25</t>
  </si>
  <si>
    <t>PIL2/E/49/24-25</t>
  </si>
  <si>
    <t>PIL2/E/50/24-25</t>
  </si>
  <si>
    <t>PIL2/E/51/24-25</t>
  </si>
  <si>
    <t>PIL2/E/52/24-25</t>
  </si>
  <si>
    <t>PIL2/E/55/24-25</t>
  </si>
  <si>
    <t>PIL2/E/58/24-25</t>
  </si>
  <si>
    <t>PIL2/E/59/24-25</t>
  </si>
  <si>
    <t>PIL2/E/60/24-25</t>
  </si>
  <si>
    <t>PIL2/E/62/24-25</t>
  </si>
  <si>
    <t>PIL2/E/63/24-25</t>
  </si>
  <si>
    <t>PIL2/E/67/24-25</t>
  </si>
  <si>
    <t>PIL2/E/68/24-25</t>
  </si>
  <si>
    <t>PIL2/E/72/24-25</t>
  </si>
  <si>
    <t>PIL2/E/73/24-25</t>
  </si>
  <si>
    <t>PIL2/E/74/24-25</t>
  </si>
  <si>
    <t>PIL2/E/75/24-25</t>
  </si>
  <si>
    <t>PIL2/E/76/24-25</t>
  </si>
  <si>
    <t>PIL2/E/81/24-25</t>
  </si>
  <si>
    <t>PIL2/TP/002</t>
  </si>
  <si>
    <t>PIL2/E/83/24-25</t>
  </si>
  <si>
    <t>PIL2/E/84/24-25</t>
  </si>
  <si>
    <t>PIL2/E/87/24-25</t>
  </si>
  <si>
    <t>PIL6/E/34/24-25</t>
  </si>
  <si>
    <t>PIL6/E/40/24-25</t>
  </si>
  <si>
    <t>PIL6/E/41/24-25</t>
  </si>
  <si>
    <t>PIL6/E/44/24-25</t>
  </si>
  <si>
    <t>PIL6/E/43/24-25</t>
  </si>
  <si>
    <t>PIL6/E/45/24-25</t>
  </si>
  <si>
    <t>PIL6/E/46/24-25</t>
  </si>
  <si>
    <t>PIL6/E/47/24-25</t>
  </si>
  <si>
    <t>PIL6/E/48/24-25</t>
  </si>
  <si>
    <t>PIL6/E/49/24-25</t>
  </si>
  <si>
    <t>PIL6/E/50/24-25</t>
  </si>
  <si>
    <t>PIL6/E/51/24-25</t>
  </si>
  <si>
    <t>Soltex Petro Products Limited - Silvassa</t>
  </si>
  <si>
    <t>26AAECS2424D2ZR</t>
  </si>
  <si>
    <t>Dynamic Wooltex</t>
  </si>
  <si>
    <t>Current Assets</t>
  </si>
  <si>
    <t>GST Receivable</t>
  </si>
  <si>
    <t>Export Advance Lic.</t>
  </si>
  <si>
    <t>DP</t>
  </si>
  <si>
    <t>02/05/2024</t>
  </si>
  <si>
    <t>03/05/2024</t>
  </si>
  <si>
    <t>04/05/2024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</si>
  <si>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</si>
  <si>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</si>
  <si>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</si>
  <si>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</si>
  <si>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</si>
  <si>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</si>
  <si>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</si>
  <si>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</si>
  <si>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</si>
  <si>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</si>
  <si>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</si>
  <si>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</si>
  <si>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</si>
  <si>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</si>
  <si>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</si>
  <si>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</si>
  <si>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</si>
  <si>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</si>
  <si>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</si>
  <si>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</si>
  <si>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</si>
  <si>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</si>
  <si>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</si>
  <si>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</si>
  <si>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</si>
  <si>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</si>
  <si>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01/05/2024</t>
  </si>
  <si>
    <t>05/05/2024</t>
  </si>
  <si>
    <t>Webbing Tie</t>
  </si>
  <si>
    <t>Sourcio Inc</t>
  </si>
  <si>
    <t>Cesur Packaging Benelux Bv</t>
  </si>
  <si>
    <t>PIL1/E/232/24-25</t>
  </si>
  <si>
    <t>PIL1/E/238/24-25</t>
  </si>
  <si>
    <t>PIL1/E/242/24-25</t>
  </si>
  <si>
    <t>PIL1/E/254/24-25</t>
  </si>
  <si>
    <t>PIL1/E/253/24-25</t>
  </si>
  <si>
    <t>PIL1/E/260/24-25</t>
  </si>
  <si>
    <t>PIL1/E/261/24-25</t>
  </si>
  <si>
    <t>PIL1/E/259/24-25</t>
  </si>
  <si>
    <t>PIL1/E/270/24-25</t>
  </si>
  <si>
    <t>PIL1/E/275/24-25</t>
  </si>
  <si>
    <t>PIL1/E/276/24-25</t>
  </si>
  <si>
    <t>PIL1/E/277/24-25</t>
  </si>
  <si>
    <t>PIL1/E/278/24-25</t>
  </si>
  <si>
    <t>PIL1/JW/006</t>
  </si>
  <si>
    <t>PIL1/E/284/24-25</t>
  </si>
  <si>
    <t>PIL1/E/281/24-25</t>
  </si>
  <si>
    <t>PIL1/E/282/24-25</t>
  </si>
  <si>
    <t>PIL1/E/286/24-25</t>
  </si>
  <si>
    <t>PIL1/E/287/24-25</t>
  </si>
  <si>
    <t>PIL1/E/289/24-25</t>
  </si>
  <si>
    <t>PIL1/E/288/24-25</t>
  </si>
  <si>
    <t>PIL1/E/295/24-25</t>
  </si>
  <si>
    <t>PIL1/E/296/24-25</t>
  </si>
  <si>
    <t>PIL1/E/297/24-25</t>
  </si>
  <si>
    <t>PIL1/E/298/24-25</t>
  </si>
  <si>
    <t>PIL1/E/299/24-25</t>
  </si>
  <si>
    <t>PIL1/E/301/24-25</t>
  </si>
  <si>
    <t>PIL1/E/312/24-25</t>
  </si>
  <si>
    <t>PIL1/E/311/24-25</t>
  </si>
  <si>
    <t>PIL1/JW/007</t>
  </si>
  <si>
    <t>PIL1/JW/008</t>
  </si>
  <si>
    <t>PIL1/E/313/24-25</t>
  </si>
  <si>
    <t>PIL1/E/319/24-25</t>
  </si>
  <si>
    <t>PIL1/JW/009</t>
  </si>
  <si>
    <t>PIL1/E/333/24-25</t>
  </si>
  <si>
    <t>PIL1/JW/010</t>
  </si>
  <si>
    <t>PIL1/JW/011</t>
  </si>
  <si>
    <t>PIL1/JW/012</t>
  </si>
  <si>
    <t>PIL2/E/88/24-25</t>
  </si>
  <si>
    <t>PIL2/E/90/24-25</t>
  </si>
  <si>
    <t>PIL2/E/91/24-25</t>
  </si>
  <si>
    <t>PIL2/E/89/24-25</t>
  </si>
  <si>
    <t>PIL2/TP/003</t>
  </si>
  <si>
    <t>PIL2/E/95/24-25</t>
  </si>
  <si>
    <t>PIL2/E/97/24-25</t>
  </si>
  <si>
    <t>PIL2/E/99/24-25</t>
  </si>
  <si>
    <t>PIL2/E/101/24-25</t>
  </si>
  <si>
    <t>PIL2/TP/004</t>
  </si>
  <si>
    <t>PIL2/TP/005</t>
  </si>
  <si>
    <t>PIL2/E/109/24-25</t>
  </si>
  <si>
    <t>PIL2/TP/006</t>
  </si>
  <si>
    <t>PIL2/E/110/24-25</t>
  </si>
  <si>
    <t>PIL2/E/112/24-25</t>
  </si>
  <si>
    <t>PIL2/TP/007</t>
  </si>
  <si>
    <t>PIL2/TP/008</t>
  </si>
  <si>
    <t>PIL2/E/117/24-25</t>
  </si>
  <si>
    <t>PIL2/E/119/24-25</t>
  </si>
  <si>
    <t>PIL2/E/120/24-25</t>
  </si>
  <si>
    <t>PIL2/E/121/24-25</t>
  </si>
  <si>
    <t>PIL6/E/61/24-25</t>
  </si>
  <si>
    <t>PIL6/E/64/24-25</t>
  </si>
  <si>
    <t>PIL6/E/65/24-25</t>
  </si>
  <si>
    <t>PIL6/E/67/24-25</t>
  </si>
  <si>
    <t>PIL6/E/72/24-25</t>
  </si>
  <si>
    <t>PIL6/E/73/24-25</t>
  </si>
  <si>
    <t>PIL6/E/74/24-25</t>
  </si>
  <si>
    <t>PIL6/E/77/24-25</t>
  </si>
  <si>
    <t>PIL6/E/78/24-25</t>
  </si>
  <si>
    <t>PIL6/E/80/24-25</t>
  </si>
  <si>
    <t>PIL6/E/82/24-25</t>
  </si>
  <si>
    <t>PIL6/E/84/24-25</t>
  </si>
  <si>
    <t>PIL6/E/83/24-25</t>
  </si>
  <si>
    <t>PIL6/E/85/24-25</t>
  </si>
  <si>
    <t>Deepak Overseas</t>
  </si>
  <si>
    <t>M R Enterprise</t>
  </si>
  <si>
    <t>Asahi Songwon Colors Ltd.- Sales</t>
  </si>
  <si>
    <t>Alps Polytex Sales</t>
  </si>
  <si>
    <t>PIL1/D/381</t>
  </si>
  <si>
    <t>PIL1/D/382</t>
  </si>
  <si>
    <t>PIL1/D/383</t>
  </si>
  <si>
    <t>PIL1/D/384</t>
  </si>
  <si>
    <t>PIL1/D/387</t>
  </si>
  <si>
    <t>PIL1/D/388</t>
  </si>
  <si>
    <t>PIL1/D/393</t>
  </si>
  <si>
    <t>PIL1/D/394</t>
  </si>
  <si>
    <t>PIL1/D/395</t>
  </si>
  <si>
    <t>PIL1/D/396</t>
  </si>
  <si>
    <t>PIL1/D/397</t>
  </si>
  <si>
    <t>PIL1/D/400</t>
  </si>
  <si>
    <t>PIL1/D/402</t>
  </si>
  <si>
    <t>PIL1/D/403</t>
  </si>
  <si>
    <t>PIL1/D/404</t>
  </si>
  <si>
    <t>PIL1/D/406</t>
  </si>
  <si>
    <t>PIL1/D/405</t>
  </si>
  <si>
    <t>PIL1/D/416</t>
  </si>
  <si>
    <t>PIL1/D/417</t>
  </si>
  <si>
    <t>PIL1/D/407</t>
  </si>
  <si>
    <t>PIL1/D/409</t>
  </si>
  <si>
    <t>PIL1/D/411</t>
  </si>
  <si>
    <t>PIL1/D/412</t>
  </si>
  <si>
    <t>PIL1/D/418</t>
  </si>
  <si>
    <t>PIL1/D/421</t>
  </si>
  <si>
    <t>PIL1/D/422</t>
  </si>
  <si>
    <t>PIL1/D/423</t>
  </si>
  <si>
    <t>PIL1/D/424</t>
  </si>
  <si>
    <t>PIL1/D/425</t>
  </si>
  <si>
    <t>PIL1/D/426</t>
  </si>
  <si>
    <t>PIL1/D/427</t>
  </si>
  <si>
    <t>PIL1/D/432</t>
  </si>
  <si>
    <t>PIL1/D/434</t>
  </si>
  <si>
    <t>PIL1/D/435</t>
  </si>
  <si>
    <t>PIL1/D/436</t>
  </si>
  <si>
    <t>PIL1/D/439</t>
  </si>
  <si>
    <t>PIL1/D/440</t>
  </si>
  <si>
    <t>PIL1/D/441</t>
  </si>
  <si>
    <t>PIL1/D/446</t>
  </si>
  <si>
    <t>PIL1/D/447</t>
  </si>
  <si>
    <t>PIL1/D/442</t>
  </si>
  <si>
    <t>PIL1/D/443</t>
  </si>
  <si>
    <t>PIL1/D/444</t>
  </si>
  <si>
    <t>PIL1/D/449</t>
  </si>
  <si>
    <t>PIL1/D/450</t>
  </si>
  <si>
    <t>PIL1/D/448</t>
  </si>
  <si>
    <t>PIL1/D/453</t>
  </si>
  <si>
    <t>PIL1/D/458</t>
  </si>
  <si>
    <t>PIL1/D/459</t>
  </si>
  <si>
    <t>PIL1/D/454</t>
  </si>
  <si>
    <t>PIL1/D/455</t>
  </si>
  <si>
    <t>PIL1/D/456</t>
  </si>
  <si>
    <t>PIL1/D/465</t>
  </si>
  <si>
    <t>PIL1/D/466</t>
  </si>
  <si>
    <t>PIL1/D/464</t>
  </si>
  <si>
    <t>PIL1/D/470</t>
  </si>
  <si>
    <t>PIL1/D/474</t>
  </si>
  <si>
    <t>PIL1/D/475</t>
  </si>
  <si>
    <t>PIL1/D/471</t>
  </si>
  <si>
    <t>PIL1/D/476</t>
  </si>
  <si>
    <t>PIL1/D/477</t>
  </si>
  <si>
    <t>PIL1/D/479</t>
  </si>
  <si>
    <t>PIL1/D/480</t>
  </si>
  <si>
    <t>PIL1/D/484</t>
  </si>
  <si>
    <t>PIL1/D/485</t>
  </si>
  <si>
    <t>PIL1/D/486</t>
  </si>
  <si>
    <t>PIL1/D/489</t>
  </si>
  <si>
    <t>PIL1/D/490</t>
  </si>
  <si>
    <t>PIL1/D/493</t>
  </si>
  <si>
    <t>PIL1/D/494</t>
  </si>
  <si>
    <t>PIL1/D/495</t>
  </si>
  <si>
    <t>PIL1/D/496</t>
  </si>
  <si>
    <t>PIL1/D/497</t>
  </si>
  <si>
    <t>PIL1/D/498</t>
  </si>
  <si>
    <t>PIL1/D/499</t>
  </si>
  <si>
    <t>PIL1/D/502</t>
  </si>
  <si>
    <t>PIL1/D/503</t>
  </si>
  <si>
    <t>PIL1/D/504</t>
  </si>
  <si>
    <t>PIL1/D/506</t>
  </si>
  <si>
    <t>PIL1/D/505</t>
  </si>
  <si>
    <t>PIL1/D/512</t>
  </si>
  <si>
    <t>PIL1/D/510</t>
  </si>
  <si>
    <t>PIL1/D/511</t>
  </si>
  <si>
    <t>PIL1/D/514</t>
  </si>
  <si>
    <t>PIL1/D/513</t>
  </si>
  <si>
    <t>PIL1/D/517</t>
  </si>
  <si>
    <t>PIL1/D/518</t>
  </si>
  <si>
    <t>PIL1/D/519</t>
  </si>
  <si>
    <t>PIL1/D/526</t>
  </si>
  <si>
    <t>PIL1/D/521</t>
  </si>
  <si>
    <t>PIL1/D/524</t>
  </si>
  <si>
    <t>PIL1/D/525</t>
  </si>
  <si>
    <t>PIL1/D/522</t>
  </si>
  <si>
    <t>PIL1/D/529</t>
  </si>
  <si>
    <t>PIL1/D/523</t>
  </si>
  <si>
    <t>PIL1/D/534</t>
  </si>
  <si>
    <t>PIL1/D/535</t>
  </si>
  <si>
    <t>PIL1/D/536</t>
  </si>
  <si>
    <t>PIL1/D/537</t>
  </si>
  <si>
    <t>PIL1/D/544</t>
  </si>
  <si>
    <t>PIL1/D/545</t>
  </si>
  <si>
    <t>PIL1/D/538</t>
  </si>
  <si>
    <t>PIL1/D/546</t>
  </si>
  <si>
    <t>PIL1/D/552</t>
  </si>
  <si>
    <t>PIL1/D/553</t>
  </si>
  <si>
    <t>PIL1/D/558</t>
  </si>
  <si>
    <t>PIL1/D/554</t>
  </si>
  <si>
    <t>PIL1/D/556</t>
  </si>
  <si>
    <t>PIL1/D/557</t>
  </si>
  <si>
    <t>PIL1/D/559</t>
  </si>
  <si>
    <t>PIL1/D/560</t>
  </si>
  <si>
    <t>PIL1/D/561</t>
  </si>
  <si>
    <t>PIL1/D/563</t>
  </si>
  <si>
    <t>PIL1/D/564</t>
  </si>
  <si>
    <t>PIL1/D/562</t>
  </si>
  <si>
    <t>PIL1/D/571</t>
  </si>
  <si>
    <t>PIL1/D/572</t>
  </si>
  <si>
    <t>PIL1/D/570</t>
  </si>
  <si>
    <t>PIL1/D/569</t>
  </si>
  <si>
    <t>PIL1/D/573</t>
  </si>
  <si>
    <t>PIL1/D/574</t>
  </si>
  <si>
    <t>PIL1/D/577</t>
  </si>
  <si>
    <t>PIL1/D/578</t>
  </si>
  <si>
    <t>PIL1/D/579</t>
  </si>
  <si>
    <t>PIL1/D/580</t>
  </si>
  <si>
    <t>PIL1/D/581</t>
  </si>
  <si>
    <t>PIL1/D/582</t>
  </si>
  <si>
    <t>PIL1/D/583</t>
  </si>
  <si>
    <t>PIL1/D/590</t>
  </si>
  <si>
    <t>PIL1/D/591</t>
  </si>
  <si>
    <t>PIL1/D/588</t>
  </si>
  <si>
    <t>PIL1/D/589</t>
  </si>
  <si>
    <t>PIL2/D/227</t>
  </si>
  <si>
    <t>PIL2/D/230</t>
  </si>
  <si>
    <t>PIL2/D/241</t>
  </si>
  <si>
    <t>PIL2/D/242</t>
  </si>
  <si>
    <t>PIL2/D/245</t>
  </si>
  <si>
    <t>PIL2/D/252</t>
  </si>
  <si>
    <t>PIL2/D/269</t>
  </si>
  <si>
    <t>PIL2/D/270</t>
  </si>
  <si>
    <t>PIL2/D/271</t>
  </si>
  <si>
    <t>PIL2/D/272</t>
  </si>
  <si>
    <t>PIL2/D/273</t>
  </si>
  <si>
    <t>PIL2/D/283</t>
  </si>
  <si>
    <t>PIL2/D/289</t>
  </si>
  <si>
    <t>PIL2/D/294</t>
  </si>
  <si>
    <t>PIL2/D/295</t>
  </si>
  <si>
    <t>PIL2/D/310</t>
  </si>
  <si>
    <t>PIL2/D/308</t>
  </si>
  <si>
    <t>PIL2/D/309</t>
  </si>
  <si>
    <t>PIL2/D/316</t>
  </si>
  <si>
    <t>PIL2/D/318</t>
  </si>
  <si>
    <t>PIL6/D/30</t>
  </si>
  <si>
    <t>PIL6/D/33</t>
  </si>
  <si>
    <t>PIL6/D/34</t>
  </si>
  <si>
    <t>PIL6/D/35</t>
  </si>
  <si>
    <t>PIL6/D/36</t>
  </si>
  <si>
    <t>PIL6/D/38</t>
  </si>
  <si>
    <t>PIL6/D/39</t>
  </si>
  <si>
    <t>24AGUPS7962F1ZO</t>
  </si>
  <si>
    <t>24ABTFM6563E1ZX</t>
  </si>
  <si>
    <t>24AAACA9713D1Z4</t>
  </si>
  <si>
    <t>24ABOFA3165F1ZK</t>
  </si>
  <si>
    <t>08ABFPB2251A1ZI</t>
  </si>
  <si>
    <t>June-24</t>
  </si>
  <si>
    <t>change</t>
  </si>
  <si>
    <t>01/06/2024</t>
  </si>
  <si>
    <t>13/06/2024</t>
  </si>
  <si>
    <t>14/06/2024</t>
  </si>
  <si>
    <t>15/06/2024</t>
  </si>
  <si>
    <t>17/06/2024</t>
  </si>
  <si>
    <t>19/06/2024</t>
  </si>
  <si>
    <t>20/06/2024</t>
  </si>
  <si>
    <t>22/06/2024</t>
  </si>
  <si>
    <t>27/06/2024</t>
  </si>
  <si>
    <t>28/06/2024</t>
  </si>
  <si>
    <t>29/06/2024</t>
  </si>
  <si>
    <t>06/06/2024</t>
  </si>
  <si>
    <t>09/06/2024</t>
  </si>
  <si>
    <t>10/06/2024</t>
  </si>
  <si>
    <t>25/06/2024</t>
  </si>
  <si>
    <t>30/06/2024</t>
  </si>
  <si>
    <t>11/06/2024</t>
  </si>
  <si>
    <t>05/06/2024</t>
  </si>
  <si>
    <t>26/06/2024</t>
  </si>
  <si>
    <t xml:space="preserve">Pacific Trading &amp; Distribution Limited </t>
  </si>
  <si>
    <t>Sales - Direct Export - Mfg - U/R</t>
  </si>
  <si>
    <t>PIL-1</t>
  </si>
  <si>
    <t>PIL-2</t>
  </si>
  <si>
    <t>PIL-6</t>
  </si>
  <si>
    <t>Moksh Polymers Private Limited</t>
  </si>
  <si>
    <t>Ambika Petrochem Private Limited</t>
  </si>
  <si>
    <t>PIL1/D/614</t>
  </si>
  <si>
    <t>PIL1/D/627</t>
  </si>
  <si>
    <t>PIL1/D/633</t>
  </si>
  <si>
    <t>PIL1/D/649</t>
  </si>
  <si>
    <t>PIL1/D/657</t>
  </si>
  <si>
    <t>PIL1/D/658</t>
  </si>
  <si>
    <t>PIL1/D/659</t>
  </si>
  <si>
    <t>PIL1/HSS/9/24-25</t>
  </si>
  <si>
    <t>PIL1/D/685</t>
  </si>
  <si>
    <t>PIL1/D/686</t>
  </si>
  <si>
    <t>PIL1/D/687</t>
  </si>
  <si>
    <t>PIL1/D/688</t>
  </si>
  <si>
    <t>PIL1/D/711</t>
  </si>
  <si>
    <t>PIL1/D/712</t>
  </si>
  <si>
    <t>PIL1/D/713</t>
  </si>
  <si>
    <t>PIL1/D/728</t>
  </si>
  <si>
    <t>PIL1/D/745</t>
  </si>
  <si>
    <t>PIL1/D/764</t>
  </si>
  <si>
    <t>PIL1/D/768</t>
  </si>
  <si>
    <t>PIL1/D/775</t>
  </si>
  <si>
    <t>PIL1/D/776</t>
  </si>
  <si>
    <t>PIL1/D/777</t>
  </si>
  <si>
    <t>PIL1/D/784</t>
  </si>
  <si>
    <t>PIL1/D/785</t>
  </si>
  <si>
    <t>PIL1/D/790</t>
  </si>
  <si>
    <t>PIL2/D/339</t>
  </si>
  <si>
    <t>PIL2/D/353</t>
  </si>
  <si>
    <t>PIL2/D/376</t>
  </si>
  <si>
    <t>PIL2/D/400</t>
  </si>
  <si>
    <t>29AAOCM8775B1ZW</t>
  </si>
  <si>
    <t>Jtl Packaging Ltd. T/A Interpac</t>
  </si>
  <si>
    <t xml:space="preserve">Pack Big Bag Industria De Embalagens E Servicos Ltda </t>
  </si>
  <si>
    <t>Cesur France</t>
  </si>
  <si>
    <t>PIL1/JW/013</t>
  </si>
  <si>
    <t>PIL1/E/356/24-25</t>
  </si>
  <si>
    <t>PIL1/JW/014</t>
  </si>
  <si>
    <t>PIL1/JW/015</t>
  </si>
  <si>
    <t>PIL1/E/367/24-25</t>
  </si>
  <si>
    <t>PIL1/E/366/24-25</t>
  </si>
  <si>
    <t>PIL1/E/374/24-25</t>
  </si>
  <si>
    <t>PIL1/JW/016</t>
  </si>
  <si>
    <t>PIL1/E/373/24-25</t>
  </si>
  <si>
    <t>PIL1/JW/017</t>
  </si>
  <si>
    <t>PIL1/E/376/24-25</t>
  </si>
  <si>
    <t>PIL1/E/380/24-25</t>
  </si>
  <si>
    <t>PIL1/JW/020</t>
  </si>
  <si>
    <t>PIL1/E/391/24-25</t>
  </si>
  <si>
    <t>PIL1/JW/018</t>
  </si>
  <si>
    <t>PIL1/JW/019</t>
  </si>
  <si>
    <t>PIL1/E/395/24-25</t>
  </si>
  <si>
    <t>PIL1/E/396/24-25</t>
  </si>
  <si>
    <t>PIL1/E/399/24-25</t>
  </si>
  <si>
    <t>PIL1/E/400/24-25</t>
  </si>
  <si>
    <t>PIL1/E/404/24-25</t>
  </si>
  <si>
    <t>PIL1/JW/021</t>
  </si>
  <si>
    <t>PIL1/E/407/24-25</t>
  </si>
  <si>
    <t>PIL1/E/410/24-25</t>
  </si>
  <si>
    <t>PIL1/JW/022</t>
  </si>
  <si>
    <t>PIL1/JW/023</t>
  </si>
  <si>
    <t>PIL1/E/417/24-25</t>
  </si>
  <si>
    <t>PIL1/E/418/24-25</t>
  </si>
  <si>
    <t>PIL1/E/419/24-25</t>
  </si>
  <si>
    <t>PIL1/JW/024</t>
  </si>
  <si>
    <t>PIL1/E/425/24-25</t>
  </si>
  <si>
    <t>PIL1/E/434/24-25</t>
  </si>
  <si>
    <t>PIL1/E/435/24-25</t>
  </si>
  <si>
    <t>PIL1/E/436/24-25</t>
  </si>
  <si>
    <t>PIL1/E/446/24-25</t>
  </si>
  <si>
    <t>PIL2/E/126/24-25</t>
  </si>
  <si>
    <t>PIL2/E/128/24-25</t>
  </si>
  <si>
    <t>PIL2/E/131/24-25</t>
  </si>
  <si>
    <t>PIL2/E/130/24-25</t>
  </si>
  <si>
    <t>PIL2/E/132/24-25</t>
  </si>
  <si>
    <t>PIL2/E/134/24-25</t>
  </si>
  <si>
    <t>PIL2/E/136/24-25</t>
  </si>
  <si>
    <t>PIL2/E/137/24-25</t>
  </si>
  <si>
    <t>PIL2/E/138/24-25</t>
  </si>
  <si>
    <t>PIL2/TP/009</t>
  </si>
  <si>
    <t>PIL2/E/140/24-25</t>
  </si>
  <si>
    <t>PIL2/E/143/24-25</t>
  </si>
  <si>
    <t>PIL2/E/144/24-25</t>
  </si>
  <si>
    <t>PIL2/E/142/24-25</t>
  </si>
  <si>
    <t>PIL2/E/146/24-25</t>
  </si>
  <si>
    <t>PIL2/E/147/24-25</t>
  </si>
  <si>
    <t>PIL2/E/148/24-25</t>
  </si>
  <si>
    <t>PIL2/E/151/24-25</t>
  </si>
  <si>
    <t>PIL2/E/150/24-25</t>
  </si>
  <si>
    <t>PIL2/E/152/24-25</t>
  </si>
  <si>
    <t>PIL2/E/154/24-25</t>
  </si>
  <si>
    <t>PIL2/E/158/24-25</t>
  </si>
  <si>
    <t>PIL2/E/155/24-25</t>
  </si>
  <si>
    <t>PIL2/E/159/24-25</t>
  </si>
  <si>
    <t>PIL2/E/167/24-25</t>
  </si>
  <si>
    <t>PIL2/E/168/24-25</t>
  </si>
  <si>
    <t>PIL2/E/170/24-25</t>
  </si>
  <si>
    <t>PIL2/TP/011</t>
  </si>
  <si>
    <t>PIL2/TP/012</t>
  </si>
  <si>
    <t>PIL2/E/171/24-25</t>
  </si>
  <si>
    <t>PIL2/E/173/24-25</t>
  </si>
  <si>
    <t>PIL6/E/88/24-25</t>
  </si>
  <si>
    <t>PIL6/E/91/24-25</t>
  </si>
  <si>
    <t>PIL6/E/96/24-25</t>
  </si>
  <si>
    <t>PIL6/E/100/24-25</t>
  </si>
  <si>
    <t>PIL6/E/105/24-25</t>
  </si>
  <si>
    <t>PIL6/E/106/24-25</t>
  </si>
  <si>
    <t>PIL6/E/107/24-25</t>
  </si>
  <si>
    <t>PIL6/E/109/24-25</t>
  </si>
  <si>
    <t>PIL6/E/111/24-25</t>
  </si>
  <si>
    <t>PIL6/E/112/24-25</t>
  </si>
  <si>
    <t>PIL1/D/663</t>
  </si>
  <si>
    <t>PIL1/D/665</t>
  </si>
  <si>
    <t>PIL1/D/668</t>
  </si>
  <si>
    <t>PIL1/D/671</t>
  </si>
  <si>
    <t>PIL1/D/672</t>
  </si>
  <si>
    <t>PIL1/D/670</t>
  </si>
  <si>
    <t>PIL1/D/679</t>
  </si>
  <si>
    <t>PIL1/D/680</t>
  </si>
  <si>
    <t>PIL1/D/689</t>
  </si>
  <si>
    <t>PIL1/D/678</t>
  </si>
  <si>
    <t>PIL1/D/690</t>
  </si>
  <si>
    <t>PIL1/D/691</t>
  </si>
  <si>
    <t>PIL1/D/692</t>
  </si>
  <si>
    <t>PIL1/D/693</t>
  </si>
  <si>
    <t>PIL1/D/694</t>
  </si>
  <si>
    <t>PIL1/D/695</t>
  </si>
  <si>
    <t>PIL1/D/696</t>
  </si>
  <si>
    <t>PIL1/D/697</t>
  </si>
  <si>
    <t>PIL1/D/702</t>
  </si>
  <si>
    <t>PIL1/D/704</t>
  </si>
  <si>
    <t>PIL1/D/705</t>
  </si>
  <si>
    <t>PIL1/D/703</t>
  </si>
  <si>
    <t>PIL1/D/708</t>
  </si>
  <si>
    <t>PIL1/D/709</t>
  </si>
  <si>
    <t>PIL1/D/710</t>
  </si>
  <si>
    <t>PIL1/D/714</t>
  </si>
  <si>
    <t>PIL1/D/721</t>
  </si>
  <si>
    <t>PIL1/D/722</t>
  </si>
  <si>
    <t>PIL1/D/720</t>
  </si>
  <si>
    <t>PIL1/D/725</t>
  </si>
  <si>
    <t>PIL1/D/726</t>
  </si>
  <si>
    <t>PIL1/D/730</t>
  </si>
  <si>
    <t>PIL1/D/731</t>
  </si>
  <si>
    <t>PIL1/D/729</t>
  </si>
  <si>
    <t>PIL1/D/734</t>
  </si>
  <si>
    <t>PIL1/D/737</t>
  </si>
  <si>
    <t>PIL1/D/738</t>
  </si>
  <si>
    <t>PIL1/D/741</t>
  </si>
  <si>
    <t>PIL1/D/742</t>
  </si>
  <si>
    <t>PIL1/D/744</t>
  </si>
  <si>
    <t>PIL1/D/746</t>
  </si>
  <si>
    <t>PIL1/D/747</t>
  </si>
  <si>
    <t>PIL1/D/748</t>
  </si>
  <si>
    <t>PIL1/D/749</t>
  </si>
  <si>
    <t>PIL1/D/750</t>
  </si>
  <si>
    <t>PIL1/D/751</t>
  </si>
  <si>
    <t>PIL1/D/752</t>
  </si>
  <si>
    <t>PIL1/D/753</t>
  </si>
  <si>
    <t>PIL1/D/757</t>
  </si>
  <si>
    <t>PIL1/D/758</t>
  </si>
  <si>
    <t>PIL1/D/760</t>
  </si>
  <si>
    <t>PIL1/D/761</t>
  </si>
  <si>
    <t>PIL1/D/759</t>
  </si>
  <si>
    <t>PIL1/D/762</t>
  </si>
  <si>
    <t>PIL1/D/766</t>
  </si>
  <si>
    <t>PIL1/D/767</t>
  </si>
  <si>
    <t>PIL1/D/769</t>
  </si>
  <si>
    <t>PIL1/D/770</t>
  </si>
  <si>
    <t>PIL1/D/771</t>
  </si>
  <si>
    <t>PIL1/D/772</t>
  </si>
  <si>
    <t>PIL1/D/778</t>
  </si>
  <si>
    <t>PIL1/D/780</t>
  </si>
  <si>
    <t>PIL1/D/781</t>
  </si>
  <si>
    <t>PIL1/D/779</t>
  </si>
  <si>
    <t>PIL1/D/786</t>
  </si>
  <si>
    <t>PIL1/D/787</t>
  </si>
  <si>
    <t>PIL1/D/788</t>
  </si>
  <si>
    <t>PIL1/D/789</t>
  </si>
  <si>
    <t>PIL1/D/792</t>
  </si>
  <si>
    <t>PIL1/D/793</t>
  </si>
  <si>
    <t>PIL1/D/794</t>
  </si>
  <si>
    <t>PIL1/D/791</t>
  </si>
  <si>
    <t>PIL2/D/330</t>
  </si>
  <si>
    <t>PIL2/D/331</t>
  </si>
  <si>
    <t>PIL2/D/348</t>
  </si>
  <si>
    <t>PIL2/D/355</t>
  </si>
  <si>
    <t>PIL2/D/356</t>
  </si>
  <si>
    <t>PIL2/D/363</t>
  </si>
  <si>
    <t>PIL2/D/369</t>
  </si>
  <si>
    <t>PIL2/D/373</t>
  </si>
  <si>
    <t>PIL2/D/374</t>
  </si>
  <si>
    <t>PIL2/D/375</t>
  </si>
  <si>
    <t>PIL2/D/380</t>
  </si>
  <si>
    <t>PIL2/D/387</t>
  </si>
  <si>
    <t>PIL2/D/388</t>
  </si>
  <si>
    <t>PIL2/D/393</t>
  </si>
  <si>
    <t>PIL2/D/394</t>
  </si>
  <si>
    <t>PIL2/D/395</t>
  </si>
  <si>
    <t>PIL2/D/401</t>
  </si>
  <si>
    <t>PIL2/D/404</t>
  </si>
  <si>
    <t>PIL2/D/405</t>
  </si>
  <si>
    <t>PIL2/D/413</t>
  </si>
  <si>
    <t>PIL2/D/414</t>
  </si>
  <si>
    <t>PIL2/D/417</t>
  </si>
  <si>
    <t>PIL2/D/418</t>
  </si>
  <si>
    <t>PIL6/D/40</t>
  </si>
  <si>
    <t>PIL6/D/43</t>
  </si>
  <si>
    <t>PIL6/D/44</t>
  </si>
  <si>
    <t>PIL6/D/47</t>
  </si>
  <si>
    <t>PIL6/D/49</t>
  </si>
  <si>
    <t>PIL6/D/53</t>
  </si>
  <si>
    <t>PIL6/D/55</t>
  </si>
  <si>
    <t>PIL6/D/56</t>
  </si>
  <si>
    <t>PIL6/D/57</t>
  </si>
  <si>
    <t>PIL6/D/58</t>
  </si>
  <si>
    <t>PIL6/D/60</t>
  </si>
  <si>
    <t>PIL6/D/61</t>
  </si>
  <si>
    <t>Indian Oil Corporation Ltd. ( Ahmedabad )</t>
  </si>
  <si>
    <t>24AAACI1681G2ZU</t>
  </si>
  <si>
    <t>16/07/2024</t>
  </si>
  <si>
    <t>10/07/2024</t>
  </si>
  <si>
    <t>15/07/2024</t>
  </si>
  <si>
    <t>19/07/2024</t>
  </si>
  <si>
    <t>26/07/2024</t>
  </si>
  <si>
    <t>04/07/2024</t>
  </si>
  <si>
    <t>08/07/2024</t>
  </si>
  <si>
    <t>09/07/2024</t>
  </si>
  <si>
    <t>11/07/2024</t>
  </si>
  <si>
    <t>12/07/2024</t>
  </si>
  <si>
    <t>29/07/2024</t>
  </si>
  <si>
    <t>03/07/2024</t>
  </si>
  <si>
    <t>24/07/2024</t>
  </si>
  <si>
    <t>18/07/2024</t>
  </si>
  <si>
    <t>20/07/2024</t>
  </si>
  <si>
    <t>22/07/2024</t>
  </si>
  <si>
    <t>13/07/2024</t>
  </si>
  <si>
    <t>14/07/2024</t>
  </si>
  <si>
    <t>21/07/2024</t>
  </si>
  <si>
    <t>25/07/2024</t>
  </si>
  <si>
    <t>28/07/2024</t>
  </si>
  <si>
    <t>Global Import</t>
  </si>
  <si>
    <t>PIL1/JW/025</t>
  </si>
  <si>
    <t>PIL1/JW/026</t>
  </si>
  <si>
    <t>PIL1/E/465/24-25</t>
  </si>
  <si>
    <t>PIL1/E/467/24-25</t>
  </si>
  <si>
    <t>PIL1/JW/029</t>
  </si>
  <si>
    <t>PIL1/JW/028</t>
  </si>
  <si>
    <t>PIL1/E/487/24-25</t>
  </si>
  <si>
    <t>PIL1/E/491/24-25</t>
  </si>
  <si>
    <t>PIL1/E/492/24-25</t>
  </si>
  <si>
    <t>PIL1/E/493/24-25</t>
  </si>
  <si>
    <t>PIL1/E/497/24-25</t>
  </si>
  <si>
    <t>PIL1/E/498/24-25</t>
  </si>
  <si>
    <t>PIL1/JW/030</t>
  </si>
  <si>
    <t>PIL1/E/517/24-25</t>
  </si>
  <si>
    <t>PIL1/E/525/24-25</t>
  </si>
  <si>
    <t>PIL1/E/524/24-25</t>
  </si>
  <si>
    <t>PIL1/JW/032</t>
  </si>
  <si>
    <t>PIL1/E/534/24-25</t>
  </si>
  <si>
    <t>PIL1/JW/031</t>
  </si>
  <si>
    <t>PIL1/E/535/24-25</t>
  </si>
  <si>
    <t>PIL1/E/536/24-25</t>
  </si>
  <si>
    <t>PIL1/E/542/24-25</t>
  </si>
  <si>
    <t>PIL2/E/186/24-25</t>
  </si>
  <si>
    <t>PIL2/E/188/24-25</t>
  </si>
  <si>
    <t>PIL2/E/187/24-25</t>
  </si>
  <si>
    <t>PIL2/E/184/24-25</t>
  </si>
  <si>
    <t>PIL2/E/191/24-25</t>
  </si>
  <si>
    <t>PIL2/E/190/24-25</t>
  </si>
  <si>
    <t>PIL2/E/193/24-25</t>
  </si>
  <si>
    <t>PIL2/E/198/24-25</t>
  </si>
  <si>
    <t>PIL2/E/199/24-25</t>
  </si>
  <si>
    <t>PIL2/E/204/24-25</t>
  </si>
  <si>
    <t>PIL2/E/205/24-25</t>
  </si>
  <si>
    <t>PIL2/E/206/24-25</t>
  </si>
  <si>
    <t>PIL2/E/207/24-25</t>
  </si>
  <si>
    <t>PIL2/E/210/24-25</t>
  </si>
  <si>
    <t>PIL2/E/217/24-25</t>
  </si>
  <si>
    <t>PIL2/E/218/24-25</t>
  </si>
  <si>
    <t>PIL2/E/219/24-25</t>
  </si>
  <si>
    <t>PIL2/E/220/24-25</t>
  </si>
  <si>
    <t>PIL2/E/221/24-25</t>
  </si>
  <si>
    <t>PIL2/E/222/24-25</t>
  </si>
  <si>
    <t>PIL2/E/223/24-25</t>
  </si>
  <si>
    <t>PIL2/E/224/24-25</t>
  </si>
  <si>
    <t>PIL6/E/123/24-25</t>
  </si>
  <si>
    <t>PIL6/E/137/24-25</t>
  </si>
  <si>
    <t>PIL6/E/142/24-25</t>
  </si>
  <si>
    <t>Adinath Salt Llp</t>
  </si>
  <si>
    <t>Rataan Fabtex Private Limited - Unit 2</t>
  </si>
  <si>
    <t>PIL1/D/840</t>
  </si>
  <si>
    <t>PIL1/D/861</t>
  </si>
  <si>
    <t>PIL1/D/862</t>
  </si>
  <si>
    <t>PIL1/D/889</t>
  </si>
  <si>
    <t>PIL1/D/887</t>
  </si>
  <si>
    <t>PIL1/HSS/15/24-25</t>
  </si>
  <si>
    <t>PIL1/HSS/16/24-25</t>
  </si>
  <si>
    <t>PIL1/D/928</t>
  </si>
  <si>
    <t>PIL1/D/932</t>
  </si>
  <si>
    <t>PIL1/D/936</t>
  </si>
  <si>
    <t>PIL1/D/941</t>
  </si>
  <si>
    <t>PIL1/D/946</t>
  </si>
  <si>
    <t>PIL1/D/947</t>
  </si>
  <si>
    <t>PIL1/D/985</t>
  </si>
  <si>
    <t>PIL1/D/988</t>
  </si>
  <si>
    <t>PIL1/D/1001</t>
  </si>
  <si>
    <t>PIL1/D/1002</t>
  </si>
  <si>
    <t>PIL1/D/991</t>
  </si>
  <si>
    <t>PIL1/D/993</t>
  </si>
  <si>
    <t>PIL1/D/994</t>
  </si>
  <si>
    <t>PIL1/D/995</t>
  </si>
  <si>
    <t>PIL1/D/999</t>
  </si>
  <si>
    <t>PIL2/D/481</t>
  </si>
  <si>
    <t>PIL2/D/484</t>
  </si>
  <si>
    <t>24ABPFA8196D1Z6</t>
  </si>
  <si>
    <t>24AAGCR7475P1ZL</t>
  </si>
  <si>
    <t>PIL1/E/510/24-25</t>
  </si>
  <si>
    <t>PIL1/HSS/12/24-25</t>
  </si>
  <si>
    <t>PIL1/HSS/13/24-25</t>
  </si>
  <si>
    <t>24AAACR5055K1ZD</t>
  </si>
  <si>
    <t>25/08/2024</t>
  </si>
  <si>
    <t>29/08/2024</t>
  </si>
  <si>
    <t>02/08/2024</t>
  </si>
  <si>
    <t>07/08/2024</t>
  </si>
  <si>
    <t>10/08/2024</t>
  </si>
  <si>
    <t>13/08/2024</t>
  </si>
  <si>
    <t>15/08/2024</t>
  </si>
  <si>
    <t>16/08/2024</t>
  </si>
  <si>
    <t>21/08/2024</t>
  </si>
  <si>
    <t>23/08/2024</t>
  </si>
  <si>
    <t>24/08/2024</t>
  </si>
  <si>
    <t>26/08/2024</t>
  </si>
  <si>
    <t>27/08/2024</t>
  </si>
  <si>
    <t>05/08/2024</t>
  </si>
  <si>
    <t>09/08/2024</t>
  </si>
  <si>
    <t>12/08/2024</t>
  </si>
  <si>
    <t>17/08/2024</t>
  </si>
  <si>
    <t>18/08/2024</t>
  </si>
  <si>
    <t>30/08/2024</t>
  </si>
  <si>
    <t>08/08/2024</t>
  </si>
  <si>
    <t>06/08/2024</t>
  </si>
  <si>
    <t>14/08/2024</t>
  </si>
  <si>
    <t>20/08/2024</t>
  </si>
  <si>
    <t>22/08/2024</t>
  </si>
  <si>
    <t>31/08/2024</t>
  </si>
  <si>
    <t>19/08/2024</t>
  </si>
  <si>
    <t>Rahul Papers India Private Limited</t>
  </si>
  <si>
    <t>Jain Bulk Pack - Ahmedabad</t>
  </si>
  <si>
    <t>Indralok Fabrics Pvt Ltd - Sales</t>
  </si>
  <si>
    <t>Sunglow Colorants Corporation</t>
  </si>
  <si>
    <t>PIL1/D/1003</t>
  </si>
  <si>
    <t>PIL1/D/1004</t>
  </si>
  <si>
    <t>PIL1/D/1047</t>
  </si>
  <si>
    <t>PIL1/D/1051</t>
  </si>
  <si>
    <t>PIL1/D/1095</t>
  </si>
  <si>
    <t>PIL1/D/1098</t>
  </si>
  <si>
    <t>PIL1/D/1099</t>
  </si>
  <si>
    <t>PIL1/D/1116</t>
  </si>
  <si>
    <t>PIL1/D/1117</t>
  </si>
  <si>
    <t>PIL1/HSS/17/24-25</t>
  </si>
  <si>
    <t>PIL1/HSS/18/24-25</t>
  </si>
  <si>
    <t>PIL1/D/1177</t>
  </si>
  <si>
    <t>PIL1/D/1191</t>
  </si>
  <si>
    <t>PIL1/D/1192</t>
  </si>
  <si>
    <t>PIL1/D/1204</t>
  </si>
  <si>
    <t>PIL1/D/1211</t>
  </si>
  <si>
    <t>PIL1/D/1215</t>
  </si>
  <si>
    <t>PIL1/D/1216</t>
  </si>
  <si>
    <t>PIL1/D/1253</t>
  </si>
  <si>
    <t>PIL1/D/1254</t>
  </si>
  <si>
    <t>PIL1/D/1255</t>
  </si>
  <si>
    <t>PIL2/D/514</t>
  </si>
  <si>
    <t>PIL2/D/582</t>
  </si>
  <si>
    <t>PIL2/D/588</t>
  </si>
  <si>
    <t>PIL2/DE/16/24-25</t>
  </si>
  <si>
    <t>PIL2/D/609</t>
  </si>
  <si>
    <t>PIL2/D/608</t>
  </si>
  <si>
    <t>PIL6/D/84</t>
  </si>
  <si>
    <t>PIL6/D/85</t>
  </si>
  <si>
    <t>PIL6/D/86</t>
  </si>
  <si>
    <t>PIL6/D/88</t>
  </si>
  <si>
    <t>PIL6/D/90</t>
  </si>
  <si>
    <t>PIL6/D/91</t>
  </si>
  <si>
    <t>PIL6/D/92</t>
  </si>
  <si>
    <t>PIL6/D/94</t>
  </si>
  <si>
    <t>PIL6/D/100</t>
  </si>
  <si>
    <t>PIL6/D/101</t>
  </si>
  <si>
    <t>PIL6/D/103</t>
  </si>
  <si>
    <t>PIL6/D/106</t>
  </si>
  <si>
    <t>24AADCR5506L1ZC</t>
  </si>
  <si>
    <t>24AAACI4240F1Z4</t>
  </si>
  <si>
    <t>24ACOFS2351J1ZX</t>
  </si>
  <si>
    <t>Ameriglobe LLC</t>
  </si>
  <si>
    <t>Combes Trading Bv</t>
  </si>
  <si>
    <t>Myrin S.A</t>
  </si>
  <si>
    <t>PIL1/E/560/24-25</t>
  </si>
  <si>
    <t>PIL1/E/557/24-25</t>
  </si>
  <si>
    <t>PIL1/E/558/24-25</t>
  </si>
  <si>
    <t>PIL1/E/559/24-25</t>
  </si>
  <si>
    <t>PIL1/E/563/24-25</t>
  </si>
  <si>
    <t>PIL1/E/587/24-25</t>
  </si>
  <si>
    <t>PIL1/E/588/24-25</t>
  </si>
  <si>
    <t>PIL1/E/594/24-25</t>
  </si>
  <si>
    <t>PIL1/E/606/24-25</t>
  </si>
  <si>
    <t>PIL1/JW/033</t>
  </si>
  <si>
    <t>PIL1/E/616/24-25</t>
  </si>
  <si>
    <t>PIL1/E/626/24-25</t>
  </si>
  <si>
    <t>PIL1/E/634/24-25</t>
  </si>
  <si>
    <t>PIL1/E/641/24-25</t>
  </si>
  <si>
    <t>PIL1/JW/034</t>
  </si>
  <si>
    <t>PIL1/E/647/24-25</t>
  </si>
  <si>
    <t>PIL1/E/645/24-25</t>
  </si>
  <si>
    <t>PIL1/E/646/24-25</t>
  </si>
  <si>
    <t>PIL1/E/651/24-25</t>
  </si>
  <si>
    <t>PIL1/E/650/24-25</t>
  </si>
  <si>
    <t>PIL1/E/658/24-25</t>
  </si>
  <si>
    <t>PIL1/E/657/24-25</t>
  </si>
  <si>
    <t>PIL1/E/667/24-25</t>
  </si>
  <si>
    <t>PIL1/E/668/24-25</t>
  </si>
  <si>
    <t>PIL1/E/671/24-25</t>
  </si>
  <si>
    <t>PIL2/E/226/24-25</t>
  </si>
  <si>
    <t>PIL2/E/227/24-25</t>
  </si>
  <si>
    <t>PIL2/E/229/24-25</t>
  </si>
  <si>
    <t>PIL2/E/232/24-25</t>
  </si>
  <si>
    <t>PIL2/E/233/24-25</t>
  </si>
  <si>
    <t>PIL2/E/234/24-25</t>
  </si>
  <si>
    <t>PIL2/E/240/24-25</t>
  </si>
  <si>
    <t>PIL2/E/239/24-25</t>
  </si>
  <si>
    <t>PIL2/E/241/24-25</t>
  </si>
  <si>
    <t>PIL2/E/237/24-25</t>
  </si>
  <si>
    <t>PIL2/E/238/24-25</t>
  </si>
  <si>
    <t>PIL2/E/242/24-25</t>
  </si>
  <si>
    <t>PIL2/E/243/24-25</t>
  </si>
  <si>
    <t>PIL2/E/244/24-25</t>
  </si>
  <si>
    <t>PIL2/E/246/24-25</t>
  </si>
  <si>
    <t>PIL2/E/247/24-25</t>
  </si>
  <si>
    <t>PIL2/E/248/24-25</t>
  </si>
  <si>
    <t>PIL2/TP/018</t>
  </si>
  <si>
    <t>PIL2/E/251/24-25</t>
  </si>
  <si>
    <t>PIL2/TP/019</t>
  </si>
  <si>
    <t>PIL2/E/252/24-25</t>
  </si>
  <si>
    <t>PIL2/TP/020</t>
  </si>
  <si>
    <t>PIL2/E/254/24-25</t>
  </si>
  <si>
    <t>PIL2/TP/021</t>
  </si>
  <si>
    <t>PIL2/E/258/24-25</t>
  </si>
  <si>
    <t>PIL2/E/259/24-25</t>
  </si>
  <si>
    <t>PIL2/E/261/24-25</t>
  </si>
  <si>
    <t>PIL2/E/262/24-25</t>
  </si>
  <si>
    <t>PIL2/E/263/24-25</t>
  </si>
  <si>
    <t>PIL2/E/264/24-25</t>
  </si>
  <si>
    <t>PIL2/E/265/24-25</t>
  </si>
  <si>
    <t>PIL6/E/146/24-25</t>
  </si>
  <si>
    <t>PIL6/E/145/24-25</t>
  </si>
  <si>
    <t>PIL6/E/147/24-25</t>
  </si>
  <si>
    <t>PIL6/E/148/24-25</t>
  </si>
  <si>
    <t>PIL6/E/149/24-25</t>
  </si>
  <si>
    <t>PIL6/E/153/24-25</t>
  </si>
  <si>
    <t>PIL6/E/160/24-25</t>
  </si>
  <si>
    <t>PIL6/E/164/24-25</t>
  </si>
  <si>
    <t>PIL6/E/168/24-25</t>
  </si>
  <si>
    <t>PIL6/E/169/24-25</t>
  </si>
  <si>
    <t>PIL6/E/170/24-25</t>
  </si>
  <si>
    <t>PIL6/E/171/24-25</t>
  </si>
  <si>
    <t>PIL6/E/174/24-25</t>
  </si>
  <si>
    <t>PIL6/E/177/24-25</t>
  </si>
  <si>
    <t>PIL1/TP/E/001</t>
  </si>
  <si>
    <t>Sum of Bill Amount</t>
  </si>
  <si>
    <t>30/09/2024</t>
  </si>
  <si>
    <t>03/09/2024</t>
  </si>
  <si>
    <t>04/09/2024</t>
  </si>
  <si>
    <t>05/09/2024</t>
  </si>
  <si>
    <t>06/09/2024</t>
  </si>
  <si>
    <t>11/09/2024</t>
  </si>
  <si>
    <t>13/09/2024</t>
  </si>
  <si>
    <t>16/09/2024</t>
  </si>
  <si>
    <t>23/09/2024</t>
  </si>
  <si>
    <t>26/09/2024</t>
  </si>
  <si>
    <t>27/09/2024</t>
  </si>
  <si>
    <t>28/09/2024</t>
  </si>
  <si>
    <t>29/09/2024</t>
  </si>
  <si>
    <t>02/09/2024</t>
  </si>
  <si>
    <t>10/09/2024</t>
  </si>
  <si>
    <t>18/09/2024</t>
  </si>
  <si>
    <t>19/09/2024</t>
  </si>
  <si>
    <t>20/09/2024</t>
  </si>
  <si>
    <t>21/09/2024</t>
  </si>
  <si>
    <t>22/09/2024</t>
  </si>
  <si>
    <t>25/09/2024</t>
  </si>
  <si>
    <t>08/09/2024</t>
  </si>
  <si>
    <t>12/09/2024</t>
  </si>
  <si>
    <t>09/09/2024</t>
  </si>
  <si>
    <t>07/09/2024</t>
  </si>
  <si>
    <t>Plastene India Limited</t>
  </si>
  <si>
    <t>N S Traders</t>
  </si>
  <si>
    <t>Auroma Geotex Pvt Ltd - Sales</t>
  </si>
  <si>
    <t>24BEBPS5651D1ZO</t>
  </si>
  <si>
    <t>24AATCA2618Q1Z4</t>
  </si>
  <si>
    <t>PIL1/D/1297</t>
  </si>
  <si>
    <t>PIL1/D/1293</t>
  </si>
  <si>
    <t>PIL1/D/1312</t>
  </si>
  <si>
    <t>PIL1/D/1365</t>
  </si>
  <si>
    <t>PIL1/D/1379</t>
  </si>
  <si>
    <t>PIL1/D/1392</t>
  </si>
  <si>
    <t>PIL1/D/1394</t>
  </si>
  <si>
    <t>PIL1/D/1395</t>
  </si>
  <si>
    <t>PIL1/D/1407</t>
  </si>
  <si>
    <t>PIL1/D/1446</t>
  </si>
  <si>
    <t>PIL1/D/1459</t>
  </si>
  <si>
    <t>PIL2/D/614</t>
  </si>
  <si>
    <t>PIL2/D/632</t>
  </si>
  <si>
    <t>PIL2/D/652</t>
  </si>
  <si>
    <t>PIL2/D/667</t>
  </si>
  <si>
    <t>PIL2/D/690</t>
  </si>
  <si>
    <t>14/10/2024</t>
  </si>
  <si>
    <t>29/10/2024</t>
  </si>
  <si>
    <t>OCT-24</t>
  </si>
  <si>
    <t>PIL2/D/688</t>
  </si>
  <si>
    <t>PIL2/D/689</t>
  </si>
  <si>
    <t>PIL2/D/693</t>
  </si>
  <si>
    <t>PIL2/D/694</t>
  </si>
  <si>
    <t>PIL2/D/704</t>
  </si>
  <si>
    <t>PIL2/D/709</t>
  </si>
  <si>
    <t>PIL6/D/108</t>
  </si>
  <si>
    <t>PIL6/D/114</t>
  </si>
  <si>
    <t>PIL1/E/782/24-25</t>
  </si>
  <si>
    <t>PIL2/E/301/24-25</t>
  </si>
  <si>
    <t>LC Packaging SAS, France</t>
  </si>
  <si>
    <t>LC Packaging Covrom Srl</t>
  </si>
  <si>
    <t>LC Packaging Hungary TPI</t>
  </si>
  <si>
    <t>PIL1/E/719/24-25</t>
  </si>
  <si>
    <t>PIL1/E/720/24-25</t>
  </si>
  <si>
    <t>PIL1/E/781/24-25</t>
  </si>
  <si>
    <t>PIL2/E/269/24-25</t>
  </si>
  <si>
    <t>PIL2/E/273/24-25</t>
  </si>
  <si>
    <t>PIL2/E/323/24-25</t>
  </si>
  <si>
    <t>PIL6/E/198/24-25</t>
  </si>
  <si>
    <t>PIL1/E/684/24-25</t>
  </si>
  <si>
    <t>PIL1/E/686/24-25</t>
  </si>
  <si>
    <t>PIL1/E/685/24-25</t>
  </si>
  <si>
    <t>PIL1/E/692/24-25</t>
  </si>
  <si>
    <t>PIL1/E/691/24-25</t>
  </si>
  <si>
    <t>PIL1/E/706/24-25</t>
  </si>
  <si>
    <t>PIL1/E/707/24-25</t>
  </si>
  <si>
    <t>PIL1/E/729/24-25</t>
  </si>
  <si>
    <t>PIL1/E/731/24-25</t>
  </si>
  <si>
    <t>PIL1/E/735/24-25</t>
  </si>
  <si>
    <t>PIL1/E/738/24-25</t>
  </si>
  <si>
    <t>PIL1/E/739/24-25</t>
  </si>
  <si>
    <t>PIL1/E/745/24-25</t>
  </si>
  <si>
    <t>PIL1/E/740/24-25</t>
  </si>
  <si>
    <t>PIL1/E/762/24-25</t>
  </si>
  <si>
    <t>PIL1/E/761/24-25</t>
  </si>
  <si>
    <t>PIL1/E/770/24-25</t>
  </si>
  <si>
    <t>PIL1/E/784/24-25</t>
  </si>
  <si>
    <t>PIL1/E/785/24-25</t>
  </si>
  <si>
    <t>PIL1/E/791/24-25</t>
  </si>
  <si>
    <t>PIL1/E/798/24-25</t>
  </si>
  <si>
    <t>PIL2/E/268/24-25</t>
  </si>
  <si>
    <t>PIL2/E/270/24-25</t>
  </si>
  <si>
    <t>PIL2/E/271/24-25</t>
  </si>
  <si>
    <t>PIL2/E/272/24-25</t>
  </si>
  <si>
    <t>PIL2/E/274/24-25</t>
  </si>
  <si>
    <t>PIL2/E/275/24-25</t>
  </si>
  <si>
    <t>PIL2/E/276/24-25</t>
  </si>
  <si>
    <t>PIL2/E/279/24-25</t>
  </si>
  <si>
    <t>PIL2/E/280/24-25</t>
  </si>
  <si>
    <t>PIL2/E/281/24-25</t>
  </si>
  <si>
    <t>PIL2/E/282/24-25</t>
  </si>
  <si>
    <t>PIL2/E/283/24-25</t>
  </si>
  <si>
    <t>PIL2/TP/022</t>
  </si>
  <si>
    <t>PIL2/E/284/24-25</t>
  </si>
  <si>
    <t>PIL2/E/285/24-25</t>
  </si>
  <si>
    <t>PIL2/E/291/24-25</t>
  </si>
  <si>
    <t>PIL2/E/292/24-25</t>
  </si>
  <si>
    <t>PIL2/TP/023</t>
  </si>
  <si>
    <t>PIL2/TP/024</t>
  </si>
  <si>
    <t>PIL2/E/298/24-25</t>
  </si>
  <si>
    <t>PIL2/TP/025</t>
  </si>
  <si>
    <t>PIL2/E/300/24-25</t>
  </si>
  <si>
    <t>PIL2/E/309/24-25</t>
  </si>
  <si>
    <t>PIL2/E/303/24-25</t>
  </si>
  <si>
    <t>PIL2/E/304/24-25</t>
  </si>
  <si>
    <t>PIL2/E/305/24-25</t>
  </si>
  <si>
    <t>PIL2/E/306/24-25</t>
  </si>
  <si>
    <t>PIL2/E/307/24-25</t>
  </si>
  <si>
    <t>PIL2/E/308/24-25</t>
  </si>
  <si>
    <t>PIL2/E/311/24-25</t>
  </si>
  <si>
    <t>PIL2/TP/026</t>
  </si>
  <si>
    <t>PIL2/TP/027</t>
  </si>
  <si>
    <t>PIL2/E/316/24-25</t>
  </si>
  <si>
    <t>PIL2/E/318/24-25</t>
  </si>
  <si>
    <t>PIL2/E/319/24-25</t>
  </si>
  <si>
    <t>PIL2/E/320/24-25</t>
  </si>
  <si>
    <t>PIL2/E/321/24-25</t>
  </si>
  <si>
    <t>PIL2/E/322/24-25</t>
  </si>
  <si>
    <t>PIL2/E/324/24-25</t>
  </si>
  <si>
    <t>PIL2/E/325/24-25</t>
  </si>
  <si>
    <t>PIL2/E/326/24-25</t>
  </si>
  <si>
    <t>PIL2/E/327/24-25</t>
  </si>
  <si>
    <t>PIL2/E/328/24-25</t>
  </si>
  <si>
    <t>PIL6/E/178/24-25</t>
  </si>
  <si>
    <t>PIL6/E/179/24-25</t>
  </si>
  <si>
    <t>PIL6/E/186/24-25</t>
  </si>
  <si>
    <t>PIL6/E/191/24-25</t>
  </si>
  <si>
    <t>PIL6/E/195/24-25</t>
  </si>
  <si>
    <t>PIL6/E/196/24-25</t>
  </si>
  <si>
    <t>PIL6/E/199/24-25</t>
  </si>
  <si>
    <t>PIL6/E/200/24-25</t>
  </si>
  <si>
    <t>PIL6/E/201/24-25</t>
  </si>
  <si>
    <t>PIL6/E/204/24-25</t>
  </si>
  <si>
    <t>PIL6/E/210/24-25</t>
  </si>
  <si>
    <t>01/09/2024</t>
  </si>
  <si>
    <t>17/09/2024</t>
  </si>
  <si>
    <t>24/09/2024</t>
  </si>
  <si>
    <t>15/09/2024</t>
  </si>
  <si>
    <t>25/10/2024</t>
  </si>
  <si>
    <t>26/10/2024</t>
  </si>
  <si>
    <t>30/10/2024</t>
  </si>
  <si>
    <t>07/10/2024</t>
  </si>
  <si>
    <t>17/10/2024</t>
  </si>
  <si>
    <t>14/09/2024</t>
  </si>
  <si>
    <t>01/10/2024</t>
  </si>
  <si>
    <t>05/10/2024</t>
  </si>
  <si>
    <t>08/10/2024</t>
  </si>
  <si>
    <t>10/10/2024</t>
  </si>
  <si>
    <t>11/10/2024</t>
  </si>
  <si>
    <t>16/10/2024</t>
  </si>
  <si>
    <t>19/10/2024</t>
  </si>
  <si>
    <t>21/10/2024</t>
  </si>
  <si>
    <t>22/10/2024</t>
  </si>
  <si>
    <t>24/10/2024</t>
  </si>
  <si>
    <t>27/10/2024</t>
  </si>
  <si>
    <t>04/10/2024</t>
  </si>
  <si>
    <t>28/10/2024</t>
  </si>
  <si>
    <t>02/10/2024</t>
  </si>
  <si>
    <t>03/10/2024</t>
  </si>
  <si>
    <t>13/10/2024</t>
  </si>
  <si>
    <t>15/10/2024</t>
  </si>
  <si>
    <t>18/10/2024</t>
  </si>
  <si>
    <t>06/10/2024</t>
  </si>
  <si>
    <t>20/10/2024</t>
  </si>
  <si>
    <t>23/10/2024</t>
  </si>
  <si>
    <t>Acs Composites SARL</t>
  </si>
  <si>
    <t>NNZ The Packaging Network (PTY) Ltd South Africa</t>
  </si>
  <si>
    <t>Lc Packaging Germany</t>
  </si>
  <si>
    <t>LC Packaging Nordic AB, Sweden</t>
  </si>
  <si>
    <t>PIL1/E/805/24-25</t>
  </si>
  <si>
    <t>PIL1/E/806/24-25</t>
  </si>
  <si>
    <t>PIL1/E/807/24-25</t>
  </si>
  <si>
    <t>PIL1/E/808/24-25</t>
  </si>
  <si>
    <t>PIL1/E/809/24-25</t>
  </si>
  <si>
    <t>PIL1/E/813/24-25</t>
  </si>
  <si>
    <t>PIL1/E/819/24-25</t>
  </si>
  <si>
    <t>PIL1/E/830/24-25</t>
  </si>
  <si>
    <t>PIL1/E/831/24-25</t>
  </si>
  <si>
    <t>PIL1/E/829/24-25</t>
  </si>
  <si>
    <t>PIL1/HSS/25/24-25</t>
  </si>
  <si>
    <t>PIL1/E/840/24-25</t>
  </si>
  <si>
    <t>PIL1/E/841/24-25</t>
  </si>
  <si>
    <t>PIL1/E/842/24-25</t>
  </si>
  <si>
    <t>PIL1/E/843/24-25</t>
  </si>
  <si>
    <t>PIL1/E/844/24-25</t>
  </si>
  <si>
    <t>PIL1/E/845/24-25</t>
  </si>
  <si>
    <t>PIL1/E/847/24-25</t>
  </si>
  <si>
    <t>PIL1/E/848/24-25</t>
  </si>
  <si>
    <t>PIL1/E/849/24-25</t>
  </si>
  <si>
    <t>PIL1/E/856/24-25</t>
  </si>
  <si>
    <t>PIL1/E/857/24-25</t>
  </si>
  <si>
    <t>PIL1/E/854/24-25</t>
  </si>
  <si>
    <t>PIL1/E/855/24-25</t>
  </si>
  <si>
    <t>PIL1/E/866/24-25</t>
  </si>
  <si>
    <t>PIL1/E/865/24-25</t>
  </si>
  <si>
    <t>PIL1/E/872/24-25</t>
  </si>
  <si>
    <t>PIL1/E/870/24-25</t>
  </si>
  <si>
    <t>PIL1/E/878/24-25</t>
  </si>
  <si>
    <t>PIL1/E/879/24-25</t>
  </si>
  <si>
    <t>PIL1/E/886/24-25</t>
  </si>
  <si>
    <t>PIL1/E/888/24-25</t>
  </si>
  <si>
    <t>PIL1/E/891/24-25</t>
  </si>
  <si>
    <t>PIL1/E/905/24-25</t>
  </si>
  <si>
    <t>PIL1/E/899/24-25</t>
  </si>
  <si>
    <t>PIL1/E/900/24-25</t>
  </si>
  <si>
    <t>PIL1/E/901/24-25</t>
  </si>
  <si>
    <t>PIL1/E/911/24-25</t>
  </si>
  <si>
    <t>PIL2/E/330/24-25</t>
  </si>
  <si>
    <t>PIL2/TP/028</t>
  </si>
  <si>
    <t>PIL2/E/331/24-25</t>
  </si>
  <si>
    <t>PIL2/E/333/24-25</t>
  </si>
  <si>
    <t>PIL2/E/334/24-25</t>
  </si>
  <si>
    <t>PIL2/E/335/24-25</t>
  </si>
  <si>
    <t>PIL2/E/337/24-25</t>
  </si>
  <si>
    <t>PIL2/E/338/24-25</t>
  </si>
  <si>
    <t>PIL2/TP/029</t>
  </si>
  <si>
    <t>PIL2/E/341/24-25</t>
  </si>
  <si>
    <t>PIL2/E/339/24-25</t>
  </si>
  <si>
    <t>PIL2/E/345/24-25</t>
  </si>
  <si>
    <t>PIL2/E/342/24-25</t>
  </si>
  <si>
    <t>PIL2/E/343/24-25</t>
  </si>
  <si>
    <t>PIL2/E/344/24-25</t>
  </si>
  <si>
    <t>PIL2/E/348/24-25</t>
  </si>
  <si>
    <t>PIL2/E/347/24-25</t>
  </si>
  <si>
    <t>PIL2/E/351/24-25</t>
  </si>
  <si>
    <t>PIL2/E/352/24-25</t>
  </si>
  <si>
    <t>PIL2/E/353/24-25</t>
  </si>
  <si>
    <t>PIL2/E/354/24-25</t>
  </si>
  <si>
    <t>PIL2/E/355/24-25</t>
  </si>
  <si>
    <t>PIL2/E/349/24-25</t>
  </si>
  <si>
    <t>PIL2/E/350/24-25</t>
  </si>
  <si>
    <t>PIL2/E/356/24-25</t>
  </si>
  <si>
    <t>PIL2/E/358/24-25</t>
  </si>
  <si>
    <t>PIL2/E/359/24-25</t>
  </si>
  <si>
    <t>PIL2/E/360/24-25</t>
  </si>
  <si>
    <t>PIL2/E/363/24-25</t>
  </si>
  <si>
    <t>PIL2/E/365/24-25</t>
  </si>
  <si>
    <t>PIL2/E/366/24-25</t>
  </si>
  <si>
    <t>PIL2/E/364/24-25</t>
  </si>
  <si>
    <t>PIL2/E/368/24-25</t>
  </si>
  <si>
    <t>PIL2/E/367/24-25</t>
  </si>
  <si>
    <t>PIL2/E/373/24-25</t>
  </si>
  <si>
    <t>PIL2/E/374/24-25</t>
  </si>
  <si>
    <t>PIL2/E/375/24-25</t>
  </si>
  <si>
    <t>PIL2/E/376/24-25</t>
  </si>
  <si>
    <t>PIL2/TP/030</t>
  </si>
  <si>
    <t>PIL2/E/380/24-25</t>
  </si>
  <si>
    <t>PIL2/TP/031</t>
  </si>
  <si>
    <t>PIL2/E/381/24-25</t>
  </si>
  <si>
    <t>PIL2/E/383/24-25</t>
  </si>
  <si>
    <t>PIL2/E/382/24-25</t>
  </si>
  <si>
    <t>PIL2/E/386/24-25</t>
  </si>
  <si>
    <t>PIL6/E/213/24-25</t>
  </si>
  <si>
    <t>PIL6/E/215/24-25</t>
  </si>
  <si>
    <t>PIL6/E/219/24-25</t>
  </si>
  <si>
    <t>PIL6/E/220/24-25</t>
  </si>
  <si>
    <t>PIL6/E/221/24-25</t>
  </si>
  <si>
    <t>PIL6/E/223/24-25</t>
  </si>
  <si>
    <t>PIL6/E/225/24-25</t>
  </si>
  <si>
    <t>PIL6/E/224/24-25</t>
  </si>
  <si>
    <t>PIL6/E/226/24-25</t>
  </si>
  <si>
    <t>PIL6/E/227/24-25</t>
  </si>
  <si>
    <t>PIL6/E/229/24-25</t>
  </si>
  <si>
    <t>PIL6/E/233/24-25</t>
  </si>
  <si>
    <t>PIL6/E/234/24-25</t>
  </si>
  <si>
    <t>PIL6/E/238/24-25</t>
  </si>
  <si>
    <t>PIL6/E/237/24-25</t>
  </si>
  <si>
    <t>PIL6/E/244/24-25</t>
  </si>
  <si>
    <t>PIL6/E/245/24-25</t>
  </si>
  <si>
    <t>PIL1/TP/026</t>
  </si>
  <si>
    <t>PIL1/TP/027</t>
  </si>
  <si>
    <t>PIL1/TP/028</t>
  </si>
  <si>
    <t>PIL1/TP/029</t>
  </si>
  <si>
    <t>PIL1/TP/030</t>
  </si>
  <si>
    <t>PIL1/TP/031</t>
  </si>
  <si>
    <t>PIL1/TP/032</t>
  </si>
  <si>
    <t>PIL1/TP/033</t>
  </si>
  <si>
    <t>PIL1/TP/034</t>
  </si>
  <si>
    <t>PIL1/TP/035</t>
  </si>
  <si>
    <t>Shyam Plastic Services</t>
  </si>
  <si>
    <t>PIL1/D/1504</t>
  </si>
  <si>
    <t>PIL1/HSS/26/24-25</t>
  </si>
  <si>
    <t>PIL1/D/1524</t>
  </si>
  <si>
    <t>PIL1/D/1554</t>
  </si>
  <si>
    <t>PIL1/D/1588</t>
  </si>
  <si>
    <t>PIL1/D/1646</t>
  </si>
  <si>
    <t>PIL2/D/715</t>
  </si>
  <si>
    <t>PIL2/D/735</t>
  </si>
  <si>
    <t>PIL2/D/761</t>
  </si>
  <si>
    <t>PIL2/D/770</t>
  </si>
  <si>
    <t>PIL2/D/776</t>
  </si>
  <si>
    <t>29ADEPR8799L2ZA</t>
  </si>
  <si>
    <t>PIL1/D/1460</t>
  </si>
  <si>
    <t>PIL1/D/1461</t>
  </si>
  <si>
    <t>PIL1/D/1462</t>
  </si>
  <si>
    <t>PIL1/D/1464</t>
  </si>
  <si>
    <t>PIL1/D/1465</t>
  </si>
  <si>
    <t>PIL1/D/1463</t>
  </si>
  <si>
    <t>PIL1/D/1469</t>
  </si>
  <si>
    <t>PIL1/D/1472</t>
  </si>
  <si>
    <t>PIL1/D/1473</t>
  </si>
  <si>
    <t>PIL1/D/1480</t>
  </si>
  <si>
    <t>PIL1/D/1486</t>
  </si>
  <si>
    <t>PIL1/D/1494</t>
  </si>
  <si>
    <t>PIL1/D/1496</t>
  </si>
  <si>
    <t>PIL1/D/1497</t>
  </si>
  <si>
    <t>PIL1/D/1505</t>
  </si>
  <si>
    <t>PIL1/D/1509</t>
  </si>
  <si>
    <t>PIL1/D/1508</t>
  </si>
  <si>
    <t>PIL1/D/1510</t>
  </si>
  <si>
    <t>PIL1/D/1514</t>
  </si>
  <si>
    <t>PIL1/D/1527</t>
  </si>
  <si>
    <t>PIL1/D/1532</t>
  </si>
  <si>
    <t>PIL1/D/1539</t>
  </si>
  <si>
    <t>PIL1/D/1544</t>
  </si>
  <si>
    <t>PIL1/D/1545</t>
  </si>
  <si>
    <t>PIL1/D/1550</t>
  </si>
  <si>
    <t>PIL1/D/1546</t>
  </si>
  <si>
    <t>PIL1/D/1557</t>
  </si>
  <si>
    <t>PIL1/D/1555</t>
  </si>
  <si>
    <t>PIL1/D/1566</t>
  </si>
  <si>
    <t>PIL1/D/1581</t>
  </si>
  <si>
    <t>PIL1/D/1583</t>
  </si>
  <si>
    <t>PIL1/D/1590</t>
  </si>
  <si>
    <t>PIL1/D/1591</t>
  </si>
  <si>
    <t>PIL1/D/1593</t>
  </si>
  <si>
    <t>PIL1/D/1611</t>
  </si>
  <si>
    <t>PIL1/D/1638</t>
  </si>
  <si>
    <t>PIL1/D/1639</t>
  </si>
  <si>
    <t>PIL1/D/1643</t>
  </si>
  <si>
    <t>PIL2/D/716</t>
  </si>
  <si>
    <t>PIL2/D/717</t>
  </si>
  <si>
    <t>PIL2/D/718</t>
  </si>
  <si>
    <t>PIL2/D/721</t>
  </si>
  <si>
    <t>PIL2/D/733</t>
  </si>
  <si>
    <t>PIL2/D/741</t>
  </si>
  <si>
    <t>PIL2/D/742</t>
  </si>
  <si>
    <t>PIL2/D/746</t>
  </si>
  <si>
    <t>PIL2/D/752</t>
  </si>
  <si>
    <t>PIL2/D/753</t>
  </si>
  <si>
    <t>PIL2/D/755</t>
  </si>
  <si>
    <t>PIL2/D/756</t>
  </si>
  <si>
    <t>PIL2/D/768</t>
  </si>
  <si>
    <t>PIL2/D/769</t>
  </si>
  <si>
    <t>PIL2/D/775</t>
  </si>
  <si>
    <t>PIL2/D/777</t>
  </si>
  <si>
    <t>PIL2/D/778</t>
  </si>
  <si>
    <t>PIL6/D/145</t>
  </si>
  <si>
    <t>Basell International Trading Fze</t>
  </si>
  <si>
    <t>Texene LLC</t>
  </si>
  <si>
    <t>30/11/2024</t>
  </si>
  <si>
    <t>05/11/2024</t>
  </si>
  <si>
    <t>06/11/2024</t>
  </si>
  <si>
    <t>08/11/2024</t>
  </si>
  <si>
    <t>09/11/2024</t>
  </si>
  <si>
    <t>13/11/2024</t>
  </si>
  <si>
    <t>14/11/2024</t>
  </si>
  <si>
    <t>15/11/2024</t>
  </si>
  <si>
    <t>16/11/2024</t>
  </si>
  <si>
    <t>17/11/2024</t>
  </si>
  <si>
    <t>18/11/2024</t>
  </si>
  <si>
    <t>21/11/2024</t>
  </si>
  <si>
    <t>23/11/2024</t>
  </si>
  <si>
    <t>24/11/2024</t>
  </si>
  <si>
    <t>25/11/2024</t>
  </si>
  <si>
    <t>26/11/2024</t>
  </si>
  <si>
    <t>27/11/2024</t>
  </si>
  <si>
    <t>29/11/2024</t>
  </si>
  <si>
    <t>07/11/2024</t>
  </si>
  <si>
    <t>11/11/2024</t>
  </si>
  <si>
    <t>22/11/2024</t>
  </si>
  <si>
    <t>28/11/2024</t>
  </si>
  <si>
    <t>19/11/2024</t>
  </si>
  <si>
    <t>20/11/2024</t>
  </si>
  <si>
    <t>03/11/2024</t>
  </si>
  <si>
    <t>04/11/2024</t>
  </si>
  <si>
    <t>10/11/2024</t>
  </si>
  <si>
    <t>12/11/2024</t>
  </si>
  <si>
    <t>20 Microns Limited-Mundra</t>
  </si>
  <si>
    <t>Yash Industries</t>
  </si>
  <si>
    <t>Superform Chemistries Limited Jhagadia- PL85</t>
  </si>
  <si>
    <t>PI Polyblendz Private Limited</t>
  </si>
  <si>
    <t>Jainam Straap</t>
  </si>
  <si>
    <t>PIL1/D/1675</t>
  </si>
  <si>
    <t>PIL1/D/1683</t>
  </si>
  <si>
    <t>PIL1/D/1705</t>
  </si>
  <si>
    <t>PIL1/D/1706</t>
  </si>
  <si>
    <t>PIL1/D/1704</t>
  </si>
  <si>
    <t>PIL1/D/1713</t>
  </si>
  <si>
    <t>PIL1/D/1719</t>
  </si>
  <si>
    <t>PIL1/D/1730</t>
  </si>
  <si>
    <t>PIL1/D/1727</t>
  </si>
  <si>
    <t>PIL1/D/1742</t>
  </si>
  <si>
    <t>PIL1/D/1743</t>
  </si>
  <si>
    <t>PIL1/D/1751</t>
  </si>
  <si>
    <t>PIL1/D/1753</t>
  </si>
  <si>
    <t>PIL1/D/1758</t>
  </si>
  <si>
    <t>PIL1/D/1761</t>
  </si>
  <si>
    <t>PIL1/D/1767</t>
  </si>
  <si>
    <t>PIL1/D/1763</t>
  </si>
  <si>
    <t>PIL1/D/1764</t>
  </si>
  <si>
    <t>PIL1/D/1773</t>
  </si>
  <si>
    <t>PIL1/D/1779</t>
  </si>
  <si>
    <t>PIL1/D/1784</t>
  </si>
  <si>
    <t>PIL1/D/1785</t>
  </si>
  <si>
    <t>PIL1/D/1792</t>
  </si>
  <si>
    <t>PIL1/D/1793</t>
  </si>
  <si>
    <t>PIL1/D/1799</t>
  </si>
  <si>
    <t>PIL1/D/1814</t>
  </si>
  <si>
    <t>PIL1/D/1816</t>
  </si>
  <si>
    <t>PIL1/D/1824</t>
  </si>
  <si>
    <t>PIL1/D/1829</t>
  </si>
  <si>
    <t>PIL1/D/1830</t>
  </si>
  <si>
    <t>PIL1/D/1823</t>
  </si>
  <si>
    <t>PIL1/D/1825</t>
  </si>
  <si>
    <t>PIL1/D/1826</t>
  </si>
  <si>
    <t>PIL1/D/1827</t>
  </si>
  <si>
    <t>PIL1/D/1828</t>
  </si>
  <si>
    <t>PIL1/D/1836</t>
  </si>
  <si>
    <t>PIL1/D/1834</t>
  </si>
  <si>
    <t>PIL1/D/1835</t>
  </si>
  <si>
    <t>PIL1/D/1831</t>
  </si>
  <si>
    <t>PIL1/D/1841</t>
  </si>
  <si>
    <t>PIL1/D/1842</t>
  </si>
  <si>
    <t>PIL1/D/1843</t>
  </si>
  <si>
    <t>PIL1/D/1839</t>
  </si>
  <si>
    <t>PIL1/D/1840</t>
  </si>
  <si>
    <t>PIL1/D/1846</t>
  </si>
  <si>
    <t>PIL1/D/1852</t>
  </si>
  <si>
    <t>PIL1/D/1857</t>
  </si>
  <si>
    <t>PIL1/D/1858</t>
  </si>
  <si>
    <t>PIL2/D/785</t>
  </si>
  <si>
    <t>PIL2/D/786</t>
  </si>
  <si>
    <t>PIL2/D/790</t>
  </si>
  <si>
    <t>PIL2/D/791</t>
  </si>
  <si>
    <t>PIL2/D/797</t>
  </si>
  <si>
    <t>PIL2/D/798</t>
  </si>
  <si>
    <t>PIL2/D/799</t>
  </si>
  <si>
    <t>PIL2/D/805</t>
  </si>
  <si>
    <t>PIL2/D/819</t>
  </si>
  <si>
    <t>PIL2/D/823</t>
  </si>
  <si>
    <t>PIL2/D/827</t>
  </si>
  <si>
    <t>PIL2/D/828</t>
  </si>
  <si>
    <t>PIL2/D/829</t>
  </si>
  <si>
    <t>PIL2/D/830</t>
  </si>
  <si>
    <t>PIL2/D/837</t>
  </si>
  <si>
    <t>PIL2/D/839</t>
  </si>
  <si>
    <t>PIL2/D/846</t>
  </si>
  <si>
    <t>PIL2/D/848</t>
  </si>
  <si>
    <t>PIL2/D/857</t>
  </si>
  <si>
    <t>PIL2/D/855</t>
  </si>
  <si>
    <t>PIL2/D/862</t>
  </si>
  <si>
    <t>PIL2/D/867</t>
  </si>
  <si>
    <t>PIL2/D/871</t>
  </si>
  <si>
    <t>PIL2/D/872</t>
  </si>
  <si>
    <t>26AABFY8913B1Z9</t>
  </si>
  <si>
    <t>24AADCU0994M1ZX</t>
  </si>
  <si>
    <t>24AAJCP0137B1Z0</t>
  </si>
  <si>
    <t>24BFVPS9830R2Z3</t>
  </si>
  <si>
    <t>Agrisac</t>
  </si>
  <si>
    <t>Modus Granum LLC</t>
  </si>
  <si>
    <t>PIL1/E/915/24-25</t>
  </si>
  <si>
    <t>PIL1/E/916/24-25</t>
  </si>
  <si>
    <t>PIL1/E/918/24-25</t>
  </si>
  <si>
    <t>PIL1/E/919/24-25</t>
  </si>
  <si>
    <t>PIL1/E/923/24-25</t>
  </si>
  <si>
    <t>PIL1/E/924/24-25</t>
  </si>
  <si>
    <t>PIL1/E/936/24-25</t>
  </si>
  <si>
    <t>PIL1/E/937/24-25</t>
  </si>
  <si>
    <t>PIL1/E/938/24-25</t>
  </si>
  <si>
    <t>PIL1/E/944/24-25</t>
  </si>
  <si>
    <t>PIL1/E/947/24-25</t>
  </si>
  <si>
    <t>PIL1/E/955/24-25</t>
  </si>
  <si>
    <t>PIL1/E/956/24-25</t>
  </si>
  <si>
    <t>PIL1/E/960/24-25</t>
  </si>
  <si>
    <t>PIL1/E/961/24-25</t>
  </si>
  <si>
    <t>PIL1/E/971/24-25</t>
  </si>
  <si>
    <t>PIL1/E/978/24-25</t>
  </si>
  <si>
    <t>PIL1/E/979/24-25</t>
  </si>
  <si>
    <t>PIL1/E/983/24-25</t>
  </si>
  <si>
    <t>PIL1/E/984/24-25</t>
  </si>
  <si>
    <t>PIL1/E/985/24-25</t>
  </si>
  <si>
    <t>PIL1/E/993/24-25</t>
  </si>
  <si>
    <t>PIL1/E/991/24-25</t>
  </si>
  <si>
    <t>PIL1/E/1002/24-25</t>
  </si>
  <si>
    <t>PIL1/E/1013/24-25</t>
  </si>
  <si>
    <t>PIL1/E/1016/24-25</t>
  </si>
  <si>
    <t>PIL1/E/1023/24-25</t>
  </si>
  <si>
    <t>PIL1/E/1027/24-25</t>
  </si>
  <si>
    <t>PIL2/E/387/24-25</t>
  </si>
  <si>
    <t>PIL2/TP/032</t>
  </si>
  <si>
    <t>PIL2/TP/033</t>
  </si>
  <si>
    <t>PIL2/E/388/24-25</t>
  </si>
  <si>
    <t>PIL2/E/389/24-25</t>
  </si>
  <si>
    <t>PIL2/E/390/24-25</t>
  </si>
  <si>
    <t>PIL2/E/392/24-25</t>
  </si>
  <si>
    <t>PIL2/E/391/24-25</t>
  </si>
  <si>
    <t>PIL2/E/395/24-25</t>
  </si>
  <si>
    <t>PIL2/E/396/24-25</t>
  </si>
  <si>
    <t>PIL2/E/397/24-25</t>
  </si>
  <si>
    <t>PIL2/E/398/24-25</t>
  </si>
  <si>
    <t>PIL2/E/399/24-25</t>
  </si>
  <si>
    <t>PIL2/E/400/24-25</t>
  </si>
  <si>
    <t>PIL2/E/401/24-25</t>
  </si>
  <si>
    <t>PIL2/E/402/24-25</t>
  </si>
  <si>
    <t>PIL2/E/403/24-25</t>
  </si>
  <si>
    <t>PIL2/E/404/24-25</t>
  </si>
  <si>
    <t>PIL2/E/406/24-25</t>
  </si>
  <si>
    <t>PIL2/TP/034</t>
  </si>
  <si>
    <t>PIL2/E/407/24-25</t>
  </si>
  <si>
    <t>PIL2/E/408/24-25</t>
  </si>
  <si>
    <t>PIL2/E/411/24-25</t>
  </si>
  <si>
    <t>PIL2/E/410/24-25</t>
  </si>
  <si>
    <t>PIL2/E/412/24-25</t>
  </si>
  <si>
    <t>PIL2/E/413/24-25</t>
  </si>
  <si>
    <t>PIL2/E/416/24-25</t>
  </si>
  <si>
    <t>PIL2/E/417/24-25</t>
  </si>
  <si>
    <t>PIL2/E/415/24-25</t>
  </si>
  <si>
    <t>PIL2/E/421/24-25</t>
  </si>
  <si>
    <t>PIL2/E/420/24-25</t>
  </si>
  <si>
    <t>PIL2/TP/035</t>
  </si>
  <si>
    <t>PIL2/TP/036</t>
  </si>
  <si>
    <t>PIL2/E/424/24-25</t>
  </si>
  <si>
    <t>PIL2/E/428/24-25</t>
  </si>
  <si>
    <t>PIL2/E/432/24-25</t>
  </si>
  <si>
    <t>PIL2/E/429/24-25</t>
  </si>
  <si>
    <t>PIL2/E/431/24-25</t>
  </si>
  <si>
    <t>PIL2/E/434/24-25</t>
  </si>
  <si>
    <t>PIL2/E/435/24-25</t>
  </si>
  <si>
    <t>PIL6/E/246/24-25</t>
  </si>
  <si>
    <t>PIL6/E/248/24-25</t>
  </si>
  <si>
    <t>PIL6/E/247/24-25</t>
  </si>
  <si>
    <t>PIL6/E/249/24-25</t>
  </si>
  <si>
    <t>PIL6/E/252/24-25</t>
  </si>
  <si>
    <t>PIL6/E/253/24-25</t>
  </si>
  <si>
    <t>PIL6/E/255/24-25</t>
  </si>
  <si>
    <t>PIL6/E/254/24-25</t>
  </si>
  <si>
    <t>PIL6/E/258/24-25</t>
  </si>
  <si>
    <t>PIL6/E/259/24-25</t>
  </si>
  <si>
    <t>PIL6/E/263/24-25</t>
  </si>
  <si>
    <t>PIL6/E/264/24-25</t>
  </si>
  <si>
    <t>PIL6/E/266/24-25</t>
  </si>
  <si>
    <t>PIL6/E/267/24-25</t>
  </si>
  <si>
    <t>PIL6/E/270/24-25</t>
  </si>
  <si>
    <t>PIL6/E/271/24-25</t>
  </si>
  <si>
    <t>PIL1/TP/036</t>
  </si>
  <si>
    <t>PIL1/TP/037</t>
  </si>
  <si>
    <t>PIL1/TP/038</t>
  </si>
  <si>
    <t>export</t>
  </si>
  <si>
    <t>Swayam Poly Plast Private Limited - Purchase</t>
  </si>
  <si>
    <t>24AAHCP1316J1ZM</t>
  </si>
  <si>
    <t>Diff</t>
  </si>
  <si>
    <t>0-180 DAYS</t>
  </si>
  <si>
    <t>Count of Value (maximum 2 decimal)</t>
  </si>
  <si>
    <t>31/12/2024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</si>
  <si>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</si>
  <si>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</si>
  <si>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</si>
  <si>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</si>
  <si>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</si>
  <si>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</si>
  <si>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</si>
  <si>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</si>
  <si>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</si>
  <si>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</si>
  <si>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</si>
  <si>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</si>
  <si>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</si>
  <si>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</si>
  <si>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</si>
  <si>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</si>
  <si>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</si>
  <si>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</si>
  <si>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</si>
  <si>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</si>
  <si>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</si>
  <si>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</si>
  <si>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</si>
  <si>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</si>
  <si>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</si>
  <si>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</si>
  <si>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</si>
  <si>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</si>
  <si>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Variofil Industries - Sales</t>
  </si>
  <si>
    <t>Parekh Ventures LLP - Sales</t>
  </si>
  <si>
    <t>Chandresh Cables Ltd - (Unit-3)</t>
  </si>
  <si>
    <t>Hd Microns Limited</t>
  </si>
  <si>
    <t>Bulkliner Logistics Pvt Ltd-Kerala</t>
  </si>
  <si>
    <t>24AAOFV5137D1Z5</t>
  </si>
  <si>
    <t>24AAZFP6365L1ZB</t>
  </si>
  <si>
    <t>24AACCH0908F1Z4</t>
  </si>
  <si>
    <t>32AAGCG9239G1ZK</t>
  </si>
  <si>
    <t>PIL1/D/1861</t>
  </si>
  <si>
    <t>PIL1/D/1880</t>
  </si>
  <si>
    <t>PIL1/D/1879</t>
  </si>
  <si>
    <t>PIL1/D/1911</t>
  </si>
  <si>
    <t>PIL1/D/1925</t>
  </si>
  <si>
    <t>PIL1/D/1935</t>
  </si>
  <si>
    <t>PIL1/HSS/30/24-25</t>
  </si>
  <si>
    <t>PIL1/HSS/31/24-25</t>
  </si>
  <si>
    <t>PIL1/HSS/32/24-25</t>
  </si>
  <si>
    <t>PIL1/D/1980</t>
  </si>
  <si>
    <t>PIL1/D/1990</t>
  </si>
  <si>
    <t>PIL1/D/2013</t>
  </si>
  <si>
    <t>PIL1/D/2018</t>
  </si>
  <si>
    <t>PIL1/D/2020</t>
  </si>
  <si>
    <t>PIL1/D/2023</t>
  </si>
  <si>
    <t>PIL1/D/2024</t>
  </si>
  <si>
    <t>PIL1/D/2025</t>
  </si>
  <si>
    <t>PIL1/D/2026</t>
  </si>
  <si>
    <t>PIL1/D/2029</t>
  </si>
  <si>
    <t>PIL1/D/2031</t>
  </si>
  <si>
    <t>PIL1/D/2034</t>
  </si>
  <si>
    <t>PIL1/D/2039</t>
  </si>
  <si>
    <t>PIL1/D/2041</t>
  </si>
  <si>
    <t>PIL1/D/2048</t>
  </si>
  <si>
    <t>PIL1/D/2061</t>
  </si>
  <si>
    <t>PIL1/D/2063</t>
  </si>
  <si>
    <t>PIL1/D/2070</t>
  </si>
  <si>
    <t>PIL1/D/2071</t>
  </si>
  <si>
    <t>PIL1/D/2075</t>
  </si>
  <si>
    <t>PIL1/D/2076</t>
  </si>
  <si>
    <t>PIL1/D/2082</t>
  </si>
  <si>
    <t>PIL1/D/2087</t>
  </si>
  <si>
    <t>PIL1/D/2088</t>
  </si>
  <si>
    <t>PIL1/D/2090</t>
  </si>
  <si>
    <t>PIL1/D/2095</t>
  </si>
  <si>
    <t>PIL1/D/2096</t>
  </si>
  <si>
    <t>PIL2/D/880</t>
  </si>
  <si>
    <t>PIL2/D/891</t>
  </si>
  <si>
    <t>PIL2/D/899</t>
  </si>
  <si>
    <t>PIL2/D/912</t>
  </si>
  <si>
    <t>PIL2/D/909</t>
  </si>
  <si>
    <t>PIL2/D/910</t>
  </si>
  <si>
    <t>PIL2/D/913</t>
  </si>
  <si>
    <t>PIL2/D/961</t>
  </si>
  <si>
    <t>PIL2/D/960</t>
  </si>
  <si>
    <t>Kamadur Industrial Knives B.V.</t>
  </si>
  <si>
    <t>PIL1/E/1028/24-25</t>
  </si>
  <si>
    <t>PIL1/E/1031/24-25</t>
  </si>
  <si>
    <t>PIL1/E/1035/24-25</t>
  </si>
  <si>
    <t>PIL1/E/1039/24-25</t>
  </si>
  <si>
    <t>PIL1/E/1050/24-25</t>
  </si>
  <si>
    <t>PIL1/E/1061/24-25</t>
  </si>
  <si>
    <t>PIL1/E/1062/24-25</t>
  </si>
  <si>
    <t>PIL1/E/1052/24-25</t>
  </si>
  <si>
    <t>PIL1/E/1053/24-25</t>
  </si>
  <si>
    <t>PIL1/E/1068/24-25</t>
  </si>
  <si>
    <t>PIL1/E/1072/24-25</t>
  </si>
  <si>
    <t>PIL1/E/1073/24-25</t>
  </si>
  <si>
    <t>PIL1/E/1078/24-25</t>
  </si>
  <si>
    <t>PIL1/E/1076/24-25</t>
  </si>
  <si>
    <t>PIL1/E/1075/24-25</t>
  </si>
  <si>
    <t>PIL1/E/1084/24-25</t>
  </si>
  <si>
    <t>PIL1/E/1090/24-25</t>
  </si>
  <si>
    <t>PIL1/E/1091/24-25</t>
  </si>
  <si>
    <t>PIL1/E/1096/24-25</t>
  </si>
  <si>
    <t>PIL1/E/1099/24-25</t>
  </si>
  <si>
    <t>PIL1/E/1100/24-25</t>
  </si>
  <si>
    <t>PIL1/E/1101/24-25</t>
  </si>
  <si>
    <t>PIL1/E/1109/24-25</t>
  </si>
  <si>
    <t>PIL1/E/1110/24-25</t>
  </si>
  <si>
    <t>PIL1/E/1111/24-25</t>
  </si>
  <si>
    <t>PIL1/E/1112/24-25</t>
  </si>
  <si>
    <t>PIL1/E/1104/24-25</t>
  </si>
  <si>
    <t>PIL1/E/1105/24-25</t>
  </si>
  <si>
    <t>PIL1/E/1115/24-25</t>
  </si>
  <si>
    <t>PIL1/E/1138/24-25</t>
  </si>
  <si>
    <t>PIL1/E/1140/24-25</t>
  </si>
  <si>
    <t>PIL1/E/1142/24-25</t>
  </si>
  <si>
    <t>PIL1/E/1153/24-25</t>
  </si>
  <si>
    <t>PIL1/E/1156/24-25</t>
  </si>
  <si>
    <t>PIL1/E/1155/24-25</t>
  </si>
  <si>
    <t>PIL1/E/1159/24-25</t>
  </si>
  <si>
    <t>PIL1/E/1158/24-25</t>
  </si>
  <si>
    <t>PIL1/E/1160/24-25</t>
  </si>
  <si>
    <t>PIL1/E/1161/24-25</t>
  </si>
  <si>
    <t>PIL1/E/1175/24-25</t>
  </si>
  <si>
    <t>PIL1/E/1178/24-25</t>
  </si>
  <si>
    <t>PIL1/E/1179/24-25</t>
  </si>
  <si>
    <t>PIL1/E/1180/24-25</t>
  </si>
  <si>
    <t>PIL1/E/1186/24-25</t>
  </si>
  <si>
    <t>PIL1/E/1184/24-25</t>
  </si>
  <si>
    <t>PIL1/E/1188/24-25</t>
  </si>
  <si>
    <t>PIL1/E/1189/24-25</t>
  </si>
  <si>
    <t>PIL2/E/437/24-25</t>
  </si>
  <si>
    <t>PIL2/E/440/24-25</t>
  </si>
  <si>
    <t>PIL2/E/441/24-25</t>
  </si>
  <si>
    <t>PIL2/E/446/24-25</t>
  </si>
  <si>
    <t>PIL2/E/448/24-25</t>
  </si>
  <si>
    <t>PIL2/E/449/24-25</t>
  </si>
  <si>
    <t>PIL2/E/453/24-25</t>
  </si>
  <si>
    <t>PIL2/E/455/24-25</t>
  </si>
  <si>
    <t>PIL2/E/454/24-25</t>
  </si>
  <si>
    <t>PIL2/E/459/24-25</t>
  </si>
  <si>
    <t>PIL2/E/458/24-25</t>
  </si>
  <si>
    <t>PIL2/E/463/24-25</t>
  </si>
  <si>
    <t>PIL2/E/462/24-25</t>
  </si>
  <si>
    <t>PIL2/TP/037</t>
  </si>
  <si>
    <t>PIL2/E/464/24-25</t>
  </si>
  <si>
    <t>PIL2/TP/038</t>
  </si>
  <si>
    <t>PIL2/E/467/24-25</t>
  </si>
  <si>
    <t>PIL2/TP/039</t>
  </si>
  <si>
    <t>PIL2/TP/040</t>
  </si>
  <si>
    <t>PIL6/E/277/24-25</t>
  </si>
  <si>
    <t>PIL6/E/283/24-25</t>
  </si>
  <si>
    <t>PIL6/E/284/24-25</t>
  </si>
  <si>
    <t>PIL6/E/285/24-25</t>
  </si>
  <si>
    <t>PIL6/E/290/24-25</t>
  </si>
  <si>
    <t>PIL6/E/291/24-25</t>
  </si>
  <si>
    <t>PIL6/E/295/24-25</t>
  </si>
  <si>
    <t>PIL6/E/293/24-25</t>
  </si>
  <si>
    <t>PIL6/E/294/24-25</t>
  </si>
  <si>
    <t>PIL6/E/296/24-25</t>
  </si>
  <si>
    <t>PIL6/E/297/24-25</t>
  </si>
  <si>
    <t>PIL6/E/298/24-25</t>
  </si>
  <si>
    <t>PIL6/E/300/24-25</t>
  </si>
  <si>
    <t>PIL6/E/304/24-25</t>
  </si>
  <si>
    <t>PIL6/E/309/24-25</t>
  </si>
  <si>
    <t>PIL6/E/313/24-25</t>
  </si>
  <si>
    <t>PIL6/E/312/24-25</t>
  </si>
  <si>
    <t>PIL6/E/314/24-25</t>
  </si>
  <si>
    <t>PIL1/TP/040</t>
  </si>
  <si>
    <t>PIL1/TP/039</t>
  </si>
  <si>
    <t>PIL1/TP/041</t>
  </si>
  <si>
    <t>PIL1/TP/042</t>
  </si>
  <si>
    <t>PIL1/TP/043</t>
  </si>
  <si>
    <t>Rfbl Flexi Pack Limited</t>
  </si>
  <si>
    <t>PIL2/D/936</t>
  </si>
  <si>
    <t>PIL2/D/939</t>
  </si>
  <si>
    <t>PIL2/D/942</t>
  </si>
  <si>
    <t>PIL2/D/948</t>
  </si>
  <si>
    <t>PIL2/D/950</t>
  </si>
  <si>
    <t>PIL2/D/958</t>
  </si>
  <si>
    <t>As per Book</t>
  </si>
  <si>
    <t>OQ Marketing LLC</t>
  </si>
  <si>
    <t>SPPPL1615/24-25</t>
  </si>
  <si>
    <t>SPPPL1616/24-25</t>
  </si>
  <si>
    <t>SPPPL1625/24-25</t>
  </si>
  <si>
    <t>SPPPL1629/24-25</t>
  </si>
  <si>
    <t>SPPPL1630/24-25</t>
  </si>
  <si>
    <t>SPPPL1623/24-25</t>
  </si>
  <si>
    <t>12/01/2025</t>
  </si>
  <si>
    <t>24/01/2025</t>
  </si>
  <si>
    <t>JAN-25</t>
  </si>
  <si>
    <t>PIL1/D/1862</t>
  </si>
  <si>
    <t>PIL1/D/1864</t>
  </si>
  <si>
    <t>PIL1/D/1866</t>
  </si>
  <si>
    <t>PIL1/D/1867</t>
  </si>
  <si>
    <t>PIL1/D/1872</t>
  </si>
  <si>
    <t>PIL1/D/1873</t>
  </si>
  <si>
    <t>PIL1/D/1876</t>
  </si>
  <si>
    <t>PIL1/D/1877</t>
  </si>
  <si>
    <t>PIL1/D/1883</t>
  </si>
  <si>
    <t>PIL1/D/1884</t>
  </si>
  <si>
    <t>PIL1/D/1889</t>
  </si>
  <si>
    <t>PIL1/D/1891</t>
  </si>
  <si>
    <t>PIL1/D/1892</t>
  </si>
  <si>
    <t>PIL1/D/1893</t>
  </si>
  <si>
    <t>PIL1/D/1894</t>
  </si>
  <si>
    <t>PIL1/D/1897</t>
  </si>
  <si>
    <t>PIL1/D/1899</t>
  </si>
  <si>
    <t>PIL1/D/1900</t>
  </si>
  <si>
    <t>PIL1/D/1907</t>
  </si>
  <si>
    <t>PIL1/D/1908</t>
  </si>
  <si>
    <t>PIL1/D/1910</t>
  </si>
  <si>
    <t>PIL1/D/1913</t>
  </si>
  <si>
    <t>PIL1/D/1914</t>
  </si>
  <si>
    <t>PIL1/D/1915</t>
  </si>
  <si>
    <t>PIL1/D/1916</t>
  </si>
  <si>
    <t>PIL1/D/1918</t>
  </si>
  <si>
    <t>PIL1/D/1919</t>
  </si>
  <si>
    <t>PIL1/D/1929</t>
  </si>
  <si>
    <t>PIL1/D/1930</t>
  </si>
  <si>
    <t>PIL1/D/1933</t>
  </si>
  <si>
    <t>PIL1/D/1934</t>
  </si>
  <si>
    <t>PIL1/D/1942</t>
  </si>
  <si>
    <t>PIL1/D/1943</t>
  </si>
  <si>
    <t>PIL1/D/1944</t>
  </si>
  <si>
    <t>PIL1/D/1945</t>
  </si>
  <si>
    <t>PIL1/D/1946</t>
  </si>
  <si>
    <t>PIL1/D/1950</t>
  </si>
  <si>
    <t>PIL1/D/1951</t>
  </si>
  <si>
    <t>PIL1/D/1957</t>
  </si>
  <si>
    <t>PIL1/D/1959</t>
  </si>
  <si>
    <t>PIL1/D/1961</t>
  </si>
  <si>
    <t>PIL1/D/1962</t>
  </si>
  <si>
    <t>PIL1/D/1966</t>
  </si>
  <si>
    <t>PIL1/D/1967</t>
  </si>
  <si>
    <t>PIL1/D/1968</t>
  </si>
  <si>
    <t>PIL1/D/1969</t>
  </si>
  <si>
    <t>PIL1/D/1971</t>
  </si>
  <si>
    <t>PIL1/D/1972</t>
  </si>
  <si>
    <t>PIL1/D/1977</t>
  </si>
  <si>
    <t>PIL1/D/1978</t>
  </si>
  <si>
    <t>PIL1/D/1979</t>
  </si>
  <si>
    <t>PIL1/D/1983</t>
  </si>
  <si>
    <t>PIL1/D/1984</t>
  </si>
  <si>
    <t>PIL1/D/1985</t>
  </si>
  <si>
    <t>PIL1/D/1986</t>
  </si>
  <si>
    <t>PIL1/D/1991</t>
  </si>
  <si>
    <t>PIL1/D/1992</t>
  </si>
  <si>
    <t>PIL1/D/1993</t>
  </si>
  <si>
    <t>PIL1/D/1994</t>
  </si>
  <si>
    <t>PIL1/D/1995</t>
  </si>
  <si>
    <t>PIL1/D/1996</t>
  </si>
  <si>
    <t>PIL1/D/1999</t>
  </si>
  <si>
    <t>PIL1/D/2003</t>
  </si>
  <si>
    <t>PIL1/D/2004</t>
  </si>
  <si>
    <t>PIL1/D/2005</t>
  </si>
  <si>
    <t>PIL1/D/2006</t>
  </si>
  <si>
    <t>PIL1/D/2007</t>
  </si>
  <si>
    <t>PIL1/D/2011</t>
  </si>
  <si>
    <t>PIL1/D/2016</t>
  </si>
  <si>
    <t>PIL1/D/2017</t>
  </si>
  <si>
    <t>PIL1/D/2019</t>
  </si>
  <si>
    <t>PIL1/D/2021</t>
  </si>
  <si>
    <t>PIL1/D/2022</t>
  </si>
  <si>
    <t>PIL1/D/2027</t>
  </si>
  <si>
    <t>PIL1/D/2028</t>
  </si>
  <si>
    <t>PIL1/D/2032</t>
  </si>
  <si>
    <t>PIL1/D/2033</t>
  </si>
  <si>
    <t>PIL1/D/2035</t>
  </si>
  <si>
    <t>PIL1/D/2037</t>
  </si>
  <si>
    <t>PIL1/D/2038</t>
  </si>
  <si>
    <t>PIL1/D/2040</t>
  </si>
  <si>
    <t>PIL1/D/2044</t>
  </si>
  <si>
    <t>PIL1/D/2045</t>
  </si>
  <si>
    <t>PIL1/D/2049</t>
  </si>
  <si>
    <t>PIL1/D/2050</t>
  </si>
  <si>
    <t>PIL1/D/2056</t>
  </si>
  <si>
    <t>PIL1/D/2057</t>
  </si>
  <si>
    <t>PIL1/D/2058</t>
  </si>
  <si>
    <t>PIL1/D/2062</t>
  </si>
  <si>
    <t>PIL1/D/2065</t>
  </si>
  <si>
    <t>PIL1/D/2066</t>
  </si>
  <si>
    <t>PIL1/D/2072</t>
  </si>
  <si>
    <t>PIL1/D/2073</t>
  </si>
  <si>
    <t>PIL1/D/2074</t>
  </si>
  <si>
    <t>PIL1/D/2077</t>
  </si>
  <si>
    <t>PIL1/D/2080</t>
  </si>
  <si>
    <t>PIL1/D/2083</t>
  </si>
  <si>
    <t>PIL1/D/2084</t>
  </si>
  <si>
    <t>PIL1/D/2089</t>
  </si>
  <si>
    <t>PIL1/D/2091</t>
  </si>
  <si>
    <t>PIL1/D/2092</t>
  </si>
  <si>
    <t>PIL1/D/2097</t>
  </si>
  <si>
    <t>PIL1/D/2098</t>
  </si>
  <si>
    <t>PIL1/D/2099</t>
  </si>
  <si>
    <t>PIL1/D/2100</t>
  </si>
  <si>
    <t>PIL2/D/877</t>
  </si>
  <si>
    <t>PIL2/D/885</t>
  </si>
  <si>
    <t>PIL2/D/886</t>
  </si>
  <si>
    <t>PIL2/D/892</t>
  </si>
  <si>
    <t>PIL2/D/904</t>
  </si>
  <si>
    <t>PIL2/D/911</t>
  </si>
  <si>
    <t>PIL2/D/916</t>
  </si>
  <si>
    <t>PIL2/D/920</t>
  </si>
  <si>
    <t>PIL2/D/921</t>
  </si>
  <si>
    <t>PIL2/D/944</t>
  </si>
  <si>
    <t>PIL2/D/945</t>
  </si>
  <si>
    <t>PIL2/D/964</t>
  </si>
  <si>
    <t>PIL2/D/965</t>
  </si>
  <si>
    <t>PIL2/D/966</t>
  </si>
  <si>
    <t>PIL6/D/168</t>
  </si>
  <si>
    <t>PIL6/D/175</t>
  </si>
  <si>
    <t>cesur</t>
  </si>
  <si>
    <t>no sale from jul-24</t>
  </si>
  <si>
    <t>no sale from jun-24</t>
  </si>
  <si>
    <t>09/01/2025</t>
  </si>
  <si>
    <t>11/01/2025</t>
  </si>
  <si>
    <t>01/01/2025</t>
  </si>
  <si>
    <t>03/01/2025</t>
  </si>
  <si>
    <t>07/01/2025</t>
  </si>
  <si>
    <t>08/01/2025</t>
  </si>
  <si>
    <t>15/01/2025</t>
  </si>
  <si>
    <t>16/01/2025</t>
  </si>
  <si>
    <t>20/01/2025</t>
  </si>
  <si>
    <t>21/01/2025</t>
  </si>
  <si>
    <t>22/01/2025</t>
  </si>
  <si>
    <t>23/01/2025</t>
  </si>
  <si>
    <t>25/01/2025</t>
  </si>
  <si>
    <t>27/01/2025</t>
  </si>
  <si>
    <t>28/01/2025</t>
  </si>
  <si>
    <t>29/01/2025</t>
  </si>
  <si>
    <t>30/01/2025</t>
  </si>
  <si>
    <t>31/01/2025</t>
  </si>
  <si>
    <t>04/01/2025</t>
  </si>
  <si>
    <t>13/01/2025</t>
  </si>
  <si>
    <t>02/01/2025</t>
  </si>
  <si>
    <t>10/01/2025</t>
  </si>
  <si>
    <t>14/01/2025</t>
  </si>
  <si>
    <t>17/01/2025</t>
  </si>
  <si>
    <t>18/01/2025</t>
  </si>
  <si>
    <t>26/01/2025</t>
  </si>
  <si>
    <t>19/01/2025</t>
  </si>
  <si>
    <t>24AAJCS2339C1ZN</t>
  </si>
  <si>
    <t>Films All (SF)</t>
  </si>
  <si>
    <t>RM Consumables</t>
  </si>
  <si>
    <t>Swayam Poly Plast Pvt Ltd</t>
  </si>
  <si>
    <t>PIL1/HSS/33/24-25</t>
  </si>
  <si>
    <t>PIL1/D/2121</t>
  </si>
  <si>
    <t>PIL1/D/2238</t>
  </si>
  <si>
    <t>PIL1/D/2253</t>
  </si>
  <si>
    <t>PIL1/D/2266</t>
  </si>
  <si>
    <t>PIL1/D/2267</t>
  </si>
  <si>
    <t>PIL1/D/2275</t>
  </si>
  <si>
    <t>PIL1/D/2276</t>
  </si>
  <si>
    <t>PIL1/D/2296</t>
  </si>
  <si>
    <t>PIL1/D/2297</t>
  </si>
  <si>
    <t>PIL1/D/2298</t>
  </si>
  <si>
    <t>PIL1/D/2299</t>
  </si>
  <si>
    <t>PIL2/D/982</t>
  </si>
  <si>
    <t>PIL2/D/997</t>
  </si>
  <si>
    <t>PIL2/D/1014</t>
  </si>
  <si>
    <t>Louis Blockx Nv</t>
  </si>
  <si>
    <t>PIL1/E/1198/24-25</t>
  </si>
  <si>
    <t>PIL1/E/1204/24-25</t>
  </si>
  <si>
    <t>PIL1/E/1221/24-25</t>
  </si>
  <si>
    <t>PIL1/E/1220/24-25</t>
  </si>
  <si>
    <t>PIL1/E/1222/24-25</t>
  </si>
  <si>
    <t>PIL1/E/1251/24-25</t>
  </si>
  <si>
    <t>PIL1/E/1252/24-25</t>
  </si>
  <si>
    <t>PIL1/E/1253/24-25</t>
  </si>
  <si>
    <t>PIL1/E/1258/24-25</t>
  </si>
  <si>
    <t>PIL1/E/1260/24-25</t>
  </si>
  <si>
    <t>PIL1/E/1259/24-25</t>
  </si>
  <si>
    <t>PIL1/E/1267/24-25</t>
  </si>
  <si>
    <t>PIL1/E/1286/24-25</t>
  </si>
  <si>
    <t>PIL1/E/1293/24-25</t>
  </si>
  <si>
    <t>PIL1/E/1294/24-25</t>
  </si>
  <si>
    <t>PIL1/E/1295/24-25</t>
  </si>
  <si>
    <t>PIL1/E/1299/24-25</t>
  </si>
  <si>
    <t>PIL1/E/1332/24-25</t>
  </si>
  <si>
    <t>PIL1/E/1327/24-25</t>
  </si>
  <si>
    <t>PIL1/E/1323/24-25</t>
  </si>
  <si>
    <t>PIL1/E/1333/24-25</t>
  </si>
  <si>
    <t>PIL1/E/1338/24-25</t>
  </si>
  <si>
    <t>PIL1/E/1339/24-25</t>
  </si>
  <si>
    <t>PIL1/E/1334/24-25</t>
  </si>
  <si>
    <t>PIL1/E/1350/24-25</t>
  </si>
  <si>
    <t>PIL1/E/1351/24-25</t>
  </si>
  <si>
    <t>PIL1/E/1352/24-25</t>
  </si>
  <si>
    <t>PIL1/E/1356/24-25</t>
  </si>
  <si>
    <t>PIL1/E/1355/24-25</t>
  </si>
  <si>
    <t>PIL1/E/1346/24-25</t>
  </si>
  <si>
    <t>PIL1/E/1354/24-25</t>
  </si>
  <si>
    <t>PIL2/E/469/24-25</t>
  </si>
  <si>
    <t>PIL2/E/470/24-25</t>
  </si>
  <si>
    <t>PIL2/E/471/24-25</t>
  </si>
  <si>
    <t>PIL2/E/473/24-25</t>
  </si>
  <si>
    <t>PIL2/E/474/24-25</t>
  </si>
  <si>
    <t>PIL2/E/479/24-25</t>
  </si>
  <si>
    <t>PIL2/E/484/24-25</t>
  </si>
  <si>
    <t>PIL2/E/485/24-25</t>
  </si>
  <si>
    <t>PIL2/E/486/24-25</t>
  </si>
  <si>
    <t>PIL2/E/491/24-25</t>
  </si>
  <si>
    <t>PIL2/E/492/24-25</t>
  </si>
  <si>
    <t>PIL2/E/488/24-25</t>
  </si>
  <si>
    <t>PIL2/E/489/24-25</t>
  </si>
  <si>
    <t>PIL2/E/493/24-25</t>
  </si>
  <si>
    <t>PIL2/E/494/24-25</t>
  </si>
  <si>
    <t>PIL2/TP/041</t>
  </si>
  <si>
    <t>PIL2/E/496/24-25</t>
  </si>
  <si>
    <t>PIL2/E/495/24-25</t>
  </si>
  <si>
    <t>PIL2/E/501/24-25</t>
  </si>
  <si>
    <t>PIL2/E/503/24-25</t>
  </si>
  <si>
    <t>PIL2/TP/042</t>
  </si>
  <si>
    <t>PIL2/E/504/24-25</t>
  </si>
  <si>
    <t>PIL2/E/507/24-25</t>
  </si>
  <si>
    <t>PIL2/TP/043</t>
  </si>
  <si>
    <t>PIL6/E/316/24-25</t>
  </si>
  <si>
    <t>PIL6/E/318/24-25</t>
  </si>
  <si>
    <t>PIL6/E/320/24-25</t>
  </si>
  <si>
    <t>PIL6/E/321/24-25</t>
  </si>
  <si>
    <t>PIL6/E/323/24-25</t>
  </si>
  <si>
    <t>PIL6/E/325/24-25</t>
  </si>
  <si>
    <t>PIL6/E/327/24-25</t>
  </si>
  <si>
    <t>PIL6/E/334/24-25</t>
  </si>
  <si>
    <t>PIL6/E/335/24-25</t>
  </si>
  <si>
    <t>PIL6/E/336/24-25</t>
  </si>
  <si>
    <t>PIL6/E/337/24-25</t>
  </si>
  <si>
    <t>PIL6/E/339/24-25</t>
  </si>
  <si>
    <t>PIL6/E/342/24-25</t>
  </si>
  <si>
    <t>PIL6/E/344/24-25</t>
  </si>
  <si>
    <t>PIL6/E/347/24-25</t>
  </si>
  <si>
    <t>PIL6/E/348/24-25</t>
  </si>
  <si>
    <t>PIL1/TP/044</t>
  </si>
  <si>
    <t>PIL1/TP/045</t>
  </si>
  <si>
    <t>PIL1/TP/047</t>
  </si>
  <si>
    <t>PIL1/TP/048</t>
  </si>
  <si>
    <t>PIL1/TP/049</t>
  </si>
  <si>
    <t>PIL1/TP/050</t>
  </si>
  <si>
    <t>PIL1/TP/051</t>
  </si>
  <si>
    <t>feb-25</t>
  </si>
  <si>
    <t>AMS/24-25/04750</t>
  </si>
  <si>
    <t>06/02/2025</t>
  </si>
  <si>
    <t>23/02/2025</t>
  </si>
  <si>
    <t>14/02/2025</t>
  </si>
  <si>
    <t>01/02/2025</t>
  </si>
  <si>
    <t>03/02/2025</t>
  </si>
  <si>
    <t>07/02/2025</t>
  </si>
  <si>
    <t>08/02/2025</t>
  </si>
  <si>
    <t>10/02/2025</t>
  </si>
  <si>
    <t>11/02/2025</t>
  </si>
  <si>
    <t>12/02/2025</t>
  </si>
  <si>
    <t>13/02/2025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</si>
  <si>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</si>
  <si>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</si>
  <si>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</si>
  <si>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</si>
  <si>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</si>
  <si>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</si>
  <si>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</si>
  <si>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</si>
  <si>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24/02/2025</t>
  </si>
  <si>
    <t>25/02/2025</t>
  </si>
  <si>
    <t>26/02/2025</t>
  </si>
  <si>
    <t>27/02/2025</t>
  </si>
  <si>
    <t>28/02/2025</t>
  </si>
  <si>
    <t>02/02/2025</t>
  </si>
  <si>
    <t>04/02/2025</t>
  </si>
  <si>
    <t>05/02/2025</t>
  </si>
  <si>
    <t>Stitching Spares</t>
  </si>
  <si>
    <t>PP Woven Fabric</t>
  </si>
  <si>
    <t>PP WOVEN BAG &amp; SACK</t>
  </si>
  <si>
    <t>Murari Trading Private Limited</t>
  </si>
  <si>
    <t>Acuver Engineering India Pvt.Ltd.</t>
  </si>
  <si>
    <t>Bhudeva Polymers Private Ltd- Customer</t>
  </si>
  <si>
    <t>Century Fibc</t>
  </si>
  <si>
    <t>Shreeshakti Syn Bags Private Limited</t>
  </si>
  <si>
    <t>29AAECM2812R1ZZ</t>
  </si>
  <si>
    <t>27AARCA5532H1ZG</t>
  </si>
  <si>
    <t>29AAFCB0658P1Z5</t>
  </si>
  <si>
    <t>24AALFC5377K1Z2</t>
  </si>
  <si>
    <t>23ABBCS0297C1ZQ</t>
  </si>
  <si>
    <t>PIL1/D/2322</t>
  </si>
  <si>
    <t>PIL1/HSS/34/24-25</t>
  </si>
  <si>
    <t>PIL1/HSS/35/24-25</t>
  </si>
  <si>
    <t>PIL1/D/2368</t>
  </si>
  <si>
    <t>PIL1/D/2371</t>
  </si>
  <si>
    <t>PIL1/D/2377</t>
  </si>
  <si>
    <t>PIL1/HSS/38/24-25</t>
  </si>
  <si>
    <t>PIL1/D/2428</t>
  </si>
  <si>
    <t>PIL1/D/2448</t>
  </si>
  <si>
    <t>PIL2/D/1041</t>
  </si>
  <si>
    <t>PIL2/D/1051</t>
  </si>
  <si>
    <t>PIL2/D/1057</t>
  </si>
  <si>
    <t>PIL2/D/1061</t>
  </si>
  <si>
    <t>PIL2/D/1062</t>
  </si>
  <si>
    <t>PIL2/D/1065</t>
  </si>
  <si>
    <t>PIL2/D/1094</t>
  </si>
  <si>
    <t>PIL2/D/1105</t>
  </si>
  <si>
    <t>PIL2/ME/1</t>
  </si>
  <si>
    <t>PIL2/D/1118</t>
  </si>
  <si>
    <t>PIL2/D/1131</t>
  </si>
  <si>
    <t>PIL2/D/1147</t>
  </si>
  <si>
    <t>PIL1/D/2432</t>
  </si>
  <si>
    <t>PIL1/D/2435</t>
  </si>
  <si>
    <t>PIL1/D/2436</t>
  </si>
  <si>
    <t>PIL1/D/2437</t>
  </si>
  <si>
    <t>PIL1/D/2440</t>
  </si>
  <si>
    <t>PIL1/D/2442</t>
  </si>
  <si>
    <t>PIL1/D/2443</t>
  </si>
  <si>
    <t>PIL1/D/2444</t>
  </si>
  <si>
    <t>PIL1/D/2445</t>
  </si>
  <si>
    <t>PIL1/D/2457</t>
  </si>
  <si>
    <t>PIL1/D/2455</t>
  </si>
  <si>
    <t>PIL1/D/2456</t>
  </si>
  <si>
    <t>PIL1/D/2463</t>
  </si>
  <si>
    <t>PIL1/D/2473</t>
  </si>
  <si>
    <t>PIL1/D/2460</t>
  </si>
  <si>
    <t>PIL1/D/2461</t>
  </si>
  <si>
    <t>PIL1/D/2466</t>
  </si>
  <si>
    <t>PIL1/D/2474</t>
  </si>
  <si>
    <t>PIL1/D/2483</t>
  </si>
  <si>
    <t>PIL1/D/2484</t>
  </si>
  <si>
    <t>PIL1/D/2476</t>
  </si>
  <si>
    <t>PIL1/D/2477</t>
  </si>
  <si>
    <t>PIL1/D/2478</t>
  </si>
  <si>
    <t>PIL1/D/2481</t>
  </si>
  <si>
    <t>PIL1/D/2482</t>
  </si>
  <si>
    <t>PIL1/D/2485</t>
  </si>
  <si>
    <t>PIL1/D/2487</t>
  </si>
  <si>
    <t>PIL1/D/2486</t>
  </si>
  <si>
    <t>PIL1/D/2488</t>
  </si>
  <si>
    <t>PIL1/D/2489</t>
  </si>
  <si>
    <t>PIL1/D/2494</t>
  </si>
  <si>
    <t>PIL1/D/2495</t>
  </si>
  <si>
    <t>PIL1/D/2496</t>
  </si>
  <si>
    <t>PIL1/D/2492</t>
  </si>
  <si>
    <t>PIL1/D/2493</t>
  </si>
  <si>
    <t>PIL1/D/2504</t>
  </si>
  <si>
    <t>PIL1/D/2505</t>
  </si>
  <si>
    <t>PIL1/D/2506</t>
  </si>
  <si>
    <t>PIL1/D/2510</t>
  </si>
  <si>
    <t>PIL1/D/2512</t>
  </si>
  <si>
    <t>PIL1/D/2514</t>
  </si>
  <si>
    <t>PIL1/D/2515</t>
  </si>
  <si>
    <t>PIL1/D/2511</t>
  </si>
  <si>
    <t>PIL1/D/2513</t>
  </si>
  <si>
    <t>PIL1/D/2518</t>
  </si>
  <si>
    <t>PIL1/D/2519</t>
  </si>
  <si>
    <t>PIL1/D/2520</t>
  </si>
  <si>
    <t>PIL1/D/2521</t>
  </si>
  <si>
    <t>PIL1/D/2522</t>
  </si>
  <si>
    <t>PIL1/D/2529</t>
  </si>
  <si>
    <t>PIL1/D/2530</t>
  </si>
  <si>
    <t>PIL1/D/2531</t>
  </si>
  <si>
    <t>PIL1/D/2532</t>
  </si>
  <si>
    <t>PIL1/D/2534</t>
  </si>
  <si>
    <t>PIL1/D/2542</t>
  </si>
  <si>
    <t>PIL1/D/2555</t>
  </si>
  <si>
    <t>PIL1/D/2556</t>
  </si>
  <si>
    <t>PIL1/D/2553</t>
  </si>
  <si>
    <t>PIL1/D/2559</t>
  </si>
  <si>
    <t>PIL2/D/1043</t>
  </si>
  <si>
    <t>PIL2/D/1044</t>
  </si>
  <si>
    <t>PIL2/D/1059</t>
  </si>
  <si>
    <t>PIL2/D/1072</t>
  </si>
  <si>
    <t>PIL2/D/1073</t>
  </si>
  <si>
    <t>PIL2/D/1080</t>
  </si>
  <si>
    <t>PIL2/D/1085</t>
  </si>
  <si>
    <t>PIL2/D/1086</t>
  </si>
  <si>
    <t>PIL2/D/1097</t>
  </si>
  <si>
    <t>PIL2/D/1098</t>
  </si>
  <si>
    <t>PIL2/D/1114</t>
  </si>
  <si>
    <t>PIL2/D/1115</t>
  </si>
  <si>
    <t>PIL2/D/1116</t>
  </si>
  <si>
    <t>PIL2/D/1134</t>
  </si>
  <si>
    <t>PIL2/D/1139</t>
  </si>
  <si>
    <t>PIL2/D/1140</t>
  </si>
  <si>
    <t>PIL2/D/1141</t>
  </si>
  <si>
    <t>PIL2/D/1146</t>
  </si>
  <si>
    <t>PIL6/D/205</t>
  </si>
  <si>
    <t>PIL6/D/206</t>
  </si>
  <si>
    <t>PIL6/D/207</t>
  </si>
  <si>
    <t>PIL6/D/212</t>
  </si>
  <si>
    <t>PIL6/D/214</t>
  </si>
  <si>
    <t>PIL6/D/216</t>
  </si>
  <si>
    <t>PIL6/D/217</t>
  </si>
  <si>
    <t>PIL1/E/1357/24-25</t>
  </si>
  <si>
    <t>PIL1/E/1364/24-25</t>
  </si>
  <si>
    <t>PIL1/E/1365/24-25</t>
  </si>
  <si>
    <t>PIL1/E/1384/24-25</t>
  </si>
  <si>
    <t>PIL1/E/1385/24-25</t>
  </si>
  <si>
    <t>PIL1/E/1391/24-25</t>
  </si>
  <si>
    <t>PIL1/E/1392/24-25</t>
  </si>
  <si>
    <t>PIL1/E/1393/24-25</t>
  </si>
  <si>
    <t>PIL1/E/1394/24-25</t>
  </si>
  <si>
    <t>PIL1/E/1395/24-25</t>
  </si>
  <si>
    <t>PIL1/E/1389/24-25</t>
  </si>
  <si>
    <t>PIL1/E/1400/24-25</t>
  </si>
  <si>
    <t>PIL1/E/1399/24-25</t>
  </si>
  <si>
    <t>PIL1/E/1406/24-25</t>
  </si>
  <si>
    <t>PIL1/E/1403/24-25</t>
  </si>
  <si>
    <t>PIL1/E/1416/24-25</t>
  </si>
  <si>
    <t>PIL1/E/1417/24-25</t>
  </si>
  <si>
    <t>PIL1/E/1418/24-25</t>
  </si>
  <si>
    <t>PIL1/E/1425/24-25</t>
  </si>
  <si>
    <t>PIL1/E/1434/24-25</t>
  </si>
  <si>
    <t>PIL1/E/1435/24-25</t>
  </si>
  <si>
    <t>PIL1/E/1431/24-25</t>
  </si>
  <si>
    <t>PIL1/E/1439/24-25</t>
  </si>
  <si>
    <t>PIL1/E/1464/24-25</t>
  </si>
  <si>
    <t>PIL1/E/1465/24-25</t>
  </si>
  <si>
    <t>PIL1/E/1467/24-25</t>
  </si>
  <si>
    <t>PIL1/E/1468/24-25</t>
  </si>
  <si>
    <t>PIL1/E/1474/24-25</t>
  </si>
  <si>
    <t>PIL1/E/1478/24-25</t>
  </si>
  <si>
    <t>PIL1/E/1482/24-25</t>
  </si>
  <si>
    <t>PIL1/E/1490/24-25</t>
  </si>
  <si>
    <t>PIL1/E/1491/24-25</t>
  </si>
  <si>
    <t>PIL1/E/1492/24-25</t>
  </si>
  <si>
    <t>PIL1/E/1493/24-25</t>
  </si>
  <si>
    <t>PIL1/E/1494/24-25</t>
  </si>
  <si>
    <t>PIL1/E/1495/24-25</t>
  </si>
  <si>
    <t>PIL1/E/1496/24-25</t>
  </si>
  <si>
    <t>PIL1/E/1497/24-25</t>
  </si>
  <si>
    <t>PIL1/E/1498/24-25</t>
  </si>
  <si>
    <t>PIL1/E/1502/24-25</t>
  </si>
  <si>
    <t>PIL1/E/1510/24-25</t>
  </si>
  <si>
    <t>PIL1/E/1511/24-25</t>
  </si>
  <si>
    <t>PIL2/E/509/24-25</t>
  </si>
  <si>
    <t>PIL2/E/510/24-25</t>
  </si>
  <si>
    <t>PIL2/E/514/24-25</t>
  </si>
  <si>
    <t>PIL2/E/515/24-25</t>
  </si>
  <si>
    <t>PIL2/E/516/24-25</t>
  </si>
  <si>
    <t>PIL2/E/519/24-25</t>
  </si>
  <si>
    <t>PIL2/E/520/24-25</t>
  </si>
  <si>
    <t>PIL2/E/521/24-25</t>
  </si>
  <si>
    <t>PIL2/E/527/24-25</t>
  </si>
  <si>
    <t>PIL2/E/528/24-25</t>
  </si>
  <si>
    <t>PIL2/E/534/24-25</t>
  </si>
  <si>
    <t>PIL2/E/536/24-25</t>
  </si>
  <si>
    <t>PIL2/E/538/24-25</t>
  </si>
  <si>
    <t>PIL2/E/540/24-25</t>
  </si>
  <si>
    <t>PIL2/E/539/24-25</t>
  </si>
  <si>
    <t>PIL2/E/542/24-25</t>
  </si>
  <si>
    <t>PIL2/E/541/24-25</t>
  </si>
  <si>
    <t>PIL6/E/350/24-25</t>
  </si>
  <si>
    <t>PIL6/E/354/24-25</t>
  </si>
  <si>
    <t>PIL6/E/358/24-25</t>
  </si>
  <si>
    <t>PIL6/E/362/24-25</t>
  </si>
  <si>
    <t>PIL6/E/364/24-25</t>
  </si>
  <si>
    <t>PIL6/E/365/24-25</t>
  </si>
  <si>
    <t>PIL6/E/366/24-25</t>
  </si>
  <si>
    <t>PIL6/E/368/24-25</t>
  </si>
  <si>
    <t>PIL6/E/370/24-25</t>
  </si>
  <si>
    <t>PIL6/E/373/24-25</t>
  </si>
  <si>
    <t>PIL6/E/374/24-25</t>
  </si>
  <si>
    <t>PIL6/E/375/24-25</t>
  </si>
  <si>
    <t>PIL6/E/377/24-25</t>
  </si>
  <si>
    <t>PIL6/E/380/24-25</t>
  </si>
  <si>
    <t>PIL6/E/382/24-25</t>
  </si>
  <si>
    <t>PIL1/TP/054</t>
  </si>
  <si>
    <t>PIL1/TP/057</t>
  </si>
  <si>
    <t>PIL1/D/2324</t>
  </si>
  <si>
    <t>PIL1/D/2394</t>
  </si>
  <si>
    <t>PIL1/D/2406</t>
  </si>
  <si>
    <t>PIL1/D/2423</t>
  </si>
  <si>
    <t>PIL1/D/2424</t>
  </si>
  <si>
    <t>PIL1/D/2427</t>
  </si>
  <si>
    <t>PIL1/D/2429</t>
  </si>
  <si>
    <t>PIL1/D/2441</t>
  </si>
  <si>
    <t>PIL1/D/2451</t>
  </si>
  <si>
    <t>PIL1/D/2470</t>
  </si>
  <si>
    <t>PIL1/D/2472</t>
  </si>
  <si>
    <t>PIL1/D/2497</t>
  </si>
  <si>
    <t>PIL1/D/2516</t>
  </si>
  <si>
    <t>PIL1/D/2517</t>
  </si>
  <si>
    <t>PIL1/D/2523</t>
  </si>
  <si>
    <t>PIL1/D/2524</t>
  </si>
  <si>
    <t>PIL1/D/2528</t>
  </si>
  <si>
    <t>PIL1/D/2554</t>
  </si>
  <si>
    <t>PIL2/D/1039</t>
  </si>
  <si>
    <t>PIL2/D/1045</t>
  </si>
  <si>
    <t>PIL2/D/1052</t>
  </si>
  <si>
    <t>PIL2/D/1076</t>
  </si>
  <si>
    <t>PIL2/D/1078</t>
  </si>
  <si>
    <t>PIL2/D/1090</t>
  </si>
  <si>
    <t>PIL2/D/1101</t>
  </si>
  <si>
    <t>PIL2/D/1126</t>
  </si>
  <si>
    <t>PIL2/D/1153</t>
  </si>
  <si>
    <t>29/03/2025</t>
  </si>
  <si>
    <t>01/03/2025</t>
  </si>
  <si>
    <t>03/03/2025</t>
  </si>
  <si>
    <t>22/03/2025</t>
  </si>
  <si>
    <t>DJ3124106888</t>
  </si>
  <si>
    <t>PP Laminated Bags</t>
  </si>
  <si>
    <t>Sales - Merchant Export</t>
  </si>
  <si>
    <t>Plastochem - F.Z.C.</t>
  </si>
  <si>
    <t>PIL2/D/40</t>
  </si>
  <si>
    <t>PIL2/D/82</t>
  </si>
  <si>
    <t>LC Packaging Ireland Ltd</t>
  </si>
  <si>
    <t>PIL1/E/21/25-26</t>
  </si>
  <si>
    <t>PIL1/E/38/25-26</t>
  </si>
  <si>
    <t>PIL1/E/80/25-26</t>
  </si>
  <si>
    <t>PIL1/E/81/25-26</t>
  </si>
  <si>
    <t>PIL1/E/82/25-26</t>
  </si>
  <si>
    <t>PIL1/E/136/25-26</t>
  </si>
  <si>
    <t>PIL2/E/8/25-26</t>
  </si>
  <si>
    <t>PIL2/E/23/25-26</t>
  </si>
  <si>
    <t>PIL2/E/30/25-26</t>
  </si>
  <si>
    <t>PIL2/E/36/25-26</t>
  </si>
  <si>
    <t>Bonus Plastics Private Limited - Purchase</t>
  </si>
  <si>
    <t>24AAACB4753C1Z7</t>
  </si>
  <si>
    <t>OESG-INV250395-25284</t>
  </si>
  <si>
    <t>17/04/2025</t>
  </si>
  <si>
    <t>25/04/2025</t>
  </si>
  <si>
    <t>18/04/2025</t>
  </si>
  <si>
    <t>GIT</t>
  </si>
  <si>
    <t>Stavian Chemical Joint Stock Company</t>
  </si>
  <si>
    <t>05/04/2025</t>
  </si>
  <si>
    <t>07/04/2025</t>
  </si>
  <si>
    <t>26/04/2025</t>
  </si>
  <si>
    <t>30/04/2025</t>
  </si>
  <si>
    <t>16/04/2025</t>
  </si>
  <si>
    <t>06/04/2025</t>
  </si>
  <si>
    <t>29/04/2025</t>
  </si>
  <si>
    <t>Hcp Plastene Bulkpack Ltd (Unit Iv) - Sales</t>
  </si>
  <si>
    <t>PP UL Fabric Without UV</t>
  </si>
  <si>
    <t>PE Film</t>
  </si>
  <si>
    <t>PP MF Yarn Twisted 3000 Denier UV Deep Blue</t>
  </si>
  <si>
    <t>PIL1/D/410</t>
  </si>
  <si>
    <t>PIL1/D/631</t>
  </si>
  <si>
    <t>Qpac Ltd</t>
  </si>
  <si>
    <t xml:space="preserve">Town &amp; Country (Northern) Limited </t>
  </si>
  <si>
    <t>PIL1/E/167/25-26</t>
  </si>
  <si>
    <t>PIL1/E/168/25-26</t>
  </si>
  <si>
    <t>PIL1/E/169/25-26</t>
  </si>
  <si>
    <t>PIL1/E/170/25-26</t>
  </si>
  <si>
    <t>PIL1/E/205/25-26</t>
  </si>
  <si>
    <t>PIL1/E/206/25-26</t>
  </si>
  <si>
    <t>PIL1/E/207/25-26</t>
  </si>
  <si>
    <t>PIL1/E/208/25-26</t>
  </si>
  <si>
    <t>PIL1/E/209/25-26</t>
  </si>
  <si>
    <t>PIL1/E/210/25-26</t>
  </si>
  <si>
    <t>PIL1/E/211/25-26</t>
  </si>
  <si>
    <t>PIL1/E/260/25-26</t>
  </si>
  <si>
    <t>PIL1/E/261/25-26</t>
  </si>
  <si>
    <t>PIL1/E/283/25-26</t>
  </si>
  <si>
    <t>PIL1/E/284/25-26</t>
  </si>
  <si>
    <t>PIL1/E/285/25-26</t>
  </si>
  <si>
    <t>PIL1/E/286/25-26</t>
  </si>
  <si>
    <t>PIL1/E/287/25-26</t>
  </si>
  <si>
    <t>PIL2/E/48/25-26</t>
  </si>
  <si>
    <t>PIL2/E/49/25-26</t>
  </si>
  <si>
    <t>PIL2/E/50/25-26</t>
  </si>
  <si>
    <t>PIL2/E/51/25-26</t>
  </si>
  <si>
    <t>PIL2/E/53/25-26</t>
  </si>
  <si>
    <t>PIL2/E/54/25-26</t>
  </si>
  <si>
    <t>PIL2/E/57/25-26</t>
  </si>
  <si>
    <t>PIL2/E/60/25-26</t>
  </si>
  <si>
    <t>PIL2/E/61/25-26</t>
  </si>
  <si>
    <t>PIL2/E/62/25-26</t>
  </si>
  <si>
    <t>PIL2/E/63/25-26</t>
  </si>
  <si>
    <t>PIL2/E/64/25-26</t>
  </si>
  <si>
    <t>PIL2/E/65/25-26</t>
  </si>
  <si>
    <t>PIL2/E/69/25-26</t>
  </si>
  <si>
    <t>PIL2/E/70/25-26</t>
  </si>
  <si>
    <t>PIL2/E/71/25-26</t>
  </si>
  <si>
    <t>PIL2/E/73/25-26</t>
  </si>
  <si>
    <t>Oriental Energy (Singapore) International Trading Pte Ltd</t>
  </si>
  <si>
    <t>AMD/25-26/00544</t>
  </si>
  <si>
    <t>BPPL/25-26/0272</t>
  </si>
  <si>
    <t>11/05/2025</t>
  </si>
  <si>
    <t>24/05/2025</t>
  </si>
  <si>
    <t>31/05/2025</t>
  </si>
  <si>
    <t>04/05/2025</t>
  </si>
  <si>
    <t>06/05/2025</t>
  </si>
  <si>
    <t>09/05/2025</t>
  </si>
  <si>
    <t>12/05/2025</t>
  </si>
  <si>
    <t>13/05/2025</t>
  </si>
  <si>
    <t>14/05/2025</t>
  </si>
  <si>
    <t>16/05/2025</t>
  </si>
  <si>
    <t>18/05/2025</t>
  </si>
  <si>
    <t>25/05/2025</t>
  </si>
  <si>
    <t>27/05/2025</t>
  </si>
  <si>
    <t>30/05/2025</t>
  </si>
  <si>
    <t>Sales - Kasez - Trading - U/B</t>
  </si>
  <si>
    <t>PIL1/E/314/25-26</t>
  </si>
  <si>
    <t>PIL1/E/319/25-26</t>
  </si>
  <si>
    <t>PIL1/E/347/25-26</t>
  </si>
  <si>
    <t>PIL1/E/352/25-26</t>
  </si>
  <si>
    <t>PIL1/E/365/25-26</t>
  </si>
  <si>
    <t>PIL1/E/363/25-26</t>
  </si>
  <si>
    <t>PIL1/E/369/25-26</t>
  </si>
  <si>
    <t>PIL1/E/366/25-26</t>
  </si>
  <si>
    <t>PIL1/E/370/25-26</t>
  </si>
  <si>
    <t>PIL1/E/380/25-26</t>
  </si>
  <si>
    <t>PIL1/E/388/25-26</t>
  </si>
  <si>
    <t>PIL1/E/402/25-26</t>
  </si>
  <si>
    <t>PIL1/E/403/25-26</t>
  </si>
  <si>
    <t>PIL1/E/390/25-26</t>
  </si>
  <si>
    <t>PIL1/E/391/25-26</t>
  </si>
  <si>
    <t>PIL1/E/392/25-26</t>
  </si>
  <si>
    <t>PIL1/E/393/25-26</t>
  </si>
  <si>
    <t>PIL1/E/394/25-26</t>
  </si>
  <si>
    <t>PIL1/E/395/25-26</t>
  </si>
  <si>
    <t>PIL1/E/411/25-26</t>
  </si>
  <si>
    <t>PIL1/E/414/25-26</t>
  </si>
  <si>
    <t>PIL1/E/415/25-26</t>
  </si>
  <si>
    <t>PIL1/E/416/25-26</t>
  </si>
  <si>
    <t>PIL1/E/417/25-26</t>
  </si>
  <si>
    <t>PIL2/E/74/25-26</t>
  </si>
  <si>
    <t>PIL2/E/75/25-26</t>
  </si>
  <si>
    <t>PIL2/E/76/25-26</t>
  </si>
  <si>
    <t>PIL2/E/77/25-26</t>
  </si>
  <si>
    <t>PIL2/E/82/25-26</t>
  </si>
  <si>
    <t>PIL2/E/87/25-26</t>
  </si>
  <si>
    <t>PIL2/E/88/25-26</t>
  </si>
  <si>
    <t>PIL2/E/89/25-26</t>
  </si>
  <si>
    <t>PIL2/E/92/25-26</t>
  </si>
  <si>
    <t>PIL2/E/93/25-26</t>
  </si>
  <si>
    <t>PIL2/E/95/25-26</t>
  </si>
  <si>
    <t>PIL2/E/96/25-26</t>
  </si>
  <si>
    <t>PIL2/E/97/25-26</t>
  </si>
  <si>
    <t>PIL2/E/98/25-26</t>
  </si>
  <si>
    <t>PIL2/E/99/25-26</t>
  </si>
  <si>
    <t>PIL2/E/101/25-26</t>
  </si>
  <si>
    <t>PIL2/E/104/25-26</t>
  </si>
  <si>
    <t>PIL2/E/105/25-26</t>
  </si>
  <si>
    <t>PIL2/E/106/25-26</t>
  </si>
  <si>
    <t>PIL2/E/107/25-26</t>
  </si>
  <si>
    <t>PIL2/E/103/25-26</t>
  </si>
  <si>
    <t>PIL2/E/108/25-26</t>
  </si>
  <si>
    <t>PIL2/E/111/25-26</t>
  </si>
  <si>
    <t>PIL2/E/112/25-26</t>
  </si>
  <si>
    <t>PIL2/E/113/25-26</t>
  </si>
  <si>
    <t>PIL2/E/114/25-26</t>
  </si>
  <si>
    <t>PIL2/E/117/25-26</t>
  </si>
  <si>
    <t>PIL1/TP/004</t>
  </si>
  <si>
    <t>PIL1/HSS/3/25-26</t>
  </si>
  <si>
    <t>PIL2/D/178</t>
  </si>
  <si>
    <t>PIL2/D/202</t>
  </si>
  <si>
    <t>PIL2/D/220</t>
  </si>
  <si>
    <t>Ambika Petrochem Private Limited - Bengaluru</t>
  </si>
  <si>
    <t>PIL1/HSS/4/25-26</t>
  </si>
  <si>
    <t>29AACCA3482H1ZM</t>
  </si>
  <si>
    <t>Reliance Industries Ltd-Jamnagar SEZ</t>
  </si>
  <si>
    <t>Anand Polymers/ Crystal Polymers Unit 2</t>
  </si>
  <si>
    <t>Variofil Industries</t>
  </si>
  <si>
    <t>Ptt Global Chemical Public Company Limited</t>
  </si>
  <si>
    <t>AP/25-26/43</t>
  </si>
  <si>
    <t>AMD/25-26/01235</t>
  </si>
  <si>
    <t>AMD/25-26/01234</t>
  </si>
  <si>
    <t>TIVI82</t>
  </si>
  <si>
    <t>CPL/25-26/386</t>
  </si>
  <si>
    <t>875/25-26</t>
  </si>
  <si>
    <t>24AAACR5055K3ZB</t>
  </si>
  <si>
    <t>24AAEFA7912P1Z8</t>
  </si>
  <si>
    <t>JINNENG CHEMICAL (QINGDAO) CO., LTD.</t>
  </si>
  <si>
    <t>INV2025060006</t>
  </si>
  <si>
    <t>18/06/2025</t>
  </si>
  <si>
    <t>03/06/2025</t>
  </si>
  <si>
    <t>26/06/2025</t>
  </si>
  <si>
    <t>30/06/2025</t>
  </si>
  <si>
    <t>04/06/2025</t>
  </si>
  <si>
    <t>05/06/2025</t>
  </si>
  <si>
    <t>14/06/2025</t>
  </si>
  <si>
    <t>16/06/2025</t>
  </si>
  <si>
    <t>19/06/2025</t>
  </si>
  <si>
    <t>20/06/2025</t>
  </si>
  <si>
    <t>22/06/2025</t>
  </si>
  <si>
    <t>23/06/2025</t>
  </si>
  <si>
    <t>24/06/2025</t>
  </si>
  <si>
    <t>27/06/2025</t>
  </si>
  <si>
    <t>28/06/2025</t>
  </si>
  <si>
    <t>09/06/2025</t>
  </si>
  <si>
    <t>10/06/2025</t>
  </si>
  <si>
    <t>15/06/2025</t>
  </si>
  <si>
    <t>17/06/2025</t>
  </si>
  <si>
    <t>29/06/2025</t>
  </si>
  <si>
    <t>11/06/2025</t>
  </si>
  <si>
    <t>SC-PLASTENEID/03/0804/B</t>
  </si>
  <si>
    <t>APB Industries Private Limited</t>
  </si>
  <si>
    <t>24AATCA9615P1ZV</t>
  </si>
  <si>
    <t>PIL1/HSS/6/25-26</t>
  </si>
  <si>
    <t>PIL1/HSS/7/25-26</t>
  </si>
  <si>
    <t>PIL1/D/1102</t>
  </si>
  <si>
    <t>PIL1/D/1120</t>
  </si>
  <si>
    <t>PIL2/D/263</t>
  </si>
  <si>
    <t>PIL2/D/303</t>
  </si>
  <si>
    <t>PIL2/D/311</t>
  </si>
  <si>
    <t>PIL1/E/434/25-26</t>
  </si>
  <si>
    <t>PIL1/E/444/25-26</t>
  </si>
  <si>
    <t>PIL1/E/446/25-26</t>
  </si>
  <si>
    <t>PIL1/E/454/25-26</t>
  </si>
  <si>
    <t>PIL1/E/461/25-26</t>
  </si>
  <si>
    <t>PIL1/E/459/25-26</t>
  </si>
  <si>
    <t>PIL1/E/462/25-26</t>
  </si>
  <si>
    <t>PIL1/E/463/25-26</t>
  </si>
  <si>
    <t>PIL1/E/464/25-26</t>
  </si>
  <si>
    <t>PIL1/E/472/25-26</t>
  </si>
  <si>
    <t>PIL1/E/482/25-26</t>
  </si>
  <si>
    <t>PIL1/E/492/25-26</t>
  </si>
  <si>
    <t>PIL1/E/493/25-26</t>
  </si>
  <si>
    <t>PIL1/E/504/25-26</t>
  </si>
  <si>
    <t>PIL1/E/503/25-26</t>
  </si>
  <si>
    <t>PIL1/E/505/25-26</t>
  </si>
  <si>
    <t>PIL1/E/518/25-26</t>
  </si>
  <si>
    <t>PIL1/E/519/25-26</t>
  </si>
  <si>
    <t>PIL1/E/522/25-26</t>
  </si>
  <si>
    <t>PIL1/E/531/25-26</t>
  </si>
  <si>
    <t>PIL1/E/533/25-26</t>
  </si>
  <si>
    <t>PIL1/E/536/25-26</t>
  </si>
  <si>
    <t>PIL1/E/541/25-26</t>
  </si>
  <si>
    <t>PIL1/E/540/25-26</t>
  </si>
  <si>
    <t>PIL1/E/549/25-26</t>
  </si>
  <si>
    <t>PIL1/E/548/25-26</t>
  </si>
  <si>
    <t>PIL1/E/550/25-26</t>
  </si>
  <si>
    <t>PIL1/E/561/25-26</t>
  </si>
  <si>
    <t>PIL1/E/571/25-26</t>
  </si>
  <si>
    <t>PIL1/E/569/25-26</t>
  </si>
  <si>
    <t>PIL1/E/570/25-26</t>
  </si>
  <si>
    <t>PIL2/E/118/25-26</t>
  </si>
  <si>
    <t>PIL2/E/119/25-26</t>
  </si>
  <si>
    <t>PIL2/E/120/25-26</t>
  </si>
  <si>
    <t>PIL2/E/121/25-26</t>
  </si>
  <si>
    <t>PIL2/E/122/25-26</t>
  </si>
  <si>
    <t>PIL2/E/123/25-26</t>
  </si>
  <si>
    <t>PIL2/E/124/25-26</t>
  </si>
  <si>
    <t>PIL2/E/125/25-26</t>
  </si>
  <si>
    <t>PIL2/E/126/25-26</t>
  </si>
  <si>
    <t>PIL2/E/128/25-26</t>
  </si>
  <si>
    <t>PIL2/E/129/25-26</t>
  </si>
  <si>
    <t>PIL2/E/130/25-26</t>
  </si>
  <si>
    <t>PIL2/E/135/25-26</t>
  </si>
  <si>
    <t>PIL2/E/137/25-26</t>
  </si>
  <si>
    <t>PIL2/E/138/25-26</t>
  </si>
  <si>
    <t>PIL2/E/141/25-26</t>
  </si>
  <si>
    <t>PIL2/E/142/25-26</t>
  </si>
  <si>
    <t>PIL2/E/143/25-26</t>
  </si>
  <si>
    <t>PIL2/E/139/25-26</t>
  </si>
  <si>
    <t>PIL2/E/140/25-26</t>
  </si>
  <si>
    <t>PIL2/E/144/25-26</t>
  </si>
  <si>
    <t>PIL2/E/145/25-26</t>
  </si>
  <si>
    <t>PIL2/E/150/25-26</t>
  </si>
  <si>
    <t>PIL2/E/149/25-26</t>
  </si>
  <si>
    <t>PIL2/E/153/25-26</t>
  </si>
  <si>
    <t>PIL2/E/155/25-26</t>
  </si>
  <si>
    <t>PIL2/E/157/25-26</t>
  </si>
  <si>
    <t>PIL2/E/158/25-26</t>
  </si>
  <si>
    <t>PIL2/E/159/25-26</t>
  </si>
  <si>
    <t>PIL2/E/160/25-26</t>
  </si>
  <si>
    <t>PIL2/E/161/25-26</t>
  </si>
  <si>
    <t>PIL2/E/164/25-26</t>
  </si>
  <si>
    <t>PIL2/E/168/25-26</t>
  </si>
  <si>
    <t>PIL2/E/169/25-26</t>
  </si>
  <si>
    <t>PIL2/E/170/25-26</t>
  </si>
  <si>
    <t>PIL2/E/171/25-26</t>
  </si>
  <si>
    <t>PIL2/E/173/25-26</t>
  </si>
  <si>
    <t>PIL2/E/175/25-26</t>
  </si>
  <si>
    <t>PIL2/E/176/25-26</t>
  </si>
  <si>
    <t>PIL2/E/174/25-26</t>
  </si>
  <si>
    <t>PIL2/E/177/25-26</t>
  </si>
  <si>
    <t>PIL2/E/178/25-26</t>
  </si>
  <si>
    <t>PIL2/E/182/25-26</t>
  </si>
  <si>
    <t>PIL2/E/183/25-26</t>
  </si>
  <si>
    <t>PIL2/E/187/25-26</t>
  </si>
  <si>
    <t>PIL2/E/184/25-26</t>
  </si>
  <si>
    <t>PIL1/D/1139</t>
  </si>
  <si>
    <t>PIL1/D/1197</t>
  </si>
  <si>
    <t>PIL1/D/1203</t>
  </si>
  <si>
    <t>PIL1/D/1225</t>
  </si>
  <si>
    <t>GJ5568010556</t>
  </si>
  <si>
    <t>GJ5568011394</t>
  </si>
  <si>
    <t>CPL/25-26/476</t>
  </si>
  <si>
    <t>GJ5568012985</t>
  </si>
  <si>
    <t>GJ5568013121</t>
  </si>
  <si>
    <t>GJ5568013124</t>
  </si>
  <si>
    <t>TIVI121</t>
  </si>
  <si>
    <t>950/25-26</t>
  </si>
  <si>
    <t>1166/25-26</t>
  </si>
  <si>
    <t>Sabic Asia Pacific Pte Ltd</t>
  </si>
  <si>
    <t>21/07/2025</t>
  </si>
  <si>
    <t>22/07/2025</t>
  </si>
  <si>
    <t>03/07/2025</t>
  </si>
  <si>
    <t>31/07/2025</t>
  </si>
  <si>
    <t>01/07/2025</t>
  </si>
  <si>
    <t>02/07/2025</t>
  </si>
  <si>
    <t>04/07/2025</t>
  </si>
  <si>
    <t>05/07/2025</t>
  </si>
  <si>
    <t>06/07/2025</t>
  </si>
  <si>
    <t>07/07/2025</t>
  </si>
  <si>
    <t>08/07/2025</t>
  </si>
  <si>
    <t>10/07/2025</t>
  </si>
  <si>
    <t>11/07/2025</t>
  </si>
  <si>
    <t>12/07/2025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</si>
  <si>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</si>
  <si>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</si>
  <si>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</si>
  <si>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</si>
  <si>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</si>
  <si>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</si>
  <si>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</si>
  <si>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</si>
  <si>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</si>
  <si>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</si>
  <si>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</si>
  <si>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</si>
  <si>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</si>
  <si>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</si>
  <si>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</si>
  <si>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LLDPE FILM</t>
  </si>
  <si>
    <t>PIL1/E/579/25-26</t>
  </si>
  <si>
    <t>PIL1/E/580/25-26</t>
  </si>
  <si>
    <t>PIL1/E/582/25-26</t>
  </si>
  <si>
    <t>PIL1/E/583/25-26</t>
  </si>
  <si>
    <t>PIL1/E/584/25-26</t>
  </si>
  <si>
    <t>PIL1/E/585/25-26</t>
  </si>
  <si>
    <t>PIL1/E/586/25-26</t>
  </si>
  <si>
    <t>PIL1/E/587/25-26</t>
  </si>
  <si>
    <t>PIL1/E/621/25-26</t>
  </si>
  <si>
    <t>PIL1/E/620/25-26</t>
  </si>
  <si>
    <t>PIL1/E/619/25-26</t>
  </si>
  <si>
    <t>PIL1/E/628/25-26</t>
  </si>
  <si>
    <t>PIL1/E/633/25-26</t>
  </si>
  <si>
    <t>PIL1/E/634/25-26</t>
  </si>
  <si>
    <t>PIL1/E/635/25-26</t>
  </si>
  <si>
    <t>PIL1/E/636/25-26</t>
  </si>
  <si>
    <t>PIL1/E/637/25-26</t>
  </si>
  <si>
    <t>PIL1/E/639/25-26</t>
  </si>
  <si>
    <t>PIL1/E/640/25-26</t>
  </si>
  <si>
    <t>PIL1/E/650/25-26</t>
  </si>
  <si>
    <t>PIL1/E/649/25-26</t>
  </si>
  <si>
    <t>PIL1/E/651/25-26</t>
  </si>
  <si>
    <t>PIL1/E/655/25-26</t>
  </si>
  <si>
    <t>PIL1/E/660/25-26</t>
  </si>
  <si>
    <t>PIL1/E/661/25-26</t>
  </si>
  <si>
    <t>PIL1/E/662/25-26</t>
  </si>
  <si>
    <t>PIL1/E/663/25-26</t>
  </si>
  <si>
    <t>PIL1/E/664/25-26</t>
  </si>
  <si>
    <t>PIL1/E/669/25-26</t>
  </si>
  <si>
    <t>PIL1/E/670/25-26</t>
  </si>
  <si>
    <t>PIL1/E/671/25-26</t>
  </si>
  <si>
    <t>PIL1/E/679/25-26</t>
  </si>
  <si>
    <t>PIL1/E/680/25-26</t>
  </si>
  <si>
    <t>PIL1/E/703/25-26</t>
  </si>
  <si>
    <t>PIL1/E/704/25-26</t>
  </si>
  <si>
    <t>PIL1/E/705/25-26</t>
  </si>
  <si>
    <t>PIL1/E/709/25-26</t>
  </si>
  <si>
    <t>PIL1/E/715/25-26</t>
  </si>
  <si>
    <t>PIL1/E/711/25-26</t>
  </si>
  <si>
    <t>PIL2/E/188/25-26</t>
  </si>
  <si>
    <t>PIL2/E/189/25-26</t>
  </si>
  <si>
    <t>PIL2/E/193/25-26</t>
  </si>
  <si>
    <t>PIL2/E/195/25-26</t>
  </si>
  <si>
    <t>PIL2/E/196/25-26</t>
  </si>
  <si>
    <t>PIL2/E/197/25-26</t>
  </si>
  <si>
    <t>PIL2/E/198/25-26</t>
  </si>
  <si>
    <t>PIL2/E/199/25-26</t>
  </si>
  <si>
    <t>PIL2/E/200/25-26</t>
  </si>
  <si>
    <t>PIL2/E/201/25-26</t>
  </si>
  <si>
    <t>PIL2/E/210/25-26</t>
  </si>
  <si>
    <t>PIL2/E/211/25-26</t>
  </si>
  <si>
    <t>PIL2/E/212/25-26</t>
  </si>
  <si>
    <t>PIL2/E/213/25-26</t>
  </si>
  <si>
    <t>PIL2/E/215/25-26</t>
  </si>
  <si>
    <t>PIL2/E/217/25-26</t>
  </si>
  <si>
    <t>PIL2/E/218/25-26</t>
  </si>
  <si>
    <t>PIL2/E/219/25-26</t>
  </si>
  <si>
    <t>PIL2/E/221/25-26</t>
  </si>
  <si>
    <t>PIL2/E/222/25-26</t>
  </si>
  <si>
    <t>PIL2/E/220/25-26</t>
  </si>
  <si>
    <t>PIL2/E/223/25-26</t>
  </si>
  <si>
    <t>PIL2/E/228/25-26</t>
  </si>
  <si>
    <t>PIL2/E/225/25-26</t>
  </si>
  <si>
    <t>PIL2/E/231/25-26</t>
  </si>
  <si>
    <t>PIL2/E/230/25-26</t>
  </si>
  <si>
    <t>PIL2/E/232/25-26</t>
  </si>
  <si>
    <t>PIL2/E/233/25-26</t>
  </si>
  <si>
    <t>PIL2/E/234/25-26</t>
  </si>
  <si>
    <t>PIL2/E/238/25-26</t>
  </si>
  <si>
    <t>PIL2/E/239/25-26</t>
  </si>
  <si>
    <t>PIL2/E/242/25-26</t>
  </si>
  <si>
    <t>PIL2/E/245/25-26</t>
  </si>
  <si>
    <t>PIL2/E/246/25-26</t>
  </si>
  <si>
    <t>PIL2/E/249/25-26</t>
  </si>
  <si>
    <t>PIL1/D/1274</t>
  </si>
  <si>
    <t>PIL2/D/346</t>
  </si>
  <si>
    <t>PIL2/D/372</t>
  </si>
  <si>
    <t>PIL2/D/399</t>
  </si>
  <si>
    <t>Tricon Dry Chemicals,Llc</t>
  </si>
  <si>
    <t xml:space="preserve">Hanwha Solutions Corporation </t>
  </si>
  <si>
    <t>Adinath Enterprises</t>
  </si>
  <si>
    <t>Rajyada Polymers Private Limited</t>
  </si>
  <si>
    <t>Grasim Industries Limited</t>
  </si>
  <si>
    <t>CPL/25-26/551</t>
  </si>
  <si>
    <t>H1020-1528566 [BOE/BOL:3575583/KMTCKAN3231754]</t>
  </si>
  <si>
    <t>AP/25-26/85</t>
  </si>
  <si>
    <t>AE/25-26/119</t>
  </si>
  <si>
    <t>1226/25-26</t>
  </si>
  <si>
    <t>5264494 [BOE/BOL:3666240/720960901]</t>
  </si>
  <si>
    <t>S/1230/25-26</t>
  </si>
  <si>
    <t>9005055896 (07.08.2025)</t>
  </si>
  <si>
    <t>CPL/25-26/621</t>
  </si>
  <si>
    <t>459411 [BOE/BOL:3934603/MCB0304992]</t>
  </si>
  <si>
    <t>5504B [BOE/BOL:3877596/15709538200]</t>
  </si>
  <si>
    <t>S/1350/25-26</t>
  </si>
  <si>
    <t>CPL/25-26/652</t>
  </si>
  <si>
    <t>KA/25-26/0033014</t>
  </si>
  <si>
    <t>GJ5568016056</t>
  </si>
  <si>
    <t>GJ5568016053</t>
  </si>
  <si>
    <t>5519B [BOE/BOL:4128032/15709538222]</t>
  </si>
  <si>
    <t>S/1157/25-26</t>
  </si>
  <si>
    <t>BPPL/25-26/0693</t>
  </si>
  <si>
    <t>24286010023649 [BOE/BOL:3720252/0]</t>
  </si>
  <si>
    <t>S/1285/25-26</t>
  </si>
  <si>
    <t>1336/25-26</t>
  </si>
  <si>
    <t>1378/25-26</t>
  </si>
  <si>
    <t>BPPL/25-26/0751</t>
  </si>
  <si>
    <t>INV2025070018 [BOE/BOL:3891107/GOSUNH8293227]</t>
  </si>
  <si>
    <t>24286010026793 [BOE/BOL:4145786/0]</t>
  </si>
  <si>
    <t>N.A.</t>
  </si>
  <si>
    <t>24ABSFA1214B1Z2</t>
  </si>
  <si>
    <t>29AAFCR9550E1Z3</t>
  </si>
  <si>
    <t>29AAACG4464B1ZU</t>
  </si>
  <si>
    <t>Aug-25</t>
  </si>
  <si>
    <t>01/08/2025</t>
  </si>
  <si>
    <t>18/08/2025</t>
  </si>
  <si>
    <t>20/08/2025</t>
  </si>
  <si>
    <t>27/08/2025</t>
  </si>
  <si>
    <t>23/08/2025</t>
  </si>
  <si>
    <t>24/08/2025</t>
  </si>
  <si>
    <t>JNHXPPPL25006</t>
  </si>
  <si>
    <t>JNHXPPPL25007</t>
  </si>
  <si>
    <t>KC02LZH2500033-INV</t>
  </si>
  <si>
    <t>DO250003367</t>
  </si>
  <si>
    <t>Advanced Global Marketing Company</t>
  </si>
  <si>
    <t>Koco Group Limited</t>
  </si>
  <si>
    <t>Sumitomo</t>
  </si>
  <si>
    <t>Borouge</t>
  </si>
  <si>
    <t>31/08/2025</t>
  </si>
  <si>
    <t>02/08/2025</t>
  </si>
  <si>
    <t>03/08/2025</t>
  </si>
  <si>
    <t>04/08/2025</t>
  </si>
  <si>
    <t>05/08/2025</t>
  </si>
  <si>
    <t>12/08/2025</t>
  </si>
  <si>
    <t>13/08/2025</t>
  </si>
  <si>
    <t>14/08/2025</t>
  </si>
  <si>
    <t>15/08/2025</t>
  </si>
  <si>
    <t>17/08/2025</t>
  </si>
  <si>
    <t>19/08/2025</t>
  </si>
  <si>
    <t>21/08/2025</t>
  </si>
  <si>
    <t>25/08/2025</t>
  </si>
  <si>
    <t>28/08/2025</t>
  </si>
  <si>
    <t>29/08/2025</t>
  </si>
  <si>
    <t>30/08/2025</t>
  </si>
  <si>
    <t>08/08/2025</t>
  </si>
  <si>
    <t>09/08/2025</t>
  </si>
  <si>
    <t>26/08/2025</t>
  </si>
  <si>
    <t>22/08/2025</t>
  </si>
  <si>
    <t>11/08/2025</t>
  </si>
  <si>
    <t>PP Bags &amp; Sacks</t>
  </si>
  <si>
    <t>SCRAP</t>
  </si>
  <si>
    <t>Blockx Packaging Doo</t>
  </si>
  <si>
    <t>Pedro Maccio Y Cia,S.A</t>
  </si>
  <si>
    <t>PIL1/E/721/25-26</t>
  </si>
  <si>
    <t>PIL1/E/722/25-26</t>
  </si>
  <si>
    <t>PIL1/E/723/25-26</t>
  </si>
  <si>
    <t>PIL1/E/719/25-26</t>
  </si>
  <si>
    <t>PIL1/E/728/25-26</t>
  </si>
  <si>
    <t>PIL1/E/734/25-26</t>
  </si>
  <si>
    <t>PIL1/E/735/25-26</t>
  </si>
  <si>
    <t>PIL1/E/739/25-26</t>
  </si>
  <si>
    <t>PIL1/E/738/25-26</t>
  </si>
  <si>
    <t>PIL1/E/746/25-26</t>
  </si>
  <si>
    <t>PIL1/E/741/25-26</t>
  </si>
  <si>
    <t>PIL1/E/742/25-26</t>
  </si>
  <si>
    <t>PIL1/E/743/25-26</t>
  </si>
  <si>
    <t>PIL1/E/749/25-26</t>
  </si>
  <si>
    <t>PIL1/E/761/25-26</t>
  </si>
  <si>
    <t>PIL1/E/762/25-26</t>
  </si>
  <si>
    <t>PIL1/E/763/25-26</t>
  </si>
  <si>
    <t>PIL1/E/766/25-26</t>
  </si>
  <si>
    <t>PIL1/E/767/25-26</t>
  </si>
  <si>
    <t>PIL1/E/769/25-26</t>
  </si>
  <si>
    <t>PIL1/E/774/25-26</t>
  </si>
  <si>
    <t>PIL1/E/775/25-26</t>
  </si>
  <si>
    <t>PIL1/E/776/25-26</t>
  </si>
  <si>
    <t>PIL1/E/777/25-26</t>
  </si>
  <si>
    <t>PIL1/E/786/25-26</t>
  </si>
  <si>
    <t>PIL1/E/787/25-26</t>
  </si>
  <si>
    <t>PIL1/E/798/25-26</t>
  </si>
  <si>
    <t>PIL1/E/806/25-26</t>
  </si>
  <si>
    <t>PIL1/E/807/25-26</t>
  </si>
  <si>
    <t>PIL1/E/816/25-26</t>
  </si>
  <si>
    <t>PIL1/E/811/25-26</t>
  </si>
  <si>
    <t>PIL1/E/827/25-26</t>
  </si>
  <si>
    <t>PIL1/E/829/25-26</t>
  </si>
  <si>
    <t>PIL1/E/830/25-26</t>
  </si>
  <si>
    <t>PIL1/E/837/25-26</t>
  </si>
  <si>
    <t>PIL1/E/834/25-26</t>
  </si>
  <si>
    <t>PIL1/E/850/25-26</t>
  </si>
  <si>
    <t>PIL1/E/846/25-26</t>
  </si>
  <si>
    <t>PIL1/E/849/25-26</t>
  </si>
  <si>
    <t>PIL2/E/252/25-26</t>
  </si>
  <si>
    <t>PIL2/E/253/25-26</t>
  </si>
  <si>
    <t>PIL2/E/254/25-26</t>
  </si>
  <si>
    <t>PIL2/E/256/25-26</t>
  </si>
  <si>
    <t>PIL2/E/259/25-26</t>
  </si>
  <si>
    <t>PIL2/E/258/25-26</t>
  </si>
  <si>
    <t>PIL2/E/264/25-26</t>
  </si>
  <si>
    <t>PIL2/E/262/25-26</t>
  </si>
  <si>
    <t>PIL2/E/265/25-26</t>
  </si>
  <si>
    <t>PIL2/E/268/25-26</t>
  </si>
  <si>
    <t>PIL2/E/269/25-26</t>
  </si>
  <si>
    <t>PIL2/E/274/25-26</t>
  </si>
  <si>
    <t>PIL2/E/276/25-26</t>
  </si>
  <si>
    <t>PIL2/E/277/25-26</t>
  </si>
  <si>
    <t>PIL2/E/278/25-26</t>
  </si>
  <si>
    <t>PIL2/E/279/25-26</t>
  </si>
  <si>
    <t>PIL2/E/281/25-26</t>
  </si>
  <si>
    <t>PIL2/E/287/25-26</t>
  </si>
  <si>
    <t>PIL2/E/290/25-26</t>
  </si>
  <si>
    <t>PIL2/E/294/25-26</t>
  </si>
  <si>
    <t>Glasnost India</t>
  </si>
  <si>
    <t>Dev Polyplast</t>
  </si>
  <si>
    <t>PIL1/D/1598</t>
  </si>
  <si>
    <t>PIL1/D/1707</t>
  </si>
  <si>
    <t>PIL1/D/1721</t>
  </si>
  <si>
    <t>PIL1/D/1720</t>
  </si>
  <si>
    <t>PIL1/D/1722</t>
  </si>
  <si>
    <t>PIL1/D/1723</t>
  </si>
  <si>
    <t>PIL1/D/1859</t>
  </si>
  <si>
    <t>PIL1/D/1860</t>
  </si>
  <si>
    <t>PIL1/D/1868</t>
  </si>
  <si>
    <t>PIL1/D/1874</t>
  </si>
  <si>
    <t>PIL1/D/1875</t>
  </si>
  <si>
    <t>PIL1/D/1878</t>
  </si>
  <si>
    <t>PIL1/D/1885</t>
  </si>
  <si>
    <t>PIL2/D/408</t>
  </si>
  <si>
    <t>PIL2/D/409</t>
  </si>
  <si>
    <t>PIL2/D/410</t>
  </si>
  <si>
    <t>PIL2/D/420</t>
  </si>
  <si>
    <t>PIL2/D/421</t>
  </si>
  <si>
    <t>PIL2/D/426</t>
  </si>
  <si>
    <t>PIL2/D/434</t>
  </si>
  <si>
    <t>PIL2/D/439</t>
  </si>
  <si>
    <t>PIL2/D/440</t>
  </si>
  <si>
    <t>PIL2/D/444</t>
  </si>
  <si>
    <t>PIL2/D/445</t>
  </si>
  <si>
    <t>PIL2/D/449</t>
  </si>
  <si>
    <t>PIL2/D/452</t>
  </si>
  <si>
    <t>PIL2/D/454</t>
  </si>
  <si>
    <t>PIL2/D/456</t>
  </si>
  <si>
    <t>PIL2/D/457</t>
  </si>
  <si>
    <t>PIL2/D/459</t>
  </si>
  <si>
    <t>PIL2/D/464</t>
  </si>
  <si>
    <t>PIL2/D/470</t>
  </si>
  <si>
    <t>PIL2/D/471</t>
  </si>
  <si>
    <t>PIL2/D/473</t>
  </si>
  <si>
    <t>PIL2/D/479</t>
  </si>
  <si>
    <t>PIL2/D/480</t>
  </si>
  <si>
    <t>PIL2/D/482</t>
  </si>
  <si>
    <t>PIL2/D/483</t>
  </si>
  <si>
    <t>PIL2/D/489</t>
  </si>
  <si>
    <t>PIL2/D/491</t>
  </si>
  <si>
    <t>PIL2/D/492</t>
  </si>
  <si>
    <t>24AELPD7472E1ZL</t>
  </si>
  <si>
    <t>24BDRPS9840M1ZK</t>
  </si>
  <si>
    <t>associate</t>
  </si>
  <si>
    <t>Shribalaji Additives Private Limited</t>
  </si>
  <si>
    <t>Ever Bags Packaging Private Limited</t>
  </si>
  <si>
    <t>Goldmine Multitrade Pvt Ltd</t>
  </si>
  <si>
    <t>INV2025090025</t>
  </si>
  <si>
    <t>GST receivable</t>
  </si>
  <si>
    <t>PIL1/E/859/25-26</t>
  </si>
  <si>
    <t>PIL1/E/858/25-26</t>
  </si>
  <si>
    <t>PIL1/E/854/25-26</t>
  </si>
  <si>
    <t>PIL1/E/861/25-26</t>
  </si>
  <si>
    <t>PIL1/E/862/25-26</t>
  </si>
  <si>
    <t>PIL1/E/863/25-26</t>
  </si>
  <si>
    <t>PIL1/E/864/25-26</t>
  </si>
  <si>
    <t>PIL1/E/865/25-26</t>
  </si>
  <si>
    <t>PIL1/E/860/25-26</t>
  </si>
  <si>
    <t>PIL1/E/875/25-26</t>
  </si>
  <si>
    <t>PIL1/E/874/25-26</t>
  </si>
  <si>
    <t>PIL1/E/876/25-26</t>
  </si>
  <si>
    <t>PIL1/E/881/25-26</t>
  </si>
  <si>
    <t>PIL1/E/887/25-26</t>
  </si>
  <si>
    <t>PIL1/E/885/25-26</t>
  </si>
  <si>
    <t>PIL1/E/884/25-26</t>
  </si>
  <si>
    <t>PIL1/E/886/25-26</t>
  </si>
  <si>
    <t>PIL1/E/889/25-26</t>
  </si>
  <si>
    <t>PIL1/E/892/25-26</t>
  </si>
  <si>
    <t>PIL1/E/893/25-26</t>
  </si>
  <si>
    <t>PIL1/E/897/25-26</t>
  </si>
  <si>
    <t>PIL1/E/905/25-26</t>
  </si>
  <si>
    <t>PIL1/E/910/25-26</t>
  </si>
  <si>
    <t>PIL1/E/914/25-26</t>
  </si>
  <si>
    <t>PIL1/E/916/25-26</t>
  </si>
  <si>
    <t>PIL1/E/921/25-26</t>
  </si>
  <si>
    <t>PIL1/E/925/25-26</t>
  </si>
  <si>
    <t>PIL1/E/931/25-26</t>
  </si>
  <si>
    <t>PIL1/E/932/25-26</t>
  </si>
  <si>
    <t>PIL1/E/927/25-26</t>
  </si>
  <si>
    <t>PIL1/E/933/25-26</t>
  </si>
  <si>
    <t>PIL1/E/929/25-26</t>
  </si>
  <si>
    <t>PIL1/E/937/25-26</t>
  </si>
  <si>
    <t>PIL1/E/944/25-26</t>
  </si>
  <si>
    <t>PIL1/E/951/25-26</t>
  </si>
  <si>
    <t>PIL1/E/963/25-26</t>
  </si>
  <si>
    <t>PIL1/E/958/25-26</t>
  </si>
  <si>
    <t>PIL1/E/967/25-26</t>
  </si>
  <si>
    <t>PIL1/E/969/25-26</t>
  </si>
  <si>
    <t>PIL1/E/968/25-26</t>
  </si>
  <si>
    <t>PIL1/E/978/25-26</t>
  </si>
  <si>
    <t>PIL1/E/983/25-26</t>
  </si>
  <si>
    <t>PIL1/E/984/25-26</t>
  </si>
  <si>
    <t>PIL1/E/982/25-26</t>
  </si>
  <si>
    <t>PIL2/E/295/25-26</t>
  </si>
  <si>
    <t>PIL2/E/296/25-26</t>
  </si>
  <si>
    <t>PIL2/E/298/25-26</t>
  </si>
  <si>
    <t>PIL2/E/299/25-26</t>
  </si>
  <si>
    <t>PIL2/E/303/25-26</t>
  </si>
  <si>
    <t>PIL2/E/304/25-26</t>
  </si>
  <si>
    <t>PIL2/E/309/25-26</t>
  </si>
  <si>
    <t>PIL2/E/310/25-26</t>
  </si>
  <si>
    <t>PIL2/E/311/25-26</t>
  </si>
  <si>
    <t>PIL2/E/317/25-26</t>
  </si>
  <si>
    <t>PIL2/E/318/25-26</t>
  </si>
  <si>
    <t>PIL1/TP/09</t>
  </si>
  <si>
    <t>PIL1/D/1931</t>
  </si>
  <si>
    <t>PIL1/E/902/25-26</t>
  </si>
  <si>
    <t>PIL2/D/518</t>
  </si>
  <si>
    <t>PIL2/D/527</t>
  </si>
  <si>
    <t>PIL2/D/535</t>
  </si>
  <si>
    <t>PIL2/D/544</t>
  </si>
  <si>
    <t>Ahlstrom Fibercomposites India Pvt Ltd</t>
  </si>
  <si>
    <t>Oswal Commodities Private Limited - Sale</t>
  </si>
  <si>
    <t>Sacherie De Pantin</t>
  </si>
  <si>
    <t>PIL1/E/987/25-26</t>
  </si>
  <si>
    <t>PIL1/E/992/25-26</t>
  </si>
  <si>
    <t>PIL1/E/998/25-26</t>
  </si>
  <si>
    <t>PIL1/E/1014/25-26</t>
  </si>
  <si>
    <t>PIL1/E/1015/25-26</t>
  </si>
  <si>
    <t>PIL1/E/1020/25-26</t>
  </si>
  <si>
    <t>PIL1/E/1022/25-26</t>
  </si>
  <si>
    <t>PIL1/E/1021/25-26</t>
  </si>
  <si>
    <t>PIL1/E/1023/25-26</t>
  </si>
  <si>
    <t>PIL1/E/1024/25-26</t>
  </si>
  <si>
    <t>PIL1/E/1025/25-26</t>
  </si>
  <si>
    <t>PIL1/E/1026/25-26</t>
  </si>
  <si>
    <t>PIL1/E/1036/25-26</t>
  </si>
  <si>
    <t>PIL1/E/1037/25-26</t>
  </si>
  <si>
    <t>PIL1/E/1047/25-26</t>
  </si>
  <si>
    <t>PIL1/E/1048/25-26</t>
  </si>
  <si>
    <t>PIL1/E/1049/25-26</t>
  </si>
  <si>
    <t>PIL1/E/1053/25-26</t>
  </si>
  <si>
    <t>PIL1/E/1056/25-26</t>
  </si>
  <si>
    <t>PIL1/E/1061/25-26</t>
  </si>
  <si>
    <t>PIL1/E/1062/25-26</t>
  </si>
  <si>
    <t>PIL1/E/1063/25-26</t>
  </si>
  <si>
    <t>PIL1/E/1064/25-26</t>
  </si>
  <si>
    <t>PIL1/E/1067/25-26</t>
  </si>
  <si>
    <t>PIL1/E/1065/25-26</t>
  </si>
  <si>
    <t>PIL1/E/1066/25-26</t>
  </si>
  <si>
    <t>PIL1/E/1073/25-26</t>
  </si>
  <si>
    <t>PIL1/E/1080/25-26</t>
  </si>
  <si>
    <t>PIL1/E/1081/25-26</t>
  </si>
  <si>
    <t>PIL1/E/1078/25-26</t>
  </si>
  <si>
    <t>PIL1/E/1086/25-26</t>
  </si>
  <si>
    <t>PIL1/E/1087/25-26</t>
  </si>
  <si>
    <t>PIL1/E/1088/25-26</t>
  </si>
  <si>
    <t>PIL1/E/1090/25-26</t>
  </si>
  <si>
    <t>PIL1/E/1091/25-26</t>
  </si>
  <si>
    <t>PIL1/E/1096/25-26</t>
  </si>
  <si>
    <t>PIL1/E/1102/25-26</t>
  </si>
  <si>
    <t>PIL1/E/1105/25-26</t>
  </si>
  <si>
    <t>PIL1/E/1106/25-26</t>
  </si>
  <si>
    <t>PIL1/E/1104/25-26</t>
  </si>
  <si>
    <t>PIL1/E/1108/25-26</t>
  </si>
  <si>
    <t>PIL2/E/323/25-26</t>
  </si>
  <si>
    <t>PIL2/E/324/25-26</t>
  </si>
  <si>
    <t>PIL2/E/326/25-26</t>
  </si>
  <si>
    <t>PIL2/E/327/25-26</t>
  </si>
  <si>
    <t>PIL2/E/328/25-26</t>
  </si>
  <si>
    <t>PIL2/E/329/25-26</t>
  </si>
  <si>
    <t>PIL2/E/330/25-26</t>
  </si>
  <si>
    <t>PIL2/E/333/25-26</t>
  </si>
  <si>
    <t>PIL2/E/334/25-26</t>
  </si>
  <si>
    <t>PIL2/E/336/25-26</t>
  </si>
  <si>
    <t>PIL2/E/338/25-26</t>
  </si>
  <si>
    <t>PIL2/E/339/25-26</t>
  </si>
  <si>
    <t>PIL2/E/340/25-26</t>
  </si>
  <si>
    <t>PIL2/E/341/25-26</t>
  </si>
  <si>
    <t>PIL2/E/344/25-26</t>
  </si>
  <si>
    <t>M D PLASTIC</t>
  </si>
  <si>
    <t>Viva City Woven Sack Private Limited</t>
  </si>
  <si>
    <t>Nij Plastics- Sale</t>
  </si>
  <si>
    <t>Narayandas Murlidhar</t>
  </si>
  <si>
    <t>Bansal Enterprises</t>
  </si>
  <si>
    <t>PIL1/D/2201</t>
  </si>
  <si>
    <t>PIL1/D/2222</t>
  </si>
  <si>
    <t>PIL1/E/1010/25-26</t>
  </si>
  <si>
    <t>PIL1/D/2251</t>
  </si>
  <si>
    <t>PIL1/D/2252</t>
  </si>
  <si>
    <t>PIL1/D/2284</t>
  </si>
  <si>
    <t>PIL1/D/2310</t>
  </si>
  <si>
    <t>PIL1/D/2311</t>
  </si>
  <si>
    <t>PIL1/D/2312</t>
  </si>
  <si>
    <t>PIL1/D/2313</t>
  </si>
  <si>
    <t>PIL1/D/2321</t>
  </si>
  <si>
    <t>PIL1/D/2349</t>
  </si>
  <si>
    <t>PIL1/D/2350</t>
  </si>
  <si>
    <t>PIL1/HSS/19/25-26</t>
  </si>
  <si>
    <t>PIL1/D/2366</t>
  </si>
  <si>
    <t>PIL1/D/2376</t>
  </si>
  <si>
    <t>PIL1/D/2396</t>
  </si>
  <si>
    <t>PIL1/D/2397</t>
  </si>
  <si>
    <t>PIL1/D/2398</t>
  </si>
  <si>
    <t>PIL1/D/2400</t>
  </si>
  <si>
    <t>PIL1/D/2403</t>
  </si>
  <si>
    <t>PIL1/D/2405</t>
  </si>
  <si>
    <t>PIL1/D/2415</t>
  </si>
  <si>
    <t>PIL1/D/2416</t>
  </si>
  <si>
    <t>PIL1/D/2417</t>
  </si>
  <si>
    <t>PIL1/D/2418</t>
  </si>
  <si>
    <t>PIL1/E/1076/25-26</t>
  </si>
  <si>
    <t>PIL1/D/2419</t>
  </si>
  <si>
    <t>PIL1/D/2425</t>
  </si>
  <si>
    <t>PIL1/D/2433</t>
  </si>
  <si>
    <t>PIL1/D/2434</t>
  </si>
  <si>
    <t>PIL1/D/2446</t>
  </si>
  <si>
    <t>PIL1/D/2449</t>
  </si>
  <si>
    <t>PIL1/D/2459</t>
  </si>
  <si>
    <t>PIL1/D/2453</t>
  </si>
  <si>
    <t>PIL1/D/2454</t>
  </si>
  <si>
    <t>PIL1/D/2464</t>
  </si>
  <si>
    <t>PIL1/D/2465</t>
  </si>
  <si>
    <t>PIL1/D/2468</t>
  </si>
  <si>
    <t>PIL1/D/2479</t>
  </si>
  <si>
    <t>PIL1/D/2490</t>
  </si>
  <si>
    <t>PIL1/D/2491</t>
  </si>
  <si>
    <t>PIL1/D/2502</t>
  </si>
  <si>
    <t>PIL1/D/2500</t>
  </si>
  <si>
    <t>PIL1/D/2501</t>
  </si>
  <si>
    <t>PIL1/D/2498</t>
  </si>
  <si>
    <t>PIL2/D/583</t>
  </si>
  <si>
    <t>PIL2/D/584</t>
  </si>
  <si>
    <t>PIL2/D/586</t>
  </si>
  <si>
    <t>PIL2/D/587</t>
  </si>
  <si>
    <t>PIL2/D/589</t>
  </si>
  <si>
    <t>PIL2/D/591</t>
  </si>
  <si>
    <t>PIL2/D/595</t>
  </si>
  <si>
    <t>PIL2/D/602</t>
  </si>
  <si>
    <t>PIL2/D/604</t>
  </si>
  <si>
    <t>PIL2/D/605</t>
  </si>
  <si>
    <t>PIL2/D/607</t>
  </si>
  <si>
    <t>PIL2/E/332/25-26</t>
  </si>
  <si>
    <t>PIL2/D/621</t>
  </si>
  <si>
    <t>PIL2/D/622</t>
  </si>
  <si>
    <t>PIL2/D/626</t>
  </si>
  <si>
    <t>PIL2/D/627</t>
  </si>
  <si>
    <t>PIL2/D/631</t>
  </si>
  <si>
    <t>PIL2/D/638</t>
  </si>
  <si>
    <t>PIL2/D/639</t>
  </si>
  <si>
    <t>PIL2/D/640</t>
  </si>
  <si>
    <t>PIL2/D/648</t>
  </si>
  <si>
    <t>PIL2/D/656</t>
  </si>
  <si>
    <t>PIL2/D/657</t>
  </si>
  <si>
    <t>PIL2/D/658</t>
  </si>
  <si>
    <t>PIL2/D/660</t>
  </si>
  <si>
    <t>PIL2/D/665</t>
  </si>
  <si>
    <t>PIL2/D/671</t>
  </si>
  <si>
    <t>06ABJFM5382K1ZT</t>
  </si>
  <si>
    <t>24AAGCA9137M1ZD</t>
  </si>
  <si>
    <t>24AACCV2113L1ZK</t>
  </si>
  <si>
    <t>24ABJPC0735G1Z6</t>
  </si>
  <si>
    <t>08AAJFN2559G1Z2</t>
  </si>
  <si>
    <t>08ADOPA8791M2ZR</t>
  </si>
  <si>
    <t>Exxonmobil Chemical Asia Pacific</t>
  </si>
  <si>
    <t>Dow Chemical International Pvt Ltd</t>
  </si>
  <si>
    <t>Nov-25</t>
  </si>
  <si>
    <t>01/11/2025</t>
  </si>
  <si>
    <t>03/11/2025</t>
  </si>
  <si>
    <t>04/11/2025</t>
  </si>
  <si>
    <t>06/11/2025</t>
  </si>
  <si>
    <t>07/11/2025</t>
  </si>
  <si>
    <t>08/11/2025</t>
  </si>
  <si>
    <t>09/11/2025</t>
  </si>
  <si>
    <t>11/11/2025</t>
  </si>
  <si>
    <t>12/11/2025</t>
  </si>
  <si>
    <t>14/11/2025</t>
  </si>
  <si>
    <t>15/11/2025</t>
  </si>
  <si>
    <t>17/11/2025</t>
  </si>
  <si>
    <t>18/11/2025</t>
  </si>
  <si>
    <t>19/11/2025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</si>
  <si>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</si>
  <si>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</si>
  <si>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</si>
  <si>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</si>
  <si>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</si>
  <si>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</si>
  <si>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</si>
  <si>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</si>
  <si>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</si>
  <si>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</si>
  <si>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10/11/2025</t>
  </si>
  <si>
    <t>16/11/2025</t>
  </si>
  <si>
    <t>23/11/2025</t>
  </si>
  <si>
    <t>13/11/2025</t>
  </si>
  <si>
    <t>02/11/2025</t>
  </si>
  <si>
    <t>11-03-2022</t>
  </si>
  <si>
    <t>30-11-2025</t>
  </si>
  <si>
    <t>02-04-2022</t>
  </si>
  <si>
    <t>04-04-2023</t>
  </si>
  <si>
    <t>11-12-2023</t>
  </si>
  <si>
    <t>25-01-2017</t>
  </si>
  <si>
    <t>10-02-2017</t>
  </si>
  <si>
    <t>11-05-2024</t>
  </si>
  <si>
    <t>19-06-2024</t>
  </si>
  <si>
    <t>22-10-2024</t>
  </si>
  <si>
    <t>04-10-2024</t>
  </si>
  <si>
    <t>13-11-2024</t>
  </si>
  <si>
    <t>09-01-2025</t>
  </si>
  <si>
    <t>24-01-2025</t>
  </si>
  <si>
    <t>05-02-2025</t>
  </si>
  <si>
    <t>13-02-2025</t>
  </si>
  <si>
    <t>26-02-2025</t>
  </si>
  <si>
    <t>28-02-2025</t>
  </si>
  <si>
    <t>14-02-2025</t>
  </si>
  <si>
    <t>22-03-2025</t>
  </si>
  <si>
    <t>29-03-2025</t>
  </si>
  <si>
    <t>16-04-2025</t>
  </si>
  <si>
    <t>30-04-2025</t>
  </si>
  <si>
    <t>18-04-2025</t>
  </si>
  <si>
    <t>06-05-2025</t>
  </si>
  <si>
    <t>16-05-2025</t>
  </si>
  <si>
    <t>18-05-2025</t>
  </si>
  <si>
    <t>25-05-2025</t>
  </si>
  <si>
    <t>20-06-2025</t>
  </si>
  <si>
    <t>24-06-2025</t>
  </si>
  <si>
    <t>27-06-2025</t>
  </si>
  <si>
    <t>05-06-2025</t>
  </si>
  <si>
    <t>10-06-2025</t>
  </si>
  <si>
    <t>15-06-2025</t>
  </si>
  <si>
    <t>17-06-2025</t>
  </si>
  <si>
    <t>18-06-2025</t>
  </si>
  <si>
    <t>19-06-2025</t>
  </si>
  <si>
    <t>29-06-2025</t>
  </si>
  <si>
    <t>30-06-2025</t>
  </si>
  <si>
    <t>03-06-2025</t>
  </si>
  <si>
    <t>11-06-2025</t>
  </si>
  <si>
    <t>23-06-2025</t>
  </si>
  <si>
    <t>28-06-2025</t>
  </si>
  <si>
    <t>15-07-2025</t>
  </si>
  <si>
    <t>26-07-2025</t>
  </si>
  <si>
    <t>29-07-2025</t>
  </si>
  <si>
    <t>01-07-2025</t>
  </si>
  <si>
    <t>07-07-2025</t>
  </si>
  <si>
    <t>11-07-2025</t>
  </si>
  <si>
    <t>12-07-2025</t>
  </si>
  <si>
    <t>14-07-2025</t>
  </si>
  <si>
    <t>18-07-2025</t>
  </si>
  <si>
    <t>19-07-2025</t>
  </si>
  <si>
    <t>21-07-2025</t>
  </si>
  <si>
    <t>23-07-2025</t>
  </si>
  <si>
    <t>24-07-2025</t>
  </si>
  <si>
    <t>25-07-2025</t>
  </si>
  <si>
    <t>02-07-2025</t>
  </si>
  <si>
    <t>03-07-2025</t>
  </si>
  <si>
    <t>06-07-2025</t>
  </si>
  <si>
    <t>08-07-2025</t>
  </si>
  <si>
    <t>10-07-2025</t>
  </si>
  <si>
    <t>17-07-2025</t>
  </si>
  <si>
    <t>20-07-2025</t>
  </si>
  <si>
    <t>22-07-2025</t>
  </si>
  <si>
    <t>27-07-2025</t>
  </si>
  <si>
    <t>30-07-2025</t>
  </si>
  <si>
    <t>03-08-2025</t>
  </si>
  <si>
    <t>05-08-2025</t>
  </si>
  <si>
    <t>12-08-2025</t>
  </si>
  <si>
    <t>14-08-2025</t>
  </si>
  <si>
    <t>15-08-2025</t>
  </si>
  <si>
    <t>17-08-2025</t>
  </si>
  <si>
    <t>18-08-2025</t>
  </si>
  <si>
    <t>20-08-2025</t>
  </si>
  <si>
    <t>21-08-2025</t>
  </si>
  <si>
    <t>23-08-2025</t>
  </si>
  <si>
    <t>24-08-2025</t>
  </si>
  <si>
    <t>28-08-2025</t>
  </si>
  <si>
    <t>29-08-2025</t>
  </si>
  <si>
    <t>30-08-2025</t>
  </si>
  <si>
    <t>08-08-2025</t>
  </si>
  <si>
    <t>09-08-2025</t>
  </si>
  <si>
    <t>13-08-2025</t>
  </si>
  <si>
    <t>19-08-2025</t>
  </si>
  <si>
    <t>25-08-2025</t>
  </si>
  <si>
    <t>26-08-2025</t>
  </si>
  <si>
    <t>27-08-2025</t>
  </si>
  <si>
    <t>01-09-2025</t>
  </si>
  <si>
    <t>02-09-2025</t>
  </si>
  <si>
    <t>03-09-2025</t>
  </si>
  <si>
    <t>04-09-2025</t>
  </si>
  <si>
    <t>05-09-2025</t>
  </si>
  <si>
    <t>07-09-2025</t>
  </si>
  <si>
    <t>09-09-2025</t>
  </si>
  <si>
    <t>10-09-2025</t>
  </si>
  <si>
    <t>11-09-2025</t>
  </si>
  <si>
    <t>12-09-2025</t>
  </si>
  <si>
    <t>14-09-2025</t>
  </si>
  <si>
    <t>16-09-2025</t>
  </si>
  <si>
    <t>19-09-2025</t>
  </si>
  <si>
    <t>20-09-2025</t>
  </si>
  <si>
    <t>24-09-2025</t>
  </si>
  <si>
    <t>25-09-2025</t>
  </si>
  <si>
    <t>26-09-2025</t>
  </si>
  <si>
    <t>29-09-2025</t>
  </si>
  <si>
    <t>06-09-2025</t>
  </si>
  <si>
    <t>08-09-2025</t>
  </si>
  <si>
    <t>18-09-2025</t>
  </si>
  <si>
    <t>21-09-2025</t>
  </si>
  <si>
    <t>27-09-2025</t>
  </si>
  <si>
    <t>30-09-2025</t>
  </si>
  <si>
    <t>17-09-2025</t>
  </si>
  <si>
    <t>01-10-2025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</si>
  <si>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</si>
  <si>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</si>
  <si>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</si>
  <si>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</si>
  <si>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</si>
  <si>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</si>
  <si>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</si>
  <si>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</si>
  <si>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</si>
  <si>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</si>
  <si>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</si>
  <si>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</si>
  <si>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</si>
  <si>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</si>
  <si>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</si>
  <si>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22-10-2025</t>
  </si>
  <si>
    <t>25-10-2025</t>
  </si>
  <si>
    <t>27-10-2025</t>
  </si>
  <si>
    <t>30-10-2025</t>
  </si>
  <si>
    <t>31-10-2025</t>
  </si>
  <si>
    <t>11-10-2025</t>
  </si>
  <si>
    <t>29-10-2025</t>
  </si>
  <si>
    <t>01-11-2025</t>
  </si>
  <si>
    <t>03-11-2025</t>
  </si>
  <si>
    <t>04-11-2025</t>
  </si>
  <si>
    <t>06-11-2025</t>
  </si>
  <si>
    <t>07-11-2025</t>
  </si>
  <si>
    <t>08-11-2025</t>
  </si>
  <si>
    <t>09-11-2025</t>
  </si>
  <si>
    <t>11-11-2025</t>
  </si>
  <si>
    <t>12-11-2025</t>
  </si>
  <si>
    <t>14-11-2025</t>
  </si>
  <si>
    <t>15-11-2025</t>
  </si>
  <si>
    <t>17-11-2025</t>
  </si>
  <si>
    <t>18-11-2025</t>
  </si>
  <si>
    <t>19-11-2025</t>
  </si>
  <si>
    <t>20-11-2025</t>
  </si>
  <si>
    <t>21-11-2025</t>
  </si>
  <si>
    <t>22-11-2025</t>
  </si>
  <si>
    <t>24-11-2025</t>
  </si>
  <si>
    <t>25-11-2025</t>
  </si>
  <si>
    <t>26-11-2025</t>
  </si>
  <si>
    <t>27-11-2025</t>
  </si>
  <si>
    <t>28-11-2025</t>
  </si>
  <si>
    <t>29-11-2025</t>
  </si>
  <si>
    <t>10-11-2025</t>
  </si>
  <si>
    <t>16-11-2025</t>
  </si>
  <si>
    <t>23-11-2025</t>
  </si>
  <si>
    <t>13-11-2025</t>
  </si>
  <si>
    <t>02-11-2025</t>
  </si>
  <si>
    <t>PP Lam Fabric Without UV</t>
  </si>
  <si>
    <t>PP Lam Bags Without UV</t>
  </si>
  <si>
    <t>FIBC Accessories</t>
  </si>
  <si>
    <t>PIL1/E/1186/25-26</t>
  </si>
  <si>
    <t>Swastidaya Commercial Private Limited</t>
  </si>
  <si>
    <t>Tec Papers Pvt Ltd</t>
  </si>
  <si>
    <t>PIL1/HSS/20/25-26</t>
  </si>
  <si>
    <t>PIL1/HSS/21/25-26</t>
  </si>
  <si>
    <t>PIL2/D/719</t>
  </si>
  <si>
    <t>PIL2/D/744</t>
  </si>
  <si>
    <t>29ABOCS2614Q1ZJ</t>
  </si>
  <si>
    <t>24AACCT5064E1ZL</t>
  </si>
  <si>
    <t>P. Nikiforakis H. Fasourakis Ltd</t>
  </si>
  <si>
    <t>Cpi Plastic Joint Stock Company</t>
  </si>
  <si>
    <t>Shree Sharda Impex</t>
  </si>
  <si>
    <t>Mobelchem Specialty Private Limited</t>
  </si>
  <si>
    <t>27AANCM4946P1ZJ</t>
  </si>
  <si>
    <t>FHWL2512030079</t>
  </si>
  <si>
    <t>05/09/2025</t>
  </si>
  <si>
    <t>08/12/2025</t>
  </si>
  <si>
    <t>14/12/2025</t>
  </si>
  <si>
    <t>21/12/2025</t>
  </si>
  <si>
    <t>17/12/2025</t>
  </si>
  <si>
    <t>Paper Poly Bag</t>
  </si>
  <si>
    <t>PIL1/E/1303/25-26</t>
  </si>
  <si>
    <t>PIL2/E/399/25-26</t>
  </si>
  <si>
    <t>PIL2/E/400/25-26</t>
  </si>
  <si>
    <t>PIL2/E/401/25-26</t>
  </si>
  <si>
    <t>PIL2/E/407/25-26</t>
  </si>
  <si>
    <t>PIL2/E/408/25-26</t>
  </si>
  <si>
    <t>PIL2/E/409/25-26</t>
  </si>
  <si>
    <t>PIL2/E/410/25-26</t>
  </si>
  <si>
    <t>PIL2/E/411/25-26</t>
  </si>
  <si>
    <t>PIL2/E/415/25-26</t>
  </si>
  <si>
    <t>PIL2/E/416/25-26</t>
  </si>
  <si>
    <t>PIL2/E/424/25-26</t>
  </si>
  <si>
    <t>PIL2/E/425/25-26</t>
  </si>
  <si>
    <t>PIL2/E/426/25-26</t>
  </si>
  <si>
    <t>Arabian Pipeline &amp; Services Co. Ltd (Anabeeb)</t>
  </si>
  <si>
    <t>Vibhav Commercial Private Limited</t>
  </si>
  <si>
    <t>Ankur Chemfood Ltd - Sales</t>
  </si>
  <si>
    <t>Pamnani International</t>
  </si>
  <si>
    <t>29AALCV6611Q1ZG</t>
  </si>
  <si>
    <t>24AABCA8203F2Z7</t>
  </si>
  <si>
    <t>24BCSPP5326F1ZE</t>
  </si>
  <si>
    <t>PIL/25-26/HSS/23</t>
  </si>
  <si>
    <t>PIL2/D/802</t>
  </si>
  <si>
    <t>PIL2/D/831</t>
  </si>
  <si>
    <t>Indian Oil Corporation Ltd-Haryana-(Pur)</t>
  </si>
  <si>
    <t>Zhejiang Guxiandao Polyester Dope Dyed Yarn Co.,Ltd</t>
  </si>
  <si>
    <t>Terramag India Private Limited</t>
  </si>
  <si>
    <t>06AAACI1681G3ZR</t>
  </si>
  <si>
    <t>24AALCT7420P1ZT</t>
  </si>
  <si>
    <t>As per TB</t>
  </si>
  <si>
    <t>Sumitomo Chemical Asia Pte Ltd</t>
  </si>
  <si>
    <t>31/01/2026</t>
  </si>
  <si>
    <t>12/01/2026</t>
  </si>
  <si>
    <t>15/01/2026</t>
  </si>
  <si>
    <t>17/01/2026</t>
  </si>
  <si>
    <t>20/01/2026</t>
  </si>
  <si>
    <t>24/01/2026</t>
  </si>
  <si>
    <t>25/01/2026</t>
  </si>
  <si>
    <t>26/01/2026</t>
  </si>
  <si>
    <t>08/01/2026</t>
  </si>
  <si>
    <t>10/01/2026</t>
  </si>
  <si>
    <t>19/01/2026</t>
  </si>
  <si>
    <t>PIL1/E/1404/25-26</t>
  </si>
  <si>
    <t>PIL1/E/1405/25-26</t>
  </si>
  <si>
    <t>PIL1/E/1406/25-26</t>
  </si>
  <si>
    <t>PIL1/E/1407/25-26</t>
  </si>
  <si>
    <t>PIL1/E/1408/25-26</t>
  </si>
  <si>
    <t>PIL1/E/1438/25-26</t>
  </si>
  <si>
    <t>PIL1/E/1439/25-26</t>
  </si>
  <si>
    <t>PIL1/E/1440/25-26</t>
  </si>
  <si>
    <t>PIL1/E/1441/25-26</t>
  </si>
  <si>
    <t>PIL1/E/1454/25-26</t>
  </si>
  <si>
    <t>PIL1/E/1476/25-26</t>
  </si>
  <si>
    <t>PIL1/E/1477/25-26</t>
  </si>
  <si>
    <t>PIL1/E/1478/25-26</t>
  </si>
  <si>
    <t>PIL1/E/1479/25-26</t>
  </si>
  <si>
    <t>PIL1/E/1480/25-26</t>
  </si>
  <si>
    <t>PIL1/E/1494/25-26</t>
  </si>
  <si>
    <t>PIL2/E/429/25-26</t>
  </si>
  <si>
    <t>PIL2/E/430/25-26</t>
  </si>
  <si>
    <t>PIL2/E/432/25-26</t>
  </si>
  <si>
    <t>PIL2/E/433/25-26</t>
  </si>
  <si>
    <t>PIL2/E/434/25-26</t>
  </si>
  <si>
    <t>PIL2/E/435/25-26</t>
  </si>
  <si>
    <t>PIL2/E/436/25-26</t>
  </si>
  <si>
    <t>PIL2/E/437/25-26</t>
  </si>
  <si>
    <t>PIL2/E/440/25-26</t>
  </si>
  <si>
    <t>PIL2/E/441/25-26</t>
  </si>
  <si>
    <t>PIL2/E/444/25-26</t>
  </si>
  <si>
    <t>PIL2/E/446/25-26</t>
  </si>
  <si>
    <t>PIL2/E/447/25-26</t>
  </si>
  <si>
    <t>PIL2/E/448/25-26</t>
  </si>
  <si>
    <t>PIL2/E/459/25-26</t>
  </si>
  <si>
    <t>PIL2/D/937</t>
  </si>
  <si>
    <t>pn</t>
  </si>
  <si>
    <t>SPCX Pvt Ltd</t>
  </si>
  <si>
    <t>HR5567048449</t>
  </si>
  <si>
    <t>3047/25-26</t>
  </si>
  <si>
    <t>Qingdao Fundchem Co.,Ltd</t>
  </si>
  <si>
    <t>28/02/2026</t>
  </si>
  <si>
    <t>04/02/2026</t>
  </si>
  <si>
    <t>10/02/2026</t>
  </si>
  <si>
    <t>13/02/2026</t>
  </si>
  <si>
    <t>16/02/2026</t>
  </si>
  <si>
    <t>17/02/2026</t>
  </si>
  <si>
    <t>19/02/2026</t>
  </si>
  <si>
    <t>20/02/2026</t>
  </si>
  <si>
    <t>21/02/2026</t>
  </si>
  <si>
    <t>23/02/2026</t>
  </si>
  <si>
    <t>25/02/2026</t>
  </si>
  <si>
    <t>26/02/2026</t>
  </si>
  <si>
    <t>05/02/2026</t>
  </si>
  <si>
    <t>07/02/2026</t>
  </si>
  <si>
    <t>Consumables</t>
  </si>
  <si>
    <t>Polyester Yarn</t>
  </si>
  <si>
    <t>Rafypak S.A De C.V</t>
  </si>
  <si>
    <t>PIL1/E/1513/25-26</t>
  </si>
  <si>
    <t>PIL1/E/1560/25-26</t>
  </si>
  <si>
    <t>PIL1/E/1561/25-26</t>
  </si>
  <si>
    <t>PIL1/E/1562/25-26</t>
  </si>
  <si>
    <t>PIL1/E/1563/25-26</t>
  </si>
  <si>
    <t>PIL1/E/1577/25-26</t>
  </si>
  <si>
    <t>PIL1/E/1590/25-26</t>
  </si>
  <si>
    <t>PIL1/E/1593/25-26</t>
  </si>
  <si>
    <t>PIL1/E/1602/25-26</t>
  </si>
  <si>
    <t>PIL1/E/1628/25-26</t>
  </si>
  <si>
    <t>PIL1/E/1640/25-26</t>
  </si>
  <si>
    <t>PIL1/E/1645/25-26</t>
  </si>
  <si>
    <t>PIL1/E/1648/25-26</t>
  </si>
  <si>
    <t>PIL2/E/464/25-26</t>
  </si>
  <si>
    <t>PIL2/E/466/25-26</t>
  </si>
  <si>
    <t>PIL2/E/467/25-26</t>
  </si>
  <si>
    <t>PIL2/E/468/25-26</t>
  </si>
  <si>
    <t>PIL2/E/470/25-26</t>
  </si>
  <si>
    <t>PIL2/E/471/25-26</t>
  </si>
  <si>
    <t>PIL2/E/472/25-26</t>
  </si>
  <si>
    <t>PIL2/E/476/25-26</t>
  </si>
  <si>
    <t>PIL2/E/487/25-26</t>
  </si>
  <si>
    <t>PIL2/E/492/25-26</t>
  </si>
  <si>
    <t>PIL2/E/493/25-26</t>
  </si>
  <si>
    <t>PIL2/E/489/25-26</t>
  </si>
  <si>
    <t>Rdc Agro Ventures Private Limited</t>
  </si>
  <si>
    <t>PIL1/D/3571</t>
  </si>
  <si>
    <t>PIL1/D/3652</t>
  </si>
  <si>
    <t>PIL1/D/3734</t>
  </si>
  <si>
    <t>PIL1/D/3742</t>
  </si>
  <si>
    <t>PIL1/D/3791</t>
  </si>
  <si>
    <t>PIL2/D/999</t>
  </si>
  <si>
    <t>PIL2/D/1019</t>
  </si>
  <si>
    <t>27AALCR7794Q1Z2</t>
  </si>
  <si>
    <t>GST  Receivable</t>
  </si>
  <si>
    <t>11/03/2026</t>
  </si>
  <si>
    <t>31/03/2026</t>
  </si>
  <si>
    <t>02/03/2026</t>
  </si>
  <si>
    <t>03/03/2026</t>
  </si>
  <si>
    <t>07/03/2026</t>
  </si>
  <si>
    <t>13/03/2026</t>
  </si>
  <si>
    <t>16/03/2026</t>
  </si>
  <si>
    <t>17/03/2026</t>
  </si>
  <si>
    <t>19/03/2026</t>
  </si>
  <si>
    <t>20/03/2026</t>
  </si>
  <si>
    <t>21/03/2026</t>
  </si>
  <si>
    <t>22/03/2026</t>
  </si>
  <si>
    <t>25/03/2026</t>
  </si>
  <si>
    <t>26/03/2026</t>
  </si>
  <si>
    <t>27/03/2026</t>
  </si>
  <si>
    <t>29/03/2026</t>
  </si>
  <si>
    <t>30/03/2026</t>
  </si>
  <si>
    <t>08/03/2026</t>
  </si>
  <si>
    <t>09/03/2026</t>
  </si>
  <si>
    <t>10/03/2026</t>
  </si>
  <si>
    <t>18/03/2026</t>
  </si>
  <si>
    <t>MS9968</t>
  </si>
  <si>
    <t>MB Karnavati Varana Brown</t>
  </si>
  <si>
    <t>UV PIL NFG Natural MFY PP 20%</t>
  </si>
  <si>
    <t>PIL1/E/69/26-27</t>
  </si>
  <si>
    <t>PIL1/E/72/26-27</t>
  </si>
  <si>
    <t>PIL1/E/73/26-27</t>
  </si>
  <si>
    <t>PIL1/E/90/26-27</t>
  </si>
  <si>
    <t>PIL1/E/91/26-27</t>
  </si>
  <si>
    <t>PIL1/E/100/26-27</t>
  </si>
  <si>
    <t>PIL1/E/103/26-27</t>
  </si>
  <si>
    <t>PIL1/E/109/26-27</t>
  </si>
  <si>
    <t>PIL1/E/114/26-27</t>
  </si>
  <si>
    <t>PIL2/E/2/26-27</t>
  </si>
  <si>
    <t>PIL2/E/4/26-27</t>
  </si>
  <si>
    <t>PIL2/E/5/26-27</t>
  </si>
  <si>
    <t>PIL2/E/3/26-27</t>
  </si>
  <si>
    <t>PIL2/E/8/26-27</t>
  </si>
  <si>
    <t>PIL2/E/10/26-27</t>
  </si>
  <si>
    <t>PIL2/E/12/26-27</t>
  </si>
  <si>
    <t>PIL2/E/11/26-27</t>
  </si>
  <si>
    <t>PIL2/E/13/26-27</t>
  </si>
  <si>
    <t>PIL2/E/14/26-27</t>
  </si>
  <si>
    <t>PIL2/E/15/26-27</t>
  </si>
  <si>
    <t>PIL2/E/16/26-27</t>
  </si>
  <si>
    <t>PIL2/E/17/26-27</t>
  </si>
  <si>
    <t>PIL2/E/18/26-27</t>
  </si>
  <si>
    <t>Gipack Tech Llp</t>
  </si>
  <si>
    <t>Appl Industries Limited, Gurugram</t>
  </si>
  <si>
    <t>Isbir Mewar Bulk Bag Private Limited</t>
  </si>
  <si>
    <t>PIL1/D/174</t>
  </si>
  <si>
    <t>PIL1/D/171</t>
  </si>
  <si>
    <t>PIL2/D/2</t>
  </si>
  <si>
    <t>PIL2/D/3</t>
  </si>
  <si>
    <t>PIL2/D/25</t>
  </si>
  <si>
    <t>PIL2/D/58</t>
  </si>
  <si>
    <t>24ABDFG4062C1ZX</t>
  </si>
  <si>
    <t>06AAFCA1026J1Z2</t>
  </si>
  <si>
    <t>08AAECI5510Q1Z8</t>
  </si>
  <si>
    <t>Satyendra Masterbatch Private Limited</t>
  </si>
  <si>
    <t>Ishan Plastic LLP</t>
  </si>
  <si>
    <t>Avient Materials India Private Limited- Gujarat</t>
  </si>
  <si>
    <t>Cytech Coatings Pvt Ltd</t>
  </si>
  <si>
    <t>AMD/25-26/07084</t>
  </si>
  <si>
    <t>SMD/2627/30</t>
  </si>
  <si>
    <t>AE/26-27/007</t>
  </si>
  <si>
    <t>AMD/26-27/00223</t>
  </si>
  <si>
    <t>M/105/2026-27</t>
  </si>
  <si>
    <t>CCPL/26-27/0048</t>
  </si>
  <si>
    <t>GJ5568001213</t>
  </si>
  <si>
    <t>SMD/2627/65</t>
  </si>
  <si>
    <t>CPL/26-27/80</t>
  </si>
  <si>
    <t>24ABGCS6274E1ZA</t>
  </si>
  <si>
    <t>24AAHFI1010M1ZQ</t>
  </si>
  <si>
    <t>24AAECP7231R1ZZ</t>
  </si>
  <si>
    <t>24AADCC6403H1Z2</t>
  </si>
  <si>
    <t>16/04/2026</t>
  </si>
  <si>
    <t>5652B</t>
  </si>
  <si>
    <t>30/04/2026</t>
  </si>
  <si>
    <t>01/04/2026</t>
  </si>
  <si>
    <t>14/04/2026</t>
  </si>
  <si>
    <t>18/04/2026</t>
  </si>
  <si>
    <t>20/04/2026</t>
  </si>
  <si>
    <t>21/04/2026</t>
  </si>
  <si>
    <t>22/04/2026</t>
  </si>
  <si>
    <t>23/04/2026</t>
  </si>
  <si>
    <t>24/04/2026</t>
  </si>
  <si>
    <t>28/04/2026</t>
  </si>
  <si>
    <t>29/04/2026</t>
  </si>
  <si>
    <t>06/04/2026</t>
  </si>
  <si>
    <t>08/04/2026</t>
  </si>
  <si>
    <t>10/04/2026</t>
  </si>
  <si>
    <t>25/04/2026</t>
  </si>
  <si>
    <t>02/04/2026</t>
  </si>
  <si>
    <t>12/04/2026</t>
  </si>
  <si>
    <t>15/04/2026</t>
  </si>
  <si>
    <t>17/04/2026</t>
  </si>
  <si>
    <t>19/04/2026</t>
  </si>
  <si>
    <t>26/04/2026</t>
  </si>
  <si>
    <t>27/04/2026</t>
  </si>
  <si>
    <t>24286010000651</t>
  </si>
  <si>
    <t>Packing Material</t>
  </si>
  <si>
    <t>Packaging Material</t>
  </si>
  <si>
    <t>Pallets</t>
  </si>
  <si>
    <t>Capex</t>
  </si>
  <si>
    <t>HDPE Granules</t>
  </si>
  <si>
    <t>HDPE Granuels</t>
  </si>
  <si>
    <t>HDPE IOCL 010E52</t>
  </si>
  <si>
    <t>MB Karnavati J Yellow</t>
  </si>
  <si>
    <t>MB Karnavati Polyplast Blue</t>
  </si>
  <si>
    <t>Building Material</t>
  </si>
  <si>
    <t>Spreader, Upper For Overedge Stitching  (81507)</t>
  </si>
  <si>
    <t>MB Colman Shiny Black ( RD Black-01 )</t>
  </si>
  <si>
    <t>Filler</t>
  </si>
  <si>
    <t>FILLER - CACO3</t>
  </si>
  <si>
    <t>Filler Soltex PTUFF23</t>
  </si>
  <si>
    <t>Filler Terramag Calcium 20%</t>
  </si>
  <si>
    <t>Cement Bag</t>
  </si>
  <si>
    <t>Sales - Interstate - Traded Goods</t>
  </si>
  <si>
    <t>Mechtech Enterprise</t>
  </si>
  <si>
    <t>Jumbo Bag</t>
  </si>
  <si>
    <t>PIL1/E/135/26-27</t>
  </si>
  <si>
    <t>PIL1/E/139/26-27</t>
  </si>
  <si>
    <t>PIL1/D/364</t>
  </si>
  <si>
    <t>24AAACO7290H4ZB</t>
  </si>
  <si>
    <t>PIL1/E/145/26-27</t>
  </si>
  <si>
    <t>PIL1/E/152/26-27</t>
  </si>
  <si>
    <t>PIL1/E/162/26-27</t>
  </si>
  <si>
    <t>PIL1/E/173/26-27</t>
  </si>
  <si>
    <t>PIL1/E/174/26-27</t>
  </si>
  <si>
    <t>PIL1/E/175/26-27</t>
  </si>
  <si>
    <t>PIL1/D/437</t>
  </si>
  <si>
    <t>PIL1/D/438</t>
  </si>
  <si>
    <t>PIL1/D/452</t>
  </si>
  <si>
    <t>PIL1/D/460</t>
  </si>
  <si>
    <t>PIL1/D/461</t>
  </si>
  <si>
    <t>PIL1/D/472</t>
  </si>
  <si>
    <t>PIL1/E/212/26-27</t>
  </si>
  <si>
    <t>PIL1/E/215/26-27</t>
  </si>
  <si>
    <t>PIL1/D/487</t>
  </si>
  <si>
    <t>PIL1/D/488</t>
  </si>
  <si>
    <t>PIL1/D/501</t>
  </si>
  <si>
    <t>PIL1/E/226/26-27</t>
  </si>
  <si>
    <t>PIL1/D/508</t>
  </si>
  <si>
    <t>PIL1/D/509</t>
  </si>
  <si>
    <t>PIL1/D/520</t>
  </si>
  <si>
    <t>PIL1/E/229/26-27</t>
  </si>
  <si>
    <t>PIL1/D/530</t>
  </si>
  <si>
    <t>PIL1/D/551</t>
  </si>
  <si>
    <t>PIL1/E/234/26-27</t>
  </si>
  <si>
    <t>PIL1/D/555</t>
  </si>
  <si>
    <t>PIL1/D/575</t>
  </si>
  <si>
    <t>PIL1/D/576</t>
  </si>
  <si>
    <t>PIL2/E/19/26-27</t>
  </si>
  <si>
    <t>PIL2/E/20/26-27</t>
  </si>
  <si>
    <t>PIL2/E/21/26-27</t>
  </si>
  <si>
    <t>PIL2/E/22/26-27</t>
  </si>
  <si>
    <t>PIL2/D/147</t>
  </si>
  <si>
    <t>PIL2/E/25/26-27</t>
  </si>
  <si>
    <t>Asia Bulk Sack Pvt Ltd - Sales</t>
  </si>
  <si>
    <t>24AACCA4884D1ZW</t>
  </si>
  <si>
    <t>PIL2/D/151</t>
  </si>
  <si>
    <t>PIL2/E/27/26-27</t>
  </si>
  <si>
    <t>PIL2/E/28/26-27</t>
  </si>
  <si>
    <t>PIL2/E/29/26-27</t>
  </si>
  <si>
    <t>PIL2/E/30/26-27</t>
  </si>
  <si>
    <t>PIL2/D/162</t>
  </si>
  <si>
    <t>PIL2/E/32/26-27</t>
  </si>
  <si>
    <t>PIL2/D/166</t>
  </si>
  <si>
    <t>PIL2/D/169</t>
  </si>
  <si>
    <t>PIL2/E/33/26-27</t>
  </si>
  <si>
    <t>PIL2/E/35/26-27</t>
  </si>
  <si>
    <t>PIL2/E/36/26-27</t>
  </si>
  <si>
    <t>PIL2/E/37/26-27</t>
  </si>
  <si>
    <t>PIL2/D/186</t>
  </si>
  <si>
    <t>PIL2/D/193</t>
  </si>
  <si>
    <t>PIL2/D/194</t>
  </si>
  <si>
    <t>Jahnavi Polymers</t>
  </si>
  <si>
    <t>Industrial Bag Packaging</t>
  </si>
  <si>
    <t>Coromandel International Ltd-Ankleshwar</t>
  </si>
  <si>
    <t>24AANFJ8866A1Z6</t>
  </si>
  <si>
    <t>24AAHFI0591B1ZT</t>
  </si>
  <si>
    <t>PIL1/D/587</t>
  </si>
  <si>
    <t>PIL1/D/585</t>
  </si>
  <si>
    <t>PIL1/D/592</t>
  </si>
  <si>
    <t>PIL1/D/593</t>
  </si>
  <si>
    <t>PIL1/D/605</t>
  </si>
  <si>
    <t>PIL1/E/250/26-27</t>
  </si>
  <si>
    <t>PIL1/E/249/26-27</t>
  </si>
  <si>
    <t>PIL1/D/597</t>
  </si>
  <si>
    <t>PIL1/D/602</t>
  </si>
  <si>
    <t>PIL1/D/603</t>
  </si>
  <si>
    <t>PIL1/D/606</t>
  </si>
  <si>
    <t>PIL1/D/604</t>
  </si>
  <si>
    <t>PIL1/D/612</t>
  </si>
  <si>
    <t>PIL1/D/613</t>
  </si>
  <si>
    <t>PIL1/D/624</t>
  </si>
  <si>
    <t>PIL1/E/253/26-27</t>
  </si>
  <si>
    <t>PIL1/E/254/26-27</t>
  </si>
  <si>
    <t>PIL1/D/625</t>
  </si>
  <si>
    <t>PIL1/D/626</t>
  </si>
  <si>
    <t>PIL1/D/635</t>
  </si>
  <si>
    <t>PIL1/D/636</t>
  </si>
  <si>
    <t>PIL1/D/643</t>
  </si>
  <si>
    <t>PIL1/D/642</t>
  </si>
  <si>
    <t>PIL1/D/654</t>
  </si>
  <si>
    <t>PIL1/E/264/26-27</t>
  </si>
  <si>
    <t>PIL1/E/265/26-27</t>
  </si>
  <si>
    <t>PIL1/E/266/26-27</t>
  </si>
  <si>
    <t>PIL1/E/267/26-27</t>
  </si>
  <si>
    <t>PIL1/E/268/26-27</t>
  </si>
  <si>
    <t>PIL1/D/650</t>
  </si>
  <si>
    <t>PIL1/D/651</t>
  </si>
  <si>
    <t>PIL1/D/656</t>
  </si>
  <si>
    <t>PIL1/D/664</t>
  </si>
  <si>
    <t>PIL1/D/662</t>
  </si>
  <si>
    <t>PIL1/D/681</t>
  </si>
  <si>
    <t>PIL1/D/684</t>
  </si>
  <si>
    <t>PIL1/E/280/26-27</t>
  </si>
  <si>
    <t>PIL1/E/281/26-27</t>
  </si>
  <si>
    <t>PIL1/E/282/26-27</t>
  </si>
  <si>
    <t>PIL1/E/289/26-27</t>
  </si>
  <si>
    <t>PIL1/E/290/26-27</t>
  </si>
  <si>
    <t>PIL1/D/723</t>
  </si>
  <si>
    <t>PIL1/D/724</t>
  </si>
  <si>
    <t>PIL1/D/733</t>
  </si>
  <si>
    <t>PIL1/D/732</t>
  </si>
  <si>
    <t>PIL1/D/739</t>
  </si>
  <si>
    <t>PIL1/D/756</t>
  </si>
  <si>
    <t>PIL1/D/765</t>
  </si>
  <si>
    <t>PIL1/E/299/26-27</t>
  </si>
  <si>
    <t>PIL1/D/774</t>
  </si>
  <si>
    <t>PIL1/D/783</t>
  </si>
  <si>
    <t>PIL1/D/795</t>
  </si>
  <si>
    <t>PIL1/D/796</t>
  </si>
  <si>
    <t>PIL1/D/797</t>
  </si>
  <si>
    <t>PIL1/D/805</t>
  </si>
  <si>
    <t>PIL1/D/806</t>
  </si>
  <si>
    <t>PIL1/D/807</t>
  </si>
  <si>
    <t>PIL1/D/808</t>
  </si>
  <si>
    <t>PIL1/E/312/26-27</t>
  </si>
  <si>
    <t>PIL1/D/812</t>
  </si>
  <si>
    <t>PIL1/D/826</t>
  </si>
  <si>
    <t>PIL1/D/827</t>
  </si>
  <si>
    <t>PIL1/D/823</t>
  </si>
  <si>
    <t>PIL1/D/824</t>
  </si>
  <si>
    <t>PIL1/D/819</t>
  </si>
  <si>
    <t>PIL1/E/316/26-27</t>
  </si>
  <si>
    <t>PIL1/E/317/26-27</t>
  </si>
  <si>
    <t>PIL1/E/318/26-27</t>
  </si>
  <si>
    <t>PIL1/D/837</t>
  </si>
  <si>
    <t>PIL1/D/838</t>
  </si>
  <si>
    <t>PIL1/D/841</t>
  </si>
  <si>
    <t>PIL1/D/843</t>
  </si>
  <si>
    <t>PIL1/D/844</t>
  </si>
  <si>
    <t>PIL1/D/847</t>
  </si>
  <si>
    <t>PIL1/D/848</t>
  </si>
  <si>
    <t>PIL1/D/857</t>
  </si>
  <si>
    <t>PIL1/D/858</t>
  </si>
  <si>
    <t>PIL1/D/859</t>
  </si>
  <si>
    <t>PIL1/D/870</t>
  </si>
  <si>
    <t>PIL1/D/860</t>
  </si>
  <si>
    <t>PIL1/D/871</t>
  </si>
  <si>
    <t>PIL1/D/872</t>
  </si>
  <si>
    <t>PIL1/D/873</t>
  </si>
  <si>
    <t>PIL2/E/43/26-27</t>
  </si>
  <si>
    <t>PIL2/E/42/26-27</t>
  </si>
  <si>
    <t>PIL2/D/198</t>
  </si>
  <si>
    <t>PIL2/D/201</t>
  </si>
  <si>
    <t>PIL2/E/44/26-27</t>
  </si>
  <si>
    <t>PIL2/D/213</t>
  </si>
  <si>
    <t>PIL2/E/45/26-27</t>
  </si>
  <si>
    <t>PIL2/E/46/26-27</t>
  </si>
  <si>
    <t>PIL2/E/49/26-27</t>
  </si>
  <si>
    <t>PIL2/D/228</t>
  </si>
  <si>
    <t>PIL2/D/240</t>
  </si>
  <si>
    <t>PIL2/D/246</t>
  </si>
  <si>
    <t>PIL2/D/251</t>
  </si>
  <si>
    <t>PIL2/D/257</t>
  </si>
  <si>
    <t>PIL2/D/259</t>
  </si>
  <si>
    <t>PIL2/D/260</t>
  </si>
  <si>
    <t>PIL2/E/65/26-27</t>
  </si>
  <si>
    <t>PIL2/E/66/26-27</t>
  </si>
  <si>
    <t>PIL2/E/67/26-27</t>
  </si>
  <si>
    <t>PIL2/E/68/26-27</t>
  </si>
  <si>
    <t>PIL2/E/69/26-27</t>
  </si>
  <si>
    <t>PIL2/E/70/26-27</t>
  </si>
  <si>
    <t>PIL2/E/71/26-27</t>
  </si>
  <si>
    <t>PIL2/E/72/26-27</t>
  </si>
  <si>
    <t>PIL2/D/286</t>
  </si>
  <si>
    <t>PIL2/D/287</t>
  </si>
  <si>
    <t>PIL2/D/288</t>
  </si>
  <si>
    <t>PIL2/E/73/26-27</t>
  </si>
  <si>
    <t>PIL2/D/302</t>
  </si>
  <si>
    <t>PIL2/E/77/26-27</t>
  </si>
  <si>
    <t>PIL2/D/327</t>
  </si>
  <si>
    <t>PIL2/D/328</t>
  </si>
  <si>
    <t>PIL1/HSS/2/26-27</t>
  </si>
  <si>
    <t>Don’t Delete</t>
  </si>
  <si>
    <t>jun</t>
  </si>
  <si>
    <t>30/06/2026</t>
  </si>
  <si>
    <t>01/06/2026</t>
  </si>
  <si>
    <t>02/05/2026</t>
  </si>
  <si>
    <t>04/05/2026</t>
  </si>
  <si>
    <t>06/05/2026</t>
  </si>
  <si>
    <t>07/05/2026</t>
  </si>
  <si>
    <t>08/05/2026</t>
  </si>
  <si>
    <t>10/05/2026</t>
  </si>
  <si>
    <t>11/05/2026</t>
  </si>
  <si>
    <t>12/05/2026</t>
  </si>
  <si>
    <t>13/05/2026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</si>
  <si>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</si>
  <si>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</si>
  <si>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</si>
  <si>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</si>
  <si>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</si>
  <si>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</si>
  <si>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</si>
  <si>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</si>
  <si>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</si>
  <si>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</si>
  <si>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</si>
  <si>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</si>
  <si>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</si>
  <si>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</si>
  <si>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</si>
  <si>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</si>
  <si>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</si>
  <si>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14/05/2026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</si>
  <si>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</si>
  <si>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</si>
  <si>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</si>
  <si>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</si>
  <si>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</si>
  <si>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</si>
  <si>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</si>
  <si>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</si>
  <si>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</si>
  <si>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</si>
  <si>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</si>
  <si>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</si>
  <si>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</si>
  <si>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</si>
  <si>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</si>
  <si>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</si>
  <si>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</si>
  <si>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</si>
  <si>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</si>
  <si>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</si>
  <si>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</si>
  <si>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</si>
  <si>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</si>
  <si>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</si>
  <si>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</si>
  <si>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</si>
  <si>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</si>
  <si>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</si>
  <si>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AMS/24-25/00041</t>
  </si>
  <si>
    <t>04/07/2026</t>
  </si>
  <si>
    <t>2428H000004445</t>
  </si>
  <si>
    <t>GJ5568003472</t>
  </si>
  <si>
    <t>AMD/26-27/00693</t>
  </si>
  <si>
    <t>GJ5568003945</t>
  </si>
  <si>
    <t>381/26-27</t>
  </si>
  <si>
    <t>09/05/2026</t>
  </si>
  <si>
    <t>388/26-27</t>
  </si>
  <si>
    <t>GJ5100035314</t>
  </si>
  <si>
    <t>GJ5100034975</t>
  </si>
  <si>
    <t>GJ5100035390</t>
  </si>
  <si>
    <t>TIPL0019/2026-27</t>
  </si>
  <si>
    <t>S/0345/26-27</t>
  </si>
  <si>
    <t>S/0349/26-27</t>
  </si>
  <si>
    <t>379/26-27</t>
  </si>
  <si>
    <t>443/26-27</t>
  </si>
  <si>
    <t>CPL/26-27/351</t>
  </si>
  <si>
    <t>MS10832</t>
  </si>
  <si>
    <t>GJ5568005373</t>
  </si>
  <si>
    <t>AMD/26-27/00959</t>
  </si>
  <si>
    <t>Spcx Private Ltd Diu 26ABACS7251D1ZJ</t>
  </si>
  <si>
    <t>26ABACS7251D1ZJ</t>
  </si>
  <si>
    <t>SPCXDD2627-0406</t>
  </si>
  <si>
    <t>CPL/26-27/380</t>
  </si>
  <si>
    <t>CPL/26-27/414</t>
  </si>
  <si>
    <t>Calco Poly Compounds Pvt Ltd</t>
  </si>
  <si>
    <t>07AADCC4879P1ZX</t>
  </si>
  <si>
    <t>180/2026-27</t>
  </si>
  <si>
    <t>S/0655/26-27</t>
  </si>
  <si>
    <t>SPPPL0090/26-27</t>
  </si>
  <si>
    <t>GJ5100035631</t>
  </si>
  <si>
    <t>AE/26-27/127</t>
  </si>
  <si>
    <t>5686B</t>
  </si>
  <si>
    <t>5686B1</t>
  </si>
  <si>
    <t>Kpr Enterprise</t>
  </si>
  <si>
    <t>24AAZFK3399P1Z4</t>
  </si>
  <si>
    <t>CND/26-27/090</t>
  </si>
  <si>
    <t>TIPL0007/2026-27</t>
  </si>
  <si>
    <t>Parth Poly Coat Yarn Pvt Ltd</t>
  </si>
  <si>
    <t>24AAGCP6363E1ZH</t>
  </si>
  <si>
    <t>PPCYPL82627/061</t>
  </si>
  <si>
    <t>CPL/26-27/482</t>
  </si>
  <si>
    <t>743/26-27</t>
  </si>
  <si>
    <t>Mittal Trade Netlinks</t>
  </si>
  <si>
    <t>M R Brothers</t>
  </si>
  <si>
    <t>Colorobbia Chemicals India Pvt Ltd</t>
  </si>
  <si>
    <t>Safal Poly Products</t>
  </si>
  <si>
    <t>Paras Overseas</t>
  </si>
  <si>
    <t>24AAXPA0141K1ZV</t>
  </si>
  <si>
    <t>24AOTPA1124N1ZZ</t>
  </si>
  <si>
    <t>24AAECC8690B1ZS</t>
  </si>
  <si>
    <t>24AQFPK7389H1ZH</t>
  </si>
  <si>
    <t>24AAQFP6007J1Z1</t>
  </si>
  <si>
    <t>PIL1/D/894</t>
  </si>
  <si>
    <t>PIL1/E/343/26-27</t>
  </si>
  <si>
    <t>PIL1/E/346/26-27</t>
  </si>
  <si>
    <t>PIL1/E/349/26-27</t>
  </si>
  <si>
    <t>PIL1/D/1009</t>
  </si>
  <si>
    <t>PIL1/E/366/26-27</t>
  </si>
  <si>
    <t>PIL1/E/367/26-27</t>
  </si>
  <si>
    <t>PIL1/E/372/26-27</t>
  </si>
  <si>
    <t>PIL1/E/375/26-27</t>
  </si>
  <si>
    <t>PIL/26-27/HSS/3</t>
  </si>
  <si>
    <t>PIL1/D/1090</t>
  </si>
  <si>
    <t>PIL1/E/385/26-27</t>
  </si>
  <si>
    <t>PIL1/D/1110</t>
  </si>
  <si>
    <t>PIL1/D/1119</t>
  </si>
  <si>
    <t>PIL1/E/401/26-27</t>
  </si>
  <si>
    <t>PIL1/D/1138</t>
  </si>
  <si>
    <t>PIL1/E/395/26-27</t>
  </si>
  <si>
    <t>PIL1/E/399/26-27</t>
  </si>
  <si>
    <t>PIL1/E/396/26-27</t>
  </si>
  <si>
    <t>PIL1/E/405/26-27</t>
  </si>
  <si>
    <t>PIL1/D/1160</t>
  </si>
  <si>
    <t>PIL1/E/406/26-27</t>
  </si>
  <si>
    <t>PIL1/E/408/26-27</t>
  </si>
  <si>
    <t>PIL1/E/416/26-27</t>
  </si>
  <si>
    <t>PIL1/E/418/26-27</t>
  </si>
  <si>
    <t>PIL1/E/417/26-27</t>
  </si>
  <si>
    <t>PIL1/E/421/26-27</t>
  </si>
  <si>
    <t>PIL1/D/1195</t>
  </si>
  <si>
    <t>PIL2/E/79/26-27</t>
  </si>
  <si>
    <t>PIL2/E/80/26-27</t>
  </si>
  <si>
    <t>PIL2/E/81/26-27</t>
  </si>
  <si>
    <t>PIL2/E/82/26-27</t>
  </si>
  <si>
    <t>PIL2/E/83/26-27</t>
  </si>
  <si>
    <t>PIL2/D/338</t>
  </si>
  <si>
    <t>PIL2/D/342</t>
  </si>
  <si>
    <t>PIL2/E/84/26-27</t>
  </si>
  <si>
    <t>PIL2/D/345</t>
  </si>
  <si>
    <t>PIL2/E/85/26-27</t>
  </si>
  <si>
    <t>PIL2/D/343</t>
  </si>
  <si>
    <t>PIL2/E/86/26-27</t>
  </si>
  <si>
    <t>PIL2/E/88/26-27</t>
  </si>
  <si>
    <t>PIL2/E/89/26-27</t>
  </si>
  <si>
    <t>PIL2/E/92/26-27</t>
  </si>
  <si>
    <t>PIL2/E/93/26-27</t>
  </si>
  <si>
    <t>PIL2/E/94/26-27</t>
  </si>
  <si>
    <t>PIL2/E/96/26-27</t>
  </si>
  <si>
    <t>PIL2/E/97/26-27</t>
  </si>
  <si>
    <t>PIL2/E/98/26-27</t>
  </si>
  <si>
    <t>PIL2/E/99/26-27</t>
  </si>
  <si>
    <t>PIL2/E/100/26-27</t>
  </si>
  <si>
    <t>PIL2/E/101/26-27</t>
  </si>
  <si>
    <t>PIL2/E/102/26-27</t>
  </si>
  <si>
    <t>PIL2/E/103/26-27</t>
  </si>
  <si>
    <t>PIL2/E/104/26-27</t>
  </si>
  <si>
    <t>PIL2/E/105/26-27</t>
  </si>
  <si>
    <t>PIL2/E/106/26-27</t>
  </si>
  <si>
    <t>PIL2/E/107/26-27</t>
  </si>
  <si>
    <t>PIL2/E/108/26-27</t>
  </si>
  <si>
    <t>PIL2/E/109/26-27</t>
  </si>
  <si>
    <t>PIL2/E/110/26-27</t>
  </si>
  <si>
    <t>PIL2/D/428</t>
  </si>
  <si>
    <t>PIL2/D/429</t>
  </si>
  <si>
    <t>PIL2/E/112/26-27</t>
  </si>
  <si>
    <t>PIL1/E/246/26-27</t>
  </si>
  <si>
    <t>Akshara Graphics - Purchase</t>
  </si>
  <si>
    <t>25-26/AG/84</t>
  </si>
  <si>
    <t>Argus Additive Plastics Gmbh</t>
  </si>
  <si>
    <t>REE603406 [BOE/BOL:2613076/17619251654]</t>
  </si>
  <si>
    <t>Atlantis Products Pvt Ltd - Purchase</t>
  </si>
  <si>
    <t>GJ5100035877</t>
  </si>
  <si>
    <t>Brahmani Labels</t>
  </si>
  <si>
    <t>24CIAPP4681A1ZK</t>
  </si>
  <si>
    <t>Brahmani Printers</t>
  </si>
  <si>
    <t>24CSJPP6974M1ZU</t>
  </si>
  <si>
    <t>CPL/26-27/661</t>
  </si>
  <si>
    <t>CPL/26-27/731</t>
  </si>
  <si>
    <t>CPL/26-27/694</t>
  </si>
  <si>
    <t>Galaxy Chemicals</t>
  </si>
  <si>
    <t>24AASFG0371Q1ZV</t>
  </si>
  <si>
    <t>GC/1212/2627</t>
  </si>
  <si>
    <t>GC/1287/2627</t>
  </si>
  <si>
    <t>Haridarshan Polymers</t>
  </si>
  <si>
    <t>24AAUPR1188G1Z9</t>
  </si>
  <si>
    <t>GST00125</t>
  </si>
  <si>
    <t>GST00139</t>
  </si>
  <si>
    <t>J J Plastalloy Pvt Ltd</t>
  </si>
  <si>
    <t>24AAACJ5701E1Z5</t>
  </si>
  <si>
    <t>DG-261002431</t>
  </si>
  <si>
    <t>DG-261003095</t>
  </si>
  <si>
    <t>Karnavati Polyblends Pvt Ltd</t>
  </si>
  <si>
    <t>24AAACK9111D1Z2</t>
  </si>
  <si>
    <t>KPPL/26-27/720</t>
  </si>
  <si>
    <t>KPPL/26-27/724</t>
  </si>
  <si>
    <t>KPPL/26-27/725</t>
  </si>
  <si>
    <t>KPPL/26-27/721</t>
  </si>
  <si>
    <t>KPPL/26-27/795</t>
  </si>
  <si>
    <t>KPPL/26-27/824</t>
  </si>
  <si>
    <t>KPPL/26-27/845</t>
  </si>
  <si>
    <t>KPPL/26-27/707</t>
  </si>
  <si>
    <t>KPPL/26-27/871</t>
  </si>
  <si>
    <t>KPPL/26-27/872</t>
  </si>
  <si>
    <t>Maha Shivratri Polymers Private Limited</t>
  </si>
  <si>
    <t>29AAPCM0864Q1ZI</t>
  </si>
  <si>
    <t>600507747 (01.03.2026)</t>
  </si>
  <si>
    <t>MS11660</t>
  </si>
  <si>
    <t>Mor Techfab Pvt .Ltd.</t>
  </si>
  <si>
    <t>24AACCL3673P1Z3</t>
  </si>
  <si>
    <t>G052/26-27</t>
  </si>
  <si>
    <t>Rahul Traders - 24AFAPK3878B1ZR</t>
  </si>
  <si>
    <t>24AFAPK3878B1ZR</t>
  </si>
  <si>
    <t>RT/26-27/1534</t>
  </si>
  <si>
    <t>RT/26-27/1592</t>
  </si>
  <si>
    <t>Rudraksh Polychem</t>
  </si>
  <si>
    <t>24AAUFR2925B1Z9</t>
  </si>
  <si>
    <t>RUD/1303/26-27</t>
  </si>
  <si>
    <t>RUD/1440/26-27</t>
  </si>
  <si>
    <t>Tec Papers Pvt Ltd Purchase</t>
  </si>
  <si>
    <t>TEC/2026-27/024</t>
  </si>
  <si>
    <t>TEC/2026-27/025</t>
  </si>
  <si>
    <t>TEC/2026-27/027</t>
  </si>
  <si>
    <t>TEC/2026-27/028</t>
  </si>
  <si>
    <t>TIPL0046/2026-27</t>
  </si>
  <si>
    <t>TIPL0049/2026-27</t>
  </si>
  <si>
    <t>Toyo Ink India Pvt. Ltd. - Gujarat</t>
  </si>
  <si>
    <t>24AACCT5137A1ZV</t>
  </si>
  <si>
    <t>GJ2441103827</t>
  </si>
  <si>
    <t>GJ2441103828</t>
  </si>
  <si>
    <t>GJ2441103969</t>
  </si>
  <si>
    <t>GJ2441104159</t>
  </si>
  <si>
    <t>GJ2441104227</t>
  </si>
  <si>
    <t>GJ2441104282</t>
  </si>
  <si>
    <t>GJ2431112499</t>
  </si>
  <si>
    <t>GJ2431115375</t>
  </si>
  <si>
    <t>GJ2441104800</t>
  </si>
  <si>
    <t>GJ2441104802</t>
  </si>
  <si>
    <t>V K Print Pack</t>
  </si>
  <si>
    <t>24ASDPP0994K1ZE</t>
  </si>
  <si>
    <t>VK-2627-163</t>
  </si>
  <si>
    <t>VK-2627-149</t>
  </si>
  <si>
    <t>803/26-27</t>
  </si>
  <si>
    <t>450/26-27</t>
  </si>
  <si>
    <t>1145/26-27</t>
  </si>
  <si>
    <t>728/26-27</t>
  </si>
  <si>
    <t>953/26-27</t>
  </si>
  <si>
    <t>1002/26-27</t>
  </si>
  <si>
    <t>White Valley Private Limited</t>
  </si>
  <si>
    <t>24AABCW3190K1Z7</t>
  </si>
  <si>
    <t>WVPL/1648/26-27</t>
  </si>
  <si>
    <t>25-26/AG/67</t>
  </si>
  <si>
    <t>25-26/AG/25</t>
  </si>
  <si>
    <t>25-26/AG/71</t>
  </si>
  <si>
    <t>PIL1/D/878</t>
  </si>
  <si>
    <t>PIL1/D/885</t>
  </si>
  <si>
    <t>PIL1/D/886</t>
  </si>
  <si>
    <t>PIL1/D/883</t>
  </si>
  <si>
    <t>PIL1/D/897</t>
  </si>
  <si>
    <t>PIL1/D/899</t>
  </si>
  <si>
    <t>PIL1/D/900</t>
  </si>
  <si>
    <t>PIL1/D/901</t>
  </si>
  <si>
    <t>PIL1/D/902</t>
  </si>
  <si>
    <t>PIL1/D/909</t>
  </si>
  <si>
    <t>PIL1/D/910</t>
  </si>
  <si>
    <t>PIL1/D/911</t>
  </si>
  <si>
    <t>PIL1/D/912</t>
  </si>
  <si>
    <t>PIL1/D/920</t>
  </si>
  <si>
    <t>PIL1/D/921</t>
  </si>
  <si>
    <t>PIL1/D/922</t>
  </si>
  <si>
    <t>PIL1/D/927</t>
  </si>
  <si>
    <t>PIL1/D/923</t>
  </si>
  <si>
    <t>PIL1/D/937</t>
  </si>
  <si>
    <t>PIL1/D/938</t>
  </si>
  <si>
    <t>PIL1/D/939</t>
  </si>
  <si>
    <t>PIL1/D/940</t>
  </si>
  <si>
    <t>PIL1/D/956</t>
  </si>
  <si>
    <t>PIL1/D/957</t>
  </si>
  <si>
    <t>PIL1/D/955</t>
  </si>
  <si>
    <t>PIL1/D/963</t>
  </si>
  <si>
    <t>PIL1/D/970</t>
  </si>
  <si>
    <t>PIL1/D/971</t>
  </si>
  <si>
    <t>PIL1/D/972</t>
  </si>
  <si>
    <t>PIL1/D/973</t>
  </si>
  <si>
    <t>PIL1/D/979</t>
  </si>
  <si>
    <t>PIL1/D/983</t>
  </si>
  <si>
    <t>PIL1/D/984</t>
  </si>
  <si>
    <t>PIL1/D/996</t>
  </si>
  <si>
    <t>PIL1/D/1010</t>
  </si>
  <si>
    <t>PIL1/D/1016</t>
  </si>
  <si>
    <t>PIL1/D/1017</t>
  </si>
  <si>
    <t>PIL1/D/1022</t>
  </si>
  <si>
    <t>PIL1/D/1025</t>
  </si>
  <si>
    <t>PIL1/D/1026</t>
  </si>
  <si>
    <t>PIL1/D/1027</t>
  </si>
  <si>
    <t>PIL1/D/1030</t>
  </si>
  <si>
    <t>PIL1/D/1037</t>
  </si>
  <si>
    <t>PIL1/D/1038</t>
  </si>
  <si>
    <t>PIL1/D/1049</t>
  </si>
  <si>
    <t>PIL1/D/1053</t>
  </si>
  <si>
    <t>PIL1/D/1056</t>
  </si>
  <si>
    <t>PIL1/D/1055</t>
  </si>
  <si>
    <t>PIL1/D/1058</t>
  </si>
  <si>
    <t>PIL1/D/1059</t>
  </si>
  <si>
    <t>PIL1/D/1074</t>
  </si>
  <si>
    <t>PIL1/D/1081</t>
  </si>
  <si>
    <t>PIL1/D/1083</t>
  </si>
  <si>
    <t>PIL1/D/1091</t>
  </si>
  <si>
    <t>PIL1/D/1092</t>
  </si>
  <si>
    <t>PIL1/D/1082</t>
  </si>
  <si>
    <t>PIL1/D/1097</t>
  </si>
  <si>
    <t>PIL1/D/1106</t>
  </si>
  <si>
    <t>PIL1/D/1108</t>
  </si>
  <si>
    <t>PIL1/D/1109</t>
  </si>
  <si>
    <t>PIL1/D/1114</t>
  </si>
  <si>
    <t>PIL1/D/1115</t>
  </si>
  <si>
    <t>PIL1/D/1123</t>
  </si>
  <si>
    <t>PIL1/D/1124</t>
  </si>
  <si>
    <t>PIL1/D/1125</t>
  </si>
  <si>
    <t>PIL1/D/1126</t>
  </si>
  <si>
    <t>PIL1/D/1132</t>
  </si>
  <si>
    <t>PIL1/D/1135</t>
  </si>
  <si>
    <t>PIL1/D/1140</t>
  </si>
  <si>
    <t>PIL1/D/1150</t>
  </si>
  <si>
    <t>PIL1/D/1151</t>
  </si>
  <si>
    <t>PIL1/D/1153</t>
  </si>
  <si>
    <t>PIL1/D/1154</t>
  </si>
  <si>
    <t>PIL1/D/1163</t>
  </si>
  <si>
    <t>PIL1/D/1166</t>
  </si>
  <si>
    <t>PIL1/D/1170</t>
  </si>
  <si>
    <t>PIL1/D/1178</t>
  </si>
  <si>
    <t>PIL1/D/1179</t>
  </si>
  <si>
    <t>PIL1/D/1181</t>
  </si>
  <si>
    <t>PIL1/D/1184</t>
  </si>
  <si>
    <t>PIL1/D/1185</t>
  </si>
  <si>
    <t>PIL1/D/1193</t>
  </si>
  <si>
    <t>PIL1/D/1194</t>
  </si>
  <si>
    <t>PIL1/D/1199</t>
  </si>
  <si>
    <t>PIL1/D/1212</t>
  </si>
  <si>
    <t>PIL1/D/1214</t>
  </si>
  <si>
    <t>PIL1/D/1218</t>
  </si>
  <si>
    <t>PIL1/D/1235</t>
  </si>
  <si>
    <t>PIL2/D/347</t>
  </si>
  <si>
    <t>PIL2/D/367</t>
  </si>
  <si>
    <t>PIL2/D/368</t>
  </si>
  <si>
    <t>PIL2/D/378</t>
  </si>
  <si>
    <t>PIL2/D/379</t>
  </si>
  <si>
    <t>PIL2/D/385</t>
  </si>
  <si>
    <t>PIL2/D/391</t>
  </si>
  <si>
    <t>PIL2/D/396</t>
  </si>
  <si>
    <t>PIL2/D/397</t>
  </si>
  <si>
    <t>PIL2/D/412</t>
  </si>
  <si>
    <t>GC/0078/2627</t>
  </si>
  <si>
    <t>GC/0079/2627</t>
  </si>
  <si>
    <t>GC/0226/2627</t>
  </si>
  <si>
    <t>GC/0225/2627</t>
  </si>
  <si>
    <t>GC/0748/2627</t>
  </si>
  <si>
    <t>GC/0835/2627</t>
  </si>
  <si>
    <t>Debtors' Ageing as on 31/07/2026</t>
  </si>
  <si>
    <t>jul</t>
  </si>
  <si>
    <t>31/07/2026</t>
  </si>
  <si>
    <t>03/07/2026</t>
  </si>
  <si>
    <t>05/07/2026</t>
  </si>
  <si>
    <t>06/07/2026</t>
  </si>
  <si>
    <t>08/07/2026</t>
  </si>
  <si>
    <t>11/07/2026</t>
  </si>
  <si>
    <t>12/07/2026</t>
  </si>
  <si>
    <t>13/07/2026</t>
  </si>
  <si>
    <t>14/07/2026</t>
  </si>
  <si>
    <t>15/07/2026</t>
  </si>
  <si>
    <t>17/07/2026</t>
  </si>
  <si>
    <t>18/07/2026</t>
  </si>
  <si>
    <t>20/07/2026</t>
  </si>
  <si>
    <t>21/07/2026</t>
  </si>
  <si>
    <t>01/07/2026</t>
  </si>
  <si>
    <t>22/07/2026</t>
  </si>
  <si>
    <t>23/07/2026</t>
  </si>
  <si>
    <t>24/07/2026</t>
  </si>
  <si>
    <t>25/07/2026</t>
  </si>
  <si>
    <t>27/07/2026</t>
  </si>
  <si>
    <t>29/07/2026</t>
  </si>
  <si>
    <t>30/07/2026</t>
  </si>
  <si>
    <t>07/07/2026</t>
  </si>
  <si>
    <t>26/07/2026</t>
  </si>
  <si>
    <t>28/07/2026</t>
  </si>
  <si>
    <t>02/07/2026</t>
  </si>
  <si>
    <t>09/07/2026</t>
  </si>
  <si>
    <t>10/07/2026</t>
  </si>
  <si>
    <t>16/07/2026</t>
  </si>
  <si>
    <t>19/07/2026</t>
  </si>
  <si>
    <t xml:space="preserve">INV2026050089 </t>
  </si>
  <si>
    <t>PIL1/D/874</t>
  </si>
  <si>
    <t>PIL1/D/875</t>
  </si>
  <si>
    <t>PIL1/D/876</t>
  </si>
  <si>
    <t>PIL1/D/877</t>
  </si>
  <si>
    <t>PIL1/E/330/26-27</t>
  </si>
  <si>
    <t>PIL1/E/331/26-27</t>
  </si>
  <si>
    <t>PIL1/E/332/26-27</t>
  </si>
  <si>
    <t>PIL1/E/333/26-27</t>
  </si>
  <si>
    <t>PIL1/E/334/26-27</t>
  </si>
  <si>
    <t>PIL1/E/335/26-27</t>
  </si>
  <si>
    <t>PIL1/D/879</t>
  </si>
  <si>
    <t>PP Basell 462S</t>
  </si>
  <si>
    <t>PIL1/D/880</t>
  </si>
  <si>
    <t>PIL1/D/881</t>
  </si>
  <si>
    <t>PIL1/D/884</t>
  </si>
  <si>
    <t>PIL1/D/888</t>
  </si>
  <si>
    <t>PIL1/E/336/26-27</t>
  </si>
  <si>
    <t>PIL1/E/337/26-27</t>
  </si>
  <si>
    <t>PIL1/D/891</t>
  </si>
  <si>
    <t>PIL1/D/903</t>
  </si>
  <si>
    <t>PIL1/D/904</t>
  </si>
  <si>
    <t>PIL1/D/893</t>
  </si>
  <si>
    <t>PIL1/D/895</t>
  </si>
  <si>
    <t>PIL1/D/896</t>
  </si>
  <si>
    <t>PIL1/D/898</t>
  </si>
  <si>
    <t>PIL1/D/905</t>
  </si>
  <si>
    <t>PIL1/D/906</t>
  </si>
  <si>
    <t>PIL1/D/907</t>
  </si>
  <si>
    <t>PIL1/D/908</t>
  </si>
  <si>
    <t>Hcp Plastene Bulkpack Ltd Vadodara-Sales</t>
  </si>
  <si>
    <t>PIL1/D/914</t>
  </si>
  <si>
    <t>PIL1/D/915</t>
  </si>
  <si>
    <t>PIL1/E/338/26-27</t>
  </si>
  <si>
    <t>PIL1/E/339/26-27</t>
  </si>
  <si>
    <t>PIL1/E/340/26-27</t>
  </si>
  <si>
    <t>PIL1/E/341/26-27</t>
  </si>
  <si>
    <t>PIL1/E/342/26-27</t>
  </si>
  <si>
    <t>PIL1/D/913</t>
  </si>
  <si>
    <t>PIL1/D/917</t>
  </si>
  <si>
    <t>LLDPE Granules</t>
  </si>
  <si>
    <t>LLDPE Granuels</t>
  </si>
  <si>
    <t>LLDPE F0120L HMEL</t>
  </si>
  <si>
    <t>PIL1/D/924</t>
  </si>
  <si>
    <t>PIL1/D/925</t>
  </si>
  <si>
    <t>PIL1/D/918</t>
  </si>
  <si>
    <t>PIL1/D/919</t>
  </si>
  <si>
    <t>PIL1/D/926</t>
  </si>
  <si>
    <t>PIL1/D/929</t>
  </si>
  <si>
    <t>PIL1/D/931</t>
  </si>
  <si>
    <t>PIL1/D/933</t>
  </si>
  <si>
    <t>PIL1/D/934</t>
  </si>
  <si>
    <t>PIL1/D/935</t>
  </si>
  <si>
    <t>PIL1/E/344/26-27</t>
  </si>
  <si>
    <t>PIL1/E/345/26-27</t>
  </si>
  <si>
    <t>PIL1/D/944</t>
  </si>
  <si>
    <t>PIL1/D/942</t>
  </si>
  <si>
    <t>PP MF Yarn Flat 2500 Denier UV NW</t>
  </si>
  <si>
    <t>PIL1/D/949</t>
  </si>
  <si>
    <t>PIL1/D/945</t>
  </si>
  <si>
    <t>PIL1/D/948</t>
  </si>
  <si>
    <t>PIL1/D/950</t>
  </si>
  <si>
    <t>PIL1/D/951</t>
  </si>
  <si>
    <t>PIL1/D/953</t>
  </si>
  <si>
    <t>PIL1/D/954</t>
  </si>
  <si>
    <t>PIL1/E/347/26-27</t>
  </si>
  <si>
    <t>PIL1/D/958</t>
  </si>
  <si>
    <t>PIL1/D/959</t>
  </si>
  <si>
    <t>PIL1/D/961</t>
  </si>
  <si>
    <t>PIL1/DE/19/26-27</t>
  </si>
  <si>
    <t>Nirban Trading Company</t>
  </si>
  <si>
    <t>PIL1/D/952</t>
  </si>
  <si>
    <t>Other Scrap</t>
  </si>
  <si>
    <t>Scrap</t>
  </si>
  <si>
    <t>Waste - MT</t>
  </si>
  <si>
    <t>Paper/Puttha Scrap</t>
  </si>
  <si>
    <t>PIL1/D/962</t>
  </si>
  <si>
    <t>PIL1/D/964</t>
  </si>
  <si>
    <t>PIL1/D/965</t>
  </si>
  <si>
    <t>PIL1/D/966</t>
  </si>
  <si>
    <t>PIL1/D/967</t>
  </si>
  <si>
    <t>PIL1/D/968</t>
  </si>
  <si>
    <t>PIL1/D/976</t>
  </si>
  <si>
    <t>PIL1/E/348/26-27</t>
  </si>
  <si>
    <t>PP UL Bags With UV</t>
  </si>
  <si>
    <t>PIL1/E/350/26-27</t>
  </si>
  <si>
    <t>PIL1/E/351/26-27</t>
  </si>
  <si>
    <t>PIL1/E/352/26-27</t>
  </si>
  <si>
    <t>PIL1/D/974</t>
  </si>
  <si>
    <t>PIL1/D/969</t>
  </si>
  <si>
    <t>PIL1/D/977</t>
  </si>
  <si>
    <t>PIL1/D/978</t>
  </si>
  <si>
    <t>PIL1/D/980</t>
  </si>
  <si>
    <t>PIL1/D/981</t>
  </si>
  <si>
    <t>PIL1/D/986</t>
  </si>
  <si>
    <t>PIL1/E/353/26-27</t>
  </si>
  <si>
    <t>PIL1/E/354/26-27</t>
  </si>
  <si>
    <t>PIL1/E/355/26-27</t>
  </si>
  <si>
    <t>PIL1/E/356/26-27</t>
  </si>
  <si>
    <t>PIL1/D/987</t>
  </si>
  <si>
    <t>PIL1/D/989</t>
  </si>
  <si>
    <t>Cement Sheet 6 Feet 6 mm</t>
  </si>
  <si>
    <t>PP RIL H350EC</t>
  </si>
  <si>
    <t>PIL1/D/1000</t>
  </si>
  <si>
    <t>PIL1/D/997</t>
  </si>
  <si>
    <t>PIL1/D/998</t>
  </si>
  <si>
    <t>PIL1/E/357/26-27</t>
  </si>
  <si>
    <t>PIL1/E/358/26-27</t>
  </si>
  <si>
    <t>DOC Pouch</t>
  </si>
  <si>
    <t>PIL1/E/359/26-27</t>
  </si>
  <si>
    <t>PIL1/E/360/26-27</t>
  </si>
  <si>
    <t>PIL1/E/361/26-27</t>
  </si>
  <si>
    <t>PIL1/E/362/26-27</t>
  </si>
  <si>
    <t>PIL1/E/363/26-27</t>
  </si>
  <si>
    <t>PP MF Yarn Twisted 3000 Denier Red</t>
  </si>
  <si>
    <t>PP Lam Bags With UV</t>
  </si>
  <si>
    <t>PIL1/D/1005</t>
  </si>
  <si>
    <t>PIL1/D/1006</t>
  </si>
  <si>
    <t>PIL1/D/1007</t>
  </si>
  <si>
    <t>PIL1/D/1011</t>
  </si>
  <si>
    <t>Ink</t>
  </si>
  <si>
    <t>INK</t>
  </si>
  <si>
    <t>Ink Vyankatesh Poly Robbin Red VLX 876</t>
  </si>
  <si>
    <t>PIL1/D/1012</t>
  </si>
  <si>
    <t>PIL1/D/1014</t>
  </si>
  <si>
    <t>PIL1/D/1015</t>
  </si>
  <si>
    <t>PIL1/E/364/26-27</t>
  </si>
  <si>
    <t>PIL1/E/365/26-27</t>
  </si>
  <si>
    <t>PIL1/D/1018</t>
  </si>
  <si>
    <t>PIL1/D/1019</t>
  </si>
  <si>
    <t>PIL1/DE/20/26-27</t>
  </si>
  <si>
    <t>PIL1/ME/14</t>
  </si>
  <si>
    <t>PIL1/D/1013</t>
  </si>
  <si>
    <t>PIL1/D/1020</t>
  </si>
  <si>
    <t>PIL1/D/1021</t>
  </si>
  <si>
    <t>PIL1/D/1023</t>
  </si>
  <si>
    <t>PIL1/D/1024</t>
  </si>
  <si>
    <t>PIL1/E/368/26-27</t>
  </si>
  <si>
    <t>PIL1/E/369/26-27</t>
  </si>
  <si>
    <t>PIL1/E/370/26-27</t>
  </si>
  <si>
    <t>PIL1/D/1028</t>
  </si>
  <si>
    <t>PIL1/D/1029</t>
  </si>
  <si>
    <t>PP MF Yarn Twisted 1000 Blue</t>
  </si>
  <si>
    <t>PP MF Yarn Twisted 2500 Denier Deep Blue</t>
  </si>
  <si>
    <t>MB Karnavati Leaf Green</t>
  </si>
  <si>
    <t>PIL1/D/1031</t>
  </si>
  <si>
    <t>PIL1/D/1032</t>
  </si>
  <si>
    <t>PIL1/D/1033</t>
  </si>
  <si>
    <t>PIL1/E/371/26-27</t>
  </si>
  <si>
    <t>PIL1/D/1039</t>
  </si>
  <si>
    <t>PIL1/D/1040</t>
  </si>
  <si>
    <t>PIL1/D/1041</t>
  </si>
  <si>
    <t>PIL1/D/1042</t>
  </si>
  <si>
    <t>PIL1/D/1043</t>
  </si>
  <si>
    <t>PIL1/ME/15</t>
  </si>
  <si>
    <t>PIL1/D/1036</t>
  </si>
  <si>
    <t>PP Sumitomo FS3011E</t>
  </si>
  <si>
    <t>S.K. Enterprise</t>
  </si>
  <si>
    <t>PIL1/D/1034</t>
  </si>
  <si>
    <t>housekeeping Material</t>
  </si>
  <si>
    <t>Plastic Barrel-Empty</t>
  </si>
  <si>
    <t>MS/Other Scrap</t>
  </si>
  <si>
    <t>PIL1/D/1035</t>
  </si>
  <si>
    <t>PIL1/D/1044</t>
  </si>
  <si>
    <t>PIL1/D/1045</t>
  </si>
  <si>
    <t>PIL1/D/1046</t>
  </si>
  <si>
    <t>PIL1/D/1048</t>
  </si>
  <si>
    <t>PIL1/D/1050</t>
  </si>
  <si>
    <t>PIL1/E/373/26-27</t>
  </si>
  <si>
    <t>PIL1/E/374/26-27</t>
  </si>
  <si>
    <t>PIL1/D/1052</t>
  </si>
  <si>
    <t>PIL1/D/1054</t>
  </si>
  <si>
    <t>PIL1/DE/21/26-27</t>
  </si>
  <si>
    <t>PP Zhongjing T30S</t>
  </si>
  <si>
    <t>PP Ningbo Daxie 1102K</t>
  </si>
  <si>
    <t>LDPE Granules</t>
  </si>
  <si>
    <t>LDPE Granuels</t>
  </si>
  <si>
    <t>LDPE LOTTE LF512</t>
  </si>
  <si>
    <t>PIL1/D/1065</t>
  </si>
  <si>
    <t>PIL1/D/1057</t>
  </si>
  <si>
    <t>PIL1/D/1060</t>
  </si>
  <si>
    <t>PIL1/D/1061</t>
  </si>
  <si>
    <t>PIL1/D/1063</t>
  </si>
  <si>
    <t>Thinner</t>
  </si>
  <si>
    <t>Thinner Vyankatesh Thinner</t>
  </si>
  <si>
    <t>PIL1/D/1066</t>
  </si>
  <si>
    <t>PIL1/D/1067</t>
  </si>
  <si>
    <t>PIL1/DE/22/26-27</t>
  </si>
  <si>
    <t>Sales High-seas</t>
  </si>
  <si>
    <t>Sales - High Seas</t>
  </si>
  <si>
    <t>HDPE SABIC FJ00952</t>
  </si>
  <si>
    <t>PIL1/D/1062</t>
  </si>
  <si>
    <t>PIL1/D/1064</t>
  </si>
  <si>
    <t>PIL1/D/1068</t>
  </si>
  <si>
    <t>PIL1/D/1073</t>
  </si>
  <si>
    <t>PIL1/D/1069</t>
  </si>
  <si>
    <t>PIL1/D/1070</t>
  </si>
  <si>
    <t>PIL1/D/1071</t>
  </si>
  <si>
    <t>PIL1/D/1072</t>
  </si>
  <si>
    <t>PIL1/D/1077</t>
  </si>
  <si>
    <t>PIL1/D/1075</t>
  </si>
  <si>
    <t>PIL1/D/1076</t>
  </si>
  <si>
    <t>PIL1/E/376/26-27</t>
  </si>
  <si>
    <t>PIL1/E/377/26-27</t>
  </si>
  <si>
    <t>PIL1/E/378/26-27</t>
  </si>
  <si>
    <t>PIL1/E/379/26-27</t>
  </si>
  <si>
    <t>PIL1/E/380/26-27</t>
  </si>
  <si>
    <t>PIL1/E/381/26-27</t>
  </si>
  <si>
    <t>PIL1/E/382/26-27</t>
  </si>
  <si>
    <t>PIL1/ME/16</t>
  </si>
  <si>
    <t>PIL1/D/1079</t>
  </si>
  <si>
    <t>PIL1/D/1084</t>
  </si>
  <si>
    <t>PIL1/D/1085</t>
  </si>
  <si>
    <t>PIL1/E/383/26-27</t>
  </si>
  <si>
    <t>PIL1/E/384/26-27</t>
  </si>
  <si>
    <t>PIL1/E/386/26-27</t>
  </si>
  <si>
    <t>PIL1/D/1080</t>
  </si>
  <si>
    <t>PIL1/D/1087</t>
  </si>
  <si>
    <t>PIL1/D/1089</t>
  </si>
  <si>
    <t>PIL1/D/1093</t>
  </si>
  <si>
    <t>PIL1/DE/23/26-27</t>
  </si>
  <si>
    <t>PIL1/D/1088</t>
  </si>
  <si>
    <t>PIL1/D/1094</t>
  </si>
  <si>
    <t>LLDPE KUNLUN DFDA9047</t>
  </si>
  <si>
    <t>PIL1/D/1096</t>
  </si>
  <si>
    <t>PIL1/D/1100</t>
  </si>
  <si>
    <t>PIL1/D/1101</t>
  </si>
  <si>
    <t>PIL1/D/1105</t>
  </si>
  <si>
    <t>PIL1/D/1107</t>
  </si>
  <si>
    <t>PIL1/E/387/26-27</t>
  </si>
  <si>
    <t>PIL1/E/388/26-27</t>
  </si>
  <si>
    <t>PIL1/E/389/26-27</t>
  </si>
  <si>
    <t>PIL1/E/390/26-27</t>
  </si>
  <si>
    <t>PIL1/D/1103</t>
  </si>
  <si>
    <t>PIL1/D/1104</t>
  </si>
  <si>
    <t>PIL1/ME/17</t>
  </si>
  <si>
    <t>PIL1/D/1111</t>
  </si>
  <si>
    <t>PIL1/D/1112</t>
  </si>
  <si>
    <t>PIL1/D/1113</t>
  </si>
  <si>
    <t>PIL1/DE/24/26-27</t>
  </si>
  <si>
    <t>PIL1/D/1118</t>
  </si>
  <si>
    <t>PIL1/D/1121</t>
  </si>
  <si>
    <t>PIL1/D/1122</t>
  </si>
  <si>
    <t>PIL1/E/391/26-27</t>
  </si>
  <si>
    <t>PIL1/E/392/26-27</t>
  </si>
  <si>
    <t>PIL1/E/393/26-27</t>
  </si>
  <si>
    <t>PIL1/E/394/26-27</t>
  </si>
  <si>
    <t>PIL1/D/1127</t>
  </si>
  <si>
    <t>PIL1/D/1128</t>
  </si>
  <si>
    <t>PIL1/D/1131</t>
  </si>
  <si>
    <t>PIL1/D/1136</t>
  </si>
  <si>
    <t>PIL1/D/1141</t>
  </si>
  <si>
    <t>PIL1/D/1143</t>
  </si>
  <si>
    <t>PIL1/D/1129</t>
  </si>
  <si>
    <t>PIL1/D/1130</t>
  </si>
  <si>
    <t>PIL1/D/1133</t>
  </si>
  <si>
    <t>PIL1/D/1134</t>
  </si>
  <si>
    <t>PIL1/E/397/26-27</t>
  </si>
  <si>
    <t>PIL1/E/398/26-27</t>
  </si>
  <si>
    <t>PIL1/E/400/26-27</t>
  </si>
  <si>
    <t>PIL1/E/402/26-27</t>
  </si>
  <si>
    <t>PIL1/D/1142</t>
  </si>
  <si>
    <t>PIL1/D/1144</t>
  </si>
  <si>
    <t>PIL1/D/1145</t>
  </si>
  <si>
    <t>PIL1/DE/25/26-27</t>
  </si>
  <si>
    <t>PP Granules Others</t>
  </si>
  <si>
    <t>PIL1/ME/18</t>
  </si>
  <si>
    <t>PIL1/D/1146</t>
  </si>
  <si>
    <t>PIL1/D/1147</t>
  </si>
  <si>
    <t>PIL1/D/1148</t>
  </si>
  <si>
    <t>PIL1/D/1149</t>
  </si>
  <si>
    <t>PIL1/D/1155</t>
  </si>
  <si>
    <t>PIL1/E/403/26-27</t>
  </si>
  <si>
    <t>PIL1/E/404/26-27</t>
  </si>
  <si>
    <t>PIL1/D/1152</t>
  </si>
  <si>
    <t>PIL1/D/1164</t>
  </si>
  <si>
    <t>PIL1/D/1156</t>
  </si>
  <si>
    <t>PIL1/D/1157</t>
  </si>
  <si>
    <t>PIL1/D/1158</t>
  </si>
  <si>
    <t>PIL1/D/1159</t>
  </si>
  <si>
    <t>PIL1/E/407/26-27</t>
  </si>
  <si>
    <t>PIL1/D/1161</t>
  </si>
  <si>
    <t>PIL1/D/1162</t>
  </si>
  <si>
    <t>PP RIL H350FG</t>
  </si>
  <si>
    <t>PIL1/D/1167</t>
  </si>
  <si>
    <t>PIL1/D/1168</t>
  </si>
  <si>
    <t>PIL1/D/1169</t>
  </si>
  <si>
    <t>PIL1/E/409/26-27</t>
  </si>
  <si>
    <t>PE Film.</t>
  </si>
  <si>
    <t>LDPE/LLDPE Film – Conductive</t>
  </si>
  <si>
    <t>PIL1/E/410/26-27</t>
  </si>
  <si>
    <t>PIL1/E/411/26-27</t>
  </si>
  <si>
    <t>PIL1/E/412/26-27</t>
  </si>
  <si>
    <t>PIL1/E/413/26-27</t>
  </si>
  <si>
    <t>PP MF Yarn Flat 1000 Denier UV NW</t>
  </si>
  <si>
    <t>PIL1/E/414/26-27</t>
  </si>
  <si>
    <t>PIL1/E/415/26-27</t>
  </si>
  <si>
    <t>PIL1/D/1171</t>
  </si>
  <si>
    <t>PIL1/D/1172</t>
  </si>
  <si>
    <t>PIL1/DE/26/26-27</t>
  </si>
  <si>
    <t>PIL1/D/1173</t>
  </si>
  <si>
    <t>PIL1/D/1174</t>
  </si>
  <si>
    <t>PIL1/D/1175</t>
  </si>
  <si>
    <t>PIL1/D/1176</t>
  </si>
  <si>
    <t>PIL1/E/419/26-27</t>
  </si>
  <si>
    <t>PIL1/E/420/26-27</t>
  </si>
  <si>
    <t>PIL1/E/422/26-27</t>
  </si>
  <si>
    <t>PIL1/D/1180</t>
  </si>
  <si>
    <t>PIL1/D/1182</t>
  </si>
  <si>
    <t>PIL1/D/1183</t>
  </si>
  <si>
    <t>PIL1/D/1186</t>
  </si>
  <si>
    <t>PIL1/E/423/26-27</t>
  </si>
  <si>
    <t>PIL1/E/424/26-27</t>
  </si>
  <si>
    <t>PIL1/E/425/26-27</t>
  </si>
  <si>
    <t>PIL1/D/1187</t>
  </si>
  <si>
    <t>PIL1/D/1188</t>
  </si>
  <si>
    <t>PIL1/D/1189</t>
  </si>
  <si>
    <t>PIL1/D/1190</t>
  </si>
  <si>
    <t>PIL1/D/1198</t>
  </si>
  <si>
    <t>Cross Looper For Double Lock Stitch   (81311 B)</t>
  </si>
  <si>
    <t>Cross Looper Lever 81313B</t>
  </si>
  <si>
    <t>PIL1/E/426/26-27</t>
  </si>
  <si>
    <t>PIL1/E/427/26-27</t>
  </si>
  <si>
    <t>PIL1/E/428/26-27</t>
  </si>
  <si>
    <t>PIL1/E/429/26-27</t>
  </si>
  <si>
    <t>PIL1/E/430/26-27</t>
  </si>
  <si>
    <t>PIL1/D/1196</t>
  </si>
  <si>
    <t>PIL1/D/1205</t>
  </si>
  <si>
    <t>PIL1/D/1200</t>
  </si>
  <si>
    <t>PIL1/D/1201</t>
  </si>
  <si>
    <t>PIL1/D/1202</t>
  </si>
  <si>
    <t>PIL1/E/431/26-27</t>
  </si>
  <si>
    <t>PIL1/E/432/26-27</t>
  </si>
  <si>
    <t>PIL1/E/433/26-27</t>
  </si>
  <si>
    <t>PIL1/ME/19</t>
  </si>
  <si>
    <t>PIL1/ME/21</t>
  </si>
  <si>
    <t>PIL1/D/1207</t>
  </si>
  <si>
    <t>PIL1/D/1208</t>
  </si>
  <si>
    <t>PIL1/D/1209</t>
  </si>
  <si>
    <t>PIL1/D/1210</t>
  </si>
  <si>
    <t>PIL1/D/1213</t>
  </si>
  <si>
    <t>PIL1/D/1217</t>
  </si>
  <si>
    <t>PIL1/E/434/26-27</t>
  </si>
  <si>
    <t>PIL1/DE/27/26-27</t>
  </si>
  <si>
    <t>PIL1/ME/22</t>
  </si>
  <si>
    <t>PIL1/ME/23</t>
  </si>
  <si>
    <t>PIL1/ME/24</t>
  </si>
  <si>
    <t>PIL1/D/1221</t>
  </si>
  <si>
    <t>PIL1/D/1229</t>
  </si>
  <si>
    <t>PIL1/DE/28/26-27</t>
  </si>
  <si>
    <t>PIL1/D/1234</t>
  </si>
  <si>
    <t>Twisted Polyester Texturised Yarn</t>
  </si>
  <si>
    <t>LDPE Sumitomo L705</t>
  </si>
  <si>
    <t>PIL1/D/1230</t>
  </si>
  <si>
    <t>PIL1/D/1231</t>
  </si>
  <si>
    <t>PIL1/D/1233</t>
  </si>
  <si>
    <t>Jay Bhavani Enterprise</t>
  </si>
  <si>
    <t>PIL1/D/1232</t>
  </si>
  <si>
    <t>Wooden Scrap</t>
  </si>
  <si>
    <t>PIL1/E/435/26-27</t>
  </si>
  <si>
    <t>PIL1/E/436/26-27</t>
  </si>
  <si>
    <t>PIL1/E/437/26-27</t>
  </si>
  <si>
    <t>PIL1/E/438/26-27</t>
  </si>
  <si>
    <t>PIL1/E/439/26-27</t>
  </si>
  <si>
    <t>PIL1/E/440/26-27</t>
  </si>
  <si>
    <t>Pp Granuales</t>
  </si>
  <si>
    <t>PP HPCL Y35GR</t>
  </si>
  <si>
    <t>PIL2/D/329</t>
  </si>
  <si>
    <t>PIL2/D/332</t>
  </si>
  <si>
    <t>PIL2/D/333</t>
  </si>
  <si>
    <t>MS Pipe O.D. 87.9 To 88.7  I.D. 80 To 81.5 Nb.80mm-L (Nomial Black)</t>
  </si>
  <si>
    <t>PIL2/D/335</t>
  </si>
  <si>
    <t>PIL2/D/334</t>
  </si>
  <si>
    <t>Ground Cover Fabric</t>
  </si>
  <si>
    <t>PIL2/D/336</t>
  </si>
  <si>
    <t>PIL2/D/337</t>
  </si>
  <si>
    <t>PP Lam Bags With UV - Ad Star</t>
  </si>
  <si>
    <t>PIL2/D/340</t>
  </si>
  <si>
    <t>PIL2/D/344</t>
  </si>
  <si>
    <t>PIL2/D/349</t>
  </si>
  <si>
    <t>PIL2/D/354</t>
  </si>
  <si>
    <t>PIL2/D/351</t>
  </si>
  <si>
    <t>PIL2/D/352</t>
  </si>
  <si>
    <t>Waste</t>
  </si>
  <si>
    <t>Wooden Pallets</t>
  </si>
  <si>
    <t>Wooden Pallet Flate Size 85X105Cm</t>
  </si>
  <si>
    <t>Plastic Pallet</t>
  </si>
  <si>
    <t>Chamunda Scrap Traders</t>
  </si>
  <si>
    <t>PIL2/D/359</t>
  </si>
  <si>
    <t>Finished Material</t>
  </si>
  <si>
    <t>PIL2/D/357</t>
  </si>
  <si>
    <t>PIL2/D/358</t>
  </si>
  <si>
    <t>PIL2/D/360</t>
  </si>
  <si>
    <t>PIL2/D/361</t>
  </si>
  <si>
    <t>PIL2/D/362</t>
  </si>
  <si>
    <t>P And G Screap Traders</t>
  </si>
  <si>
    <t>M S SCRAP</t>
  </si>
  <si>
    <t>PIL2/D/364</t>
  </si>
  <si>
    <t>Pvc Braided Pipe 12mm</t>
  </si>
  <si>
    <t>PIL2/D/365</t>
  </si>
  <si>
    <t>PIL2/D/366</t>
  </si>
  <si>
    <t>PIL2/D/370</t>
  </si>
  <si>
    <t>PIL2/E/87/26-27</t>
  </si>
  <si>
    <t>PIL2/E/90/26-27</t>
  </si>
  <si>
    <t>PIL2/E/91/26-27</t>
  </si>
  <si>
    <t>PIL2/D/377</t>
  </si>
  <si>
    <t>PIL2/D/371</t>
  </si>
  <si>
    <t>PIL2/D/381</t>
  </si>
  <si>
    <t>PIL2/D/382</t>
  </si>
  <si>
    <t>PIL2/E/95/26-27</t>
  </si>
  <si>
    <t>PIL2/D/383</t>
  </si>
  <si>
    <t>PIL2/D/384</t>
  </si>
  <si>
    <t>PIL2/D/386</t>
  </si>
  <si>
    <t>PP Rope</t>
  </si>
  <si>
    <t>PIL2/D/390</t>
  </si>
  <si>
    <t>PIL2/D/389</t>
  </si>
  <si>
    <t>PIL2/D/392</t>
  </si>
  <si>
    <t>PP NSRP NSY114G</t>
  </si>
  <si>
    <t>PIL2/D/398</t>
  </si>
  <si>
    <t>PIL2/D/402</t>
  </si>
  <si>
    <t>PIL2/D/403</t>
  </si>
  <si>
    <t>PIL2/D/406</t>
  </si>
  <si>
    <t>PIL2/D/407</t>
  </si>
  <si>
    <t>PP MF Yarn Twisted 2500 Green</t>
  </si>
  <si>
    <t>PIL2/D/411</t>
  </si>
  <si>
    <t>PIL2/D/416</t>
  </si>
  <si>
    <t>PIL2/D/415</t>
  </si>
  <si>
    <t>PIL2/D/419</t>
  </si>
  <si>
    <t>Kamdhenu Industries</t>
  </si>
  <si>
    <t>PIL2/D/425</t>
  </si>
  <si>
    <t>PIL2/D/427</t>
  </si>
  <si>
    <t>PIL2/D/422</t>
  </si>
  <si>
    <t>PIL2/D/423</t>
  </si>
  <si>
    <t>PIL2/D/424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</si>
</sst>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#,##0.00_ ;\-#,##0.00\ "/>
    <numFmt numFmtId="167" formatCode="_-* #,##0_-;\-* #,##0_-;_-* &quot;-&quot;??_-;_-@_-"/>
    <numFmt numFmtId="168" formatCode="[$-4009]General"/>
    <numFmt numFmtId="169" formatCode="_-* #,##0.0_-;\-* #,##0.0_-;_-* &quot;-&quot;??_-;_-@_-"/>
    <numFmt numFmtId="170" formatCode="[$-4009]0"/>
    <numFmt numFmtId="171" formatCode="[$-14009]dd\-mm\-yyyy;@"/>
    <numFmt numFmtId="172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Tahoma"/>
      <family val="2"/>
    </font>
    <font>
      <sz val="10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.75"/>
      <color rgb="FF222222"/>
      <name val="Verdana"/>
      <family val="2"/>
    </font>
    <font>
      <b/>
      <sz val="10"/>
      <color rgb="FF222222"/>
      <name val="Verdana"/>
      <family val="2"/>
    </font>
    <font>
      <b/>
      <sz val="10"/>
      <color theme="1"/>
      <name val="Verdana"/>
      <family val="2"/>
    </font>
    <font>
      <sz val="11"/>
      <color rgb="FF222222"/>
      <name val="Verdana"/>
      <family val="2"/>
    </font>
    <font>
      <b/>
      <sz val="9"/>
      <color theme="1"/>
      <name val="Tahoma"/>
      <family val="2"/>
    </font>
    <font>
      <sz val="10"/>
      <name val="Arial"/>
      <family val="2"/>
    </font>
    <font>
      <sz val="12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3E0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F0D9"/>
        <bgColor rgb="FFE2F0D9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7" tint="0.39997558519241921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>
      <alignment vertical="center"/>
    </xf>
    <xf numFmtId="164" fontId="12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8" fontId="6" fillId="0" borderId="0" applyBorder="0" applyProtection="0"/>
    <xf numFmtId="164" fontId="17" fillId="0" borderId="0" applyFont="0" applyFill="0" applyBorder="0" applyAlignment="0" applyProtection="0">
      <alignment vertical="center"/>
    </xf>
    <xf numFmtId="0" fontId="18" fillId="0" borderId="0"/>
  </cellStyleXfs>
  <cellXfs count="2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14" fontId="0" fillId="0" borderId="2" xfId="0" applyNumberFormat="1" applyBorder="1"/>
    <xf numFmtId="2" fontId="0" fillId="0" borderId="2" xfId="1" applyNumberFormat="1" applyFont="1" applyBorder="1"/>
    <xf numFmtId="2" fontId="0" fillId="0" borderId="2" xfId="1" applyNumberFormat="1" applyFont="1" applyFill="1" applyBorder="1"/>
    <xf numFmtId="14" fontId="0" fillId="0" borderId="2" xfId="0" applyNumberFormat="1" applyBorder="1" applyAlignment="1">
      <alignment vertical="top"/>
    </xf>
    <xf numFmtId="2" fontId="0" fillId="0" borderId="2" xfId="0" applyNumberFormat="1" applyBorder="1"/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2" fontId="0" fillId="0" borderId="2" xfId="0" applyNumberFormat="1" applyBorder="1" applyAlignment="1">
      <alignment vertical="top"/>
    </xf>
    <xf numFmtId="2" fontId="0" fillId="2" borderId="2" xfId="1" applyNumberFormat="1" applyFont="1" applyFill="1" applyBorder="1" applyAlignment="1">
      <alignment vertical="top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vertical="top"/>
    </xf>
    <xf numFmtId="14" fontId="0" fillId="0" borderId="4" xfId="0" applyNumberFormat="1" applyBorder="1" applyAlignment="1">
      <alignment vertical="top"/>
    </xf>
    <xf numFmtId="2" fontId="0" fillId="2" borderId="4" xfId="1" applyNumberFormat="1" applyFont="1" applyFill="1" applyBorder="1" applyAlignment="1">
      <alignment vertical="top"/>
    </xf>
    <xf numFmtId="0" fontId="3" fillId="0" borderId="0" xfId="0" applyFont="1"/>
    <xf numFmtId="14" fontId="3" fillId="0" borderId="0" xfId="0" applyNumberFormat="1" applyFont="1"/>
    <xf numFmtId="2" fontId="3" fillId="2" borderId="0" xfId="1" applyNumberFormat="1" applyFont="1" applyFill="1"/>
    <xf numFmtId="2" fontId="3" fillId="0" borderId="0" xfId="0" applyNumberFormat="1" applyFont="1"/>
    <xf numFmtId="2" fontId="3" fillId="0" borderId="0" xfId="1" applyNumberFormat="1" applyFont="1"/>
    <xf numFmtId="0" fontId="3" fillId="3" borderId="0" xfId="0" applyFont="1" applyFill="1"/>
    <xf numFmtId="14" fontId="3" fillId="3" borderId="0" xfId="0" applyNumberFormat="1" applyFont="1" applyFill="1"/>
    <xf numFmtId="2" fontId="3" fillId="3" borderId="0" xfId="1" applyNumberFormat="1" applyFont="1" applyFill="1"/>
    <xf numFmtId="2" fontId="3" fillId="3" borderId="0" xfId="0" applyNumberFormat="1" applyFont="1" applyFill="1"/>
    <xf numFmtId="0" fontId="2" fillId="0" borderId="5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2" fontId="2" fillId="0" borderId="6" xfId="1" applyNumberFormat="1" applyFont="1" applyBorder="1"/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0" fillId="0" borderId="8" xfId="0" applyBorder="1"/>
    <xf numFmtId="0" fontId="0" fillId="0" borderId="9" xfId="0" applyBorder="1"/>
    <xf numFmtId="14" fontId="0" fillId="0" borderId="0" xfId="0" applyNumberFormat="1"/>
    <xf numFmtId="2" fontId="0" fillId="0" borderId="0" xfId="0" applyNumberFormat="1"/>
    <xf numFmtId="0" fontId="4" fillId="0" borderId="2" xfId="0" applyFont="1" applyBorder="1"/>
    <xf numFmtId="14" fontId="4" fillId="0" borderId="2" xfId="0" applyNumberFormat="1" applyFont="1" applyBorder="1"/>
    <xf numFmtId="166" fontId="4" fillId="0" borderId="2" xfId="1" applyNumberFormat="1" applyFont="1" applyBorder="1"/>
    <xf numFmtId="0" fontId="4" fillId="0" borderId="2" xfId="0" applyFont="1" applyBorder="1" applyAlignment="1">
      <alignment vertical="top"/>
    </xf>
    <xf numFmtId="14" fontId="4" fillId="0" borderId="2" xfId="0" applyNumberFormat="1" applyFont="1" applyBorder="1" applyAlignment="1">
      <alignment vertical="top"/>
    </xf>
    <xf numFmtId="166" fontId="4" fillId="0" borderId="2" xfId="1" applyNumberFormat="1" applyFont="1" applyBorder="1" applyAlignment="1">
      <alignment vertical="top"/>
    </xf>
    <xf numFmtId="166" fontId="4" fillId="0" borderId="2" xfId="1" applyNumberFormat="1" applyFont="1" applyFill="1" applyBorder="1" applyAlignment="1"/>
    <xf numFmtId="0" fontId="3" fillId="0" borderId="2" xfId="0" applyFont="1" applyBorder="1"/>
    <xf numFmtId="14" fontId="3" fillId="0" borderId="2" xfId="0" applyNumberFormat="1" applyFont="1" applyBorder="1"/>
    <xf numFmtId="166" fontId="3" fillId="0" borderId="2" xfId="1" applyNumberFormat="1" applyFont="1" applyBorder="1"/>
    <xf numFmtId="165" fontId="0" fillId="0" borderId="0" xfId="1" applyFont="1"/>
    <xf numFmtId="0" fontId="0" fillId="0" borderId="0" xfId="0" applyAlignment="1">
      <alignment wrapText="1"/>
    </xf>
    <xf numFmtId="14" fontId="4" fillId="0" borderId="2" xfId="0" applyNumberFormat="1" applyFont="1" applyBorder="1" applyAlignment="1">
      <alignment horizontal="right" vertical="top"/>
    </xf>
    <xf numFmtId="2" fontId="0" fillId="0" borderId="0" xfId="1" applyNumberFormat="1" applyFont="1" applyBorder="1"/>
    <xf numFmtId="0" fontId="3" fillId="3" borderId="0" xfId="0" quotePrefix="1" applyFont="1" applyFill="1"/>
    <xf numFmtId="14" fontId="4" fillId="0" borderId="2" xfId="0" applyNumberFormat="1" applyFont="1" applyBorder="1" applyAlignment="1">
      <alignment horizontal="left" vertical="top"/>
    </xf>
    <xf numFmtId="14" fontId="0" fillId="0" borderId="0" xfId="1" applyNumberFormat="1" applyFont="1"/>
    <xf numFmtId="14" fontId="3" fillId="0" borderId="0" xfId="1" applyNumberFormat="1" applyFont="1"/>
    <xf numFmtId="0" fontId="0" fillId="0" borderId="10" xfId="0" applyBorder="1"/>
    <xf numFmtId="0" fontId="3" fillId="0" borderId="0" xfId="0" quotePrefix="1" applyFont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2" fontId="4" fillId="0" borderId="2" xfId="1" applyNumberFormat="1" applyFont="1" applyBorder="1"/>
    <xf numFmtId="2" fontId="4" fillId="0" borderId="2" xfId="1" applyNumberFormat="1" applyFont="1" applyBorder="1" applyAlignment="1">
      <alignment vertical="top"/>
    </xf>
    <xf numFmtId="2" fontId="3" fillId="0" borderId="2" xfId="1" applyNumberFormat="1" applyFont="1" applyBorder="1"/>
    <xf numFmtId="2" fontId="0" fillId="0" borderId="0" xfId="1" applyNumberFormat="1" applyFont="1"/>
    <xf numFmtId="2" fontId="3" fillId="5" borderId="0" xfId="1" applyNumberFormat="1" applyFont="1" applyFill="1"/>
    <xf numFmtId="14" fontId="6" fillId="2" borderId="2" xfId="0" applyNumberFormat="1" applyFont="1" applyFill="1" applyBorder="1" applyAlignment="1" applyProtection="1">
      <alignment horizontal="left"/>
      <protection locked="0"/>
    </xf>
    <xf numFmtId="167" fontId="0" fillId="0" borderId="0" xfId="0" applyNumberFormat="1"/>
    <xf numFmtId="167" fontId="0" fillId="0" borderId="0" xfId="1" applyNumberFormat="1" applyFont="1"/>
    <xf numFmtId="0" fontId="7" fillId="6" borderId="2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0" fillId="4" borderId="2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/>
    </xf>
    <xf numFmtId="165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7" fontId="0" fillId="0" borderId="0" xfId="0" applyNumberFormat="1"/>
    <xf numFmtId="0" fontId="1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vertical="top"/>
    </xf>
    <xf numFmtId="17" fontId="3" fillId="0" borderId="2" xfId="0" applyNumberFormat="1" applyFont="1" applyBorder="1"/>
    <xf numFmtId="167" fontId="11" fillId="0" borderId="0" xfId="1" applyNumberFormat="1" applyFont="1"/>
    <xf numFmtId="167" fontId="2" fillId="0" borderId="2" xfId="1" applyNumberFormat="1" applyFont="1" applyFill="1" applyBorder="1"/>
    <xf numFmtId="0" fontId="4" fillId="0" borderId="12" xfId="0" applyFont="1" applyBorder="1"/>
    <xf numFmtId="0" fontId="0" fillId="0" borderId="12" xfId="0" applyBorder="1"/>
    <xf numFmtId="0" fontId="2" fillId="0" borderId="12" xfId="0" applyFont="1" applyBorder="1" applyAlignment="1">
      <alignment vertical="top"/>
    </xf>
    <xf numFmtId="0" fontId="0" fillId="0" borderId="0" xfId="0" applyAlignment="1">
      <alignment horizontal="left" indent="1"/>
    </xf>
    <xf numFmtId="0" fontId="4" fillId="0" borderId="2" xfId="5" applyFont="1" applyBorder="1" applyAlignment="1">
      <alignment horizontal="left"/>
    </xf>
    <xf numFmtId="0" fontId="11" fillId="10" borderId="2" xfId="0" applyFont="1" applyFill="1" applyBorder="1"/>
    <xf numFmtId="0" fontId="11" fillId="10" borderId="2" xfId="0" applyFont="1" applyFill="1" applyBorder="1" applyAlignment="1">
      <alignment horizontal="left"/>
    </xf>
    <xf numFmtId="167" fontId="11" fillId="10" borderId="2" xfId="1" applyNumberFormat="1" applyFont="1" applyFill="1" applyBorder="1"/>
    <xf numFmtId="164" fontId="13" fillId="0" borderId="0" xfId="0" applyNumberFormat="1" applyFont="1" applyAlignment="1">
      <alignment vertical="center"/>
    </xf>
    <xf numFmtId="167" fontId="0" fillId="0" borderId="2" xfId="1" applyNumberFormat="1" applyFont="1" applyBorder="1"/>
    <xf numFmtId="167" fontId="0" fillId="0" borderId="0" xfId="1" applyNumberFormat="1" applyFont="1" applyFill="1"/>
    <xf numFmtId="167" fontId="0" fillId="0" borderId="0" xfId="0" applyNumberFormat="1" applyAlignment="1">
      <alignment horizontal="left"/>
    </xf>
    <xf numFmtId="0" fontId="5" fillId="0" borderId="2" xfId="2" applyFont="1" applyBorder="1" applyAlignment="1" applyProtection="1">
      <alignment vertical="center"/>
      <protection locked="0"/>
    </xf>
    <xf numFmtId="165" fontId="2" fillId="0" borderId="0" xfId="0" applyNumberFormat="1" applyFont="1"/>
    <xf numFmtId="0" fontId="0" fillId="5" borderId="12" xfId="0" applyFill="1" applyBorder="1"/>
    <xf numFmtId="0" fontId="3" fillId="5" borderId="0" xfId="0" applyFont="1" applyFill="1"/>
    <xf numFmtId="167" fontId="3" fillId="9" borderId="0" xfId="1" applyNumberFormat="1" applyFont="1" applyFill="1"/>
    <xf numFmtId="167" fontId="3" fillId="0" borderId="2" xfId="1" applyNumberFormat="1" applyFont="1" applyBorder="1"/>
    <xf numFmtId="14" fontId="0" fillId="0" borderId="0" xfId="0" applyNumberFormat="1" applyAlignment="1">
      <alignment horizontal="left"/>
    </xf>
    <xf numFmtId="14" fontId="3" fillId="5" borderId="0" xfId="0" applyNumberFormat="1" applyFont="1" applyFill="1" applyAlignment="1">
      <alignment horizontal="left"/>
    </xf>
    <xf numFmtId="14" fontId="3" fillId="0" borderId="0" xfId="0" applyNumberFormat="1" applyFont="1" applyAlignment="1">
      <alignment horizontal="left"/>
    </xf>
    <xf numFmtId="167" fontId="3" fillId="0" borderId="0" xfId="1" applyNumberFormat="1" applyFont="1"/>
    <xf numFmtId="167" fontId="0" fillId="0" borderId="0" xfId="0" pivotButton="1" applyNumberFormat="1"/>
    <xf numFmtId="0" fontId="14" fillId="0" borderId="0" xfId="0" applyFont="1" applyAlignment="1">
      <alignment horizontal="left" indent="1"/>
    </xf>
    <xf numFmtId="167" fontId="0" fillId="0" borderId="0" xfId="1" applyNumberFormat="1" applyFont="1" applyAlignment="1">
      <alignment vertical="center" wrapText="1"/>
    </xf>
    <xf numFmtId="167" fontId="3" fillId="0" borderId="0" xfId="1" applyNumberFormat="1" applyFont="1" applyFill="1"/>
    <xf numFmtId="167" fontId="3" fillId="5" borderId="0" xfId="1" applyNumberFormat="1" applyFont="1" applyFill="1"/>
    <xf numFmtId="167" fontId="15" fillId="0" borderId="0" xfId="1" applyNumberFormat="1" applyFont="1"/>
    <xf numFmtId="167" fontId="2" fillId="0" borderId="0" xfId="1" applyNumberFormat="1" applyFont="1"/>
    <xf numFmtId="167" fontId="0" fillId="5" borderId="0" xfId="0" applyNumberFormat="1" applyFill="1"/>
    <xf numFmtId="167" fontId="0" fillId="5" borderId="0" xfId="1" applyNumberFormat="1" applyFont="1" applyFill="1"/>
    <xf numFmtId="0" fontId="16" fillId="0" borderId="0" xfId="0" applyFont="1" applyAlignment="1">
      <alignment horizontal="left" indent="1"/>
    </xf>
    <xf numFmtId="0" fontId="0" fillId="11" borderId="2" xfId="0" applyFill="1" applyBorder="1"/>
    <xf numFmtId="0" fontId="3" fillId="11" borderId="0" xfId="0" applyFont="1" applyFill="1"/>
    <xf numFmtId="2" fontId="0" fillId="11" borderId="0" xfId="0" applyNumberFormat="1" applyFill="1"/>
    <xf numFmtId="167" fontId="3" fillId="11" borderId="0" xfId="1" applyNumberFormat="1" applyFont="1" applyFill="1"/>
    <xf numFmtId="0" fontId="4" fillId="11" borderId="2" xfId="0" applyFont="1" applyFill="1" applyBorder="1"/>
    <xf numFmtId="0" fontId="0" fillId="11" borderId="0" xfId="0" applyFill="1"/>
    <xf numFmtId="0" fontId="0" fillId="11" borderId="12" xfId="0" applyFill="1" applyBorder="1"/>
    <xf numFmtId="0" fontId="4" fillId="11" borderId="12" xfId="0" applyFont="1" applyFill="1" applyBorder="1"/>
    <xf numFmtId="14" fontId="3" fillId="11" borderId="0" xfId="0" applyNumberFormat="1" applyFont="1" applyFill="1" applyAlignment="1">
      <alignment horizontal="left"/>
    </xf>
    <xf numFmtId="14" fontId="0" fillId="11" borderId="0" xfId="0" applyNumberFormat="1" applyFill="1"/>
    <xf numFmtId="167" fontId="14" fillId="5" borderId="0" xfId="0" applyNumberFormat="1" applyFont="1" applyFill="1"/>
    <xf numFmtId="0" fontId="0" fillId="12" borderId="0" xfId="0" applyFill="1"/>
    <xf numFmtId="2" fontId="0" fillId="12" borderId="0" xfId="0" applyNumberFormat="1" applyFill="1"/>
    <xf numFmtId="14" fontId="0" fillId="12" borderId="0" xfId="0" applyNumberFormat="1" applyFill="1"/>
    <xf numFmtId="0" fontId="2" fillId="0" borderId="0" xfId="0" applyFont="1" applyAlignment="1">
      <alignment vertical="top"/>
    </xf>
    <xf numFmtId="2" fontId="3" fillId="0" borderId="2" xfId="0" applyNumberFormat="1" applyFont="1" applyBorder="1"/>
    <xf numFmtId="0" fontId="0" fillId="0" borderId="2" xfId="0" applyBorder="1" applyAlignment="1">
      <alignment vertical="center"/>
    </xf>
    <xf numFmtId="2" fontId="0" fillId="0" borderId="2" xfId="0" applyNumberFormat="1" applyBorder="1" applyAlignment="1">
      <alignment vertical="center" wrapText="1"/>
    </xf>
    <xf numFmtId="2" fontId="3" fillId="0" borderId="2" xfId="1" applyNumberFormat="1" applyFont="1" applyFill="1" applyBorder="1"/>
    <xf numFmtId="169" fontId="3" fillId="0" borderId="2" xfId="1" applyNumberFormat="1" applyFont="1" applyBorder="1"/>
    <xf numFmtId="14" fontId="3" fillId="0" borderId="2" xfId="0" applyNumberFormat="1" applyFont="1" applyBorder="1" applyAlignment="1">
      <alignment horizontal="left"/>
    </xf>
    <xf numFmtId="0" fontId="3" fillId="0" borderId="2" xfId="0" quotePrefix="1" applyFont="1" applyBorder="1"/>
    <xf numFmtId="14" fontId="0" fillId="0" borderId="2" xfId="0" applyNumberFormat="1" applyBorder="1" applyAlignment="1">
      <alignment horizontal="left"/>
    </xf>
    <xf numFmtId="167" fontId="0" fillId="0" borderId="2" xfId="1" applyNumberFormat="1" applyFont="1" applyFill="1" applyBorder="1"/>
    <xf numFmtId="167" fontId="15" fillId="0" borderId="2" xfId="1" applyNumberFormat="1" applyFont="1" applyBorder="1"/>
    <xf numFmtId="0" fontId="3" fillId="2" borderId="2" xfId="0" applyFont="1" applyFill="1" applyBorder="1"/>
    <xf numFmtId="167" fontId="3" fillId="5" borderId="2" xfId="1" applyNumberFormat="1" applyFont="1" applyFill="1" applyBorder="1"/>
    <xf numFmtId="166" fontId="0" fillId="0" borderId="0" xfId="0" applyNumberFormat="1"/>
    <xf numFmtId="0" fontId="12" fillId="0" borderId="2" xfId="5" applyBorder="1" applyAlignment="1"/>
    <xf numFmtId="0" fontId="4" fillId="0" borderId="2" xfId="5" applyFont="1" applyBorder="1" applyAlignment="1"/>
    <xf numFmtId="0" fontId="14" fillId="0" borderId="0" xfId="0" applyFont="1" applyAlignment="1">
      <alignment horizontal="left"/>
    </xf>
    <xf numFmtId="165" fontId="0" fillId="0" borderId="0" xfId="1" applyFont="1" applyFill="1"/>
    <xf numFmtId="165" fontId="15" fillId="0" borderId="0" xfId="10" applyNumberFormat="1" applyFont="1"/>
    <xf numFmtId="0" fontId="0" fillId="10" borderId="12" xfId="0" applyFill="1" applyBorder="1"/>
    <xf numFmtId="0" fontId="0" fillId="10" borderId="2" xfId="0" applyFill="1" applyBorder="1"/>
    <xf numFmtId="0" fontId="3" fillId="10" borderId="0" xfId="0" applyFont="1" applyFill="1"/>
    <xf numFmtId="14" fontId="3" fillId="10" borderId="0" xfId="0" applyNumberFormat="1" applyFont="1" applyFill="1"/>
    <xf numFmtId="0" fontId="4" fillId="10" borderId="2" xfId="0" applyFont="1" applyFill="1" applyBorder="1"/>
    <xf numFmtId="0" fontId="0" fillId="10" borderId="0" xfId="0" applyFill="1"/>
    <xf numFmtId="167" fontId="0" fillId="10" borderId="0" xfId="0" applyNumberFormat="1" applyFill="1"/>
    <xf numFmtId="167" fontId="3" fillId="10" borderId="0" xfId="1" applyNumberFormat="1" applyFont="1" applyFill="1"/>
    <xf numFmtId="0" fontId="3" fillId="0" borderId="0" xfId="0" applyFont="1" applyAlignment="1">
      <alignment horizontal="left"/>
    </xf>
    <xf numFmtId="167" fontId="0" fillId="0" borderId="2" xfId="0" applyNumberFormat="1" applyBorder="1"/>
    <xf numFmtId="0" fontId="0" fillId="5" borderId="0" xfId="0" applyFill="1"/>
    <xf numFmtId="0" fontId="3" fillId="0" borderId="0" xfId="0" applyFont="1" applyAlignment="1">
      <alignment wrapText="1"/>
    </xf>
    <xf numFmtId="167" fontId="5" fillId="7" borderId="2" xfId="1" applyNumberFormat="1" applyFont="1" applyFill="1" applyBorder="1" applyAlignment="1" applyProtection="1">
      <alignment vertical="center"/>
      <protection locked="0"/>
    </xf>
    <xf numFmtId="167" fontId="5" fillId="0" borderId="2" xfId="1" applyNumberFormat="1" applyFont="1" applyBorder="1" applyAlignment="1" applyProtection="1">
      <alignment vertical="center"/>
      <protection locked="0"/>
    </xf>
    <xf numFmtId="0" fontId="19" fillId="0" borderId="0" xfId="0" applyFont="1"/>
    <xf numFmtId="1" fontId="6" fillId="2" borderId="2" xfId="2" applyNumberFormat="1" applyFont="1" applyFill="1" applyBorder="1" applyProtection="1">
      <protection locked="0"/>
    </xf>
    <xf numFmtId="167" fontId="14" fillId="0" borderId="0" xfId="1" applyNumberFormat="1" applyFont="1" applyAlignment="1">
      <alignment horizontal="left"/>
    </xf>
    <xf numFmtId="0" fontId="4" fillId="0" borderId="2" xfId="0" applyFont="1" applyBorder="1" applyAlignment="1">
      <alignment horizontal="left" vertical="center"/>
    </xf>
    <xf numFmtId="167" fontId="15" fillId="0" borderId="0" xfId="1" applyNumberFormat="1" applyFont="1" applyFill="1"/>
    <xf numFmtId="167" fontId="0" fillId="0" borderId="2" xfId="1" applyNumberFormat="1" applyFont="1" applyBorder="1" applyAlignment="1"/>
    <xf numFmtId="167" fontId="3" fillId="0" borderId="0" xfId="1" applyNumberFormat="1" applyFont="1" applyAlignment="1"/>
    <xf numFmtId="167" fontId="0" fillId="0" borderId="0" xfId="1" applyNumberFormat="1" applyFont="1" applyAlignment="1"/>
    <xf numFmtId="171" fontId="0" fillId="0" borderId="0" xfId="0" applyNumberFormat="1" applyAlignment="1">
      <alignment horizontal="left"/>
    </xf>
    <xf numFmtId="171" fontId="3" fillId="0" borderId="0" xfId="0" applyNumberFormat="1" applyFont="1" applyAlignment="1">
      <alignment horizontal="left"/>
    </xf>
    <xf numFmtId="171" fontId="3" fillId="0" borderId="0" xfId="0" applyNumberFormat="1" applyFont="1"/>
    <xf numFmtId="165" fontId="2" fillId="0" borderId="2" xfId="1" applyFont="1" applyFill="1" applyBorder="1"/>
    <xf numFmtId="165" fontId="15" fillId="0" borderId="0" xfId="1" applyFont="1"/>
    <xf numFmtId="165" fontId="3" fillId="0" borderId="0" xfId="1" applyFont="1"/>
    <xf numFmtId="0" fontId="4" fillId="0" borderId="2" xfId="0" applyFont="1" applyBorder="1" applyAlignment="1">
      <alignment horizontal="center" vertical="center"/>
    </xf>
    <xf numFmtId="171" fontId="0" fillId="0" borderId="0" xfId="0" applyNumberFormat="1"/>
    <xf numFmtId="172" fontId="0" fillId="0" borderId="0" xfId="1" applyNumberFormat="1" applyFont="1"/>
    <xf numFmtId="170" fontId="6" fillId="13" borderId="13" xfId="8" applyNumberFormat="1" applyFill="1" applyBorder="1" applyAlignment="1" applyProtection="1">
      <alignment horizontal="left"/>
      <protection locked="0"/>
    </xf>
    <xf numFmtId="172" fontId="0" fillId="0" borderId="0" xfId="0" applyNumberFormat="1"/>
    <xf numFmtId="0" fontId="3" fillId="0" borderId="2" xfId="0" applyFont="1" applyBorder="1" applyAlignment="1">
      <alignment horizontal="left"/>
    </xf>
    <xf numFmtId="172" fontId="0" fillId="0" borderId="2" xfId="1" applyNumberFormat="1" applyFont="1" applyBorder="1"/>
    <xf numFmtId="0" fontId="0" fillId="0" borderId="2" xfId="0" applyBorder="1" applyAlignment="1">
      <alignment horizontal="left"/>
    </xf>
    <xf numFmtId="165" fontId="15" fillId="0" borderId="0" xfId="1" applyFont="1" applyFill="1"/>
    <xf numFmtId="0" fontId="4" fillId="14" borderId="2" xfId="0" applyFont="1" applyFill="1" applyBorder="1" applyAlignment="1">
      <alignment horizontal="center" vertical="center"/>
    </xf>
    <xf numFmtId="172" fontId="11" fillId="10" borderId="2" xfId="1" applyNumberFormat="1" applyFont="1" applyFill="1" applyBorder="1"/>
    <xf numFmtId="43" fontId="0" fillId="0" borderId="0" xfId="0" applyNumberFormat="1"/>
    <xf numFmtId="17" fontId="3" fillId="0" borderId="2" xfId="0" quotePrefix="1" applyNumberFormat="1" applyFont="1" applyBorder="1"/>
    <xf numFmtId="0" fontId="2" fillId="15" borderId="14" xfId="0" applyFont="1" applyFill="1" applyBorder="1"/>
    <xf numFmtId="172" fontId="2" fillId="15" borderId="14" xfId="0" applyNumberFormat="1" applyFont="1" applyFill="1" applyBorder="1"/>
    <xf numFmtId="0" fontId="20" fillId="0" borderId="0" xfId="0" applyFont="1" applyAlignment="1">
      <alignment horizontal="left" vertical="center"/>
    </xf>
    <xf numFmtId="172" fontId="15" fillId="0" borderId="0" xfId="1" applyNumberFormat="1" applyFont="1" applyFill="1"/>
    <xf numFmtId="171" fontId="21" fillId="0" borderId="0" xfId="0" applyNumberFormat="1" applyFont="1" applyAlignment="1">
      <alignment horizontal="left"/>
    </xf>
    <xf numFmtId="0" fontId="21" fillId="0" borderId="0" xfId="0" applyFont="1"/>
    <xf numFmtId="0" fontId="6" fillId="3" borderId="2" xfId="2" applyFont="1" applyFill="1" applyBorder="1" applyAlignment="1" applyProtection="1">
      <alignment horizontal="left"/>
      <protection locked="0"/>
    </xf>
    <xf numFmtId="0" fontId="6" fillId="3" borderId="2" xfId="2" applyFont="1" applyFill="1" applyBorder="1" applyAlignment="1" applyProtection="1">
      <alignment horizontal="center"/>
      <protection locked="0"/>
    </xf>
    <xf numFmtId="14" fontId="4" fillId="0" borderId="8" xfId="2" applyNumberFormat="1" applyFont="1" applyBorder="1" applyProtection="1">
      <protection locked="0"/>
    </xf>
    <xf numFmtId="14" fontId="4" fillId="0" borderId="2" xfId="2" applyNumberFormat="1" applyFont="1" applyBorder="1" applyProtection="1">
      <protection locked="0"/>
    </xf>
    <xf numFmtId="14" fontId="4" fillId="0" borderId="2" xfId="2" applyNumberFormat="1" applyFont="1" applyBorder="1" applyAlignment="1" applyProtection="1">
      <alignment vertical="center"/>
      <protection locked="0"/>
    </xf>
    <xf numFmtId="14" fontId="6" fillId="3" borderId="2" xfId="2" applyNumberFormat="1" applyFont="1" applyFill="1" applyBorder="1" applyAlignment="1" applyProtection="1">
      <alignment horizontal="center"/>
      <protection locked="0"/>
    </xf>
    <xf numFmtId="1" fontId="6" fillId="3" borderId="2" xfId="2" applyNumberFormat="1" applyFont="1" applyFill="1" applyBorder="1" applyProtection="1">
      <protection locked="0"/>
    </xf>
    <xf numFmtId="14" fontId="6" fillId="3" borderId="2" xfId="2" applyNumberFormat="1" applyFont="1" applyFill="1" applyBorder="1" applyAlignment="1" applyProtection="1">
      <alignment horizontal="left"/>
      <protection locked="0"/>
    </xf>
    <xf numFmtId="49" fontId="6" fillId="3" borderId="2" xfId="2" applyNumberFormat="1" applyFont="1" applyFill="1" applyBorder="1" applyAlignment="1" applyProtection="1">
      <alignment horizontal="left"/>
      <protection locked="0"/>
    </xf>
    <xf numFmtId="168" fontId="6" fillId="13" borderId="13" xfId="8" applyFill="1" applyBorder="1" applyAlignment="1" applyProtection="1">
      <alignment horizontal="left"/>
      <protection locked="0"/>
    </xf>
    <xf numFmtId="170" fontId="6" fillId="13" borderId="13" xfId="8" applyNumberFormat="1" applyFill="1" applyBorder="1" applyProtection="1">
      <protection locked="0"/>
    </xf>
    <xf numFmtId="49" fontId="6" fillId="13" borderId="13" xfId="8" applyNumberFormat="1" applyFill="1" applyBorder="1" applyAlignment="1" applyProtection="1">
      <alignment horizontal="left"/>
      <protection locked="0"/>
    </xf>
    <xf numFmtId="14" fontId="0" fillId="5" borderId="0" xfId="0" applyNumberFormat="1" applyFill="1"/>
    <xf numFmtId="0" fontId="6" fillId="3" borderId="2" xfId="2" quotePrefix="1" applyFont="1" applyFill="1" applyBorder="1" applyAlignment="1" applyProtection="1">
      <alignment horizontal="left"/>
      <protection locked="0"/>
    </xf>
    <xf numFmtId="1" fontId="6" fillId="3" borderId="2" xfId="2" applyNumberFormat="1" applyFont="1" applyFill="1" applyBorder="1" applyAlignment="1" applyProtection="1">
      <alignment horizontal="left"/>
      <protection locked="0"/>
    </xf>
    <xf numFmtId="0" fontId="15" fillId="0" borderId="0" xfId="0" applyFont="1"/>
    <xf numFmtId="167" fontId="15" fillId="0" borderId="0" xfId="0" applyNumberFormat="1" applyFont="1"/>
    <xf numFmtId="167" fontId="19" fillId="0" borderId="0" xfId="0" applyNumberFormat="1" applyFont="1"/>
    <xf numFmtId="43" fontId="15" fillId="0" borderId="0" xfId="0" applyNumberFormat="1" applyFont="1"/>
    <xf numFmtId="168" fontId="6" fillId="13" borderId="2" xfId="8" applyFill="1" applyBorder="1" applyAlignment="1" applyProtection="1">
      <alignment horizontal="left"/>
      <protection locked="0"/>
    </xf>
    <xf numFmtId="170" fontId="6" fillId="13" borderId="2" xfId="8" applyNumberFormat="1" applyFill="1" applyBorder="1" applyAlignment="1" applyProtection="1">
      <alignment horizontal="left"/>
      <protection locked="0"/>
    </xf>
    <xf numFmtId="49" fontId="6" fillId="13" borderId="2" xfId="8" applyNumberFormat="1" applyFill="1" applyBorder="1" applyAlignment="1" applyProtection="1">
      <alignment horizontal="left"/>
      <protection locked="0"/>
    </xf>
    <xf numFmtId="170" fontId="6" fillId="13" borderId="2" xfId="8" applyNumberFormat="1" applyFill="1" applyBorder="1" applyProtection="1">
      <protection locked="0"/>
    </xf>
    <xf numFmtId="14" fontId="0" fillId="5" borderId="2" xfId="0" applyNumberFormat="1" applyFill="1" applyBorder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indent="1"/>
    </xf>
  </cellXfs>
  <cellStyles count="11">
    <cellStyle name="Comma" xfId="1" builtinId="3"/>
    <cellStyle name="Comma 2" xfId="3" xr:uid="{46F715CD-6281-4567-8AE8-FB72C05C5171}"/>
    <cellStyle name="Comma 2 2" xfId="4" xr:uid="{B4CF3CA9-F741-4131-90D6-8BE95B072B27}"/>
    <cellStyle name="Comma 2 7" xfId="7" xr:uid="{C6EAF8FC-04CD-493E-AEC5-C65EE9CC3A27}"/>
    <cellStyle name="Comma 3" xfId="6" xr:uid="{A7C05E14-6D14-4612-A2BF-551614880726}"/>
    <cellStyle name="Comma 9" xfId="9" xr:uid="{051E0633-10E9-456B-90B9-9354C75447FF}"/>
    <cellStyle name="Excel Built-in Normal" xfId="8" xr:uid="{8D3F6974-4110-4458-9AAE-2E0B2E4CA3C3}"/>
    <cellStyle name="Normal" xfId="0" builtinId="0"/>
    <cellStyle name="Normal 11" xfId="2" xr:uid="{8856255C-700F-4836-BF5C-7B1110C5A701}"/>
    <cellStyle name="Normal 2" xfId="5" xr:uid="{79CF859A-30DF-40F0-B0C2-7E44A750C65D}"/>
    <cellStyle name="Normal_Debtors (2)" xfId="10" xr:uid="{2A263DF6-9584-465B-9B5A-B6D2201DDA7A}"/>
  </cellStyles>
  <dxfs count="2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</font>
    </dxf>
    <dxf>
      <font>
        <color auto="1"/>
      </font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u val="none"/>
      </font>
    </dxf>
    <dxf>
      <fill>
        <patternFill patternType="none">
          <bgColor auto="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fill>
        <patternFill patternType="none">
          <bgColor auto="1"/>
        </patternFill>
      </fill>
    </dxf>
    <dxf>
      <font>
        <color rgb="FF00B0F0"/>
      </font>
    </dxf>
    <dxf>
      <font>
        <color rgb="FF00B0F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PIL%20TB_jul-26.xlsx" TargetMode="External"/><Relationship Id="rId1" Type="http://schemas.openxmlformats.org/officeDocument/2006/relationships/externalLinkPath" Target="/DATA_STORAGE/DATA_26-27/PIL/Stock%20Statement_Jul-26/PIL%20TB_jul-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F/stock%20statement/pil/FY%202026%202027/3.PIL%20SS_june-26/TB%2030.06.26%20FOR%20CREDTORS%20PIL.xlsx" TargetMode="External"/><Relationship Id="rId1" Type="http://schemas.openxmlformats.org/officeDocument/2006/relationships/externalLinkPath" Target="/F/stock%20statement/pil/FY%202026%202027/3.PIL%20SS_june-26/TB%2030.06.26%20FOR%20CREDTORS%20PI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F/stock%20statement/pil/FY%202026%202027/4.PIL%20SS_july-26/TrialBalanceExport%2031.07.26%20stock%20statment.xlsx" TargetMode="External"/><Relationship Id="rId1" Type="http://schemas.openxmlformats.org/officeDocument/2006/relationships/externalLinkPath" Target="/F/stock%20statement/pil/FY%202026%202027/4.PIL%20SS_july-26/TrialBalanceExport%2031.07.26%20stock%20statmen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ATA_25-26/STOCK%20STATEMENTS_25-26/PIL/SBI/2.PIL%20SS_May-25/Working/sal%20reg%20120%20day.xlsx" TargetMode="External"/><Relationship Id="rId1" Type="http://schemas.openxmlformats.org/officeDocument/2006/relationships/externalLinkPath" Target="/DATA_25-26/STOCK%20STATEMENTS_25-26/PIL/SBI/2.PIL%20SS_May-25/Working/sal%20reg%20120%20d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 t="str">
            <v>Particular</v>
          </cell>
          <cell r="E1" t="str">
            <v>Closing</v>
          </cell>
        </row>
        <row r="2">
          <cell r="A2" t="str">
            <v>20Cube Logistics Solutions Private Limited</v>
          </cell>
          <cell r="E2">
            <v>31054</v>
          </cell>
        </row>
        <row r="3">
          <cell r="A3" t="str">
            <v>4 Colour Jumbo Printing Machine</v>
          </cell>
          <cell r="E3">
            <v>2525058</v>
          </cell>
        </row>
        <row r="4">
          <cell r="A4" t="str">
            <v>A B Online</v>
          </cell>
          <cell r="E4">
            <v>-88670</v>
          </cell>
        </row>
        <row r="5">
          <cell r="A5" t="str">
            <v>A Hartrodt (India) Private Limited</v>
          </cell>
          <cell r="E5">
            <v>5220</v>
          </cell>
        </row>
        <row r="6">
          <cell r="A6" t="str">
            <v>A Hartrodt (India) Private Limited- Mumbai</v>
          </cell>
          <cell r="E6">
            <v>-5220</v>
          </cell>
        </row>
        <row r="7">
          <cell r="A7" t="str">
            <v>A N Satyam Enterprise</v>
          </cell>
          <cell r="E7">
            <v>256930</v>
          </cell>
        </row>
        <row r="8">
          <cell r="A8" t="str">
            <v>A To Z Stationery And Zerox</v>
          </cell>
          <cell r="E8">
            <v>-1333</v>
          </cell>
        </row>
        <row r="9">
          <cell r="A9" t="str">
            <v>A.V.R. Corporation</v>
          </cell>
          <cell r="E9">
            <v>-2261</v>
          </cell>
        </row>
        <row r="10">
          <cell r="A10" t="str">
            <v>Aadhya Shakti Forklift</v>
          </cell>
          <cell r="E10">
            <v>0</v>
          </cell>
        </row>
        <row r="11">
          <cell r="A11" t="str">
            <v>Aarch Nonwoven</v>
          </cell>
          <cell r="E11">
            <v>-1462</v>
          </cell>
        </row>
        <row r="12">
          <cell r="A12" t="str">
            <v>Aasan Consultancy</v>
          </cell>
          <cell r="E12">
            <v>0</v>
          </cell>
        </row>
        <row r="13">
          <cell r="A13" t="str">
            <v>Aayush Plastic</v>
          </cell>
          <cell r="E13">
            <v>0.49</v>
          </cell>
        </row>
        <row r="14">
          <cell r="A14" t="str">
            <v>Abhay Pradhan Trust</v>
          </cell>
          <cell r="E14">
            <v>0</v>
          </cell>
        </row>
        <row r="15">
          <cell r="A15" t="str">
            <v>Abhi Roadline</v>
          </cell>
          <cell r="E15">
            <v>0</v>
          </cell>
        </row>
        <row r="16">
          <cell r="A16" t="str">
            <v>Abreco Freight Pvt Ltd-27AATCA3993L1ZS</v>
          </cell>
          <cell r="E16">
            <v>-0.14000000000000001</v>
          </cell>
        </row>
        <row r="17">
          <cell r="A17" t="str">
            <v>Access World</v>
          </cell>
          <cell r="E17">
            <v>3151699.2</v>
          </cell>
        </row>
        <row r="18">
          <cell r="A18" t="str">
            <v>Accrued Interest -FDR</v>
          </cell>
          <cell r="E18">
            <v>1242327</v>
          </cell>
        </row>
        <row r="19">
          <cell r="A19" t="str">
            <v>Accuracy Shipping Limited</v>
          </cell>
          <cell r="E19">
            <v>-159497</v>
          </cell>
        </row>
        <row r="20">
          <cell r="A20" t="str">
            <v>Accurate Electric</v>
          </cell>
          <cell r="E20">
            <v>-2183</v>
          </cell>
        </row>
        <row r="21">
          <cell r="A21" t="str">
            <v>Accurate Equipment</v>
          </cell>
          <cell r="E21">
            <v>92500</v>
          </cell>
        </row>
        <row r="22">
          <cell r="A22" t="str">
            <v>Accurate Laboratory</v>
          </cell>
          <cell r="E22">
            <v>343</v>
          </cell>
        </row>
        <row r="23">
          <cell r="A23" t="str">
            <v>Accurate Rub Tech</v>
          </cell>
          <cell r="E23">
            <v>-32407</v>
          </cell>
        </row>
        <row r="24">
          <cell r="A24" t="str">
            <v>Acme Yarns Private Limited</v>
          </cell>
          <cell r="E24">
            <v>-729792</v>
          </cell>
        </row>
        <row r="25">
          <cell r="A25" t="str">
            <v>Actionware India Pvt Ltd</v>
          </cell>
          <cell r="E25">
            <v>33222479.68</v>
          </cell>
        </row>
        <row r="26">
          <cell r="A26" t="str">
            <v>Active Pumps Pvt Ltd</v>
          </cell>
          <cell r="E26">
            <v>-0.24</v>
          </cell>
        </row>
        <row r="27">
          <cell r="A27" t="str">
            <v>Acuver Engineering India Pvt.Ltd.</v>
          </cell>
          <cell r="E27">
            <v>440040.72</v>
          </cell>
        </row>
        <row r="28">
          <cell r="A28" t="str">
            <v>Adani Cma Mundra Terminal Private Limited</v>
          </cell>
          <cell r="E28">
            <v>-3548.42</v>
          </cell>
        </row>
        <row r="29">
          <cell r="A29" t="str">
            <v>Adani International Container Terminal Pvt Ltd</v>
          </cell>
          <cell r="E29">
            <v>36834.300000000003</v>
          </cell>
        </row>
        <row r="30">
          <cell r="A30" t="str">
            <v>Adani Ports And Special Economic Zone Limited</v>
          </cell>
          <cell r="E30">
            <v>-99368.2</v>
          </cell>
        </row>
        <row r="31">
          <cell r="A31" t="str">
            <v>Adani Ports And Special Economic Zone Limited-(Pil-1)</v>
          </cell>
          <cell r="E31">
            <v>350000</v>
          </cell>
        </row>
        <row r="32">
          <cell r="A32" t="str">
            <v>Adhesive Seprator</v>
          </cell>
          <cell r="E32">
            <v>24819</v>
          </cell>
        </row>
        <row r="33">
          <cell r="A33" t="str">
            <v>Adinath Enterprises</v>
          </cell>
          <cell r="E33">
            <v>0</v>
          </cell>
        </row>
        <row r="34">
          <cell r="A34" t="str">
            <v>Adinath Salt Llp</v>
          </cell>
          <cell r="E34">
            <v>40000</v>
          </cell>
        </row>
        <row r="35">
          <cell r="A35" t="str">
            <v>Aditya Elastomer</v>
          </cell>
          <cell r="E35">
            <v>12469</v>
          </cell>
        </row>
        <row r="36">
          <cell r="A36" t="str">
            <v>Aditya Engineering Works - 24GIUPP9229Q1ZX</v>
          </cell>
          <cell r="E36">
            <v>-30054.6</v>
          </cell>
        </row>
        <row r="37">
          <cell r="A37" t="str">
            <v>Aditya Indane 24AMCPD6839J1Z1</v>
          </cell>
          <cell r="E37">
            <v>0</v>
          </cell>
        </row>
        <row r="38">
          <cell r="A38" t="str">
            <v>Advance for Travel &amp; Others</v>
          </cell>
          <cell r="E38">
            <v>25875</v>
          </cell>
        </row>
        <row r="39">
          <cell r="A39" t="str">
            <v>Advance Licence Fee Expense</v>
          </cell>
          <cell r="E39">
            <v>32004.13</v>
          </cell>
        </row>
        <row r="40">
          <cell r="A40" t="str">
            <v>Advance Salary Paid</v>
          </cell>
          <cell r="E40">
            <v>2633409</v>
          </cell>
        </row>
        <row r="41">
          <cell r="A41" t="str">
            <v>Advanced Global Marketing Company</v>
          </cell>
          <cell r="E41">
            <v>32273.119999999999</v>
          </cell>
        </row>
        <row r="42">
          <cell r="A42" t="str">
            <v>Advocate Fees Expense</v>
          </cell>
          <cell r="E42">
            <v>248600</v>
          </cell>
        </row>
        <row r="43">
          <cell r="A43" t="str">
            <v>Aflon Engineering Corporation</v>
          </cell>
          <cell r="E43">
            <v>0</v>
          </cell>
        </row>
        <row r="44">
          <cell r="A44" t="str">
            <v>Agarwal Enterprise</v>
          </cell>
          <cell r="E44">
            <v>-356033</v>
          </cell>
        </row>
        <row r="45">
          <cell r="A45" t="str">
            <v>Agon A/S</v>
          </cell>
          <cell r="E45">
            <v>0.01</v>
          </cell>
        </row>
        <row r="46">
          <cell r="A46" t="str">
            <v>Ahan Shipping Services-24AAZFA5323K1Z4</v>
          </cell>
          <cell r="E46">
            <v>0</v>
          </cell>
        </row>
        <row r="47">
          <cell r="A47" t="str">
            <v>Ahlstrom Fibercomposites India Pvt Ltd</v>
          </cell>
          <cell r="E47">
            <v>4070</v>
          </cell>
        </row>
        <row r="48">
          <cell r="A48" t="str">
            <v>Ahlstrom Munksjo Fibercomposites India Private Limited</v>
          </cell>
          <cell r="E48">
            <v>33970</v>
          </cell>
        </row>
        <row r="49">
          <cell r="A49" t="str">
            <v>Ahmedabad Cotton Waste Co.</v>
          </cell>
          <cell r="E49">
            <v>-49717</v>
          </cell>
        </row>
        <row r="50">
          <cell r="A50" t="str">
            <v>Ahmedabad Textile Industry Research Association</v>
          </cell>
          <cell r="E50">
            <v>-944</v>
          </cell>
        </row>
        <row r="51">
          <cell r="A51" t="str">
            <v>Air Arabia Pjsc - 24AAICA5432B1Z8</v>
          </cell>
          <cell r="E51">
            <v>8532.01</v>
          </cell>
        </row>
        <row r="52">
          <cell r="A52" t="str">
            <v>Air Compressor</v>
          </cell>
          <cell r="E52">
            <v>6145862.46</v>
          </cell>
        </row>
        <row r="53">
          <cell r="A53" t="str">
            <v>Air Conditioners</v>
          </cell>
          <cell r="E53">
            <v>2469735.88</v>
          </cell>
        </row>
        <row r="54">
          <cell r="A54" t="str">
            <v>Air Cooling Plant</v>
          </cell>
          <cell r="E54">
            <v>21837273.699999999</v>
          </cell>
        </row>
        <row r="55">
          <cell r="A55" t="str">
            <v>Air Dryer</v>
          </cell>
          <cell r="E55">
            <v>508308</v>
          </cell>
        </row>
        <row r="56">
          <cell r="A56" t="str">
            <v>Air India Limited 07AACCN6194P2ZQ</v>
          </cell>
          <cell r="E56">
            <v>-36.01</v>
          </cell>
        </row>
        <row r="57">
          <cell r="A57" t="str">
            <v>Air India Limited-27AACCN6194P1ZP</v>
          </cell>
          <cell r="E57">
            <v>-24539</v>
          </cell>
        </row>
        <row r="58">
          <cell r="A58" t="str">
            <v>Air Receiver With Cubic Meter</v>
          </cell>
          <cell r="E58">
            <v>44580</v>
          </cell>
        </row>
        <row r="59">
          <cell r="A59" t="str">
            <v>Air Shower Machine</v>
          </cell>
          <cell r="E59">
            <v>395000</v>
          </cell>
        </row>
        <row r="60">
          <cell r="A60" t="str">
            <v>Airmax Pneumatic Automation</v>
          </cell>
          <cell r="E60">
            <v>-1181.02</v>
          </cell>
        </row>
        <row r="61">
          <cell r="A61" t="str">
            <v>Airtech Engineers - Gandhidham</v>
          </cell>
          <cell r="E61">
            <v>-39164.65</v>
          </cell>
        </row>
        <row r="62">
          <cell r="A62" t="str">
            <v>Airwell Systems</v>
          </cell>
          <cell r="E62">
            <v>-4602</v>
          </cell>
        </row>
        <row r="63">
          <cell r="A63" t="str">
            <v>Ajanta Chemicals</v>
          </cell>
          <cell r="E63">
            <v>-3835</v>
          </cell>
        </row>
        <row r="64">
          <cell r="A64" t="str">
            <v>Ajanta Polymers.</v>
          </cell>
          <cell r="E64">
            <v>29602</v>
          </cell>
        </row>
        <row r="65">
          <cell r="A65" t="str">
            <v>Ajitkumar Sumatilal Shah</v>
          </cell>
          <cell r="E65">
            <v>0</v>
          </cell>
        </row>
        <row r="66">
          <cell r="A66" t="str">
            <v>Ajs Logistics Pvt Ltd 09AAJCA0614L1ZO</v>
          </cell>
          <cell r="E66">
            <v>0</v>
          </cell>
        </row>
        <row r="67">
          <cell r="A67" t="str">
            <v>Aksha Medical &amp; Provison Stores</v>
          </cell>
          <cell r="E67">
            <v>0</v>
          </cell>
        </row>
        <row r="68">
          <cell r="A68" t="str">
            <v>Akshara Graphics</v>
          </cell>
          <cell r="E68">
            <v>184593.3</v>
          </cell>
        </row>
        <row r="69">
          <cell r="A69" t="str">
            <v>Akshara Graphics - Purchase</v>
          </cell>
          <cell r="E69">
            <v>-199792</v>
          </cell>
        </row>
        <row r="70">
          <cell r="A70" t="str">
            <v>Alankar Automotives Pvt Ltd</v>
          </cell>
          <cell r="E70">
            <v>-73418.11</v>
          </cell>
        </row>
        <row r="71">
          <cell r="A71" t="str">
            <v>Alishan Sales</v>
          </cell>
          <cell r="E71">
            <v>0</v>
          </cell>
        </row>
        <row r="72">
          <cell r="A72" t="str">
            <v>Allowance - Books &amp; Periodicals</v>
          </cell>
          <cell r="E72">
            <v>280230</v>
          </cell>
        </row>
        <row r="73">
          <cell r="A73" t="str">
            <v>Allowance - Canteen</v>
          </cell>
          <cell r="E73">
            <v>6179589.54</v>
          </cell>
        </row>
        <row r="74">
          <cell r="A74" t="str">
            <v>Allowance - Children Education &amp; Hostel</v>
          </cell>
          <cell r="E74">
            <v>290819</v>
          </cell>
        </row>
        <row r="75">
          <cell r="A75" t="str">
            <v>Allowance - Conveyance</v>
          </cell>
          <cell r="E75">
            <v>136811</v>
          </cell>
        </row>
        <row r="76">
          <cell r="A76" t="str">
            <v>Allowance - Driver &amp; Assistant</v>
          </cell>
          <cell r="E76">
            <v>98856</v>
          </cell>
        </row>
        <row r="77">
          <cell r="A77" t="str">
            <v>Allowance - House Rent</v>
          </cell>
          <cell r="E77">
            <v>11777600</v>
          </cell>
        </row>
        <row r="78">
          <cell r="A78" t="str">
            <v>Allowance - Leave Travels</v>
          </cell>
          <cell r="E78">
            <v>618919</v>
          </cell>
        </row>
        <row r="79">
          <cell r="A79" t="str">
            <v>Allowance - Medical</v>
          </cell>
          <cell r="E79">
            <v>222276</v>
          </cell>
        </row>
        <row r="80">
          <cell r="A80" t="str">
            <v>Allowance - Other</v>
          </cell>
          <cell r="E80">
            <v>548145</v>
          </cell>
        </row>
        <row r="81">
          <cell r="A81" t="str">
            <v>Allowance - Special</v>
          </cell>
          <cell r="E81">
            <v>2668242</v>
          </cell>
        </row>
        <row r="82">
          <cell r="A82" t="str">
            <v>Allowance - Transport</v>
          </cell>
          <cell r="E82">
            <v>374805</v>
          </cell>
        </row>
        <row r="83">
          <cell r="A83" t="str">
            <v>Allowance - Uniform / Attire</v>
          </cell>
          <cell r="E83">
            <v>748116</v>
          </cell>
        </row>
        <row r="84">
          <cell r="A84" t="str">
            <v>Allowance - Vehicle Maintenance</v>
          </cell>
          <cell r="E84">
            <v>165335</v>
          </cell>
        </row>
        <row r="85">
          <cell r="A85" t="str">
            <v>Allowance - Washing</v>
          </cell>
          <cell r="E85">
            <v>4136587.7</v>
          </cell>
        </row>
        <row r="86">
          <cell r="A86" t="str">
            <v>Alluminium Ladder</v>
          </cell>
          <cell r="E86">
            <v>35125</v>
          </cell>
        </row>
        <row r="87">
          <cell r="A87" t="str">
            <v>Alluminium Pipe &amp; Fitting</v>
          </cell>
          <cell r="E87">
            <v>28803342.73</v>
          </cell>
        </row>
        <row r="88">
          <cell r="A88" t="str">
            <v>Almatis  Alumina Private Limited</v>
          </cell>
          <cell r="E88">
            <v>1731786.45</v>
          </cell>
        </row>
        <row r="89">
          <cell r="A89" t="str">
            <v>Almonard P Limited Ahmedabad</v>
          </cell>
          <cell r="E89">
            <v>2078.34</v>
          </cell>
        </row>
        <row r="90">
          <cell r="A90" t="str">
            <v>Almonard Wall Fan Air Circ.-18"</v>
          </cell>
          <cell r="E90">
            <v>48483</v>
          </cell>
        </row>
        <row r="91">
          <cell r="A91" t="str">
            <v>Alok Master Batches Private Limited- Dadra</v>
          </cell>
          <cell r="E91">
            <v>-62153.14</v>
          </cell>
        </row>
        <row r="92">
          <cell r="A92" t="str">
            <v>Alok Master Batches Private Limited- Surangi</v>
          </cell>
          <cell r="E92">
            <v>-524903.72</v>
          </cell>
        </row>
        <row r="93">
          <cell r="A93" t="str">
            <v>Alpha Electricals</v>
          </cell>
          <cell r="E93">
            <v>-15249</v>
          </cell>
        </row>
        <row r="94">
          <cell r="A94" t="str">
            <v>Alpine Exports</v>
          </cell>
          <cell r="E94">
            <v>-954003</v>
          </cell>
        </row>
        <row r="95">
          <cell r="A95" t="str">
            <v>Alteem Tech Pvt. Ltd.</v>
          </cell>
          <cell r="E95">
            <v>0.57999999999999996</v>
          </cell>
        </row>
        <row r="96">
          <cell r="A96" t="str">
            <v>Ambica Kirana Stores</v>
          </cell>
          <cell r="E96">
            <v>0</v>
          </cell>
        </row>
        <row r="97">
          <cell r="A97" t="str">
            <v>Ambica Plastic Industries 24AADFA5584EIZO</v>
          </cell>
          <cell r="E97">
            <v>-0.04</v>
          </cell>
        </row>
        <row r="98">
          <cell r="A98" t="str">
            <v>Ambica Sales Corporation</v>
          </cell>
          <cell r="E98">
            <v>-0.06</v>
          </cell>
        </row>
        <row r="99">
          <cell r="A99" t="str">
            <v>Ambika Petrochem Private Limited - Bengaluru</v>
          </cell>
          <cell r="E99">
            <v>13580345</v>
          </cell>
        </row>
        <row r="100">
          <cell r="A100" t="str">
            <v>Ambika Petrochem Private Limited - Mundra</v>
          </cell>
          <cell r="E100">
            <v>-4499</v>
          </cell>
        </row>
        <row r="101">
          <cell r="A101" t="str">
            <v>Ameriglobe LLC - Purchase</v>
          </cell>
          <cell r="E101">
            <v>0</v>
          </cell>
        </row>
        <row r="102">
          <cell r="A102" t="str">
            <v>Amit Engineering</v>
          </cell>
          <cell r="E102">
            <v>-44781</v>
          </cell>
        </row>
        <row r="103">
          <cell r="A103" t="str">
            <v>Amtek Instruments Pvt Ltd</v>
          </cell>
          <cell r="E103">
            <v>0</v>
          </cell>
        </row>
        <row r="104">
          <cell r="A104" t="str">
            <v>Anand Engineering Works</v>
          </cell>
          <cell r="E104">
            <v>0</v>
          </cell>
        </row>
        <row r="105">
          <cell r="A105" t="str">
            <v>Anand Hvac</v>
          </cell>
          <cell r="E105">
            <v>-231473</v>
          </cell>
        </row>
        <row r="106">
          <cell r="A106" t="str">
            <v>Anand Tradelink Pvt Ltd</v>
          </cell>
          <cell r="E106">
            <v>-2882</v>
          </cell>
        </row>
        <row r="107">
          <cell r="A107" t="str">
            <v>Anar Rubtech Pvt Ltd</v>
          </cell>
          <cell r="E107">
            <v>-95428.32</v>
          </cell>
        </row>
        <row r="108">
          <cell r="A108" t="str">
            <v>Anar Singh Rajput</v>
          </cell>
          <cell r="E108">
            <v>0</v>
          </cell>
        </row>
        <row r="109">
          <cell r="A109" t="str">
            <v>Anil Enterprise-Gadag</v>
          </cell>
          <cell r="E109">
            <v>634270.35</v>
          </cell>
        </row>
        <row r="110">
          <cell r="A110" t="str">
            <v>Ankit Telecom &amp; Electricals</v>
          </cell>
          <cell r="E110">
            <v>-2993.7</v>
          </cell>
        </row>
        <row r="111">
          <cell r="A111" t="str">
            <v>Ankur Chemfood Limited - Purchase</v>
          </cell>
          <cell r="E111">
            <v>-3900</v>
          </cell>
        </row>
        <row r="112">
          <cell r="A112" t="str">
            <v>Ankur Chemfood Ltd - Sales</v>
          </cell>
          <cell r="E112">
            <v>2567156.6800000002</v>
          </cell>
        </row>
        <row r="113">
          <cell r="A113" t="str">
            <v>Ansari Sahidhusen Tassawurhusen</v>
          </cell>
          <cell r="E113">
            <v>-3915</v>
          </cell>
        </row>
        <row r="114">
          <cell r="A114" t="str">
            <v>Anshita Trading Co.Pvt Ltd-Purchase</v>
          </cell>
          <cell r="E114">
            <v>-6859.72</v>
          </cell>
        </row>
        <row r="115">
          <cell r="A115" t="str">
            <v>Antarim Hotels Llp_24AAOFG7937L1ZR</v>
          </cell>
          <cell r="E115">
            <v>-6358.82</v>
          </cell>
        </row>
        <row r="116">
          <cell r="A116" t="str">
            <v>Anukampa Enterprise</v>
          </cell>
          <cell r="E116">
            <v>-23261</v>
          </cell>
        </row>
        <row r="117">
          <cell r="A117" t="str">
            <v>Anukumpa Enterprises</v>
          </cell>
          <cell r="E117">
            <v>-20111.169999999998</v>
          </cell>
        </row>
        <row r="118">
          <cell r="A118" t="str">
            <v>Anupriya Kumari</v>
          </cell>
          <cell r="E118">
            <v>0</v>
          </cell>
        </row>
        <row r="119">
          <cell r="A119" t="str">
            <v>Ap Enterprise</v>
          </cell>
          <cell r="E119">
            <v>-14491.4</v>
          </cell>
        </row>
        <row r="120">
          <cell r="A120" t="str">
            <v>Ap Trade Solutions</v>
          </cell>
          <cell r="E120">
            <v>-43500</v>
          </cell>
        </row>
        <row r="121">
          <cell r="A121" t="str">
            <v>Appl Industries Limited, Gurugram</v>
          </cell>
          <cell r="E121">
            <v>-2750</v>
          </cell>
        </row>
        <row r="122">
          <cell r="A122" t="str">
            <v>Aprirose Trading Limited (Dmcc Branch)</v>
          </cell>
          <cell r="E122">
            <v>-50936.49</v>
          </cell>
        </row>
        <row r="123">
          <cell r="A123" t="str">
            <v>Aptus Solutions</v>
          </cell>
          <cell r="E123">
            <v>20060</v>
          </cell>
        </row>
        <row r="124">
          <cell r="A124" t="str">
            <v>Aquasky Logistics Private Limited-23AAVCA7265M1ZZ</v>
          </cell>
          <cell r="E124">
            <v>0</v>
          </cell>
        </row>
        <row r="125">
          <cell r="A125" t="str">
            <v>Arabian Pipeline &amp; Services Co. Ltd (Anabeeb)</v>
          </cell>
          <cell r="E125">
            <v>511492.5</v>
          </cell>
        </row>
        <row r="126">
          <cell r="A126" t="str">
            <v>Argus Additive Plastics Gmbh</v>
          </cell>
          <cell r="E126">
            <v>-1525713</v>
          </cell>
        </row>
        <row r="127">
          <cell r="A127" t="str">
            <v>Ariah Global</v>
          </cell>
          <cell r="E127">
            <v>-153674</v>
          </cell>
        </row>
        <row r="128">
          <cell r="A128" t="str">
            <v>Aries Industries</v>
          </cell>
          <cell r="E128">
            <v>-8335</v>
          </cell>
        </row>
        <row r="129">
          <cell r="A129" t="str">
            <v>Arihant Electricals</v>
          </cell>
          <cell r="E129">
            <v>-18620</v>
          </cell>
        </row>
        <row r="130">
          <cell r="A130" t="str">
            <v>Arihant Engineers</v>
          </cell>
          <cell r="E130">
            <v>-0.4</v>
          </cell>
        </row>
        <row r="131">
          <cell r="A131" t="str">
            <v>Arihant Fire &amp; Safety Services</v>
          </cell>
          <cell r="E131">
            <v>-22873.5</v>
          </cell>
        </row>
        <row r="132">
          <cell r="A132" t="str">
            <v>Arihant Roadlines</v>
          </cell>
          <cell r="E132">
            <v>-28953</v>
          </cell>
        </row>
        <row r="133">
          <cell r="A133" t="str">
            <v>Arihant Toys</v>
          </cell>
          <cell r="E133">
            <v>615822.03</v>
          </cell>
        </row>
        <row r="134">
          <cell r="A134" t="str">
            <v>Aris Engineers</v>
          </cell>
          <cell r="E134">
            <v>-0.4</v>
          </cell>
        </row>
        <row r="135">
          <cell r="A135" t="str">
            <v>Ark Furniture Pvt Ltd</v>
          </cell>
          <cell r="E135">
            <v>-0.5</v>
          </cell>
        </row>
        <row r="136">
          <cell r="A136" t="str">
            <v>Armaan Security Services</v>
          </cell>
          <cell r="E136">
            <v>-58566</v>
          </cell>
        </row>
        <row r="137">
          <cell r="A137" t="str">
            <v>Armstrong</v>
          </cell>
          <cell r="E137">
            <v>-205244.91</v>
          </cell>
        </row>
        <row r="138">
          <cell r="A138" t="str">
            <v>Aroma Fabrics</v>
          </cell>
          <cell r="E138">
            <v>412.21</v>
          </cell>
        </row>
        <row r="139">
          <cell r="A139" t="str">
            <v>Arvind Loonkad</v>
          </cell>
          <cell r="E139">
            <v>0</v>
          </cell>
        </row>
        <row r="140">
          <cell r="A140" t="str">
            <v>ArvindSinh Jagdishsinh Rao</v>
          </cell>
          <cell r="E140">
            <v>5007</v>
          </cell>
        </row>
        <row r="141">
          <cell r="A141" t="str">
            <v>Aryan Security Services</v>
          </cell>
          <cell r="E141">
            <v>-4138</v>
          </cell>
        </row>
        <row r="142">
          <cell r="A142" t="str">
            <v>Ascent Maritime Private Limited-Gujarat</v>
          </cell>
          <cell r="E142">
            <v>-1</v>
          </cell>
        </row>
        <row r="143">
          <cell r="A143" t="str">
            <v>Ascom  Carbonate And Chemicals Manufacturing</v>
          </cell>
          <cell r="E143">
            <v>-3515.4</v>
          </cell>
        </row>
        <row r="144">
          <cell r="A144" t="str">
            <v>Ashapura  Roadlines</v>
          </cell>
          <cell r="E144">
            <v>-60</v>
          </cell>
        </row>
        <row r="145">
          <cell r="A145" t="str">
            <v>Ashapura Logistics Limited- 24AADCA4633M1ZP</v>
          </cell>
          <cell r="E145">
            <v>9771996.4700000007</v>
          </cell>
        </row>
        <row r="146">
          <cell r="A146" t="str">
            <v>Ashirvad Paper Solution</v>
          </cell>
          <cell r="E146">
            <v>-16168</v>
          </cell>
        </row>
        <row r="147">
          <cell r="A147" t="str">
            <v>Ashirwad Infocom</v>
          </cell>
          <cell r="E147">
            <v>4910.1000000000004</v>
          </cell>
        </row>
        <row r="148">
          <cell r="A148" t="str">
            <v>Ashok Raut</v>
          </cell>
          <cell r="E148">
            <v>0</v>
          </cell>
        </row>
        <row r="149">
          <cell r="A149" t="str">
            <v>Ashutosh Power Transbelts Ltd.</v>
          </cell>
          <cell r="E149">
            <v>-11812.8</v>
          </cell>
        </row>
        <row r="150">
          <cell r="A150" t="str">
            <v>Asia Bulk Sack Pvt Ltd - Sales</v>
          </cell>
          <cell r="E150">
            <v>3115200</v>
          </cell>
        </row>
        <row r="151">
          <cell r="A151" t="str">
            <v>Asia Shipping Internationaltransport Private Ltd.</v>
          </cell>
          <cell r="E151">
            <v>0</v>
          </cell>
        </row>
        <row r="152">
          <cell r="A152" t="str">
            <v>Asian Metal Industries</v>
          </cell>
          <cell r="E152">
            <v>-166783</v>
          </cell>
        </row>
        <row r="153">
          <cell r="A153" t="str">
            <v>Atc Plywood</v>
          </cell>
          <cell r="E153">
            <v>-4929</v>
          </cell>
        </row>
        <row r="154">
          <cell r="A154" t="str">
            <v>Atlantis Products Pvt Ltd</v>
          </cell>
          <cell r="E154">
            <v>2602819</v>
          </cell>
        </row>
        <row r="155">
          <cell r="A155" t="str">
            <v>Atlantis Products Pvt Ltd - Purchase</v>
          </cell>
          <cell r="E155">
            <v>-2610842.41</v>
          </cell>
        </row>
        <row r="156">
          <cell r="A156" t="str">
            <v>Atria Convergence
Technologies Limited</v>
          </cell>
          <cell r="E156">
            <v>-22318.41</v>
          </cell>
        </row>
        <row r="157">
          <cell r="A157" t="str">
            <v>Att. Bonus (Salary Part)</v>
          </cell>
          <cell r="E157">
            <v>206600</v>
          </cell>
        </row>
        <row r="158">
          <cell r="A158" t="str">
            <v>Atulkumar B. Upadhyay</v>
          </cell>
          <cell r="E158">
            <v>25000</v>
          </cell>
        </row>
        <row r="159">
          <cell r="A159" t="str">
            <v>Audit Fees</v>
          </cell>
          <cell r="E159">
            <v>34720</v>
          </cell>
        </row>
        <row r="160">
          <cell r="A160" t="str">
            <v>Aum Enterprise</v>
          </cell>
          <cell r="E160">
            <v>-48467</v>
          </cell>
        </row>
        <row r="161">
          <cell r="A161" t="str">
            <v>Aum Polypack</v>
          </cell>
          <cell r="E161">
            <v>-448767</v>
          </cell>
        </row>
        <row r="162">
          <cell r="A162" t="str">
            <v>Auriga Office Equipment</v>
          </cell>
          <cell r="E162">
            <v>-21321</v>
          </cell>
        </row>
        <row r="163">
          <cell r="A163" t="str">
            <v>Auroma Geotex Pvt Ltd - Purchase</v>
          </cell>
          <cell r="E163">
            <v>-646757.66</v>
          </cell>
        </row>
        <row r="164">
          <cell r="A164" t="str">
            <v>Austrol Nonwoven</v>
          </cell>
          <cell r="E164">
            <v>674523</v>
          </cell>
        </row>
        <row r="165">
          <cell r="A165" t="str">
            <v>Auto Bag Cleaning Machine</v>
          </cell>
          <cell r="E165">
            <v>1370420</v>
          </cell>
        </row>
        <row r="166">
          <cell r="A166" t="str">
            <v>Auto Loop Sewing Machine Model No-PS-3055</v>
          </cell>
          <cell r="E166">
            <v>2088487.5</v>
          </cell>
        </row>
        <row r="167">
          <cell r="A167" t="str">
            <v>Auto Sewing Machine- Pbas 700C</v>
          </cell>
          <cell r="E167">
            <v>8052069.2000000002</v>
          </cell>
        </row>
        <row r="168">
          <cell r="A168" t="str">
            <v>Automatic  Bag Making M/C</v>
          </cell>
          <cell r="E168">
            <v>7102207</v>
          </cell>
        </row>
        <row r="169">
          <cell r="A169" t="str">
            <v>Automatic Woven Bags Machine(Imported)</v>
          </cell>
          <cell r="E169">
            <v>1446500</v>
          </cell>
        </row>
        <row r="170">
          <cell r="A170" t="str">
            <v>Automatic Wovensack Bag Cutting &amp; Sewing Machine</v>
          </cell>
          <cell r="E170">
            <v>1532460</v>
          </cell>
        </row>
        <row r="171">
          <cell r="A171" t="str">
            <v>Avadh Manpower Solutions</v>
          </cell>
          <cell r="E171">
            <v>12228</v>
          </cell>
        </row>
        <row r="172">
          <cell r="A172" t="str">
            <v>Avee Electro Engineers</v>
          </cell>
          <cell r="E172">
            <v>-12117.1</v>
          </cell>
        </row>
        <row r="173">
          <cell r="A173" t="str">
            <v>Avient Materials India Private Limited- Gujarat</v>
          </cell>
          <cell r="E173">
            <v>-175997</v>
          </cell>
        </row>
        <row r="174">
          <cell r="A174" t="str">
            <v>Avin Enterprise</v>
          </cell>
          <cell r="E174">
            <v>-1746</v>
          </cell>
        </row>
        <row r="175">
          <cell r="A175" t="str">
            <v>Axle Steel &amp; Fasteners</v>
          </cell>
          <cell r="E175">
            <v>-43507</v>
          </cell>
        </row>
        <row r="176">
          <cell r="A176" t="str">
            <v>Ayush Enterprise</v>
          </cell>
          <cell r="E176">
            <v>332801</v>
          </cell>
        </row>
        <row r="177">
          <cell r="A177" t="str">
            <v>B.C.Saraiya &amp; Co</v>
          </cell>
          <cell r="E177">
            <v>-11033</v>
          </cell>
        </row>
        <row r="178">
          <cell r="A178" t="str">
            <v>B.K. Roadways</v>
          </cell>
          <cell r="E178">
            <v>-4000</v>
          </cell>
        </row>
        <row r="179">
          <cell r="A179" t="str">
            <v>Back Seam Woven Sack Bag Machine-GIYZ 1300</v>
          </cell>
          <cell r="E179">
            <v>12028170.539999999</v>
          </cell>
        </row>
        <row r="180">
          <cell r="A180" t="str">
            <v>Bag Making Machine.(Multi)</v>
          </cell>
          <cell r="E180">
            <v>40576326.600000001</v>
          </cell>
        </row>
        <row r="181">
          <cell r="A181" t="str">
            <v>Bajaj Allianz General Insurance Company Ltd.</v>
          </cell>
          <cell r="E181">
            <v>6</v>
          </cell>
        </row>
        <row r="182">
          <cell r="A182" t="str">
            <v>Bajrang Protection And Allied Services Pvt.Ltd</v>
          </cell>
          <cell r="E182">
            <v>0</v>
          </cell>
        </row>
        <row r="183">
          <cell r="A183" t="str">
            <v>Balance Written Back Income</v>
          </cell>
          <cell r="E183">
            <v>-1472406.48</v>
          </cell>
        </row>
        <row r="184">
          <cell r="A184" t="str">
            <v>Balance Written Off Expense</v>
          </cell>
          <cell r="E184">
            <v>-200388.76</v>
          </cell>
        </row>
        <row r="185">
          <cell r="A185" t="str">
            <v>Balcon Enterprises Inc.</v>
          </cell>
          <cell r="E185">
            <v>0.01</v>
          </cell>
        </row>
        <row r="186">
          <cell r="A186" t="str">
            <v>Baldevbhai Nagjibhai Prajapati</v>
          </cell>
          <cell r="E186">
            <v>0</v>
          </cell>
        </row>
        <row r="187">
          <cell r="A187" t="str">
            <v>Bandshow Machine A/C</v>
          </cell>
          <cell r="E187">
            <v>56302</v>
          </cell>
        </row>
        <row r="188">
          <cell r="A188" t="str">
            <v>Bank CA BOB 25380200000233</v>
          </cell>
          <cell r="E188">
            <v>0</v>
          </cell>
        </row>
        <row r="189">
          <cell r="A189" t="str">
            <v>Bank CA BOB 26160200000044</v>
          </cell>
          <cell r="E189">
            <v>0</v>
          </cell>
        </row>
        <row r="190">
          <cell r="A190" t="str">
            <v>Bank CA BOB 26160500000026</v>
          </cell>
          <cell r="E190">
            <v>-2335459.13</v>
          </cell>
        </row>
        <row r="191">
          <cell r="A191" t="str">
            <v>Bank CA HDFC 60330005840</v>
          </cell>
          <cell r="E191">
            <v>0</v>
          </cell>
        </row>
        <row r="192">
          <cell r="A192" t="str">
            <v>Bank CA HDFC 60330005874</v>
          </cell>
          <cell r="E192">
            <v>0</v>
          </cell>
        </row>
        <row r="193">
          <cell r="A193" t="str">
            <v>Bank CA SBI 31342060288</v>
          </cell>
          <cell r="E193">
            <v>0</v>
          </cell>
        </row>
        <row r="194">
          <cell r="A194" t="str">
            <v>Bank CA SBI 32649405107</v>
          </cell>
          <cell r="E194">
            <v>0</v>
          </cell>
        </row>
        <row r="195">
          <cell r="A195" t="str">
            <v>Bank CA SBI EEFC USD 40471492269</v>
          </cell>
          <cell r="E195">
            <v>4561379.5199999996</v>
          </cell>
        </row>
        <row r="196">
          <cell r="A196" t="str">
            <v>Bank CA SCB 23305127882</v>
          </cell>
          <cell r="E196">
            <v>8263.9599999999991</v>
          </cell>
        </row>
        <row r="197">
          <cell r="A197" t="str">
            <v>Bank CA SCB 23305216958</v>
          </cell>
          <cell r="E197">
            <v>0</v>
          </cell>
        </row>
        <row r="198">
          <cell r="A198" t="str">
            <v>Bank CA SCB 23391238420</v>
          </cell>
          <cell r="E198">
            <v>152580.84</v>
          </cell>
        </row>
        <row r="199">
          <cell r="A199" t="str">
            <v>Bank Cash Credit BOB 25380500000128</v>
          </cell>
          <cell r="E199">
            <v>12124.5</v>
          </cell>
        </row>
        <row r="200">
          <cell r="A200" t="str">
            <v>Bank Cash Credit Canara Bank 125009101288</v>
          </cell>
          <cell r="E200">
            <v>-40351.68</v>
          </cell>
        </row>
        <row r="201">
          <cell r="A201" t="str">
            <v>Bank Cash Credit Indian Bank 8049829692</v>
          </cell>
          <cell r="E201">
            <v>-196317722</v>
          </cell>
        </row>
        <row r="202">
          <cell r="A202" t="str">
            <v>Bank Cash Credit INDUSIND 650001188162</v>
          </cell>
          <cell r="E202">
            <v>0</v>
          </cell>
        </row>
        <row r="203">
          <cell r="A203" t="str">
            <v>Bank Cash Credit SBI 66000073295</v>
          </cell>
          <cell r="E203">
            <v>-180709321.96000001</v>
          </cell>
        </row>
        <row r="204">
          <cell r="A204" t="str">
            <v>Bank Charges -  Export Collection</v>
          </cell>
          <cell r="E204">
            <v>1930383.83</v>
          </cell>
        </row>
        <row r="205">
          <cell r="A205" t="str">
            <v>Bank Charges - Import</v>
          </cell>
          <cell r="E205">
            <v>138768.65</v>
          </cell>
        </row>
        <row r="206">
          <cell r="A206" t="str">
            <v>Bank Charges - LC</v>
          </cell>
          <cell r="E206">
            <v>353080.04</v>
          </cell>
        </row>
        <row r="207">
          <cell r="A207" t="str">
            <v>Bank Charges - Postage &amp; Swift</v>
          </cell>
          <cell r="E207">
            <v>24574</v>
          </cell>
        </row>
        <row r="208">
          <cell r="A208" t="str">
            <v>Bank Charges - Processing Fees</v>
          </cell>
          <cell r="E208">
            <v>575250</v>
          </cell>
        </row>
        <row r="209">
          <cell r="A209" t="str">
            <v>Bank Charges- Others</v>
          </cell>
          <cell r="E209">
            <v>1175623.1399999999</v>
          </cell>
        </row>
        <row r="210">
          <cell r="A210" t="str">
            <v>Bank EDFS TATA HB3216IOC0020</v>
          </cell>
          <cell r="E210">
            <v>0.75</v>
          </cell>
        </row>
        <row r="211">
          <cell r="A211" t="str">
            <v>Bank EEFC SCB 23305153697</v>
          </cell>
          <cell r="E211">
            <v>0</v>
          </cell>
        </row>
        <row r="212">
          <cell r="A212" t="str">
            <v>Bank EPC BOB 25380700000034</v>
          </cell>
          <cell r="E212">
            <v>-285771213.05000001</v>
          </cell>
        </row>
        <row r="213">
          <cell r="A213" t="str">
            <v>Bank EPC Canara Bank</v>
          </cell>
          <cell r="E213">
            <v>-95000000</v>
          </cell>
        </row>
        <row r="214">
          <cell r="A214" t="str">
            <v>Bank EPC SBI 36741261522</v>
          </cell>
          <cell r="E214">
            <v>0</v>
          </cell>
        </row>
        <row r="215">
          <cell r="A215" t="str">
            <v>Bank EPC SBI 40448753388</v>
          </cell>
          <cell r="E215">
            <v>50000.82</v>
          </cell>
        </row>
        <row r="216">
          <cell r="A216" t="str">
            <v>Bank EPC SCB</v>
          </cell>
          <cell r="E216">
            <v>0</v>
          </cell>
        </row>
        <row r="217">
          <cell r="A217" t="str">
            <v>Bank ESCROW SBI 36996709856</v>
          </cell>
          <cell r="E217">
            <v>0</v>
          </cell>
        </row>
        <row r="218">
          <cell r="A218" t="str">
            <v>Bank FDR BOB 03240300032879</v>
          </cell>
          <cell r="E218">
            <v>6926298</v>
          </cell>
        </row>
        <row r="219">
          <cell r="A219" t="str">
            <v>Bank FDR BOB 03240300037151</v>
          </cell>
          <cell r="E219">
            <v>2818283</v>
          </cell>
        </row>
        <row r="220">
          <cell r="A220" t="str">
            <v>Bank FDR BOB 25380300003960</v>
          </cell>
          <cell r="E220">
            <v>463324</v>
          </cell>
        </row>
        <row r="221">
          <cell r="A221" t="str">
            <v>Bank FDR BOB 73280300000509</v>
          </cell>
          <cell r="E221">
            <v>948613</v>
          </cell>
        </row>
        <row r="222">
          <cell r="A222" t="str">
            <v>Bank FDR BOB 73280300000618</v>
          </cell>
          <cell r="E222">
            <v>1256424</v>
          </cell>
        </row>
        <row r="223">
          <cell r="A223" t="str">
            <v>Bank Fdr Indian Bank 0965285</v>
          </cell>
          <cell r="E223">
            <v>3200000</v>
          </cell>
        </row>
        <row r="224">
          <cell r="A224" t="str">
            <v>Bank Fdr Indian Bank 0965286</v>
          </cell>
          <cell r="E224">
            <v>0</v>
          </cell>
        </row>
        <row r="225">
          <cell r="A225" t="str">
            <v>Bank FDR SBI 40514841895</v>
          </cell>
          <cell r="E225">
            <v>547855</v>
          </cell>
        </row>
        <row r="226">
          <cell r="A226" t="str">
            <v>Bank FDR SBI 41644356744</v>
          </cell>
          <cell r="E226">
            <v>1592285</v>
          </cell>
        </row>
        <row r="227">
          <cell r="A227" t="str">
            <v>Bank FDR SBI 41644425993</v>
          </cell>
          <cell r="E227">
            <v>960335</v>
          </cell>
        </row>
        <row r="228">
          <cell r="A228" t="str">
            <v>Bank FDR SBI 42199704020</v>
          </cell>
          <cell r="E228">
            <v>1912884</v>
          </cell>
        </row>
        <row r="229">
          <cell r="A229" t="str">
            <v>Bank FDR SBI 42660242561</v>
          </cell>
          <cell r="E229">
            <v>531361</v>
          </cell>
        </row>
        <row r="230">
          <cell r="A230" t="str">
            <v>Bank FDR SBI 42994387131</v>
          </cell>
          <cell r="E230">
            <v>3080143</v>
          </cell>
        </row>
        <row r="231">
          <cell r="A231" t="str">
            <v>Bank FDR SBI 67272203912</v>
          </cell>
          <cell r="E231">
            <v>767967</v>
          </cell>
        </row>
        <row r="232">
          <cell r="A232" t="str">
            <v>Bank FDR SIDBI GDMFD02500</v>
          </cell>
          <cell r="E232">
            <v>20037387</v>
          </cell>
        </row>
        <row r="233">
          <cell r="A233" t="str">
            <v>Bank Of Baroda - 24AAACB1534F2ZB</v>
          </cell>
          <cell r="E233">
            <v>-872148.65</v>
          </cell>
        </row>
        <row r="234">
          <cell r="A234" t="str">
            <v>Bank Of Baroda - 27AAACB1534F2Z5</v>
          </cell>
          <cell r="E234">
            <v>-9127.2999999999993</v>
          </cell>
        </row>
        <row r="235">
          <cell r="A235" t="str">
            <v>Bank Overdraft BOB 03240400000456</v>
          </cell>
          <cell r="E235">
            <v>-295244034.29000002</v>
          </cell>
        </row>
        <row r="236">
          <cell r="A236" t="str">
            <v>Bank PCFC BOB - EURO</v>
          </cell>
          <cell r="E236">
            <v>0</v>
          </cell>
        </row>
        <row r="237">
          <cell r="A237" t="str">
            <v>Bank PCFC BOB-25380700000040- USD</v>
          </cell>
          <cell r="E237">
            <v>5.93</v>
          </cell>
        </row>
        <row r="238">
          <cell r="A238" t="str">
            <v>Bank PCFC SBI - EURO</v>
          </cell>
          <cell r="E238">
            <v>0</v>
          </cell>
        </row>
        <row r="239">
          <cell r="A239" t="str">
            <v>Bank PCFC SBI - USD</v>
          </cell>
          <cell r="E239">
            <v>0</v>
          </cell>
        </row>
        <row r="240">
          <cell r="A240" t="str">
            <v>Bank PCFC SBI 31718812533</v>
          </cell>
          <cell r="E240">
            <v>0</v>
          </cell>
        </row>
        <row r="241">
          <cell r="A241" t="str">
            <v>Bank Term Loan Bank Of Maharashtra 60410654531</v>
          </cell>
          <cell r="E241">
            <v>-16883589.539999999</v>
          </cell>
        </row>
        <row r="242">
          <cell r="A242" t="str">
            <v>Bank Term Loan BOB Covid Ac No.73280600000042</v>
          </cell>
          <cell r="E242">
            <v>-20250003</v>
          </cell>
        </row>
        <row r="243">
          <cell r="A243" t="str">
            <v>Bank Term Loan BOB Covid Ac No.73280600000043</v>
          </cell>
          <cell r="E243">
            <v>-40450018</v>
          </cell>
        </row>
        <row r="244">
          <cell r="A244" t="str">
            <v>Bank Term Loan Sidbi A/C No : D0005bm7</v>
          </cell>
          <cell r="E244">
            <v>-27808000</v>
          </cell>
        </row>
        <row r="245">
          <cell r="A245" t="str">
            <v>Bank Term Loan Tata Cap 6263338 - 15 Cr</v>
          </cell>
          <cell r="E245">
            <v>-31661330</v>
          </cell>
        </row>
        <row r="246">
          <cell r="A246" t="str">
            <v>Banner Engineering India Pvt Ltd</v>
          </cell>
          <cell r="E246">
            <v>0</v>
          </cell>
        </row>
        <row r="247">
          <cell r="A247" t="str">
            <v>Banwari Phoolchand Gupta</v>
          </cell>
          <cell r="E247">
            <v>0</v>
          </cell>
        </row>
        <row r="248">
          <cell r="A248" t="str">
            <v>Banwarilal S Chauhan</v>
          </cell>
          <cell r="E248">
            <v>-51439</v>
          </cell>
        </row>
        <row r="249">
          <cell r="A249" t="str">
            <v>Barell &amp; Carret</v>
          </cell>
          <cell r="E249">
            <v>430512</v>
          </cell>
        </row>
        <row r="250">
          <cell r="A250" t="str">
            <v>Basell International Trading Fze</v>
          </cell>
          <cell r="E250">
            <v>-41654.32</v>
          </cell>
        </row>
        <row r="251">
          <cell r="A251" t="str">
            <v>Baviskar Sales &amp; Service</v>
          </cell>
          <cell r="E251">
            <v>-0.2</v>
          </cell>
        </row>
        <row r="252">
          <cell r="A252" t="str">
            <v>Bdp Ugl Global Logistics (India) Pvt Ltd</v>
          </cell>
          <cell r="E252">
            <v>0</v>
          </cell>
        </row>
        <row r="253">
          <cell r="A253" t="str">
            <v>Beamer Leesona (Head)</v>
          </cell>
          <cell r="E253">
            <v>1061735</v>
          </cell>
        </row>
        <row r="254">
          <cell r="A254" t="str">
            <v>Belt Cutting Machine</v>
          </cell>
          <cell r="E254">
            <v>1358580</v>
          </cell>
        </row>
        <row r="255">
          <cell r="A255" t="str">
            <v>Belt Die</v>
          </cell>
          <cell r="E255">
            <v>16200</v>
          </cell>
        </row>
        <row r="256">
          <cell r="A256" t="str">
            <v>Beta Computronics Pvt Ltd</v>
          </cell>
          <cell r="E256">
            <v>-19494</v>
          </cell>
        </row>
        <row r="257">
          <cell r="A257" t="str">
            <v>Bhagwati  Impex</v>
          </cell>
          <cell r="E257">
            <v>-452682</v>
          </cell>
        </row>
        <row r="258">
          <cell r="A258" t="str">
            <v>Bhagwati Sales Agencies</v>
          </cell>
          <cell r="E258">
            <v>-25583</v>
          </cell>
        </row>
        <row r="259">
          <cell r="A259" t="str">
            <v>Bhanu Pv Solar Pvt Ltd</v>
          </cell>
          <cell r="E259">
            <v>29160079.879999999</v>
          </cell>
        </row>
        <row r="260">
          <cell r="A260" t="str">
            <v>Bharat Sanchar Nigam Limited</v>
          </cell>
          <cell r="E260">
            <v>1553.54</v>
          </cell>
        </row>
        <row r="261">
          <cell r="A261" t="str">
            <v>Bharti Airtel Limited</v>
          </cell>
          <cell r="E261">
            <v>0.83</v>
          </cell>
        </row>
        <row r="262">
          <cell r="A262" t="str">
            <v>Bheem Sen</v>
          </cell>
          <cell r="E262">
            <v>40000</v>
          </cell>
        </row>
        <row r="263">
          <cell r="A263" t="str">
            <v>Bhopal Fund Deposit A/c</v>
          </cell>
          <cell r="E263">
            <v>112000</v>
          </cell>
        </row>
        <row r="264">
          <cell r="A264" t="str">
            <v>Bhudeva Polymers Private Ltd- Customer</v>
          </cell>
          <cell r="E264">
            <v>15739078</v>
          </cell>
        </row>
        <row r="265">
          <cell r="A265" t="str">
            <v>Bhumi Corporation</v>
          </cell>
          <cell r="E265">
            <v>-105350</v>
          </cell>
        </row>
        <row r="266">
          <cell r="A266" t="str">
            <v>Bhushn Kumar</v>
          </cell>
          <cell r="E266">
            <v>99999.5</v>
          </cell>
        </row>
        <row r="267">
          <cell r="A267" t="str">
            <v>Big Bags Disaka S.L.</v>
          </cell>
          <cell r="E267">
            <v>-16124.36</v>
          </cell>
        </row>
        <row r="268">
          <cell r="A268" t="str">
            <v>Bill Of Exchange - M1 Exchange</v>
          </cell>
          <cell r="E268">
            <v>-26898464.030000001</v>
          </cell>
        </row>
        <row r="269">
          <cell r="A269" t="str">
            <v>Bill of Exchange-SBI</v>
          </cell>
          <cell r="E269">
            <v>-59928274.990000002</v>
          </cell>
        </row>
        <row r="270">
          <cell r="A270" t="str">
            <v>Bineet Kumar Mishra -Impress  A/C</v>
          </cell>
          <cell r="E270">
            <v>4000</v>
          </cell>
        </row>
        <row r="271">
          <cell r="A271" t="str">
            <v>Bio X</v>
          </cell>
          <cell r="E271">
            <v>0.2</v>
          </cell>
        </row>
        <row r="272">
          <cell r="A272" t="str">
            <v>Biswanath Sarkar - Traveling Advance</v>
          </cell>
          <cell r="E272">
            <v>4604</v>
          </cell>
        </row>
        <row r="273">
          <cell r="A273" t="str">
            <v>Blackstone Shipping Private Limited - Maharashtra</v>
          </cell>
          <cell r="E273">
            <v>12</v>
          </cell>
        </row>
        <row r="274">
          <cell r="A274" t="str">
            <v>Blaze Net Ltd.</v>
          </cell>
          <cell r="E274">
            <v>-6376</v>
          </cell>
        </row>
        <row r="275">
          <cell r="A275" t="str">
            <v>Bloflex Surgical Industries</v>
          </cell>
          <cell r="E275">
            <v>-60291</v>
          </cell>
        </row>
        <row r="276">
          <cell r="A276" t="str">
            <v>Blower Machine</v>
          </cell>
          <cell r="E276">
            <v>69758</v>
          </cell>
        </row>
        <row r="277">
          <cell r="A277" t="str">
            <v>Blower Machine-1X-1150</v>
          </cell>
          <cell r="E277">
            <v>54817</v>
          </cell>
        </row>
        <row r="278">
          <cell r="A278" t="str">
            <v>Bluemoon Logistics Pvt Ltd - Gujarat</v>
          </cell>
          <cell r="E278">
            <v>-27482</v>
          </cell>
        </row>
        <row r="279">
          <cell r="A279" t="str">
            <v>Bluepack A/S</v>
          </cell>
          <cell r="E279">
            <v>0.01</v>
          </cell>
        </row>
        <row r="280">
          <cell r="A280" t="str">
            <v>Bmw 320Ld Sedan</v>
          </cell>
          <cell r="E280">
            <v>5673027</v>
          </cell>
        </row>
        <row r="281">
          <cell r="A281" t="str">
            <v>Bmw Car Loan Indian Bank -7990123376</v>
          </cell>
          <cell r="E281">
            <v>-4071812</v>
          </cell>
        </row>
        <row r="282">
          <cell r="A282" t="str">
            <v>BOB BECLGS Loan 73280600000193</v>
          </cell>
          <cell r="E282">
            <v>-73672468</v>
          </cell>
        </row>
        <row r="283">
          <cell r="A283" t="str">
            <v>Bobbin Cutting Machine</v>
          </cell>
          <cell r="E283">
            <v>469118</v>
          </cell>
        </row>
        <row r="284">
          <cell r="A284" t="str">
            <v>Bobbin Rack</v>
          </cell>
          <cell r="E284">
            <v>420328.8</v>
          </cell>
        </row>
        <row r="285">
          <cell r="A285" t="str">
            <v>Boiler</v>
          </cell>
          <cell r="E285">
            <v>3215109</v>
          </cell>
        </row>
        <row r="286">
          <cell r="A286" t="str">
            <v>Bom Term Loan A/C 73280600000174</v>
          </cell>
          <cell r="E286">
            <v>-60362860</v>
          </cell>
        </row>
        <row r="287">
          <cell r="A287" t="str">
            <v>Bombay Fire Safety</v>
          </cell>
          <cell r="E287">
            <v>-10383</v>
          </cell>
        </row>
        <row r="288">
          <cell r="A288" t="str">
            <v>Bonus Expense</v>
          </cell>
          <cell r="E288">
            <v>441202</v>
          </cell>
        </row>
        <row r="289">
          <cell r="A289" t="str">
            <v>Bonus Payable</v>
          </cell>
          <cell r="E289">
            <v>-3398669</v>
          </cell>
        </row>
        <row r="290">
          <cell r="A290" t="str">
            <v>Bonus Plastics Private Limited - Purchase</v>
          </cell>
          <cell r="E290">
            <v>0</v>
          </cell>
        </row>
        <row r="291">
          <cell r="A291" t="str">
            <v>Box Strapping Machine</v>
          </cell>
          <cell r="E291">
            <v>31200</v>
          </cell>
        </row>
        <row r="292">
          <cell r="A292" t="str">
            <v>BP Lubricants Pvt Ltd</v>
          </cell>
          <cell r="E292">
            <v>-1260806</v>
          </cell>
        </row>
        <row r="293">
          <cell r="A293" t="str">
            <v>Brahmani Graphics</v>
          </cell>
          <cell r="E293">
            <v>-353006.01</v>
          </cell>
        </row>
        <row r="294">
          <cell r="A294" t="str">
            <v>Brahmani Labels</v>
          </cell>
          <cell r="E294">
            <v>-435227.01</v>
          </cell>
        </row>
        <row r="295">
          <cell r="A295" t="str">
            <v>Brahmani Printers</v>
          </cell>
          <cell r="E295">
            <v>-219712.8</v>
          </cell>
        </row>
        <row r="296">
          <cell r="A296" t="str">
            <v>Branch Transfer In - Packing Material</v>
          </cell>
          <cell r="E296">
            <v>101712</v>
          </cell>
        </row>
        <row r="297">
          <cell r="A297" t="str">
            <v>Branch Transfer In - Raw Material</v>
          </cell>
          <cell r="E297">
            <v>131934901.8</v>
          </cell>
        </row>
        <row r="298">
          <cell r="A298" t="str">
            <v>Branch Transfer In - Stores, Spares &amp; Consumable</v>
          </cell>
          <cell r="E298">
            <v>52930.32</v>
          </cell>
        </row>
        <row r="299">
          <cell r="A299" t="str">
            <v>Branch Transfer In - Trading</v>
          </cell>
          <cell r="E299">
            <v>57596</v>
          </cell>
        </row>
        <row r="300">
          <cell r="A300" t="str">
            <v>Branch Transfer Out - Raw Material</v>
          </cell>
          <cell r="E300">
            <v>-81054628.010000005</v>
          </cell>
        </row>
        <row r="301">
          <cell r="A301" t="str">
            <v>Branch Transfer Out - Stores, Spares &amp; Consumable</v>
          </cell>
          <cell r="E301">
            <v>-79192.399999999994</v>
          </cell>
        </row>
        <row r="302">
          <cell r="A302" t="str">
            <v>Branch Transfer Out - Trading</v>
          </cell>
          <cell r="E302">
            <v>-57613692.859999999</v>
          </cell>
        </row>
        <row r="303">
          <cell r="A303" t="str">
            <v>Bravin Logistics LLP</v>
          </cell>
          <cell r="E303">
            <v>1542.3</v>
          </cell>
        </row>
        <row r="304">
          <cell r="A304" t="str">
            <v>Bright Rubber</v>
          </cell>
          <cell r="E304">
            <v>-11894</v>
          </cell>
        </row>
        <row r="305">
          <cell r="A305" t="str">
            <v>Brokerage &amp; Commission Expense</v>
          </cell>
          <cell r="E305">
            <v>400000</v>
          </cell>
        </row>
        <row r="306">
          <cell r="A306" t="str">
            <v>Bst Eltromat India Private Limited</v>
          </cell>
          <cell r="E306">
            <v>-355</v>
          </cell>
        </row>
        <row r="307">
          <cell r="A307" t="str">
            <v>BTC Engineering</v>
          </cell>
          <cell r="E307">
            <v>6.1</v>
          </cell>
        </row>
        <row r="308">
          <cell r="A308" t="str">
            <v>Bubblefine Polypack Private Limited</v>
          </cell>
          <cell r="E308">
            <v>1788581</v>
          </cell>
        </row>
        <row r="309">
          <cell r="A309" t="str">
            <v>Bus-Tata Starbus [Grt-4713]</v>
          </cell>
          <cell r="E309">
            <v>1507580</v>
          </cell>
        </row>
        <row r="310">
          <cell r="A310" t="str">
            <v>C &amp; F  Charges  - Import</v>
          </cell>
          <cell r="E310">
            <v>707562.84</v>
          </cell>
        </row>
        <row r="311">
          <cell r="A311" t="str">
            <v>C &amp; F  Charges - Export</v>
          </cell>
          <cell r="E311">
            <v>-1654870.66</v>
          </cell>
        </row>
        <row r="312">
          <cell r="A312" t="str">
            <v>C &amp; F Charges - Detention Outward</v>
          </cell>
          <cell r="E312">
            <v>124499.5</v>
          </cell>
        </row>
        <row r="313">
          <cell r="A313" t="str">
            <v>C B Logistics</v>
          </cell>
          <cell r="E313">
            <v>-5974</v>
          </cell>
        </row>
        <row r="314">
          <cell r="A314" t="str">
            <v>C. H. Robinson Worldwide Freight India Pvt Ltd-Ahmedabad</v>
          </cell>
          <cell r="E314">
            <v>493</v>
          </cell>
        </row>
        <row r="315">
          <cell r="A315" t="str">
            <v>C. Trivedi &amp; Co.</v>
          </cell>
          <cell r="E315">
            <v>-1415.58</v>
          </cell>
        </row>
        <row r="316">
          <cell r="A316" t="str">
            <v>C.H. Robinson Worldwide Freight India Pvt. Ltd.- Maharashtra</v>
          </cell>
          <cell r="E316">
            <v>-493</v>
          </cell>
        </row>
        <row r="317">
          <cell r="A317" t="str">
            <v>Calco Poly Compounds Pvt Ltd</v>
          </cell>
          <cell r="E317">
            <v>-5327.16</v>
          </cell>
        </row>
        <row r="318">
          <cell r="A318" t="str">
            <v>Camera</v>
          </cell>
          <cell r="E318">
            <v>2584785.04</v>
          </cell>
        </row>
        <row r="319">
          <cell r="A319" t="str">
            <v>Canteen Expense - Factory</v>
          </cell>
          <cell r="E319">
            <v>1061546.22</v>
          </cell>
        </row>
        <row r="320">
          <cell r="A320" t="str">
            <v>Canteen Expense - Office</v>
          </cell>
          <cell r="E320">
            <v>12892</v>
          </cell>
        </row>
        <row r="321">
          <cell r="A321" t="str">
            <v>Capacitor</v>
          </cell>
          <cell r="E321">
            <v>260046</v>
          </cell>
        </row>
        <row r="322">
          <cell r="A322" t="str">
            <v>Capital Engraving</v>
          </cell>
          <cell r="E322">
            <v>-575539</v>
          </cell>
        </row>
        <row r="323">
          <cell r="A323" t="str">
            <v>Car - BYD Atton03 Dymamic</v>
          </cell>
          <cell r="E323">
            <v>2649156</v>
          </cell>
        </row>
        <row r="324">
          <cell r="A324" t="str">
            <v>Car - Corolla Altis D-4D G GJ02DA3605</v>
          </cell>
          <cell r="E324">
            <v>1913449</v>
          </cell>
        </row>
        <row r="325">
          <cell r="A325" t="str">
            <v>Car - Honda Amaze 1.5 V Cvt I-DTEC GJ02DA3373</v>
          </cell>
          <cell r="E325">
            <v>964082</v>
          </cell>
        </row>
        <row r="326">
          <cell r="A326" t="str">
            <v>Car - Hyundai Santro Gls</v>
          </cell>
          <cell r="E326">
            <v>477049</v>
          </cell>
        </row>
        <row r="327">
          <cell r="A327" t="str">
            <v>Car - Indigo (Gj12 T 4713)</v>
          </cell>
          <cell r="E327">
            <v>531020</v>
          </cell>
        </row>
        <row r="328">
          <cell r="A328" t="str">
            <v>Car - Maruti New Dzire Vxi BSvi-DRR4DVA00</v>
          </cell>
          <cell r="E328">
            <v>733185</v>
          </cell>
        </row>
        <row r="329">
          <cell r="A329" t="str">
            <v>Car - Maruti Suzuki Swift Dzire Ldi Bs Iv  (Gj-01-Re-4984)</v>
          </cell>
          <cell r="E329">
            <v>629656</v>
          </cell>
        </row>
        <row r="330">
          <cell r="A330" t="str">
            <v>Car - Optra (Gj12 Ae 1836)</v>
          </cell>
          <cell r="E330">
            <v>858373</v>
          </cell>
        </row>
        <row r="331">
          <cell r="A331" t="str">
            <v>Car - Ritz Vdi Bs Iv - (Maruti)</v>
          </cell>
          <cell r="E331">
            <v>561263</v>
          </cell>
        </row>
        <row r="332">
          <cell r="A332" t="str">
            <v>Car - Volkswagon Passat - Gj 1 Ka 2163</v>
          </cell>
          <cell r="E332">
            <v>2592738</v>
          </cell>
        </row>
        <row r="333">
          <cell r="A333" t="str">
            <v>Car – Mahindra XUV700 GJ01WK4063</v>
          </cell>
          <cell r="E333">
            <v>2746750.99</v>
          </cell>
        </row>
        <row r="334">
          <cell r="A334" t="str">
            <v>Card Scan Executive  - 800C</v>
          </cell>
          <cell r="E334">
            <v>13500</v>
          </cell>
        </row>
        <row r="335">
          <cell r="A335" t="str">
            <v>Care Drinking Water Pvt Ltd</v>
          </cell>
          <cell r="E335">
            <v>-1960</v>
          </cell>
        </row>
        <row r="336">
          <cell r="A336" t="str">
            <v>Cargotrans Maritime Private Limited</v>
          </cell>
          <cell r="E336">
            <v>-52103</v>
          </cell>
        </row>
        <row r="337">
          <cell r="A337" t="str">
            <v>Cash in Hand-Factory</v>
          </cell>
          <cell r="E337">
            <v>136374.69</v>
          </cell>
        </row>
        <row r="338">
          <cell r="A338" t="str">
            <v>Cash in Hand-HO</v>
          </cell>
          <cell r="E338">
            <v>140230</v>
          </cell>
        </row>
        <row r="339">
          <cell r="A339" t="str">
            <v>Cash on Hand - Foreign Currency</v>
          </cell>
          <cell r="E339">
            <v>35450.550000000003</v>
          </cell>
        </row>
        <row r="340">
          <cell r="A340" t="str">
            <v>CC American Express_3769 398975 82032</v>
          </cell>
          <cell r="E340">
            <v>-255381</v>
          </cell>
        </row>
        <row r="341">
          <cell r="A341" t="str">
            <v>CC Amex Anil Goyal 61002 Platinium</v>
          </cell>
          <cell r="E341">
            <v>0</v>
          </cell>
        </row>
        <row r="342">
          <cell r="A342" t="str">
            <v>CC Amex Madhu Parekh 1003 Platinium</v>
          </cell>
          <cell r="E342">
            <v>0</v>
          </cell>
        </row>
        <row r="343">
          <cell r="A343" t="str">
            <v>CC Amex Prakash Parekh 71008 Metal</v>
          </cell>
          <cell r="E343">
            <v>0.45</v>
          </cell>
        </row>
        <row r="344">
          <cell r="A344" t="str">
            <v>CC Axis Flipkart Madhu Parekh 6057</v>
          </cell>
          <cell r="E344">
            <v>0</v>
          </cell>
        </row>
        <row r="345">
          <cell r="A345" t="str">
            <v>CC Axis Prakash Parekh 1362 Magnus</v>
          </cell>
          <cell r="E345">
            <v>0</v>
          </cell>
        </row>
        <row r="346">
          <cell r="A346" t="str">
            <v>CC Axis Spicejet Card 4366010000014703</v>
          </cell>
          <cell r="E346">
            <v>0</v>
          </cell>
        </row>
        <row r="347">
          <cell r="A347" t="str">
            <v>Cc Bob Prakash Parekh Card No 1579</v>
          </cell>
          <cell r="E347">
            <v>0</v>
          </cell>
        </row>
        <row r="348">
          <cell r="A348" t="str">
            <v>CC Citi Prakash Parekh 9022</v>
          </cell>
          <cell r="E348">
            <v>0</v>
          </cell>
        </row>
        <row r="349">
          <cell r="A349" t="str">
            <v>Cc Dhrumil Shah Adani One 1008</v>
          </cell>
          <cell r="E349">
            <v>0</v>
          </cell>
        </row>
        <row r="350">
          <cell r="A350" t="str">
            <v>Cc Hdfc Aman Parekh 2436</v>
          </cell>
          <cell r="E350">
            <v>250000</v>
          </cell>
        </row>
        <row r="351">
          <cell r="A351" t="str">
            <v>Cc Hdfc Anil Goyal 2981</v>
          </cell>
          <cell r="E351">
            <v>0</v>
          </cell>
        </row>
        <row r="352">
          <cell r="A352" t="str">
            <v>CC HDFC Dilendra Singh 5770 Corp</v>
          </cell>
          <cell r="E352">
            <v>745</v>
          </cell>
        </row>
        <row r="353">
          <cell r="A353" t="str">
            <v>Cc Hdfc Plastene India Limited 1126</v>
          </cell>
          <cell r="E353">
            <v>13000</v>
          </cell>
        </row>
        <row r="354">
          <cell r="A354" t="str">
            <v>Cc Hdfc Plastene India Limited 6042</v>
          </cell>
          <cell r="E354">
            <v>34916</v>
          </cell>
        </row>
        <row r="355">
          <cell r="A355" t="str">
            <v>Cc Hdfc Plastene Polyfilms Limited 9891</v>
          </cell>
          <cell r="E355">
            <v>0</v>
          </cell>
        </row>
        <row r="356">
          <cell r="A356" t="str">
            <v>Cc Hdfc Prakash Parekh 6009</v>
          </cell>
          <cell r="E356">
            <v>0</v>
          </cell>
        </row>
        <row r="357">
          <cell r="A357" t="str">
            <v>Cc Hdfc Prakash Parekh 8529</v>
          </cell>
          <cell r="E357">
            <v>0</v>
          </cell>
        </row>
        <row r="358">
          <cell r="A358" t="str">
            <v>CC HDFC Pritesh Parekh 1005 Forex</v>
          </cell>
          <cell r="E358">
            <v>731.68</v>
          </cell>
        </row>
        <row r="359">
          <cell r="A359" t="str">
            <v>Cc Hscb Bank Sunny Chauhan 0614</v>
          </cell>
          <cell r="E359">
            <v>0</v>
          </cell>
        </row>
        <row r="360">
          <cell r="A360" t="str">
            <v>CC ICICI Manish Banthia 3009</v>
          </cell>
          <cell r="E360">
            <v>-181000</v>
          </cell>
        </row>
        <row r="361">
          <cell r="A361" t="str">
            <v>CC ICICI Prakash Parekh 37000</v>
          </cell>
          <cell r="E361">
            <v>0</v>
          </cell>
        </row>
        <row r="362">
          <cell r="A362" t="str">
            <v>CC ICICI Prakash Parekh 6006</v>
          </cell>
          <cell r="E362">
            <v>0</v>
          </cell>
        </row>
        <row r="363">
          <cell r="A363" t="str">
            <v>CC ICICI Tarachand Purohit 38008</v>
          </cell>
          <cell r="E363">
            <v>0.01</v>
          </cell>
        </row>
        <row r="364">
          <cell r="A364" t="str">
            <v>CC ICICI Tarachand Purohit 4007</v>
          </cell>
          <cell r="E364">
            <v>-2253699.5099999998</v>
          </cell>
        </row>
        <row r="365">
          <cell r="A365" t="str">
            <v>Cc Icici Tarachand Purohit 8009</v>
          </cell>
          <cell r="E365">
            <v>0.01</v>
          </cell>
        </row>
        <row r="366">
          <cell r="A366" t="str">
            <v>Cc Idfc Prakash Parekh 8703</v>
          </cell>
          <cell r="E366">
            <v>0</v>
          </cell>
        </row>
        <row r="367">
          <cell r="A367" t="str">
            <v>Cc Indusind Madhu Prakash 3578</v>
          </cell>
          <cell r="E367">
            <v>0</v>
          </cell>
        </row>
        <row r="368">
          <cell r="A368" t="str">
            <v>Cc Prakash Pareskh Amex 2008</v>
          </cell>
          <cell r="E368">
            <v>0</v>
          </cell>
        </row>
        <row r="369">
          <cell r="A369" t="str">
            <v>Cc Rbl Manish Banthia 3265</v>
          </cell>
          <cell r="E369">
            <v>-1298120</v>
          </cell>
        </row>
        <row r="370">
          <cell r="A370" t="str">
            <v>Cc Rbl Manish Banthia 4035</v>
          </cell>
          <cell r="E370">
            <v>-2999790</v>
          </cell>
        </row>
        <row r="371">
          <cell r="A371" t="str">
            <v>Cc Rbl Manish Banthia 8378</v>
          </cell>
          <cell r="E371">
            <v>-4993707</v>
          </cell>
        </row>
        <row r="372">
          <cell r="A372" t="str">
            <v>CC SBI Madhu Parekh 7085</v>
          </cell>
          <cell r="E372">
            <v>0</v>
          </cell>
        </row>
        <row r="373">
          <cell r="A373" t="str">
            <v>CC SBI Prakash Parekh 2266</v>
          </cell>
          <cell r="E373">
            <v>0</v>
          </cell>
        </row>
        <row r="374">
          <cell r="A374" t="str">
            <v>CC SCB Anil Goyal 5603</v>
          </cell>
          <cell r="E374">
            <v>791</v>
          </cell>
        </row>
        <row r="375">
          <cell r="A375" t="str">
            <v>CC Thomas Coock - Anil 8889  Forex</v>
          </cell>
          <cell r="E375">
            <v>29664.82</v>
          </cell>
        </row>
        <row r="376">
          <cell r="A376" t="str">
            <v>CC Thomas Coock - Anil Mistry 2498  Forex</v>
          </cell>
          <cell r="E376">
            <v>90360.81</v>
          </cell>
        </row>
        <row r="377">
          <cell r="A377" t="str">
            <v>CC Thomas Cook Aman 6426 Forex</v>
          </cell>
          <cell r="E377">
            <v>28905.200000000001</v>
          </cell>
        </row>
        <row r="378">
          <cell r="A378" t="str">
            <v>CC Thomas Cook Anvi 3854 Forex</v>
          </cell>
          <cell r="E378">
            <v>30630</v>
          </cell>
        </row>
        <row r="379">
          <cell r="A379" t="str">
            <v>CC Thomas Cook Pritesh Parekh 4609 Forex</v>
          </cell>
          <cell r="E379">
            <v>646878.16</v>
          </cell>
        </row>
        <row r="380">
          <cell r="A380" t="str">
            <v>CCTV Camera &amp; Accessories</v>
          </cell>
          <cell r="E380">
            <v>1570134.83</v>
          </cell>
        </row>
        <row r="381">
          <cell r="A381" t="str">
            <v>Centre Pouch Packing Machine</v>
          </cell>
          <cell r="E381">
            <v>686520</v>
          </cell>
        </row>
        <row r="382">
          <cell r="A382" t="str">
            <v>Century Fibc</v>
          </cell>
          <cell r="E382">
            <v>-205133.69</v>
          </cell>
        </row>
        <row r="383">
          <cell r="A383" t="str">
            <v>Cess Technology Company</v>
          </cell>
          <cell r="E383">
            <v>-5948</v>
          </cell>
        </row>
        <row r="384">
          <cell r="A384" t="str">
            <v>Cesur France</v>
          </cell>
          <cell r="E384">
            <v>3303022.54</v>
          </cell>
        </row>
        <row r="385">
          <cell r="A385" t="str">
            <v>Cesur Latam Sac</v>
          </cell>
          <cell r="E385">
            <v>0.04</v>
          </cell>
        </row>
        <row r="386">
          <cell r="A386" t="str">
            <v>Cesur Packaging Benelux Bv</v>
          </cell>
          <cell r="E386">
            <v>5211461.92</v>
          </cell>
        </row>
        <row r="387">
          <cell r="A387" t="str">
            <v>Cesur Packaging Bulgaria Ltd.</v>
          </cell>
          <cell r="E387">
            <v>-30423.84</v>
          </cell>
        </row>
        <row r="388">
          <cell r="A388" t="str">
            <v>Cesur Usa, Llc</v>
          </cell>
          <cell r="E388">
            <v>3175776.71</v>
          </cell>
        </row>
        <row r="389">
          <cell r="A389" t="str">
            <v>Cg 1 Hp Mini Master-1 Monoblock</v>
          </cell>
          <cell r="E389">
            <v>2525</v>
          </cell>
        </row>
        <row r="390">
          <cell r="A390" t="str">
            <v>CGST Input</v>
          </cell>
          <cell r="E390">
            <v>32355915.530000001</v>
          </cell>
        </row>
        <row r="391">
          <cell r="A391" t="str">
            <v>CGST Output A/c</v>
          </cell>
          <cell r="E391">
            <v>-20910513.539999999</v>
          </cell>
        </row>
        <row r="392">
          <cell r="A392" t="str">
            <v>Champion Sterling Manufacturing Pvt Ltd</v>
          </cell>
          <cell r="E392">
            <v>-5699</v>
          </cell>
        </row>
        <row r="393">
          <cell r="A393" t="str">
            <v>Chamunda Scrap Traders</v>
          </cell>
          <cell r="E393">
            <v>0.04</v>
          </cell>
        </row>
        <row r="394">
          <cell r="A394" t="str">
            <v>Chandan Electric Store</v>
          </cell>
          <cell r="E394">
            <v>-27435</v>
          </cell>
        </row>
        <row r="395">
          <cell r="A395" t="str">
            <v>Changzhou Hai Bang Trading Co., Ltd</v>
          </cell>
          <cell r="E395">
            <v>-1220.74</v>
          </cell>
        </row>
        <row r="396">
          <cell r="A396" t="str">
            <v>Cheese Pipes (Tape Plant)</v>
          </cell>
          <cell r="E396">
            <v>4777225</v>
          </cell>
        </row>
        <row r="397">
          <cell r="A397" t="str">
            <v>Cheese Winders</v>
          </cell>
          <cell r="E397">
            <v>18264148</v>
          </cell>
        </row>
        <row r="398">
          <cell r="A398" t="str">
            <v>Chemline India Ltd</v>
          </cell>
          <cell r="E398">
            <v>0</v>
          </cell>
        </row>
        <row r="399">
          <cell r="A399" t="str">
            <v>Cheons Speciality Chemicals Private Limited</v>
          </cell>
          <cell r="E399">
            <v>-203443.8</v>
          </cell>
        </row>
        <row r="400">
          <cell r="A400" t="str">
            <v>Chhavi Enterprise</v>
          </cell>
          <cell r="E400">
            <v>49973</v>
          </cell>
        </row>
        <row r="401">
          <cell r="A401" t="str">
            <v>Chiller Plant</v>
          </cell>
          <cell r="E401">
            <v>4888415.92</v>
          </cell>
        </row>
        <row r="402">
          <cell r="A402" t="str">
            <v>China International Economic And</v>
          </cell>
          <cell r="E402">
            <v>949454.2</v>
          </cell>
        </row>
        <row r="403">
          <cell r="A403" t="str">
            <v>Chinubhai Kalidass &amp; Bros - Gujarat</v>
          </cell>
          <cell r="E403">
            <v>-49080</v>
          </cell>
        </row>
        <row r="404">
          <cell r="A404" t="str">
            <v>Chirag Engineering Works</v>
          </cell>
          <cell r="E404">
            <v>-4446</v>
          </cell>
        </row>
        <row r="405">
          <cell r="A405" t="str">
            <v>Chiragkumar Prahaladbhai</v>
          </cell>
          <cell r="E405">
            <v>-153897.01999999999</v>
          </cell>
        </row>
        <row r="406">
          <cell r="A406" t="str">
            <v>Choudhary House Keeping</v>
          </cell>
          <cell r="E406">
            <v>-5227</v>
          </cell>
        </row>
        <row r="407">
          <cell r="A407" t="str">
            <v>Cir-Q-Tech Tako Technologies Pvt. Ltd.</v>
          </cell>
          <cell r="E407">
            <v>34.72</v>
          </cell>
        </row>
        <row r="408">
          <cell r="A408" t="str">
            <v>Circular Loom - Std Confg - Sby - 850X6S</v>
          </cell>
          <cell r="E408">
            <v>34794806.829999998</v>
          </cell>
        </row>
        <row r="409">
          <cell r="A409" t="str">
            <v>Circular Loom Machine Nova 62</v>
          </cell>
          <cell r="E409">
            <v>12988565</v>
          </cell>
        </row>
        <row r="410">
          <cell r="A410" t="str">
            <v>Circular Loom Nova 82</v>
          </cell>
          <cell r="E410">
            <v>19618437.800000001</v>
          </cell>
        </row>
        <row r="411">
          <cell r="A411" t="str">
            <v>Circular Loom Starlinger Rx 6.1</v>
          </cell>
          <cell r="E411">
            <v>57769260</v>
          </cell>
        </row>
        <row r="412">
          <cell r="A412" t="str">
            <v>Circular Loom Starlinger Rx 8.2</v>
          </cell>
          <cell r="E412">
            <v>896984.52</v>
          </cell>
        </row>
        <row r="413">
          <cell r="A413" t="str">
            <v>Circular Looms LSL 620</v>
          </cell>
          <cell r="E413">
            <v>4574971.9000000004</v>
          </cell>
        </row>
        <row r="414">
          <cell r="A414" t="str">
            <v>Circular Weaving Machine</v>
          </cell>
          <cell r="E414">
            <v>49292293.990000002</v>
          </cell>
        </row>
        <row r="415">
          <cell r="A415" t="str">
            <v>Circular Weaving Machine Csl-6 Ii</v>
          </cell>
          <cell r="E415">
            <v>6285284.5199999996</v>
          </cell>
        </row>
        <row r="416">
          <cell r="A416" t="str">
            <v>Circular Weaving Machine Lsl-8</v>
          </cell>
          <cell r="E416">
            <v>3930000</v>
          </cell>
        </row>
        <row r="417">
          <cell r="A417" t="str">
            <v>Circular Weaving Machine Lsl6</v>
          </cell>
          <cell r="E417">
            <v>2816718.5</v>
          </cell>
        </row>
        <row r="418">
          <cell r="A418" t="str">
            <v>Circular Weaving Machine Lxl 6</v>
          </cell>
          <cell r="E418">
            <v>134978</v>
          </cell>
        </row>
        <row r="419">
          <cell r="A419" t="str">
            <v>Ckb Global Logistics Private Limited</v>
          </cell>
          <cell r="E419">
            <v>-120941.8</v>
          </cell>
        </row>
        <row r="420">
          <cell r="A420" t="str">
            <v>Classic Adhesive Tapes Mig Co.</v>
          </cell>
          <cell r="E420">
            <v>-1105</v>
          </cell>
        </row>
        <row r="421">
          <cell r="A421" t="str">
            <v>Clean Well Chemical</v>
          </cell>
          <cell r="E421">
            <v>-145.75</v>
          </cell>
        </row>
        <row r="422">
          <cell r="A422" t="str">
            <v>Clicktech Retail Private Limited 29AAJCC9783E1Z3</v>
          </cell>
          <cell r="E422">
            <v>15990</v>
          </cell>
        </row>
        <row r="423">
          <cell r="A423" t="str">
            <v>Clutch Motor</v>
          </cell>
          <cell r="E423">
            <v>661527.6</v>
          </cell>
        </row>
        <row r="424">
          <cell r="A424" t="str">
            <v>Clutch Motor 1 Hp Single Phase  2800 Rmp</v>
          </cell>
          <cell r="E424">
            <v>542287.19999999995</v>
          </cell>
        </row>
        <row r="425">
          <cell r="A425" t="str">
            <v>Clutch Motor 1Hp 2850Rpm Pulley</v>
          </cell>
          <cell r="E425">
            <v>35132</v>
          </cell>
        </row>
        <row r="426">
          <cell r="A426" t="str">
            <v>Cma Cgm Agencies (India) Pvt Ltd</v>
          </cell>
          <cell r="E426">
            <v>13470</v>
          </cell>
        </row>
        <row r="427">
          <cell r="A427" t="str">
            <v>Cobalt Holdings Ltd</v>
          </cell>
          <cell r="E427">
            <v>3151699.2</v>
          </cell>
        </row>
        <row r="428">
          <cell r="A428" t="str">
            <v>Cofco International Uruguay S.A.</v>
          </cell>
          <cell r="E428">
            <v>-0.01</v>
          </cell>
        </row>
        <row r="429">
          <cell r="A429" t="str">
            <v>Colman Polychem Llp</v>
          </cell>
          <cell r="E429">
            <v>-632008</v>
          </cell>
        </row>
        <row r="430">
          <cell r="A430" t="str">
            <v>Colorobbia Chemicals India Pvt Ltd</v>
          </cell>
          <cell r="E430">
            <v>277300</v>
          </cell>
        </row>
        <row r="431">
          <cell r="A431" t="str">
            <v>Colourflex Laminators Limited (Unit-II)</v>
          </cell>
          <cell r="E431">
            <v>-0.6</v>
          </cell>
        </row>
        <row r="432">
          <cell r="A432" t="str">
            <v>Combes Trading Bv</v>
          </cell>
          <cell r="E432">
            <v>0.65</v>
          </cell>
        </row>
        <row r="433">
          <cell r="A433" t="str">
            <v>Commission Income</v>
          </cell>
          <cell r="E433">
            <v>-3996895.18</v>
          </cell>
        </row>
        <row r="434">
          <cell r="A434" t="str">
            <v>Commission Income - EPI</v>
          </cell>
          <cell r="E434">
            <v>-37239</v>
          </cell>
        </row>
        <row r="435">
          <cell r="A435" t="str">
            <v>Compressed Air System</v>
          </cell>
          <cell r="E435">
            <v>820707.56</v>
          </cell>
        </row>
        <row r="436">
          <cell r="A436" t="str">
            <v>Comptoir African Du Maroc</v>
          </cell>
          <cell r="E436">
            <v>50951.59</v>
          </cell>
        </row>
        <row r="437">
          <cell r="A437" t="str">
            <v>Computers &amp; Printers</v>
          </cell>
          <cell r="E437">
            <v>8660267.3499999996</v>
          </cell>
        </row>
        <row r="438">
          <cell r="A438" t="str">
            <v>Cone Winding Machine</v>
          </cell>
          <cell r="E438">
            <v>547000</v>
          </cell>
        </row>
        <row r="439">
          <cell r="A439" t="str">
            <v>Consumables, Tools &amp; Spare Expense</v>
          </cell>
          <cell r="E439">
            <v>349892.51</v>
          </cell>
        </row>
        <row r="440">
          <cell r="A440" t="str">
            <v>Container Corporation Of India Ltd (CKB)</v>
          </cell>
          <cell r="E440">
            <v>-94099</v>
          </cell>
        </row>
        <row r="441">
          <cell r="A441" t="str">
            <v>Control Print Limited - 27AAACC5378C1ZT</v>
          </cell>
          <cell r="E441">
            <v>-30164</v>
          </cell>
        </row>
        <row r="442">
          <cell r="A442" t="str">
            <v>Conveyance Expenses</v>
          </cell>
          <cell r="E442">
            <v>503412</v>
          </cell>
        </row>
        <row r="443">
          <cell r="A443" t="str">
            <v>Cooling Tower</v>
          </cell>
          <cell r="E443">
            <v>1643387</v>
          </cell>
        </row>
        <row r="444">
          <cell r="A444" t="str">
            <v>Cooling Tower Model No Ac-22</v>
          </cell>
          <cell r="E444">
            <v>85795</v>
          </cell>
        </row>
        <row r="445">
          <cell r="A445" t="str">
            <v>Cooling Tower New</v>
          </cell>
          <cell r="E445">
            <v>2282000</v>
          </cell>
        </row>
        <row r="446">
          <cell r="A446" t="str">
            <v>Cooling Tower Of 50Tr Capacity Model No.Md-50</v>
          </cell>
          <cell r="E446">
            <v>93100</v>
          </cell>
        </row>
        <row r="447">
          <cell r="A447" t="str">
            <v>Coraplast Industries</v>
          </cell>
          <cell r="E447">
            <v>-4409607</v>
          </cell>
        </row>
        <row r="448">
          <cell r="A448" t="str">
            <v>Cornucopia Tradelink Pvt Ltd</v>
          </cell>
          <cell r="E448">
            <v>6502722</v>
          </cell>
        </row>
        <row r="449">
          <cell r="A449" t="str">
            <v>Coromandel International Ltd (Dahej)</v>
          </cell>
          <cell r="E449">
            <v>2291997.71</v>
          </cell>
        </row>
        <row r="450">
          <cell r="A450" t="str">
            <v>Coromandel International Ltd-Ankleshwar</v>
          </cell>
          <cell r="E450">
            <v>0</v>
          </cell>
        </row>
        <row r="451">
          <cell r="A451" t="str">
            <v>Coromandel International Ltd-Sarigam</v>
          </cell>
          <cell r="E451">
            <v>9486.25</v>
          </cell>
        </row>
        <row r="452">
          <cell r="A452" t="str">
            <v>Corona Treater Machine A/C</v>
          </cell>
          <cell r="E452">
            <v>1250000</v>
          </cell>
        </row>
        <row r="453">
          <cell r="A453" t="str">
            <v>Corporate social responsibility</v>
          </cell>
          <cell r="E453">
            <v>559392.37</v>
          </cell>
        </row>
        <row r="454">
          <cell r="A454" t="str">
            <v>Cosco Shipping Lines (India) Private Limited- Gujarat</v>
          </cell>
          <cell r="E454">
            <v>38013</v>
          </cell>
        </row>
        <row r="455">
          <cell r="A455" t="str">
            <v>Cost 2 Cost - 27AWRPM0291L1ZX</v>
          </cell>
          <cell r="E455">
            <v>37618</v>
          </cell>
        </row>
        <row r="456">
          <cell r="A456" t="str">
            <v>Cpi Plastic Joint Stock Company</v>
          </cell>
          <cell r="E456">
            <v>-9784.32</v>
          </cell>
        </row>
        <row r="457">
          <cell r="A457" t="str">
            <v>Crane - Hoist Installations</v>
          </cell>
          <cell r="E457">
            <v>4133116.29</v>
          </cell>
        </row>
        <row r="458">
          <cell r="A458" t="str">
            <v>Creel Stand-1200 Nos Of Bobbins-Cs1200</v>
          </cell>
          <cell r="E458">
            <v>26420</v>
          </cell>
        </row>
        <row r="459">
          <cell r="A459" t="str">
            <v>Crif Solutions Private Limited</v>
          </cell>
          <cell r="E459">
            <v>-4720</v>
          </cell>
        </row>
        <row r="460">
          <cell r="A460" t="str">
            <v>Currency Counting Machine</v>
          </cell>
          <cell r="E460">
            <v>9500</v>
          </cell>
        </row>
        <row r="461">
          <cell r="A461" t="str">
            <v>Custom Duty &amp; Charges</v>
          </cell>
          <cell r="E461">
            <v>522858</v>
          </cell>
        </row>
        <row r="462">
          <cell r="A462" t="str">
            <v>Custom Duty Paid In Advance</v>
          </cell>
          <cell r="E462">
            <v>10000</v>
          </cell>
        </row>
        <row r="463">
          <cell r="A463" t="str">
            <v>Cutter Guiding Systems</v>
          </cell>
          <cell r="E463">
            <v>356001</v>
          </cell>
        </row>
        <row r="464">
          <cell r="A464" t="str">
            <v>Cycle</v>
          </cell>
          <cell r="E464">
            <v>8015</v>
          </cell>
        </row>
        <row r="465">
          <cell r="A465" t="str">
            <v>Cylinder Printing-Fa</v>
          </cell>
          <cell r="E465">
            <v>2404666.94</v>
          </cell>
        </row>
        <row r="466">
          <cell r="A466" t="str">
            <v>Cytech Coatings Pvt Ltd</v>
          </cell>
          <cell r="E466">
            <v>-7670</v>
          </cell>
        </row>
        <row r="467">
          <cell r="A467" t="str">
            <v>D N Enterprise</v>
          </cell>
          <cell r="E467">
            <v>-25714</v>
          </cell>
        </row>
        <row r="468">
          <cell r="A468" t="str">
            <v>D R Logistics</v>
          </cell>
          <cell r="E468">
            <v>0</v>
          </cell>
        </row>
        <row r="469">
          <cell r="A469" t="str">
            <v>Daetwyler Swisstec India Pvt. Ltd.</v>
          </cell>
          <cell r="E469">
            <v>0</v>
          </cell>
        </row>
        <row r="470">
          <cell r="A470" t="str">
            <v>Dajusa 2002 S.L.</v>
          </cell>
          <cell r="E470">
            <v>119477.72</v>
          </cell>
        </row>
        <row r="471">
          <cell r="A471" t="str">
            <v>Dapic Electronics And Automation</v>
          </cell>
          <cell r="E471">
            <v>0</v>
          </cell>
        </row>
        <row r="472">
          <cell r="A472" t="str">
            <v>Darshil Enterprise</v>
          </cell>
          <cell r="E472">
            <v>0.48</v>
          </cell>
        </row>
        <row r="473">
          <cell r="A473" t="str">
            <v>Das Hari Hotels Private Limited</v>
          </cell>
          <cell r="E473">
            <v>0</v>
          </cell>
        </row>
        <row r="474">
          <cell r="A474" t="str">
            <v>Dbl Stn Winder-1.2 Mtr-Unfld Dvc &amp; Thrm Cuter</v>
          </cell>
          <cell r="E474">
            <v>2659625.63</v>
          </cell>
        </row>
        <row r="475">
          <cell r="A475" t="str">
            <v>De Paauw Plasticrecycling B.V.</v>
          </cell>
          <cell r="E475">
            <v>-2846.1</v>
          </cell>
        </row>
        <row r="476">
          <cell r="A476" t="str">
            <v>Deep M. Thacker</v>
          </cell>
          <cell r="E476">
            <v>-22800</v>
          </cell>
        </row>
        <row r="477">
          <cell r="A477" t="str">
            <v>Deepak Overseas</v>
          </cell>
          <cell r="E477">
            <v>1606180.44</v>
          </cell>
        </row>
        <row r="478">
          <cell r="A478" t="str">
            <v>Deepwell</v>
          </cell>
          <cell r="E478">
            <v>1051369</v>
          </cell>
        </row>
        <row r="479">
          <cell r="A479" t="str">
            <v>Deffered Tax Liability A/c</v>
          </cell>
          <cell r="E479">
            <v>-58806496.329999998</v>
          </cell>
        </row>
        <row r="480">
          <cell r="A480" t="str">
            <v>Deluxe Plastic Works</v>
          </cell>
          <cell r="E480">
            <v>-8130</v>
          </cell>
        </row>
        <row r="481">
          <cell r="A481" t="str">
            <v>Deposit - Legal Suit</v>
          </cell>
          <cell r="E481">
            <v>861066</v>
          </cell>
        </row>
        <row r="482">
          <cell r="A482" t="str">
            <v>Desai Janak Kumar Ganeshbhai</v>
          </cell>
          <cell r="E482">
            <v>0</v>
          </cell>
        </row>
        <row r="483">
          <cell r="A483" t="str">
            <v>Desai Pinkeeben Jitendrakumar</v>
          </cell>
          <cell r="E483">
            <v>0</v>
          </cell>
        </row>
        <row r="484">
          <cell r="A484" t="str">
            <v>Desai Rajendar Kumar Ganeshbhai</v>
          </cell>
          <cell r="E484">
            <v>0</v>
          </cell>
        </row>
        <row r="485">
          <cell r="A485" t="str">
            <v>Destiny Creator</v>
          </cell>
          <cell r="E485">
            <v>0</v>
          </cell>
        </row>
        <row r="486">
          <cell r="A486" t="str">
            <v>Dev Automation</v>
          </cell>
          <cell r="E486">
            <v>-5616</v>
          </cell>
        </row>
        <row r="487">
          <cell r="A487" t="str">
            <v>Dev Polyplast</v>
          </cell>
          <cell r="E487">
            <v>7080</v>
          </cell>
        </row>
        <row r="488">
          <cell r="A488" t="str">
            <v>Devi Glass</v>
          </cell>
          <cell r="E488">
            <v>-6676</v>
          </cell>
        </row>
        <row r="489">
          <cell r="A489" t="str">
            <v>Devichand G Shah</v>
          </cell>
          <cell r="E489">
            <v>2000</v>
          </cell>
        </row>
        <row r="490">
          <cell r="A490" t="str">
            <v>Devikrupa Mobility Services</v>
          </cell>
          <cell r="E490">
            <v>-137536</v>
          </cell>
        </row>
        <row r="491">
          <cell r="A491" t="str">
            <v>DG Set</v>
          </cell>
          <cell r="E491">
            <v>5663165</v>
          </cell>
        </row>
        <row r="492">
          <cell r="A492" t="str">
            <v>Dhanlaxmi Trading Corporation</v>
          </cell>
          <cell r="E492">
            <v>10210.85</v>
          </cell>
        </row>
        <row r="493">
          <cell r="A493" t="str">
            <v>Dhanraj Harjibhai Rabari</v>
          </cell>
          <cell r="E493">
            <v>0</v>
          </cell>
        </row>
        <row r="494">
          <cell r="A494" t="str">
            <v>Dharmi Techno Fab</v>
          </cell>
          <cell r="E494">
            <v>-0.33</v>
          </cell>
        </row>
        <row r="495">
          <cell r="A495" t="str">
            <v>DHL Express (India) Pvt Ltd - Delhi</v>
          </cell>
          <cell r="E495">
            <v>21147</v>
          </cell>
        </row>
        <row r="496">
          <cell r="A496" t="str">
            <v>DHL Express (India) Pvt Ltd - Maharashtra</v>
          </cell>
          <cell r="E496">
            <v>11396.6</v>
          </cell>
        </row>
        <row r="497">
          <cell r="A497" t="str">
            <v>Dhruva Advisors India Private Limited</v>
          </cell>
          <cell r="E497">
            <v>0</v>
          </cell>
        </row>
        <row r="498">
          <cell r="A498" t="str">
            <v>Dhruva Advisors LLP</v>
          </cell>
          <cell r="E498">
            <v>-1</v>
          </cell>
        </row>
        <row r="499">
          <cell r="A499" t="str">
            <v>Diamond Rubber Industries</v>
          </cell>
          <cell r="E499">
            <v>-4886</v>
          </cell>
        </row>
        <row r="500">
          <cell r="A500" t="str">
            <v>Die Adapter ( Under Water Palletizing System)</v>
          </cell>
          <cell r="E500">
            <v>86000</v>
          </cell>
        </row>
        <row r="501">
          <cell r="A501" t="str">
            <v>Digital Camera</v>
          </cell>
          <cell r="E501">
            <v>200728.55</v>
          </cell>
        </row>
        <row r="502">
          <cell r="A502" t="str">
            <v>Digital Conditioning Chamber</v>
          </cell>
          <cell r="E502">
            <v>52020</v>
          </cell>
        </row>
        <row r="503">
          <cell r="A503" t="str">
            <v>Dikul P Soni</v>
          </cell>
          <cell r="E503">
            <v>10000</v>
          </cell>
        </row>
        <row r="504">
          <cell r="A504" t="str">
            <v>Dilipmiya Chandmiya Malek</v>
          </cell>
          <cell r="E504">
            <v>0</v>
          </cell>
        </row>
        <row r="505">
          <cell r="A505" t="str">
            <v>Din Engineering Works</v>
          </cell>
          <cell r="E505">
            <v>0</v>
          </cell>
        </row>
        <row r="506">
          <cell r="A506" t="str">
            <v>Dineshkumar Shantilal &amp; Co.</v>
          </cell>
          <cell r="E506">
            <v>-0.09</v>
          </cell>
        </row>
        <row r="507">
          <cell r="A507" t="str">
            <v>Discount &amp; Rate Difference - Purchase</v>
          </cell>
          <cell r="E507">
            <v>-10940674.1</v>
          </cell>
        </row>
        <row r="508">
          <cell r="A508" t="str">
            <v>Discount &amp; Rate Difference - Sales</v>
          </cell>
          <cell r="E508">
            <v>3677444.86</v>
          </cell>
        </row>
        <row r="509">
          <cell r="A509" t="str">
            <v>Discount &amp; Rebate On Sale</v>
          </cell>
          <cell r="E509">
            <v>-49034.25</v>
          </cell>
        </row>
        <row r="510">
          <cell r="A510" t="str">
            <v>Discovery Agritech</v>
          </cell>
          <cell r="E510">
            <v>3699169</v>
          </cell>
        </row>
        <row r="511">
          <cell r="A511" t="str">
            <v>Disha Trading</v>
          </cell>
          <cell r="E511">
            <v>-16800</v>
          </cell>
        </row>
        <row r="512">
          <cell r="A512" t="str">
            <v>Divyaraj Enterprise</v>
          </cell>
          <cell r="E512">
            <v>260000</v>
          </cell>
        </row>
        <row r="513">
          <cell r="A513" t="str">
            <v>Diza Nonwoven LLP</v>
          </cell>
          <cell r="E513">
            <v>0</v>
          </cell>
        </row>
        <row r="514">
          <cell r="A514" t="str">
            <v>Dns Global Logistics LLP - 24AAYFD6424H1Z5</v>
          </cell>
          <cell r="E514">
            <v>-1</v>
          </cell>
        </row>
        <row r="515">
          <cell r="A515" t="str">
            <v>Dolphin Polyplast Pvt Ltd</v>
          </cell>
          <cell r="E515">
            <v>-12686</v>
          </cell>
        </row>
        <row r="516">
          <cell r="A516" t="str">
            <v>Donation &amp; Charity A/C</v>
          </cell>
          <cell r="E516">
            <v>345288</v>
          </cell>
        </row>
        <row r="517">
          <cell r="A517" t="str">
            <v>Dongguan Saipu Electromechanical Device Co. Ltd</v>
          </cell>
          <cell r="E517">
            <v>-1891.76</v>
          </cell>
        </row>
        <row r="518">
          <cell r="A518" t="str">
            <v>Doshi Enterprises</v>
          </cell>
          <cell r="E518">
            <v>-236</v>
          </cell>
        </row>
        <row r="519">
          <cell r="A519" t="str">
            <v>Dow Chemical International Pvt Ltd</v>
          </cell>
          <cell r="E519">
            <v>-29395.58</v>
          </cell>
        </row>
        <row r="520">
          <cell r="A520" t="str">
            <v>Drasti Power Tools &amp; Electricals</v>
          </cell>
          <cell r="E520">
            <v>-4532</v>
          </cell>
        </row>
        <row r="521">
          <cell r="A521" t="str">
            <v>Drill Machine A/C</v>
          </cell>
          <cell r="E521">
            <v>168110</v>
          </cell>
        </row>
        <row r="522">
          <cell r="A522" t="str">
            <v>Dsv Air &amp; Sea Private Limited</v>
          </cell>
          <cell r="E522">
            <v>-111058</v>
          </cell>
        </row>
        <row r="523">
          <cell r="A523" t="str">
            <v>Dubai Aviation Corporation_24AADCD4487A1ZZ</v>
          </cell>
          <cell r="E523">
            <v>-13120</v>
          </cell>
        </row>
        <row r="524">
          <cell r="A524" t="str">
            <v>Duet India Hotels Ahmedabad Pvt. Ltd_24AACCD3915E1Z5</v>
          </cell>
          <cell r="E524">
            <v>-4999.93</v>
          </cell>
        </row>
        <row r="525">
          <cell r="A525" t="str">
            <v>Dun &amp; Bradstreet Information Services India Private Limited</v>
          </cell>
          <cell r="E525">
            <v>0</v>
          </cell>
        </row>
        <row r="526">
          <cell r="A526" t="str">
            <v>Duplex Slitter Rewinding Machine</v>
          </cell>
          <cell r="E526">
            <v>3655871</v>
          </cell>
        </row>
        <row r="527">
          <cell r="A527" t="str">
            <v>Dutron Products</v>
          </cell>
          <cell r="E527">
            <v>-40001</v>
          </cell>
        </row>
        <row r="528">
          <cell r="A528" t="str">
            <v>Duty Clearing Account</v>
          </cell>
          <cell r="E528">
            <v>238440.95999999999</v>
          </cell>
        </row>
        <row r="529">
          <cell r="A529" t="str">
            <v>Duty Drawback Receivable</v>
          </cell>
          <cell r="E529">
            <v>-1109</v>
          </cell>
        </row>
        <row r="530">
          <cell r="A530" t="str">
            <v>Dwarkesh Refrigeration And Electrical</v>
          </cell>
          <cell r="E530">
            <v>-23400</v>
          </cell>
        </row>
        <row r="531">
          <cell r="A531" t="str">
            <v>Dwarkesh Roadways</v>
          </cell>
          <cell r="E531">
            <v>0</v>
          </cell>
        </row>
        <row r="532">
          <cell r="A532" t="str">
            <v>Dwarkesh Water Supply</v>
          </cell>
          <cell r="E532">
            <v>-680</v>
          </cell>
        </row>
        <row r="533">
          <cell r="A533" t="str">
            <v>Dyesun Liva Chemicals</v>
          </cell>
          <cell r="E533">
            <v>-105232</v>
          </cell>
        </row>
        <row r="534">
          <cell r="A534" t="str">
            <v>Dynamic Cleaning System</v>
          </cell>
          <cell r="E534">
            <v>0.66</v>
          </cell>
        </row>
        <row r="535">
          <cell r="A535" t="str">
            <v>Dynamic Wooltex</v>
          </cell>
          <cell r="E535">
            <v>0</v>
          </cell>
        </row>
        <row r="536">
          <cell r="A536" t="str">
            <v>Eagle Polymers</v>
          </cell>
          <cell r="E536">
            <v>0</v>
          </cell>
        </row>
        <row r="537">
          <cell r="A537" t="str">
            <v>ECLTerm Loan_SCB_005910514</v>
          </cell>
          <cell r="E537">
            <v>-9332038.1099999994</v>
          </cell>
        </row>
        <row r="538">
          <cell r="A538" t="str">
            <v>ECLTerm Loan_SCB_005910841</v>
          </cell>
          <cell r="E538">
            <v>-11212500</v>
          </cell>
        </row>
        <row r="539">
          <cell r="A539" t="str">
            <v>Electric Installation</v>
          </cell>
          <cell r="E539">
            <v>41389664.659999996</v>
          </cell>
        </row>
        <row r="540">
          <cell r="A540" t="str">
            <v>Electric Motors</v>
          </cell>
          <cell r="E540">
            <v>144681</v>
          </cell>
        </row>
        <row r="541">
          <cell r="A541" t="str">
            <v>Electrical Expense</v>
          </cell>
          <cell r="E541">
            <v>4019932.49</v>
          </cell>
        </row>
        <row r="542">
          <cell r="A542" t="str">
            <v>Electricity Exp (Staff Colony)</v>
          </cell>
          <cell r="E542">
            <v>438208</v>
          </cell>
        </row>
        <row r="543">
          <cell r="A543" t="str">
            <v>Electricity Exp. (Office)</v>
          </cell>
          <cell r="E543">
            <v>7497</v>
          </cell>
        </row>
        <row r="544">
          <cell r="A544" t="str">
            <v>Electrifilament Lamp</v>
          </cell>
          <cell r="E544">
            <v>1194762</v>
          </cell>
        </row>
        <row r="545">
          <cell r="A545" t="str">
            <v>Electro Mek Control</v>
          </cell>
          <cell r="E545">
            <v>-174404</v>
          </cell>
        </row>
        <row r="546">
          <cell r="A546" t="str">
            <v>Elevate Graphics Studio</v>
          </cell>
          <cell r="E546">
            <v>-708</v>
          </cell>
        </row>
        <row r="547">
          <cell r="A547" t="str">
            <v>Elinor International Private Limited</v>
          </cell>
          <cell r="E547">
            <v>465357.79</v>
          </cell>
        </row>
        <row r="548">
          <cell r="A548" t="str">
            <v>Elite Inks Pvt Ltd-Purchase</v>
          </cell>
          <cell r="E548">
            <v>909333</v>
          </cell>
        </row>
        <row r="549">
          <cell r="A549" t="str">
            <v>ELS Sacs Voladors, S.L.U</v>
          </cell>
          <cell r="E549">
            <v>14545125.99</v>
          </cell>
        </row>
        <row r="550">
          <cell r="A550" t="str">
            <v>Eminent Globexim</v>
          </cell>
          <cell r="E550">
            <v>0</v>
          </cell>
        </row>
        <row r="551">
          <cell r="A551" t="str">
            <v>Eminent Shipping Services LLP</v>
          </cell>
          <cell r="E551">
            <v>-67711</v>
          </cell>
        </row>
        <row r="552">
          <cell r="A552" t="str">
            <v>Emirates_07AAACE1237C2ZA</v>
          </cell>
          <cell r="E552">
            <v>-89578</v>
          </cell>
        </row>
        <row r="553">
          <cell r="A553" t="str">
            <v>Employees Contribution to PF - Factory</v>
          </cell>
          <cell r="E553">
            <v>-32262</v>
          </cell>
        </row>
        <row r="554">
          <cell r="A554" t="str">
            <v>Employees Contribution to PF - H.O.</v>
          </cell>
          <cell r="E554">
            <v>-20462</v>
          </cell>
        </row>
        <row r="555">
          <cell r="A555" t="str">
            <v>Emporos Links Private Limited</v>
          </cell>
          <cell r="E555">
            <v>-295000</v>
          </cell>
        </row>
        <row r="556">
          <cell r="A556" t="str">
            <v>Energemech Incorporation</v>
          </cell>
          <cell r="E556">
            <v>-1180.3800000000001</v>
          </cell>
        </row>
        <row r="557">
          <cell r="A557" t="str">
            <v>Enox Non Woven Pvt Ltd</v>
          </cell>
          <cell r="E557">
            <v>2604.5500000000002</v>
          </cell>
        </row>
        <row r="558">
          <cell r="A558" t="str">
            <v>Enshrine Energy</v>
          </cell>
          <cell r="E558">
            <v>0</v>
          </cell>
        </row>
        <row r="559">
          <cell r="A559" t="str">
            <v>EPABX</v>
          </cell>
          <cell r="E559">
            <v>38693</v>
          </cell>
        </row>
        <row r="560">
          <cell r="A560" t="str">
            <v>ERD - Customers</v>
          </cell>
          <cell r="E560">
            <v>335375.42</v>
          </cell>
        </row>
        <row r="561">
          <cell r="A561" t="str">
            <v>Erhardt + Leimer (India) Pvt Ltd</v>
          </cell>
          <cell r="E561">
            <v>10464.870000000001</v>
          </cell>
        </row>
        <row r="562">
          <cell r="A562" t="str">
            <v>Espee Electricals</v>
          </cell>
          <cell r="E562">
            <v>-45045</v>
          </cell>
        </row>
        <row r="563">
          <cell r="A563" t="str">
            <v>Ever Bags Packaging Private Limited</v>
          </cell>
          <cell r="E563">
            <v>-12951</v>
          </cell>
        </row>
        <row r="564">
          <cell r="A564" t="str">
            <v>Everplus Plastics Pvt Ltd</v>
          </cell>
          <cell r="E564">
            <v>-1365.78</v>
          </cell>
        </row>
        <row r="565">
          <cell r="A565" t="str">
            <v>Evolution Elektrotech Pvt Ltd</v>
          </cell>
          <cell r="E565">
            <v>0.18</v>
          </cell>
        </row>
        <row r="566">
          <cell r="A566" t="str">
            <v>Excel Marketing</v>
          </cell>
          <cell r="E566">
            <v>0</v>
          </cell>
        </row>
        <row r="567">
          <cell r="A567" t="str">
            <v>Excel Office Solution</v>
          </cell>
          <cell r="E567">
            <v>-358839.84</v>
          </cell>
        </row>
        <row r="568">
          <cell r="A568" t="str">
            <v>Excel Surveyors Pvt Ltd</v>
          </cell>
          <cell r="E568">
            <v>-18290</v>
          </cell>
        </row>
        <row r="569">
          <cell r="A569" t="str">
            <v>Excellent Material</v>
          </cell>
          <cell r="E569">
            <v>-25960</v>
          </cell>
        </row>
        <row r="570">
          <cell r="A570" t="str">
            <v>Excelsior Engineering Enterprise</v>
          </cell>
          <cell r="E570">
            <v>-2053</v>
          </cell>
        </row>
        <row r="571">
          <cell r="A571" t="str">
            <v>Exchange Rate Difference - Capital Creditor</v>
          </cell>
          <cell r="E571">
            <v>4515</v>
          </cell>
        </row>
        <row r="572">
          <cell r="A572" t="str">
            <v>Exchange Rate Difference - Creditor</v>
          </cell>
          <cell r="E572">
            <v>1841937.27</v>
          </cell>
        </row>
        <row r="573">
          <cell r="A573" t="str">
            <v>Exchange Rate Difference - Debtors</v>
          </cell>
          <cell r="E573">
            <v>-59188174.759999998</v>
          </cell>
        </row>
        <row r="574">
          <cell r="A574" t="str">
            <v>Exds Engineering</v>
          </cell>
          <cell r="E574">
            <v>-25782</v>
          </cell>
        </row>
        <row r="575">
          <cell r="A575" t="str">
            <v>Eximius Innovative Private Limited</v>
          </cell>
          <cell r="E575">
            <v>0</v>
          </cell>
        </row>
        <row r="576">
          <cell r="A576" t="str">
            <v>Eximius Techtex Private Limited</v>
          </cell>
          <cell r="E576">
            <v>0</v>
          </cell>
        </row>
        <row r="577">
          <cell r="A577" t="str">
            <v>Expert Printing Machine</v>
          </cell>
          <cell r="E577">
            <v>72799.899999999994</v>
          </cell>
        </row>
        <row r="578">
          <cell r="A578" t="str">
            <v>Export Advance Licence Benifit Accured</v>
          </cell>
          <cell r="E578">
            <v>86941777.180000007</v>
          </cell>
        </row>
        <row r="579">
          <cell r="A579" t="str">
            <v>Export Inspection Agency_24AAAGE1592G1ZP</v>
          </cell>
          <cell r="E579">
            <v>-3540</v>
          </cell>
        </row>
        <row r="580">
          <cell r="A580" t="str">
            <v>Export related Certification Charges</v>
          </cell>
          <cell r="E580">
            <v>30890.639999999999</v>
          </cell>
        </row>
        <row r="581">
          <cell r="A581" t="str">
            <v>Extrusion Line Barmag-Sulzer Looms</v>
          </cell>
          <cell r="E581">
            <v>-1932794</v>
          </cell>
        </row>
        <row r="582">
          <cell r="A582" t="str">
            <v>Exxonmobil Chemical Asia Pacific</v>
          </cell>
          <cell r="E582">
            <v>-62159.62</v>
          </cell>
        </row>
        <row r="583">
          <cell r="A583" t="str">
            <v>Exzakta Meccanica Ltd</v>
          </cell>
          <cell r="E583">
            <v>-2803</v>
          </cell>
        </row>
        <row r="584">
          <cell r="A584" t="str">
            <v>Fa Cutter Single  Ymp Plant</v>
          </cell>
          <cell r="E584">
            <v>28350</v>
          </cell>
        </row>
        <row r="585">
          <cell r="A585" t="str">
            <v>Fa- Tapeline 350Kg-Sjpl-Z-110X33-12X10</v>
          </cell>
          <cell r="E585">
            <v>30366108.780000001</v>
          </cell>
        </row>
        <row r="586">
          <cell r="A586" t="str">
            <v>Fa-Tape Line 650Kg-Sjpl-Z-120X32-1500X10</v>
          </cell>
          <cell r="E586">
            <v>39942385.469999999</v>
          </cell>
        </row>
        <row r="587">
          <cell r="A587" t="str">
            <v>Fabric Cutting Machine</v>
          </cell>
          <cell r="E587">
            <v>15817058.75</v>
          </cell>
        </row>
        <row r="588">
          <cell r="A588" t="str">
            <v>Face &amp; Fingerprint M/C (Punching M/C)</v>
          </cell>
          <cell r="E588">
            <v>99600</v>
          </cell>
        </row>
        <row r="589">
          <cell r="A589" t="str">
            <v>Face Recognistaion  System</v>
          </cell>
          <cell r="E589">
            <v>53550</v>
          </cell>
        </row>
        <row r="590">
          <cell r="A590" t="str">
            <v>Factoring Charges</v>
          </cell>
          <cell r="E590">
            <v>2641241.9700000002</v>
          </cell>
        </row>
        <row r="591">
          <cell r="A591" t="str">
            <v>Factory Building</v>
          </cell>
          <cell r="E591">
            <v>175649646.97</v>
          </cell>
        </row>
        <row r="592">
          <cell r="A592" t="str">
            <v>Factory Building - WIP</v>
          </cell>
          <cell r="E592">
            <v>155738303</v>
          </cell>
        </row>
        <row r="593">
          <cell r="A593" t="str">
            <v>Factory Expense</v>
          </cell>
          <cell r="E593">
            <v>792571</v>
          </cell>
        </row>
        <row r="594">
          <cell r="A594" t="str">
            <v>Fan, Cooler, Heater &amp; Blowers</v>
          </cell>
          <cell r="E594">
            <v>8330504.4900000002</v>
          </cell>
        </row>
        <row r="595">
          <cell r="A595" t="str">
            <v>Fax Machine</v>
          </cell>
          <cell r="E595">
            <v>25522</v>
          </cell>
        </row>
        <row r="596">
          <cell r="A596" t="str">
            <v>Fcs Itech</v>
          </cell>
          <cell r="E596">
            <v>38940</v>
          </cell>
        </row>
        <row r="597">
          <cell r="A597" t="str">
            <v>Fedex Trade Networks Transport &amp; Brokerage Private Limited - Maharashtra</v>
          </cell>
          <cell r="E597">
            <v>0</v>
          </cell>
        </row>
        <row r="598">
          <cell r="A598" t="str">
            <v>Fees &amp; Taxes</v>
          </cell>
          <cell r="E598">
            <v>71837.17</v>
          </cell>
        </row>
        <row r="599">
          <cell r="A599" t="str">
            <v>Fibc Heat Cut Machine (Bottom Punching)</v>
          </cell>
          <cell r="E599">
            <v>384315</v>
          </cell>
        </row>
        <row r="600">
          <cell r="A600" t="str">
            <v>Fibco Plastic Industry Llc</v>
          </cell>
          <cell r="E600">
            <v>88311310.010000005</v>
          </cell>
        </row>
        <row r="601">
          <cell r="A601" t="str">
            <v>Fibrilltor Pin Roll Shaft</v>
          </cell>
          <cell r="E601">
            <v>96500</v>
          </cell>
        </row>
        <row r="602">
          <cell r="A602" t="str">
            <v>Filler Cord Winder</v>
          </cell>
          <cell r="E602">
            <v>158410</v>
          </cell>
        </row>
        <row r="603">
          <cell r="A603" t="str">
            <v>Filler Machine</v>
          </cell>
          <cell r="E603">
            <v>3500000</v>
          </cell>
        </row>
        <row r="604">
          <cell r="A604" t="str">
            <v>Fine Tech Corporation Pvt Ltd - Surat</v>
          </cell>
          <cell r="E604">
            <v>111474</v>
          </cell>
        </row>
        <row r="605">
          <cell r="A605" t="str">
            <v>Fire Hydrant / Safety System</v>
          </cell>
          <cell r="E605">
            <v>2072956.6</v>
          </cell>
        </row>
        <row r="606">
          <cell r="A606" t="str">
            <v>Fire Safety Extinguisher</v>
          </cell>
          <cell r="E606">
            <v>6942772.3200000003</v>
          </cell>
        </row>
        <row r="607">
          <cell r="A607" t="str">
            <v>Firojkhan.A.Pathan</v>
          </cell>
          <cell r="E607">
            <v>-21582</v>
          </cell>
        </row>
        <row r="608">
          <cell r="A608" t="str">
            <v>Flesha Paints &amp; Chemicals</v>
          </cell>
          <cell r="E608">
            <v>0</v>
          </cell>
        </row>
        <row r="609">
          <cell r="A609" t="str">
            <v>Flexibox Container Gmbh</v>
          </cell>
          <cell r="E609">
            <v>31380.02</v>
          </cell>
        </row>
        <row r="610">
          <cell r="A610" t="str">
            <v>Floraware India Pvt Ltd.</v>
          </cell>
          <cell r="E610">
            <v>121898.5</v>
          </cell>
        </row>
        <row r="611">
          <cell r="A611" t="str">
            <v>Fly Platform Machine</v>
          </cell>
          <cell r="E611">
            <v>176500</v>
          </cell>
        </row>
        <row r="612">
          <cell r="A612" t="str">
            <v>Fm57 Firesystem</v>
          </cell>
          <cell r="E612">
            <v>-6844</v>
          </cell>
        </row>
        <row r="613">
          <cell r="A613" t="str">
            <v>Fork Lift - Ace</v>
          </cell>
          <cell r="E613">
            <v>1818539</v>
          </cell>
        </row>
        <row r="614">
          <cell r="A614" t="str">
            <v>Forklift Diesel Operated</v>
          </cell>
          <cell r="E614">
            <v>766214</v>
          </cell>
        </row>
        <row r="615">
          <cell r="A615" t="str">
            <v>Forklift RTO Rg No - Second</v>
          </cell>
          <cell r="E615">
            <v>669798</v>
          </cell>
        </row>
        <row r="616">
          <cell r="A616" t="str">
            <v>Forklift Truck Model No.FDZN30</v>
          </cell>
          <cell r="E616">
            <v>7310279.7300000004</v>
          </cell>
        </row>
        <row r="617">
          <cell r="A617" t="str">
            <v>Forklift Truck, Toyota</v>
          </cell>
          <cell r="E617">
            <v>3428358</v>
          </cell>
        </row>
        <row r="618">
          <cell r="A618" t="str">
            <v>Forklift Voltas</v>
          </cell>
          <cell r="E618">
            <v>1419968.98</v>
          </cell>
        </row>
        <row r="619">
          <cell r="A619" t="str">
            <v>Form Edit Cefea</v>
          </cell>
          <cell r="E619">
            <v>2718.22</v>
          </cell>
        </row>
        <row r="620">
          <cell r="A620" t="str">
            <v>Fortune Shipping Private Limited</v>
          </cell>
          <cell r="E620">
            <v>-7084.2</v>
          </cell>
        </row>
        <row r="621">
          <cell r="A621" t="str">
            <v>FPS Flexibles Chile Spa</v>
          </cell>
          <cell r="E621">
            <v>1667286.17</v>
          </cell>
        </row>
        <row r="622">
          <cell r="A622" t="str">
            <v>FPS Flexibles UK Ltd</v>
          </cell>
          <cell r="E622">
            <v>7925998.0300000003</v>
          </cell>
        </row>
        <row r="623">
          <cell r="A623" t="str">
            <v>Freight Inward Expense (RCM)</v>
          </cell>
          <cell r="E623">
            <v>973205</v>
          </cell>
        </row>
        <row r="624">
          <cell r="A624" t="str">
            <v>Freight Inward Expense (With GST)</v>
          </cell>
          <cell r="E624">
            <v>357693.64</v>
          </cell>
        </row>
        <row r="625">
          <cell r="A625" t="str">
            <v>Freight Inward Expense (Without Gst)</v>
          </cell>
          <cell r="E625">
            <v>-277930</v>
          </cell>
        </row>
        <row r="626">
          <cell r="A626" t="str">
            <v>Freight Outward Expense  - Export</v>
          </cell>
          <cell r="E626">
            <v>-9076433.3399999999</v>
          </cell>
        </row>
        <row r="627">
          <cell r="A627" t="str">
            <v>Freight Outward Expense (Rcm Inter-State)</v>
          </cell>
          <cell r="E627">
            <v>651100</v>
          </cell>
        </row>
        <row r="628">
          <cell r="A628" t="str">
            <v>Freight Outward Expense (RCM)</v>
          </cell>
          <cell r="E628">
            <v>10510</v>
          </cell>
        </row>
        <row r="629">
          <cell r="A629" t="str">
            <v>Freight Outward Expense (With GST)</v>
          </cell>
          <cell r="E629">
            <v>15227748.67</v>
          </cell>
        </row>
        <row r="630">
          <cell r="A630" t="str">
            <v>Freight outward Expenses (RCM_Withinstate)</v>
          </cell>
          <cell r="E630">
            <v>3116314</v>
          </cell>
        </row>
        <row r="631">
          <cell r="A631" t="str">
            <v>Frelun S.A.</v>
          </cell>
          <cell r="E631">
            <v>0.01</v>
          </cell>
        </row>
        <row r="632">
          <cell r="A632" t="str">
            <v>Friends Polytech Pvt Ltd</v>
          </cell>
          <cell r="E632">
            <v>39346.67</v>
          </cell>
        </row>
        <row r="633">
          <cell r="A633" t="str">
            <v>Full &amp; Final Settlement Payable</v>
          </cell>
          <cell r="E633">
            <v>35895.919999999998</v>
          </cell>
        </row>
        <row r="634">
          <cell r="A634" t="str">
            <v>Fumigation Charges</v>
          </cell>
          <cell r="E634">
            <v>142700</v>
          </cell>
        </row>
        <row r="635">
          <cell r="A635" t="str">
            <v>Furniture &amp; Fixtures</v>
          </cell>
          <cell r="E635">
            <v>11383534.52</v>
          </cell>
        </row>
        <row r="636">
          <cell r="A636" t="str">
            <v>G P Industries</v>
          </cell>
          <cell r="E636">
            <v>-53820</v>
          </cell>
        </row>
        <row r="637">
          <cell r="A637" t="str">
            <v>Gabbar Engineering Co.</v>
          </cell>
          <cell r="E637">
            <v>2047.48</v>
          </cell>
        </row>
        <row r="638">
          <cell r="A638" t="str">
            <v>Gajjar Umesh</v>
          </cell>
          <cell r="E638">
            <v>0</v>
          </cell>
        </row>
        <row r="639">
          <cell r="A639" t="str">
            <v>Galaxy Chemicals</v>
          </cell>
          <cell r="E639">
            <v>-840255</v>
          </cell>
        </row>
        <row r="640">
          <cell r="A640" t="str">
            <v>Galaxy Enterprise</v>
          </cell>
          <cell r="E640">
            <v>0</v>
          </cell>
        </row>
        <row r="641">
          <cell r="A641" t="str">
            <v>Galaxy Heat Products</v>
          </cell>
          <cell r="E641">
            <v>-60249</v>
          </cell>
        </row>
        <row r="642">
          <cell r="A642" t="str">
            <v>Gama Packthread Industries</v>
          </cell>
          <cell r="E642">
            <v>0</v>
          </cell>
        </row>
        <row r="643">
          <cell r="A643" t="str">
            <v>Gamara Bharat Velabhai Imprest A/C</v>
          </cell>
          <cell r="E643">
            <v>-14850</v>
          </cell>
        </row>
        <row r="644">
          <cell r="A644" t="str">
            <v>Gandhar Oil Refinery India Ltd. - D AND H</v>
          </cell>
          <cell r="E644">
            <v>7936.81</v>
          </cell>
        </row>
        <row r="645">
          <cell r="A645" t="str">
            <v>Gandhidham Jain Seva Samiti Medical Store - Purchase</v>
          </cell>
          <cell r="E645">
            <v>-1822</v>
          </cell>
        </row>
        <row r="646">
          <cell r="A646" t="str">
            <v>Ganesh Corporation</v>
          </cell>
          <cell r="E646">
            <v>-5380.6</v>
          </cell>
        </row>
        <row r="647">
          <cell r="A647" t="str">
            <v>Ganesh Poly Graph</v>
          </cell>
          <cell r="E647">
            <v>-25091</v>
          </cell>
        </row>
        <row r="648">
          <cell r="A648" t="str">
            <v>Ganpatraj Chandanmal Salecha</v>
          </cell>
          <cell r="E648">
            <v>3037413</v>
          </cell>
        </row>
        <row r="649">
          <cell r="A649" t="str">
            <v>Garden Mainteance Exp</v>
          </cell>
          <cell r="E649">
            <v>8400</v>
          </cell>
        </row>
        <row r="650">
          <cell r="A650" t="str">
            <v>Gati Kintetsu Express Private Limited</v>
          </cell>
          <cell r="E650">
            <v>-1688.58</v>
          </cell>
        </row>
        <row r="651">
          <cell r="A651" t="str">
            <v>Gaurav Trans Engineers Private Limited</v>
          </cell>
          <cell r="E651">
            <v>-4428</v>
          </cell>
        </row>
        <row r="652">
          <cell r="A652" t="str">
            <v>Gayatri Engineering Works</v>
          </cell>
          <cell r="E652">
            <v>-12225</v>
          </cell>
        </row>
        <row r="653">
          <cell r="A653" t="str">
            <v>Gayatri Petroleums</v>
          </cell>
          <cell r="E653">
            <v>0</v>
          </cell>
        </row>
        <row r="654">
          <cell r="A654" t="str">
            <v>Gayatri Polypack Industries</v>
          </cell>
          <cell r="E654">
            <v>-5000</v>
          </cell>
        </row>
        <row r="655">
          <cell r="A655" t="str">
            <v>Gayatri Trading Company</v>
          </cell>
          <cell r="E655">
            <v>-830</v>
          </cell>
        </row>
        <row r="656">
          <cell r="A656" t="str">
            <v>Gcc Minerals Joint Stock Company</v>
          </cell>
          <cell r="E656">
            <v>-6064.8</v>
          </cell>
        </row>
        <row r="657">
          <cell r="A657" t="str">
            <v>Gear Box</v>
          </cell>
          <cell r="E657">
            <v>454473.2</v>
          </cell>
        </row>
        <row r="658">
          <cell r="A658" t="str">
            <v>Gear Box With Motor  Disc</v>
          </cell>
          <cell r="E658">
            <v>1011000</v>
          </cell>
        </row>
        <row r="659">
          <cell r="A659" t="str">
            <v>Gel Krupa Enterprise</v>
          </cell>
          <cell r="E659">
            <v>24649.48</v>
          </cell>
        </row>
        <row r="660">
          <cell r="A660" t="str">
            <v>Georg Sahm Gmbh And Co. Kg - Eschwege</v>
          </cell>
          <cell r="E660">
            <v>-675.64</v>
          </cell>
        </row>
        <row r="661">
          <cell r="A661" t="str">
            <v>Gford Institute Of Management Private Limited</v>
          </cell>
          <cell r="E661">
            <v>2832</v>
          </cell>
        </row>
        <row r="662">
          <cell r="A662" t="str">
            <v>Ghanshyam Enterprise</v>
          </cell>
          <cell r="E662">
            <v>-19406</v>
          </cell>
        </row>
        <row r="663">
          <cell r="A663" t="str">
            <v>Ghanshyam K. Nenwani</v>
          </cell>
          <cell r="E663">
            <v>0</v>
          </cell>
        </row>
        <row r="664">
          <cell r="A664" t="str">
            <v>GI Pipe &amp; MS Pipes</v>
          </cell>
          <cell r="E664">
            <v>47643.21</v>
          </cell>
        </row>
        <row r="665">
          <cell r="A665" t="str">
            <v>Ginza Machinery Mfg.Co.</v>
          </cell>
          <cell r="E665">
            <v>-59760.84</v>
          </cell>
        </row>
        <row r="666">
          <cell r="A666" t="str">
            <v>Gipack Tech Llp</v>
          </cell>
          <cell r="E666">
            <v>530734.5</v>
          </cell>
        </row>
        <row r="667">
          <cell r="A667" t="str">
            <v>Girlloh Global Inc</v>
          </cell>
          <cell r="E667">
            <v>10153076</v>
          </cell>
        </row>
        <row r="668">
          <cell r="A668" t="str">
            <v>Gitaben Jitendrakumar Rabari</v>
          </cell>
          <cell r="E668">
            <v>0</v>
          </cell>
        </row>
        <row r="669">
          <cell r="A669" t="str">
            <v>Glare Cutlery Private Limited</v>
          </cell>
          <cell r="E669">
            <v>-170.03</v>
          </cell>
        </row>
        <row r="670">
          <cell r="A670" t="str">
            <v>Glasnost India</v>
          </cell>
          <cell r="E670">
            <v>8994.1</v>
          </cell>
        </row>
        <row r="671">
          <cell r="A671" t="str">
            <v>Global Industries</v>
          </cell>
          <cell r="E671">
            <v>-57158.080000000002</v>
          </cell>
        </row>
        <row r="672">
          <cell r="A672" t="str">
            <v>Global Non Woven Fabric</v>
          </cell>
          <cell r="E672">
            <v>-520801.48</v>
          </cell>
        </row>
        <row r="673">
          <cell r="A673" t="str">
            <v>Global Non Woven Fabric Private Limited</v>
          </cell>
          <cell r="E673">
            <v>0</v>
          </cell>
        </row>
        <row r="674">
          <cell r="A674" t="str">
            <v>Global Technitex</v>
          </cell>
          <cell r="E674">
            <v>-53543.19</v>
          </cell>
        </row>
        <row r="675">
          <cell r="A675" t="str">
            <v>Globelink WW India Pvt Ltd</v>
          </cell>
          <cell r="E675">
            <v>-436412</v>
          </cell>
        </row>
        <row r="676">
          <cell r="A676" t="str">
            <v>Glory Duty Free Marine Shops Ltd</v>
          </cell>
          <cell r="E676">
            <v>-750701.35</v>
          </cell>
        </row>
        <row r="677">
          <cell r="A677" t="str">
            <v>Glottis  Ltd</v>
          </cell>
          <cell r="E677">
            <v>0.4</v>
          </cell>
        </row>
        <row r="678">
          <cell r="A678" t="str">
            <v>Gluing Machine</v>
          </cell>
          <cell r="E678">
            <v>109908.66</v>
          </cell>
        </row>
        <row r="679">
          <cell r="A679" t="str">
            <v>Goldmine Multitrade Pvt Ltd</v>
          </cell>
          <cell r="E679">
            <v>-12980</v>
          </cell>
        </row>
        <row r="680">
          <cell r="A680" t="str">
            <v>Gopal Velji Sanjot</v>
          </cell>
          <cell r="E680">
            <v>7592000</v>
          </cell>
        </row>
        <row r="681">
          <cell r="A681" t="str">
            <v>Gopikishan Polyplast Pvt Ltd - Purchase</v>
          </cell>
          <cell r="E681">
            <v>-0.96</v>
          </cell>
        </row>
        <row r="682">
          <cell r="A682" t="str">
            <v>Granule Mixer Cum Online Dryer</v>
          </cell>
          <cell r="E682">
            <v>100000</v>
          </cell>
        </row>
        <row r="683">
          <cell r="A683" t="str">
            <v>Grasim Industries Limited</v>
          </cell>
          <cell r="E683">
            <v>1.5</v>
          </cell>
        </row>
        <row r="684">
          <cell r="A684" t="str">
            <v>Grasim Industries Limited - Gujarat</v>
          </cell>
          <cell r="E684">
            <v>0.5</v>
          </cell>
        </row>
        <row r="685">
          <cell r="A685" t="str">
            <v>Gratuity Payable</v>
          </cell>
          <cell r="E685">
            <v>182538</v>
          </cell>
        </row>
        <row r="686">
          <cell r="A686" t="str">
            <v>Gravimetric Dosing Mixing Machine</v>
          </cell>
          <cell r="E686">
            <v>12240440.07</v>
          </cell>
        </row>
        <row r="687">
          <cell r="A687" t="str">
            <v>Green Traders</v>
          </cell>
          <cell r="E687">
            <v>-50959.01</v>
          </cell>
        </row>
        <row r="688">
          <cell r="A688" t="str">
            <v>Grinder Machine</v>
          </cell>
          <cell r="E688">
            <v>5750</v>
          </cell>
        </row>
        <row r="689">
          <cell r="A689" t="str">
            <v>Ground Rent Charges</v>
          </cell>
          <cell r="E689">
            <v>186468.52</v>
          </cell>
        </row>
        <row r="690">
          <cell r="A690" t="str">
            <v>GST Appeal A/C</v>
          </cell>
          <cell r="E690">
            <v>1098244</v>
          </cell>
        </row>
        <row r="691">
          <cell r="A691" t="str">
            <v>GST Credit-Non Eligible</v>
          </cell>
          <cell r="E691">
            <v>2538</v>
          </cell>
        </row>
        <row r="692">
          <cell r="A692" t="str">
            <v>GST Electronic Cash Ledger</v>
          </cell>
          <cell r="E692">
            <v>309252</v>
          </cell>
        </row>
        <row r="693">
          <cell r="A693" t="str">
            <v>GST RCM payable A/c</v>
          </cell>
          <cell r="E693">
            <v>0</v>
          </cell>
        </row>
        <row r="694">
          <cell r="A694" t="str">
            <v>GST Receivable</v>
          </cell>
          <cell r="E694">
            <v>28150741.370000001</v>
          </cell>
        </row>
        <row r="695">
          <cell r="A695" t="str">
            <v>GST Refund Receivable</v>
          </cell>
          <cell r="E695">
            <v>134017</v>
          </cell>
        </row>
        <row r="696">
          <cell r="A696" t="str">
            <v>GST TDS Receivable</v>
          </cell>
          <cell r="E696">
            <v>676.8</v>
          </cell>
        </row>
        <row r="697">
          <cell r="A697" t="str">
            <v>GST under Protest</v>
          </cell>
          <cell r="E697">
            <v>5400904</v>
          </cell>
        </row>
        <row r="698">
          <cell r="A698" t="str">
            <v>Gujarat Energy Transmission Corporation Limited</v>
          </cell>
          <cell r="E698">
            <v>85</v>
          </cell>
        </row>
        <row r="699">
          <cell r="A699" t="str">
            <v>Gujarat EPM Services</v>
          </cell>
          <cell r="E699">
            <v>19470</v>
          </cell>
        </row>
        <row r="700">
          <cell r="A700" t="str">
            <v>Gujarat Polymers</v>
          </cell>
          <cell r="E700">
            <v>5508</v>
          </cell>
        </row>
        <row r="701">
          <cell r="A701" t="str">
            <v>Gujarat Sales Corporation</v>
          </cell>
          <cell r="E701">
            <v>-43675</v>
          </cell>
        </row>
        <row r="702">
          <cell r="A702" t="str">
            <v>Gujarat Water Supply &amp; Sewerage Board</v>
          </cell>
          <cell r="E702">
            <v>0</v>
          </cell>
        </row>
        <row r="703">
          <cell r="A703" t="str">
            <v>Gunin Polymers LLP</v>
          </cell>
          <cell r="E703">
            <v>0</v>
          </cell>
        </row>
        <row r="704">
          <cell r="A704" t="str">
            <v>Gunter Kunststoffmaschinen Gmbh</v>
          </cell>
          <cell r="E704">
            <v>0</v>
          </cell>
        </row>
        <row r="705">
          <cell r="A705" t="str">
            <v>Guru Marketing</v>
          </cell>
          <cell r="E705">
            <v>-10711.4</v>
          </cell>
        </row>
        <row r="706">
          <cell r="A706" t="str">
            <v>Gurunanak Electronics Company</v>
          </cell>
          <cell r="E706">
            <v>-0.5</v>
          </cell>
        </row>
        <row r="707">
          <cell r="A707" t="str">
            <v>H D Trading Co</v>
          </cell>
          <cell r="E707">
            <v>-67320</v>
          </cell>
        </row>
        <row r="708">
          <cell r="A708" t="str">
            <v>H Polesy &amp; Co Pty Ltd</v>
          </cell>
          <cell r="E708">
            <v>11141114.939999999</v>
          </cell>
        </row>
        <row r="709">
          <cell r="A709" t="str">
            <v>Hand Grinder Machine</v>
          </cell>
          <cell r="E709">
            <v>7650</v>
          </cell>
        </row>
        <row r="710">
          <cell r="A710" t="str">
            <v>Hand Sealing Machine</v>
          </cell>
          <cell r="E710">
            <v>21138</v>
          </cell>
        </row>
        <row r="711">
          <cell r="A711" t="str">
            <v>Hanwha Solutions Corporation</v>
          </cell>
          <cell r="E711">
            <v>-136044</v>
          </cell>
        </row>
        <row r="712">
          <cell r="A712" t="str">
            <v>Harchanda Ram</v>
          </cell>
          <cell r="E712">
            <v>-221958</v>
          </cell>
        </row>
        <row r="713">
          <cell r="A713" t="str">
            <v>Harchanda Ram Imprest A/c</v>
          </cell>
          <cell r="E713">
            <v>31604</v>
          </cell>
        </row>
        <row r="714">
          <cell r="A714" t="str">
            <v>Hare Krishna Trading Co.</v>
          </cell>
          <cell r="E714">
            <v>-18638</v>
          </cell>
        </row>
        <row r="715">
          <cell r="A715" t="str">
            <v>Haridarshan Polymers</v>
          </cell>
          <cell r="E715">
            <v>-213539</v>
          </cell>
        </row>
        <row r="716">
          <cell r="A716" t="str">
            <v>Harish B Trivedi</v>
          </cell>
          <cell r="E716">
            <v>0</v>
          </cell>
        </row>
        <row r="717">
          <cell r="A717" t="str">
            <v>Harsh Engineering</v>
          </cell>
          <cell r="E717">
            <v>0</v>
          </cell>
        </row>
        <row r="718">
          <cell r="A718" t="str">
            <v>Harsiddhi Creation</v>
          </cell>
          <cell r="E718">
            <v>-118020.12</v>
          </cell>
        </row>
        <row r="719">
          <cell r="A719" t="str">
            <v>Hasti Petro Chemical And Shipping Ltd.</v>
          </cell>
          <cell r="E719">
            <v>-0.2</v>
          </cell>
        </row>
        <row r="720">
          <cell r="A720" t="str">
            <v>Havmor Plast Private Limited</v>
          </cell>
          <cell r="E720">
            <v>-0.28000000000000003</v>
          </cell>
        </row>
        <row r="721">
          <cell r="A721" t="str">
            <v>Hawa Automation Enterprise</v>
          </cell>
          <cell r="E721">
            <v>0</v>
          </cell>
        </row>
        <row r="722">
          <cell r="A722" t="str">
            <v>Haydraulic Trolly</v>
          </cell>
          <cell r="E722">
            <v>251977</v>
          </cell>
        </row>
        <row r="723">
          <cell r="A723" t="str">
            <v>HCP Enterprise Ltd-ICD</v>
          </cell>
          <cell r="E723">
            <v>88666674.200000003</v>
          </cell>
        </row>
        <row r="724">
          <cell r="A724" t="str">
            <v>HCP Enterprise Ltd-Purchase</v>
          </cell>
          <cell r="E724">
            <v>5794436255.8699999</v>
          </cell>
        </row>
        <row r="725">
          <cell r="A725" t="str">
            <v>HCP Enterprise Ltd-Sales</v>
          </cell>
          <cell r="E725">
            <v>-4434886038.1400003</v>
          </cell>
        </row>
        <row r="726">
          <cell r="A726" t="str">
            <v>HCP Plastene Bulkpack Limited - Purchase</v>
          </cell>
          <cell r="E726">
            <v>-129284286.39</v>
          </cell>
        </row>
        <row r="727">
          <cell r="A727" t="str">
            <v>HCP Plastene Bulkpack Limited - Sales</v>
          </cell>
          <cell r="E727">
            <v>-402959393.75999999</v>
          </cell>
        </row>
        <row r="728">
          <cell r="A728" t="str">
            <v>Hcp Plastene Bulkpack Ltd (Unit Iv) - Sales</v>
          </cell>
          <cell r="E728">
            <v>323469097.17000002</v>
          </cell>
        </row>
        <row r="729">
          <cell r="A729" t="str">
            <v>HCP Plastene Bulkpack Ltd (Unit-III) - Purchase</v>
          </cell>
          <cell r="E729">
            <v>-857471.33</v>
          </cell>
        </row>
        <row r="730">
          <cell r="A730" t="str">
            <v>Hcp Plastene Bulkpack Ltd (Unit-Iv) - For Gst Balance Only</v>
          </cell>
          <cell r="E730">
            <v>-12386</v>
          </cell>
        </row>
        <row r="731">
          <cell r="A731" t="str">
            <v>Hcp Plastene Bulkpack Ltd (Unit-Iv) - Purchase</v>
          </cell>
          <cell r="E731">
            <v>-23732475.879999999</v>
          </cell>
        </row>
        <row r="732">
          <cell r="A732" t="str">
            <v>Hcp Plastene Bulkpack Ltd Vadodara Purchase</v>
          </cell>
          <cell r="E732">
            <v>9948152.6699999999</v>
          </cell>
        </row>
        <row r="733">
          <cell r="A733" t="str">
            <v>Hcp Plastene Bulkpack Ltd Vadodara-Sales</v>
          </cell>
          <cell r="E733">
            <v>-26714297.350000001</v>
          </cell>
        </row>
        <row r="734">
          <cell r="A734" t="str">
            <v>Hcp Plastene Bulkpack Plt-Malaysia</v>
          </cell>
          <cell r="E734">
            <v>0.01</v>
          </cell>
        </row>
        <row r="735">
          <cell r="A735" t="str">
            <v>Hd Microns Limited</v>
          </cell>
          <cell r="E735">
            <v>656262.9</v>
          </cell>
        </row>
        <row r="736">
          <cell r="A736" t="str">
            <v>HDFC Car Loan No Agreement No 139105052 XUV700 GJ01WK4063</v>
          </cell>
          <cell r="E736">
            <v>-923069.63</v>
          </cell>
        </row>
        <row r="737">
          <cell r="A737" t="str">
            <v>Hdpe Line (Pm)</v>
          </cell>
          <cell r="E737">
            <v>381584</v>
          </cell>
        </row>
        <row r="738">
          <cell r="A738" t="str">
            <v>Heading Equipment Machine</v>
          </cell>
          <cell r="E738">
            <v>155000</v>
          </cell>
        </row>
        <row r="739">
          <cell r="A739" t="str">
            <v>Heat Exchanger</v>
          </cell>
          <cell r="E739">
            <v>135000</v>
          </cell>
        </row>
        <row r="740">
          <cell r="A740" t="str">
            <v>Heer Engineering</v>
          </cell>
          <cell r="E740">
            <v>-1058680</v>
          </cell>
        </row>
        <row r="741">
          <cell r="A741" t="str">
            <v>Hella Infra Market Private Limited</v>
          </cell>
          <cell r="E741">
            <v>-6444</v>
          </cell>
        </row>
        <row r="742">
          <cell r="A742" t="str">
            <v>Hemant Tyre Shop</v>
          </cell>
          <cell r="E742">
            <v>-1200.01</v>
          </cell>
        </row>
        <row r="743">
          <cell r="A743" t="str">
            <v>Hemraj P. Chaudhary</v>
          </cell>
          <cell r="E743">
            <v>30922.3</v>
          </cell>
        </row>
        <row r="744">
          <cell r="A744" t="str">
            <v>Hemtech Incorporated</v>
          </cell>
          <cell r="E744">
            <v>0</v>
          </cell>
        </row>
        <row r="745">
          <cell r="A745" t="str">
            <v>Hermione Renewables Private Limited</v>
          </cell>
          <cell r="E745">
            <v>-41354</v>
          </cell>
        </row>
        <row r="746">
          <cell r="A746" t="str">
            <v>Hi Flex Hydraulics Pvt Ltd</v>
          </cell>
          <cell r="E746">
            <v>-0.06</v>
          </cell>
        </row>
        <row r="747">
          <cell r="A747" t="str">
            <v>Hi-Tech Inks Private Limited</v>
          </cell>
          <cell r="E747">
            <v>-106943</v>
          </cell>
        </row>
        <row r="748">
          <cell r="A748" t="str">
            <v>High Speed Slitting Rewinder</v>
          </cell>
          <cell r="E748">
            <v>4448742</v>
          </cell>
        </row>
        <row r="749">
          <cell r="A749" t="str">
            <v>Himalay Thermoplast</v>
          </cell>
          <cell r="E749">
            <v>1270211</v>
          </cell>
        </row>
        <row r="750">
          <cell r="A750" t="str">
            <v>Himalay Thermoware Llp</v>
          </cell>
          <cell r="E750">
            <v>5327767.66</v>
          </cell>
        </row>
        <row r="751">
          <cell r="A751" t="str">
            <v>Himanshu Enterprise</v>
          </cell>
          <cell r="E751">
            <v>-20215</v>
          </cell>
        </row>
        <row r="752">
          <cell r="A752" t="str">
            <v>Hindustan Acid Supply Co.</v>
          </cell>
          <cell r="E752">
            <v>-6301</v>
          </cell>
        </row>
        <row r="753">
          <cell r="A753" t="str">
            <v>Hitesh Scale Repairing Works</v>
          </cell>
          <cell r="E753">
            <v>0</v>
          </cell>
        </row>
        <row r="754">
          <cell r="A754" t="str">
            <v>Hkp Steel Pvt Ltd</v>
          </cell>
          <cell r="E754">
            <v>-1</v>
          </cell>
        </row>
        <row r="755">
          <cell r="A755" t="str">
            <v>Hmt Ceramics &amp; Engineering</v>
          </cell>
          <cell r="E755">
            <v>-0.2</v>
          </cell>
        </row>
        <row r="756">
          <cell r="A756" t="str">
            <v>Hopper Loader</v>
          </cell>
          <cell r="E756">
            <v>271380</v>
          </cell>
        </row>
        <row r="757">
          <cell r="A757" t="str">
            <v>Horizon Protech</v>
          </cell>
          <cell r="E757">
            <v>0</v>
          </cell>
        </row>
        <row r="758">
          <cell r="A758" t="str">
            <v>Hotel Seven Spice</v>
          </cell>
          <cell r="E758">
            <v>-1008</v>
          </cell>
        </row>
        <row r="759">
          <cell r="A759" t="str">
            <v>House Keeping Expense</v>
          </cell>
          <cell r="E759">
            <v>1671981.3</v>
          </cell>
        </row>
        <row r="760">
          <cell r="A760" t="str">
            <v>House Rent Deposit</v>
          </cell>
          <cell r="E760">
            <v>154485</v>
          </cell>
        </row>
        <row r="761">
          <cell r="A761" t="str">
            <v>Hp Clutch Motor 2800 Rpm 230 Volt</v>
          </cell>
          <cell r="E761">
            <v>93722</v>
          </cell>
        </row>
        <row r="762">
          <cell r="A762" t="str">
            <v>Hq Tek Limited</v>
          </cell>
          <cell r="E762">
            <v>-0.01</v>
          </cell>
        </row>
        <row r="763">
          <cell r="A763" t="str">
            <v>Humidity Vaccum Air Cooling System</v>
          </cell>
          <cell r="E763">
            <v>7778645.2000000002</v>
          </cell>
        </row>
        <row r="764">
          <cell r="A764" t="str">
            <v>Hyatt Regency</v>
          </cell>
          <cell r="E764">
            <v>0</v>
          </cell>
        </row>
        <row r="765">
          <cell r="A765" t="str">
            <v>Hydraulic Baffle And Round Punching Machine</v>
          </cell>
          <cell r="E765">
            <v>495000</v>
          </cell>
        </row>
        <row r="766">
          <cell r="A766" t="str">
            <v>Hydraulic Baling Machine</v>
          </cell>
          <cell r="E766">
            <v>15155856.949999999</v>
          </cell>
        </row>
        <row r="767">
          <cell r="A767" t="str">
            <v>Hydraulic Hand Pallet Truck</v>
          </cell>
          <cell r="E767">
            <v>1174415</v>
          </cell>
        </row>
        <row r="768">
          <cell r="A768" t="str">
            <v>Hydraulic Lift Machine</v>
          </cell>
          <cell r="E768">
            <v>1564968</v>
          </cell>
        </row>
        <row r="769">
          <cell r="A769" t="str">
            <v>Hydraulic Loading Platform</v>
          </cell>
          <cell r="E769">
            <v>462865</v>
          </cell>
        </row>
        <row r="770">
          <cell r="A770" t="str">
            <v>I T C Limited_24AAACI5950L1ZG</v>
          </cell>
          <cell r="E770">
            <v>-129308.49</v>
          </cell>
        </row>
        <row r="771">
          <cell r="A771" t="str">
            <v>ICICI Bank- Forklift Loan A/C Lqabd00037314129</v>
          </cell>
          <cell r="E771">
            <v>0.09</v>
          </cell>
        </row>
        <row r="772">
          <cell r="A772" t="str">
            <v>ICICI Lombard General Insurance Co Ltd</v>
          </cell>
          <cell r="E772">
            <v>-42076</v>
          </cell>
        </row>
        <row r="773">
          <cell r="A773" t="str">
            <v>Idol Polytech Pvt Ltd</v>
          </cell>
          <cell r="E773">
            <v>1505355.32</v>
          </cell>
        </row>
        <row r="774">
          <cell r="A774" t="str">
            <v>Iffco Tokio General Insurance Co. Ltd</v>
          </cell>
          <cell r="E774">
            <v>1</v>
          </cell>
        </row>
        <row r="775">
          <cell r="A775" t="str">
            <v>IGST Input</v>
          </cell>
          <cell r="E775">
            <v>7663421.8499999996</v>
          </cell>
        </row>
        <row r="776">
          <cell r="A776" t="str">
            <v>IGST Output A/c</v>
          </cell>
          <cell r="E776">
            <v>-12650336.32</v>
          </cell>
        </row>
        <row r="777">
          <cell r="A777" t="str">
            <v>IGST Refund Receivable Under Rebate</v>
          </cell>
          <cell r="E777">
            <v>14116850.560000001</v>
          </cell>
        </row>
        <row r="778">
          <cell r="A778" t="str">
            <v>Iliyas Gulabmiyam Malek</v>
          </cell>
          <cell r="E778">
            <v>0</v>
          </cell>
        </row>
        <row r="779">
          <cell r="A779" t="str">
            <v>Inar company Private Limited (formaly Tumi Enterprise Pvt Ltd)</v>
          </cell>
          <cell r="E779">
            <v>-47829</v>
          </cell>
        </row>
        <row r="780">
          <cell r="A780" t="str">
            <v>Incentive Expense - Attendence</v>
          </cell>
          <cell r="E780">
            <v>68822</v>
          </cell>
        </row>
        <row r="781">
          <cell r="A781" t="str">
            <v>Incentive Expense - Production</v>
          </cell>
          <cell r="E781">
            <v>3287125</v>
          </cell>
        </row>
        <row r="782">
          <cell r="A782" t="str">
            <v>Income From Wind Mill</v>
          </cell>
          <cell r="E782">
            <v>-9595066</v>
          </cell>
        </row>
        <row r="783">
          <cell r="A783" t="str">
            <v>Income Tax Ay 2011-12</v>
          </cell>
          <cell r="E783">
            <v>1050000</v>
          </cell>
        </row>
        <row r="784">
          <cell r="A784" t="str">
            <v>Income Tax Ay 2015-16</v>
          </cell>
          <cell r="E784">
            <v>2500000</v>
          </cell>
        </row>
        <row r="785">
          <cell r="A785" t="str">
            <v>Income Tax Expenses</v>
          </cell>
          <cell r="E785">
            <v>500</v>
          </cell>
        </row>
        <row r="786">
          <cell r="A786" t="str">
            <v>India Factoring And Finance</v>
          </cell>
          <cell r="E786">
            <v>406875.19</v>
          </cell>
        </row>
        <row r="787">
          <cell r="A787" t="str">
            <v>Indian Bank CGSE Term Loan A/C No. 8280462013</v>
          </cell>
          <cell r="E787">
            <v>-39478561</v>
          </cell>
        </row>
        <row r="788">
          <cell r="A788" t="str">
            <v>Indian Bank-24AAACI1607G3Z3</v>
          </cell>
          <cell r="E788">
            <v>7560</v>
          </cell>
        </row>
        <row r="789">
          <cell r="A789" t="str">
            <v>Indian Institute Of Packaging</v>
          </cell>
          <cell r="E789">
            <v>-80</v>
          </cell>
        </row>
        <row r="790">
          <cell r="A790" t="str">
            <v>Indian Institute Of Packaging - Ahmedabad</v>
          </cell>
          <cell r="E790">
            <v>26744.9</v>
          </cell>
        </row>
        <row r="791">
          <cell r="A791" t="str">
            <v>Indian Oil Corporation Limited (03D5)</v>
          </cell>
          <cell r="E791">
            <v>38907.51</v>
          </cell>
        </row>
        <row r="792">
          <cell r="A792" t="str">
            <v>Indian Oil Corporation Limited (03I9)</v>
          </cell>
          <cell r="E792">
            <v>-0.09</v>
          </cell>
        </row>
        <row r="793">
          <cell r="A793" t="str">
            <v>Indian Oil Corporation Limited (RSC)</v>
          </cell>
          <cell r="E793">
            <v>-6480932.3899999997</v>
          </cell>
        </row>
        <row r="794">
          <cell r="A794" t="str">
            <v>Indian Oil Corporation Limited (Rsc)-Rajkot</v>
          </cell>
          <cell r="E794">
            <v>320540.90999999997</v>
          </cell>
        </row>
        <row r="795">
          <cell r="A795" t="str">
            <v>Indian Oil Corporation Limited (RSC)-Vapi</v>
          </cell>
          <cell r="E795">
            <v>2488.6</v>
          </cell>
        </row>
        <row r="796">
          <cell r="A796" t="str">
            <v>Indian Oil Corporation Limited-Delhi</v>
          </cell>
          <cell r="E796">
            <v>-530144.96</v>
          </cell>
        </row>
        <row r="797">
          <cell r="A797" t="str">
            <v>Indian Oil Corporation Ltd-Haryana-(Pur)</v>
          </cell>
          <cell r="E797">
            <v>-214856.89</v>
          </cell>
        </row>
        <row r="798">
          <cell r="A798" t="str">
            <v>Indian Oil Corporation Ltd. ( Ahmedabad )</v>
          </cell>
          <cell r="E798">
            <v>-4809415.3600000003</v>
          </cell>
        </row>
        <row r="799">
          <cell r="A799" t="str">
            <v>Indian Oil Corporation Ltd.- Customer Sales A/c</v>
          </cell>
          <cell r="E799">
            <v>14734917.380000001</v>
          </cell>
        </row>
        <row r="800">
          <cell r="A800" t="str">
            <v>Indian Oil Corporation, Delhi</v>
          </cell>
          <cell r="E800">
            <v>-12741.95</v>
          </cell>
        </row>
        <row r="801">
          <cell r="A801" t="str">
            <v>Indian Oil Corporation, Rajkot</v>
          </cell>
          <cell r="E801">
            <v>0</v>
          </cell>
        </row>
        <row r="802">
          <cell r="A802" t="str">
            <v>Indian Safety Solution</v>
          </cell>
          <cell r="E802">
            <v>-2576</v>
          </cell>
        </row>
        <row r="803">
          <cell r="A803" t="str">
            <v>Indiana Bearings Private Limited</v>
          </cell>
          <cell r="E803">
            <v>-5192</v>
          </cell>
        </row>
        <row r="804">
          <cell r="A804" t="str">
            <v>Indusind General Insurance Company Limited</v>
          </cell>
          <cell r="E804">
            <v>-312700</v>
          </cell>
        </row>
        <row r="805">
          <cell r="A805" t="str">
            <v>Industria Sulfuria S.A.</v>
          </cell>
          <cell r="E805">
            <v>249450.01</v>
          </cell>
        </row>
        <row r="806">
          <cell r="A806" t="str">
            <v>Industrial Bag Packaging</v>
          </cell>
          <cell r="E806">
            <v>-559.36</v>
          </cell>
        </row>
        <row r="807">
          <cell r="A807" t="str">
            <v>Industrial Rubber Company</v>
          </cell>
          <cell r="E807">
            <v>-0.2</v>
          </cell>
        </row>
        <row r="808">
          <cell r="A808" t="str">
            <v>Industrial Steel Corporatoion</v>
          </cell>
          <cell r="E808">
            <v>-1133</v>
          </cell>
        </row>
        <row r="809">
          <cell r="A809" t="str">
            <v>Industrial Vaccum Cleaner</v>
          </cell>
          <cell r="E809">
            <v>343000</v>
          </cell>
        </row>
        <row r="810">
          <cell r="A810" t="str">
            <v>Infiniti Retail Ltd (Croma)</v>
          </cell>
          <cell r="E810">
            <v>-42999</v>
          </cell>
        </row>
        <row r="811">
          <cell r="A811" t="str">
            <v>Infomerics Valuation And Rating Pvt. Ltd</v>
          </cell>
          <cell r="E811">
            <v>445700</v>
          </cell>
        </row>
        <row r="812">
          <cell r="A812" t="str">
            <v>Insurance Claim Receivable</v>
          </cell>
          <cell r="E812">
            <v>424184407.97000003</v>
          </cell>
        </row>
        <row r="813">
          <cell r="A813" t="str">
            <v>Insurance Exp - Vehicles</v>
          </cell>
          <cell r="E813">
            <v>39827.17</v>
          </cell>
        </row>
        <row r="814">
          <cell r="A814" t="str">
            <v>Insurance Expense - Ecgc - Pc</v>
          </cell>
          <cell r="E814">
            <v>687823.03</v>
          </cell>
        </row>
        <row r="815">
          <cell r="A815" t="str">
            <v>Insurance Expenses - Marine</v>
          </cell>
          <cell r="E815">
            <v>85764.77</v>
          </cell>
        </row>
        <row r="816">
          <cell r="A816" t="str">
            <v>Insurance Expenses - Other</v>
          </cell>
          <cell r="E816">
            <v>671740.1</v>
          </cell>
        </row>
        <row r="817">
          <cell r="A817" t="str">
            <v>Insurance Expenses - Plant</v>
          </cell>
          <cell r="E817">
            <v>7788</v>
          </cell>
        </row>
        <row r="818">
          <cell r="A818" t="str">
            <v>Inter Bulk Usa</v>
          </cell>
          <cell r="E818">
            <v>3642.03</v>
          </cell>
        </row>
        <row r="819">
          <cell r="A819" t="str">
            <v>Interasia Lines Singapore Pte Ltd.</v>
          </cell>
          <cell r="E819">
            <v>810188.19</v>
          </cell>
        </row>
        <row r="820">
          <cell r="A820" t="str">
            <v>Interest Expense -  Term Loan</v>
          </cell>
          <cell r="E820">
            <v>7324807.8499999996</v>
          </cell>
        </row>
        <row r="821">
          <cell r="A821" t="str">
            <v>Interest Expense - EPC</v>
          </cell>
          <cell r="E821">
            <v>4437727.3499999996</v>
          </cell>
        </row>
        <row r="822">
          <cell r="A822" t="str">
            <v>Interest Expense - Factoring</v>
          </cell>
          <cell r="E822">
            <v>2108039.71</v>
          </cell>
        </row>
        <row r="823">
          <cell r="A823" t="str">
            <v>Interest Expense - Other</v>
          </cell>
          <cell r="E823">
            <v>2523589.0299999998</v>
          </cell>
        </row>
        <row r="824">
          <cell r="A824" t="str">
            <v>Interest Expense - PCFC</v>
          </cell>
          <cell r="E824">
            <v>609726</v>
          </cell>
        </row>
        <row r="825">
          <cell r="A825" t="str">
            <v>Interest Expense - Vehicle Loan</v>
          </cell>
          <cell r="E825">
            <v>184435.20000000001</v>
          </cell>
        </row>
        <row r="826">
          <cell r="A826" t="str">
            <v>Interest Expense - Working Capital</v>
          </cell>
          <cell r="E826">
            <v>34029674.57</v>
          </cell>
        </row>
        <row r="827">
          <cell r="A827" t="str">
            <v>Interest on FDR</v>
          </cell>
          <cell r="E827">
            <v>-131129</v>
          </cell>
        </row>
        <row r="828">
          <cell r="A828" t="str">
            <v>Interest On TDS</v>
          </cell>
          <cell r="E828">
            <v>7300</v>
          </cell>
        </row>
        <row r="829">
          <cell r="A829" t="str">
            <v>Interest Received From Customers</v>
          </cell>
          <cell r="E829">
            <v>-6752077.5300000003</v>
          </cell>
        </row>
        <row r="830">
          <cell r="A830" t="str">
            <v>Interest Received From Other</v>
          </cell>
          <cell r="E830">
            <v>-42865.82</v>
          </cell>
        </row>
        <row r="831">
          <cell r="A831" t="str">
            <v>Interest to MSME Vendors Payable</v>
          </cell>
          <cell r="E831">
            <v>-98654</v>
          </cell>
        </row>
        <row r="832">
          <cell r="A832" t="str">
            <v>Interglobe Aviation Limited -Tamilnadu</v>
          </cell>
          <cell r="E832">
            <v>-26024</v>
          </cell>
        </row>
        <row r="833">
          <cell r="A833" t="str">
            <v>Interglobe Aviation Limited-Gujarat</v>
          </cell>
          <cell r="E833">
            <v>-6097</v>
          </cell>
        </row>
        <row r="834">
          <cell r="A834" t="str">
            <v>Interglobe Aviation Limited_22AABCI2726B1ZC</v>
          </cell>
          <cell r="E834">
            <v>-12681</v>
          </cell>
        </row>
        <row r="835">
          <cell r="A835" t="str">
            <v>Interglobe Aviation Limited_27AABCI2726B1Z2</v>
          </cell>
          <cell r="E835">
            <v>-80542</v>
          </cell>
        </row>
        <row r="836">
          <cell r="A836" t="str">
            <v>Interglobe Aviation Limited_29AABCI2726B1ZY</v>
          </cell>
          <cell r="E836">
            <v>-19574</v>
          </cell>
        </row>
        <row r="837">
          <cell r="A837" t="str">
            <v>Interiors</v>
          </cell>
          <cell r="E837">
            <v>-680</v>
          </cell>
        </row>
        <row r="838">
          <cell r="A838" t="str">
            <v>Internal Transportation Expense / Reimbursement</v>
          </cell>
          <cell r="E838">
            <v>4800</v>
          </cell>
        </row>
        <row r="839">
          <cell r="A839" t="str">
            <v>International Electricals</v>
          </cell>
          <cell r="E839">
            <v>-17582</v>
          </cell>
        </row>
        <row r="840">
          <cell r="A840" t="str">
            <v>International Plastic Sourcing Private Limited</v>
          </cell>
          <cell r="E840">
            <v>6673</v>
          </cell>
        </row>
        <row r="841">
          <cell r="A841" t="str">
            <v>Inventory- Fg</v>
          </cell>
          <cell r="E841">
            <v>479885434.07999998</v>
          </cell>
        </row>
        <row r="842">
          <cell r="A842" t="str">
            <v>Inventory- Packing Material</v>
          </cell>
          <cell r="E842">
            <v>1478843.06</v>
          </cell>
        </row>
        <row r="843">
          <cell r="A843" t="str">
            <v>Inventory- Raw Material</v>
          </cell>
          <cell r="E843">
            <v>92207072.829999998</v>
          </cell>
        </row>
        <row r="844">
          <cell r="A844" t="str">
            <v>Inventory- Stores &amp; Spares</v>
          </cell>
          <cell r="E844">
            <v>24942354.859999999</v>
          </cell>
        </row>
        <row r="845">
          <cell r="A845" t="str">
            <v>Inventory- Wip</v>
          </cell>
          <cell r="E845">
            <v>84189882.430000007</v>
          </cell>
        </row>
        <row r="846">
          <cell r="A846" t="str">
            <v>Inverter</v>
          </cell>
          <cell r="E846">
            <v>68414</v>
          </cell>
        </row>
        <row r="847">
          <cell r="A847" t="str">
            <v>Inverter Cum Ups</v>
          </cell>
          <cell r="E847">
            <v>15750</v>
          </cell>
        </row>
        <row r="848">
          <cell r="A848" t="str">
            <v>Investment in Ordinary Shares Class A</v>
          </cell>
          <cell r="E848">
            <v>-1000000</v>
          </cell>
        </row>
        <row r="849">
          <cell r="A849" t="str">
            <v>Investment In Shares Of Gopala Polyplast Limited</v>
          </cell>
          <cell r="E849">
            <v>5000000</v>
          </cell>
        </row>
        <row r="850">
          <cell r="A850" t="str">
            <v>Investment in Shares of Oliva Garden SA</v>
          </cell>
          <cell r="E850">
            <v>34160</v>
          </cell>
        </row>
        <row r="851">
          <cell r="A851" t="str">
            <v>Investment In Shares Of OPGS Power Guj Pvt Limited</v>
          </cell>
          <cell r="E851">
            <v>37905</v>
          </cell>
        </row>
        <row r="852">
          <cell r="A852" t="str">
            <v>Investment In Shares Of Oswal Extrusion Limited</v>
          </cell>
          <cell r="E852">
            <v>20622668</v>
          </cell>
        </row>
        <row r="853">
          <cell r="A853" t="str">
            <v>IOCL  Global Non Woven Fabric Private Limited</v>
          </cell>
          <cell r="E853">
            <v>-322000</v>
          </cell>
        </row>
        <row r="854">
          <cell r="A854" t="str">
            <v>Iocl  Spunweb India Private Limited</v>
          </cell>
          <cell r="E854">
            <v>-25190.51</v>
          </cell>
        </row>
        <row r="855">
          <cell r="A855" t="str">
            <v>IOCL - Aarch Nonwoven</v>
          </cell>
          <cell r="E855">
            <v>-248300.17</v>
          </cell>
        </row>
        <row r="856">
          <cell r="A856" t="str">
            <v>IOCL - Actionware India Pvt Ltd</v>
          </cell>
          <cell r="E856">
            <v>1999.34</v>
          </cell>
        </row>
        <row r="857">
          <cell r="A857" t="str">
            <v>IOCL - Ajanta Plastic Industries</v>
          </cell>
          <cell r="E857">
            <v>-134100</v>
          </cell>
        </row>
        <row r="858">
          <cell r="A858" t="str">
            <v>IOCL - Austrol Nonwoven</v>
          </cell>
          <cell r="E858">
            <v>-919271.53</v>
          </cell>
        </row>
        <row r="859">
          <cell r="A859" t="str">
            <v>IOCL - Balaji Polyplast</v>
          </cell>
          <cell r="E859">
            <v>-11</v>
          </cell>
        </row>
        <row r="860">
          <cell r="A860" t="str">
            <v>IOCL - Dharmi Techno Fab</v>
          </cell>
          <cell r="E860">
            <v>-0.96</v>
          </cell>
        </row>
        <row r="861">
          <cell r="A861" t="str">
            <v>IOCL - Dugar Polytex Pvt Ltd</v>
          </cell>
          <cell r="E861">
            <v>-43900</v>
          </cell>
        </row>
        <row r="862">
          <cell r="A862" t="str">
            <v>IOCL - Elinor International Private Limited</v>
          </cell>
          <cell r="E862">
            <v>-0.24</v>
          </cell>
        </row>
        <row r="863">
          <cell r="A863" t="str">
            <v>IOCL - Eximius Incorporation</v>
          </cell>
          <cell r="E863">
            <v>-0.32</v>
          </cell>
        </row>
        <row r="864">
          <cell r="A864" t="str">
            <v>IOCL - Eximius Innovative Private Limited</v>
          </cell>
          <cell r="E864">
            <v>-0.73</v>
          </cell>
        </row>
        <row r="865">
          <cell r="A865" t="str">
            <v>IOCL - Eximius Techtex Private Limited</v>
          </cell>
          <cell r="E865">
            <v>-55000.82</v>
          </cell>
        </row>
        <row r="866">
          <cell r="A866" t="str">
            <v>IOCL - Floraware India Private Limited</v>
          </cell>
          <cell r="E866">
            <v>-99000</v>
          </cell>
        </row>
        <row r="867">
          <cell r="A867" t="str">
            <v>IOCL - Havmor Plast Private Limited</v>
          </cell>
          <cell r="E867">
            <v>-436103</v>
          </cell>
        </row>
        <row r="868">
          <cell r="A868" t="str">
            <v>IOCL - Idol Polytech Pvt Ltd</v>
          </cell>
          <cell r="E868">
            <v>-0.81</v>
          </cell>
        </row>
        <row r="869">
          <cell r="A869" t="str">
            <v>IOCL - Kalson Fabric Pvt Ltd</v>
          </cell>
          <cell r="E869">
            <v>-322576.45</v>
          </cell>
        </row>
        <row r="870">
          <cell r="A870" t="str">
            <v>IOCL - Karam Multipack Pvt Ltd</v>
          </cell>
          <cell r="E870">
            <v>-0.72</v>
          </cell>
        </row>
        <row r="871">
          <cell r="A871" t="str">
            <v>IOCL - Kent Agro Industries</v>
          </cell>
          <cell r="E871">
            <v>-1750</v>
          </cell>
        </row>
        <row r="872">
          <cell r="A872" t="str">
            <v>IOCL - Ktex Nonwovens Private Limited</v>
          </cell>
          <cell r="E872">
            <v>-178705</v>
          </cell>
        </row>
        <row r="873">
          <cell r="A873" t="str">
            <v>IOCL - Marudhar Polymers - Sales</v>
          </cell>
          <cell r="E873">
            <v>1.84</v>
          </cell>
        </row>
        <row r="874">
          <cell r="A874" t="str">
            <v>IOCL - N.S.Engineering Plastic</v>
          </cell>
          <cell r="E874">
            <v>0.97</v>
          </cell>
        </row>
        <row r="875">
          <cell r="A875" t="str">
            <v>IOCL - Neon Polypack</v>
          </cell>
          <cell r="E875">
            <v>-0.82</v>
          </cell>
        </row>
        <row r="876">
          <cell r="A876" t="str">
            <v>IOCL - Pal Polyfilm</v>
          </cell>
          <cell r="E876">
            <v>-0.35</v>
          </cell>
        </row>
        <row r="877">
          <cell r="A877" t="str">
            <v>IOCL - Parker Plasten</v>
          </cell>
          <cell r="E877">
            <v>-13600</v>
          </cell>
        </row>
        <row r="878">
          <cell r="A878" t="str">
            <v>IOCL - Plastene India ltd - Unit 1-Sales</v>
          </cell>
          <cell r="E878">
            <v>-0.51</v>
          </cell>
        </row>
        <row r="879">
          <cell r="A879" t="str">
            <v>IOCL - Polymer Impex Pvt Ltd</v>
          </cell>
          <cell r="E879">
            <v>-49200</v>
          </cell>
        </row>
        <row r="880">
          <cell r="A880" t="str">
            <v>IOCL - Popular Polypack</v>
          </cell>
          <cell r="E880">
            <v>-1.1100000000000001</v>
          </cell>
        </row>
        <row r="881">
          <cell r="A881" t="str">
            <v>IOCL - Prime Polymers</v>
          </cell>
          <cell r="E881">
            <v>-0.28000000000000003</v>
          </cell>
        </row>
        <row r="882">
          <cell r="A882" t="str">
            <v>IOCL - Prime Product</v>
          </cell>
          <cell r="E882">
            <v>-0.11</v>
          </cell>
        </row>
        <row r="883">
          <cell r="A883" t="str">
            <v>IOCL - Rajesh Enterprise</v>
          </cell>
          <cell r="E883">
            <v>-18250</v>
          </cell>
        </row>
        <row r="884">
          <cell r="A884" t="str">
            <v>IOCL - Real Technitex</v>
          </cell>
          <cell r="E884">
            <v>-180400.73</v>
          </cell>
        </row>
        <row r="885">
          <cell r="A885" t="str">
            <v>IOCL - Rotex Fabric Pvt Ltd</v>
          </cell>
          <cell r="E885">
            <v>-27000.06</v>
          </cell>
        </row>
        <row r="886">
          <cell r="A886" t="str">
            <v>IOCL - Royal Marketing</v>
          </cell>
          <cell r="E886">
            <v>-0.09</v>
          </cell>
        </row>
        <row r="887">
          <cell r="A887" t="str">
            <v>IOCL - Shiv Sai Polymers</v>
          </cell>
          <cell r="E887">
            <v>-24000</v>
          </cell>
        </row>
        <row r="888">
          <cell r="A888" t="str">
            <v>IOCL - Shree Siddhi Vinayak Plastic</v>
          </cell>
          <cell r="E888">
            <v>0.05</v>
          </cell>
        </row>
        <row r="889">
          <cell r="A889" t="str">
            <v>IOCL - Shreeji Polypack</v>
          </cell>
          <cell r="E889">
            <v>-113900</v>
          </cell>
        </row>
        <row r="890">
          <cell r="A890" t="str">
            <v>IOCL - Shreya Micro Plast Pvt Ltd</v>
          </cell>
          <cell r="E890">
            <v>-0.18</v>
          </cell>
        </row>
        <row r="891">
          <cell r="A891" t="str">
            <v>IOCL - Spunweb Nonwoven</v>
          </cell>
          <cell r="E891">
            <v>0.64</v>
          </cell>
        </row>
        <row r="892">
          <cell r="A892" t="str">
            <v>IOCL - Spunweb Nonwoven Limited</v>
          </cell>
          <cell r="E892">
            <v>-20000.46</v>
          </cell>
        </row>
        <row r="893">
          <cell r="A893" t="str">
            <v>IOCL - Spunweb Nonwoven Pvt Ltd</v>
          </cell>
          <cell r="E893">
            <v>-0.57999999999999996</v>
          </cell>
        </row>
        <row r="894">
          <cell r="A894" t="str">
            <v>IOCL - Sun Packaging</v>
          </cell>
          <cell r="E894">
            <v>-123861</v>
          </cell>
        </row>
        <row r="895">
          <cell r="A895" t="str">
            <v>IOCL - Super Tech</v>
          </cell>
          <cell r="E895">
            <v>-184001</v>
          </cell>
        </row>
        <row r="896">
          <cell r="A896" t="str">
            <v>IOCL - Texon Fabrics Pvt Ltd - Sales</v>
          </cell>
          <cell r="E896">
            <v>-0.65</v>
          </cell>
        </row>
        <row r="897">
          <cell r="A897" t="str">
            <v>IOCL - Varahi Polymers</v>
          </cell>
          <cell r="E897">
            <v>-2</v>
          </cell>
        </row>
        <row r="898">
          <cell r="A898" t="str">
            <v>IOCL - Velocity Netting Solution</v>
          </cell>
          <cell r="E898">
            <v>-1</v>
          </cell>
        </row>
        <row r="899">
          <cell r="A899" t="str">
            <v>IOCL Akashganga Manufactures</v>
          </cell>
          <cell r="E899">
            <v>-5000</v>
          </cell>
        </row>
        <row r="900">
          <cell r="A900" t="str">
            <v>IOCL Jain Bulk Pack</v>
          </cell>
          <cell r="E900">
            <v>-1191</v>
          </cell>
        </row>
        <row r="901">
          <cell r="A901" t="str">
            <v>IOCL- Diza Nonwoven Llp</v>
          </cell>
          <cell r="E901">
            <v>-240600</v>
          </cell>
        </row>
        <row r="902">
          <cell r="A902" t="str">
            <v>IOCL- N-Fab Textile Pvt. Ltd.</v>
          </cell>
          <cell r="E902">
            <v>-31000</v>
          </cell>
        </row>
        <row r="903">
          <cell r="A903" t="str">
            <v>IOCL-Aditi Toys Private Limited</v>
          </cell>
          <cell r="E903">
            <v>-44138</v>
          </cell>
        </row>
        <row r="904">
          <cell r="A904" t="str">
            <v>IOCL-Glare Cutlery Private Limited</v>
          </cell>
          <cell r="E904">
            <v>-204</v>
          </cell>
        </row>
        <row r="905">
          <cell r="A905" t="str">
            <v>IOCLl - Girlloh Global Inc</v>
          </cell>
          <cell r="E905">
            <v>-0.02</v>
          </cell>
        </row>
        <row r="906">
          <cell r="A906" t="str">
            <v>Isbir Mewar Bulk Bag Private Limited</v>
          </cell>
          <cell r="E906">
            <v>1164996.42</v>
          </cell>
        </row>
        <row r="907">
          <cell r="A907" t="str">
            <v>Ishaan Enterprise</v>
          </cell>
          <cell r="E907">
            <v>0.1</v>
          </cell>
        </row>
        <row r="908">
          <cell r="A908" t="str">
            <v>Ishan Plastic LLP</v>
          </cell>
          <cell r="E908">
            <v>-9917.25</v>
          </cell>
        </row>
        <row r="909">
          <cell r="A909" t="str">
            <v>Isotech Tie Up Pvt Ltd</v>
          </cell>
          <cell r="E909">
            <v>-1158407</v>
          </cell>
        </row>
        <row r="910">
          <cell r="A910" t="str">
            <v>ISSGF India Private Limited</v>
          </cell>
          <cell r="E910">
            <v>-1909.4</v>
          </cell>
        </row>
        <row r="911">
          <cell r="A911" t="str">
            <v>J J Plastalloy Pvt Ltd</v>
          </cell>
          <cell r="E911">
            <v>-1085600</v>
          </cell>
        </row>
        <row r="912">
          <cell r="A912" t="str">
            <v>J K Diagnostics</v>
          </cell>
          <cell r="E912">
            <v>18045</v>
          </cell>
        </row>
        <row r="913">
          <cell r="A913" t="str">
            <v>J P Extrusiontech Private Limited</v>
          </cell>
          <cell r="E913">
            <v>-61748.6</v>
          </cell>
        </row>
        <row r="914">
          <cell r="A914" t="str">
            <v>J Patel Shipping And Logistics</v>
          </cell>
          <cell r="E914">
            <v>0</v>
          </cell>
        </row>
        <row r="915">
          <cell r="A915" t="str">
            <v>J.K. Products</v>
          </cell>
          <cell r="E915">
            <v>0</v>
          </cell>
        </row>
        <row r="916">
          <cell r="A916" t="str">
            <v>Jagdish B Prajapati</v>
          </cell>
          <cell r="E916">
            <v>-69024</v>
          </cell>
        </row>
        <row r="917">
          <cell r="A917" t="str">
            <v>Jahnavi Polymers</v>
          </cell>
          <cell r="E917">
            <v>359828.73</v>
          </cell>
        </row>
        <row r="918">
          <cell r="A918" t="str">
            <v>Jain Bulk Pack - Ahmedabad</v>
          </cell>
          <cell r="E918">
            <v>-65812705.920000002</v>
          </cell>
        </row>
        <row r="919">
          <cell r="A919" t="str">
            <v>Jain Bulk Pack - Rajkot</v>
          </cell>
          <cell r="E919">
            <v>9056.59</v>
          </cell>
        </row>
        <row r="920">
          <cell r="A920" t="str">
            <v>Jain Bulk Pack - Sales</v>
          </cell>
          <cell r="E920">
            <v>28922810.98</v>
          </cell>
        </row>
        <row r="921">
          <cell r="A921" t="str">
            <v>Jain Caterers</v>
          </cell>
          <cell r="E921">
            <v>-30000</v>
          </cell>
        </row>
        <row r="922">
          <cell r="A922" t="str">
            <v>Jalam Singh</v>
          </cell>
          <cell r="E922">
            <v>40000</v>
          </cell>
        </row>
        <row r="923">
          <cell r="A923" t="str">
            <v>Jalaram Packaging</v>
          </cell>
          <cell r="E923">
            <v>-40425</v>
          </cell>
        </row>
        <row r="924">
          <cell r="A924" t="str">
            <v>Jalaram Plastic</v>
          </cell>
          <cell r="E924">
            <v>30163</v>
          </cell>
        </row>
        <row r="925">
          <cell r="A925" t="str">
            <v>Janta Engineering Co.(Pumpwala)</v>
          </cell>
          <cell r="E925">
            <v>-3328</v>
          </cell>
        </row>
        <row r="926">
          <cell r="A926" t="str">
            <v>Jawana Ram</v>
          </cell>
          <cell r="E926">
            <v>0</v>
          </cell>
        </row>
        <row r="927">
          <cell r="A927" t="str">
            <v>Jay Bhavani Enterprise</v>
          </cell>
          <cell r="E927">
            <v>0.65</v>
          </cell>
        </row>
        <row r="928">
          <cell r="A928" t="str">
            <v>Jay Jagannath Industries - Prop Umeshbhai Kantilal Panchal</v>
          </cell>
          <cell r="E928">
            <v>1515</v>
          </cell>
        </row>
        <row r="929">
          <cell r="A929" t="str">
            <v>Jay Jagannath Industries- 24GKEPP9703F1Z1</v>
          </cell>
          <cell r="E929">
            <v>-97804</v>
          </cell>
        </row>
        <row r="930">
          <cell r="A930" t="str">
            <v>Jay Meldi Engineering Works</v>
          </cell>
          <cell r="E930">
            <v>-31508.18</v>
          </cell>
        </row>
        <row r="931">
          <cell r="A931" t="str">
            <v>Jay Shree Shaktima Textile - 24AGYPP3831G1Z1</v>
          </cell>
          <cell r="E931">
            <v>0</v>
          </cell>
        </row>
        <row r="932">
          <cell r="A932" t="str">
            <v>Jay Umiya Traders</v>
          </cell>
          <cell r="E932">
            <v>-802</v>
          </cell>
        </row>
        <row r="933">
          <cell r="A933" t="str">
            <v>Jaylaxmi Furnishing Pvt Ltd</v>
          </cell>
          <cell r="E933">
            <v>0.01</v>
          </cell>
        </row>
        <row r="934">
          <cell r="A934" t="str">
            <v>Jayshree R. Desai</v>
          </cell>
          <cell r="E934">
            <v>0</v>
          </cell>
        </row>
        <row r="935">
          <cell r="A935" t="str">
            <v>JG Enterprise</v>
          </cell>
          <cell r="E935">
            <v>-32829</v>
          </cell>
        </row>
        <row r="936">
          <cell r="A936" t="str">
            <v>Jhaveri Polyyhouse Private Limited</v>
          </cell>
          <cell r="E936">
            <v>-0.4</v>
          </cell>
        </row>
        <row r="937">
          <cell r="A937" t="str">
            <v>Jill Mill Non Woven Pvt Ltd</v>
          </cell>
          <cell r="E937">
            <v>-293864</v>
          </cell>
        </row>
        <row r="938">
          <cell r="A938" t="str">
            <v>Jincheng Group Imp &amp;  Exp Co Ltd.</v>
          </cell>
          <cell r="E938">
            <v>10668657.130000001</v>
          </cell>
        </row>
        <row r="939">
          <cell r="A939" t="str">
            <v>Jinneng Chemical (Qingdao) Co Ltd</v>
          </cell>
          <cell r="E939">
            <v>-621218.98</v>
          </cell>
        </row>
        <row r="940">
          <cell r="A940" t="str">
            <v>Jitendrasinh B. Zala</v>
          </cell>
          <cell r="E940">
            <v>-59052</v>
          </cell>
        </row>
        <row r="941">
          <cell r="A941" t="str">
            <v>Job Charges</v>
          </cell>
          <cell r="E941">
            <v>49597248.82</v>
          </cell>
        </row>
        <row r="942">
          <cell r="A942" t="str">
            <v>Job Work Income</v>
          </cell>
          <cell r="E942">
            <v>-79774585.090000004</v>
          </cell>
        </row>
        <row r="943">
          <cell r="A943" t="str">
            <v>Jose Maria Camargo</v>
          </cell>
          <cell r="E943">
            <v>9303.89</v>
          </cell>
        </row>
        <row r="944">
          <cell r="A944" t="str">
            <v>Joshi Bansari Ketanbhai</v>
          </cell>
          <cell r="E944">
            <v>0</v>
          </cell>
        </row>
        <row r="945">
          <cell r="A945" t="str">
            <v>Jumbo Sack Corporation</v>
          </cell>
          <cell r="E945">
            <v>49034.82</v>
          </cell>
        </row>
        <row r="946">
          <cell r="A946" t="str">
            <v>Juta A.S.</v>
          </cell>
          <cell r="E946">
            <v>64407777.109999999</v>
          </cell>
        </row>
        <row r="947">
          <cell r="A947" t="str">
            <v>K P Enterprise - (GST 24BHQPV2994G1ZM)</v>
          </cell>
          <cell r="E947">
            <v>-3674</v>
          </cell>
        </row>
        <row r="948">
          <cell r="A948" t="str">
            <v>K Patel Drives Systems</v>
          </cell>
          <cell r="E948">
            <v>0</v>
          </cell>
        </row>
        <row r="949">
          <cell r="A949" t="str">
            <v>K.J.Electric Corporation</v>
          </cell>
          <cell r="E949">
            <v>-610</v>
          </cell>
        </row>
        <row r="950">
          <cell r="A950" t="str">
            <v>K.P. Woven Pvt Ltd - Unit 2 (Nani Chirai) -Purchase</v>
          </cell>
          <cell r="E950">
            <v>-135286.1</v>
          </cell>
        </row>
        <row r="951">
          <cell r="A951" t="str">
            <v>K.P. Woven Pvt Ltd - Unit 2 (Nani Chirai) -Sales</v>
          </cell>
          <cell r="E951">
            <v>290919.21000000002</v>
          </cell>
        </row>
        <row r="952">
          <cell r="A952" t="str">
            <v>K.P. Woven Pvt Ltd - Unit 2 -Purchase</v>
          </cell>
          <cell r="E952">
            <v>-68693398.439999998</v>
          </cell>
        </row>
        <row r="953">
          <cell r="A953" t="str">
            <v>K.P. Woven Pvt Ltd - Unit 2 -Sales</v>
          </cell>
          <cell r="E953">
            <v>176620608.21000001</v>
          </cell>
        </row>
        <row r="954">
          <cell r="A954" t="str">
            <v>K.P. Woven Pvt Ltd - Unit 3 -Purchase</v>
          </cell>
          <cell r="E954">
            <v>-1401213734.28</v>
          </cell>
        </row>
        <row r="955">
          <cell r="A955" t="str">
            <v>K.P. Woven Pvt Ltd - Unit 3 -Sales</v>
          </cell>
          <cell r="E955">
            <v>1047229504.3</v>
          </cell>
        </row>
        <row r="956">
          <cell r="A956" t="str">
            <v>K.P. Woven Pvt Ltd-Purchase</v>
          </cell>
          <cell r="E956">
            <v>1717793562.73</v>
          </cell>
        </row>
        <row r="957">
          <cell r="A957" t="str">
            <v>K.P. Woven Pvt Ltd-Sales</v>
          </cell>
          <cell r="E957">
            <v>-2428074108.7199998</v>
          </cell>
        </row>
        <row r="958">
          <cell r="A958" t="str">
            <v>Kabra Electricals</v>
          </cell>
          <cell r="E958">
            <v>-165441.60999999999</v>
          </cell>
        </row>
        <row r="959">
          <cell r="A959" t="str">
            <v>Kailash Enterprise</v>
          </cell>
          <cell r="E959">
            <v>-16210</v>
          </cell>
        </row>
        <row r="960">
          <cell r="A960" t="str">
            <v>Kailash Sales Corporation</v>
          </cell>
          <cell r="E960">
            <v>-5247</v>
          </cell>
        </row>
        <row r="961">
          <cell r="A961" t="str">
            <v>Kajal P Mehta</v>
          </cell>
          <cell r="E961">
            <v>-15000</v>
          </cell>
        </row>
        <row r="962">
          <cell r="A962" t="str">
            <v>Kal Tire Recycling Chile Spa</v>
          </cell>
          <cell r="E962">
            <v>-0.04</v>
          </cell>
        </row>
        <row r="963">
          <cell r="A963" t="str">
            <v>Kalson Nuvotech Llp</v>
          </cell>
          <cell r="E963">
            <v>-100</v>
          </cell>
        </row>
        <row r="964">
          <cell r="A964" t="str">
            <v>Kamakhya Rubber &amp; Hydraulics Industries</v>
          </cell>
          <cell r="E964">
            <v>0</v>
          </cell>
        </row>
        <row r="965">
          <cell r="A965" t="str">
            <v>Kamaldeep Stationers</v>
          </cell>
          <cell r="E965">
            <v>0</v>
          </cell>
        </row>
        <row r="966">
          <cell r="A966" t="str">
            <v>Kamaldeep Xerox And Stationers</v>
          </cell>
          <cell r="E966">
            <v>-20862</v>
          </cell>
        </row>
        <row r="967">
          <cell r="A967" t="str">
            <v>Kamdhenu Industries</v>
          </cell>
          <cell r="E967">
            <v>-150000</v>
          </cell>
        </row>
        <row r="968">
          <cell r="A968" t="str">
            <v>Kamdhenu Polymers Private Limited</v>
          </cell>
          <cell r="E968">
            <v>-221348</v>
          </cell>
        </row>
        <row r="969">
          <cell r="A969" t="str">
            <v>Kan Power Rubber Industries</v>
          </cell>
          <cell r="E969">
            <v>-11175</v>
          </cell>
        </row>
        <row r="970">
          <cell r="A970" t="str">
            <v>Kantam Kontainers Llp</v>
          </cell>
          <cell r="E970">
            <v>0</v>
          </cell>
        </row>
        <row r="971">
          <cell r="A971" t="str">
            <v>Karam Green Tex Limited</v>
          </cell>
          <cell r="E971">
            <v>7338824.4000000004</v>
          </cell>
        </row>
        <row r="972">
          <cell r="A972" t="str">
            <v>Karam Multipack Pvt Ltd</v>
          </cell>
          <cell r="E972">
            <v>4137038.62</v>
          </cell>
        </row>
        <row r="973">
          <cell r="A973" t="str">
            <v>Karapatsias Ltd</v>
          </cell>
          <cell r="E973">
            <v>-47672.51</v>
          </cell>
        </row>
        <row r="974">
          <cell r="A974" t="str">
            <v>Karmyog Plywood Centre</v>
          </cell>
          <cell r="E974">
            <v>-1168.4000000000001</v>
          </cell>
        </row>
        <row r="975">
          <cell r="A975" t="str">
            <v>Karnavati Polyblends Pvt Ltd</v>
          </cell>
          <cell r="E975">
            <v>-900269.64</v>
          </cell>
        </row>
        <row r="976">
          <cell r="A976" t="str">
            <v>Karneet Enterprises (India) Private Limited</v>
          </cell>
          <cell r="E976">
            <v>-0.5</v>
          </cell>
        </row>
        <row r="977">
          <cell r="A977" t="str">
            <v>Karni Enterprise</v>
          </cell>
          <cell r="E977">
            <v>0</v>
          </cell>
        </row>
        <row r="978">
          <cell r="A978" t="str">
            <v>Kashvi Pharma-Tech Engineering</v>
          </cell>
          <cell r="E978">
            <v>0</v>
          </cell>
        </row>
        <row r="979">
          <cell r="A979" t="str">
            <v>Kataria Carriers, Delhi</v>
          </cell>
          <cell r="E979">
            <v>0</v>
          </cell>
        </row>
        <row r="980">
          <cell r="A980" t="str">
            <v>Kbm Plastic Machinery Llp</v>
          </cell>
          <cell r="E980">
            <v>-14667.4</v>
          </cell>
        </row>
        <row r="981">
          <cell r="A981" t="str">
            <v>KDR Engineers</v>
          </cell>
          <cell r="E981">
            <v>-2762</v>
          </cell>
        </row>
        <row r="982">
          <cell r="A982" t="str">
            <v>Keestar Industries Co Ltd</v>
          </cell>
          <cell r="E982">
            <v>-12274.08</v>
          </cell>
        </row>
        <row r="983">
          <cell r="A983" t="str">
            <v>Keshar Automation</v>
          </cell>
          <cell r="E983">
            <v>0</v>
          </cell>
        </row>
        <row r="984">
          <cell r="A984" t="str">
            <v>Keshav Manpower Solutions</v>
          </cell>
          <cell r="E984">
            <v>49398</v>
          </cell>
        </row>
        <row r="985">
          <cell r="A985" t="str">
            <v>Kfin Technologies Private Limited</v>
          </cell>
          <cell r="E985">
            <v>28320</v>
          </cell>
        </row>
        <row r="986">
          <cell r="A986" t="str">
            <v>Khanna &amp; Khanna Limited</v>
          </cell>
          <cell r="E986">
            <v>0</v>
          </cell>
        </row>
        <row r="987">
          <cell r="A987" t="str">
            <v>Khator Enterprises</v>
          </cell>
          <cell r="E987">
            <v>-95993</v>
          </cell>
        </row>
        <row r="988">
          <cell r="A988" t="str">
            <v>Khushboo Enterprises - Gujarat</v>
          </cell>
          <cell r="E988">
            <v>4254750.16</v>
          </cell>
        </row>
        <row r="989">
          <cell r="A989" t="str">
            <v>Kiran Trading</v>
          </cell>
          <cell r="E989">
            <v>-21533.599999999999</v>
          </cell>
        </row>
        <row r="990">
          <cell r="A990" t="str">
            <v>Kirti Engineering Enterprise - 24ACRPP5435B1ZM</v>
          </cell>
          <cell r="E990">
            <v>-40474</v>
          </cell>
        </row>
        <row r="991">
          <cell r="A991" t="str">
            <v>Kishan Traders - Gandhidham</v>
          </cell>
          <cell r="E991">
            <v>-12948</v>
          </cell>
        </row>
        <row r="992">
          <cell r="A992" t="str">
            <v>KK Consultancy</v>
          </cell>
          <cell r="E992">
            <v>-1642</v>
          </cell>
        </row>
        <row r="993">
          <cell r="A993" t="str">
            <v>Km Obaly S.R.O.</v>
          </cell>
          <cell r="E993">
            <v>0.06</v>
          </cell>
        </row>
        <row r="994">
          <cell r="A994" t="str">
            <v>Knitting &amp; Braiding Machine</v>
          </cell>
          <cell r="E994">
            <v>2760468</v>
          </cell>
        </row>
        <row r="995">
          <cell r="A995" t="str">
            <v>Kohinoor Electric &amp; Febrication Works</v>
          </cell>
          <cell r="E995">
            <v>-82227</v>
          </cell>
        </row>
        <row r="996">
          <cell r="A996" t="str">
            <v>Konkan Speciality Poly Products Pvt Ltd</v>
          </cell>
          <cell r="E996">
            <v>-28084</v>
          </cell>
        </row>
        <row r="997">
          <cell r="A997" t="str">
            <v>Kpr Enterprise</v>
          </cell>
          <cell r="E997">
            <v>-2208.52</v>
          </cell>
        </row>
        <row r="998">
          <cell r="A998" t="str">
            <v>Krishan Kumar Yadav</v>
          </cell>
          <cell r="E998">
            <v>39083</v>
          </cell>
        </row>
        <row r="999">
          <cell r="A999" t="str">
            <v>Krishna &amp; Co. - Nani Chirai (V.H)</v>
          </cell>
          <cell r="E999">
            <v>0</v>
          </cell>
        </row>
        <row r="1000">
          <cell r="A1000" t="str">
            <v>Krishna Engineering Works - Ahmedabad</v>
          </cell>
          <cell r="E1000">
            <v>16500</v>
          </cell>
        </row>
        <row r="1001">
          <cell r="A1001" t="str">
            <v>Krishna Enterprise - Ashram Road, Ahmedabad</v>
          </cell>
          <cell r="E1001">
            <v>-22302</v>
          </cell>
        </row>
        <row r="1002">
          <cell r="A1002" t="str">
            <v>Krishna Enterprise - Navrangpura</v>
          </cell>
          <cell r="E1002">
            <v>-25364</v>
          </cell>
        </row>
        <row r="1003">
          <cell r="A1003" t="str">
            <v>Krishna Enterprise-Yashodadham</v>
          </cell>
          <cell r="E1003">
            <v>0</v>
          </cell>
        </row>
        <row r="1004">
          <cell r="A1004" t="str">
            <v>Krishna Furniture</v>
          </cell>
          <cell r="E1004">
            <v>-673</v>
          </cell>
        </row>
        <row r="1005">
          <cell r="A1005" t="str">
            <v>Krishna Security Service</v>
          </cell>
          <cell r="E1005">
            <v>0</v>
          </cell>
        </row>
        <row r="1006">
          <cell r="A1006" t="str">
            <v>Krishna Transmission</v>
          </cell>
          <cell r="E1006">
            <v>0</v>
          </cell>
        </row>
        <row r="1007">
          <cell r="A1007" t="str">
            <v>Krunal Enterprise</v>
          </cell>
          <cell r="E1007">
            <v>-12885</v>
          </cell>
        </row>
        <row r="1008">
          <cell r="A1008" t="str">
            <v>Ktex Nonwovens Private Limited</v>
          </cell>
          <cell r="E1008">
            <v>5298155.2</v>
          </cell>
        </row>
        <row r="1009">
          <cell r="A1009" t="str">
            <v>Kuehne Nagel Private Limited</v>
          </cell>
          <cell r="E1009">
            <v>0</v>
          </cell>
        </row>
        <row r="1010">
          <cell r="A1010" t="str">
            <v>Kundan Industrial Products &amp; Services</v>
          </cell>
          <cell r="E1010">
            <v>-5222</v>
          </cell>
        </row>
        <row r="1011">
          <cell r="A1011" t="str">
            <v>Kunlun Law Firm</v>
          </cell>
          <cell r="E1011">
            <v>539649.13</v>
          </cell>
        </row>
        <row r="1012">
          <cell r="A1012" t="str">
            <v>Kutch Medisurge Industries</v>
          </cell>
          <cell r="E1012">
            <v>6208142.0099999998</v>
          </cell>
        </row>
        <row r="1013">
          <cell r="A1013" t="str">
            <v>Kutch Ratnam Roadways</v>
          </cell>
          <cell r="E1013">
            <v>0</v>
          </cell>
        </row>
        <row r="1014">
          <cell r="A1014" t="str">
            <v>L L Engineers</v>
          </cell>
          <cell r="E1014">
            <v>0</v>
          </cell>
        </row>
        <row r="1015">
          <cell r="A1015" t="str">
            <v>Labbdhi Paper Tubes Pvt Ltd</v>
          </cell>
          <cell r="E1015">
            <v>-7080</v>
          </cell>
        </row>
        <row r="1016">
          <cell r="A1016" t="str">
            <v>Labdhi Engineering Pvt Ltd</v>
          </cell>
          <cell r="E1016">
            <v>-21287</v>
          </cell>
        </row>
        <row r="1017">
          <cell r="A1017" t="str">
            <v>Laboratory Equipments</v>
          </cell>
          <cell r="E1017">
            <v>1308256.2</v>
          </cell>
        </row>
        <row r="1018">
          <cell r="A1018" t="str">
            <v>Labour Charges</v>
          </cell>
          <cell r="E1018">
            <v>44806085</v>
          </cell>
        </row>
        <row r="1019">
          <cell r="A1019" t="str">
            <v>Labour Welfare Fund Exp</v>
          </cell>
          <cell r="E1019">
            <v>7920</v>
          </cell>
        </row>
        <row r="1020">
          <cell r="A1020" t="str">
            <v>Lafarge Calcinor Maroc</v>
          </cell>
          <cell r="E1020">
            <v>4979372.9800000004</v>
          </cell>
        </row>
        <row r="1021">
          <cell r="A1021" t="str">
            <v>Lalji Mulji Transport Co.</v>
          </cell>
          <cell r="E1021">
            <v>860</v>
          </cell>
        </row>
        <row r="1022">
          <cell r="A1022" t="str">
            <v>Lamination Plant -Cl 2700</v>
          </cell>
          <cell r="E1022">
            <v>7012857</v>
          </cell>
        </row>
        <row r="1023">
          <cell r="A1023" t="str">
            <v>Lamination Plant 1000Mm</v>
          </cell>
          <cell r="E1023">
            <v>2224223</v>
          </cell>
        </row>
        <row r="1024">
          <cell r="A1024" t="str">
            <v>Lamination Plant Cl-3900</v>
          </cell>
          <cell r="E1024">
            <v>2387812</v>
          </cell>
        </row>
        <row r="1025">
          <cell r="A1025" t="str">
            <v>Lamination Plant Jp 100 Rc</v>
          </cell>
          <cell r="E1025">
            <v>38023212.049999997</v>
          </cell>
        </row>
        <row r="1026">
          <cell r="A1026" t="str">
            <v>Land &amp; Developments</v>
          </cell>
          <cell r="E1026">
            <v>4161719</v>
          </cell>
        </row>
        <row r="1027">
          <cell r="A1027" t="str">
            <v>Land A/c</v>
          </cell>
          <cell r="E1027">
            <v>28051966</v>
          </cell>
        </row>
        <row r="1028">
          <cell r="A1028" t="str">
            <v>Lankhorst Eurunete Portugal Sa</v>
          </cell>
          <cell r="E1028">
            <v>7908947.1900000004</v>
          </cell>
        </row>
        <row r="1029">
          <cell r="A1029" t="str">
            <v>Late Payment Charges</v>
          </cell>
          <cell r="E1029">
            <v>240.49</v>
          </cell>
        </row>
        <row r="1030">
          <cell r="A1030" t="str">
            <v>Lath Machine A/C</v>
          </cell>
          <cell r="E1030">
            <v>371807</v>
          </cell>
        </row>
        <row r="1031">
          <cell r="A1031" t="str">
            <v>Laxman B. Bakutra</v>
          </cell>
          <cell r="E1031">
            <v>0</v>
          </cell>
        </row>
        <row r="1032">
          <cell r="A1032" t="str">
            <v>Laxman Sharma</v>
          </cell>
          <cell r="E1032">
            <v>10000</v>
          </cell>
        </row>
        <row r="1033">
          <cell r="A1033" t="str">
            <v>Laxmi Enterprise</v>
          </cell>
          <cell r="E1033">
            <v>-1</v>
          </cell>
        </row>
        <row r="1034">
          <cell r="A1034" t="str">
            <v>Laxmi Provision Store</v>
          </cell>
          <cell r="E1034">
            <v>0</v>
          </cell>
        </row>
        <row r="1035">
          <cell r="A1035" t="str">
            <v>LC Packaging Hungary TPI</v>
          </cell>
          <cell r="E1035">
            <v>0.01</v>
          </cell>
        </row>
        <row r="1036">
          <cell r="A1036" t="str">
            <v>LC Packaging Hungary TPI - Purchase</v>
          </cell>
          <cell r="E1036">
            <v>0</v>
          </cell>
        </row>
        <row r="1037">
          <cell r="A1037" t="str">
            <v>LC Packaging Ireland Ltd</v>
          </cell>
          <cell r="E1037">
            <v>4800.92</v>
          </cell>
        </row>
        <row r="1038">
          <cell r="A1038" t="str">
            <v>LC Packaging Netherlands Bv</v>
          </cell>
          <cell r="E1038">
            <v>-113531.23</v>
          </cell>
        </row>
        <row r="1039">
          <cell r="A1039" t="str">
            <v>LC Packaging Netherlands Bv - Purchase</v>
          </cell>
          <cell r="E1039">
            <v>-5381.7</v>
          </cell>
        </row>
        <row r="1040">
          <cell r="A1040" t="str">
            <v>LC Packaging SAS, France</v>
          </cell>
          <cell r="E1040">
            <v>66.319999999999993</v>
          </cell>
        </row>
        <row r="1041">
          <cell r="A1041" t="str">
            <v>Lease Hold Land</v>
          </cell>
          <cell r="E1041">
            <v>3687635</v>
          </cell>
        </row>
        <row r="1042">
          <cell r="A1042" t="str">
            <v>Lease Rent Equilisation Reserve</v>
          </cell>
          <cell r="E1042">
            <v>-1136019</v>
          </cell>
        </row>
        <row r="1043">
          <cell r="A1043" t="str">
            <v>Leave Encashment</v>
          </cell>
          <cell r="E1043">
            <v>80068</v>
          </cell>
        </row>
        <row r="1044">
          <cell r="A1044" t="str">
            <v>Legal Expense</v>
          </cell>
          <cell r="E1044">
            <v>58795</v>
          </cell>
        </row>
        <row r="1045">
          <cell r="A1045" t="str">
            <v>Legal Expenses Deposit</v>
          </cell>
          <cell r="E1045">
            <v>10000</v>
          </cell>
        </row>
        <row r="1046">
          <cell r="A1046" t="str">
            <v>Licenses DFIA (Stock)</v>
          </cell>
          <cell r="E1046">
            <v>0</v>
          </cell>
        </row>
        <row r="1047">
          <cell r="A1047" t="str">
            <v>Licenses MEIS (Stock)</v>
          </cell>
          <cell r="E1047">
            <v>0</v>
          </cell>
        </row>
        <row r="1048">
          <cell r="A1048" t="str">
            <v>Lila Polymers Pvt. Ltd. - Gujarat</v>
          </cell>
          <cell r="E1048">
            <v>-2527.5</v>
          </cell>
        </row>
        <row r="1049">
          <cell r="A1049" t="str">
            <v>Lila Polymers Pvt. Ltd. - Maharashtra</v>
          </cell>
          <cell r="E1049">
            <v>-0.24</v>
          </cell>
        </row>
        <row r="1050">
          <cell r="A1050" t="str">
            <v>Liner Bag Sealing Machine</v>
          </cell>
          <cell r="E1050">
            <v>2013955</v>
          </cell>
        </row>
        <row r="1051">
          <cell r="A1051" t="str">
            <v>Lionel Samson Packaging Co Pty Ltd.</v>
          </cell>
          <cell r="E1051">
            <v>1.06</v>
          </cell>
        </row>
        <row r="1052">
          <cell r="A1052" t="str">
            <v>Loading &amp; Unloading Expense</v>
          </cell>
          <cell r="E1052">
            <v>596651</v>
          </cell>
        </row>
        <row r="1053">
          <cell r="A1053" t="str">
            <v>Lohia Corp Limited - 09AAKCK2932Q1ZU - UP</v>
          </cell>
          <cell r="E1053">
            <v>1175863.3799999999</v>
          </cell>
        </row>
        <row r="1054">
          <cell r="A1054" t="str">
            <v>Lohia Corp Limited - 24AAKCK2932Q1Z2 - Guj</v>
          </cell>
          <cell r="E1054">
            <v>-670981.71</v>
          </cell>
        </row>
        <row r="1055">
          <cell r="A1055" t="str">
            <v>Lohia Corp Limited - Gujarat</v>
          </cell>
          <cell r="E1055">
            <v>1375147.09</v>
          </cell>
        </row>
        <row r="1056">
          <cell r="A1056" t="str">
            <v>Lohia Global Solutions - Gujarat - (A Div of Lohia Corp Ltd)</v>
          </cell>
          <cell r="E1056">
            <v>-666874.4</v>
          </cell>
        </row>
        <row r="1057">
          <cell r="A1057" t="str">
            <v>Lohia Global Solutions - Karnataka (Div Of Lohia Corp)</v>
          </cell>
          <cell r="E1057">
            <v>-13683.6</v>
          </cell>
        </row>
        <row r="1058">
          <cell r="A1058" t="str">
            <v>Lohia Global Solutions - UP - (A Div of Lohia Corp Ltd)</v>
          </cell>
          <cell r="E1058">
            <v>-817970.71</v>
          </cell>
        </row>
        <row r="1059">
          <cell r="A1059" t="str">
            <v>Lohia Global Solutions - West bengal</v>
          </cell>
          <cell r="E1059">
            <v>-55362.65</v>
          </cell>
        </row>
        <row r="1060">
          <cell r="A1060" t="str">
            <v>Lubgraf Products</v>
          </cell>
          <cell r="E1060">
            <v>-5310</v>
          </cell>
        </row>
        <row r="1061">
          <cell r="A1061" t="str">
            <v>Lubi Electronics</v>
          </cell>
          <cell r="E1061">
            <v>128</v>
          </cell>
        </row>
        <row r="1062">
          <cell r="A1062" t="str">
            <v>Lyft Logistics Llp-Gujarat</v>
          </cell>
          <cell r="E1062">
            <v>400</v>
          </cell>
        </row>
        <row r="1063">
          <cell r="A1063" t="str">
            <v>M B And Sons</v>
          </cell>
          <cell r="E1063">
            <v>3709</v>
          </cell>
        </row>
        <row r="1064">
          <cell r="A1064" t="str">
            <v>M D PLASTIC</v>
          </cell>
          <cell r="E1064">
            <v>2585000.04</v>
          </cell>
        </row>
        <row r="1065">
          <cell r="A1065" t="str">
            <v>M R Brothers</v>
          </cell>
          <cell r="E1065">
            <v>1546.5</v>
          </cell>
        </row>
        <row r="1066">
          <cell r="A1066" t="str">
            <v>Maa Bhavani Enterprise</v>
          </cell>
          <cell r="E1066">
            <v>102183</v>
          </cell>
        </row>
        <row r="1067">
          <cell r="A1067" t="str">
            <v>Maa Durga Engineering</v>
          </cell>
          <cell r="E1067">
            <v>0</v>
          </cell>
        </row>
        <row r="1068">
          <cell r="A1068" t="str">
            <v>Macarize Industries</v>
          </cell>
          <cell r="E1068">
            <v>0.6</v>
          </cell>
        </row>
        <row r="1069">
          <cell r="A1069" t="str">
            <v>Macgray Solutions Pvt Ltd</v>
          </cell>
          <cell r="E1069">
            <v>-7080</v>
          </cell>
        </row>
        <row r="1070">
          <cell r="A1070" t="str">
            <v>Machinery For Filtering &amp; Purifying Water</v>
          </cell>
          <cell r="E1070">
            <v>47000</v>
          </cell>
        </row>
        <row r="1071">
          <cell r="A1071" t="str">
            <v>Madhu P. Parekh (Dr)</v>
          </cell>
          <cell r="E1071">
            <v>15071960</v>
          </cell>
        </row>
        <row r="1072">
          <cell r="A1072" t="str">
            <v>Madi Sp. z.o.o.</v>
          </cell>
          <cell r="E1072">
            <v>3476296.99</v>
          </cell>
        </row>
        <row r="1073">
          <cell r="A1073" t="str">
            <v>Maersk Line India Pvt Ltd</v>
          </cell>
          <cell r="E1073">
            <v>-100073.44</v>
          </cell>
        </row>
        <row r="1074">
          <cell r="A1074" t="str">
            <v>Magma General Insurance Limited</v>
          </cell>
          <cell r="E1074">
            <v>0</v>
          </cell>
        </row>
        <row r="1075">
          <cell r="A1075" t="str">
            <v>Maha Shivratri Polymers Private Limited</v>
          </cell>
          <cell r="E1075">
            <v>-7052366.2000000002</v>
          </cell>
        </row>
        <row r="1076">
          <cell r="A1076" t="str">
            <v>Mahadhan Agritech Limited</v>
          </cell>
          <cell r="E1076">
            <v>5339.8</v>
          </cell>
        </row>
        <row r="1077">
          <cell r="A1077" t="str">
            <v>Mahakali Electronics</v>
          </cell>
          <cell r="E1077">
            <v>0</v>
          </cell>
        </row>
        <row r="1078">
          <cell r="A1078" t="str">
            <v>Mahakali Enertprise 24EPJPD1320A1ZT</v>
          </cell>
          <cell r="E1078">
            <v>26919</v>
          </cell>
        </row>
        <row r="1079">
          <cell r="A1079" t="str">
            <v>Mahakali Trading Company</v>
          </cell>
          <cell r="E1079">
            <v>-12802.33</v>
          </cell>
        </row>
        <row r="1080">
          <cell r="A1080" t="str">
            <v>Mahavir Business Solutions</v>
          </cell>
          <cell r="E1080">
            <v>-0.4</v>
          </cell>
        </row>
        <row r="1081">
          <cell r="A1081" t="str">
            <v>Mahavir Enterprise</v>
          </cell>
          <cell r="E1081">
            <v>-2348</v>
          </cell>
        </row>
        <row r="1082">
          <cell r="A1082" t="str">
            <v>Mahavir Industries</v>
          </cell>
          <cell r="E1082">
            <v>-1038997</v>
          </cell>
        </row>
        <row r="1083">
          <cell r="A1083" t="str">
            <v>Mahavir Technovations</v>
          </cell>
          <cell r="E1083">
            <v>375.82</v>
          </cell>
        </row>
        <row r="1084">
          <cell r="A1084" t="str">
            <v>Mahendra Haribhai Dantani</v>
          </cell>
          <cell r="E1084">
            <v>0</v>
          </cell>
        </row>
        <row r="1085">
          <cell r="A1085" t="str">
            <v>Mahendra Haribhai Dantani - Colony Deposit</v>
          </cell>
          <cell r="E1085">
            <v>100980</v>
          </cell>
        </row>
        <row r="1086">
          <cell r="A1086" t="str">
            <v>Maitri Enterprise</v>
          </cell>
          <cell r="E1086">
            <v>912159.64</v>
          </cell>
        </row>
        <row r="1087">
          <cell r="A1087" t="str">
            <v>Maitry Enterprises</v>
          </cell>
          <cell r="E1087">
            <v>-30540.6</v>
          </cell>
        </row>
        <row r="1088">
          <cell r="A1088" t="str">
            <v>Makarand Krishnarao Deorankar HUF</v>
          </cell>
          <cell r="E1088">
            <v>0</v>
          </cell>
        </row>
        <row r="1089">
          <cell r="A1089" t="str">
            <v>Make My Trip (india) Pvt. Ltd._06AADCM5146R1ZZ</v>
          </cell>
          <cell r="E1089">
            <v>-23530.33</v>
          </cell>
        </row>
        <row r="1090">
          <cell r="A1090" t="str">
            <v>Makwana Enterprise</v>
          </cell>
          <cell r="E1090">
            <v>-17069.5</v>
          </cell>
        </row>
        <row r="1091">
          <cell r="A1091" t="str">
            <v>Manish Stationery Mart</v>
          </cell>
          <cell r="E1091">
            <v>0.01</v>
          </cell>
        </row>
        <row r="1092">
          <cell r="A1092" t="str">
            <v>Manyan Inc.</v>
          </cell>
          <cell r="E1092">
            <v>9726116.4000000004</v>
          </cell>
        </row>
        <row r="1093">
          <cell r="A1093" t="str">
            <v>Maple Enterprise</v>
          </cell>
          <cell r="E1093">
            <v>-743.75</v>
          </cell>
        </row>
        <row r="1094">
          <cell r="A1094" t="str">
            <v>Mark Express</v>
          </cell>
          <cell r="E1094">
            <v>0</v>
          </cell>
        </row>
        <row r="1095">
          <cell r="A1095" t="str">
            <v>Marshal Polymers</v>
          </cell>
          <cell r="E1095">
            <v>0.44</v>
          </cell>
        </row>
        <row r="1096">
          <cell r="A1096" t="str">
            <v>Marudhar Polycot India Pvt Ltd</v>
          </cell>
          <cell r="E1096">
            <v>-27500000</v>
          </cell>
        </row>
        <row r="1097">
          <cell r="A1097" t="str">
            <v>Marudhar Polymers - ICD</v>
          </cell>
          <cell r="E1097">
            <v>-29411404</v>
          </cell>
        </row>
        <row r="1098">
          <cell r="A1098" t="str">
            <v>Marudhar Polymers - Purchase</v>
          </cell>
          <cell r="E1098">
            <v>16384274</v>
          </cell>
        </row>
        <row r="1099">
          <cell r="A1099" t="str">
            <v>Marudhar Polymers - Sales</v>
          </cell>
          <cell r="E1099">
            <v>66454517.229999997</v>
          </cell>
        </row>
        <row r="1100">
          <cell r="A1100" t="str">
            <v>Maruti Plastic  24ACBFM1584C1ZM</v>
          </cell>
          <cell r="E1100">
            <v>-292320</v>
          </cell>
        </row>
        <row r="1101">
          <cell r="A1101" t="str">
            <v>Maruti Polymers</v>
          </cell>
          <cell r="E1101">
            <v>-1217014</v>
          </cell>
        </row>
        <row r="1102">
          <cell r="A1102" t="str">
            <v>Maruti Traders - Purchase</v>
          </cell>
          <cell r="E1102">
            <v>-1</v>
          </cell>
        </row>
        <row r="1103">
          <cell r="A1103" t="str">
            <v>Marwadi Infosys Inc.</v>
          </cell>
          <cell r="E1103">
            <v>0</v>
          </cell>
        </row>
        <row r="1104">
          <cell r="A1104" t="str">
            <v>MAT Credit Receivable</v>
          </cell>
          <cell r="E1104">
            <v>12818387</v>
          </cell>
        </row>
        <row r="1105">
          <cell r="A1105" t="str">
            <v>Matrix Engineers</v>
          </cell>
          <cell r="E1105">
            <v>-4956.3999999999996</v>
          </cell>
        </row>
        <row r="1106">
          <cell r="A1106" t="str">
            <v>Max Control</v>
          </cell>
          <cell r="E1106">
            <v>-109812</v>
          </cell>
        </row>
        <row r="1107">
          <cell r="A1107" t="str">
            <v>Max Spare Limited</v>
          </cell>
          <cell r="E1107">
            <v>-7387.53</v>
          </cell>
        </row>
        <row r="1108">
          <cell r="A1108" t="str">
            <v>Mechtech Enterprise</v>
          </cell>
          <cell r="E1108">
            <v>-5653.8</v>
          </cell>
        </row>
        <row r="1109">
          <cell r="A1109" t="str">
            <v>Medical Expense</v>
          </cell>
          <cell r="E1109">
            <v>170187</v>
          </cell>
        </row>
        <row r="1110">
          <cell r="A1110" t="str">
            <v>Meet Enterprise</v>
          </cell>
          <cell r="E1110">
            <v>0.76</v>
          </cell>
        </row>
        <row r="1111">
          <cell r="A1111" t="str">
            <v>Mehjal Adhesive Tapes Pvt. Ltd.</v>
          </cell>
          <cell r="E1111">
            <v>-1153993.26</v>
          </cell>
        </row>
        <row r="1112">
          <cell r="A1112" t="str">
            <v>Mehjal Adhesive Tapes Pvt. Ltd. - Sales</v>
          </cell>
          <cell r="E1112">
            <v>527930.66</v>
          </cell>
        </row>
        <row r="1113">
          <cell r="A1113" t="str">
            <v>Mehta Plywood</v>
          </cell>
          <cell r="E1113">
            <v>-28615</v>
          </cell>
        </row>
        <row r="1114">
          <cell r="A1114" t="str">
            <v>Mehta Sales Corporate</v>
          </cell>
          <cell r="E1114">
            <v>0.2</v>
          </cell>
        </row>
        <row r="1115">
          <cell r="A1115" t="str">
            <v>Mehul Khatsuriya &amp; Associates</v>
          </cell>
          <cell r="E1115">
            <v>-1000</v>
          </cell>
        </row>
        <row r="1116">
          <cell r="A1116" t="str">
            <v>MEIS Receivable</v>
          </cell>
          <cell r="E1116">
            <v>0</v>
          </cell>
        </row>
        <row r="1117">
          <cell r="A1117" t="str">
            <v>Membership &amp; Subscription Fees</v>
          </cell>
          <cell r="E1117">
            <v>28408</v>
          </cell>
        </row>
        <row r="1118">
          <cell r="A1118" t="str">
            <v>Mentor Enterprise</v>
          </cell>
          <cell r="E1118">
            <v>-0.5</v>
          </cell>
        </row>
        <row r="1119">
          <cell r="A1119" t="str">
            <v>Mepal Engineering Industries</v>
          </cell>
          <cell r="E1119">
            <v>9676</v>
          </cell>
        </row>
        <row r="1120">
          <cell r="A1120" t="str">
            <v>Mercados Mundiales Import Export, S.A.U</v>
          </cell>
          <cell r="E1120">
            <v>4910937.87</v>
          </cell>
        </row>
        <row r="1121">
          <cell r="A1121" t="str">
            <v>Meshtech India- Sales</v>
          </cell>
          <cell r="E1121">
            <v>-0.2</v>
          </cell>
        </row>
        <row r="1122">
          <cell r="A1122" t="str">
            <v>Metal Detector Machine</v>
          </cell>
          <cell r="E1122">
            <v>458500</v>
          </cell>
        </row>
        <row r="1123">
          <cell r="A1123" t="str">
            <v>Metalex Agencies</v>
          </cell>
          <cell r="E1123">
            <v>0</v>
          </cell>
        </row>
        <row r="1124">
          <cell r="A1124" t="str">
            <v>Metro Packaging</v>
          </cell>
          <cell r="E1124">
            <v>-159686</v>
          </cell>
        </row>
        <row r="1125">
          <cell r="A1125" t="str">
            <v>Mewar Microns</v>
          </cell>
          <cell r="E1125">
            <v>-233175</v>
          </cell>
        </row>
        <row r="1126">
          <cell r="A1126" t="str">
            <v>Mikitos Ind E Com De Gen Alim Do Amazonas Ltda</v>
          </cell>
          <cell r="E1126">
            <v>-0.01</v>
          </cell>
        </row>
        <row r="1127">
          <cell r="A1127" t="str">
            <v>Milan Auto Parts</v>
          </cell>
          <cell r="E1127">
            <v>0</v>
          </cell>
        </row>
        <row r="1128">
          <cell r="A1128" t="str">
            <v>Milling Machine</v>
          </cell>
          <cell r="E1128">
            <v>111150</v>
          </cell>
        </row>
        <row r="1129">
          <cell r="A1129" t="str">
            <v>Minini Spa</v>
          </cell>
          <cell r="E1129">
            <v>3739.64</v>
          </cell>
        </row>
        <row r="1130">
          <cell r="A1130" t="str">
            <v>Miscellaneous Expense</v>
          </cell>
          <cell r="E1130">
            <v>1643735.28</v>
          </cell>
        </row>
        <row r="1131">
          <cell r="A1131" t="str">
            <v>Miscellaneous Income</v>
          </cell>
          <cell r="E1131">
            <v>-61200</v>
          </cell>
        </row>
        <row r="1132">
          <cell r="A1132" t="str">
            <v>Mishita Filters</v>
          </cell>
          <cell r="E1132">
            <v>-34897</v>
          </cell>
        </row>
        <row r="1133">
          <cell r="A1133" t="str">
            <v>Mitsui &amp; Co. (Asia Pacific) Pte Ltd</v>
          </cell>
          <cell r="E1133">
            <v>-17729.8</v>
          </cell>
        </row>
        <row r="1134">
          <cell r="A1134" t="str">
            <v>Mittal Trade Netlinks</v>
          </cell>
          <cell r="E1134">
            <v>9485.57</v>
          </cell>
        </row>
        <row r="1135">
          <cell r="A1135" t="str">
            <v>Mitul Atulkumar Upadhyay</v>
          </cell>
          <cell r="E1135">
            <v>0</v>
          </cell>
        </row>
        <row r="1136">
          <cell r="A1136" t="str">
            <v>Mixing Machine</v>
          </cell>
          <cell r="E1136">
            <v>77150</v>
          </cell>
        </row>
        <row r="1137">
          <cell r="A1137" t="str">
            <v>MK Enterprises</v>
          </cell>
          <cell r="E1137">
            <v>-288013.73</v>
          </cell>
        </row>
        <row r="1138">
          <cell r="A1138" t="str">
            <v>Mobelchem Specialty Private Limited</v>
          </cell>
          <cell r="E1138">
            <v>-219286</v>
          </cell>
        </row>
        <row r="1139">
          <cell r="A1139" t="str">
            <v>Mobile &amp; Telephone Expense</v>
          </cell>
          <cell r="E1139">
            <v>290863.95</v>
          </cell>
        </row>
        <row r="1140">
          <cell r="A1140" t="str">
            <v>Mobile &amp; Telephone Instrument</v>
          </cell>
          <cell r="E1140">
            <v>1785693.5</v>
          </cell>
        </row>
        <row r="1141">
          <cell r="A1141" t="str">
            <v>Modus Granum LLC</v>
          </cell>
          <cell r="E1141">
            <v>-231550.7</v>
          </cell>
        </row>
        <row r="1142">
          <cell r="A1142" t="str">
            <v>Mogli Labs Inc</v>
          </cell>
          <cell r="E1142">
            <v>-0.03</v>
          </cell>
        </row>
        <row r="1143">
          <cell r="A1143" t="str">
            <v>Mohan Lal</v>
          </cell>
          <cell r="E1143">
            <v>0</v>
          </cell>
        </row>
        <row r="1144">
          <cell r="A1144" t="str">
            <v>Mohanbhai Reshambhai Taral</v>
          </cell>
          <cell r="E1144">
            <v>1004513.21</v>
          </cell>
        </row>
        <row r="1145">
          <cell r="A1145" t="str">
            <v>Mohsin Rasulmiya Malek</v>
          </cell>
          <cell r="E1145">
            <v>0</v>
          </cell>
        </row>
        <row r="1146">
          <cell r="A1146" t="str">
            <v>Mohta Electric And Engineering Co</v>
          </cell>
          <cell r="E1146">
            <v>-0.7</v>
          </cell>
        </row>
        <row r="1147">
          <cell r="A1147" t="str">
            <v>Moldking Packaging Private Limited</v>
          </cell>
          <cell r="E1147">
            <v>-22000</v>
          </cell>
        </row>
        <row r="1148">
          <cell r="A1148" t="str">
            <v>Monarch Info</v>
          </cell>
          <cell r="E1148">
            <v>-900</v>
          </cell>
        </row>
        <row r="1149">
          <cell r="A1149" t="str">
            <v>Monarch Networth Capital Limited</v>
          </cell>
          <cell r="E1149">
            <v>-1770</v>
          </cell>
        </row>
        <row r="1150">
          <cell r="A1150" t="str">
            <v>Mono Block Water Pump</v>
          </cell>
          <cell r="E1150">
            <v>96944.71</v>
          </cell>
        </row>
        <row r="1151">
          <cell r="A1151" t="str">
            <v>Monoblock Pump</v>
          </cell>
          <cell r="E1151">
            <v>936834.04</v>
          </cell>
        </row>
        <row r="1152">
          <cell r="A1152" t="str">
            <v>Monolayer Plant</v>
          </cell>
          <cell r="E1152">
            <v>1929461</v>
          </cell>
        </row>
        <row r="1153">
          <cell r="A1153" t="str">
            <v>Moolchand Agencies</v>
          </cell>
          <cell r="E1153">
            <v>844.48</v>
          </cell>
        </row>
        <row r="1154">
          <cell r="A1154" t="str">
            <v>Mor Techfab Pvt .Ltd.</v>
          </cell>
          <cell r="E1154">
            <v>-217579.14</v>
          </cell>
        </row>
        <row r="1155">
          <cell r="A1155" t="str">
            <v>Morendha Rajesh Nathalal (Huf)</v>
          </cell>
          <cell r="E1155">
            <v>0</v>
          </cell>
        </row>
        <row r="1156">
          <cell r="A1156" t="str">
            <v>Motorcycle Bajaj Platina AL Motor Cycle</v>
          </cell>
          <cell r="E1156">
            <v>36400</v>
          </cell>
        </row>
        <row r="1157">
          <cell r="A1157" t="str">
            <v>Motorcycle CT100 (Gj 1 Fc 8399)</v>
          </cell>
          <cell r="E1157">
            <v>36500</v>
          </cell>
        </row>
        <row r="1158">
          <cell r="A1158" t="str">
            <v>Motorcycle Hero Honda</v>
          </cell>
          <cell r="E1158">
            <v>87249</v>
          </cell>
        </row>
        <row r="1159">
          <cell r="A1159" t="str">
            <v>Motorcycle Hero Honda-Gj 2A 2384</v>
          </cell>
          <cell r="E1159">
            <v>43030</v>
          </cell>
        </row>
        <row r="1160">
          <cell r="A1160" t="str">
            <v>Motorcycle Hero Honda-Gj2A 2405</v>
          </cell>
          <cell r="E1160">
            <v>43030</v>
          </cell>
        </row>
        <row r="1161">
          <cell r="A1161" t="str">
            <v>Motorcycle Honda Twister - Reg No</v>
          </cell>
          <cell r="E1161">
            <v>55762</v>
          </cell>
        </row>
        <row r="1162">
          <cell r="A1162" t="str">
            <v>Motorcycle Passion Gj-12-Am 8237</v>
          </cell>
          <cell r="E1162">
            <v>49397</v>
          </cell>
        </row>
        <row r="1163">
          <cell r="A1163" t="str">
            <v>Motorcycle Splendor(Gj-12 Am 8248)</v>
          </cell>
          <cell r="E1163">
            <v>50911</v>
          </cell>
        </row>
        <row r="1164">
          <cell r="A1164" t="str">
            <v>Movable Ramp</v>
          </cell>
          <cell r="E1164">
            <v>1034000</v>
          </cell>
        </row>
        <row r="1165">
          <cell r="A1165" t="str">
            <v>Msc Mediterranean Shipping Company S.A</v>
          </cell>
          <cell r="E1165">
            <v>5168</v>
          </cell>
        </row>
        <row r="1166">
          <cell r="A1166" t="str">
            <v>Mud Pump</v>
          </cell>
          <cell r="E1166">
            <v>29530</v>
          </cell>
        </row>
        <row r="1167">
          <cell r="A1167" t="str">
            <v>Multi Commodity General Trading Fze</v>
          </cell>
          <cell r="E1167">
            <v>-334101.81</v>
          </cell>
        </row>
        <row r="1168">
          <cell r="A1168" t="str">
            <v>Multi Enterprise</v>
          </cell>
          <cell r="E1168">
            <v>-840</v>
          </cell>
        </row>
        <row r="1169">
          <cell r="A1169" t="str">
            <v>Multi Negoce</v>
          </cell>
          <cell r="E1169">
            <v>1726506.32</v>
          </cell>
        </row>
        <row r="1170">
          <cell r="A1170" t="str">
            <v>Multi Trade Limited Fzc</v>
          </cell>
          <cell r="E1170">
            <v>-138030.75</v>
          </cell>
        </row>
        <row r="1171">
          <cell r="A1171" t="str">
            <v>Multifilament Spinning Yarn</v>
          </cell>
          <cell r="E1171">
            <v>4817153.34</v>
          </cell>
        </row>
        <row r="1172">
          <cell r="A1172" t="str">
            <v>Multifilament Yarn Plant</v>
          </cell>
          <cell r="E1172">
            <v>7313998.25</v>
          </cell>
        </row>
        <row r="1173">
          <cell r="A1173" t="str">
            <v>Multilayer (5 Layer) Blown Film Plant</v>
          </cell>
          <cell r="E1173">
            <v>22505412.800000001</v>
          </cell>
        </row>
        <row r="1174">
          <cell r="A1174" t="str">
            <v>Mundra International Container Terminal Pvt. Ltd.</v>
          </cell>
          <cell r="E1174">
            <v>76376.479999999996</v>
          </cell>
        </row>
        <row r="1175">
          <cell r="A1175" t="str">
            <v>Muni Enterprises</v>
          </cell>
          <cell r="E1175">
            <v>-30504</v>
          </cell>
        </row>
        <row r="1176">
          <cell r="A1176" t="str">
            <v>Murari Trading Private Limited</v>
          </cell>
          <cell r="E1176">
            <v>38702605.200000003</v>
          </cell>
        </row>
        <row r="1177">
          <cell r="A1177" t="str">
            <v>Murlidhar Paper Tube</v>
          </cell>
          <cell r="E1177">
            <v>-45483</v>
          </cell>
        </row>
        <row r="1178">
          <cell r="A1178" t="str">
            <v>Muscat Polymers Pvt Ltd - Sales</v>
          </cell>
          <cell r="E1178">
            <v>-1522921</v>
          </cell>
        </row>
        <row r="1179">
          <cell r="A1179" t="str">
            <v>Mustufamiyan Divanmiyan Malek</v>
          </cell>
          <cell r="E1179">
            <v>0</v>
          </cell>
        </row>
        <row r="1180">
          <cell r="A1180" t="str">
            <v>Mynd Solutions Pvt Ltd</v>
          </cell>
          <cell r="E1180">
            <v>7640.36</v>
          </cell>
        </row>
        <row r="1181">
          <cell r="A1181" t="str">
            <v>N-FAB Textile Pvt. Ltd.</v>
          </cell>
          <cell r="E1181">
            <v>6708604.2400000002</v>
          </cell>
        </row>
        <row r="1182">
          <cell r="A1182" t="str">
            <v>N.S.Engineering Plastic</v>
          </cell>
          <cell r="E1182">
            <v>17916.689999999999</v>
          </cell>
        </row>
        <row r="1183">
          <cell r="A1183" t="str">
            <v>Nada Poly Plast</v>
          </cell>
          <cell r="E1183">
            <v>-38586</v>
          </cell>
        </row>
        <row r="1184">
          <cell r="A1184" t="str">
            <v>Naidu Associates</v>
          </cell>
          <cell r="E1184">
            <v>0</v>
          </cell>
        </row>
        <row r="1185">
          <cell r="A1185" t="str">
            <v>Najumiya Umarmiya Malek</v>
          </cell>
          <cell r="E1185">
            <v>-7525</v>
          </cell>
        </row>
        <row r="1186">
          <cell r="A1186" t="str">
            <v>Nandini Chaurasia</v>
          </cell>
          <cell r="E1186">
            <v>-4000</v>
          </cell>
        </row>
        <row r="1187">
          <cell r="A1187" t="str">
            <v>Nandishwari Packaging</v>
          </cell>
          <cell r="E1187">
            <v>-15</v>
          </cell>
        </row>
        <row r="1188">
          <cell r="A1188" t="str">
            <v>Narahari Singh</v>
          </cell>
          <cell r="E1188">
            <v>-19958</v>
          </cell>
        </row>
        <row r="1189">
          <cell r="A1189" t="str">
            <v>Naran Scissors Works &amp; Traders</v>
          </cell>
          <cell r="E1189">
            <v>-1269.2</v>
          </cell>
        </row>
        <row r="1190">
          <cell r="A1190" t="str">
            <v>Narayan Industries</v>
          </cell>
          <cell r="E1190">
            <v>74340</v>
          </cell>
        </row>
        <row r="1191">
          <cell r="A1191" t="str">
            <v>Narayandas Murlidhar</v>
          </cell>
          <cell r="E1191">
            <v>0</v>
          </cell>
        </row>
        <row r="1192">
          <cell r="A1192" t="str">
            <v>Narayani Enterprise - 24AACHL1775K2Z3</v>
          </cell>
          <cell r="E1192">
            <v>-383</v>
          </cell>
        </row>
        <row r="1193">
          <cell r="A1193" t="str">
            <v>National Security Depository Limited</v>
          </cell>
          <cell r="E1193">
            <v>81000</v>
          </cell>
        </row>
        <row r="1194">
          <cell r="A1194" t="str">
            <v>Navdeep Traders</v>
          </cell>
          <cell r="E1194">
            <v>-5841</v>
          </cell>
        </row>
        <row r="1195">
          <cell r="A1195" t="str">
            <v>Navin Salecha</v>
          </cell>
          <cell r="E1195">
            <v>0</v>
          </cell>
        </row>
        <row r="1196">
          <cell r="A1196" t="str">
            <v>Navrang Machinery Pvt Ltd</v>
          </cell>
          <cell r="E1196">
            <v>-3776</v>
          </cell>
        </row>
        <row r="1197">
          <cell r="A1197" t="str">
            <v>Navrang Polyfilms Pvt Ltd</v>
          </cell>
          <cell r="E1197">
            <v>-112706</v>
          </cell>
        </row>
        <row r="1198">
          <cell r="A1198" t="str">
            <v>Neating Mach-Ogdp-800</v>
          </cell>
          <cell r="E1198">
            <v>471729.6</v>
          </cell>
        </row>
        <row r="1199">
          <cell r="A1199" t="str">
            <v>Needle Loom Machine</v>
          </cell>
          <cell r="E1199">
            <v>11945404</v>
          </cell>
        </row>
        <row r="1200">
          <cell r="A1200" t="str">
            <v>Neelakantha Commercial Pvt Ltd</v>
          </cell>
          <cell r="E1200">
            <v>11476262.25</v>
          </cell>
        </row>
        <row r="1201">
          <cell r="A1201" t="str">
            <v>Neer Industries</v>
          </cell>
          <cell r="E1201">
            <v>-4095</v>
          </cell>
        </row>
        <row r="1202">
          <cell r="A1202" t="str">
            <v>New Arm</v>
          </cell>
          <cell r="E1202">
            <v>-44083</v>
          </cell>
        </row>
        <row r="1203">
          <cell r="A1203" t="str">
            <v>New Bikaner Cargo Carrier</v>
          </cell>
          <cell r="E1203">
            <v>590</v>
          </cell>
        </row>
        <row r="1204">
          <cell r="A1204" t="str">
            <v>New Globe Logistik LLP</v>
          </cell>
          <cell r="E1204">
            <v>0</v>
          </cell>
        </row>
        <row r="1205">
          <cell r="A1205" t="str">
            <v>New Kachchh Carrier</v>
          </cell>
          <cell r="E1205">
            <v>140</v>
          </cell>
        </row>
        <row r="1206">
          <cell r="A1206" t="str">
            <v>New Manu Engineering &amp; Co.</v>
          </cell>
          <cell r="E1206">
            <v>-38744</v>
          </cell>
        </row>
        <row r="1207">
          <cell r="A1207" t="str">
            <v>New Nilkanth Submersible Pump Service</v>
          </cell>
          <cell r="E1207">
            <v>-8621</v>
          </cell>
        </row>
        <row r="1208">
          <cell r="A1208" t="str">
            <v>New Product Dev. and R&amp;D Exp.Pending For Allocation</v>
          </cell>
          <cell r="E1208">
            <v>166402557</v>
          </cell>
        </row>
        <row r="1209">
          <cell r="A1209" t="str">
            <v>Nexon Enterprise</v>
          </cell>
          <cell r="E1209">
            <v>-504</v>
          </cell>
        </row>
        <row r="1210">
          <cell r="A1210" t="str">
            <v>Next Generation Recyling Machinene Gmbh</v>
          </cell>
          <cell r="E1210">
            <v>-8393.75</v>
          </cell>
        </row>
        <row r="1211">
          <cell r="A1211" t="str">
            <v>Nexus Feeds Limited</v>
          </cell>
          <cell r="E1211">
            <v>1155865</v>
          </cell>
        </row>
        <row r="1212">
          <cell r="A1212" t="str">
            <v>Nigam Hardware</v>
          </cell>
          <cell r="E1212">
            <v>-1947</v>
          </cell>
        </row>
        <row r="1213">
          <cell r="A1213" t="str">
            <v>Nikhil Packagers</v>
          </cell>
          <cell r="E1213">
            <v>7000362.0800000001</v>
          </cell>
        </row>
        <row r="1214">
          <cell r="A1214" t="str">
            <v>Nilesh Vijaysinh Chavda</v>
          </cell>
          <cell r="E1214">
            <v>711000</v>
          </cell>
        </row>
        <row r="1215">
          <cell r="A1215" t="str">
            <v>Nilkamal Limited-Silvassa</v>
          </cell>
          <cell r="E1215">
            <v>-1081045</v>
          </cell>
        </row>
        <row r="1216">
          <cell r="A1216" t="str">
            <v>Niraj Kumar Sinha Imprest A/C</v>
          </cell>
          <cell r="E1216">
            <v>0</v>
          </cell>
        </row>
        <row r="1217">
          <cell r="A1217" t="str">
            <v>Nirban Trading Company</v>
          </cell>
          <cell r="E1217">
            <v>0.2</v>
          </cell>
        </row>
        <row r="1218">
          <cell r="A1218" t="str">
            <v>Nishaben Parmar</v>
          </cell>
          <cell r="E1218">
            <v>0</v>
          </cell>
        </row>
        <row r="1219">
          <cell r="A1219" t="str">
            <v>Nishant Plastic</v>
          </cell>
          <cell r="E1219">
            <v>11227.56</v>
          </cell>
        </row>
        <row r="1220">
          <cell r="A1220" t="str">
            <v>Nishith Enterprise</v>
          </cell>
          <cell r="E1220">
            <v>-226723</v>
          </cell>
        </row>
        <row r="1221">
          <cell r="A1221" t="str">
            <v>NNZ Bv</v>
          </cell>
          <cell r="E1221">
            <v>-1056500.3799999999</v>
          </cell>
        </row>
        <row r="1222">
          <cell r="A1222" t="str">
            <v>Noatum Logistics India Private Limited - Mumbai</v>
          </cell>
          <cell r="E1222">
            <v>0</v>
          </cell>
        </row>
        <row r="1223">
          <cell r="A1223" t="str">
            <v>Norck Gmbh</v>
          </cell>
          <cell r="E1223">
            <v>-4429.83</v>
          </cell>
        </row>
        <row r="1224">
          <cell r="A1224" t="str">
            <v>Notice Pay Deduction</v>
          </cell>
          <cell r="E1224">
            <v>-34666</v>
          </cell>
        </row>
        <row r="1225">
          <cell r="A1225" t="str">
            <v>Nrs Industrial Products</v>
          </cell>
          <cell r="E1225">
            <v>-17286.400000000001</v>
          </cell>
        </row>
        <row r="1226">
          <cell r="A1226" t="str">
            <v>Nu-Vu Conair Private Limited</v>
          </cell>
          <cell r="E1226">
            <v>-4579.3100000000004</v>
          </cell>
        </row>
        <row r="1227">
          <cell r="A1227" t="str">
            <v>Nutron Systems Private Limited</v>
          </cell>
          <cell r="E1227">
            <v>-112</v>
          </cell>
        </row>
        <row r="1228">
          <cell r="A1228" t="str">
            <v>Nylopick Industries</v>
          </cell>
          <cell r="E1228">
            <v>-330.4</v>
          </cell>
        </row>
        <row r="1229">
          <cell r="A1229" t="str">
            <v>O R Maloo &amp; Co</v>
          </cell>
          <cell r="E1229">
            <v>-9000</v>
          </cell>
        </row>
        <row r="1230">
          <cell r="A1230" t="str">
            <v>Oak Tradeklink</v>
          </cell>
          <cell r="E1230">
            <v>707.68</v>
          </cell>
        </row>
        <row r="1231">
          <cell r="A1231" t="str">
            <v>OCI (Hongkong) Limited</v>
          </cell>
          <cell r="E1231">
            <v>252817.26</v>
          </cell>
        </row>
        <row r="1232">
          <cell r="A1232" t="str">
            <v>Ofb Tech Pvt Ltd</v>
          </cell>
          <cell r="E1232">
            <v>-4998.68</v>
          </cell>
        </row>
        <row r="1233">
          <cell r="A1233" t="str">
            <v>Ofb Universal Fze</v>
          </cell>
          <cell r="E1233">
            <v>-11039.95</v>
          </cell>
        </row>
        <row r="1234">
          <cell r="A1234" t="str">
            <v>Office Building - HO</v>
          </cell>
          <cell r="E1234">
            <v>7428352</v>
          </cell>
        </row>
        <row r="1235">
          <cell r="A1235" t="str">
            <v>Office Building - Plants</v>
          </cell>
          <cell r="E1235">
            <v>1765616.43</v>
          </cell>
        </row>
        <row r="1236">
          <cell r="A1236" t="str">
            <v>Office Equipments</v>
          </cell>
          <cell r="E1236">
            <v>5776570.4199999999</v>
          </cell>
        </row>
        <row r="1237">
          <cell r="A1237" t="str">
            <v>Office Expenses</v>
          </cell>
          <cell r="E1237">
            <v>397157.54</v>
          </cell>
        </row>
        <row r="1238">
          <cell r="A1238" t="str">
            <v>Office Tools Stationery</v>
          </cell>
          <cell r="E1238">
            <v>0.64</v>
          </cell>
        </row>
        <row r="1239">
          <cell r="A1239" t="str">
            <v>Olega S A</v>
          </cell>
          <cell r="E1239">
            <v>13678480.84</v>
          </cell>
        </row>
        <row r="1240">
          <cell r="A1240" t="str">
            <v>Oliva Garden S.A.</v>
          </cell>
          <cell r="E1240">
            <v>9692676.6400000006</v>
          </cell>
        </row>
        <row r="1241">
          <cell r="A1241" t="str">
            <v>Om Hydraulic</v>
          </cell>
          <cell r="E1241">
            <v>55474</v>
          </cell>
        </row>
        <row r="1242">
          <cell r="A1242" t="str">
            <v>Om Hydraulic - 24BCWPP1111Q1Z4</v>
          </cell>
          <cell r="E1242">
            <v>710</v>
          </cell>
        </row>
        <row r="1243">
          <cell r="A1243" t="str">
            <v>Om Plastics</v>
          </cell>
          <cell r="E1243">
            <v>0</v>
          </cell>
        </row>
        <row r="1244">
          <cell r="A1244" t="str">
            <v>Om Sainath Travels Agency - 24AFIPB7870C1ZQ</v>
          </cell>
          <cell r="E1244">
            <v>-5600</v>
          </cell>
        </row>
        <row r="1245">
          <cell r="A1245" t="str">
            <v>Om Shanti Plastic Manufacture</v>
          </cell>
          <cell r="E1245">
            <v>0</v>
          </cell>
        </row>
        <row r="1246">
          <cell r="A1246" t="str">
            <v>Omega Fire &amp; Safety Products</v>
          </cell>
          <cell r="E1246">
            <v>3899.8</v>
          </cell>
        </row>
        <row r="1247">
          <cell r="A1247" t="str">
            <v>Omkar Industries 24BPDPP0620L1Z2</v>
          </cell>
          <cell r="E1247">
            <v>-6042</v>
          </cell>
        </row>
        <row r="1248">
          <cell r="A1248" t="str">
            <v>ONGC Petro Addition Ltd</v>
          </cell>
          <cell r="E1248">
            <v>-218237.98</v>
          </cell>
        </row>
        <row r="1249">
          <cell r="A1249" t="str">
            <v>Ongc Petro Additions Limited- DTA ( Domestic )</v>
          </cell>
          <cell r="E1249">
            <v>-924.44</v>
          </cell>
        </row>
        <row r="1250">
          <cell r="A1250" t="str">
            <v>Optel</v>
          </cell>
          <cell r="E1250">
            <v>-0.01</v>
          </cell>
        </row>
        <row r="1251">
          <cell r="A1251" t="str">
            <v>OQ Marketing LLC</v>
          </cell>
          <cell r="E1251">
            <v>-14256</v>
          </cell>
        </row>
        <row r="1252">
          <cell r="A1252" t="str">
            <v>Oriental Energy (Singapore) International Trading Pte Ltd</v>
          </cell>
          <cell r="E1252">
            <v>-109797.12</v>
          </cell>
        </row>
        <row r="1253">
          <cell r="A1253" t="str">
            <v>Oswal Commodities Private Limited - Purchase</v>
          </cell>
          <cell r="E1253">
            <v>-65709831.869999997</v>
          </cell>
        </row>
        <row r="1254">
          <cell r="A1254" t="str">
            <v>Oswal Commodities Private Limited - Sale</v>
          </cell>
          <cell r="E1254">
            <v>-227130778</v>
          </cell>
        </row>
        <row r="1255">
          <cell r="A1255" t="str">
            <v>Oswal Extrusion Ltd - HO-ICD</v>
          </cell>
          <cell r="E1255">
            <v>817410837</v>
          </cell>
        </row>
        <row r="1256">
          <cell r="A1256" t="str">
            <v>Oswal Extrusion Ltd - HO-Purchase</v>
          </cell>
          <cell r="E1256">
            <v>-139256816.58000001</v>
          </cell>
        </row>
        <row r="1257">
          <cell r="A1257" t="str">
            <v>Oswal Extrusion Ltd - HO-Sales</v>
          </cell>
          <cell r="E1257">
            <v>233101838.25999999</v>
          </cell>
        </row>
        <row r="1258">
          <cell r="A1258" t="str">
            <v>Oswal Extrusion Ltd - Unit 2-Purchase</v>
          </cell>
          <cell r="E1258">
            <v>-432796783.66000003</v>
          </cell>
        </row>
        <row r="1259">
          <cell r="A1259" t="str">
            <v>Oswal Extrusion Ltd - Unit 2-Sales</v>
          </cell>
          <cell r="E1259">
            <v>91450129.920000002</v>
          </cell>
        </row>
        <row r="1260">
          <cell r="A1260" t="str">
            <v>Oswal Extrusion Ltd - Unit 3-Purchase</v>
          </cell>
          <cell r="E1260">
            <v>1000</v>
          </cell>
        </row>
        <row r="1261">
          <cell r="A1261" t="str">
            <v>Oswal Extrusion Ltd - Unit 3-Sales</v>
          </cell>
          <cell r="E1261">
            <v>86630578.090000004</v>
          </cell>
        </row>
        <row r="1262">
          <cell r="A1262" t="str">
            <v>Oswal Extrusion Ltd - Unit 4-Purchase</v>
          </cell>
          <cell r="E1262">
            <v>-220432528.06999999</v>
          </cell>
        </row>
        <row r="1263">
          <cell r="A1263" t="str">
            <v>Oswal Extrusion Ltd - Unit 4-Sales</v>
          </cell>
          <cell r="E1263">
            <v>9871677</v>
          </cell>
        </row>
        <row r="1264">
          <cell r="A1264" t="str">
            <v>Oswal Extrusion Ltd - Unit 5-Purchase</v>
          </cell>
          <cell r="E1264">
            <v>-87946806.180000007</v>
          </cell>
        </row>
        <row r="1265">
          <cell r="A1265" t="str">
            <v>Oswal Extrusion Ltd - Unit 5-Sales</v>
          </cell>
          <cell r="E1265">
            <v>83440</v>
          </cell>
        </row>
        <row r="1266">
          <cell r="A1266" t="str">
            <v>Oswal Extrusion Ltd - Unit 6 Plant II -Purchase_Multi Layer</v>
          </cell>
          <cell r="E1266">
            <v>-10370419.560000001</v>
          </cell>
        </row>
        <row r="1267">
          <cell r="A1267" t="str">
            <v>Oswal Extrusion Ltd - Unit 6 Plant II -Sales_Closed</v>
          </cell>
          <cell r="E1267">
            <v>-439132</v>
          </cell>
        </row>
        <row r="1268">
          <cell r="A1268" t="str">
            <v>Oswal Extrusion Ltd - Unit 6-Purchase</v>
          </cell>
          <cell r="E1268">
            <v>5861297.79</v>
          </cell>
        </row>
        <row r="1269">
          <cell r="A1269" t="str">
            <v>Oswal Extrusion Ltd - Unit 6-Sales</v>
          </cell>
          <cell r="E1269">
            <v>161884516.47</v>
          </cell>
        </row>
        <row r="1270">
          <cell r="A1270" t="str">
            <v>Oswal Extrusion Ltd - Unit 7-Purchase</v>
          </cell>
          <cell r="E1270">
            <v>-2183745</v>
          </cell>
        </row>
        <row r="1271">
          <cell r="A1271" t="str">
            <v>Oswal Extrusion Ltd - Unit 7-Sales</v>
          </cell>
          <cell r="E1271">
            <v>-49468259.909999996</v>
          </cell>
        </row>
        <row r="1272">
          <cell r="A1272" t="str">
            <v>Oswal Extrusion Ltd - Unit 8-Purchase (MRPL)</v>
          </cell>
          <cell r="E1272">
            <v>2628.82</v>
          </cell>
        </row>
        <row r="1273">
          <cell r="A1273" t="str">
            <v>Oswal Extrusion Ltd - Unit 8-Sales</v>
          </cell>
          <cell r="E1273">
            <v>4401760.7300000004</v>
          </cell>
        </row>
        <row r="1274">
          <cell r="A1274" t="str">
            <v>Oswal Extrusion Ltd- KASEZ-Purchase</v>
          </cell>
          <cell r="E1274">
            <v>-810519390.02999997</v>
          </cell>
        </row>
        <row r="1275">
          <cell r="A1275" t="str">
            <v>Oswal Extrusion Ltd- KASEZ-Sales</v>
          </cell>
          <cell r="E1275">
            <v>791770162.97000003</v>
          </cell>
        </row>
        <row r="1276">
          <cell r="A1276" t="str">
            <v>Oswal Lumbers Pvt Ltd (ICD)</v>
          </cell>
          <cell r="E1276">
            <v>40000000</v>
          </cell>
        </row>
        <row r="1277">
          <cell r="A1277" t="str">
            <v>Oswal Overseas - ICD</v>
          </cell>
          <cell r="E1277">
            <v>14744383</v>
          </cell>
        </row>
        <row r="1278">
          <cell r="A1278" t="str">
            <v>Oswal Overseas - Purchase</v>
          </cell>
          <cell r="E1278">
            <v>-1416</v>
          </cell>
        </row>
        <row r="1279">
          <cell r="A1279" t="str">
            <v>Oswal Polymers</v>
          </cell>
          <cell r="E1279">
            <v>687408.99</v>
          </cell>
        </row>
        <row r="1280">
          <cell r="A1280" t="str">
            <v>Oswal Wood Private Limited - Purchase</v>
          </cell>
          <cell r="E1280">
            <v>2100</v>
          </cell>
        </row>
        <row r="1281">
          <cell r="A1281" t="str">
            <v>Oswal Wood Private Limited - Sale</v>
          </cell>
          <cell r="E1281">
            <v>167256</v>
          </cell>
        </row>
        <row r="1282">
          <cell r="A1282" t="str">
            <v>Other Deduction</v>
          </cell>
          <cell r="E1282">
            <v>-343620</v>
          </cell>
        </row>
        <row r="1283">
          <cell r="A1283" t="str">
            <v>Other Softwares</v>
          </cell>
          <cell r="E1283">
            <v>585871.52</v>
          </cell>
        </row>
        <row r="1284">
          <cell r="A1284" t="str">
            <v>Oven Machine [Tape]</v>
          </cell>
          <cell r="E1284">
            <v>874000</v>
          </cell>
        </row>
        <row r="1285">
          <cell r="A1285" t="str">
            <v>P And G Screap Traders</v>
          </cell>
          <cell r="E1285">
            <v>0.38</v>
          </cell>
        </row>
        <row r="1286">
          <cell r="A1286" t="str">
            <v>P J Cargo Movers</v>
          </cell>
          <cell r="E1286">
            <v>-68440</v>
          </cell>
        </row>
        <row r="1287">
          <cell r="A1287" t="str">
            <v>P J Logistic</v>
          </cell>
          <cell r="E1287">
            <v>-48140</v>
          </cell>
        </row>
        <row r="1288">
          <cell r="A1288" t="str">
            <v>P J Translifters</v>
          </cell>
          <cell r="E1288">
            <v>-48140</v>
          </cell>
        </row>
        <row r="1289">
          <cell r="A1289" t="str">
            <v>P P Patel &amp; Co.</v>
          </cell>
          <cell r="E1289">
            <v>-85309.78</v>
          </cell>
        </row>
        <row r="1290">
          <cell r="A1290" t="str">
            <v>P. Nikiforakis H. Fasourakis Ltd</v>
          </cell>
          <cell r="E1290">
            <v>-2225500.21</v>
          </cell>
        </row>
        <row r="1291">
          <cell r="A1291" t="str">
            <v>P.F. Admin. Charge</v>
          </cell>
          <cell r="E1291">
            <v>80252</v>
          </cell>
        </row>
        <row r="1292">
          <cell r="A1292" t="str">
            <v>P.F. Contribution - Employer</v>
          </cell>
          <cell r="E1292">
            <v>1854203.08</v>
          </cell>
        </row>
        <row r="1293">
          <cell r="A1293" t="str">
            <v>P.P. Products Private Limited</v>
          </cell>
          <cell r="E1293">
            <v>15794190</v>
          </cell>
        </row>
        <row r="1294">
          <cell r="A1294" t="str">
            <v>P.S. Labour Organisation</v>
          </cell>
          <cell r="E1294">
            <v>1</v>
          </cell>
        </row>
        <row r="1295">
          <cell r="A1295" t="str">
            <v>Packing Forwading &amp; Cartage Expense</v>
          </cell>
          <cell r="E1295">
            <v>228444.9</v>
          </cell>
        </row>
        <row r="1296">
          <cell r="A1296" t="str">
            <v>Padm Corporation</v>
          </cell>
          <cell r="E1296">
            <v>0</v>
          </cell>
        </row>
        <row r="1297">
          <cell r="A1297" t="str">
            <v>Padmanabh Alloys And Polymers Ltd.</v>
          </cell>
          <cell r="E1297">
            <v>1000</v>
          </cell>
        </row>
        <row r="1298">
          <cell r="A1298" t="str">
            <v>Paid Up Equity Share Capital</v>
          </cell>
          <cell r="E1298">
            <v>-280981890</v>
          </cell>
        </row>
        <row r="1299">
          <cell r="A1299" t="str">
            <v>Pal Polyfilm</v>
          </cell>
          <cell r="E1299">
            <v>20215.63</v>
          </cell>
        </row>
        <row r="1300">
          <cell r="A1300" t="str">
            <v>Palang, Tables, Trollies For Finishing</v>
          </cell>
          <cell r="E1300">
            <v>1293502.97</v>
          </cell>
        </row>
        <row r="1301">
          <cell r="A1301" t="str">
            <v>Pamnani International</v>
          </cell>
          <cell r="E1301">
            <v>0</v>
          </cell>
        </row>
        <row r="1302">
          <cell r="A1302" t="str">
            <v>Panchvati Tools Co.</v>
          </cell>
          <cell r="E1302">
            <v>-125548.97</v>
          </cell>
        </row>
        <row r="1303">
          <cell r="A1303" t="str">
            <v>Pandey Amitbhai</v>
          </cell>
          <cell r="E1303">
            <v>-4335</v>
          </cell>
        </row>
        <row r="1304">
          <cell r="A1304" t="str">
            <v>Panel Board</v>
          </cell>
          <cell r="E1304">
            <v>2520221.4500000002</v>
          </cell>
        </row>
        <row r="1305">
          <cell r="A1305" t="str">
            <v>Pankaj Enterprises</v>
          </cell>
          <cell r="E1305">
            <v>-11873</v>
          </cell>
        </row>
        <row r="1306">
          <cell r="A1306" t="str">
            <v>Pankaj Rameshbhai Jeshani</v>
          </cell>
          <cell r="E1306">
            <v>-15250</v>
          </cell>
        </row>
        <row r="1307">
          <cell r="A1307" t="str">
            <v>Pankaj Sales Corporation</v>
          </cell>
          <cell r="E1307">
            <v>-3540</v>
          </cell>
        </row>
        <row r="1308">
          <cell r="A1308" t="str">
            <v>Param Engineering</v>
          </cell>
          <cell r="E1308">
            <v>0</v>
          </cell>
        </row>
        <row r="1309">
          <cell r="A1309" t="str">
            <v>Paramount Calibration Centre</v>
          </cell>
          <cell r="E1309">
            <v>-14859</v>
          </cell>
        </row>
        <row r="1310">
          <cell r="A1310" t="str">
            <v>Paras Overseas</v>
          </cell>
          <cell r="E1310">
            <v>79101.3</v>
          </cell>
        </row>
        <row r="1311">
          <cell r="A1311" t="str">
            <v>Parekh Bulk Pack - Purchase</v>
          </cell>
          <cell r="E1311">
            <v>-3498604.74</v>
          </cell>
        </row>
        <row r="1312">
          <cell r="A1312" t="str">
            <v>Parekh Bulk Pack - Sales</v>
          </cell>
          <cell r="E1312">
            <v>3082697.59</v>
          </cell>
        </row>
        <row r="1313">
          <cell r="A1313" t="str">
            <v>Parekh Marine Services Pvt Ltd</v>
          </cell>
          <cell r="E1313">
            <v>798885.85</v>
          </cell>
        </row>
        <row r="1314">
          <cell r="A1314" t="str">
            <v>Paresh Bharatkumar Mehta</v>
          </cell>
          <cell r="E1314">
            <v>-65000</v>
          </cell>
        </row>
        <row r="1315">
          <cell r="A1315" t="str">
            <v>Paresh Steel Traders</v>
          </cell>
          <cell r="E1315">
            <v>71174</v>
          </cell>
        </row>
        <row r="1316">
          <cell r="A1316" t="str">
            <v>Pariflex Fibc Private Limited</v>
          </cell>
          <cell r="E1316">
            <v>-215922</v>
          </cell>
        </row>
        <row r="1317">
          <cell r="A1317" t="str">
            <v>Parinam Law Associates</v>
          </cell>
          <cell r="E1317">
            <v>0</v>
          </cell>
        </row>
        <row r="1318">
          <cell r="A1318" t="str">
            <v>Parker Shipping</v>
          </cell>
          <cell r="E1318">
            <v>-202867</v>
          </cell>
        </row>
        <row r="1319">
          <cell r="A1319" t="str">
            <v>Parshwanath Enterprise</v>
          </cell>
          <cell r="E1319">
            <v>-3500</v>
          </cell>
        </row>
        <row r="1320">
          <cell r="A1320" t="str">
            <v>Parth Flexipack</v>
          </cell>
          <cell r="E1320">
            <v>-119337</v>
          </cell>
        </row>
        <row r="1321">
          <cell r="A1321" t="str">
            <v>Parth Poly Coat Yarn Pvt Ltd</v>
          </cell>
          <cell r="E1321">
            <v>0</v>
          </cell>
        </row>
        <row r="1322">
          <cell r="A1322" t="str">
            <v>Parth Polymers</v>
          </cell>
          <cell r="E1322">
            <v>-9686.66</v>
          </cell>
        </row>
        <row r="1323">
          <cell r="A1323" t="str">
            <v>Paschim Gujarat Vij Company Limited</v>
          </cell>
          <cell r="E1323">
            <v>-30899.17</v>
          </cell>
        </row>
        <row r="1324">
          <cell r="A1324" t="str">
            <v>Patel Jain &amp; Associates</v>
          </cell>
          <cell r="E1324">
            <v>-225000</v>
          </cell>
        </row>
        <row r="1325">
          <cell r="A1325" t="str">
            <v>Patel Sales &amp; Services</v>
          </cell>
          <cell r="E1325">
            <v>-118</v>
          </cell>
        </row>
        <row r="1326">
          <cell r="A1326" t="str">
            <v>Patel Transport - 24ABAFP1601P1ZD</v>
          </cell>
          <cell r="E1326">
            <v>0</v>
          </cell>
        </row>
        <row r="1327">
          <cell r="A1327" t="str">
            <v>Paurav Enterprise</v>
          </cell>
          <cell r="E1327">
            <v>2124</v>
          </cell>
        </row>
        <row r="1328">
          <cell r="A1328" t="str">
            <v>Pavan Courier Service Rajkot</v>
          </cell>
          <cell r="E1328">
            <v>-156</v>
          </cell>
        </row>
        <row r="1329">
          <cell r="A1329" t="str">
            <v>Pawan Parekh</v>
          </cell>
          <cell r="E1329">
            <v>-40922</v>
          </cell>
        </row>
        <row r="1330">
          <cell r="A1330" t="str">
            <v>Paymate India Pvt Ltd</v>
          </cell>
          <cell r="E1330">
            <v>0.5</v>
          </cell>
        </row>
        <row r="1331">
          <cell r="A1331" t="str">
            <v>Peoples Mind</v>
          </cell>
          <cell r="E1331">
            <v>-0.12</v>
          </cell>
        </row>
        <row r="1332">
          <cell r="A1332" t="str">
            <v>Perfect Belts Private Limited</v>
          </cell>
          <cell r="E1332">
            <v>-221178.25</v>
          </cell>
        </row>
        <row r="1333">
          <cell r="A1333" t="str">
            <v>Perfect Belts Private Limited (Gujarat)</v>
          </cell>
          <cell r="E1333">
            <v>-49580.94</v>
          </cell>
        </row>
        <row r="1334">
          <cell r="A1334" t="str">
            <v>Perfect Electrical Works</v>
          </cell>
          <cell r="E1334">
            <v>-40624</v>
          </cell>
        </row>
        <row r="1335">
          <cell r="A1335" t="str">
            <v>Pest Relief India Private Limited</v>
          </cell>
          <cell r="E1335">
            <v>-19140</v>
          </cell>
        </row>
        <row r="1336">
          <cell r="A1336" t="str">
            <v>Petrol &amp; Diesel Expense - Car</v>
          </cell>
          <cell r="E1336">
            <v>71610</v>
          </cell>
        </row>
        <row r="1337">
          <cell r="A1337" t="str">
            <v>Petrol &amp; Diesel Expense - Other Vehicles</v>
          </cell>
          <cell r="E1337">
            <v>18745</v>
          </cell>
        </row>
        <row r="1338">
          <cell r="A1338" t="str">
            <v>PI Polyblendz Private Limited</v>
          </cell>
          <cell r="E1338">
            <v>849600</v>
          </cell>
        </row>
        <row r="1339">
          <cell r="A1339" t="str">
            <v>PIL (India) Private Limited</v>
          </cell>
          <cell r="E1339">
            <v>0.04</v>
          </cell>
        </row>
        <row r="1340">
          <cell r="A1340" t="str">
            <v>Pintex Industrial Corporation</v>
          </cell>
          <cell r="E1340">
            <v>-12891</v>
          </cell>
        </row>
        <row r="1341">
          <cell r="A1341" t="str">
            <v>Pioneer Petrochem &amp; Technology</v>
          </cell>
          <cell r="E1341">
            <v>50026</v>
          </cell>
        </row>
        <row r="1342">
          <cell r="A1342" t="str">
            <v>Pipes &amp; Fittings</v>
          </cell>
          <cell r="E1342">
            <v>4050642.45</v>
          </cell>
        </row>
        <row r="1343">
          <cell r="A1343" t="str">
            <v>Pitrukrupa Piep Fiting</v>
          </cell>
          <cell r="E1343">
            <v>-14149</v>
          </cell>
        </row>
        <row r="1344">
          <cell r="A1344" t="str">
            <v>Planatary Without Direction Changer</v>
          </cell>
          <cell r="E1344">
            <v>93630</v>
          </cell>
        </row>
        <row r="1345">
          <cell r="A1345" t="str">
            <v>Plant &amp; Machinery</v>
          </cell>
          <cell r="E1345">
            <v>124614288.58</v>
          </cell>
        </row>
        <row r="1346">
          <cell r="A1346" t="str">
            <v>Plastene Flexibles Ltd</v>
          </cell>
          <cell r="E1346">
            <v>-24333684</v>
          </cell>
        </row>
        <row r="1347">
          <cell r="A1347" t="str">
            <v>Plastene India Limited - Maharastra</v>
          </cell>
          <cell r="E1347">
            <v>-33156</v>
          </cell>
        </row>
        <row r="1348">
          <cell r="A1348" t="str">
            <v>Plastene India Ltd - Ho-For Gst Balance Only</v>
          </cell>
          <cell r="E1348">
            <v>669109345.50999999</v>
          </cell>
        </row>
        <row r="1349">
          <cell r="A1349" t="str">
            <v>Plastene India ltd - HO-ICD</v>
          </cell>
          <cell r="E1349">
            <v>390234278.70999998</v>
          </cell>
        </row>
        <row r="1350">
          <cell r="A1350" t="str">
            <v>Plastene India ltd - HO-Purchase</v>
          </cell>
          <cell r="E1350">
            <v>-513700773.61000001</v>
          </cell>
        </row>
        <row r="1351">
          <cell r="A1351" t="str">
            <v>Plastene India ltd - HO-Sales</v>
          </cell>
          <cell r="E1351">
            <v>5566585.54</v>
          </cell>
        </row>
        <row r="1352">
          <cell r="A1352" t="str">
            <v>Plastene India Ltd - Unit 1- Commission</v>
          </cell>
          <cell r="E1352">
            <v>52684112.719999999</v>
          </cell>
        </row>
        <row r="1353">
          <cell r="A1353" t="str">
            <v>Plastene India Ltd - Unit 1-For Gst Balance Only</v>
          </cell>
          <cell r="E1353">
            <v>-630449853.70000005</v>
          </cell>
        </row>
        <row r="1354">
          <cell r="A1354" t="str">
            <v>Plastene India ltd - Unit 1-Purchase</v>
          </cell>
          <cell r="E1354">
            <v>-5062966510.8400002</v>
          </cell>
        </row>
        <row r="1355">
          <cell r="A1355" t="str">
            <v>Plastene India ltd - Unit 1-Sales</v>
          </cell>
          <cell r="E1355">
            <v>3708799359.0300002</v>
          </cell>
        </row>
        <row r="1356">
          <cell r="A1356" t="str">
            <v>Plastene India Ltd - Unit 2-For Gst Balance Only</v>
          </cell>
          <cell r="E1356">
            <v>-17839813.420000002</v>
          </cell>
        </row>
        <row r="1357">
          <cell r="A1357" t="str">
            <v>Plastene India ltd - Unit 2-Purchase</v>
          </cell>
          <cell r="E1357">
            <v>-1931729620.02</v>
          </cell>
        </row>
        <row r="1358">
          <cell r="A1358" t="str">
            <v>Plastene India ltd - Unit 2-Sales</v>
          </cell>
          <cell r="E1358">
            <v>1691049451.3099999</v>
          </cell>
        </row>
        <row r="1359">
          <cell r="A1359" t="str">
            <v>Plastene India Ltd - Unit 3- Commission</v>
          </cell>
          <cell r="E1359">
            <v>-52637359.079999998</v>
          </cell>
        </row>
        <row r="1360">
          <cell r="A1360" t="str">
            <v>Plastene India Ltd - Unit 3-For Gst Balance Only</v>
          </cell>
          <cell r="E1360">
            <v>42457066.469999999</v>
          </cell>
        </row>
        <row r="1361">
          <cell r="A1361" t="str">
            <v>Plastene India ltd - Unit 3-Purchase</v>
          </cell>
          <cell r="E1361">
            <v>-128036745.45</v>
          </cell>
        </row>
        <row r="1362">
          <cell r="A1362" t="str">
            <v>Plastene India ltd - Unit 3-Sales</v>
          </cell>
          <cell r="E1362">
            <v>14907.1</v>
          </cell>
        </row>
        <row r="1363">
          <cell r="A1363" t="str">
            <v>Plastene India Ltd - Unit 4-For Gst Balance Only</v>
          </cell>
          <cell r="E1363">
            <v>-2684873.15</v>
          </cell>
        </row>
        <row r="1364">
          <cell r="A1364" t="str">
            <v>Plastene India ltd - Unit 4-Purchase</v>
          </cell>
          <cell r="E1364">
            <v>-8125667.46</v>
          </cell>
        </row>
        <row r="1365">
          <cell r="A1365" t="str">
            <v>Plastene India ltd - Unit 4-Sales</v>
          </cell>
          <cell r="E1365">
            <v>5291134.57</v>
          </cell>
        </row>
        <row r="1366">
          <cell r="A1366" t="str">
            <v>Plastene India Ltd - Unit 5-For Gst Balance Only</v>
          </cell>
          <cell r="E1366">
            <v>15683.19</v>
          </cell>
        </row>
        <row r="1367">
          <cell r="A1367" t="str">
            <v>Plastene India ltd - Unit 5-Purchase</v>
          </cell>
          <cell r="E1367">
            <v>-15683.55</v>
          </cell>
        </row>
        <row r="1368">
          <cell r="A1368" t="str">
            <v>Plastene India Ltd - Unit 6-For Gst Balance Only</v>
          </cell>
          <cell r="E1368">
            <v>-59059263.939999998</v>
          </cell>
        </row>
        <row r="1369">
          <cell r="A1369" t="str">
            <v>Plastene India ltd - Unit 6-Purchase</v>
          </cell>
          <cell r="E1369">
            <v>-1072298636.58</v>
          </cell>
        </row>
        <row r="1370">
          <cell r="A1370" t="str">
            <v>Plastene India ltd - Unit 6-Sales</v>
          </cell>
          <cell r="E1370">
            <v>2942534422.9699998</v>
          </cell>
        </row>
        <row r="1371">
          <cell r="A1371" t="str">
            <v>Plastene India ltd - Unit 7-Sales</v>
          </cell>
          <cell r="E1371">
            <v>33156</v>
          </cell>
        </row>
        <row r="1372">
          <cell r="A1372" t="str">
            <v>Plastene India Ltd - Unit 8-For Gst Balance Only</v>
          </cell>
          <cell r="E1372">
            <v>-1548291.46</v>
          </cell>
        </row>
        <row r="1373">
          <cell r="A1373" t="str">
            <v>Plastene India ltd - Unit 8-Purchase</v>
          </cell>
          <cell r="E1373">
            <v>-201458649.44</v>
          </cell>
        </row>
        <row r="1374">
          <cell r="A1374" t="str">
            <v>Plastene India ltd - Unit 8-Sales</v>
          </cell>
          <cell r="E1374">
            <v>190645194.84999999</v>
          </cell>
        </row>
        <row r="1375">
          <cell r="A1375" t="str">
            <v>Plastene Infrastructure Ltd</v>
          </cell>
          <cell r="E1375">
            <v>8466761.4399999995</v>
          </cell>
        </row>
        <row r="1376">
          <cell r="A1376" t="str">
            <v>Plastene Polyfilms Ltd-ICD</v>
          </cell>
          <cell r="E1376">
            <v>-151790870.63</v>
          </cell>
        </row>
        <row r="1377">
          <cell r="A1377" t="str">
            <v>Plastene Polyfilms Ltd-Purchase</v>
          </cell>
          <cell r="E1377">
            <v>-65034157.380000003</v>
          </cell>
        </row>
        <row r="1378">
          <cell r="A1378" t="str">
            <v>Plastene Polyfilms Ltd-Sales</v>
          </cell>
          <cell r="E1378">
            <v>205634017.63999999</v>
          </cell>
        </row>
        <row r="1379">
          <cell r="A1379" t="str">
            <v>Plastene Realty LLP</v>
          </cell>
          <cell r="E1379">
            <v>107300</v>
          </cell>
        </row>
        <row r="1380">
          <cell r="A1380" t="str">
            <v>Plastic Carates - For Carrying Bobbins</v>
          </cell>
          <cell r="E1380">
            <v>5096925.76</v>
          </cell>
        </row>
        <row r="1381">
          <cell r="A1381" t="str">
            <v>Plastic Extrusion Tape Plant-E908, 1400</v>
          </cell>
          <cell r="E1381">
            <v>4332000</v>
          </cell>
        </row>
        <row r="1382">
          <cell r="A1382" t="str">
            <v>Plasto Processors-Sales</v>
          </cell>
          <cell r="E1382">
            <v>55308</v>
          </cell>
        </row>
        <row r="1383">
          <cell r="A1383" t="str">
            <v>Plastochem - F.Z.C.</v>
          </cell>
          <cell r="E1383">
            <v>4585093.05</v>
          </cell>
        </row>
        <row r="1384">
          <cell r="A1384" t="str">
            <v>Plate Hit Exchanger</v>
          </cell>
          <cell r="E1384">
            <v>107065</v>
          </cell>
        </row>
        <row r="1385">
          <cell r="A1385" t="str">
            <v>Plusnet Communication Pvt Ltd</v>
          </cell>
          <cell r="E1385">
            <v>-1000</v>
          </cell>
        </row>
        <row r="1386">
          <cell r="A1386" t="str">
            <v>Pnumatic Strapping Machine</v>
          </cell>
          <cell r="E1386">
            <v>14500</v>
          </cell>
        </row>
        <row r="1387">
          <cell r="A1387" t="str">
            <v>Polipropilen Elyaf Sanayi Ve Dis Ticaret A.S Turkey</v>
          </cell>
          <cell r="E1387">
            <v>3975339.5</v>
          </cell>
        </row>
        <row r="1388">
          <cell r="A1388" t="str">
            <v>Polotizer Machine - Elite Brand</v>
          </cell>
          <cell r="E1388">
            <v>866578</v>
          </cell>
        </row>
        <row r="1389">
          <cell r="A1389" t="str">
            <v>Poly Texmach</v>
          </cell>
          <cell r="E1389">
            <v>0</v>
          </cell>
        </row>
        <row r="1390">
          <cell r="A1390" t="str">
            <v>Polymart Private Limited</v>
          </cell>
          <cell r="E1390">
            <v>-0.25</v>
          </cell>
        </row>
        <row r="1391">
          <cell r="A1391" t="str">
            <v>Polymart Private Limited - Maharashtra</v>
          </cell>
          <cell r="E1391">
            <v>1.25</v>
          </cell>
        </row>
        <row r="1392">
          <cell r="A1392" t="str">
            <v>Polymart Private Limited - Silvassa</v>
          </cell>
          <cell r="E1392">
            <v>-0.2</v>
          </cell>
        </row>
        <row r="1393">
          <cell r="A1393" t="str">
            <v>Polymma (Hk) Co. Ltd</v>
          </cell>
          <cell r="E1393">
            <v>-43096.5</v>
          </cell>
        </row>
        <row r="1394">
          <cell r="A1394" t="str">
            <v>Polypak Plastene Ltd</v>
          </cell>
          <cell r="E1394">
            <v>0.02</v>
          </cell>
        </row>
        <row r="1395">
          <cell r="A1395" t="str">
            <v>Polytek Makina Dis Ticaret Limited Sirketi</v>
          </cell>
          <cell r="E1395">
            <v>-1069.6300000000001</v>
          </cell>
        </row>
        <row r="1396">
          <cell r="A1396" t="str">
            <v>Pooja Enterprise</v>
          </cell>
          <cell r="E1396">
            <v>40000</v>
          </cell>
        </row>
        <row r="1397">
          <cell r="A1397" t="str">
            <v>Pooja Paper Crafts</v>
          </cell>
          <cell r="E1397">
            <v>-219510</v>
          </cell>
        </row>
        <row r="1398">
          <cell r="A1398" t="str">
            <v>Poseidon Shipping Agency Private Limited - Do Fees</v>
          </cell>
          <cell r="E1398">
            <v>242590.54</v>
          </cell>
        </row>
        <row r="1399">
          <cell r="A1399" t="str">
            <v>Postage &amp; Courier Expense</v>
          </cell>
          <cell r="E1399">
            <v>78515.100000000006</v>
          </cell>
        </row>
        <row r="1400">
          <cell r="A1400" t="str">
            <v>Pouch Making Machine</v>
          </cell>
          <cell r="E1400">
            <v>4977422</v>
          </cell>
        </row>
        <row r="1401">
          <cell r="A1401" t="str">
            <v>Power Expense</v>
          </cell>
          <cell r="E1401">
            <v>45247131.07</v>
          </cell>
        </row>
        <row r="1402">
          <cell r="A1402" t="str">
            <v>Power-Grid Switchgears Pvt Ltd</v>
          </cell>
          <cell r="E1402">
            <v>0.2</v>
          </cell>
        </row>
        <row r="1403">
          <cell r="A1403" t="str">
            <v>Prabhat Polymers</v>
          </cell>
          <cell r="E1403">
            <v>1538383.63</v>
          </cell>
        </row>
        <row r="1404">
          <cell r="A1404" t="str">
            <v>Pradeep Kumar Tiwari</v>
          </cell>
          <cell r="E1404">
            <v>-4356</v>
          </cell>
        </row>
        <row r="1405">
          <cell r="A1405" t="str">
            <v>Praful D.Daka</v>
          </cell>
          <cell r="E1405">
            <v>30</v>
          </cell>
        </row>
        <row r="1406">
          <cell r="A1406" t="str">
            <v>Prakash H. Parekh (Cr)</v>
          </cell>
          <cell r="E1406">
            <v>7859960</v>
          </cell>
        </row>
        <row r="1407">
          <cell r="A1407" t="str">
            <v>Prakash H. Parekh (Dr)</v>
          </cell>
          <cell r="E1407">
            <v>458670</v>
          </cell>
        </row>
        <row r="1408">
          <cell r="A1408" t="str">
            <v>Prakash Nath Jogi</v>
          </cell>
          <cell r="E1408">
            <v>143945</v>
          </cell>
        </row>
        <row r="1409">
          <cell r="A1409" t="str">
            <v>Pramod Kumar</v>
          </cell>
          <cell r="E1409">
            <v>0</v>
          </cell>
        </row>
        <row r="1410">
          <cell r="A1410" t="str">
            <v>Prasad Koch Technic Pvt Ltd</v>
          </cell>
          <cell r="E1410">
            <v>30</v>
          </cell>
        </row>
        <row r="1411">
          <cell r="A1411" t="str">
            <v>Prasham Greens</v>
          </cell>
          <cell r="E1411">
            <v>-0.4</v>
          </cell>
        </row>
        <row r="1412">
          <cell r="A1412" t="str">
            <v>Pratyaksh Reality Llp</v>
          </cell>
          <cell r="E1412">
            <v>646000</v>
          </cell>
        </row>
        <row r="1413">
          <cell r="A1413" t="str">
            <v>Precious Writing Instruments</v>
          </cell>
          <cell r="E1413">
            <v>0</v>
          </cell>
        </row>
        <row r="1414">
          <cell r="A1414" t="str">
            <v>Prema Ram</v>
          </cell>
          <cell r="E1414">
            <v>-24000</v>
          </cell>
        </row>
        <row r="1415">
          <cell r="A1415" t="str">
            <v>Premier India Bearing Ltd.</v>
          </cell>
          <cell r="E1415">
            <v>-49978.77</v>
          </cell>
        </row>
        <row r="1416">
          <cell r="A1416" t="str">
            <v>Premium Paper Products</v>
          </cell>
          <cell r="E1416">
            <v>-5992</v>
          </cell>
        </row>
        <row r="1417">
          <cell r="A1417" t="str">
            <v>Premshankar Dubey</v>
          </cell>
          <cell r="E1417">
            <v>0</v>
          </cell>
        </row>
        <row r="1418">
          <cell r="A1418" t="str">
            <v>Prepaid Expenses</v>
          </cell>
          <cell r="E1418">
            <v>2887.58</v>
          </cell>
        </row>
        <row r="1419">
          <cell r="A1419" t="str">
            <v>Prepaid Insurance</v>
          </cell>
          <cell r="E1419">
            <v>6361081.0599999996</v>
          </cell>
        </row>
        <row r="1420">
          <cell r="A1420" t="str">
            <v>Pridee Non Woven Private Limited</v>
          </cell>
          <cell r="E1420">
            <v>1350192</v>
          </cell>
        </row>
        <row r="1421">
          <cell r="A1421" t="str">
            <v>Prihaan Box Packaging Private Limited</v>
          </cell>
          <cell r="E1421">
            <v>361</v>
          </cell>
        </row>
        <row r="1422">
          <cell r="A1422" t="str">
            <v>Prime Placement &amp; Manpower Services</v>
          </cell>
          <cell r="E1422">
            <v>3528</v>
          </cell>
        </row>
        <row r="1423">
          <cell r="A1423" t="str">
            <v>Prime Product</v>
          </cell>
          <cell r="E1423">
            <v>1018010.32</v>
          </cell>
        </row>
        <row r="1424">
          <cell r="A1424" t="str">
            <v>Printing &amp; Stationery Expense</v>
          </cell>
          <cell r="E1424">
            <v>341151.86</v>
          </cell>
        </row>
        <row r="1425">
          <cell r="A1425" t="str">
            <v>Printing Machine</v>
          </cell>
          <cell r="E1425">
            <v>1421670.3999999999</v>
          </cell>
        </row>
        <row r="1426">
          <cell r="A1426" t="str">
            <v>Printing Machine 6 Colour</v>
          </cell>
          <cell r="E1426">
            <v>9709397</v>
          </cell>
        </row>
        <row r="1427">
          <cell r="A1427" t="str">
            <v>Printing Machine Three Colour</v>
          </cell>
          <cell r="E1427">
            <v>419146</v>
          </cell>
        </row>
        <row r="1428">
          <cell r="A1428" t="str">
            <v>Printing Machine Two Colour</v>
          </cell>
          <cell r="E1428">
            <v>4887552</v>
          </cell>
        </row>
        <row r="1429">
          <cell r="A1429" t="str">
            <v>Prithvi Exchange India Limited</v>
          </cell>
          <cell r="E1429">
            <v>0</v>
          </cell>
        </row>
        <row r="1430">
          <cell r="A1430" t="str">
            <v>Priyanka Dubey</v>
          </cell>
          <cell r="E1430">
            <v>0</v>
          </cell>
        </row>
        <row r="1431">
          <cell r="A1431" t="str">
            <v>Procon Pacific Llc</v>
          </cell>
          <cell r="E1431">
            <v>15957302.9</v>
          </cell>
        </row>
        <row r="1432">
          <cell r="A1432" t="str">
            <v>Professional &amp; Consultancy Fees</v>
          </cell>
          <cell r="E1432">
            <v>4992666.3499999996</v>
          </cell>
        </row>
        <row r="1433">
          <cell r="A1433" t="str">
            <v>Professional Tax Liability A/c</v>
          </cell>
          <cell r="E1433">
            <v>-47828</v>
          </cell>
        </row>
        <row r="1434">
          <cell r="A1434" t="str">
            <v>Profit &amp; Loss - R&amp;S</v>
          </cell>
          <cell r="E1434">
            <v>-1091909407.8099999</v>
          </cell>
        </row>
        <row r="1435">
          <cell r="A1435" t="str">
            <v>Projector &amp; Video Conferecing Equip.</v>
          </cell>
          <cell r="E1435">
            <v>124950</v>
          </cell>
        </row>
        <row r="1436">
          <cell r="A1436" t="str">
            <v>Property Tax</v>
          </cell>
          <cell r="E1436">
            <v>255933</v>
          </cell>
        </row>
        <row r="1437">
          <cell r="A1437" t="str">
            <v>Provident Fund On Behalf Of Contractors</v>
          </cell>
          <cell r="E1437">
            <v>0</v>
          </cell>
        </row>
        <row r="1438">
          <cell r="A1438" t="str">
            <v>Provision For Depreciation</v>
          </cell>
          <cell r="E1438">
            <v>-657804804.60000002</v>
          </cell>
        </row>
        <row r="1439">
          <cell r="A1439" t="str">
            <v>Provision For Expenses</v>
          </cell>
          <cell r="E1439">
            <v>-1770755</v>
          </cell>
        </row>
        <row r="1440">
          <cell r="A1440" t="str">
            <v>Provision for Gratuaity</v>
          </cell>
          <cell r="E1440">
            <v>-14475655</v>
          </cell>
        </row>
        <row r="1441">
          <cell r="A1441" t="str">
            <v>Provision For Income</v>
          </cell>
          <cell r="E1441">
            <v>1143473</v>
          </cell>
        </row>
        <row r="1442">
          <cell r="A1442" t="str">
            <v>Provision For Interest</v>
          </cell>
          <cell r="E1442">
            <v>3869632.62</v>
          </cell>
        </row>
        <row r="1443">
          <cell r="A1443" t="str">
            <v>Provision For Leave Encashment</v>
          </cell>
          <cell r="E1443">
            <v>-2520937</v>
          </cell>
        </row>
        <row r="1444">
          <cell r="A1444" t="str">
            <v>Psrrc Tfo Machine</v>
          </cell>
          <cell r="E1444">
            <v>599303</v>
          </cell>
        </row>
        <row r="1445">
          <cell r="A1445" t="str">
            <v>Ptt Global Chemical Public Company Limited</v>
          </cell>
          <cell r="E1445">
            <v>-29680</v>
          </cell>
        </row>
        <row r="1446">
          <cell r="A1446" t="str">
            <v>Pumpset</v>
          </cell>
          <cell r="E1446">
            <v>139624</v>
          </cell>
        </row>
        <row r="1447">
          <cell r="A1447" t="str">
            <v>Punya Transport Corporation</v>
          </cell>
          <cell r="E1447">
            <v>0</v>
          </cell>
        </row>
        <row r="1448">
          <cell r="A1448" t="str">
            <v>Puran Electric &amp; Power Tools</v>
          </cell>
          <cell r="E1448">
            <v>2872.4</v>
          </cell>
        </row>
        <row r="1449">
          <cell r="A1449" t="str">
            <v>Purbanchal Lumbers Pvt Ltd</v>
          </cell>
          <cell r="E1449">
            <v>0</v>
          </cell>
        </row>
        <row r="1450">
          <cell r="A1450" t="str">
            <v>Purchase - Import - Stores, Spares &amp; Consumable</v>
          </cell>
          <cell r="E1450">
            <v>437445.46</v>
          </cell>
        </row>
        <row r="1451">
          <cell r="A1451" t="str">
            <v>Purchase - Urd - Stores, Spares &amp; Consumable</v>
          </cell>
          <cell r="E1451">
            <v>18710</v>
          </cell>
        </row>
        <row r="1452">
          <cell r="A1452" t="str">
            <v>Purchase Interstate - Raw Material</v>
          </cell>
          <cell r="E1452">
            <v>74826196.400000006</v>
          </cell>
        </row>
        <row r="1453">
          <cell r="A1453" t="str">
            <v>Purchase Interstate- Packing Material</v>
          </cell>
          <cell r="E1453">
            <v>1500</v>
          </cell>
        </row>
        <row r="1454">
          <cell r="A1454" t="str">
            <v>Purchase Interstate- Stores, Spares &amp; Consumable</v>
          </cell>
          <cell r="E1454">
            <v>2754685</v>
          </cell>
        </row>
        <row r="1455">
          <cell r="A1455" t="str">
            <v>Purchase Raw Material - Direct Import</v>
          </cell>
          <cell r="E1455">
            <v>151735169.74000001</v>
          </cell>
        </row>
        <row r="1456">
          <cell r="A1456" t="str">
            <v>Purchase Raw Material - High Seas</v>
          </cell>
          <cell r="E1456">
            <v>57422665</v>
          </cell>
        </row>
        <row r="1457">
          <cell r="A1457" t="str">
            <v>Purchase Return - Inter State - Raw Material</v>
          </cell>
          <cell r="E1457">
            <v>-11577</v>
          </cell>
        </row>
        <row r="1458">
          <cell r="A1458" t="str">
            <v>Purchase Return - Stores, Spares &amp; Consumable</v>
          </cell>
          <cell r="E1458">
            <v>-66710</v>
          </cell>
        </row>
        <row r="1459">
          <cell r="A1459" t="str">
            <v>Purchase Return - Within State - Raw Material</v>
          </cell>
          <cell r="E1459">
            <v>-458156</v>
          </cell>
        </row>
        <row r="1460">
          <cell r="A1460" t="str">
            <v>Purchase Trading - High Seas</v>
          </cell>
          <cell r="E1460">
            <v>42038050</v>
          </cell>
        </row>
        <row r="1461">
          <cell r="A1461" t="str">
            <v>Purchase Withinstate - Raw Material</v>
          </cell>
          <cell r="E1461">
            <v>1061914689.28</v>
          </cell>
        </row>
        <row r="1462">
          <cell r="A1462" t="str">
            <v>Purchase Withinstate- Packing Material</v>
          </cell>
          <cell r="E1462">
            <v>9664730.4800000004</v>
          </cell>
        </row>
        <row r="1463">
          <cell r="A1463" t="str">
            <v>Purchase Withinstate- Stores, Spares &amp; Consumable</v>
          </cell>
          <cell r="E1463">
            <v>22194477.420000002</v>
          </cell>
        </row>
        <row r="1464">
          <cell r="A1464" t="str">
            <v>Purchase-Import - Third Party</v>
          </cell>
          <cell r="E1464">
            <v>4876994.05</v>
          </cell>
        </row>
        <row r="1465">
          <cell r="A1465" t="str">
            <v>Purohit Caterers</v>
          </cell>
          <cell r="E1465">
            <v>-0.2</v>
          </cell>
        </row>
        <row r="1466">
          <cell r="A1466" t="str">
            <v>Qatar Chemical And Petrochemical Marketing And Distribution Company (Muntajat) Q.J.S.C.</v>
          </cell>
          <cell r="E1466">
            <v>0.01</v>
          </cell>
        </row>
        <row r="1467">
          <cell r="A1467" t="str">
            <v>Qpac Ltd</v>
          </cell>
          <cell r="E1467">
            <v>4985268.58</v>
          </cell>
        </row>
        <row r="1468">
          <cell r="A1468" t="str">
            <v>Qpac Packaging LLP</v>
          </cell>
          <cell r="E1468">
            <v>0.01</v>
          </cell>
        </row>
        <row r="1469">
          <cell r="A1469" t="str">
            <v>Quality Agency</v>
          </cell>
          <cell r="E1469">
            <v>-2276</v>
          </cell>
        </row>
        <row r="1470">
          <cell r="A1470" t="str">
            <v>Quality Prepress Pvt Ltd</v>
          </cell>
          <cell r="E1470">
            <v>-2343</v>
          </cell>
        </row>
        <row r="1471">
          <cell r="A1471" t="str">
            <v>Qwik Supply Chain Private Limited</v>
          </cell>
          <cell r="E1471">
            <v>165214.69</v>
          </cell>
        </row>
        <row r="1472">
          <cell r="A1472" t="str">
            <v>R K Yadav Industries</v>
          </cell>
          <cell r="E1472">
            <v>-12873.4</v>
          </cell>
        </row>
        <row r="1473">
          <cell r="A1473" t="str">
            <v>R R Kabel Limited - 26AABCR3352C1ZT</v>
          </cell>
          <cell r="E1473">
            <v>-0.26</v>
          </cell>
        </row>
        <row r="1474">
          <cell r="A1474" t="str">
            <v>R. B. Tapes Pvt Ltd</v>
          </cell>
          <cell r="E1474">
            <v>-46728</v>
          </cell>
        </row>
        <row r="1475">
          <cell r="A1475" t="str">
            <v>R. K. Cosultants</v>
          </cell>
          <cell r="E1475">
            <v>200</v>
          </cell>
        </row>
        <row r="1476">
          <cell r="A1476" t="str">
            <v>R.V. Sarkaria &amp; Associates</v>
          </cell>
          <cell r="E1476">
            <v>-40000</v>
          </cell>
        </row>
        <row r="1477">
          <cell r="A1477" t="str">
            <v>Rabari Jigneshkumar Ganeshbhai</v>
          </cell>
          <cell r="E1477">
            <v>0</v>
          </cell>
        </row>
        <row r="1478">
          <cell r="A1478" t="str">
            <v>Racks For Rolls/Fg</v>
          </cell>
          <cell r="E1478">
            <v>694298</v>
          </cell>
        </row>
        <row r="1479">
          <cell r="A1479" t="str">
            <v>Radhesham Raviprakash Timbers Pvt Ltd</v>
          </cell>
          <cell r="E1479">
            <v>-5377</v>
          </cell>
        </row>
        <row r="1480">
          <cell r="A1480" t="str">
            <v>Radiant Fibretech Pvt Ltd</v>
          </cell>
          <cell r="E1480">
            <v>39591.160000000003</v>
          </cell>
        </row>
        <row r="1481">
          <cell r="A1481" t="str">
            <v>Radisson Blu Hotel Unit Of Rising Hotel Ltd_24AABCA6371L2ZL</v>
          </cell>
          <cell r="E1481">
            <v>-21420.04</v>
          </cell>
        </row>
        <row r="1482">
          <cell r="A1482" t="str">
            <v>Radius Server Parts India</v>
          </cell>
          <cell r="E1482">
            <v>80794.600000000006</v>
          </cell>
        </row>
        <row r="1483">
          <cell r="A1483" t="str">
            <v>Rafia Industrial S.A.</v>
          </cell>
          <cell r="E1483">
            <v>0.12</v>
          </cell>
        </row>
        <row r="1484">
          <cell r="A1484" t="str">
            <v>Rafypak S.A De C.V</v>
          </cell>
          <cell r="E1484">
            <v>138825</v>
          </cell>
        </row>
        <row r="1485">
          <cell r="A1485" t="str">
            <v>Ragni Devi Navin Singh</v>
          </cell>
          <cell r="E1485">
            <v>90000</v>
          </cell>
        </row>
        <row r="1486">
          <cell r="A1486" t="str">
            <v>Rahul Arvindbhai Dabhi</v>
          </cell>
          <cell r="E1486">
            <v>-4258</v>
          </cell>
        </row>
        <row r="1487">
          <cell r="A1487" t="str">
            <v>Rahul Traders - 24AFAPK3878B1ZR</v>
          </cell>
          <cell r="E1487">
            <v>-2590593</v>
          </cell>
        </row>
        <row r="1488">
          <cell r="A1488" t="str">
            <v>Rainox Wiremesh Private Limited</v>
          </cell>
          <cell r="E1488">
            <v>0</v>
          </cell>
        </row>
        <row r="1489">
          <cell r="A1489" t="str">
            <v>Raj Asbestos Co</v>
          </cell>
          <cell r="E1489">
            <v>0</v>
          </cell>
        </row>
        <row r="1490">
          <cell r="A1490" t="str">
            <v>Raj Cooling World Private Limited</v>
          </cell>
          <cell r="E1490">
            <v>21240</v>
          </cell>
        </row>
        <row r="1491">
          <cell r="A1491" t="str">
            <v>Raj Filters And Wiremesh Pvt Ltd</v>
          </cell>
          <cell r="E1491">
            <v>0</v>
          </cell>
        </row>
        <row r="1492">
          <cell r="A1492" t="str">
            <v>Raj Furnishing</v>
          </cell>
          <cell r="E1492">
            <v>-45590.400000000001</v>
          </cell>
        </row>
        <row r="1493">
          <cell r="A1493" t="str">
            <v>Rajan Kantilal Velani</v>
          </cell>
          <cell r="E1493">
            <v>309310.44</v>
          </cell>
        </row>
        <row r="1494">
          <cell r="A1494" t="str">
            <v>Rajat Impex</v>
          </cell>
          <cell r="E1494">
            <v>-15139</v>
          </cell>
        </row>
        <row r="1495">
          <cell r="A1495" t="str">
            <v>Rajat Logistics</v>
          </cell>
          <cell r="E1495">
            <v>0</v>
          </cell>
        </row>
        <row r="1496">
          <cell r="A1496" t="str">
            <v>Rajendra Traders</v>
          </cell>
          <cell r="E1496">
            <v>0</v>
          </cell>
        </row>
        <row r="1497">
          <cell r="A1497" t="str">
            <v>Rajesh Enterprise</v>
          </cell>
          <cell r="E1497">
            <v>0.56999999999999995</v>
          </cell>
        </row>
        <row r="1498">
          <cell r="A1498" t="str">
            <v>Rajgor Stationery &amp; Computer</v>
          </cell>
          <cell r="E1498">
            <v>-279244.02</v>
          </cell>
        </row>
        <row r="1499">
          <cell r="A1499" t="str">
            <v>Rajhans Plastic Machinery Pvt Ltd</v>
          </cell>
          <cell r="E1499">
            <v>118.8</v>
          </cell>
        </row>
        <row r="1500">
          <cell r="A1500" t="str">
            <v>Rajkamal Poly Print Private Limited</v>
          </cell>
          <cell r="E1500">
            <v>-21000</v>
          </cell>
        </row>
        <row r="1501">
          <cell r="A1501" t="str">
            <v>Rajkumar &amp; Sons</v>
          </cell>
          <cell r="E1501">
            <v>580857.16</v>
          </cell>
        </row>
        <row r="1502">
          <cell r="A1502" t="str">
            <v>Rajratan Electricals Pvt Ltd</v>
          </cell>
          <cell r="E1502">
            <v>-5310</v>
          </cell>
        </row>
        <row r="1503">
          <cell r="A1503" t="str">
            <v>Rajshakti Roadways</v>
          </cell>
          <cell r="E1503">
            <v>-19750</v>
          </cell>
        </row>
        <row r="1504">
          <cell r="A1504" t="str">
            <v>Rajyada Polymers Private Limited</v>
          </cell>
          <cell r="E1504">
            <v>-0.4</v>
          </cell>
        </row>
        <row r="1505">
          <cell r="A1505" t="str">
            <v>Rakha Al Khaleej International Llc</v>
          </cell>
          <cell r="E1505">
            <v>-30681.599999999999</v>
          </cell>
        </row>
        <row r="1506">
          <cell r="A1506" t="str">
            <v>Ranjanben Jagdishbhai Bhavsar</v>
          </cell>
          <cell r="E1506">
            <v>0</v>
          </cell>
        </row>
        <row r="1507">
          <cell r="A1507" t="str">
            <v>Rapid Spare</v>
          </cell>
          <cell r="E1507">
            <v>-32438</v>
          </cell>
        </row>
        <row r="1508">
          <cell r="A1508" t="str">
            <v>Rasidul Mandal (Advance)</v>
          </cell>
          <cell r="E1508">
            <v>15000</v>
          </cell>
        </row>
        <row r="1509">
          <cell r="A1509" t="str">
            <v>Rasidul Mondal</v>
          </cell>
          <cell r="E1509">
            <v>231878</v>
          </cell>
        </row>
        <row r="1510">
          <cell r="A1510" t="str">
            <v>Rathod Sales &amp; Service</v>
          </cell>
          <cell r="E1510">
            <v>-1239</v>
          </cell>
        </row>
        <row r="1511">
          <cell r="A1511" t="str">
            <v>Ratnam Polymers</v>
          </cell>
          <cell r="E1511">
            <v>-0.3</v>
          </cell>
        </row>
        <row r="1512">
          <cell r="A1512" t="str">
            <v>Ravi Arts Gallery</v>
          </cell>
          <cell r="E1512">
            <v>0</v>
          </cell>
        </row>
        <row r="1513">
          <cell r="A1513" t="str">
            <v>Ravi Sunrise Industries- Supplier</v>
          </cell>
          <cell r="E1513">
            <v>177.4</v>
          </cell>
        </row>
        <row r="1514">
          <cell r="A1514" t="str">
            <v>Ravindra</v>
          </cell>
          <cell r="E1514">
            <v>-34717.760000000002</v>
          </cell>
        </row>
        <row r="1515">
          <cell r="A1515" t="str">
            <v>Ravindran Raghavan</v>
          </cell>
          <cell r="E1515">
            <v>561210.80000000005</v>
          </cell>
        </row>
        <row r="1516">
          <cell r="A1516" t="str">
            <v>Ravishankar Maurya</v>
          </cell>
          <cell r="E1516">
            <v>0</v>
          </cell>
        </row>
        <row r="1517">
          <cell r="A1517" t="str">
            <v>Ravitaillement International Inc.</v>
          </cell>
          <cell r="E1517">
            <v>5316.61</v>
          </cell>
        </row>
        <row r="1518">
          <cell r="A1518" t="str">
            <v>RCM - IGST Credit</v>
          </cell>
          <cell r="E1518">
            <v>400</v>
          </cell>
        </row>
        <row r="1519">
          <cell r="A1519" t="str">
            <v>RCM - SGST Credit</v>
          </cell>
          <cell r="E1519">
            <v>-400</v>
          </cell>
        </row>
        <row r="1520">
          <cell r="A1520" t="str">
            <v>Rdc Agro Ventures Private Limited</v>
          </cell>
          <cell r="E1520">
            <v>0</v>
          </cell>
        </row>
        <row r="1521">
          <cell r="A1521" t="str">
            <v>Real Logistics</v>
          </cell>
          <cell r="E1521">
            <v>-500</v>
          </cell>
        </row>
        <row r="1522">
          <cell r="A1522" t="str">
            <v>Real Roadlines - Udaipur</v>
          </cell>
          <cell r="E1522">
            <v>0</v>
          </cell>
        </row>
        <row r="1523">
          <cell r="A1523" t="str">
            <v>Real Technitex</v>
          </cell>
          <cell r="E1523">
            <v>0</v>
          </cell>
        </row>
        <row r="1524">
          <cell r="A1524" t="str">
            <v>Recycling Machine</v>
          </cell>
          <cell r="E1524">
            <v>15754540.52</v>
          </cell>
        </row>
        <row r="1525">
          <cell r="A1525" t="str">
            <v>Refrigerator</v>
          </cell>
          <cell r="E1525">
            <v>75306</v>
          </cell>
        </row>
        <row r="1526">
          <cell r="A1526" t="str">
            <v>Reliance General Insurance Co Ltd-Gujarat</v>
          </cell>
          <cell r="E1526">
            <v>312700</v>
          </cell>
        </row>
        <row r="1527">
          <cell r="A1527" t="str">
            <v>Reliance Industries Ltd-Gujarat</v>
          </cell>
          <cell r="E1527">
            <v>-6238544.4199999999</v>
          </cell>
        </row>
        <row r="1528">
          <cell r="A1528" t="str">
            <v>Reliance Industries Ltd-Jamnagar SEZ</v>
          </cell>
          <cell r="E1528">
            <v>-3218882.36</v>
          </cell>
        </row>
        <row r="1529">
          <cell r="A1529" t="str">
            <v>Reliance Jio Infocomm Limited</v>
          </cell>
          <cell r="E1529">
            <v>0</v>
          </cell>
        </row>
        <row r="1530">
          <cell r="A1530" t="str">
            <v>Reliance Retail Limited-Gujarat</v>
          </cell>
          <cell r="E1530">
            <v>246.1</v>
          </cell>
        </row>
        <row r="1531">
          <cell r="A1531" t="str">
            <v>Religare Finvest Ltd.- TDS amount</v>
          </cell>
          <cell r="E1531">
            <v>0</v>
          </cell>
        </row>
        <row r="1532">
          <cell r="A1532" t="str">
            <v>Rent Deposit - Rajani M.Hinduja</v>
          </cell>
          <cell r="E1532">
            <v>20000</v>
          </cell>
        </row>
        <row r="1533">
          <cell r="A1533" t="str">
            <v>Rent Expense - Colony</v>
          </cell>
          <cell r="E1533">
            <v>1568400</v>
          </cell>
        </row>
        <row r="1534">
          <cell r="A1534" t="str">
            <v>Rent Expense - Godown</v>
          </cell>
          <cell r="E1534">
            <v>421773</v>
          </cell>
        </row>
        <row r="1535">
          <cell r="A1535" t="str">
            <v>Rent Expense Colony With Gst</v>
          </cell>
          <cell r="E1535">
            <v>660000</v>
          </cell>
        </row>
        <row r="1536">
          <cell r="A1536" t="str">
            <v>Rent Expenses - Machineries</v>
          </cell>
          <cell r="E1536">
            <v>894120</v>
          </cell>
        </row>
        <row r="1537">
          <cell r="A1537" t="str">
            <v>Rent Income</v>
          </cell>
          <cell r="E1537">
            <v>-136052</v>
          </cell>
        </row>
        <row r="1538">
          <cell r="A1538" t="str">
            <v>Repairs &amp; Maintenance Exp - Building</v>
          </cell>
          <cell r="E1538">
            <v>486330.02</v>
          </cell>
        </row>
        <row r="1539">
          <cell r="A1539" t="str">
            <v>Repairs &amp; Maintenance Exp - Computer &amp; Printers</v>
          </cell>
          <cell r="E1539">
            <v>58200</v>
          </cell>
        </row>
        <row r="1540">
          <cell r="A1540" t="str">
            <v>Repairs &amp; Maintenance Exp - Electric</v>
          </cell>
          <cell r="E1540">
            <v>566424.57999999996</v>
          </cell>
        </row>
        <row r="1541">
          <cell r="A1541" t="str">
            <v>Repairs &amp; Maintenance Exp - Motor Cars</v>
          </cell>
          <cell r="E1541">
            <v>89693.05</v>
          </cell>
        </row>
        <row r="1542">
          <cell r="A1542" t="str">
            <v>Repairs &amp; Maintenance Exp - Other Vehicles</v>
          </cell>
          <cell r="E1542">
            <v>52501.84</v>
          </cell>
        </row>
        <row r="1543">
          <cell r="A1543" t="str">
            <v>Repairs &amp; Maintenance Exp - Others</v>
          </cell>
          <cell r="E1543">
            <v>1877688.28</v>
          </cell>
        </row>
        <row r="1544">
          <cell r="A1544" t="str">
            <v>Repairs &amp; Maintenance Exp - Plant &amp; Machinery</v>
          </cell>
          <cell r="E1544">
            <v>1754324.54</v>
          </cell>
        </row>
        <row r="1545">
          <cell r="A1545" t="str">
            <v>Repsol Quimica S.A</v>
          </cell>
          <cell r="E1545">
            <v>38063.42</v>
          </cell>
        </row>
        <row r="1546">
          <cell r="A1546" t="str">
            <v>Rex Steam Products Pvt Ltd</v>
          </cell>
          <cell r="E1546">
            <v>2884.28</v>
          </cell>
        </row>
        <row r="1547">
          <cell r="A1547" t="str">
            <v>Rfbl Flexi Pack Limited</v>
          </cell>
          <cell r="E1547">
            <v>14703308.24</v>
          </cell>
        </row>
        <row r="1548">
          <cell r="A1548" t="str">
            <v>Riddhi Construction</v>
          </cell>
          <cell r="E1548">
            <v>0</v>
          </cell>
        </row>
        <row r="1549">
          <cell r="A1549" t="str">
            <v>Riddhi Electric Industries</v>
          </cell>
          <cell r="E1549">
            <v>-5975</v>
          </cell>
        </row>
        <row r="1550">
          <cell r="A1550" t="str">
            <v>Riddhi Graphics</v>
          </cell>
          <cell r="E1550">
            <v>-3658</v>
          </cell>
        </row>
        <row r="1551">
          <cell r="A1551" t="str">
            <v>Riddhi Mech-Fab Engineering</v>
          </cell>
          <cell r="E1551">
            <v>-8024</v>
          </cell>
        </row>
        <row r="1552">
          <cell r="A1552" t="str">
            <v>Ring Twister - Model-Hdt-612</v>
          </cell>
          <cell r="E1552">
            <v>4411626</v>
          </cell>
        </row>
        <row r="1553">
          <cell r="A1553" t="str">
            <v>Ring Twister - Model-Hdt-812</v>
          </cell>
          <cell r="E1553">
            <v>1297133</v>
          </cell>
        </row>
        <row r="1554">
          <cell r="A1554" t="str">
            <v>Rishabh Steel Supplier</v>
          </cell>
          <cell r="E1554">
            <v>0</v>
          </cell>
        </row>
        <row r="1555">
          <cell r="A1555" t="str">
            <v>Ritesh Auto</v>
          </cell>
          <cell r="E1555">
            <v>-16638</v>
          </cell>
        </row>
        <row r="1556">
          <cell r="A1556" t="str">
            <v>RO Plant</v>
          </cell>
          <cell r="E1556">
            <v>2214800</v>
          </cell>
        </row>
        <row r="1557">
          <cell r="A1557" t="str">
            <v>Roads</v>
          </cell>
          <cell r="E1557">
            <v>1333281</v>
          </cell>
        </row>
        <row r="1558">
          <cell r="A1558" t="str">
            <v>RoDtep Receivable</v>
          </cell>
          <cell r="E1558">
            <v>888121</v>
          </cell>
        </row>
        <row r="1559">
          <cell r="A1559" t="str">
            <v>Rolaxo Polypack LLP- Sales</v>
          </cell>
          <cell r="E1559">
            <v>-30.4</v>
          </cell>
        </row>
        <row r="1560">
          <cell r="A1560" t="str">
            <v>Roller</v>
          </cell>
          <cell r="E1560">
            <v>173525</v>
          </cell>
        </row>
        <row r="1561">
          <cell r="A1561" t="str">
            <v>Roltech Infotech</v>
          </cell>
          <cell r="E1561">
            <v>-6537</v>
          </cell>
        </row>
        <row r="1562">
          <cell r="A1562" t="str">
            <v>Rossi Imballaggi Srl</v>
          </cell>
          <cell r="E1562">
            <v>0.09</v>
          </cell>
        </row>
        <row r="1563">
          <cell r="A1563" t="str">
            <v>Rotary Hammer Machine</v>
          </cell>
          <cell r="E1563">
            <v>6550</v>
          </cell>
        </row>
        <row r="1564">
          <cell r="A1564" t="str">
            <v>Rotary Screw Compressor</v>
          </cell>
          <cell r="E1564">
            <v>953490</v>
          </cell>
        </row>
        <row r="1565">
          <cell r="A1565" t="str">
            <v>Rotex Fabric Pvt Ltd</v>
          </cell>
          <cell r="E1565">
            <v>0</v>
          </cell>
        </row>
        <row r="1566">
          <cell r="A1566" t="str">
            <v>Roto Master India</v>
          </cell>
          <cell r="E1566">
            <v>-1.1399999999999999</v>
          </cell>
        </row>
        <row r="1567">
          <cell r="A1567" t="str">
            <v>Round Cutter Gsm</v>
          </cell>
          <cell r="E1567">
            <v>9443.83</v>
          </cell>
        </row>
        <row r="1568">
          <cell r="A1568" t="str">
            <v>Round Off</v>
          </cell>
          <cell r="E1568">
            <v>3328.62</v>
          </cell>
        </row>
        <row r="1569">
          <cell r="A1569" t="str">
            <v>Round Off - Purchases</v>
          </cell>
          <cell r="E1569">
            <v>358.24</v>
          </cell>
        </row>
        <row r="1570">
          <cell r="A1570" t="str">
            <v>Round Off - Sales</v>
          </cell>
          <cell r="E1570">
            <v>-0.32</v>
          </cell>
        </row>
        <row r="1571">
          <cell r="A1571" t="str">
            <v>Royal Marketing</v>
          </cell>
          <cell r="E1571">
            <v>0.34</v>
          </cell>
        </row>
        <row r="1572">
          <cell r="A1572" t="str">
            <v>Royal Sundaram General Insurance Co LtdMaharashtra</v>
          </cell>
          <cell r="E1572">
            <v>-0.38</v>
          </cell>
        </row>
        <row r="1573">
          <cell r="A1573" t="str">
            <v>RR International</v>
          </cell>
          <cell r="E1573">
            <v>-734.4</v>
          </cell>
        </row>
        <row r="1574">
          <cell r="A1574" t="str">
            <v>RR Services</v>
          </cell>
          <cell r="E1574">
            <v>-9769</v>
          </cell>
        </row>
        <row r="1575">
          <cell r="A1575" t="str">
            <v>Rt Wovensack Machinery Solutions</v>
          </cell>
          <cell r="E1575">
            <v>0</v>
          </cell>
        </row>
        <row r="1576">
          <cell r="A1576" t="str">
            <v>Rubix Data Sciences Private Limited</v>
          </cell>
          <cell r="E1576">
            <v>98262</v>
          </cell>
        </row>
        <row r="1577">
          <cell r="A1577" t="str">
            <v>Rudra Trading Co.</v>
          </cell>
          <cell r="E1577">
            <v>7022086.0999999996</v>
          </cell>
        </row>
        <row r="1578">
          <cell r="A1578" t="str">
            <v>Rudraksh Polychem</v>
          </cell>
          <cell r="E1578">
            <v>-218300</v>
          </cell>
        </row>
        <row r="1579">
          <cell r="A1579" t="str">
            <v>Rudrani Electro Engraving Private Limited</v>
          </cell>
          <cell r="E1579">
            <v>-38523</v>
          </cell>
        </row>
        <row r="1580">
          <cell r="A1580" t="str">
            <v>Rugo Bags Gmbh</v>
          </cell>
          <cell r="E1580">
            <v>-21431.96</v>
          </cell>
        </row>
        <row r="1581">
          <cell r="A1581" t="str">
            <v>Rushabh Fastech Llp</v>
          </cell>
          <cell r="E1581">
            <v>-8198</v>
          </cell>
        </row>
        <row r="1582">
          <cell r="A1582" t="str">
            <v>S A Automation Pvt Ltd</v>
          </cell>
          <cell r="E1582">
            <v>9085.11</v>
          </cell>
        </row>
        <row r="1583">
          <cell r="A1583" t="str">
            <v>S B Enterprise</v>
          </cell>
          <cell r="E1583">
            <v>0</v>
          </cell>
        </row>
        <row r="1584">
          <cell r="A1584" t="str">
            <v>S R Plast</v>
          </cell>
          <cell r="E1584">
            <v>40000</v>
          </cell>
        </row>
        <row r="1585">
          <cell r="A1585" t="str">
            <v>S. Khemka &amp; Co.</v>
          </cell>
          <cell r="E1585">
            <v>-300</v>
          </cell>
        </row>
        <row r="1586">
          <cell r="A1586" t="str">
            <v>S.B. AGENCIES</v>
          </cell>
          <cell r="E1586">
            <v>-1890</v>
          </cell>
        </row>
        <row r="1587">
          <cell r="A1587" t="str">
            <v>S.K. Enterprise</v>
          </cell>
          <cell r="E1587">
            <v>0</v>
          </cell>
        </row>
        <row r="1588">
          <cell r="A1588" t="str">
            <v>S.K.Enterprise - 24DXPPS8590J1ZG</v>
          </cell>
          <cell r="E1588">
            <v>30398</v>
          </cell>
        </row>
        <row r="1589">
          <cell r="A1589" t="str">
            <v>S.K.Enterprises</v>
          </cell>
          <cell r="E1589">
            <v>6922.5</v>
          </cell>
        </row>
        <row r="1590">
          <cell r="A1590" t="str">
            <v>S.R. Electronics</v>
          </cell>
          <cell r="E1590">
            <v>680</v>
          </cell>
        </row>
        <row r="1591">
          <cell r="A1591" t="str">
            <v>S.R. Roadways</v>
          </cell>
          <cell r="E1591">
            <v>-200000</v>
          </cell>
        </row>
        <row r="1592">
          <cell r="A1592" t="str">
            <v>S.R.Sewing Tech</v>
          </cell>
          <cell r="E1592">
            <v>-277778</v>
          </cell>
        </row>
        <row r="1593">
          <cell r="A1593" t="str">
            <v>S.S. Enterprises</v>
          </cell>
          <cell r="E1593">
            <v>0</v>
          </cell>
        </row>
        <row r="1594">
          <cell r="A1594" t="str">
            <v>S.V.Industries</v>
          </cell>
          <cell r="E1594">
            <v>-5723</v>
          </cell>
        </row>
        <row r="1595">
          <cell r="A1595" t="str">
            <v>Sabar Flex Industries</v>
          </cell>
          <cell r="E1595">
            <v>3597958</v>
          </cell>
        </row>
        <row r="1596">
          <cell r="A1596" t="str">
            <v>Sabic Asia Pacific Pte Ltd</v>
          </cell>
          <cell r="E1596">
            <v>11166705.01</v>
          </cell>
        </row>
        <row r="1597">
          <cell r="A1597" t="str">
            <v>Sabihhaidar Mustufahusen Saiyad</v>
          </cell>
          <cell r="E1597">
            <v>-63000</v>
          </cell>
        </row>
        <row r="1598">
          <cell r="A1598" t="str">
            <v>Sacherie De Pantin</v>
          </cell>
          <cell r="E1598">
            <v>0</v>
          </cell>
        </row>
        <row r="1599">
          <cell r="A1599" t="str">
            <v>Saeed Ali Godhran Plastic Pipe Factory</v>
          </cell>
          <cell r="E1599">
            <v>0</v>
          </cell>
        </row>
        <row r="1600">
          <cell r="A1600" t="str">
            <v>Safal Hospitality And Maintenance Services</v>
          </cell>
          <cell r="E1600">
            <v>178</v>
          </cell>
        </row>
        <row r="1601">
          <cell r="A1601" t="str">
            <v>Safal Poly Products</v>
          </cell>
          <cell r="E1601">
            <v>802400</v>
          </cell>
        </row>
        <row r="1602">
          <cell r="A1602" t="str">
            <v>Safesack Finland Oy</v>
          </cell>
          <cell r="E1602">
            <v>0.03</v>
          </cell>
        </row>
        <row r="1603">
          <cell r="A1603" t="str">
            <v>Safesack Scandinavia Ab</v>
          </cell>
          <cell r="E1603">
            <v>0.04</v>
          </cell>
        </row>
        <row r="1604">
          <cell r="A1604" t="str">
            <v>Safesack Scandinavia Ab - Purchase</v>
          </cell>
          <cell r="E1604">
            <v>-1320015.96</v>
          </cell>
        </row>
        <row r="1605">
          <cell r="A1605" t="str">
            <v>Safewin International Services</v>
          </cell>
          <cell r="E1605">
            <v>-295</v>
          </cell>
        </row>
        <row r="1606">
          <cell r="A1606" t="str">
            <v>Sahdevsinh Fatehsinh Jadeja</v>
          </cell>
          <cell r="E1606">
            <v>-38282</v>
          </cell>
        </row>
        <row r="1607">
          <cell r="A1607" t="str">
            <v>Saheli Enterprise, Gim</v>
          </cell>
          <cell r="E1607">
            <v>-1205</v>
          </cell>
        </row>
        <row r="1608">
          <cell r="A1608" t="str">
            <v>Sai Natraj Steel Traders</v>
          </cell>
          <cell r="E1608">
            <v>-1611</v>
          </cell>
        </row>
        <row r="1609">
          <cell r="A1609" t="str">
            <v>Salaries Expense</v>
          </cell>
          <cell r="E1609">
            <v>16132867</v>
          </cell>
        </row>
        <row r="1610">
          <cell r="A1610" t="str">
            <v>Salary &amp; Wages Payable</v>
          </cell>
          <cell r="E1610">
            <v>1987313.4</v>
          </cell>
        </row>
        <row r="1611">
          <cell r="A1611" t="str">
            <v>Salary - Over Time</v>
          </cell>
          <cell r="E1611">
            <v>996936</v>
          </cell>
        </row>
        <row r="1612">
          <cell r="A1612" t="str">
            <v>Sales - Direct Export - Mfg - U/B</v>
          </cell>
          <cell r="E1612">
            <v>-195454582.19999999</v>
          </cell>
        </row>
        <row r="1613">
          <cell r="A1613" t="str">
            <v>Sales - Direct Export - Mfg - U/R</v>
          </cell>
          <cell r="E1613">
            <v>-250646053.05000001</v>
          </cell>
        </row>
        <row r="1614">
          <cell r="A1614" t="str">
            <v>Sales - Export - Third Party</v>
          </cell>
          <cell r="E1614">
            <v>-4876506.24</v>
          </cell>
        </row>
        <row r="1615">
          <cell r="A1615" t="str">
            <v>Sales - High Seas</v>
          </cell>
          <cell r="E1615">
            <v>-42221550</v>
          </cell>
        </row>
        <row r="1616">
          <cell r="A1616" t="str">
            <v>Sales - Interstate - Manufactured Goods</v>
          </cell>
          <cell r="E1616">
            <v>-28863360</v>
          </cell>
        </row>
        <row r="1617">
          <cell r="A1617" t="str">
            <v>Sales - Interstate - Traded Goods</v>
          </cell>
          <cell r="E1617">
            <v>-2370670.6</v>
          </cell>
        </row>
        <row r="1618">
          <cell r="A1618" t="str">
            <v>Sales - Kasez - Mfg - U/B</v>
          </cell>
          <cell r="E1618">
            <v>-184462943.99000001</v>
          </cell>
        </row>
        <row r="1619">
          <cell r="A1619" t="str">
            <v>Sales - Kasez - Trading - U/B</v>
          </cell>
          <cell r="E1619">
            <v>-11705357.050000001</v>
          </cell>
        </row>
        <row r="1620">
          <cell r="A1620" t="str">
            <v>Sales - Merchant Export</v>
          </cell>
          <cell r="E1620">
            <v>-74801213.400000006</v>
          </cell>
        </row>
        <row r="1621">
          <cell r="A1621" t="str">
            <v>Sales - Waste &amp; Scrape</v>
          </cell>
          <cell r="E1621">
            <v>-1949098.2</v>
          </cell>
        </row>
        <row r="1622">
          <cell r="A1622" t="str">
            <v>Sales - Within State  Manufactured Goods</v>
          </cell>
          <cell r="E1622">
            <v>-684021505.49000001</v>
          </cell>
        </row>
        <row r="1623">
          <cell r="A1623" t="str">
            <v>Sales - Within State - Traded Goods</v>
          </cell>
          <cell r="E1623">
            <v>-149166083.31999999</v>
          </cell>
        </row>
        <row r="1624">
          <cell r="A1624" t="str">
            <v>Sales Bill Discounted Exports - Drip capital</v>
          </cell>
          <cell r="E1624">
            <v>-8823246.3800000008</v>
          </cell>
        </row>
        <row r="1625">
          <cell r="A1625" t="str">
            <v>Sales Bill Discounted Exports - India Factoring</v>
          </cell>
          <cell r="E1625">
            <v>-19618200.300000001</v>
          </cell>
        </row>
        <row r="1626">
          <cell r="A1626" t="str">
            <v>Sales Bill Discounted Exports - Mogli Labs Asia Private Limited</v>
          </cell>
          <cell r="E1626">
            <v>-2955874.67</v>
          </cell>
        </row>
        <row r="1627">
          <cell r="A1627" t="str">
            <v>Sales Bill Discounted Exports - SBI</v>
          </cell>
          <cell r="E1627">
            <v>0</v>
          </cell>
        </row>
        <row r="1628">
          <cell r="A1628" t="str">
            <v>Sales Bill Discounted Exports - SCB</v>
          </cell>
          <cell r="E1628">
            <v>0</v>
          </cell>
        </row>
        <row r="1629">
          <cell r="A1629" t="str">
            <v>Sales Bill Discounted Exports - Shinhan</v>
          </cell>
          <cell r="E1629">
            <v>0</v>
          </cell>
        </row>
        <row r="1630">
          <cell r="A1630" t="str">
            <v>Sales Bill Discounted Exports - Volo Fin Pvt. Ltd.</v>
          </cell>
          <cell r="E1630">
            <v>-66221179.350000001</v>
          </cell>
        </row>
        <row r="1631">
          <cell r="A1631" t="str">
            <v>Sales Incentive</v>
          </cell>
          <cell r="E1631">
            <v>4000</v>
          </cell>
        </row>
        <row r="1632">
          <cell r="A1632" t="str">
            <v>Sales Promotion Expense</v>
          </cell>
          <cell r="E1632">
            <v>1889887.9</v>
          </cell>
        </row>
        <row r="1633">
          <cell r="A1633" t="str">
            <v>Samkit Enterprises</v>
          </cell>
          <cell r="E1633">
            <v>-47904.34</v>
          </cell>
        </row>
        <row r="1634">
          <cell r="A1634" t="str">
            <v>Samsara Shipping Pvt. Ltd. - Mumbai</v>
          </cell>
          <cell r="E1634">
            <v>99385.02</v>
          </cell>
        </row>
        <row r="1635">
          <cell r="A1635" t="str">
            <v>San Enterprise</v>
          </cell>
          <cell r="E1635">
            <v>0</v>
          </cell>
        </row>
        <row r="1636">
          <cell r="A1636" t="str">
            <v>Sandip Kumar Maurya</v>
          </cell>
          <cell r="E1636">
            <v>0</v>
          </cell>
        </row>
        <row r="1637">
          <cell r="A1637" t="str">
            <v>Sanjay Shivabhai Parmar</v>
          </cell>
          <cell r="E1637">
            <v>0</v>
          </cell>
        </row>
        <row r="1638">
          <cell r="A1638" t="str">
            <v>Sanjay Trade And Industries</v>
          </cell>
          <cell r="E1638">
            <v>-2.1800000000000002</v>
          </cell>
        </row>
        <row r="1639">
          <cell r="A1639" t="str">
            <v>Sankalp Mehta Associate</v>
          </cell>
          <cell r="E1639">
            <v>0.2</v>
          </cell>
        </row>
        <row r="1640">
          <cell r="A1640" t="str">
            <v>SAR Overseas Ltd.</v>
          </cell>
          <cell r="E1640">
            <v>-144572.85999999999</v>
          </cell>
        </row>
        <row r="1641">
          <cell r="A1641" t="str">
            <v>Sar Transport Systems Pvt Ltd - Gujarat</v>
          </cell>
          <cell r="E1641">
            <v>-416666.19</v>
          </cell>
        </row>
        <row r="1642">
          <cell r="A1642" t="str">
            <v>Sarathi Agro Corporation</v>
          </cell>
          <cell r="E1642">
            <v>6300</v>
          </cell>
        </row>
        <row r="1643">
          <cell r="A1643" t="str">
            <v>Saru Plastics</v>
          </cell>
          <cell r="E1643">
            <v>-22438</v>
          </cell>
        </row>
        <row r="1644">
          <cell r="A1644" t="str">
            <v>Satyam Polymers</v>
          </cell>
          <cell r="E1644">
            <v>0</v>
          </cell>
        </row>
        <row r="1645">
          <cell r="A1645" t="str">
            <v>Satyam Stationery Mart</v>
          </cell>
          <cell r="E1645">
            <v>-6136</v>
          </cell>
        </row>
        <row r="1646">
          <cell r="A1646" t="str">
            <v>Satyen Chatterjee</v>
          </cell>
          <cell r="E1646">
            <v>0</v>
          </cell>
        </row>
        <row r="1647">
          <cell r="A1647" t="str">
            <v>Satyendra Masterbatch Private Limited</v>
          </cell>
          <cell r="E1647">
            <v>-43660</v>
          </cell>
        </row>
        <row r="1648">
          <cell r="A1648" t="str">
            <v>Saurabh Enterprise</v>
          </cell>
          <cell r="E1648">
            <v>-20061.080000000002</v>
          </cell>
        </row>
        <row r="1649">
          <cell r="A1649" t="str">
            <v>Savvy Inc.</v>
          </cell>
          <cell r="E1649">
            <v>-4864.6000000000004</v>
          </cell>
        </row>
        <row r="1650">
          <cell r="A1650" t="str">
            <v>Sbi General Insurance Co. Ltd.</v>
          </cell>
          <cell r="E1650">
            <v>63188</v>
          </cell>
        </row>
        <row r="1651">
          <cell r="A1651" t="str">
            <v>Sbi Term Loan A/C 45031107910</v>
          </cell>
          <cell r="E1651">
            <v>-127523944</v>
          </cell>
        </row>
        <row r="1652">
          <cell r="A1652" t="str">
            <v>Scanning Head - H620 Wm</v>
          </cell>
          <cell r="E1652">
            <v>171000</v>
          </cell>
        </row>
        <row r="1653">
          <cell r="A1653" t="str">
            <v>Schmetz India Pvt Ltd</v>
          </cell>
          <cell r="E1653">
            <v>0.48</v>
          </cell>
        </row>
        <row r="1654">
          <cell r="A1654" t="str">
            <v>Screw Barrel Dia 85 Mm</v>
          </cell>
          <cell r="E1654">
            <v>140000</v>
          </cell>
        </row>
        <row r="1655">
          <cell r="A1655" t="str">
            <v>Scrubber Cum Dryer  Machine</v>
          </cell>
          <cell r="E1655">
            <v>90000</v>
          </cell>
        </row>
        <row r="1656">
          <cell r="A1656" t="str">
            <v>Sea Marine Logistics Pvt Ltd</v>
          </cell>
          <cell r="E1656">
            <v>-0.4</v>
          </cell>
        </row>
        <row r="1657">
          <cell r="A1657" t="str">
            <v>Seabox Shipping &amp; Logistics Pvt Ltd</v>
          </cell>
          <cell r="E1657">
            <v>-28368.880000000001</v>
          </cell>
        </row>
        <row r="1658">
          <cell r="A1658" t="str">
            <v>Seal Pack Industries</v>
          </cell>
          <cell r="E1658">
            <v>7523</v>
          </cell>
        </row>
        <row r="1659">
          <cell r="A1659" t="str">
            <v>Secuirty Deposit - Reliance Communication</v>
          </cell>
          <cell r="E1659">
            <v>11000</v>
          </cell>
        </row>
        <row r="1660">
          <cell r="A1660" t="str">
            <v>Security &amp; Deposits Paid</v>
          </cell>
          <cell r="E1660">
            <v>66000</v>
          </cell>
        </row>
        <row r="1661">
          <cell r="A1661" t="str">
            <v>Security Deposit - Bsnl Broadband</v>
          </cell>
          <cell r="E1661">
            <v>8000</v>
          </cell>
        </row>
        <row r="1662">
          <cell r="A1662" t="str">
            <v>Security Deposit - Cost of High Court For Royal Sundaram</v>
          </cell>
          <cell r="E1662">
            <v>82</v>
          </cell>
        </row>
        <row r="1663">
          <cell r="A1663" t="str">
            <v>Security Deposit - Electricity</v>
          </cell>
          <cell r="E1663">
            <v>53600</v>
          </cell>
        </row>
        <row r="1664">
          <cell r="A1664" t="str">
            <v>Security Deposit - Excle Markeing Gas</v>
          </cell>
          <cell r="E1664">
            <v>15500</v>
          </cell>
        </row>
        <row r="1665">
          <cell r="A1665" t="str">
            <v>Security Deposit - G.W.S.S.B.</v>
          </cell>
          <cell r="E1665">
            <v>1723536</v>
          </cell>
        </row>
        <row r="1666">
          <cell r="A1666" t="str">
            <v>Security Deposit - Gas</v>
          </cell>
          <cell r="E1666">
            <v>7200</v>
          </cell>
        </row>
        <row r="1667">
          <cell r="A1667" t="str">
            <v>Security Deposit - Industrial Gases &amp; Welding Equip</v>
          </cell>
          <cell r="E1667">
            <v>4000</v>
          </cell>
        </row>
        <row r="1668">
          <cell r="A1668" t="str">
            <v>Security Deposit - Lsure Services</v>
          </cell>
          <cell r="E1668">
            <v>6529240</v>
          </cell>
        </row>
        <row r="1669">
          <cell r="A1669" t="str">
            <v>Security Deposit - PGVCL</v>
          </cell>
          <cell r="E1669">
            <v>4931821</v>
          </cell>
        </row>
        <row r="1670">
          <cell r="A1670" t="str">
            <v>Security Deposit - Pitmans Gas &amp; Appliances</v>
          </cell>
          <cell r="E1670">
            <v>7772</v>
          </cell>
        </row>
        <row r="1671">
          <cell r="A1671" t="str">
            <v>Security Deposit - Tata Indicomm Broadband</v>
          </cell>
          <cell r="E1671">
            <v>1000</v>
          </cell>
        </row>
        <row r="1672">
          <cell r="A1672" t="str">
            <v>Security Deposit - Telephone</v>
          </cell>
          <cell r="E1672">
            <v>11184</v>
          </cell>
        </row>
        <row r="1673">
          <cell r="A1673" t="str">
            <v>Security Deposit - UGVCL</v>
          </cell>
          <cell r="E1673">
            <v>0</v>
          </cell>
        </row>
        <row r="1674">
          <cell r="A1674" t="str">
            <v>Security Deposit -Indian Farmers Fertiliser Co Ltd.</v>
          </cell>
          <cell r="E1674">
            <v>50000</v>
          </cell>
        </row>
        <row r="1675">
          <cell r="A1675" t="str">
            <v>Security deposit- Electricity- Maljibhai S Rabari</v>
          </cell>
          <cell r="E1675">
            <v>17933</v>
          </cell>
        </row>
        <row r="1676">
          <cell r="A1676" t="str">
            <v>Security deposit- House Rent- Maljibhai S Rabari</v>
          </cell>
          <cell r="E1676">
            <v>104000</v>
          </cell>
        </row>
        <row r="1677">
          <cell r="A1677" t="str">
            <v>Security deposit- House Rent-Desai Jitendrakumar Ganesh</v>
          </cell>
          <cell r="E1677">
            <v>30000</v>
          </cell>
        </row>
        <row r="1678">
          <cell r="A1678" t="str">
            <v>Security deposit- Rent</v>
          </cell>
          <cell r="E1678">
            <v>365864</v>
          </cell>
        </row>
        <row r="1679">
          <cell r="A1679" t="str">
            <v>Security Equipment</v>
          </cell>
          <cell r="E1679">
            <v>10660</v>
          </cell>
        </row>
        <row r="1680">
          <cell r="A1680" t="str">
            <v>Security Expenses</v>
          </cell>
          <cell r="E1680">
            <v>1298924</v>
          </cell>
        </row>
        <row r="1681">
          <cell r="A1681" t="str">
            <v>Sensation Pest Control Services</v>
          </cell>
          <cell r="E1681">
            <v>-60347.56</v>
          </cell>
        </row>
        <row r="1682">
          <cell r="A1682" t="str">
            <v>Service Tax Liability A/c</v>
          </cell>
          <cell r="E1682">
            <v>11321</v>
          </cell>
        </row>
        <row r="1683">
          <cell r="A1683" t="str">
            <v>Setu Polymers</v>
          </cell>
          <cell r="E1683">
            <v>-3000</v>
          </cell>
        </row>
        <row r="1684">
          <cell r="A1684" t="str">
            <v>Sewage Treatment Plant</v>
          </cell>
          <cell r="E1684">
            <v>2500417.08</v>
          </cell>
        </row>
        <row r="1685">
          <cell r="A1685" t="str">
            <v>SGST Input</v>
          </cell>
          <cell r="E1685">
            <v>32355915.329999998</v>
          </cell>
        </row>
        <row r="1686">
          <cell r="A1686" t="str">
            <v>SGST Output A/c</v>
          </cell>
          <cell r="E1686">
            <v>-20910513.530000001</v>
          </cell>
        </row>
        <row r="1687">
          <cell r="A1687" t="str">
            <v>Shah Corporation (24AFQPS0007Q1Z1)</v>
          </cell>
          <cell r="E1687">
            <v>-1965</v>
          </cell>
        </row>
        <row r="1688">
          <cell r="A1688" t="str">
            <v>Shah Industries - 24ABDHS7088C1Z1</v>
          </cell>
          <cell r="E1688">
            <v>-22050.5</v>
          </cell>
        </row>
        <row r="1689">
          <cell r="A1689" t="str">
            <v>Shah Sewing Machine Co.</v>
          </cell>
          <cell r="E1689">
            <v>-2047</v>
          </cell>
        </row>
        <row r="1690">
          <cell r="A1690" t="str">
            <v>Shah Sewing Machine Company - 24AFWFS0831G1ZT</v>
          </cell>
          <cell r="E1690">
            <v>-3015</v>
          </cell>
        </row>
        <row r="1691">
          <cell r="A1691" t="str">
            <v>Shakti Polyplast</v>
          </cell>
          <cell r="E1691">
            <v>-63800</v>
          </cell>
        </row>
        <row r="1692">
          <cell r="A1692" t="str">
            <v>Shal Engineering Supplies</v>
          </cell>
          <cell r="E1692">
            <v>0</v>
          </cell>
        </row>
        <row r="1693">
          <cell r="A1693" t="str">
            <v>Sham Construction</v>
          </cell>
          <cell r="E1693">
            <v>-218</v>
          </cell>
        </row>
        <row r="1694">
          <cell r="A1694" t="str">
            <v>Shamla Raiyabhai Lamka</v>
          </cell>
          <cell r="E1694">
            <v>-4136</v>
          </cell>
        </row>
        <row r="1695">
          <cell r="A1695" t="str">
            <v>Shanghai Vision Consulting Co Ltd</v>
          </cell>
          <cell r="E1695">
            <v>77345.119999999995</v>
          </cell>
        </row>
        <row r="1696">
          <cell r="A1696" t="str">
            <v>Shanti Service</v>
          </cell>
          <cell r="E1696">
            <v>68</v>
          </cell>
        </row>
        <row r="1697">
          <cell r="A1697" t="str">
            <v>Shantiben Kiranbhai Khatariya</v>
          </cell>
          <cell r="E1697">
            <v>0</v>
          </cell>
        </row>
        <row r="1698">
          <cell r="A1698" t="str">
            <v>Share Premium</v>
          </cell>
          <cell r="E1698">
            <v>-454411475</v>
          </cell>
        </row>
        <row r="1699">
          <cell r="A1699" t="str">
            <v>Share Premium Ordinary Shares Class A</v>
          </cell>
          <cell r="E1699">
            <v>-2900000</v>
          </cell>
        </row>
        <row r="1700">
          <cell r="A1700" t="str">
            <v>Sharma Roadlines</v>
          </cell>
          <cell r="E1700">
            <v>0</v>
          </cell>
        </row>
        <row r="1701">
          <cell r="A1701" t="str">
            <v>Sharwajeet Commercial Pvt Ltd</v>
          </cell>
          <cell r="E1701">
            <v>11361.16</v>
          </cell>
        </row>
        <row r="1702">
          <cell r="A1702" t="str">
            <v>Shashi Dhawal Hydraulics Pvt Ltd</v>
          </cell>
          <cell r="E1702">
            <v>-0.4</v>
          </cell>
        </row>
        <row r="1703">
          <cell r="A1703" t="str">
            <v>Shaz Packaging Llp</v>
          </cell>
          <cell r="E1703">
            <v>0</v>
          </cell>
        </row>
        <row r="1704">
          <cell r="A1704" t="str">
            <v>Sheetal Engineering Services</v>
          </cell>
          <cell r="E1704">
            <v>-185396.73</v>
          </cell>
        </row>
        <row r="1705">
          <cell r="A1705" t="str">
            <v>Sheetal Enterprises</v>
          </cell>
          <cell r="E1705">
            <v>-42120</v>
          </cell>
        </row>
        <row r="1706">
          <cell r="A1706" t="str">
            <v>Shenzhen Jitao Technology Co., Ltd</v>
          </cell>
          <cell r="E1706">
            <v>-4.57</v>
          </cell>
        </row>
        <row r="1707">
          <cell r="A1707" t="str">
            <v>Sheth Ashishkumar Vadilal</v>
          </cell>
          <cell r="E1707">
            <v>1610277</v>
          </cell>
        </row>
        <row r="1708">
          <cell r="A1708" t="str">
            <v>Shikharji Polymers - Purchase</v>
          </cell>
          <cell r="E1708">
            <v>1428076.5</v>
          </cell>
        </row>
        <row r="1709">
          <cell r="A1709" t="str">
            <v>Shikharji Polymers - Sales</v>
          </cell>
          <cell r="E1709">
            <v>1000.77</v>
          </cell>
        </row>
        <row r="1710">
          <cell r="A1710" t="str">
            <v>Shil Technologies Pvt Ltd</v>
          </cell>
          <cell r="E1710">
            <v>-2346.2399999999998</v>
          </cell>
        </row>
        <row r="1711">
          <cell r="A1711" t="str">
            <v>Shine Engineering</v>
          </cell>
          <cell r="E1711">
            <v>7705061.3700000001</v>
          </cell>
        </row>
        <row r="1712">
          <cell r="A1712" t="str">
            <v>Shinhan Bank</v>
          </cell>
          <cell r="E1712">
            <v>3061.42</v>
          </cell>
        </row>
        <row r="1713">
          <cell r="A1713" t="str">
            <v>Shini Plastics Technologies India Pvt Ltd</v>
          </cell>
          <cell r="E1713">
            <v>7.0000000000000007E-2</v>
          </cell>
        </row>
        <row r="1714">
          <cell r="A1714" t="str">
            <v>Shiv Industrial Products</v>
          </cell>
          <cell r="E1714">
            <v>-10620</v>
          </cell>
        </row>
        <row r="1715">
          <cell r="A1715" t="str">
            <v>Shiv Industries &amp; Polymer</v>
          </cell>
          <cell r="E1715">
            <v>27258</v>
          </cell>
        </row>
        <row r="1716">
          <cell r="A1716" t="str">
            <v>Shiv Shakti Enterprise</v>
          </cell>
          <cell r="E1716">
            <v>-320565.09999999998</v>
          </cell>
        </row>
        <row r="1717">
          <cell r="A1717" t="str">
            <v>Shivam Logistic</v>
          </cell>
          <cell r="E1717">
            <v>-20520</v>
          </cell>
        </row>
        <row r="1718">
          <cell r="A1718" t="str">
            <v>Shivam Traders - Sales (24AGUPS9760R1ZZ)</v>
          </cell>
          <cell r="E1718">
            <v>-499999.79</v>
          </cell>
        </row>
        <row r="1719">
          <cell r="A1719" t="str">
            <v>Shivraj Singh Yadav</v>
          </cell>
          <cell r="E1719">
            <v>270000</v>
          </cell>
        </row>
        <row r="1720">
          <cell r="A1720" t="str">
            <v>Shivshankar Gulabbhai Prajapati</v>
          </cell>
          <cell r="E1720">
            <v>-988</v>
          </cell>
        </row>
        <row r="1721">
          <cell r="A1721" t="str">
            <v>Shraddha Impex - Purchase</v>
          </cell>
          <cell r="E1721">
            <v>93015</v>
          </cell>
        </row>
        <row r="1722">
          <cell r="A1722" t="str">
            <v>Shree Ambica Sales Corporation</v>
          </cell>
          <cell r="E1722">
            <v>-19852</v>
          </cell>
        </row>
        <row r="1723">
          <cell r="A1723" t="str">
            <v>Shree Balaad Handling Works</v>
          </cell>
          <cell r="E1723">
            <v>-0.6</v>
          </cell>
        </row>
        <row r="1724">
          <cell r="A1724" t="str">
            <v>Shree Balaji Enterprises</v>
          </cell>
          <cell r="E1724">
            <v>0.4</v>
          </cell>
        </row>
        <row r="1725">
          <cell r="A1725" t="str">
            <v>Shree Brhm Corporation.</v>
          </cell>
          <cell r="E1725">
            <v>-247490</v>
          </cell>
        </row>
        <row r="1726">
          <cell r="A1726" t="str">
            <v>Shree Fire Engineers</v>
          </cell>
          <cell r="E1726">
            <v>-12332</v>
          </cell>
        </row>
        <row r="1727">
          <cell r="A1727" t="str">
            <v>Shree Ganesh Stereo</v>
          </cell>
          <cell r="E1727">
            <v>-68217</v>
          </cell>
        </row>
        <row r="1728">
          <cell r="A1728" t="str">
            <v>Shree Goods Carriers</v>
          </cell>
          <cell r="E1728">
            <v>0</v>
          </cell>
        </row>
        <row r="1729">
          <cell r="A1729" t="str">
            <v>Shree Industries</v>
          </cell>
          <cell r="E1729">
            <v>-17068.7</v>
          </cell>
        </row>
        <row r="1730">
          <cell r="A1730" t="str">
            <v>Shree Kdk Enterprise</v>
          </cell>
          <cell r="E1730">
            <v>-17583</v>
          </cell>
        </row>
        <row r="1731">
          <cell r="A1731" t="str">
            <v>Shree Krishna Enterprise 24APUPH0380P1ZD</v>
          </cell>
          <cell r="E1731">
            <v>0</v>
          </cell>
        </row>
        <row r="1732">
          <cell r="A1732" t="str">
            <v>Shree Krishna Rubbers</v>
          </cell>
          <cell r="E1732">
            <v>-0.3</v>
          </cell>
        </row>
        <row r="1733">
          <cell r="A1733" t="str">
            <v>Shree Krishnam Rubtech LLP</v>
          </cell>
          <cell r="E1733">
            <v>-83520</v>
          </cell>
        </row>
        <row r="1734">
          <cell r="A1734" t="str">
            <v>Shree Maruti Integrated Logistics Limited 24AABCM9407D1ZS</v>
          </cell>
          <cell r="E1734">
            <v>-1679</v>
          </cell>
        </row>
        <row r="1735">
          <cell r="A1735" t="str">
            <v>Shree Maruti Spring And Engineers</v>
          </cell>
          <cell r="E1735">
            <v>-1770</v>
          </cell>
        </row>
        <row r="1736">
          <cell r="A1736" t="str">
            <v>Shree Meter &amp; Heater</v>
          </cell>
          <cell r="E1736">
            <v>-89856</v>
          </cell>
        </row>
        <row r="1737">
          <cell r="A1737" t="str">
            <v>Shree Nakodaji Computerised Weigh-Bridge- DJEPP2502L</v>
          </cell>
          <cell r="E1737">
            <v>-2000</v>
          </cell>
        </row>
        <row r="1738">
          <cell r="A1738" t="str">
            <v>Shree Nilkanth Polytex</v>
          </cell>
          <cell r="E1738">
            <v>-118828.46</v>
          </cell>
        </row>
        <row r="1739">
          <cell r="A1739" t="str">
            <v>Shree Pardarshak Polypack - Sales</v>
          </cell>
          <cell r="E1739">
            <v>8814.15</v>
          </cell>
        </row>
        <row r="1740">
          <cell r="A1740" t="str">
            <v>Shree Prem Industries</v>
          </cell>
          <cell r="E1740">
            <v>0</v>
          </cell>
        </row>
        <row r="1741">
          <cell r="A1741" t="str">
            <v>Shree Rajasthan Syntex Limited</v>
          </cell>
          <cell r="E1741">
            <v>-8889</v>
          </cell>
        </row>
        <row r="1742">
          <cell r="A1742" t="str">
            <v>Shree Ram Motor Rewinding</v>
          </cell>
          <cell r="E1742">
            <v>-1495</v>
          </cell>
        </row>
        <row r="1743">
          <cell r="A1743" t="str">
            <v>Shree Rang Packaging</v>
          </cell>
          <cell r="E1743">
            <v>-93233</v>
          </cell>
        </row>
        <row r="1744">
          <cell r="A1744" t="str">
            <v>Shree Royal Polyplast Industries</v>
          </cell>
          <cell r="E1744">
            <v>-8508</v>
          </cell>
        </row>
        <row r="1745">
          <cell r="A1745" t="str">
            <v>Shree Saibaba Petroleum</v>
          </cell>
          <cell r="E1745">
            <v>8877120.4800000004</v>
          </cell>
        </row>
        <row r="1746">
          <cell r="A1746" t="str">
            <v>Shree Salareshwar Wood Packers Private Limited.</v>
          </cell>
          <cell r="E1746">
            <v>-1077888.75</v>
          </cell>
        </row>
        <row r="1747">
          <cell r="A1747" t="str">
            <v>Shree Shakti Electric Works</v>
          </cell>
          <cell r="E1747">
            <v>-348.76</v>
          </cell>
        </row>
        <row r="1748">
          <cell r="A1748" t="str">
            <v>Shree Sharda Impex</v>
          </cell>
          <cell r="E1748">
            <v>-12508</v>
          </cell>
        </row>
        <row r="1749">
          <cell r="A1749" t="str">
            <v>Shree Tex</v>
          </cell>
          <cell r="E1749">
            <v>-5916</v>
          </cell>
        </row>
        <row r="1750">
          <cell r="A1750" t="str">
            <v>Shree Valinath Engineering</v>
          </cell>
          <cell r="E1750">
            <v>133965</v>
          </cell>
        </row>
        <row r="1751">
          <cell r="A1751" t="str">
            <v>Shreeji Courier &amp; Cargo Service</v>
          </cell>
          <cell r="E1751">
            <v>-7.72</v>
          </cell>
        </row>
        <row r="1752">
          <cell r="A1752" t="str">
            <v>Shreeji Machine</v>
          </cell>
          <cell r="E1752">
            <v>-85500</v>
          </cell>
        </row>
        <row r="1753">
          <cell r="A1753" t="str">
            <v>Shreeji Marketing Corporation</v>
          </cell>
          <cell r="E1753">
            <v>2059.58</v>
          </cell>
        </row>
        <row r="1754">
          <cell r="A1754" t="str">
            <v>Shreeji Sales And Service</v>
          </cell>
          <cell r="E1754">
            <v>0</v>
          </cell>
        </row>
        <row r="1755">
          <cell r="A1755" t="str">
            <v>Shreeji Tech Engineering</v>
          </cell>
          <cell r="E1755">
            <v>-1534</v>
          </cell>
        </row>
        <row r="1756">
          <cell r="A1756" t="str">
            <v>Shreena Roadways</v>
          </cell>
          <cell r="E1756">
            <v>-1560</v>
          </cell>
        </row>
        <row r="1757">
          <cell r="A1757" t="str">
            <v>Shrey Logistics</v>
          </cell>
          <cell r="E1757">
            <v>0</v>
          </cell>
        </row>
        <row r="1758">
          <cell r="A1758" t="str">
            <v>Shreya Micro Plast Pvt Ltd</v>
          </cell>
          <cell r="E1758">
            <v>7218034.9400000004</v>
          </cell>
        </row>
        <row r="1759">
          <cell r="A1759" t="str">
            <v>Shri Balaji Handling Equipments Industry</v>
          </cell>
          <cell r="E1759">
            <v>-48000</v>
          </cell>
        </row>
        <row r="1760">
          <cell r="A1760" t="str">
            <v>Shri Lalshah Papers Pvt Ltd</v>
          </cell>
          <cell r="E1760">
            <v>1211.77</v>
          </cell>
        </row>
        <row r="1761">
          <cell r="A1761" t="str">
            <v>Shri Nakoda Transmission &amp; Electric Co.</v>
          </cell>
          <cell r="E1761">
            <v>-627601</v>
          </cell>
        </row>
        <row r="1762">
          <cell r="A1762" t="str">
            <v>Shri Parmeshwar Granite And Marble</v>
          </cell>
          <cell r="E1762">
            <v>-3926</v>
          </cell>
        </row>
        <row r="1763">
          <cell r="A1763" t="str">
            <v>Shri Shiv Shakti Cargo Movers</v>
          </cell>
          <cell r="E1763">
            <v>-7605</v>
          </cell>
        </row>
        <row r="1764">
          <cell r="A1764" t="str">
            <v>Shri Siddheshwari Hydraulic</v>
          </cell>
          <cell r="E1764">
            <v>-2254</v>
          </cell>
        </row>
        <row r="1765">
          <cell r="A1765" t="str">
            <v>Shri Tirupati Industries</v>
          </cell>
          <cell r="E1765">
            <v>525618</v>
          </cell>
        </row>
        <row r="1766">
          <cell r="A1766" t="str">
            <v>Shrinath Adhesive Product Pvt.Ltd.</v>
          </cell>
          <cell r="E1766">
            <v>-42244</v>
          </cell>
        </row>
        <row r="1767">
          <cell r="A1767" t="str">
            <v>Shrink Wrapping Machine</v>
          </cell>
          <cell r="E1767">
            <v>206000</v>
          </cell>
        </row>
        <row r="1768">
          <cell r="A1768" t="str">
            <v>Shriram General Insurance Company Limited</v>
          </cell>
          <cell r="E1768">
            <v>2.58</v>
          </cell>
        </row>
        <row r="1769">
          <cell r="A1769" t="str">
            <v>Shubh Engineering</v>
          </cell>
          <cell r="E1769">
            <v>-8968</v>
          </cell>
        </row>
        <row r="1770">
          <cell r="A1770" t="str">
            <v>Shubh Polyfab Pvt Ltd</v>
          </cell>
          <cell r="E1770">
            <v>-234514</v>
          </cell>
        </row>
        <row r="1771">
          <cell r="A1771" t="str">
            <v>Shyam Apparels</v>
          </cell>
          <cell r="E1771">
            <v>-29526</v>
          </cell>
        </row>
        <row r="1772">
          <cell r="A1772" t="str">
            <v>Shyam Arora</v>
          </cell>
          <cell r="E1772">
            <v>735000</v>
          </cell>
        </row>
        <row r="1773">
          <cell r="A1773" t="str">
            <v>Shyam Plastic Services</v>
          </cell>
          <cell r="E1773">
            <v>21013195</v>
          </cell>
        </row>
        <row r="1774">
          <cell r="A1774" t="str">
            <v>Shyam Vandan Enterprises Llp</v>
          </cell>
          <cell r="E1774">
            <v>-6146.4</v>
          </cell>
        </row>
        <row r="1775">
          <cell r="A1775" t="str">
            <v>SIDBI - 24AABCS3480N2Z3</v>
          </cell>
          <cell r="E1775">
            <v>450000</v>
          </cell>
        </row>
        <row r="1776">
          <cell r="A1776" t="str">
            <v>Siddheshwar Enterprise</v>
          </cell>
          <cell r="E1776">
            <v>-15080</v>
          </cell>
        </row>
        <row r="1777">
          <cell r="A1777" t="str">
            <v>Siddheshwar Filaments</v>
          </cell>
          <cell r="E1777">
            <v>5713</v>
          </cell>
        </row>
        <row r="1778">
          <cell r="A1778" t="str">
            <v>Sigma Air Source</v>
          </cell>
          <cell r="E1778">
            <v>-17467.34</v>
          </cell>
        </row>
        <row r="1779">
          <cell r="A1779" t="str">
            <v>Sikotar Roadways</v>
          </cell>
          <cell r="E1779">
            <v>0</v>
          </cell>
        </row>
        <row r="1780">
          <cell r="A1780" t="str">
            <v>Simon Coil &amp; Heat Exchanger</v>
          </cell>
          <cell r="E1780">
            <v>-0.5</v>
          </cell>
        </row>
        <row r="1781">
          <cell r="A1781" t="str">
            <v>Sinopec Chemical Commercial Holding (Hong Kong) Company Limited</v>
          </cell>
          <cell r="E1781">
            <v>1007874</v>
          </cell>
        </row>
        <row r="1782">
          <cell r="A1782" t="str">
            <v>Siriram Filteration &amp; Engg. Co</v>
          </cell>
          <cell r="E1782">
            <v>-10739.18</v>
          </cell>
        </row>
        <row r="1783">
          <cell r="A1783" t="str">
            <v>Slitting Machine</v>
          </cell>
          <cell r="E1783">
            <v>4792330</v>
          </cell>
        </row>
        <row r="1784">
          <cell r="A1784" t="str">
            <v>Smarhling Sales Agency</v>
          </cell>
          <cell r="E1784">
            <v>0</v>
          </cell>
        </row>
        <row r="1785">
          <cell r="A1785" t="str">
            <v>Smart Eye Surveillance</v>
          </cell>
          <cell r="E1785">
            <v>-100</v>
          </cell>
        </row>
        <row r="1786">
          <cell r="A1786" t="str">
            <v>Smit Enterprise - Gandhidham</v>
          </cell>
          <cell r="E1786">
            <v>-4779</v>
          </cell>
        </row>
        <row r="1787">
          <cell r="A1787" t="str">
            <v>Sml Maschinengesellschaf Mbh</v>
          </cell>
          <cell r="E1787">
            <v>453864.81</v>
          </cell>
        </row>
        <row r="1788">
          <cell r="A1788" t="str">
            <v>SO Bag</v>
          </cell>
          <cell r="E1788">
            <v>-247693.82</v>
          </cell>
        </row>
        <row r="1789">
          <cell r="A1789" t="str">
            <v>Sohan Singh</v>
          </cell>
          <cell r="E1789">
            <v>600000</v>
          </cell>
        </row>
        <row r="1790">
          <cell r="A1790" t="str">
            <v>Sohanlal Shantilal &amp; Brothers</v>
          </cell>
          <cell r="E1790">
            <v>0</v>
          </cell>
        </row>
        <row r="1791">
          <cell r="A1791" t="str">
            <v>Solanki Poonamram Ambaram</v>
          </cell>
          <cell r="E1791">
            <v>30000</v>
          </cell>
        </row>
        <row r="1792">
          <cell r="A1792" t="str">
            <v>Solar Power Plant &amp; Accessories</v>
          </cell>
          <cell r="E1792">
            <v>200778812.50999999</v>
          </cell>
        </row>
        <row r="1793">
          <cell r="A1793" t="str">
            <v>Solos Polymers Private Limited</v>
          </cell>
          <cell r="E1793">
            <v>0</v>
          </cell>
        </row>
        <row r="1794">
          <cell r="A1794" t="str">
            <v>Soltex Petro Products Limited - Silvassa</v>
          </cell>
          <cell r="E1794">
            <v>83815</v>
          </cell>
        </row>
        <row r="1795">
          <cell r="A1795" t="str">
            <v>Sonal Industries - Amraiwadi</v>
          </cell>
          <cell r="E1795">
            <v>0</v>
          </cell>
        </row>
        <row r="1796">
          <cell r="A1796" t="str">
            <v>South Indian Bank BYD Car Loan No-017965200000727</v>
          </cell>
          <cell r="E1796">
            <v>-1464643</v>
          </cell>
        </row>
        <row r="1797">
          <cell r="A1797" t="str">
            <v>Spcx Private Limited - Delhi</v>
          </cell>
          <cell r="E1797">
            <v>0</v>
          </cell>
        </row>
        <row r="1798">
          <cell r="A1798" t="str">
            <v>SPCX Private Ltd - Purchase 27ABACS7251D1ZH</v>
          </cell>
          <cell r="E1798">
            <v>-56</v>
          </cell>
        </row>
        <row r="1799">
          <cell r="A1799" t="str">
            <v>Spcx Private Ltd 24ABACS7251D1ZN Guj-Purchase</v>
          </cell>
          <cell r="E1799">
            <v>3930774.4</v>
          </cell>
        </row>
        <row r="1800">
          <cell r="A1800" t="str">
            <v>Spcx Private Ltd Diu 26ABACS7251D1ZJ</v>
          </cell>
          <cell r="E1800">
            <v>-6154380</v>
          </cell>
        </row>
        <row r="1801">
          <cell r="A1801" t="str">
            <v>Spectrum Lubricants Private Limited</v>
          </cell>
          <cell r="E1801">
            <v>-31565.200000000001</v>
          </cell>
        </row>
        <row r="1802">
          <cell r="A1802" t="str">
            <v>Spunweb India Private Limited</v>
          </cell>
          <cell r="E1802">
            <v>29387643.420000002</v>
          </cell>
        </row>
        <row r="1803">
          <cell r="A1803" t="str">
            <v>Spunweb Nonwoven</v>
          </cell>
          <cell r="E1803">
            <v>-30369.8</v>
          </cell>
        </row>
        <row r="1804">
          <cell r="A1804" t="str">
            <v>Spunweb Nonwoven Limited</v>
          </cell>
          <cell r="E1804">
            <v>48254271</v>
          </cell>
        </row>
        <row r="1805">
          <cell r="A1805" t="str">
            <v>Srv Global</v>
          </cell>
          <cell r="E1805">
            <v>3540</v>
          </cell>
        </row>
        <row r="1806">
          <cell r="A1806" t="str">
            <v>St.John Freight Systems Ltd - Gujarat</v>
          </cell>
          <cell r="E1806">
            <v>-2039.44</v>
          </cell>
        </row>
        <row r="1807">
          <cell r="A1807" t="str">
            <v>Staff Advances</v>
          </cell>
          <cell r="E1807">
            <v>457500</v>
          </cell>
        </row>
        <row r="1808">
          <cell r="A1808" t="str">
            <v>Staff Loan</v>
          </cell>
          <cell r="E1808">
            <v>3124151</v>
          </cell>
        </row>
        <row r="1809">
          <cell r="A1809" t="str">
            <v>Staff Welfare Expense</v>
          </cell>
          <cell r="E1809">
            <v>481045</v>
          </cell>
        </row>
        <row r="1810">
          <cell r="A1810" t="str">
            <v>Stamp Duty Expense</v>
          </cell>
          <cell r="E1810">
            <v>376700</v>
          </cell>
        </row>
        <row r="1811">
          <cell r="A1811" t="str">
            <v>Standard Chartered Bank - 24AABCS4681D1ZK</v>
          </cell>
          <cell r="E1811">
            <v>-3540</v>
          </cell>
        </row>
        <row r="1812">
          <cell r="A1812" t="str">
            <v>Star Belting</v>
          </cell>
          <cell r="E1812">
            <v>-12904</v>
          </cell>
        </row>
        <row r="1813">
          <cell r="A1813" t="str">
            <v>Star Conveyors</v>
          </cell>
          <cell r="E1813">
            <v>-40425</v>
          </cell>
        </row>
        <row r="1814">
          <cell r="A1814" t="str">
            <v>Star Tatabas(Staff Bus)</v>
          </cell>
          <cell r="E1814">
            <v>2154376</v>
          </cell>
        </row>
        <row r="1815">
          <cell r="A1815" t="str">
            <v>Starlinger Plastics Machinery (Taicang) Co. Ltd</v>
          </cell>
          <cell r="E1815">
            <v>4717.71</v>
          </cell>
        </row>
        <row r="1816">
          <cell r="A1816" t="str">
            <v>State Bank Of India (Rent)</v>
          </cell>
          <cell r="E1816">
            <v>46257</v>
          </cell>
        </row>
        <row r="1817">
          <cell r="A1817" t="str">
            <v>State Bank Of India - 24AAACS8577K1ZV</v>
          </cell>
          <cell r="E1817">
            <v>-72043.14</v>
          </cell>
        </row>
        <row r="1818">
          <cell r="A1818" t="str">
            <v>State Bank Of India - 36AAACS8577K1ZQ</v>
          </cell>
          <cell r="E1818">
            <v>-1515.12</v>
          </cell>
        </row>
        <row r="1819">
          <cell r="A1819" t="str">
            <v>Stavian Chemical Joint Stock Company</v>
          </cell>
          <cell r="E1819">
            <v>-268976.27</v>
          </cell>
        </row>
        <row r="1820">
          <cell r="A1820" t="str">
            <v>Sterling Solid Tyres Pvt Ltd</v>
          </cell>
          <cell r="E1820">
            <v>42692.4</v>
          </cell>
        </row>
        <row r="1821">
          <cell r="A1821" t="str">
            <v>Stitching Machine</v>
          </cell>
          <cell r="E1821">
            <v>38667811.649999999</v>
          </cell>
        </row>
        <row r="1822">
          <cell r="A1822" t="str">
            <v>Stitching Machine 602</v>
          </cell>
          <cell r="E1822">
            <v>15000</v>
          </cell>
        </row>
        <row r="1823">
          <cell r="A1823" t="str">
            <v>Stitching Machine DR-FT-ST603</v>
          </cell>
          <cell r="E1823">
            <v>442942</v>
          </cell>
        </row>
        <row r="1824">
          <cell r="A1824" t="str">
            <v>Stitching Machine HD502</v>
          </cell>
          <cell r="E1824">
            <v>3665726</v>
          </cell>
        </row>
        <row r="1825">
          <cell r="A1825" t="str">
            <v>Stitching Machine Model No.St.606</v>
          </cell>
          <cell r="E1825">
            <v>45460</v>
          </cell>
        </row>
        <row r="1826">
          <cell r="A1826" t="str">
            <v>Stitching Machine Model VMC802</v>
          </cell>
          <cell r="E1826">
            <v>122400</v>
          </cell>
        </row>
        <row r="1827">
          <cell r="A1827" t="str">
            <v>Stitching Machine With Table Orsan-4000H</v>
          </cell>
          <cell r="E1827">
            <v>2177268.7999999998</v>
          </cell>
        </row>
        <row r="1828">
          <cell r="A1828" t="str">
            <v>Stock In Hand- Temp Ledger</v>
          </cell>
          <cell r="E1828">
            <v>0</v>
          </cell>
        </row>
        <row r="1829">
          <cell r="A1829" t="str">
            <v>Strapping Machine</v>
          </cell>
          <cell r="E1829">
            <v>57500</v>
          </cell>
        </row>
        <row r="1830">
          <cell r="A1830" t="str">
            <v>Stretch Wrapping Machine</v>
          </cell>
          <cell r="E1830">
            <v>286177</v>
          </cell>
        </row>
        <row r="1831">
          <cell r="A1831" t="str">
            <v>Stroboscope Mxs 1300</v>
          </cell>
          <cell r="E1831">
            <v>39500</v>
          </cell>
        </row>
        <row r="1832">
          <cell r="A1832" t="str">
            <v>Strom International</v>
          </cell>
          <cell r="E1832">
            <v>0.44</v>
          </cell>
        </row>
        <row r="1833">
          <cell r="A1833" t="str">
            <v>Stuffer For Alpha 50 Extruder</v>
          </cell>
          <cell r="E1833">
            <v>277914</v>
          </cell>
        </row>
        <row r="1834">
          <cell r="A1834" t="str">
            <v>Subham Timing Belt Agency</v>
          </cell>
          <cell r="E1834">
            <v>2403</v>
          </cell>
        </row>
        <row r="1835">
          <cell r="A1835" t="str">
            <v>Submarsible Pump</v>
          </cell>
          <cell r="E1835">
            <v>758907.36</v>
          </cell>
        </row>
        <row r="1836">
          <cell r="A1836" t="str">
            <v>Sujal Lamka (For Tea Exp)</v>
          </cell>
          <cell r="E1836">
            <v>-4384</v>
          </cell>
        </row>
        <row r="1837">
          <cell r="A1837" t="str">
            <v>Sulzer Looms</v>
          </cell>
          <cell r="E1837">
            <v>1932796</v>
          </cell>
        </row>
        <row r="1838">
          <cell r="A1838" t="str">
            <v>Sumar Enterprise</v>
          </cell>
          <cell r="E1838">
            <v>64550</v>
          </cell>
        </row>
        <row r="1839">
          <cell r="A1839" t="str">
            <v>Sumitomo Chemical Asia Pte Ltd</v>
          </cell>
          <cell r="E1839">
            <v>12537086.49</v>
          </cell>
        </row>
        <row r="1840">
          <cell r="A1840" t="str">
            <v>Sumitra</v>
          </cell>
          <cell r="E1840">
            <v>-5940</v>
          </cell>
        </row>
        <row r="1841">
          <cell r="A1841" t="str">
            <v>Summar Tour &amp; Travels</v>
          </cell>
          <cell r="E1841">
            <v>0</v>
          </cell>
        </row>
        <row r="1842">
          <cell r="A1842" t="str">
            <v>Sun Packaging</v>
          </cell>
          <cell r="E1842">
            <v>12083721</v>
          </cell>
        </row>
        <row r="1843">
          <cell r="A1843" t="str">
            <v>Sunny Chauhan</v>
          </cell>
          <cell r="E1843">
            <v>884500</v>
          </cell>
        </row>
        <row r="1844">
          <cell r="A1844" t="str">
            <v>Sunrise Asia Limited</v>
          </cell>
          <cell r="E1844">
            <v>406338.24</v>
          </cell>
        </row>
        <row r="1845">
          <cell r="A1845" t="str">
            <v>Sunrise Computer &amp; Security System</v>
          </cell>
          <cell r="E1845">
            <v>-0.02</v>
          </cell>
        </row>
        <row r="1846">
          <cell r="A1846" t="str">
            <v>Sunrise Marine</v>
          </cell>
          <cell r="E1846">
            <v>-58910</v>
          </cell>
        </row>
        <row r="1847">
          <cell r="A1847" t="str">
            <v>Sunrise Metal</v>
          </cell>
          <cell r="E1847">
            <v>0</v>
          </cell>
        </row>
        <row r="1848">
          <cell r="A1848" t="str">
            <v>Sunscrap Solar Recycle Llp</v>
          </cell>
          <cell r="E1848">
            <v>-193947</v>
          </cell>
        </row>
        <row r="1849">
          <cell r="A1849" t="str">
            <v>Sunshine Property And Casualty</v>
          </cell>
          <cell r="E1849">
            <v>40403.75</v>
          </cell>
        </row>
        <row r="1850">
          <cell r="A1850" t="str">
            <v>Super Tech Containers</v>
          </cell>
          <cell r="E1850">
            <v>2715028</v>
          </cell>
        </row>
        <row r="1851">
          <cell r="A1851" t="str">
            <v>Super Tech</v>
          </cell>
          <cell r="E1851">
            <v>4225959.33</v>
          </cell>
        </row>
        <row r="1852">
          <cell r="A1852" t="str">
            <v>Superform Chemistries Limited Jhagadia- PL85</v>
          </cell>
          <cell r="E1852">
            <v>5927.06</v>
          </cell>
        </row>
        <row r="1853">
          <cell r="A1853" t="str">
            <v>Supertech Water Solution</v>
          </cell>
          <cell r="E1853">
            <v>-8520</v>
          </cell>
        </row>
        <row r="1854">
          <cell r="A1854" t="str">
            <v>Suqian Unitecommerce Co. Ltd</v>
          </cell>
          <cell r="E1854">
            <v>-11573443.67</v>
          </cell>
        </row>
        <row r="1855">
          <cell r="A1855" t="str">
            <v>Surbhi Shipping &amp; Logistics</v>
          </cell>
          <cell r="E1855">
            <v>439372</v>
          </cell>
        </row>
        <row r="1856">
          <cell r="A1856" t="str">
            <v>Surface Sliting Mac-&amp;-Rew Mach</v>
          </cell>
          <cell r="E1856">
            <v>2965601</v>
          </cell>
        </row>
        <row r="1857">
          <cell r="A1857" t="str">
            <v>Surkhab Birds Resorts Private Limited_24AAPCS8672L1ZI</v>
          </cell>
          <cell r="E1857">
            <v>-78942.02</v>
          </cell>
        </row>
        <row r="1858">
          <cell r="A1858" t="str">
            <v>Surneha Services</v>
          </cell>
          <cell r="E1858">
            <v>-2760</v>
          </cell>
        </row>
        <row r="1859">
          <cell r="A1859" t="str">
            <v>Surya Cls Pvt Ltd</v>
          </cell>
          <cell r="E1859">
            <v>730</v>
          </cell>
        </row>
        <row r="1860">
          <cell r="A1860" t="str">
            <v>Surya Drinking Water</v>
          </cell>
          <cell r="E1860">
            <v>0</v>
          </cell>
        </row>
        <row r="1861">
          <cell r="A1861" t="str">
            <v>Surya Enegy Kutch</v>
          </cell>
          <cell r="E1861">
            <v>-74764.929999999993</v>
          </cell>
        </row>
        <row r="1862">
          <cell r="A1862" t="str">
            <v>Susmatex Machinery</v>
          </cell>
          <cell r="E1862">
            <v>-8259</v>
          </cell>
        </row>
        <row r="1863">
          <cell r="A1863" t="str">
            <v>Suspense A/c</v>
          </cell>
          <cell r="E1863">
            <v>25778</v>
          </cell>
        </row>
        <row r="1864">
          <cell r="A1864" t="str">
            <v>Suzlon Energy Limited</v>
          </cell>
          <cell r="E1864">
            <v>0</v>
          </cell>
        </row>
        <row r="1865">
          <cell r="A1865" t="str">
            <v>Swastidaya Commercial Private Limited</v>
          </cell>
          <cell r="E1865">
            <v>9860400</v>
          </cell>
        </row>
        <row r="1866">
          <cell r="A1866" t="str">
            <v>Swastik Enterprise - 24GVWPS9873J1Z6 - Rajkot</v>
          </cell>
          <cell r="E1866">
            <v>-0.36</v>
          </cell>
        </row>
        <row r="1867">
          <cell r="A1867" t="str">
            <v>Swastik Medicos</v>
          </cell>
          <cell r="E1867">
            <v>-5795.25</v>
          </cell>
        </row>
        <row r="1868">
          <cell r="A1868" t="str">
            <v>Swastik Sales - 24BQOPP5837M1Z2</v>
          </cell>
          <cell r="E1868">
            <v>-6300</v>
          </cell>
        </row>
        <row r="1869">
          <cell r="A1869" t="str">
            <v>Swayam Poly Plast Private Limited - Purchase</v>
          </cell>
          <cell r="E1869">
            <v>-2070513.4</v>
          </cell>
        </row>
        <row r="1870">
          <cell r="A1870" t="str">
            <v>Swayam Poly Plast Pvt Ltd</v>
          </cell>
          <cell r="E1870">
            <v>3852336.51</v>
          </cell>
        </row>
        <row r="1871">
          <cell r="A1871" t="str">
            <v>Tanmay Engitech</v>
          </cell>
          <cell r="E1871">
            <v>-19627</v>
          </cell>
        </row>
        <row r="1872">
          <cell r="A1872" t="str">
            <v>Tansile Test Mach</v>
          </cell>
          <cell r="E1872">
            <v>923589.5</v>
          </cell>
        </row>
        <row r="1873">
          <cell r="A1873" t="str">
            <v>Tapan Manpower Solutions</v>
          </cell>
          <cell r="E1873">
            <v>-19994</v>
          </cell>
        </row>
        <row r="1874">
          <cell r="A1874" t="str">
            <v>Tape Plant (Lohia)</v>
          </cell>
          <cell r="E1874">
            <v>68603197</v>
          </cell>
        </row>
        <row r="1875">
          <cell r="A1875" t="str">
            <v>Tarajyot Polymers Ltd - Karnataka</v>
          </cell>
          <cell r="E1875">
            <v>-300</v>
          </cell>
        </row>
        <row r="1876">
          <cell r="A1876" t="str">
            <v>Tashkent Oil Company Pvt Ltd</v>
          </cell>
          <cell r="E1876">
            <v>-1449382</v>
          </cell>
        </row>
        <row r="1877">
          <cell r="A1877" t="str">
            <v>Tata Bus-GJ12AY5730</v>
          </cell>
          <cell r="E1877">
            <v>2191875</v>
          </cell>
        </row>
        <row r="1878">
          <cell r="A1878" t="str">
            <v>Tata Capital Financial Services Ltd.</v>
          </cell>
          <cell r="E1878">
            <v>1204823</v>
          </cell>
        </row>
        <row r="1879">
          <cell r="A1879" t="str">
            <v>Tata Mobile (Gj12 X 6309)</v>
          </cell>
          <cell r="E1879">
            <v>456989</v>
          </cell>
        </row>
        <row r="1880">
          <cell r="A1880" t="str">
            <v>Tata Sia Airlines Limited_27AAECT8346F1Z4</v>
          </cell>
          <cell r="E1880">
            <v>-12726</v>
          </cell>
        </row>
        <row r="1881">
          <cell r="A1881" t="str">
            <v>Tata Sia Airlines Ltd_24AAECT8346F6Z5</v>
          </cell>
          <cell r="E1881">
            <v>-10563</v>
          </cell>
        </row>
        <row r="1882">
          <cell r="A1882" t="str">
            <v>Tata Tempo (Gj12 X 1935)</v>
          </cell>
          <cell r="E1882">
            <v>648705</v>
          </cell>
        </row>
        <row r="1883">
          <cell r="A1883" t="str">
            <v>TCS on Purchase</v>
          </cell>
          <cell r="E1883">
            <v>127789.26</v>
          </cell>
        </row>
        <row r="1884">
          <cell r="A1884" t="str">
            <v>TCS on Purchase 12-13</v>
          </cell>
          <cell r="E1884">
            <v>23659.18</v>
          </cell>
        </row>
        <row r="1885">
          <cell r="A1885" t="str">
            <v>TCS on Purchase 17-18</v>
          </cell>
          <cell r="E1885">
            <v>304936.25</v>
          </cell>
        </row>
        <row r="1886">
          <cell r="A1886" t="str">
            <v>TCS On Purchase 19-20</v>
          </cell>
          <cell r="E1886">
            <v>0</v>
          </cell>
        </row>
        <row r="1887">
          <cell r="A1887" t="str">
            <v>TCS On Purchase 20-21</v>
          </cell>
          <cell r="E1887">
            <v>5366.38</v>
          </cell>
        </row>
        <row r="1888">
          <cell r="A1888" t="str">
            <v>TCS On Purchase 21-22</v>
          </cell>
          <cell r="E1888">
            <v>12214.32</v>
          </cell>
        </row>
        <row r="1889">
          <cell r="A1889" t="str">
            <v>TCS On Purchase 22-23</v>
          </cell>
          <cell r="E1889">
            <v>94328.54</v>
          </cell>
        </row>
        <row r="1890">
          <cell r="A1890" t="str">
            <v>TCS On Purchase 23-24</v>
          </cell>
          <cell r="E1890">
            <v>0</v>
          </cell>
        </row>
        <row r="1891">
          <cell r="A1891" t="str">
            <v>Tcs On Purchase 25-26</v>
          </cell>
          <cell r="E1891">
            <v>108707.47</v>
          </cell>
        </row>
        <row r="1892">
          <cell r="A1892" t="str">
            <v>Tcs On Purchase 26-27</v>
          </cell>
          <cell r="E1892">
            <v>95010.96</v>
          </cell>
        </row>
        <row r="1893">
          <cell r="A1893" t="str">
            <v>Tcs On Sales 24-25</v>
          </cell>
          <cell r="E1893">
            <v>-0.24</v>
          </cell>
        </row>
        <row r="1894">
          <cell r="A1894" t="str">
            <v>Tcs On Sales 25-26</v>
          </cell>
          <cell r="E1894">
            <v>0.39</v>
          </cell>
        </row>
        <row r="1895">
          <cell r="A1895" t="str">
            <v>Tcs On Sales 26-27</v>
          </cell>
          <cell r="E1895">
            <v>-16139.11</v>
          </cell>
        </row>
        <row r="1896">
          <cell r="A1896" t="str">
            <v>TDS -192 (Salary)</v>
          </cell>
          <cell r="E1896">
            <v>-10000</v>
          </cell>
        </row>
        <row r="1897">
          <cell r="A1897" t="str">
            <v>TDS -194A (Interest)</v>
          </cell>
          <cell r="E1897">
            <v>-158662</v>
          </cell>
        </row>
        <row r="1898">
          <cell r="A1898" t="str">
            <v>TDS -194C (Contractor)</v>
          </cell>
          <cell r="E1898">
            <v>-1761097</v>
          </cell>
        </row>
        <row r="1899">
          <cell r="A1899" t="str">
            <v>TDS -194H (Commission)</v>
          </cell>
          <cell r="E1899">
            <v>-8000</v>
          </cell>
        </row>
        <row r="1900">
          <cell r="A1900" t="str">
            <v>TDS -194I (Rent)</v>
          </cell>
          <cell r="E1900">
            <v>-166006</v>
          </cell>
        </row>
        <row r="1901">
          <cell r="A1901" t="str">
            <v>TDS -194J (Professional)</v>
          </cell>
          <cell r="E1901">
            <v>-344602</v>
          </cell>
        </row>
        <row r="1902">
          <cell r="A1902" t="str">
            <v>TDS -194Q (Goods)</v>
          </cell>
          <cell r="E1902">
            <v>-1293830.46</v>
          </cell>
        </row>
        <row r="1903">
          <cell r="A1903" t="str">
            <v>TDS Payable U/S 194</v>
          </cell>
          <cell r="E1903">
            <v>4062876.85</v>
          </cell>
        </row>
        <row r="1904">
          <cell r="A1904" t="str">
            <v>TDS Receivable 2012-13</v>
          </cell>
          <cell r="E1904">
            <v>2268356.35</v>
          </cell>
        </row>
        <row r="1905">
          <cell r="A1905" t="str">
            <v>TDS Receivable 2017-18</v>
          </cell>
          <cell r="E1905">
            <v>10109661.539999999</v>
          </cell>
        </row>
        <row r="1906">
          <cell r="A1906" t="str">
            <v>TDS Receivable 2018-19</v>
          </cell>
          <cell r="E1906">
            <v>344496.2</v>
          </cell>
        </row>
        <row r="1907">
          <cell r="A1907" t="str">
            <v>TDS Receivable 2019-20</v>
          </cell>
          <cell r="E1907">
            <v>-161827</v>
          </cell>
        </row>
        <row r="1908">
          <cell r="A1908" t="str">
            <v>TDS Receivable 2020-21</v>
          </cell>
          <cell r="E1908">
            <v>0</v>
          </cell>
        </row>
        <row r="1909">
          <cell r="A1909" t="str">
            <v>TDS Receivable 2021-22</v>
          </cell>
          <cell r="E1909">
            <v>318461.94</v>
          </cell>
        </row>
        <row r="1910">
          <cell r="A1910" t="str">
            <v>TDS Receivable 2022-23</v>
          </cell>
          <cell r="E1910">
            <v>10544293.720000001</v>
          </cell>
        </row>
        <row r="1911">
          <cell r="A1911" t="str">
            <v>TDS Receivable 2023-24</v>
          </cell>
          <cell r="E1911">
            <v>0</v>
          </cell>
        </row>
        <row r="1912">
          <cell r="A1912" t="str">
            <v>Tds Receivable 2024-25</v>
          </cell>
          <cell r="E1912">
            <v>417301.99</v>
          </cell>
        </row>
        <row r="1913">
          <cell r="A1913" t="str">
            <v>Tds Receivable 2025-26</v>
          </cell>
          <cell r="E1913">
            <v>8498920.25</v>
          </cell>
        </row>
        <row r="1914">
          <cell r="A1914" t="str">
            <v>Tds Receivable 2026-27</v>
          </cell>
          <cell r="E1914">
            <v>2862554.12</v>
          </cell>
        </row>
        <row r="1915">
          <cell r="A1915" t="str">
            <v>TDS Recoverable</v>
          </cell>
          <cell r="E1915">
            <v>115083.06</v>
          </cell>
        </row>
        <row r="1916">
          <cell r="A1916" t="str">
            <v>Tea Wending Machine</v>
          </cell>
          <cell r="E1916">
            <v>25000</v>
          </cell>
        </row>
        <row r="1917">
          <cell r="A1917" t="str">
            <v>Tec Papers Pvt Ltd</v>
          </cell>
          <cell r="E1917">
            <v>367183.32</v>
          </cell>
        </row>
        <row r="1918">
          <cell r="A1918" t="str">
            <v>Tec Papers Pvt Ltd Purchase</v>
          </cell>
          <cell r="E1918">
            <v>-362424.88</v>
          </cell>
        </row>
        <row r="1919">
          <cell r="A1919" t="str">
            <v>Tech Plastfeb Private Limited</v>
          </cell>
          <cell r="E1919">
            <v>-1.1000000000000001</v>
          </cell>
        </row>
        <row r="1920">
          <cell r="A1920" t="str">
            <v>Tech-Connect Retail Private Limited - Maharashtra</v>
          </cell>
          <cell r="E1920">
            <v>-36890</v>
          </cell>
        </row>
        <row r="1921">
          <cell r="A1921" t="str">
            <v>Technopac Austria Gmbh</v>
          </cell>
          <cell r="E1921">
            <v>4519973.49</v>
          </cell>
        </row>
        <row r="1922">
          <cell r="A1922" t="str">
            <v>Technopac Gmbh</v>
          </cell>
          <cell r="E1922">
            <v>63129121.840000004</v>
          </cell>
        </row>
        <row r="1923">
          <cell r="A1923" t="str">
            <v>Techsuppen Enterprises</v>
          </cell>
          <cell r="E1923">
            <v>47589.4</v>
          </cell>
        </row>
        <row r="1924">
          <cell r="A1924" t="str">
            <v>Techwin Electronics</v>
          </cell>
          <cell r="E1924">
            <v>0</v>
          </cell>
        </row>
        <row r="1925">
          <cell r="A1925" t="str">
            <v>Tekhsol</v>
          </cell>
          <cell r="E1925">
            <v>-231562</v>
          </cell>
        </row>
        <row r="1926">
          <cell r="A1926" t="str">
            <v>Television</v>
          </cell>
          <cell r="E1926">
            <v>450221.59</v>
          </cell>
        </row>
        <row r="1927">
          <cell r="A1927" t="str">
            <v>Ten Plus</v>
          </cell>
          <cell r="E1927">
            <v>192009.52</v>
          </cell>
        </row>
        <row r="1928">
          <cell r="A1928" t="str">
            <v>Tensile Testing Machine</v>
          </cell>
          <cell r="E1928">
            <v>225000</v>
          </cell>
        </row>
        <row r="1929">
          <cell r="A1929" t="str">
            <v>Terramag India Private Limited</v>
          </cell>
          <cell r="E1929">
            <v>-1593301</v>
          </cell>
        </row>
        <row r="1930">
          <cell r="A1930" t="str">
            <v>Testing Charges</v>
          </cell>
          <cell r="E1930">
            <v>2112031.64</v>
          </cell>
        </row>
        <row r="1931">
          <cell r="A1931" t="str">
            <v>Testing Machine</v>
          </cell>
          <cell r="E1931">
            <v>3293883.11</v>
          </cell>
        </row>
        <row r="1932">
          <cell r="A1932" t="str">
            <v>Texene LLC</v>
          </cell>
          <cell r="E1932">
            <v>40751.74</v>
          </cell>
        </row>
        <row r="1933">
          <cell r="A1933" t="str">
            <v>Texon Fabrics Pvt Ltd - Sales</v>
          </cell>
          <cell r="E1933">
            <v>2463589.08</v>
          </cell>
        </row>
        <row r="1934">
          <cell r="A1934" t="str">
            <v>Texon Packaging Private Limited</v>
          </cell>
          <cell r="E1934">
            <v>27754804.190000001</v>
          </cell>
        </row>
        <row r="1935">
          <cell r="A1935" t="str">
            <v>Textro Electronics</v>
          </cell>
          <cell r="E1935">
            <v>-17110</v>
          </cell>
        </row>
        <row r="1936">
          <cell r="A1936" t="str">
            <v>Thakor Khodabhai Chandubhai</v>
          </cell>
          <cell r="E1936">
            <v>-16069</v>
          </cell>
        </row>
        <row r="1937">
          <cell r="A1937" t="str">
            <v>Thar Logistics_24AASFT9702A1Z6</v>
          </cell>
          <cell r="E1937">
            <v>-34220</v>
          </cell>
        </row>
        <row r="1938">
          <cell r="A1938" t="str">
            <v>The Gandhidham Chamber Of Commerce &amp; Industry</v>
          </cell>
          <cell r="E1938">
            <v>5900</v>
          </cell>
        </row>
        <row r="1939">
          <cell r="A1939" t="str">
            <v>The Neemaya Hotel</v>
          </cell>
          <cell r="E1939">
            <v>-41114.5</v>
          </cell>
        </row>
        <row r="1940">
          <cell r="A1940" t="str">
            <v>The New India Assurance Co. Ltd</v>
          </cell>
          <cell r="E1940">
            <v>-3599</v>
          </cell>
        </row>
        <row r="1941">
          <cell r="A1941" t="str">
            <v>The New India Scissers House</v>
          </cell>
          <cell r="E1941">
            <v>1746</v>
          </cell>
        </row>
        <row r="1942">
          <cell r="A1942" t="str">
            <v>The New India Scissors House 24AFXPS5715A1ZA</v>
          </cell>
          <cell r="E1942">
            <v>-873</v>
          </cell>
        </row>
        <row r="1943">
          <cell r="A1943" t="str">
            <v>The Plastic</v>
          </cell>
          <cell r="E1943">
            <v>3253406.91</v>
          </cell>
        </row>
        <row r="1944">
          <cell r="A1944" t="str">
            <v>The Plastics Export Promotion Council</v>
          </cell>
          <cell r="E1944">
            <v>-215726</v>
          </cell>
        </row>
        <row r="1945">
          <cell r="A1945" t="str">
            <v>The Professional Couriers Pvt Ltd</v>
          </cell>
          <cell r="E1945">
            <v>0</v>
          </cell>
        </row>
        <row r="1946">
          <cell r="A1946" t="str">
            <v>The Shiv Regency</v>
          </cell>
          <cell r="E1946">
            <v>-19617.54</v>
          </cell>
        </row>
        <row r="1947">
          <cell r="A1947" t="str">
            <v>The South Indian Bank Limited-24AABCT0022F1Z4</v>
          </cell>
          <cell r="E1947">
            <v>-8024</v>
          </cell>
        </row>
        <row r="1948">
          <cell r="A1948" t="str">
            <v>The Sports Club Of Gujarat Ltd</v>
          </cell>
          <cell r="E1948">
            <v>-33837</v>
          </cell>
        </row>
        <row r="1949">
          <cell r="A1949" t="str">
            <v>Thermic Fluid Pump - Type Cpk Egy 50-250 Capacity</v>
          </cell>
          <cell r="E1949">
            <v>75000</v>
          </cell>
        </row>
        <row r="1950">
          <cell r="A1950" t="str">
            <v>Tme Precision Closed Cone Winding Machine</v>
          </cell>
          <cell r="E1950">
            <v>224200</v>
          </cell>
        </row>
        <row r="1951">
          <cell r="A1951" t="str">
            <v>Tools &amp; Implements</v>
          </cell>
          <cell r="E1951">
            <v>578843.1</v>
          </cell>
        </row>
        <row r="1952">
          <cell r="A1952" t="str">
            <v>Torrent Power Ltd.</v>
          </cell>
          <cell r="E1952">
            <v>0</v>
          </cell>
        </row>
        <row r="1953">
          <cell r="A1953" t="str">
            <v>Town &amp; Country (Northern) Limited</v>
          </cell>
          <cell r="E1953">
            <v>9972746.6099999994</v>
          </cell>
        </row>
        <row r="1954">
          <cell r="A1954" t="str">
            <v>Town &amp; Country Aggregates</v>
          </cell>
          <cell r="E1954">
            <v>-4769838.49</v>
          </cell>
        </row>
        <row r="1955">
          <cell r="A1955" t="str">
            <v>Toyo Ink India Pvt. Ltd. - Gujarat</v>
          </cell>
          <cell r="E1955">
            <v>-2465291.4</v>
          </cell>
        </row>
        <row r="1956">
          <cell r="A1956" t="str">
            <v>Toyota Material Handling India Pvt Ltd</v>
          </cell>
          <cell r="E1956">
            <v>0.56000000000000005</v>
          </cell>
        </row>
        <row r="1957">
          <cell r="A1957" t="str">
            <v>Tradex Petroproducts LLP</v>
          </cell>
          <cell r="E1957">
            <v>185762.35</v>
          </cell>
        </row>
        <row r="1958">
          <cell r="A1958" t="str">
            <v>Transformer</v>
          </cell>
          <cell r="E1958">
            <v>1284538</v>
          </cell>
        </row>
        <row r="1959">
          <cell r="A1959" t="str">
            <v>Transformer 315 KVA</v>
          </cell>
          <cell r="E1959">
            <v>415000</v>
          </cell>
        </row>
        <row r="1960">
          <cell r="A1960" t="str">
            <v>Travelling Advance - Anil Goyal</v>
          </cell>
          <cell r="E1960">
            <v>3237</v>
          </cell>
        </row>
        <row r="1961">
          <cell r="A1961" t="str">
            <v>Travelling Advance - Staff</v>
          </cell>
          <cell r="E1961">
            <v>3000</v>
          </cell>
        </row>
        <row r="1962">
          <cell r="A1962" t="str">
            <v>Travelling Expense</v>
          </cell>
          <cell r="E1962">
            <v>4181255.99</v>
          </cell>
        </row>
        <row r="1963">
          <cell r="A1963" t="str">
            <v>Travelling Expense - Foreign</v>
          </cell>
          <cell r="E1963">
            <v>386226.72</v>
          </cell>
        </row>
        <row r="1964">
          <cell r="A1964" t="str">
            <v>Tricon Dry Chemicals,Llc</v>
          </cell>
          <cell r="E1964">
            <v>-98975.25</v>
          </cell>
        </row>
        <row r="1965">
          <cell r="A1965" t="str">
            <v>Tritha Graphics</v>
          </cell>
          <cell r="E1965">
            <v>-31292.01</v>
          </cell>
        </row>
        <row r="1966">
          <cell r="A1966" t="str">
            <v>Trolly</v>
          </cell>
          <cell r="E1966">
            <v>229825</v>
          </cell>
        </row>
        <row r="1967">
          <cell r="A1967" t="str">
            <v>Ts Container Lines Pte Ltd</v>
          </cell>
          <cell r="E1967">
            <v>0</v>
          </cell>
        </row>
        <row r="1968">
          <cell r="A1968" t="str">
            <v>Tublights &amp; Fans</v>
          </cell>
          <cell r="E1968">
            <v>58362.37</v>
          </cell>
        </row>
        <row r="1969">
          <cell r="A1969" t="str">
            <v>Tulsi Dyechem Pvt Ltd - Purchase</v>
          </cell>
          <cell r="E1969">
            <v>120363.06</v>
          </cell>
        </row>
        <row r="1970">
          <cell r="A1970" t="str">
            <v>Tulsi Dyechem Pvt.Ltd - Sales</v>
          </cell>
          <cell r="E1970">
            <v>53900</v>
          </cell>
        </row>
        <row r="1971">
          <cell r="A1971" t="str">
            <v>Turret Rewind Station</v>
          </cell>
          <cell r="E1971">
            <v>2250000</v>
          </cell>
        </row>
        <row r="1972">
          <cell r="A1972" t="str">
            <v>Twisting Machine</v>
          </cell>
          <cell r="E1972">
            <v>8175784.4000000004</v>
          </cell>
        </row>
        <row r="1973">
          <cell r="A1973" t="str">
            <v>U V Polyplast</v>
          </cell>
          <cell r="E1973">
            <v>7.0000000000000007E-2</v>
          </cell>
        </row>
        <row r="1974">
          <cell r="A1974" t="str">
            <v>Ultrasonic Cutter Machine</v>
          </cell>
          <cell r="E1974">
            <v>4054824</v>
          </cell>
        </row>
        <row r="1975">
          <cell r="A1975" t="str">
            <v>Uma Thermoplast</v>
          </cell>
          <cell r="E1975">
            <v>-0.56000000000000005</v>
          </cell>
        </row>
        <row r="1976">
          <cell r="A1976" t="str">
            <v>Uma V Bhagchandani</v>
          </cell>
          <cell r="E1976">
            <v>-12500</v>
          </cell>
        </row>
        <row r="1977">
          <cell r="A1977" t="str">
            <v>Umiya Enterprise</v>
          </cell>
          <cell r="E1977">
            <v>-46728</v>
          </cell>
        </row>
        <row r="1978">
          <cell r="A1978" t="str">
            <v>Unclaimed CGST</v>
          </cell>
          <cell r="E1978">
            <v>79296.800000000003</v>
          </cell>
        </row>
        <row r="1979">
          <cell r="A1979" t="str">
            <v>Unclaimed IGST</v>
          </cell>
          <cell r="E1979">
            <v>73248.09</v>
          </cell>
        </row>
        <row r="1980">
          <cell r="A1980" t="str">
            <v>Unclaimed SGST</v>
          </cell>
          <cell r="E1980">
            <v>79296.92</v>
          </cell>
        </row>
        <row r="1981">
          <cell r="A1981" t="str">
            <v>Unilink Engineering Corporation Private Limited</v>
          </cell>
          <cell r="E1981">
            <v>149100</v>
          </cell>
        </row>
        <row r="1982">
          <cell r="A1982" t="str">
            <v>Union Special Gmbh-Update Master</v>
          </cell>
          <cell r="E1982">
            <v>-0.01</v>
          </cell>
        </row>
        <row r="1983">
          <cell r="A1983" t="str">
            <v>Unique Marketing - 24ABEPK2505M1ZU</v>
          </cell>
          <cell r="E1983">
            <v>-6434432.0199999996</v>
          </cell>
        </row>
        <row r="1984">
          <cell r="A1984" t="str">
            <v>Unique Power Technologies</v>
          </cell>
          <cell r="E1984">
            <v>373</v>
          </cell>
        </row>
        <row r="1985">
          <cell r="A1985" t="str">
            <v>United Boxmakers</v>
          </cell>
          <cell r="E1985">
            <v>2835</v>
          </cell>
        </row>
        <row r="1986">
          <cell r="A1986" t="str">
            <v>United Raw Material Pte Ltd</v>
          </cell>
          <cell r="E1986">
            <v>-14263.94</v>
          </cell>
        </row>
        <row r="1987">
          <cell r="A1987" t="str">
            <v>Unity Engineering Works</v>
          </cell>
          <cell r="E1987">
            <v>0</v>
          </cell>
        </row>
        <row r="1988">
          <cell r="A1988" t="str">
            <v>Universal Pipe Traders</v>
          </cell>
          <cell r="E1988">
            <v>-18005.02</v>
          </cell>
        </row>
        <row r="1989">
          <cell r="A1989" t="str">
            <v>Universitas Gyor Nonprofit Kft</v>
          </cell>
          <cell r="E1989">
            <v>-150618.4</v>
          </cell>
        </row>
        <row r="1990">
          <cell r="A1990" t="str">
            <v>Upl Limited - Jhagadia</v>
          </cell>
          <cell r="E1990">
            <v>0</v>
          </cell>
        </row>
        <row r="1991">
          <cell r="A1991" t="str">
            <v>Ups Express Private Limited</v>
          </cell>
          <cell r="E1991">
            <v>2092</v>
          </cell>
        </row>
        <row r="1992">
          <cell r="A1992" t="str">
            <v>Uron Oms Llp</v>
          </cell>
          <cell r="E1992">
            <v>0</v>
          </cell>
        </row>
        <row r="1993">
          <cell r="A1993" t="str">
            <v>Uttar Gujarat Vij Company Ltd</v>
          </cell>
          <cell r="E1993">
            <v>254383.43</v>
          </cell>
        </row>
        <row r="1994">
          <cell r="A1994" t="str">
            <v>V K Print Pack</v>
          </cell>
          <cell r="E1994">
            <v>-63014</v>
          </cell>
        </row>
        <row r="1995">
          <cell r="A1995" t="str">
            <v>V Tex Overseas Pvt Ltd</v>
          </cell>
          <cell r="E1995">
            <v>0</v>
          </cell>
        </row>
        <row r="1996">
          <cell r="A1996" t="str">
            <v>V Trans (India) Limited - 27AAACV1559Q2ZP</v>
          </cell>
          <cell r="E1996">
            <v>-85900</v>
          </cell>
        </row>
        <row r="1997">
          <cell r="A1997" t="str">
            <v>V Trans (India) Ltd - Karnataka</v>
          </cell>
          <cell r="E1997">
            <v>6.48</v>
          </cell>
        </row>
        <row r="1998">
          <cell r="A1998" t="str">
            <v>V-Trans (India) Ltd. - Gujarat</v>
          </cell>
          <cell r="E1998">
            <v>-19625.439999999999</v>
          </cell>
        </row>
        <row r="1999">
          <cell r="A1999" t="str">
            <v>V-Trans (India) Ltd. - Karnataka</v>
          </cell>
          <cell r="E1999">
            <v>-7670</v>
          </cell>
        </row>
        <row r="2000">
          <cell r="A2000" t="str">
            <v>V-Trans (India) Ltd. - Maharashtra</v>
          </cell>
          <cell r="E2000">
            <v>-1.77</v>
          </cell>
        </row>
        <row r="2001">
          <cell r="A2001" t="str">
            <v>V-Trans (India) Ltd. - Rajasthan</v>
          </cell>
          <cell r="E2001">
            <v>-3.12</v>
          </cell>
        </row>
        <row r="2002">
          <cell r="A2002" t="str">
            <v>V-Trans (India) Ltd. - Tamil Nadu</v>
          </cell>
          <cell r="E2002">
            <v>-800</v>
          </cell>
        </row>
        <row r="2003">
          <cell r="A2003" t="str">
            <v>V-Trans (India) Ltd.-Mp</v>
          </cell>
          <cell r="E2003">
            <v>0.56000000000000005</v>
          </cell>
        </row>
        <row r="2004">
          <cell r="A2004" t="str">
            <v>Vaibhavee Enterprises</v>
          </cell>
          <cell r="E2004">
            <v>-0.86</v>
          </cell>
        </row>
        <row r="2005">
          <cell r="A2005" t="str">
            <v>Valco Melton Engineering India Pvt Ltd</v>
          </cell>
          <cell r="E2005">
            <v>-708</v>
          </cell>
        </row>
        <row r="2006">
          <cell r="A2006" t="str">
            <v>Valley Textile</v>
          </cell>
          <cell r="E2006">
            <v>-61950</v>
          </cell>
        </row>
        <row r="2007">
          <cell r="A2007" t="str">
            <v>Vanik Finance Private Limited</v>
          </cell>
          <cell r="E2007">
            <v>0</v>
          </cell>
        </row>
        <row r="2008">
          <cell r="A2008" t="str">
            <v>Vanitaba J. Zala</v>
          </cell>
          <cell r="E2008">
            <v>0</v>
          </cell>
        </row>
        <row r="2009">
          <cell r="A2009" t="str">
            <v>Varahi Polymers</v>
          </cell>
          <cell r="E2009">
            <v>6946942.5099999998</v>
          </cell>
        </row>
        <row r="2010">
          <cell r="A2010" t="str">
            <v>Varahi Polymers Private Limited  LC Margin</v>
          </cell>
          <cell r="E2010">
            <v>-172392</v>
          </cell>
        </row>
        <row r="2011">
          <cell r="A2011" t="str">
            <v>Vardhman Communication</v>
          </cell>
          <cell r="E2011">
            <v>305060</v>
          </cell>
        </row>
        <row r="2012">
          <cell r="A2012" t="str">
            <v>Varsha Printing Inks Mfg. Co.</v>
          </cell>
          <cell r="E2012">
            <v>2691.2</v>
          </cell>
        </row>
        <row r="2013">
          <cell r="A2013" t="str">
            <v>Varun Engineers</v>
          </cell>
          <cell r="E2013">
            <v>0</v>
          </cell>
        </row>
        <row r="2014">
          <cell r="A2014" t="str">
            <v>Vashi Integrated Solutions Limited</v>
          </cell>
          <cell r="E2014">
            <v>0</v>
          </cell>
        </row>
        <row r="2015">
          <cell r="A2015" t="str">
            <v>Vedant Enteprises</v>
          </cell>
          <cell r="E2015">
            <v>4588</v>
          </cell>
        </row>
        <row r="2016">
          <cell r="A2016" t="str">
            <v>Vedant Enterprise</v>
          </cell>
          <cell r="E2016">
            <v>-4588</v>
          </cell>
        </row>
        <row r="2017">
          <cell r="A2017" t="str">
            <v>Veersingh Rajaram Baghel</v>
          </cell>
          <cell r="E2017">
            <v>-34350</v>
          </cell>
        </row>
        <row r="2018">
          <cell r="A2018" t="str">
            <v>Veeshna Polypack Pvt Ltd - Purchase</v>
          </cell>
          <cell r="E2018">
            <v>-150.47999999999999</v>
          </cell>
        </row>
        <row r="2019">
          <cell r="A2019" t="str">
            <v>Vehicle Hire Charges - RCM</v>
          </cell>
          <cell r="E2019">
            <v>750350</v>
          </cell>
        </row>
        <row r="2020">
          <cell r="A2020" t="str">
            <v>Vehicle Hire Charges - With Gst</v>
          </cell>
          <cell r="E2020">
            <v>1417731</v>
          </cell>
        </row>
        <row r="2021">
          <cell r="A2021" t="str">
            <v>Velabhai Revabhai Gamara</v>
          </cell>
          <cell r="E2021">
            <v>-7000</v>
          </cell>
        </row>
        <row r="2022">
          <cell r="A2022" t="str">
            <v>Venus Data Products Pvt Ltd</v>
          </cell>
          <cell r="E2022">
            <v>-65143</v>
          </cell>
        </row>
        <row r="2023">
          <cell r="A2023" t="str">
            <v>Venus Polypack Industries</v>
          </cell>
          <cell r="E2023">
            <v>-15000</v>
          </cell>
        </row>
        <row r="2024">
          <cell r="A2024" t="str">
            <v>Vera Nets Pvt Ltd</v>
          </cell>
          <cell r="E2024">
            <v>6987669</v>
          </cell>
        </row>
        <row r="2025">
          <cell r="A2025" t="str">
            <v>Vibhav Commercial Private Limited</v>
          </cell>
          <cell r="E2025">
            <v>20493000</v>
          </cell>
        </row>
        <row r="2026">
          <cell r="A2026" t="str">
            <v>Vibrant Metal And Tube</v>
          </cell>
          <cell r="E2026">
            <v>0</v>
          </cell>
        </row>
        <row r="2027">
          <cell r="A2027" t="str">
            <v>Vidh Enterprise</v>
          </cell>
          <cell r="E2027">
            <v>-38268</v>
          </cell>
        </row>
        <row r="2028">
          <cell r="A2028" t="str">
            <v>Vihaan Enterprise</v>
          </cell>
          <cell r="E2028">
            <v>-78652</v>
          </cell>
        </row>
        <row r="2029">
          <cell r="A2029" t="str">
            <v>Vijay Kumar Khaniya</v>
          </cell>
          <cell r="E2029">
            <v>-40968</v>
          </cell>
        </row>
        <row r="2030">
          <cell r="A2030" t="str">
            <v>Vijaybhai Ramanbhai Bariya</v>
          </cell>
          <cell r="E2030">
            <v>0</v>
          </cell>
        </row>
        <row r="2031">
          <cell r="A2031" t="str">
            <v>Vikas Plastic Emporium</v>
          </cell>
          <cell r="E2031">
            <v>425.04</v>
          </cell>
        </row>
        <row r="2032">
          <cell r="A2032" t="str">
            <v>Vikki Singh</v>
          </cell>
          <cell r="E2032">
            <v>50000</v>
          </cell>
        </row>
        <row r="2033">
          <cell r="A2033" t="str">
            <v>Vikram Ceramica</v>
          </cell>
          <cell r="E2033">
            <v>-0.09</v>
          </cell>
        </row>
        <row r="2034">
          <cell r="A2034" t="str">
            <v>Vikram Glass</v>
          </cell>
          <cell r="E2034">
            <v>0</v>
          </cell>
        </row>
        <row r="2035">
          <cell r="A2035" t="str">
            <v>Vimla Enterprise</v>
          </cell>
          <cell r="E2035">
            <v>-442725</v>
          </cell>
        </row>
        <row r="2036">
          <cell r="A2036" t="str">
            <v>Vinmar International Llc</v>
          </cell>
          <cell r="E2036">
            <v>-4256.75</v>
          </cell>
        </row>
        <row r="2037">
          <cell r="A2037" t="str">
            <v>Vintex Rubber Industries-Abed</v>
          </cell>
          <cell r="E2037">
            <v>-17405</v>
          </cell>
        </row>
        <row r="2038">
          <cell r="A2038" t="str">
            <v>Vipulkumar Shankarbhai Patel</v>
          </cell>
          <cell r="E2038">
            <v>0</v>
          </cell>
        </row>
        <row r="2039">
          <cell r="A2039" t="str">
            <v>Vir Engineers</v>
          </cell>
          <cell r="E2039">
            <v>-1699</v>
          </cell>
        </row>
        <row r="2040">
          <cell r="A2040" t="str">
            <v>Virambhai Gamanbhai Rabari</v>
          </cell>
          <cell r="E2040">
            <v>126255.14</v>
          </cell>
        </row>
        <row r="2041">
          <cell r="A2041" t="str">
            <v>Virava Chemicals</v>
          </cell>
          <cell r="E2041">
            <v>107.33</v>
          </cell>
        </row>
        <row r="2042">
          <cell r="A2042" t="str">
            <v>Virda Alkalies And Chemicals</v>
          </cell>
          <cell r="E2042">
            <v>-6796.08</v>
          </cell>
        </row>
        <row r="2043">
          <cell r="A2043" t="str">
            <v>Visat Dairy Farm</v>
          </cell>
          <cell r="E2043">
            <v>0</v>
          </cell>
        </row>
        <row r="2044">
          <cell r="A2044" t="str">
            <v>Vishal Engineering And Fabricators</v>
          </cell>
          <cell r="E2044">
            <v>-26255</v>
          </cell>
        </row>
        <row r="2045">
          <cell r="A2045" t="str">
            <v>Vishal Technitex</v>
          </cell>
          <cell r="E2045">
            <v>-950.24</v>
          </cell>
        </row>
        <row r="2046">
          <cell r="A2046" t="str">
            <v>Vishnu T Bhagchandani, Advocte</v>
          </cell>
          <cell r="E2046">
            <v>-12500</v>
          </cell>
        </row>
        <row r="2047">
          <cell r="A2047" t="str">
            <v>Vishwas Enterprise - Gandhidham 24HJZPS2918Q1ZW</v>
          </cell>
          <cell r="E2047">
            <v>0</v>
          </cell>
        </row>
        <row r="2048">
          <cell r="A2048" t="str">
            <v>Vital Freight Carrier Pvt Ltd</v>
          </cell>
          <cell r="E2048">
            <v>-3654</v>
          </cell>
        </row>
        <row r="2049">
          <cell r="A2049" t="str">
            <v>Vodafone Idea Limited</v>
          </cell>
          <cell r="E2049">
            <v>625.23</v>
          </cell>
        </row>
        <row r="2050">
          <cell r="A2050" t="str">
            <v>Vodafone Idea Limited - 24AAACB2100P1Z3</v>
          </cell>
          <cell r="E2050">
            <v>-432999.36</v>
          </cell>
        </row>
        <row r="2051">
          <cell r="A2051" t="str">
            <v>Volta Biotech</v>
          </cell>
          <cell r="E2051">
            <v>-0.01</v>
          </cell>
        </row>
        <row r="2052">
          <cell r="A2052" t="str">
            <v>Voltas Limited</v>
          </cell>
          <cell r="E2052">
            <v>29500</v>
          </cell>
        </row>
        <row r="2053">
          <cell r="A2053" t="str">
            <v>Vriha Industries</v>
          </cell>
          <cell r="E2053">
            <v>-0.46</v>
          </cell>
        </row>
        <row r="2054">
          <cell r="A2054" t="str">
            <v>Vyankatesh Udyog (I) Pvt Ltd - Purchase</v>
          </cell>
          <cell r="E2054">
            <v>-1380431</v>
          </cell>
        </row>
        <row r="2055">
          <cell r="A2055" t="str">
            <v>Wall Air Circulator</v>
          </cell>
          <cell r="E2055">
            <v>349108.97</v>
          </cell>
        </row>
        <row r="2056">
          <cell r="A2056" t="str">
            <v>Wan Hai Lines Ltd</v>
          </cell>
          <cell r="E2056">
            <v>750000</v>
          </cell>
        </row>
        <row r="2057">
          <cell r="A2057" t="str">
            <v>Water Charges</v>
          </cell>
          <cell r="E2057">
            <v>3474272</v>
          </cell>
        </row>
        <row r="2058">
          <cell r="A2058" t="str">
            <v>Water Cooler</v>
          </cell>
          <cell r="E2058">
            <v>269517.03000000003</v>
          </cell>
        </row>
        <row r="2059">
          <cell r="A2059" t="str">
            <v>Water Dispenser</v>
          </cell>
          <cell r="E2059">
            <v>21006.66</v>
          </cell>
        </row>
        <row r="2060">
          <cell r="A2060" t="str">
            <v>Water Pipeline</v>
          </cell>
          <cell r="E2060">
            <v>421373</v>
          </cell>
        </row>
        <row r="2061">
          <cell r="A2061" t="str">
            <v>Water Softening Plant</v>
          </cell>
          <cell r="E2061">
            <v>1746437</v>
          </cell>
        </row>
        <row r="2062">
          <cell r="A2062" t="str">
            <v>Water Tank</v>
          </cell>
          <cell r="E2062">
            <v>68400</v>
          </cell>
        </row>
        <row r="2063">
          <cell r="A2063" t="str">
            <v>Water Tank-1000 Ltr.</v>
          </cell>
          <cell r="E2063">
            <v>9100</v>
          </cell>
        </row>
        <row r="2064">
          <cell r="A2064" t="str">
            <v>Water Tanker</v>
          </cell>
          <cell r="E2064">
            <v>786570</v>
          </cell>
        </row>
        <row r="2065">
          <cell r="A2065" t="str">
            <v>Watering Vaccum Pump</v>
          </cell>
          <cell r="E2065">
            <v>24354</v>
          </cell>
        </row>
        <row r="2066">
          <cell r="A2066" t="str">
            <v>Watertank 2000 Ltr Reno</v>
          </cell>
          <cell r="E2066">
            <v>28100</v>
          </cell>
        </row>
        <row r="2067">
          <cell r="A2067" t="str">
            <v>Web Alinger Air Sensor</v>
          </cell>
          <cell r="E2067">
            <v>128375</v>
          </cell>
        </row>
        <row r="2068">
          <cell r="A2068" t="str">
            <v>Web Alinger Machine</v>
          </cell>
          <cell r="E2068">
            <v>156653</v>
          </cell>
        </row>
        <row r="2069">
          <cell r="A2069" t="str">
            <v>Web Camera</v>
          </cell>
          <cell r="E2069">
            <v>483189.07</v>
          </cell>
        </row>
        <row r="2070">
          <cell r="A2070" t="str">
            <v>Web Inspection Rewinding Machine</v>
          </cell>
          <cell r="E2070">
            <v>1800000</v>
          </cell>
        </row>
        <row r="2071">
          <cell r="A2071" t="str">
            <v>Weighment Expense</v>
          </cell>
          <cell r="E2071">
            <v>121270</v>
          </cell>
        </row>
        <row r="2072">
          <cell r="A2072" t="str">
            <v>Weight Bridge A/C</v>
          </cell>
          <cell r="E2072">
            <v>69600</v>
          </cell>
        </row>
        <row r="2073">
          <cell r="A2073" t="str">
            <v>Weightment Scale</v>
          </cell>
          <cell r="E2073">
            <v>1300273.95</v>
          </cell>
        </row>
        <row r="2074">
          <cell r="A2074" t="str">
            <v>Weightment Scale Electronic VIP</v>
          </cell>
          <cell r="E2074">
            <v>6427.12</v>
          </cell>
        </row>
        <row r="2075">
          <cell r="A2075" t="str">
            <v>Welar Corporation</v>
          </cell>
          <cell r="E2075">
            <v>-23966</v>
          </cell>
        </row>
        <row r="2076">
          <cell r="A2076" t="str">
            <v>Welding Machine</v>
          </cell>
          <cell r="E2076">
            <v>157970</v>
          </cell>
        </row>
        <row r="2077">
          <cell r="A2077" t="str">
            <v>Welding Winder</v>
          </cell>
          <cell r="E2077">
            <v>689891</v>
          </cell>
        </row>
        <row r="2078">
          <cell r="A2078" t="str">
            <v>Wenzhou Qianfeng International Trade Co., Ltd</v>
          </cell>
          <cell r="E2078">
            <v>-381.5</v>
          </cell>
        </row>
        <row r="2079">
          <cell r="A2079" t="str">
            <v>West India Forklift Services</v>
          </cell>
          <cell r="E2079">
            <v>-17947</v>
          </cell>
        </row>
        <row r="2080">
          <cell r="A2080" t="str">
            <v>White Valley Private Limited</v>
          </cell>
          <cell r="E2080">
            <v>-95124</v>
          </cell>
        </row>
        <row r="2081">
          <cell r="A2081" t="str">
            <v>Wind Mill 1.5 MW</v>
          </cell>
          <cell r="E2081">
            <v>68557970.409999996</v>
          </cell>
        </row>
        <row r="2082">
          <cell r="A2082" t="str">
            <v>Winder Machine</v>
          </cell>
          <cell r="E2082">
            <v>589909</v>
          </cell>
        </row>
        <row r="2083">
          <cell r="A2083" t="str">
            <v>Winder Ms Cone</v>
          </cell>
          <cell r="E2083">
            <v>44090</v>
          </cell>
        </row>
        <row r="2084">
          <cell r="A2084" t="str">
            <v>Yadav Crane Service</v>
          </cell>
          <cell r="E2084">
            <v>-4500</v>
          </cell>
        </row>
        <row r="2085">
          <cell r="A2085" t="str">
            <v>Yao Ke Jie</v>
          </cell>
          <cell r="E2085">
            <v>0.75</v>
          </cell>
        </row>
        <row r="2086">
          <cell r="A2086" t="str">
            <v>Yashasvi International Llp</v>
          </cell>
          <cell r="E2086">
            <v>4472.2</v>
          </cell>
        </row>
        <row r="2087">
          <cell r="A2087" t="str">
            <v>Yen Traders</v>
          </cell>
          <cell r="E2087">
            <v>-6154</v>
          </cell>
        </row>
        <row r="2088">
          <cell r="A2088" t="str">
            <v>Yuan Da Plastic Fabric Corporation</v>
          </cell>
          <cell r="E2088">
            <v>-0.01</v>
          </cell>
        </row>
        <row r="2089">
          <cell r="A2089" t="str">
            <v>Zedex Industries</v>
          </cell>
          <cell r="E2089">
            <v>13465.93</v>
          </cell>
        </row>
        <row r="2090">
          <cell r="A2090" t="str">
            <v>Zhejiang Guxiandao Polyester Dope Dyed Yarn Co.,Ltd</v>
          </cell>
          <cell r="E2090">
            <v>-49605.599999999999</v>
          </cell>
        </row>
        <row r="2091">
          <cell r="A2091" t="str">
            <v>Zhejiang Unifull Industrial Fibre Co Ltd</v>
          </cell>
          <cell r="E2091">
            <v>4120.13</v>
          </cell>
        </row>
        <row r="2092">
          <cell r="A2092" t="str">
            <v>Zibo Riyuejin Plastic Machinery Co Ltd</v>
          </cell>
          <cell r="E2092">
            <v>151170.04</v>
          </cell>
        </row>
        <row r="2093">
          <cell r="A2093" t="str">
            <v>Zim Integrated Shipping Services (I) Pvt Ltd</v>
          </cell>
          <cell r="E2093">
            <v>31152</v>
          </cell>
        </row>
        <row r="2094">
          <cell r="A2094" t="str">
            <v>Zunaidul Isalm</v>
          </cell>
          <cell r="E209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ial Balance (2)"/>
      <sheetName val="ORIGINAL"/>
      <sheetName val="Sheet1"/>
    </sheetNames>
    <sheetDataSet>
      <sheetData sheetId="0"/>
      <sheetData sheetId="1">
        <row r="1">
          <cell r="A1" t="str">
            <v>Particular</v>
          </cell>
          <cell r="E1" t="str">
            <v>Closing</v>
          </cell>
        </row>
        <row r="2">
          <cell r="A2" t="str">
            <v xml:space="preserve"> Assets</v>
          </cell>
          <cell r="E2">
            <v>6821956084.1899996</v>
          </cell>
        </row>
        <row r="3">
          <cell r="A3" t="str">
            <v xml:space="preserve">  Current Assets </v>
          </cell>
          <cell r="E3">
            <v>5072876534.5</v>
          </cell>
        </row>
        <row r="4">
          <cell r="A4" t="str">
            <v xml:space="preserve">   Advance Taxes &amp; Duties</v>
          </cell>
          <cell r="E4">
            <v>30847627.629999999</v>
          </cell>
        </row>
        <row r="5">
          <cell r="A5" t="str">
            <v>Duty Clearing Account</v>
          </cell>
          <cell r="E5">
            <v>3155093</v>
          </cell>
        </row>
        <row r="6">
          <cell r="A6" t="str">
            <v xml:space="preserve">    Income Tax</v>
          </cell>
          <cell r="E6">
            <v>3550000</v>
          </cell>
        </row>
        <row r="7">
          <cell r="A7" t="str">
            <v>Income Tax Ay 2011-12</v>
          </cell>
          <cell r="E7">
            <v>1050000</v>
          </cell>
        </row>
        <row r="8">
          <cell r="A8" t="str">
            <v>Income Tax Ay 2015-16</v>
          </cell>
          <cell r="E8">
            <v>2500000</v>
          </cell>
        </row>
        <row r="9">
          <cell r="A9" t="str">
            <v xml:space="preserve">    TCS Receivable</v>
          </cell>
          <cell r="E9">
            <v>640639.61</v>
          </cell>
        </row>
        <row r="10">
          <cell r="A10" t="str">
            <v>Religare Finvest Ltd.- TDS amount</v>
          </cell>
          <cell r="E10">
            <v>237204.81</v>
          </cell>
        </row>
        <row r="11">
          <cell r="A11" t="str">
            <v>TCS on Purchase</v>
          </cell>
          <cell r="E11">
            <v>127789.26</v>
          </cell>
        </row>
        <row r="12">
          <cell r="A12" t="str">
            <v>TCS on Purchase 12-13</v>
          </cell>
          <cell r="E12">
            <v>23659.18</v>
          </cell>
        </row>
        <row r="13">
          <cell r="A13" t="str">
            <v>TCS on Purchase 17-18</v>
          </cell>
          <cell r="E13">
            <v>304798</v>
          </cell>
        </row>
        <row r="14">
          <cell r="A14" t="str">
            <v>TCS On Purchase 19-20</v>
          </cell>
          <cell r="E14">
            <v>0</v>
          </cell>
        </row>
        <row r="15">
          <cell r="A15" t="str">
            <v>TCS On Purchase 20-21</v>
          </cell>
          <cell r="E15">
            <v>-247438.8</v>
          </cell>
        </row>
        <row r="16">
          <cell r="A16" t="str">
            <v>TCS On Purchase 21-22</v>
          </cell>
          <cell r="E16">
            <v>-73088.73</v>
          </cell>
        </row>
        <row r="17">
          <cell r="A17" t="str">
            <v>TCS On Purchase 22-23</v>
          </cell>
          <cell r="E17">
            <v>94461.57</v>
          </cell>
        </row>
        <row r="18">
          <cell r="A18" t="str">
            <v>TCS On Purchase 23-24</v>
          </cell>
          <cell r="E18">
            <v>0</v>
          </cell>
        </row>
        <row r="19">
          <cell r="A19" t="str">
            <v>Tcs On Purchase 24-25</v>
          </cell>
          <cell r="E19">
            <v>0</v>
          </cell>
        </row>
        <row r="20">
          <cell r="A20" t="str">
            <v>Tcs On Purchase 25-26</v>
          </cell>
          <cell r="E20">
            <v>108707.47</v>
          </cell>
        </row>
        <row r="21">
          <cell r="A21" t="str">
            <v>Tcs On Purchase 26-27</v>
          </cell>
          <cell r="E21">
            <v>64546.85</v>
          </cell>
        </row>
        <row r="22">
          <cell r="A22" t="str">
            <v xml:space="preserve">    Tds &amp; Advance Income Tax</v>
          </cell>
          <cell r="E22">
            <v>23501895.02</v>
          </cell>
        </row>
        <row r="23">
          <cell r="A23" t="str">
            <v>MAT Credit Receivable</v>
          </cell>
          <cell r="E23">
            <v>12818387</v>
          </cell>
        </row>
        <row r="24">
          <cell r="A24" t="str">
            <v>TDS Receivable 2012-13</v>
          </cell>
          <cell r="E24">
            <v>2268356.35</v>
          </cell>
        </row>
        <row r="25">
          <cell r="A25" t="str">
            <v>TDS Receivable 2017-18</v>
          </cell>
          <cell r="E25">
            <v>10109661.539999999</v>
          </cell>
        </row>
        <row r="26">
          <cell r="A26" t="str">
            <v>TDS Receivable 2018-19</v>
          </cell>
          <cell r="E26">
            <v>-2038247.03</v>
          </cell>
        </row>
        <row r="27">
          <cell r="A27" t="str">
            <v>TDS Receivable 2019-20</v>
          </cell>
          <cell r="E27">
            <v>-2163844.91</v>
          </cell>
        </row>
        <row r="28">
          <cell r="A28" t="str">
            <v>TDS Receivable 2020-21</v>
          </cell>
          <cell r="E28">
            <v>-2965398.58</v>
          </cell>
        </row>
        <row r="29">
          <cell r="A29" t="str">
            <v>TDS Receivable 2021-22</v>
          </cell>
          <cell r="E29">
            <v>-3387169.94</v>
          </cell>
        </row>
        <row r="30">
          <cell r="A30" t="str">
            <v>TDS Receivable 2022-23</v>
          </cell>
          <cell r="E30">
            <v>5468963.75</v>
          </cell>
        </row>
        <row r="31">
          <cell r="A31" t="str">
            <v>TDS Receivable 2023-24</v>
          </cell>
          <cell r="E31">
            <v>-2430493.59</v>
          </cell>
        </row>
        <row r="32">
          <cell r="A32" t="str">
            <v>Tds Receivable 2024-25</v>
          </cell>
          <cell r="E32">
            <v>-2626456.0499999998</v>
          </cell>
        </row>
        <row r="33">
          <cell r="A33" t="str">
            <v>Tds Receivable 2025-26</v>
          </cell>
          <cell r="E33">
            <v>6213525.5599999996</v>
          </cell>
        </row>
        <row r="34">
          <cell r="A34" t="str">
            <v>Tds Receivable 2026-27</v>
          </cell>
          <cell r="E34">
            <v>2119527.86</v>
          </cell>
        </row>
        <row r="35">
          <cell r="A35" t="str">
            <v>TDS Recoverable</v>
          </cell>
          <cell r="E35">
            <v>115083.06</v>
          </cell>
        </row>
        <row r="36">
          <cell r="A36" t="str">
            <v xml:space="preserve">   Cash &amp; Bank Balances</v>
          </cell>
          <cell r="E36">
            <v>239837244.84</v>
          </cell>
        </row>
        <row r="37">
          <cell r="A37" t="str">
            <v>CC Thomas Cook Aman 6426 Forex</v>
          </cell>
          <cell r="E37">
            <v>28905.200000000001</v>
          </cell>
        </row>
        <row r="38">
          <cell r="A38" t="str">
            <v>CC Thomas Cook Anvi 3854 Forex</v>
          </cell>
          <cell r="E38">
            <v>30630</v>
          </cell>
        </row>
        <row r="39">
          <cell r="A39" t="str">
            <v xml:space="preserve">    Bank Current Accounts</v>
          </cell>
          <cell r="E39">
            <v>190496308.56999999</v>
          </cell>
        </row>
        <row r="40">
          <cell r="A40" t="str">
            <v>Bank CA BOB 25380200000233</v>
          </cell>
          <cell r="E40">
            <v>-1743227.07</v>
          </cell>
        </row>
        <row r="41">
          <cell r="A41" t="str">
            <v>Bank CA BOB 26160200000044</v>
          </cell>
          <cell r="E41">
            <v>10101333.82</v>
          </cell>
        </row>
        <row r="42">
          <cell r="A42" t="str">
            <v>Bank CA BOB 26160500000026</v>
          </cell>
          <cell r="E42">
            <v>486879004.42000002</v>
          </cell>
        </row>
        <row r="43">
          <cell r="A43" t="str">
            <v>Bank CA HDFC 60330005840</v>
          </cell>
          <cell r="E43">
            <v>0</v>
          </cell>
        </row>
        <row r="44">
          <cell r="A44" t="str">
            <v>Bank CA HDFC 60330005874</v>
          </cell>
          <cell r="E44">
            <v>230390</v>
          </cell>
        </row>
        <row r="45">
          <cell r="A45" t="str">
            <v>Bank CA SBI 31342060288</v>
          </cell>
          <cell r="E45">
            <v>10074746.800000001</v>
          </cell>
        </row>
        <row r="46">
          <cell r="A46" t="str">
            <v>Bank CA SBI 32649405107</v>
          </cell>
          <cell r="E46">
            <v>0</v>
          </cell>
        </row>
        <row r="47">
          <cell r="A47" t="str">
            <v xml:space="preserve">Bank CA SBI EEFC USD 40471492269 </v>
          </cell>
          <cell r="E47">
            <v>-94151788.150000006</v>
          </cell>
        </row>
        <row r="48">
          <cell r="A48" t="str">
            <v>Bank CA SCB 23305127882</v>
          </cell>
          <cell r="E48">
            <v>-221634204.43000001</v>
          </cell>
        </row>
        <row r="49">
          <cell r="A49" t="str">
            <v>Bank CA SCB 23305216958</v>
          </cell>
          <cell r="E49">
            <v>38908</v>
          </cell>
        </row>
        <row r="50">
          <cell r="A50" t="str">
            <v>Bank CA SCB 23391238420</v>
          </cell>
          <cell r="E50">
            <v>701145.18</v>
          </cell>
        </row>
        <row r="51">
          <cell r="A51" t="str">
            <v>Bank EEFC SCB 23305153697</v>
          </cell>
          <cell r="E51">
            <v>0</v>
          </cell>
        </row>
        <row r="52">
          <cell r="A52" t="str">
            <v>Bank ESCROW SBI 36996709856</v>
          </cell>
          <cell r="E52">
            <v>0</v>
          </cell>
        </row>
        <row r="53">
          <cell r="A53" t="str">
            <v xml:space="preserve">    Cash Balances</v>
          </cell>
          <cell r="E53">
            <v>1038242.07</v>
          </cell>
        </row>
        <row r="54">
          <cell r="A54" t="str">
            <v>Cash in Hand-Factory</v>
          </cell>
          <cell r="E54">
            <v>207741.76</v>
          </cell>
        </row>
        <row r="55">
          <cell r="A55" t="str">
            <v>Cash in Hand-HO</v>
          </cell>
          <cell r="E55">
            <v>144512</v>
          </cell>
        </row>
        <row r="56">
          <cell r="A56" t="str">
            <v>Cash on Hand - Foreign Currency</v>
          </cell>
          <cell r="E56">
            <v>35450.550000000003</v>
          </cell>
        </row>
        <row r="57">
          <cell r="A57" t="str">
            <v>CC Thomas Cook Pritesh Parekh 4609 Forex</v>
          </cell>
          <cell r="E57">
            <v>650537.76</v>
          </cell>
        </row>
        <row r="58">
          <cell r="A58" t="str">
            <v xml:space="preserve">    Fixed Deposits</v>
          </cell>
          <cell r="E58">
            <v>48243159</v>
          </cell>
        </row>
        <row r="59">
          <cell r="A59" t="str">
            <v>Bank FDR BOB 03240300032879</v>
          </cell>
          <cell r="E59">
            <v>6926298</v>
          </cell>
        </row>
        <row r="60">
          <cell r="A60" t="str">
            <v>Bank FDR BOB 03240300037151</v>
          </cell>
          <cell r="E60">
            <v>2818283</v>
          </cell>
        </row>
        <row r="61">
          <cell r="A61" t="str">
            <v>Bank FDR BOB 25380300003960</v>
          </cell>
          <cell r="E61">
            <v>463324</v>
          </cell>
        </row>
        <row r="62">
          <cell r="A62" t="str">
            <v>Bank FDR Bob 3003263906</v>
          </cell>
          <cell r="E62">
            <v>0</v>
          </cell>
        </row>
        <row r="63">
          <cell r="A63" t="str">
            <v>Bank FDR BOB 73280300000509</v>
          </cell>
          <cell r="E63">
            <v>948613</v>
          </cell>
        </row>
        <row r="64">
          <cell r="A64" t="str">
            <v>Bank FDR BOB 73280300000618</v>
          </cell>
          <cell r="E64">
            <v>1256424</v>
          </cell>
        </row>
        <row r="65">
          <cell r="A65" t="str">
            <v>Bank Fdr Indian Bank 0965285</v>
          </cell>
          <cell r="E65">
            <v>3200000</v>
          </cell>
        </row>
        <row r="66">
          <cell r="A66" t="str">
            <v>Bank Fdr Indian Bank 0965286</v>
          </cell>
          <cell r="E66">
            <v>3200000</v>
          </cell>
        </row>
        <row r="67">
          <cell r="A67" t="str">
            <v>Bank FDR SBI 40514841895</v>
          </cell>
          <cell r="E67">
            <v>547855</v>
          </cell>
        </row>
        <row r="68">
          <cell r="A68" t="str">
            <v>Bank FDR SBI 41644356744</v>
          </cell>
          <cell r="E68">
            <v>1592285</v>
          </cell>
        </row>
        <row r="69">
          <cell r="A69" t="str">
            <v>Bank FDR SBI 41644425993</v>
          </cell>
          <cell r="E69">
            <v>960335</v>
          </cell>
        </row>
        <row r="70">
          <cell r="A70" t="str">
            <v>Bank FDR SBI 42199704020</v>
          </cell>
          <cell r="E70">
            <v>1912884</v>
          </cell>
        </row>
        <row r="71">
          <cell r="A71" t="str">
            <v>Bank FDR SBI 42660242561</v>
          </cell>
          <cell r="E71">
            <v>531361</v>
          </cell>
        </row>
        <row r="72">
          <cell r="A72" t="str">
            <v>Bank FDR SBI 42994387131</v>
          </cell>
          <cell r="E72">
            <v>3080143</v>
          </cell>
        </row>
        <row r="73">
          <cell r="A73" t="str">
            <v>Bank FDR SBI 67272203912</v>
          </cell>
          <cell r="E73">
            <v>767967</v>
          </cell>
        </row>
        <row r="74">
          <cell r="A74" t="str">
            <v>Bank FDR SCB 22232854552</v>
          </cell>
          <cell r="E74">
            <v>0</v>
          </cell>
        </row>
        <row r="75">
          <cell r="A75" t="str">
            <v>Bank FDR SCB 22232914555</v>
          </cell>
          <cell r="E75">
            <v>0</v>
          </cell>
        </row>
        <row r="76">
          <cell r="A76" t="str">
            <v>Bank FDR SCB 22239079724</v>
          </cell>
          <cell r="E76">
            <v>0</v>
          </cell>
        </row>
        <row r="77">
          <cell r="A77" t="str">
            <v>Bank FDR SIDBI GDMFD02500</v>
          </cell>
          <cell r="E77">
            <v>20037387</v>
          </cell>
        </row>
        <row r="78">
          <cell r="A78" t="str">
            <v xml:space="preserve">   Inventories</v>
          </cell>
          <cell r="E78">
            <v>682740878.25999999</v>
          </cell>
        </row>
        <row r="79">
          <cell r="A79" t="str">
            <v>RODTEP SCRIPT</v>
          </cell>
          <cell r="E79">
            <v>37291</v>
          </cell>
        </row>
        <row r="80">
          <cell r="A80" t="str">
            <v xml:space="preserve">    Inventory- Consumables</v>
          </cell>
          <cell r="E80">
            <v>0</v>
          </cell>
        </row>
        <row r="81">
          <cell r="A81" t="str">
            <v>Stock In Hand- Temp Ledger</v>
          </cell>
          <cell r="E81">
            <v>0</v>
          </cell>
        </row>
        <row r="82">
          <cell r="A82" t="str">
            <v xml:space="preserve">    Inventory- Fg</v>
          </cell>
          <cell r="E82">
            <v>479885434.07999998</v>
          </cell>
        </row>
        <row r="83">
          <cell r="A83" t="str">
            <v>Inventory- Fg</v>
          </cell>
          <cell r="E83">
            <v>479885434.07999998</v>
          </cell>
        </row>
        <row r="84">
          <cell r="A84" t="str">
            <v xml:space="preserve">    Inventory- Packing Material</v>
          </cell>
          <cell r="E84">
            <v>1478843.06</v>
          </cell>
        </row>
        <row r="85">
          <cell r="A85" t="str">
            <v>Inventory- Packing Material</v>
          </cell>
          <cell r="E85">
            <v>1478843.06</v>
          </cell>
        </row>
        <row r="86">
          <cell r="A86" t="str">
            <v xml:space="preserve">    Inventory- Rm</v>
          </cell>
          <cell r="E86">
            <v>92207072.829999998</v>
          </cell>
        </row>
        <row r="87">
          <cell r="A87" t="str">
            <v>Inventory- Raw Material</v>
          </cell>
          <cell r="E87">
            <v>92207072.829999998</v>
          </cell>
        </row>
        <row r="88">
          <cell r="A88" t="str">
            <v xml:space="preserve">    Inventory- Stores &amp; Spares</v>
          </cell>
          <cell r="E88">
            <v>24942354.859999999</v>
          </cell>
        </row>
        <row r="89">
          <cell r="A89" t="str">
            <v>Inventory- Stores &amp; Spares</v>
          </cell>
          <cell r="E89">
            <v>24942354.859999999</v>
          </cell>
        </row>
        <row r="90">
          <cell r="A90" t="str">
            <v xml:space="preserve">    Inventory- Wip</v>
          </cell>
          <cell r="E90">
            <v>84189882.430000007</v>
          </cell>
        </row>
        <row r="91">
          <cell r="A91" t="str">
            <v>Inventory- Wip</v>
          </cell>
          <cell r="E91">
            <v>84189882.430000007</v>
          </cell>
        </row>
        <row r="92">
          <cell r="A92" t="str">
            <v xml:space="preserve">   Investments</v>
          </cell>
          <cell r="E92">
            <v>24694733</v>
          </cell>
        </row>
        <row r="93">
          <cell r="A93" t="str">
            <v xml:space="preserve">    Investment in Quoted Shares</v>
          </cell>
          <cell r="E93">
            <v>5000000</v>
          </cell>
        </row>
        <row r="94">
          <cell r="A94" t="str">
            <v>Investment In Shares Of Gopala Polyplast Limited</v>
          </cell>
          <cell r="E94">
            <v>5000000</v>
          </cell>
        </row>
        <row r="95">
          <cell r="A95" t="str">
            <v xml:space="preserve">    Investment in Unquoted Shares</v>
          </cell>
          <cell r="E95">
            <v>19694733</v>
          </cell>
        </row>
        <row r="96">
          <cell r="A96" t="str">
            <v>Investment in Ordinary Shares Class A</v>
          </cell>
          <cell r="E96">
            <v>-1000000</v>
          </cell>
        </row>
        <row r="97">
          <cell r="A97" t="str">
            <v>Investment in Shares of Oliva Garden SA</v>
          </cell>
          <cell r="E97">
            <v>34160</v>
          </cell>
        </row>
        <row r="98">
          <cell r="A98" t="str">
            <v>Investment In Shares Of OPGS Power Guj Pvt Limited</v>
          </cell>
          <cell r="E98">
            <v>37905</v>
          </cell>
        </row>
        <row r="99">
          <cell r="A99" t="str">
            <v>Investment In Shares Of Oswal Extrusion Limited</v>
          </cell>
          <cell r="E99">
            <v>20622668</v>
          </cell>
        </row>
        <row r="100">
          <cell r="A100" t="str">
            <v xml:space="preserve">   Loans &amp; Advances</v>
          </cell>
          <cell r="E100">
            <v>660805220.08000004</v>
          </cell>
        </row>
        <row r="101">
          <cell r="A101" t="str">
            <v>Nilesh Vijaysinh Chavda</v>
          </cell>
          <cell r="E101">
            <v>711000</v>
          </cell>
        </row>
        <row r="102">
          <cell r="A102" t="str">
            <v>Oswal Overseas - ICD</v>
          </cell>
          <cell r="E102">
            <v>14744383</v>
          </cell>
        </row>
        <row r="103">
          <cell r="A103" t="str">
            <v>Pratyaksh Reality Llp</v>
          </cell>
          <cell r="E103">
            <v>646000</v>
          </cell>
        </row>
        <row r="104">
          <cell r="A104" t="str">
            <v>Shyam Arora</v>
          </cell>
          <cell r="E104">
            <v>735000</v>
          </cell>
        </row>
        <row r="105">
          <cell r="A105" t="str">
            <v>Sohan Singh</v>
          </cell>
          <cell r="E105">
            <v>600000</v>
          </cell>
        </row>
        <row r="106">
          <cell r="A106" t="str">
            <v>Sunny Chauhan</v>
          </cell>
          <cell r="E106">
            <v>884500</v>
          </cell>
        </row>
        <row r="107">
          <cell r="A107" t="str">
            <v xml:space="preserve">    Accrued Incomes</v>
          </cell>
          <cell r="E107">
            <v>1349627</v>
          </cell>
        </row>
        <row r="108">
          <cell r="A108" t="str">
            <v>Accrued Interest -FDR</v>
          </cell>
          <cell r="E108">
            <v>1242327</v>
          </cell>
        </row>
        <row r="109">
          <cell r="A109" t="str">
            <v>Plastene Realty LLP</v>
          </cell>
          <cell r="E109">
            <v>107300</v>
          </cell>
        </row>
        <row r="110">
          <cell r="A110" t="str">
            <v xml:space="preserve">    Balance With Govt Autorities</v>
          </cell>
          <cell r="E110">
            <v>1824022.88</v>
          </cell>
        </row>
        <row r="111">
          <cell r="A111" t="str">
            <v>GST Appeal A/C</v>
          </cell>
          <cell r="E111">
            <v>1098244</v>
          </cell>
        </row>
        <row r="112">
          <cell r="A112" t="str">
            <v>Licenses MEIS (Stock)</v>
          </cell>
          <cell r="E112">
            <v>0</v>
          </cell>
        </row>
        <row r="113">
          <cell r="A113" t="str">
            <v>Security Deposit - Cost of High Court For Royal Sundaram</v>
          </cell>
          <cell r="E113">
            <v>82</v>
          </cell>
        </row>
        <row r="114">
          <cell r="A114" t="str">
            <v>Unclaimed CGST</v>
          </cell>
          <cell r="E114">
            <v>332332.7</v>
          </cell>
        </row>
        <row r="115">
          <cell r="A115" t="str">
            <v>Unclaimed IGST</v>
          </cell>
          <cell r="E115">
            <v>61031.360000000001</v>
          </cell>
        </row>
        <row r="116">
          <cell r="A116" t="str">
            <v>Unclaimed SGST</v>
          </cell>
          <cell r="E116">
            <v>332332.82</v>
          </cell>
        </row>
        <row r="117">
          <cell r="A117" t="str">
            <v xml:space="preserve">    Claims Receivables</v>
          </cell>
          <cell r="E117">
            <v>424136739.97000003</v>
          </cell>
        </row>
        <row r="118">
          <cell r="A118" t="str">
            <v>Insurance Claim Receivable</v>
          </cell>
          <cell r="E118">
            <v>424136739.97000003</v>
          </cell>
        </row>
        <row r="119">
          <cell r="A119" t="str">
            <v xml:space="preserve">    GST Input Credits</v>
          </cell>
          <cell r="E119">
            <v>80296983.370000005</v>
          </cell>
        </row>
        <row r="120">
          <cell r="A120" t="str">
            <v>CGST Input</v>
          </cell>
          <cell r="E120">
            <v>33100752.059999999</v>
          </cell>
        </row>
        <row r="121">
          <cell r="A121" t="str">
            <v>GST Credit-Non Eligible</v>
          </cell>
          <cell r="E121">
            <v>0</v>
          </cell>
        </row>
        <row r="122">
          <cell r="A122" t="str">
            <v>GST under Protest</v>
          </cell>
          <cell r="E122">
            <v>5400904</v>
          </cell>
        </row>
        <row r="123">
          <cell r="A123" t="str">
            <v>IGST Input</v>
          </cell>
          <cell r="E123">
            <v>8694575.25</v>
          </cell>
        </row>
        <row r="124">
          <cell r="A124" t="str">
            <v>SGST Input</v>
          </cell>
          <cell r="E124">
            <v>33100752.059999999</v>
          </cell>
        </row>
        <row r="125">
          <cell r="A125" t="str">
            <v xml:space="preserve">    GST Refund</v>
          </cell>
          <cell r="E125">
            <v>5941252.4900000002</v>
          </cell>
        </row>
        <row r="126">
          <cell r="A126" t="str">
            <v>GST Electronic Cash Ledger</v>
          </cell>
          <cell r="E126">
            <v>309252</v>
          </cell>
        </row>
        <row r="127">
          <cell r="A127" t="str">
            <v>GST Receivable</v>
          </cell>
          <cell r="E127">
            <v>10221319.17</v>
          </cell>
        </row>
        <row r="128">
          <cell r="A128" t="str">
            <v>GST Refund Receivable</v>
          </cell>
          <cell r="E128">
            <v>134017</v>
          </cell>
        </row>
        <row r="129">
          <cell r="A129" t="str">
            <v>GST TDS Receivable</v>
          </cell>
          <cell r="E129">
            <v>680.26</v>
          </cell>
        </row>
        <row r="130">
          <cell r="A130" t="str">
            <v>IGST Refund Receivable Under Rebate</v>
          </cell>
          <cell r="E130">
            <v>16520596.789999999</v>
          </cell>
        </row>
        <row r="131">
          <cell r="A131" t="str">
            <v>Plastene India Ltd - Ho-For Gst Balance Only</v>
          </cell>
          <cell r="E131">
            <v>631196554.61000001</v>
          </cell>
        </row>
        <row r="132">
          <cell r="A132" t="str">
            <v>Plastene India Ltd - Unit 1-For Gst Balance Only</v>
          </cell>
          <cell r="E132">
            <v>-614054034.75999999</v>
          </cell>
        </row>
        <row r="133">
          <cell r="A133" t="str">
            <v>Plastene India Ltd - Unit 2-For Gst Balance Only</v>
          </cell>
          <cell r="E133">
            <v>-17142516.27</v>
          </cell>
        </row>
        <row r="134">
          <cell r="A134" t="str">
            <v>Plastene India Ltd - Unit 3-For Gst Balance Only</v>
          </cell>
          <cell r="E134">
            <v>42032129.049999997</v>
          </cell>
        </row>
        <row r="135">
          <cell r="A135" t="str">
            <v>Plastene India Ltd - Unit 4-For Gst Balance Only</v>
          </cell>
          <cell r="E135">
            <v>-2684873.15</v>
          </cell>
        </row>
        <row r="136">
          <cell r="A136" t="str">
            <v>Plastene India Ltd - Unit 5-For Gst Balance Only</v>
          </cell>
          <cell r="E136">
            <v>15683.19</v>
          </cell>
        </row>
        <row r="137">
          <cell r="A137" t="str">
            <v>Plastene India Ltd - Unit 6-For Gst Balance Only</v>
          </cell>
          <cell r="E137">
            <v>-59059263.939999998</v>
          </cell>
        </row>
        <row r="138">
          <cell r="A138" t="str">
            <v>Plastene India Ltd - Unit 8-For Gst Balance Only</v>
          </cell>
          <cell r="E138">
            <v>-1548291.46</v>
          </cell>
        </row>
        <row r="139">
          <cell r="A139" t="str">
            <v xml:space="preserve">    Incentives Receivable</v>
          </cell>
          <cell r="E139">
            <v>75693559.180000007</v>
          </cell>
        </row>
        <row r="140">
          <cell r="A140" t="str">
            <v>Duty Drawback Receivable</v>
          </cell>
          <cell r="E140">
            <v>-1109</v>
          </cell>
        </row>
        <row r="141">
          <cell r="A141" t="str">
            <v>Export Advance Licence Benifit Accured</v>
          </cell>
          <cell r="E141">
            <v>86941777.180000007</v>
          </cell>
        </row>
        <row r="142">
          <cell r="A142" t="str">
            <v>Licenses DFIA (Stock)</v>
          </cell>
          <cell r="E142">
            <v>0</v>
          </cell>
        </row>
        <row r="143">
          <cell r="A143" t="str">
            <v>MEIS Receivable</v>
          </cell>
          <cell r="E143">
            <v>-11247109</v>
          </cell>
        </row>
        <row r="144">
          <cell r="A144" t="str">
            <v xml:space="preserve">    Other Advances</v>
          </cell>
          <cell r="E144">
            <v>18703729</v>
          </cell>
        </row>
        <row r="145">
          <cell r="A145" t="str">
            <v>Ganpatraj Chandanmal Salecha</v>
          </cell>
          <cell r="E145">
            <v>3037413</v>
          </cell>
        </row>
        <row r="146">
          <cell r="A146" t="str">
            <v>Oswal Lumbers Pvt Ltd (ICD)</v>
          </cell>
          <cell r="E146">
            <v>40000000</v>
          </cell>
        </row>
        <row r="147">
          <cell r="A147" t="str">
            <v>Plastene Flexibles Ltd</v>
          </cell>
          <cell r="E147">
            <v>-24333684</v>
          </cell>
        </row>
        <row r="148">
          <cell r="A148" t="str">
            <v>Provident Fund On Behalf Of Contractors</v>
          </cell>
          <cell r="E148">
            <v>0</v>
          </cell>
        </row>
        <row r="149">
          <cell r="A149" t="str">
            <v xml:space="preserve">    Prepaid Expenses</v>
          </cell>
          <cell r="E149">
            <v>6000568.75</v>
          </cell>
        </row>
        <row r="150">
          <cell r="A150" t="str">
            <v>Prepaid Expenses</v>
          </cell>
          <cell r="E150">
            <v>2887.58</v>
          </cell>
        </row>
        <row r="151">
          <cell r="A151" t="str">
            <v>Prepaid Insurance</v>
          </cell>
          <cell r="E151">
            <v>5997681.1699999999</v>
          </cell>
        </row>
        <row r="152">
          <cell r="A152" t="str">
            <v xml:space="preserve">    RCM input  Credit</v>
          </cell>
          <cell r="E152">
            <v>0</v>
          </cell>
        </row>
        <row r="153">
          <cell r="A153" t="str">
            <v>RCM - CGST Credit</v>
          </cell>
          <cell r="E153">
            <v>0</v>
          </cell>
        </row>
        <row r="154">
          <cell r="A154" t="str">
            <v>RCM - IGST Credit</v>
          </cell>
          <cell r="E154">
            <v>400</v>
          </cell>
        </row>
        <row r="155">
          <cell r="A155" t="str">
            <v>RCM - SGST Credit</v>
          </cell>
          <cell r="E155">
            <v>-400</v>
          </cell>
        </row>
        <row r="156">
          <cell r="A156" t="str">
            <v xml:space="preserve">    Security &amp; Deposits</v>
          </cell>
          <cell r="E156">
            <v>22266004.440000001</v>
          </cell>
        </row>
        <row r="157">
          <cell r="A157" t="str">
            <v>Bhopal Fund Deposit A/c</v>
          </cell>
          <cell r="E157">
            <v>112000</v>
          </cell>
        </row>
        <row r="158">
          <cell r="A158" t="str">
            <v>Deposit - Legal Suit</v>
          </cell>
          <cell r="E158">
            <v>861066</v>
          </cell>
        </row>
        <row r="159">
          <cell r="A159" t="str">
            <v>House Rent Deposit</v>
          </cell>
          <cell r="E159">
            <v>154485</v>
          </cell>
        </row>
        <row r="160">
          <cell r="A160" t="str">
            <v>Legal Expenses Deposit</v>
          </cell>
          <cell r="E160">
            <v>10000</v>
          </cell>
        </row>
        <row r="161">
          <cell r="A161" t="str">
            <v>Mahendra Haribhai Dantani - Colony Deposit</v>
          </cell>
          <cell r="E161">
            <v>100980</v>
          </cell>
        </row>
        <row r="162">
          <cell r="A162" t="str">
            <v>Plastene Infrastructure Ltd</v>
          </cell>
          <cell r="E162">
            <v>8465833.4399999995</v>
          </cell>
        </row>
        <row r="163">
          <cell r="A163" t="str">
            <v>Rent Deposit - Rajani M.Hinduja</v>
          </cell>
          <cell r="E163">
            <v>20000</v>
          </cell>
        </row>
        <row r="164">
          <cell r="A164" t="str">
            <v>Secuirty Deposit - Reliance Communication</v>
          </cell>
          <cell r="E164">
            <v>11000</v>
          </cell>
        </row>
        <row r="165">
          <cell r="A165" t="str">
            <v>Security &amp; Deposits Paid</v>
          </cell>
          <cell r="E165">
            <v>66000</v>
          </cell>
        </row>
        <row r="166">
          <cell r="A166" t="str">
            <v>Security Deposit - Bsnl Broadband</v>
          </cell>
          <cell r="E166">
            <v>8000</v>
          </cell>
        </row>
        <row r="167">
          <cell r="A167" t="str">
            <v>Security Deposit - Electricity</v>
          </cell>
          <cell r="E167">
            <v>53600</v>
          </cell>
        </row>
        <row r="168">
          <cell r="A168" t="str">
            <v>Security Deposit - Excle Markeing Gas</v>
          </cell>
          <cell r="E168">
            <v>15500</v>
          </cell>
        </row>
        <row r="169">
          <cell r="A169" t="str">
            <v>Security Deposit - G.W.S.S.B.</v>
          </cell>
          <cell r="E169">
            <v>1723536</v>
          </cell>
        </row>
        <row r="170">
          <cell r="A170" t="str">
            <v>Security Deposit - Gas</v>
          </cell>
          <cell r="E170">
            <v>7200</v>
          </cell>
        </row>
        <row r="171">
          <cell r="A171" t="str">
            <v>Security Deposit - Industrial Gases &amp; Welding Equip</v>
          </cell>
          <cell r="E171">
            <v>4000</v>
          </cell>
        </row>
        <row r="172">
          <cell r="A172" t="str">
            <v>Security Deposit - Lsure Services</v>
          </cell>
          <cell r="E172">
            <v>6529240</v>
          </cell>
        </row>
        <row r="173">
          <cell r="A173" t="str">
            <v>Security Deposit - PGVCL</v>
          </cell>
          <cell r="E173">
            <v>3887629</v>
          </cell>
        </row>
        <row r="174">
          <cell r="A174" t="str">
            <v>Security Deposit - Pitmans Gas &amp; Appliances</v>
          </cell>
          <cell r="E174">
            <v>7772</v>
          </cell>
        </row>
        <row r="175">
          <cell r="A175" t="str">
            <v>Security Deposit - Tata Indicomm Broadband</v>
          </cell>
          <cell r="E175">
            <v>1000</v>
          </cell>
        </row>
        <row r="176">
          <cell r="A176" t="str">
            <v>Security Deposit - Telephone</v>
          </cell>
          <cell r="E176">
            <v>11184</v>
          </cell>
        </row>
        <row r="177">
          <cell r="A177" t="str">
            <v>Security Deposit - UGVCL</v>
          </cell>
          <cell r="E177">
            <v>-304954</v>
          </cell>
        </row>
        <row r="178">
          <cell r="A178" t="str">
            <v>Security Deposit -Indian Farmers Fertiliser Co Ltd.</v>
          </cell>
          <cell r="E178">
            <v>50000</v>
          </cell>
        </row>
        <row r="179">
          <cell r="A179" t="str">
            <v>Security deposit- Electricity- Maljibhai S Rabari</v>
          </cell>
          <cell r="E179">
            <v>17933</v>
          </cell>
        </row>
        <row r="180">
          <cell r="A180" t="str">
            <v>Security deposit- House Rent- Maljibhai S Rabari</v>
          </cell>
          <cell r="E180">
            <v>104000</v>
          </cell>
        </row>
        <row r="181">
          <cell r="A181" t="str">
            <v>Security deposit- House Rent-Desai Jitendrakumar Ganesh</v>
          </cell>
          <cell r="E181">
            <v>30000</v>
          </cell>
        </row>
        <row r="182">
          <cell r="A182" t="str">
            <v>Security deposit- Rent</v>
          </cell>
          <cell r="E182">
            <v>319000</v>
          </cell>
        </row>
        <row r="183">
          <cell r="A183" t="str">
            <v xml:space="preserve">    Staff Advances</v>
          </cell>
          <cell r="E183">
            <v>6271850</v>
          </cell>
        </row>
        <row r="184">
          <cell r="A184" t="str">
            <v>Advance for Travel &amp; Others</v>
          </cell>
          <cell r="E184">
            <v>3875</v>
          </cell>
        </row>
        <row r="185">
          <cell r="A185" t="str">
            <v>Advance Salary Paid</v>
          </cell>
          <cell r="E185">
            <v>2590558</v>
          </cell>
        </row>
        <row r="186">
          <cell r="A186" t="str">
            <v>Aman Parekh-Travel Advance</v>
          </cell>
          <cell r="E186">
            <v>0</v>
          </cell>
        </row>
        <row r="187">
          <cell r="A187" t="str">
            <v>Bineet Kumar Mishra -Impress  A/C</v>
          </cell>
          <cell r="E187">
            <v>4000</v>
          </cell>
        </row>
        <row r="188">
          <cell r="A188" t="str">
            <v>Biswanath Sarkar - Traveling Advance</v>
          </cell>
          <cell r="E188">
            <v>4604</v>
          </cell>
        </row>
        <row r="189">
          <cell r="A189" t="str">
            <v>Harchanda Ram Imprest A/c</v>
          </cell>
          <cell r="E189">
            <v>32425</v>
          </cell>
        </row>
        <row r="190">
          <cell r="A190" t="str">
            <v xml:space="preserve">Niraj Kumar Sinha Imprest A/C </v>
          </cell>
          <cell r="E190">
            <v>-50000</v>
          </cell>
        </row>
        <row r="191">
          <cell r="A191" t="str">
            <v>Rasidul Mandal (Advance)</v>
          </cell>
          <cell r="E191">
            <v>15000</v>
          </cell>
        </row>
        <row r="192">
          <cell r="A192" t="str">
            <v>Staff Advances</v>
          </cell>
          <cell r="E192">
            <v>436000</v>
          </cell>
        </row>
        <row r="193">
          <cell r="A193" t="str">
            <v>Staff Loan</v>
          </cell>
          <cell r="E193">
            <v>3229151</v>
          </cell>
        </row>
        <row r="194">
          <cell r="A194" t="str">
            <v>Travelling Advance - Anil Goyal</v>
          </cell>
          <cell r="E194">
            <v>3237</v>
          </cell>
        </row>
        <row r="195">
          <cell r="A195" t="str">
            <v>Travelling Advance - Anil Mistry</v>
          </cell>
          <cell r="E195">
            <v>0</v>
          </cell>
        </row>
        <row r="196">
          <cell r="A196" t="str">
            <v>Travelling Advance - Nihar Parikh</v>
          </cell>
          <cell r="E196">
            <v>0</v>
          </cell>
        </row>
        <row r="197">
          <cell r="A197" t="str">
            <v>Travelling Advance - Staff</v>
          </cell>
          <cell r="E197">
            <v>3000</v>
          </cell>
        </row>
        <row r="198">
          <cell r="A198" t="str">
            <v xml:space="preserve">    Vat Receivables</v>
          </cell>
          <cell r="E198">
            <v>0</v>
          </cell>
        </row>
        <row r="199">
          <cell r="A199" t="str">
            <v>Vat Receivable 2008-09 Appeal</v>
          </cell>
          <cell r="E199">
            <v>0</v>
          </cell>
        </row>
        <row r="200">
          <cell r="A200" t="str">
            <v xml:space="preserve">   Sundry Debtors</v>
          </cell>
          <cell r="E200">
            <v>3433950830.6900001</v>
          </cell>
        </row>
        <row r="201">
          <cell r="A201" t="str">
            <v xml:space="preserve">    Debtors-Domestic</v>
          </cell>
          <cell r="E201">
            <v>2263172164.2800002</v>
          </cell>
        </row>
        <row r="202">
          <cell r="A202" t="str">
            <v>20 Microns Limited</v>
          </cell>
          <cell r="E202">
            <v>0</v>
          </cell>
        </row>
        <row r="203">
          <cell r="A203" t="str">
            <v>20 Microns Limited - Nagor GIDC</v>
          </cell>
          <cell r="E203">
            <v>0</v>
          </cell>
        </row>
        <row r="204">
          <cell r="A204" t="str">
            <v>Aareha Elastin Fibc Private Limited - Sales</v>
          </cell>
          <cell r="E204">
            <v>0</v>
          </cell>
        </row>
        <row r="205">
          <cell r="A205" t="str">
            <v>Aayush Plastic</v>
          </cell>
          <cell r="E205">
            <v>0.49</v>
          </cell>
        </row>
        <row r="206">
          <cell r="A206" t="str">
            <v>Acuver Engineering India Pvt.Ltd.</v>
          </cell>
          <cell r="E206">
            <v>440040.72</v>
          </cell>
        </row>
        <row r="207">
          <cell r="A207" t="str">
            <v>Adinath Salt Llp</v>
          </cell>
          <cell r="E207">
            <v>40000</v>
          </cell>
        </row>
        <row r="208">
          <cell r="A208" t="str">
            <v>Ahlstrom Fibercomposites India Pvt Ltd</v>
          </cell>
          <cell r="E208">
            <v>4070</v>
          </cell>
        </row>
        <row r="209">
          <cell r="A209" t="str">
            <v>Akshara Graphics</v>
          </cell>
          <cell r="E209">
            <v>184593.3</v>
          </cell>
        </row>
        <row r="210">
          <cell r="A210" t="str">
            <v>Almatis  Alumina Private Limited</v>
          </cell>
          <cell r="E210">
            <v>1731786.45</v>
          </cell>
        </row>
        <row r="211">
          <cell r="A211" t="str">
            <v>Alpine Fibc Pvt Ltd - Sales</v>
          </cell>
          <cell r="E211">
            <v>0</v>
          </cell>
        </row>
        <row r="212">
          <cell r="A212" t="str">
            <v>Ambica Sales</v>
          </cell>
          <cell r="E212">
            <v>0</v>
          </cell>
        </row>
        <row r="213">
          <cell r="A213" t="str">
            <v>Ambika Petrochem Private Limited - Mundra</v>
          </cell>
          <cell r="E213">
            <v>-3777180</v>
          </cell>
        </row>
        <row r="214">
          <cell r="A214" t="str">
            <v>Ankur Chemfood Ltd - Sales</v>
          </cell>
          <cell r="E214">
            <v>2767642.98</v>
          </cell>
        </row>
        <row r="215">
          <cell r="A215" t="str">
            <v>APB Industries Private Limited</v>
          </cell>
          <cell r="E215">
            <v>0</v>
          </cell>
        </row>
        <row r="216">
          <cell r="A216" t="str">
            <v>Appl Industries Limited, Gurugram</v>
          </cell>
          <cell r="E216">
            <v>2544450</v>
          </cell>
        </row>
        <row r="217">
          <cell r="A217" t="str">
            <v>Arysta Lifescience India Ltd</v>
          </cell>
          <cell r="E217">
            <v>0</v>
          </cell>
        </row>
        <row r="218">
          <cell r="A218" t="str">
            <v>Asahi Songwon Colors Ltd.- Sales</v>
          </cell>
          <cell r="E218">
            <v>0</v>
          </cell>
        </row>
        <row r="219">
          <cell r="A219" t="str">
            <v>Ashapura International Limited</v>
          </cell>
          <cell r="E219">
            <v>0</v>
          </cell>
        </row>
        <row r="220">
          <cell r="A220" t="str">
            <v>Asia Bulk Sack Pvt Ltd - Sales</v>
          </cell>
          <cell r="E220">
            <v>206500</v>
          </cell>
        </row>
        <row r="221">
          <cell r="A221" t="str">
            <v>Asva Corporation</v>
          </cell>
          <cell r="E221">
            <v>0</v>
          </cell>
        </row>
        <row r="222">
          <cell r="A222" t="str">
            <v>Atlantis Products Pvt Ltd</v>
          </cell>
          <cell r="E222">
            <v>0</v>
          </cell>
        </row>
        <row r="223">
          <cell r="A223" t="str">
            <v>Atlantis Products Pvt Ltd - Aslali</v>
          </cell>
          <cell r="E223">
            <v>0</v>
          </cell>
        </row>
        <row r="224">
          <cell r="A224" t="str">
            <v>Auroma Geotex Pvt Ltd - Sales</v>
          </cell>
          <cell r="E224">
            <v>0</v>
          </cell>
        </row>
        <row r="225">
          <cell r="A225" t="str">
            <v>Bajrang Traders</v>
          </cell>
          <cell r="E225">
            <v>0</v>
          </cell>
        </row>
        <row r="226">
          <cell r="A226" t="str">
            <v>Bhudeva Polymers Private Ltd- Customer</v>
          </cell>
          <cell r="E226">
            <v>15739078</v>
          </cell>
        </row>
        <row r="227">
          <cell r="A227" t="str">
            <v>Bulkliner Logistics Pvt Ltd-Kerala</v>
          </cell>
          <cell r="E227">
            <v>0</v>
          </cell>
        </row>
        <row r="228">
          <cell r="A228" t="str">
            <v>Century Fibc</v>
          </cell>
          <cell r="E228">
            <v>-205133.69</v>
          </cell>
        </row>
        <row r="229">
          <cell r="A229" t="str">
            <v xml:space="preserve">Chandresh Marketing Private Limited </v>
          </cell>
          <cell r="E229">
            <v>0</v>
          </cell>
        </row>
        <row r="230">
          <cell r="A230" t="str">
            <v>Coromandel International Ltd (Dahej)</v>
          </cell>
          <cell r="E230">
            <v>-3541.95</v>
          </cell>
        </row>
        <row r="231">
          <cell r="A231" t="str">
            <v>Coromandel International Ltd-Ankleshwar</v>
          </cell>
          <cell r="E231">
            <v>397912.5</v>
          </cell>
        </row>
        <row r="232">
          <cell r="A232" t="str">
            <v>Coromandel International Ltd-Sarigam</v>
          </cell>
          <cell r="E232">
            <v>2037906.25</v>
          </cell>
        </row>
        <row r="233">
          <cell r="A233" t="str">
            <v>Deepak Overseas</v>
          </cell>
          <cell r="E233">
            <v>1322275.68</v>
          </cell>
        </row>
        <row r="234">
          <cell r="A234" t="str">
            <v>Dev Enterprise</v>
          </cell>
          <cell r="E234">
            <v>0</v>
          </cell>
        </row>
        <row r="235">
          <cell r="A235" t="str">
            <v>Dev Polyplast</v>
          </cell>
          <cell r="E235">
            <v>7080</v>
          </cell>
        </row>
        <row r="236">
          <cell r="A236" t="str">
            <v>Everplus Plastics Pvt Ltd.- Sales</v>
          </cell>
          <cell r="E236">
            <v>0</v>
          </cell>
        </row>
        <row r="237">
          <cell r="A237" t="str">
            <v>Fairdeal Jumbo Packaging Pvt Ltd - Sales</v>
          </cell>
          <cell r="E237">
            <v>0</v>
          </cell>
        </row>
        <row r="238">
          <cell r="A238" t="str">
            <v>Formosa Synthetics Pvt . Ltd</v>
          </cell>
          <cell r="E238">
            <v>0</v>
          </cell>
        </row>
        <row r="239">
          <cell r="A239" t="str">
            <v>Ganesh Plastics</v>
          </cell>
          <cell r="E239">
            <v>0</v>
          </cell>
        </row>
        <row r="240">
          <cell r="A240" t="str">
            <v>Ganesh Polyfabrics</v>
          </cell>
          <cell r="E240">
            <v>0</v>
          </cell>
        </row>
        <row r="241">
          <cell r="A241" t="str">
            <v>Gayatri Polypack Industries</v>
          </cell>
          <cell r="E241">
            <v>-5000</v>
          </cell>
        </row>
        <row r="242">
          <cell r="A242" t="str">
            <v>Gipack Tech Llp</v>
          </cell>
          <cell r="E242">
            <v>1382458.5</v>
          </cell>
        </row>
        <row r="243">
          <cell r="A243" t="str">
            <v>Giri Organic Village Pvt Ltd</v>
          </cell>
          <cell r="E243">
            <v>0</v>
          </cell>
        </row>
        <row r="244">
          <cell r="A244" t="str">
            <v>Glasnost India</v>
          </cell>
          <cell r="E244">
            <v>8994.1</v>
          </cell>
        </row>
        <row r="245">
          <cell r="A245" t="str">
            <v>Gopala Polyplast Limited - Sales</v>
          </cell>
          <cell r="E245">
            <v>0</v>
          </cell>
        </row>
        <row r="246">
          <cell r="A246" t="str">
            <v>Gunin Polymers LLP</v>
          </cell>
          <cell r="E246">
            <v>-4351545</v>
          </cell>
        </row>
        <row r="247">
          <cell r="A247" t="str">
            <v>Guru Rajendra Metalloys India Pvt Ltd</v>
          </cell>
          <cell r="E247">
            <v>0</v>
          </cell>
        </row>
        <row r="248">
          <cell r="A248" t="str">
            <v>Halai Plastic Bhandar</v>
          </cell>
          <cell r="E248">
            <v>0</v>
          </cell>
        </row>
        <row r="249">
          <cell r="A249" t="str">
            <v>Haresh Enterprise</v>
          </cell>
          <cell r="E249">
            <v>0</v>
          </cell>
        </row>
        <row r="250">
          <cell r="A250" t="str">
            <v>Hariom Tradelink</v>
          </cell>
          <cell r="E250">
            <v>0</v>
          </cell>
        </row>
        <row r="251">
          <cell r="A251" t="str">
            <v>HCP Enterprise Ltd-Sales</v>
          </cell>
          <cell r="E251">
            <v>-3988286038.1399999</v>
          </cell>
        </row>
        <row r="252">
          <cell r="A252" t="str">
            <v>HCP Plastene Bulkpack Limited - Sales</v>
          </cell>
          <cell r="E252">
            <v>-405086231.69</v>
          </cell>
        </row>
        <row r="253">
          <cell r="A253" t="str">
            <v>Hcp Plastene Bulkpack Ltd (Unit Iv) - Sales</v>
          </cell>
          <cell r="E253">
            <v>334438113.45999998</v>
          </cell>
        </row>
        <row r="254">
          <cell r="A254" t="str">
            <v>HCP Plastene Bulkpack Ltd (Unit-III) - Sales</v>
          </cell>
          <cell r="E254">
            <v>0</v>
          </cell>
        </row>
        <row r="255">
          <cell r="A255" t="str">
            <v>Hcp Plastene Bulkpack Ltd Vadodara</v>
          </cell>
          <cell r="E255">
            <v>-24539648.530000001</v>
          </cell>
        </row>
        <row r="256">
          <cell r="A256" t="str">
            <v>Hd Microns Limited</v>
          </cell>
          <cell r="E256">
            <v>0</v>
          </cell>
        </row>
        <row r="257">
          <cell r="A257" t="str">
            <v>Hindustan Gunny Bags And Allied Suppliers</v>
          </cell>
          <cell r="E257">
            <v>0</v>
          </cell>
        </row>
        <row r="258">
          <cell r="A258" t="str">
            <v>Ideal Wovenplast Private Limited</v>
          </cell>
          <cell r="E258">
            <v>0</v>
          </cell>
        </row>
        <row r="259">
          <cell r="A259" t="str">
            <v>IMBB - Sales</v>
          </cell>
          <cell r="E259">
            <v>0</v>
          </cell>
        </row>
        <row r="260">
          <cell r="A260" t="str">
            <v>Indauto Filters</v>
          </cell>
          <cell r="E260">
            <v>0</v>
          </cell>
        </row>
        <row r="261">
          <cell r="A261" t="str">
            <v>Indralok Fabrics Pvt Ltd - Sales</v>
          </cell>
          <cell r="E261">
            <v>0</v>
          </cell>
        </row>
        <row r="262">
          <cell r="A262" t="str">
            <v>Ineos Styrolution India Ltd, Dahej</v>
          </cell>
          <cell r="E262">
            <v>0</v>
          </cell>
        </row>
        <row r="263">
          <cell r="A263" t="str">
            <v>Ineos Styrolution India Ltd, Nandesari</v>
          </cell>
          <cell r="E263">
            <v>0</v>
          </cell>
        </row>
        <row r="264">
          <cell r="A264" t="str">
            <v>Isbir Mewar Bulk Bag Private Limited</v>
          </cell>
          <cell r="E264">
            <v>0</v>
          </cell>
        </row>
        <row r="265">
          <cell r="A265" t="str">
            <v>Jahnavi Polymers</v>
          </cell>
          <cell r="E265">
            <v>60180</v>
          </cell>
        </row>
        <row r="266">
          <cell r="A266" t="str">
            <v>Jain Bulk Pack - Ahmedabad</v>
          </cell>
          <cell r="E266">
            <v>-65312705.920000002</v>
          </cell>
        </row>
        <row r="267">
          <cell r="A267" t="str">
            <v>Jain Bulk Pack - Sales</v>
          </cell>
          <cell r="E267">
            <v>30472810.98</v>
          </cell>
        </row>
        <row r="268">
          <cell r="A268" t="str">
            <v>Jas Exims 24AACPG5586D1ZY</v>
          </cell>
          <cell r="E268">
            <v>0</v>
          </cell>
        </row>
        <row r="269">
          <cell r="A269" t="str">
            <v>Jay Bhavani Enterprise</v>
          </cell>
          <cell r="E269">
            <v>0</v>
          </cell>
        </row>
        <row r="270">
          <cell r="A270" t="str">
            <v>Jay Hinglaj Trading</v>
          </cell>
          <cell r="E270">
            <v>0</v>
          </cell>
        </row>
        <row r="271">
          <cell r="A271" t="str">
            <v>Jay Vijay Polymers</v>
          </cell>
          <cell r="E271">
            <v>0</v>
          </cell>
        </row>
        <row r="272">
          <cell r="A272" t="str">
            <v>Jay Viru Plast</v>
          </cell>
          <cell r="E272">
            <v>0</v>
          </cell>
        </row>
        <row r="273">
          <cell r="A273" t="str">
            <v>Jet Tech Pvt Ltd</v>
          </cell>
          <cell r="E273">
            <v>0</v>
          </cell>
        </row>
        <row r="274">
          <cell r="A274" t="str">
            <v>Jhunjhunwala Polyplast Private Ltd</v>
          </cell>
          <cell r="E274">
            <v>0</v>
          </cell>
        </row>
        <row r="275">
          <cell r="A275" t="str">
            <v>Jill Mill Non Woven Pvt Ltd</v>
          </cell>
          <cell r="E275">
            <v>-293864</v>
          </cell>
        </row>
        <row r="276">
          <cell r="A276" t="str">
            <v>Jyot Overseas Pvt Ltd</v>
          </cell>
          <cell r="E276">
            <v>0</v>
          </cell>
        </row>
        <row r="277">
          <cell r="A277" t="str">
            <v>K.P. Woven Pvt Ltd - Unit 2 (Nani Chirai) -Sales</v>
          </cell>
          <cell r="E277">
            <v>275984.82</v>
          </cell>
        </row>
        <row r="278">
          <cell r="A278" t="str">
            <v>K.P. Woven Pvt Ltd - Unit 2 -Sales</v>
          </cell>
          <cell r="E278">
            <v>162693899.88</v>
          </cell>
        </row>
        <row r="279">
          <cell r="A279" t="str">
            <v>K.P. Woven Pvt Ltd - Unit 3 -Sales</v>
          </cell>
          <cell r="E279">
            <v>1022565731.3099999</v>
          </cell>
        </row>
        <row r="280">
          <cell r="A280" t="str">
            <v>K.P. Woven Pvt Ltd-Sales</v>
          </cell>
          <cell r="E280">
            <v>-2410612672.5900002</v>
          </cell>
        </row>
        <row r="281">
          <cell r="A281" t="str">
            <v>Kamdhenu Industries</v>
          </cell>
          <cell r="E281">
            <v>0</v>
          </cell>
        </row>
        <row r="282">
          <cell r="A282" t="str">
            <v>Kamdhenu Polymers Private Limited</v>
          </cell>
          <cell r="E282">
            <v>-221348</v>
          </cell>
        </row>
        <row r="283">
          <cell r="A283" t="str">
            <v>Karneet Enterprises (India) Private Limited</v>
          </cell>
          <cell r="E283">
            <v>-0.5</v>
          </cell>
        </row>
        <row r="284">
          <cell r="A284" t="str">
            <v>Karthik Polymers</v>
          </cell>
          <cell r="E284">
            <v>0</v>
          </cell>
        </row>
        <row r="285">
          <cell r="A285" t="str">
            <v>Khushboo Enterprises - Gujarat</v>
          </cell>
          <cell r="E285">
            <v>4254750.16</v>
          </cell>
        </row>
        <row r="286">
          <cell r="A286" t="str">
            <v>Khushboo Enterprises - Rajasthan</v>
          </cell>
          <cell r="E286">
            <v>0</v>
          </cell>
        </row>
        <row r="287">
          <cell r="A287" t="str">
            <v>Konndor Industries Limited</v>
          </cell>
          <cell r="E287">
            <v>0</v>
          </cell>
        </row>
        <row r="288">
          <cell r="A288" t="str">
            <v>Krishna Industries</v>
          </cell>
          <cell r="E288">
            <v>0</v>
          </cell>
        </row>
        <row r="289">
          <cell r="A289" t="str">
            <v>Krishna Plastics</v>
          </cell>
          <cell r="E289">
            <v>0</v>
          </cell>
        </row>
        <row r="290">
          <cell r="A290" t="str">
            <v>Ktex Nonwovens Private Limited</v>
          </cell>
          <cell r="E290">
            <v>0</v>
          </cell>
        </row>
        <row r="291">
          <cell r="A291" t="str">
            <v>Labdhi Plastic</v>
          </cell>
          <cell r="E291">
            <v>0</v>
          </cell>
        </row>
        <row r="292">
          <cell r="A292" t="str">
            <v>Lorenz Snacks India Private Limited</v>
          </cell>
          <cell r="E292">
            <v>0</v>
          </cell>
        </row>
        <row r="293">
          <cell r="A293" t="str">
            <v>M B And Sons</v>
          </cell>
          <cell r="E293">
            <v>3709</v>
          </cell>
        </row>
        <row r="294">
          <cell r="A294" t="str">
            <v>M D PLASTIC</v>
          </cell>
          <cell r="E294">
            <v>2585000.04</v>
          </cell>
        </row>
        <row r="295">
          <cell r="A295" t="str">
            <v>M R Brothers</v>
          </cell>
          <cell r="E295">
            <v>0</v>
          </cell>
        </row>
        <row r="296">
          <cell r="A296" t="str">
            <v>M.S.Woven Sacks</v>
          </cell>
          <cell r="E296">
            <v>0</v>
          </cell>
        </row>
        <row r="297">
          <cell r="A297" t="str">
            <v>Macarize Industries</v>
          </cell>
          <cell r="E297">
            <v>0.6</v>
          </cell>
        </row>
        <row r="298">
          <cell r="A298" t="str">
            <v>Macfil Industries - Sales</v>
          </cell>
          <cell r="E298">
            <v>0</v>
          </cell>
        </row>
        <row r="299">
          <cell r="A299" t="str">
            <v>Madhu P. Parekh (Dr)</v>
          </cell>
          <cell r="E299">
            <v>15071960</v>
          </cell>
        </row>
        <row r="300">
          <cell r="A300" t="str">
            <v>Mahadhan Agritech Limited</v>
          </cell>
          <cell r="E300">
            <v>5339.8</v>
          </cell>
        </row>
        <row r="301">
          <cell r="A301" t="str">
            <v>Mallinath Impex</v>
          </cell>
          <cell r="E301">
            <v>0</v>
          </cell>
        </row>
        <row r="302">
          <cell r="A302" t="str">
            <v>Marudhar Polycot India Pvt Ltd</v>
          </cell>
          <cell r="E302">
            <v>-27500000</v>
          </cell>
        </row>
        <row r="303">
          <cell r="A303" t="str">
            <v>Marudhar Polymers - Sales</v>
          </cell>
          <cell r="E303">
            <v>55669469.799999997</v>
          </cell>
        </row>
        <row r="304">
          <cell r="A304" t="str">
            <v>Mehjal Adhesive Tapes Pvt. Ltd. - Sales</v>
          </cell>
          <cell r="E304">
            <v>-1481.64</v>
          </cell>
        </row>
        <row r="305">
          <cell r="A305" t="str">
            <v>Meshtech India- Sales</v>
          </cell>
          <cell r="E305">
            <v>-0.2</v>
          </cell>
        </row>
        <row r="306">
          <cell r="A306" t="str">
            <v>Morimura Brothers Trading India Private Limited - 06AAGCM8226M2Z2</v>
          </cell>
          <cell r="E306">
            <v>0</v>
          </cell>
        </row>
        <row r="307">
          <cell r="A307" t="str">
            <v>Murari Trading Private Limited</v>
          </cell>
          <cell r="E307">
            <v>21593931</v>
          </cell>
        </row>
        <row r="308">
          <cell r="A308" t="str">
            <v>Mytri International</v>
          </cell>
          <cell r="E308">
            <v>0</v>
          </cell>
        </row>
        <row r="309">
          <cell r="A309" t="str">
            <v>N S Traders</v>
          </cell>
          <cell r="E309">
            <v>0</v>
          </cell>
        </row>
        <row r="310">
          <cell r="A310" t="str">
            <v>Narayandas Murlidhar</v>
          </cell>
          <cell r="E310">
            <v>-0.55000000000000004</v>
          </cell>
        </row>
        <row r="311">
          <cell r="A311" t="str">
            <v>Neelakantha Commercial Pvt Ltd</v>
          </cell>
          <cell r="E311">
            <v>11476262.25</v>
          </cell>
        </row>
        <row r="312">
          <cell r="A312" t="str">
            <v>Nij Plastics- Sale</v>
          </cell>
          <cell r="E312">
            <v>0</v>
          </cell>
        </row>
        <row r="313">
          <cell r="A313" t="str">
            <v>Nikhil Packagers</v>
          </cell>
          <cell r="E313">
            <v>7000362.0800000001</v>
          </cell>
        </row>
        <row r="314">
          <cell r="A314" t="str">
            <v>Nirban Trading Company</v>
          </cell>
          <cell r="E314">
            <v>0</v>
          </cell>
        </row>
        <row r="315">
          <cell r="A315" t="str">
            <v>Oswal Agrimpex</v>
          </cell>
          <cell r="E315">
            <v>0</v>
          </cell>
        </row>
        <row r="316">
          <cell r="A316" t="str">
            <v>Oswal Commodities Private Limited - Sale</v>
          </cell>
          <cell r="E316">
            <v>-192963594.19999999</v>
          </cell>
        </row>
        <row r="317">
          <cell r="A317" t="str">
            <v>Oswal Extrusion Ltd - HO-Sales</v>
          </cell>
          <cell r="E317">
            <v>191761490.81999999</v>
          </cell>
        </row>
        <row r="318">
          <cell r="A318" t="str">
            <v>Oswal Extrusion Ltd - Unit 2-Sales</v>
          </cell>
          <cell r="E318">
            <v>91450129.920000002</v>
          </cell>
        </row>
        <row r="319">
          <cell r="A319" t="str">
            <v>Oswal Extrusion Ltd - Unit 3-Sales</v>
          </cell>
          <cell r="E319">
            <v>86630578.090000004</v>
          </cell>
        </row>
        <row r="320">
          <cell r="A320" t="str">
            <v>Oswal Extrusion Ltd - Unit 4-Sales</v>
          </cell>
          <cell r="E320">
            <v>-4215363</v>
          </cell>
        </row>
        <row r="321">
          <cell r="A321" t="str">
            <v>Oswal Extrusion Ltd - Unit 5-Sales</v>
          </cell>
          <cell r="E321">
            <v>83440</v>
          </cell>
        </row>
        <row r="322">
          <cell r="A322" t="str">
            <v>Oswal Extrusion Ltd - Unit 6 Plant II -Sales_Closed</v>
          </cell>
          <cell r="E322">
            <v>-439132</v>
          </cell>
        </row>
        <row r="323">
          <cell r="A323" t="str">
            <v>Oswal Extrusion Ltd - Unit 6-Sales</v>
          </cell>
          <cell r="E323">
            <v>169189774.47</v>
          </cell>
        </row>
        <row r="324">
          <cell r="A324" t="str">
            <v>Oswal Extrusion Ltd - Unit 7-Sales</v>
          </cell>
          <cell r="E324">
            <v>-57923250.909999996</v>
          </cell>
        </row>
        <row r="325">
          <cell r="A325" t="str">
            <v>Oswal Extrusion Ltd - Unit 8-Sales</v>
          </cell>
          <cell r="E325">
            <v>4401760.7300000004</v>
          </cell>
        </row>
        <row r="326">
          <cell r="A326" t="str">
            <v>Oswal Overseas - Sales</v>
          </cell>
          <cell r="E326">
            <v>0</v>
          </cell>
        </row>
        <row r="327">
          <cell r="A327" t="str">
            <v>Padmanabh Alloys And Polymers Ltd.</v>
          </cell>
          <cell r="E327">
            <v>1000</v>
          </cell>
        </row>
        <row r="328">
          <cell r="A328" t="str">
            <v>Pamnani International</v>
          </cell>
          <cell r="E328">
            <v>42831</v>
          </cell>
        </row>
        <row r="329">
          <cell r="A329" t="str">
            <v>Parekh Bulk Pack - Sales</v>
          </cell>
          <cell r="E329">
            <v>3059885.95</v>
          </cell>
        </row>
        <row r="330">
          <cell r="A330" t="str">
            <v>Parekh Ventures LLP - Sales</v>
          </cell>
          <cell r="E330">
            <v>0</v>
          </cell>
        </row>
        <row r="331">
          <cell r="A331" t="str">
            <v>Parikh Enterprises Private Limited</v>
          </cell>
          <cell r="E331">
            <v>0</v>
          </cell>
        </row>
        <row r="332">
          <cell r="A332" t="str">
            <v>Parth Poly Coat Yarn Pvt.Ltd. - Debtor</v>
          </cell>
          <cell r="E332">
            <v>0</v>
          </cell>
        </row>
        <row r="333">
          <cell r="A333" t="str">
            <v>Parth Polymers - Sales</v>
          </cell>
          <cell r="E333">
            <v>0</v>
          </cell>
        </row>
        <row r="334">
          <cell r="A334" t="str">
            <v>PI Polyblendz Private Limited</v>
          </cell>
          <cell r="E334">
            <v>849600</v>
          </cell>
        </row>
        <row r="335">
          <cell r="A335" t="str">
            <v>Plastene India Limited - Maharastra</v>
          </cell>
          <cell r="E335">
            <v>-33156</v>
          </cell>
        </row>
        <row r="336">
          <cell r="A336" t="str">
            <v>Plastene India ltd - HO-Sales</v>
          </cell>
          <cell r="E336">
            <v>-84959544.760000005</v>
          </cell>
        </row>
        <row r="337">
          <cell r="A337" t="str">
            <v>Plastene India ltd - Unit 1-Sales</v>
          </cell>
          <cell r="E337">
            <v>2917541322.4499998</v>
          </cell>
        </row>
        <row r="338">
          <cell r="A338" t="str">
            <v>Plastene India ltd - Unit 2-Sales</v>
          </cell>
          <cell r="E338">
            <v>1372238633.6700001</v>
          </cell>
        </row>
        <row r="339">
          <cell r="A339" t="str">
            <v>Plastene India Ltd - Unit 3- Commission</v>
          </cell>
          <cell r="E339">
            <v>-51621033.450000003</v>
          </cell>
        </row>
        <row r="340">
          <cell r="A340" t="str">
            <v>Plastene India ltd - Unit 3-Sales</v>
          </cell>
          <cell r="E340">
            <v>14907.1</v>
          </cell>
        </row>
        <row r="341">
          <cell r="A341" t="str">
            <v>Plastene India ltd - Unit 4-Sales</v>
          </cell>
          <cell r="E341">
            <v>-2809966.43</v>
          </cell>
        </row>
        <row r="342">
          <cell r="A342" t="str">
            <v>Plastene India ltd - Unit 6-Sales</v>
          </cell>
          <cell r="E342">
            <v>2942357422.9699998</v>
          </cell>
        </row>
        <row r="343">
          <cell r="A343" t="str">
            <v>Plastene India ltd - Unit 7-Sales</v>
          </cell>
          <cell r="E343">
            <v>33156</v>
          </cell>
        </row>
        <row r="344">
          <cell r="A344" t="str">
            <v>Plastene India ltd - Unit 8-Sales</v>
          </cell>
          <cell r="E344">
            <v>190645194.84999999</v>
          </cell>
        </row>
        <row r="345">
          <cell r="A345" t="str">
            <v>Plastene Polyfilms Ltd-Sales</v>
          </cell>
          <cell r="E345">
            <v>-178360977.63999999</v>
          </cell>
        </row>
        <row r="346">
          <cell r="A346" t="str">
            <v>Plasto Processors-Sales</v>
          </cell>
          <cell r="E346">
            <v>55308</v>
          </cell>
        </row>
        <row r="347">
          <cell r="A347" t="str">
            <v>Plastochem - F.Z.C.</v>
          </cell>
          <cell r="E347">
            <v>4585093.05</v>
          </cell>
        </row>
        <row r="348">
          <cell r="A348" t="str">
            <v>Pooja Enterprise - Ahmedabad</v>
          </cell>
          <cell r="E348">
            <v>0</v>
          </cell>
        </row>
        <row r="349">
          <cell r="A349" t="str">
            <v>Prakash H. Parekh (Dr)</v>
          </cell>
          <cell r="E349">
            <v>458670</v>
          </cell>
        </row>
        <row r="350">
          <cell r="A350" t="str">
            <v>Raj Enterprise</v>
          </cell>
          <cell r="E350">
            <v>0</v>
          </cell>
        </row>
        <row r="351">
          <cell r="A351" t="str">
            <v>Rajat Vinyls Pvt Ltd</v>
          </cell>
          <cell r="E351">
            <v>0</v>
          </cell>
        </row>
        <row r="352">
          <cell r="A352" t="str">
            <v>Rajkumar &amp; Sons</v>
          </cell>
          <cell r="E352">
            <v>580857.16</v>
          </cell>
        </row>
        <row r="353">
          <cell r="A353" t="str">
            <v>Rataan Fabtex Private Limited - Unit 2</v>
          </cell>
          <cell r="E353">
            <v>0</v>
          </cell>
        </row>
        <row r="354">
          <cell r="A354" t="str">
            <v>Ratnam Polymers</v>
          </cell>
          <cell r="E354">
            <v>-0.3</v>
          </cell>
        </row>
        <row r="355">
          <cell r="A355" t="str">
            <v>Rdc Agro Ventures Private Limited</v>
          </cell>
          <cell r="E355">
            <v>1884710.16</v>
          </cell>
        </row>
        <row r="356">
          <cell r="A356" t="str">
            <v>Rfbl Flexi Pack Limited</v>
          </cell>
          <cell r="E356">
            <v>14703308.24</v>
          </cell>
        </row>
        <row r="357">
          <cell r="A357" t="str">
            <v>Riddhi Siddhi Traders</v>
          </cell>
          <cell r="E357">
            <v>0</v>
          </cell>
        </row>
        <row r="358">
          <cell r="A358" t="str">
            <v>Rolaxo Polypack LLP- Sales</v>
          </cell>
          <cell r="E358">
            <v>-30.4</v>
          </cell>
        </row>
        <row r="359">
          <cell r="A359" t="str">
            <v>Ronak Polypack</v>
          </cell>
          <cell r="E359">
            <v>0</v>
          </cell>
        </row>
        <row r="360">
          <cell r="A360" t="str">
            <v>Roto Master India</v>
          </cell>
          <cell r="E360">
            <v>-20561.14</v>
          </cell>
        </row>
        <row r="361">
          <cell r="A361" t="str">
            <v>Royal Trading</v>
          </cell>
          <cell r="E361">
            <v>0</v>
          </cell>
        </row>
        <row r="362">
          <cell r="A362" t="str">
            <v>Rudra Enterprise</v>
          </cell>
          <cell r="E362">
            <v>0</v>
          </cell>
        </row>
        <row r="363">
          <cell r="A363" t="str">
            <v>Rudra Trading Co.</v>
          </cell>
          <cell r="E363">
            <v>7048282.0999999996</v>
          </cell>
        </row>
        <row r="364">
          <cell r="A364" t="str">
            <v>S.R.Adhesive Tapes Mfg - Sales</v>
          </cell>
          <cell r="E364">
            <v>0</v>
          </cell>
        </row>
        <row r="365">
          <cell r="A365" t="str">
            <v>Sabar Flex Industries</v>
          </cell>
          <cell r="E365">
            <v>3597958</v>
          </cell>
        </row>
        <row r="366">
          <cell r="A366" t="str">
            <v>Sagar Sales Agency</v>
          </cell>
          <cell r="E366">
            <v>0</v>
          </cell>
        </row>
        <row r="367">
          <cell r="A367" t="str">
            <v>Satguru Enterprises</v>
          </cell>
          <cell r="E367">
            <v>0</v>
          </cell>
        </row>
        <row r="368">
          <cell r="A368" t="str">
            <v>Shakti Bhog Foods Ltd-Update Master</v>
          </cell>
          <cell r="E368">
            <v>0</v>
          </cell>
        </row>
        <row r="369">
          <cell r="A369" t="str">
            <v>Shakti Polyplast</v>
          </cell>
          <cell r="E369">
            <v>-140360</v>
          </cell>
        </row>
        <row r="370">
          <cell r="A370" t="str">
            <v>Sharaswati Enterprise</v>
          </cell>
          <cell r="E370">
            <v>0</v>
          </cell>
        </row>
        <row r="371">
          <cell r="A371" t="str">
            <v>Shiv Enterprise - 24CNIPS9979P1ZL</v>
          </cell>
          <cell r="E371">
            <v>0</v>
          </cell>
        </row>
        <row r="372">
          <cell r="A372" t="str">
            <v>Shiv Plastic - 24ACXFS2019L1ZN</v>
          </cell>
          <cell r="E372">
            <v>0</v>
          </cell>
        </row>
        <row r="373">
          <cell r="A373" t="str">
            <v>Shivam Traders - Sales (24AGUPS9760R1ZZ)</v>
          </cell>
          <cell r="E373">
            <v>-499999.79</v>
          </cell>
        </row>
        <row r="374">
          <cell r="A374" t="str">
            <v>Shree Balaji Enterprises</v>
          </cell>
          <cell r="E374">
            <v>0.4</v>
          </cell>
        </row>
        <row r="375">
          <cell r="A375" t="str">
            <v>Shree Ram Enterprise - Ahmedabad</v>
          </cell>
          <cell r="E375">
            <v>0</v>
          </cell>
        </row>
        <row r="376">
          <cell r="A376" t="str">
            <v>Shreeji Plastic - Surendranagar</v>
          </cell>
          <cell r="E376">
            <v>0</v>
          </cell>
        </row>
        <row r="377">
          <cell r="A377" t="str">
            <v>Shri Narayan Enterprise</v>
          </cell>
          <cell r="E377">
            <v>0</v>
          </cell>
        </row>
        <row r="378">
          <cell r="A378" t="str">
            <v>Shri Shakti Enterprises</v>
          </cell>
          <cell r="E378">
            <v>0</v>
          </cell>
        </row>
        <row r="379">
          <cell r="A379" t="str">
            <v>Shyam Plastic Services</v>
          </cell>
          <cell r="E379">
            <v>31013195</v>
          </cell>
        </row>
        <row r="380">
          <cell r="A380" t="str">
            <v>Sikotar Traders</v>
          </cell>
          <cell r="E380">
            <v>0</v>
          </cell>
        </row>
        <row r="381">
          <cell r="A381" t="str">
            <v>Smartchem Technologies Ltd.</v>
          </cell>
          <cell r="E381">
            <v>0</v>
          </cell>
        </row>
        <row r="382">
          <cell r="A382" t="str">
            <v>State Bank Of India (Rent)</v>
          </cell>
          <cell r="E382">
            <v>46257</v>
          </cell>
        </row>
        <row r="383">
          <cell r="A383" t="str">
            <v>Superform Chemistries Limited Jhagadia- PL85</v>
          </cell>
          <cell r="E383">
            <v>5927.06</v>
          </cell>
        </row>
        <row r="384">
          <cell r="A384" t="str">
            <v>Swastidaya Commercial Private Limited</v>
          </cell>
          <cell r="E384">
            <v>9860400</v>
          </cell>
        </row>
        <row r="385">
          <cell r="A385" t="str">
            <v>Swastik Sales</v>
          </cell>
          <cell r="E385">
            <v>0</v>
          </cell>
        </row>
        <row r="386">
          <cell r="A386" t="str">
            <v>Swayam Poly Plast Pvt Ltd</v>
          </cell>
          <cell r="E386">
            <v>104473.60000000001</v>
          </cell>
        </row>
        <row r="387">
          <cell r="A387" t="str">
            <v>Swayam Polymer</v>
          </cell>
          <cell r="E387">
            <v>0</v>
          </cell>
        </row>
        <row r="388">
          <cell r="A388" t="str">
            <v>Tec Papers Pvt Ltd</v>
          </cell>
          <cell r="E388">
            <v>367183.32</v>
          </cell>
        </row>
        <row r="389">
          <cell r="A389" t="str">
            <v>Tulsi Dyechem Pvt.Ltd - Sales</v>
          </cell>
          <cell r="E389">
            <v>-6110</v>
          </cell>
        </row>
        <row r="390">
          <cell r="A390" t="str">
            <v>Uma Thermoplast</v>
          </cell>
          <cell r="E390">
            <v>-0.56000000000000005</v>
          </cell>
        </row>
        <row r="391">
          <cell r="A391" t="str">
            <v>Upl Limited - Jhagadia</v>
          </cell>
          <cell r="E391">
            <v>2043</v>
          </cell>
        </row>
        <row r="392">
          <cell r="A392" t="str">
            <v>V Tex Overseas Pvt Ltd</v>
          </cell>
          <cell r="E392">
            <v>5271549</v>
          </cell>
        </row>
        <row r="393">
          <cell r="A393" t="str">
            <v>Vibhav Commercial Private Limited</v>
          </cell>
          <cell r="E393">
            <v>20493000</v>
          </cell>
        </row>
        <row r="394">
          <cell r="A394" t="str">
            <v>Vishal Packaging</v>
          </cell>
          <cell r="E394">
            <v>0</v>
          </cell>
        </row>
        <row r="395">
          <cell r="A395" t="str">
            <v>Yash Industries</v>
          </cell>
          <cell r="E395">
            <v>0</v>
          </cell>
        </row>
        <row r="396">
          <cell r="A396" t="str">
            <v xml:space="preserve">    Debtors-Legal Cases</v>
          </cell>
          <cell r="E396">
            <v>1790135.35</v>
          </cell>
        </row>
        <row r="397">
          <cell r="A397" t="str">
            <v>Anil Enterprise-Gadag</v>
          </cell>
          <cell r="E397">
            <v>634270.35</v>
          </cell>
        </row>
        <row r="398">
          <cell r="A398" t="str">
            <v>Nexus Feeds Limited</v>
          </cell>
          <cell r="E398">
            <v>1155865</v>
          </cell>
        </row>
        <row r="399">
          <cell r="A399" t="str">
            <v xml:space="preserve">    Debtors-Overseas</v>
          </cell>
          <cell r="E399">
            <v>1168988531.0599999</v>
          </cell>
        </row>
        <row r="400">
          <cell r="A400" t="str">
            <v>Access World</v>
          </cell>
          <cell r="E400">
            <v>3151699.2</v>
          </cell>
        </row>
        <row r="401">
          <cell r="A401" t="str">
            <v>Acs Composites SARL</v>
          </cell>
          <cell r="E401">
            <v>0</v>
          </cell>
        </row>
        <row r="402">
          <cell r="A402" t="str">
            <v>Agon A/S</v>
          </cell>
          <cell r="E402">
            <v>0.01</v>
          </cell>
        </row>
        <row r="403">
          <cell r="A403" t="str">
            <v>Agrisac</v>
          </cell>
          <cell r="E403">
            <v>0</v>
          </cell>
        </row>
        <row r="404">
          <cell r="A404" t="str">
            <v>Agroszemek Kft</v>
          </cell>
          <cell r="E404">
            <v>0.01</v>
          </cell>
        </row>
        <row r="405">
          <cell r="A405" t="str">
            <v>Alimentos Cielo S.A.C.</v>
          </cell>
          <cell r="E405">
            <v>0</v>
          </cell>
        </row>
        <row r="406">
          <cell r="A406" t="str">
            <v>Allbags Sp. Z O.O.</v>
          </cell>
          <cell r="E406">
            <v>0</v>
          </cell>
        </row>
        <row r="407">
          <cell r="A407" t="str">
            <v>Ambiflex S.R.O</v>
          </cell>
          <cell r="E407">
            <v>0</v>
          </cell>
        </row>
        <row r="408">
          <cell r="A408" t="str">
            <v>Ameriglobe LLC</v>
          </cell>
          <cell r="E408">
            <v>0</v>
          </cell>
        </row>
        <row r="409">
          <cell r="A409" t="str">
            <v>Arabian Pipeline &amp; Services Co. Ltd (Anabeeb)</v>
          </cell>
          <cell r="E409">
            <v>511492.5</v>
          </cell>
        </row>
        <row r="410">
          <cell r="A410" t="str">
            <v>Aragats Perlite OJSC</v>
          </cell>
          <cell r="E410">
            <v>0</v>
          </cell>
        </row>
        <row r="411">
          <cell r="A411" t="str">
            <v>Asco Italia Sas</v>
          </cell>
          <cell r="E411">
            <v>0</v>
          </cell>
        </row>
        <row r="412">
          <cell r="A412" t="str">
            <v>Balcon Enterprises Inc.</v>
          </cell>
          <cell r="E412">
            <v>0.01</v>
          </cell>
        </row>
        <row r="413">
          <cell r="A413" t="str">
            <v>Bluepack A/S</v>
          </cell>
          <cell r="E413">
            <v>0</v>
          </cell>
        </row>
        <row r="414">
          <cell r="A414" t="str">
            <v>Bluepack ApS</v>
          </cell>
          <cell r="E414">
            <v>0</v>
          </cell>
        </row>
        <row r="415">
          <cell r="A415" t="str">
            <v>Calloni Srl</v>
          </cell>
          <cell r="E415">
            <v>0</v>
          </cell>
        </row>
        <row r="416">
          <cell r="A416" t="str">
            <v>Carlos Sousa Industria,Lda</v>
          </cell>
          <cell r="E416">
            <v>0</v>
          </cell>
        </row>
        <row r="417">
          <cell r="A417" t="str">
            <v>Cesur Ambalaj Sanayi Ve Ticaret A.S.</v>
          </cell>
          <cell r="E417">
            <v>0</v>
          </cell>
        </row>
        <row r="418">
          <cell r="A418" t="str">
            <v>Cesur France</v>
          </cell>
          <cell r="E418">
            <v>6208094.3600000003</v>
          </cell>
        </row>
        <row r="419">
          <cell r="A419" t="str">
            <v>Cesur Latam Sac</v>
          </cell>
          <cell r="E419">
            <v>0.04</v>
          </cell>
        </row>
        <row r="420">
          <cell r="A420" t="str">
            <v>Cesur Packaging Benelux Bv</v>
          </cell>
          <cell r="E420">
            <v>12996258.52</v>
          </cell>
        </row>
        <row r="421">
          <cell r="A421" t="str">
            <v>Cesur Packaging Bulgaria Ltd.</v>
          </cell>
          <cell r="E421">
            <v>-30423.84</v>
          </cell>
        </row>
        <row r="422">
          <cell r="A422" t="str">
            <v>Cesur Usa, Llc</v>
          </cell>
          <cell r="E422">
            <v>14528114.810000001</v>
          </cell>
        </row>
        <row r="423">
          <cell r="A423" t="str">
            <v>CID Products LLP</v>
          </cell>
          <cell r="E423">
            <v>0</v>
          </cell>
        </row>
        <row r="424">
          <cell r="A424" t="str">
            <v>Cliffe Packaging Ltd</v>
          </cell>
          <cell r="E424">
            <v>0</v>
          </cell>
        </row>
        <row r="425">
          <cell r="A425" t="str">
            <v>Cobalt Holdings Ltd</v>
          </cell>
          <cell r="E425">
            <v>3151699.2</v>
          </cell>
        </row>
        <row r="426">
          <cell r="A426" t="str">
            <v>Codefine International SA</v>
          </cell>
          <cell r="E426">
            <v>0</v>
          </cell>
        </row>
        <row r="427">
          <cell r="A427" t="str">
            <v>Cofco International Uruguay S.A.</v>
          </cell>
          <cell r="E427">
            <v>-0.01</v>
          </cell>
        </row>
        <row r="428">
          <cell r="A428" t="str">
            <v>Combes Trading Bv</v>
          </cell>
          <cell r="E428">
            <v>0.65</v>
          </cell>
        </row>
        <row r="429">
          <cell r="A429" t="str">
            <v>Comercial Pra Cafe Ltda - Espirito Santos</v>
          </cell>
          <cell r="E429">
            <v>0</v>
          </cell>
        </row>
        <row r="430">
          <cell r="A430" t="str">
            <v>Comercial Pra Cafe Ltda - Manaus</v>
          </cell>
          <cell r="E430">
            <v>0</v>
          </cell>
        </row>
        <row r="431">
          <cell r="A431" t="str">
            <v>Commercial Bag Company</v>
          </cell>
          <cell r="E431">
            <v>0</v>
          </cell>
        </row>
        <row r="432">
          <cell r="A432" t="str">
            <v>Concord Supply Inc.</v>
          </cell>
          <cell r="E432">
            <v>0</v>
          </cell>
        </row>
        <row r="433">
          <cell r="A433" t="str">
            <v>Condepols, S.A.</v>
          </cell>
          <cell r="E433">
            <v>0</v>
          </cell>
        </row>
        <row r="434">
          <cell r="A434" t="str">
            <v>Conitex Sonoco USA</v>
          </cell>
          <cell r="E434">
            <v>0</v>
          </cell>
        </row>
        <row r="435">
          <cell r="A435" t="str">
            <v>Coresa SA</v>
          </cell>
          <cell r="E435">
            <v>0</v>
          </cell>
        </row>
        <row r="436">
          <cell r="A436" t="str">
            <v>Dajusa 2002 S.L.</v>
          </cell>
          <cell r="E436">
            <v>3827500.96</v>
          </cell>
        </row>
        <row r="437">
          <cell r="A437" t="str">
            <v>Doha Plastic Company</v>
          </cell>
          <cell r="E437">
            <v>0</v>
          </cell>
        </row>
        <row r="438">
          <cell r="A438" t="str">
            <v>DS SafetyWear Arbeitsschutzprodukte GmbH</v>
          </cell>
          <cell r="E438">
            <v>0</v>
          </cell>
        </row>
        <row r="439">
          <cell r="A439" t="str">
            <v>Egyptian Agriculture Services &amp; Trade Co</v>
          </cell>
          <cell r="E439">
            <v>0</v>
          </cell>
        </row>
        <row r="440">
          <cell r="A440" t="str">
            <v>El-Fedawy Pack For Import And Export</v>
          </cell>
          <cell r="E440">
            <v>0</v>
          </cell>
        </row>
        <row r="441">
          <cell r="A441" t="str">
            <v>ELS Sacs Voladors, S.L.U</v>
          </cell>
          <cell r="E441">
            <v>13009461.98</v>
          </cell>
        </row>
        <row r="442">
          <cell r="A442" t="str">
            <v>Elway Industries, Inc</v>
          </cell>
          <cell r="E442">
            <v>0</v>
          </cell>
        </row>
        <row r="443">
          <cell r="A443" t="str">
            <v>Emirates Calcium Carbonate Factory L.L.C</v>
          </cell>
          <cell r="E443">
            <v>0</v>
          </cell>
        </row>
        <row r="444">
          <cell r="A444" t="str">
            <v>Enviroplast Inc</v>
          </cell>
          <cell r="E444">
            <v>0</v>
          </cell>
        </row>
        <row r="445">
          <cell r="A445" t="str">
            <v>ERD - Customers</v>
          </cell>
          <cell r="E445">
            <v>335375.42</v>
          </cell>
        </row>
        <row r="446">
          <cell r="A446" t="str">
            <v>Exim Handelsonderneming Rotterdam Bv</v>
          </cell>
          <cell r="E446">
            <v>0</v>
          </cell>
        </row>
        <row r="447">
          <cell r="A447" t="str">
            <v>Express Trade Ltd</v>
          </cell>
          <cell r="E447">
            <v>0</v>
          </cell>
        </row>
        <row r="448">
          <cell r="A448" t="str">
            <v>Fertiplast S.L.</v>
          </cell>
          <cell r="E448">
            <v>0</v>
          </cell>
        </row>
        <row r="449">
          <cell r="A449" t="str">
            <v>Fertiplast Sacos, S.L.</v>
          </cell>
          <cell r="E449">
            <v>0</v>
          </cell>
        </row>
        <row r="450">
          <cell r="A450" t="str">
            <v>Fibco Plastic Industry Llc</v>
          </cell>
          <cell r="E450">
            <v>74120302.129999995</v>
          </cell>
        </row>
        <row r="451">
          <cell r="A451" t="str">
            <v>Flexibox Container Gmbh</v>
          </cell>
          <cell r="E451">
            <v>31380.02</v>
          </cell>
        </row>
        <row r="452">
          <cell r="A452" t="str">
            <v>FPS Flexibles Chile Spa</v>
          </cell>
          <cell r="E452">
            <v>4820696.04</v>
          </cell>
        </row>
        <row r="453">
          <cell r="A453" t="str">
            <v>FPS Flexibles Irelands Ltd</v>
          </cell>
          <cell r="E453">
            <v>0</v>
          </cell>
        </row>
        <row r="454">
          <cell r="A454" t="str">
            <v>FPS Flexibles UK Ltd</v>
          </cell>
          <cell r="E454">
            <v>8174189.5499999998</v>
          </cell>
        </row>
        <row r="455">
          <cell r="A455" t="str">
            <v>Frelun S.A.</v>
          </cell>
          <cell r="E455">
            <v>0.01</v>
          </cell>
        </row>
        <row r="456">
          <cell r="A456" t="str">
            <v>Galeb Jameel Dwaikat</v>
          </cell>
          <cell r="E456">
            <v>0</v>
          </cell>
        </row>
        <row r="457">
          <cell r="A457" t="str">
            <v>GC-M PTA Company Limited</v>
          </cell>
          <cell r="E457">
            <v>0</v>
          </cell>
        </row>
        <row r="458">
          <cell r="A458" t="str">
            <v>Gelpac Bags Inc.</v>
          </cell>
          <cell r="E458">
            <v>0</v>
          </cell>
        </row>
        <row r="459">
          <cell r="A459" t="str">
            <v>Global Import</v>
          </cell>
          <cell r="E459">
            <v>0</v>
          </cell>
        </row>
        <row r="460">
          <cell r="A460" t="str">
            <v>Global Pak, Inc</v>
          </cell>
          <cell r="E460">
            <v>0</v>
          </cell>
        </row>
        <row r="461">
          <cell r="A461" t="str">
            <v>Glory Duty Free Marine Shops Ltd</v>
          </cell>
          <cell r="E461">
            <v>-750701.25</v>
          </cell>
        </row>
        <row r="462">
          <cell r="A462" t="str">
            <v>Greif Embalagens Industriais Do Brasil LTDA</v>
          </cell>
          <cell r="E462">
            <v>0</v>
          </cell>
        </row>
        <row r="463">
          <cell r="A463" t="str">
            <v>Greif Flexibles Ireland Ltd</v>
          </cell>
          <cell r="E463">
            <v>0</v>
          </cell>
        </row>
        <row r="464">
          <cell r="A464" t="str">
            <v>Greif Flexibles Uk Ltd.</v>
          </cell>
          <cell r="E464">
            <v>0</v>
          </cell>
        </row>
        <row r="465">
          <cell r="A465" t="str">
            <v>H Polesy &amp; Co Pty Ltd</v>
          </cell>
          <cell r="E465">
            <v>2472596.59</v>
          </cell>
        </row>
        <row r="466">
          <cell r="A466" t="str">
            <v>Hampidjan Canada Ltd</v>
          </cell>
          <cell r="E466">
            <v>0</v>
          </cell>
        </row>
        <row r="467">
          <cell r="A467" t="str">
            <v>Hanchang Ind. Co., Ltd.</v>
          </cell>
          <cell r="E467">
            <v>0</v>
          </cell>
        </row>
        <row r="468">
          <cell r="A468" t="str">
            <v>Hellagro S.A.</v>
          </cell>
          <cell r="E468">
            <v>0</v>
          </cell>
        </row>
        <row r="469">
          <cell r="A469" t="str">
            <v>Henry W. Peabody &amp; Co., Inc.</v>
          </cell>
          <cell r="E469">
            <v>0</v>
          </cell>
        </row>
        <row r="470">
          <cell r="A470" t="str">
            <v>Hidden Gold LLC</v>
          </cell>
          <cell r="E470">
            <v>0</v>
          </cell>
        </row>
        <row r="471">
          <cell r="A471" t="str">
            <v>Hq Tek Limited</v>
          </cell>
          <cell r="E471">
            <v>-0.01</v>
          </cell>
        </row>
        <row r="472">
          <cell r="A472" t="str">
            <v>Industria Sulfuria S.A.</v>
          </cell>
          <cell r="E472">
            <v>249450.01</v>
          </cell>
        </row>
        <row r="473">
          <cell r="A473" t="str">
            <v xml:space="preserve">Inter Bulk Usa </v>
          </cell>
          <cell r="E473">
            <v>3642.03</v>
          </cell>
        </row>
        <row r="474">
          <cell r="A474" t="str">
            <v>Jmj Bulk Packaging</v>
          </cell>
          <cell r="E474">
            <v>0</v>
          </cell>
        </row>
        <row r="475">
          <cell r="A475" t="str">
            <v>Jtl Packaging Ltd. T/A Interpac</v>
          </cell>
          <cell r="E475">
            <v>0</v>
          </cell>
        </row>
        <row r="476">
          <cell r="A476" t="str">
            <v>Jumbo Sack Corporation</v>
          </cell>
          <cell r="E476">
            <v>49034.82</v>
          </cell>
        </row>
        <row r="477">
          <cell r="A477" t="str">
            <v>Juta A.S.</v>
          </cell>
          <cell r="E477">
            <v>56338124.159999996</v>
          </cell>
        </row>
        <row r="478">
          <cell r="A478" t="str">
            <v>Kal Tire Recycling Chile Spa</v>
          </cell>
          <cell r="E478">
            <v>-0.04</v>
          </cell>
        </row>
        <row r="479">
          <cell r="A479" t="str">
            <v>Kamadur Industrial Knives B.V.</v>
          </cell>
          <cell r="E479">
            <v>0</v>
          </cell>
        </row>
        <row r="480">
          <cell r="A480" t="str">
            <v>Karapatsias Ltd</v>
          </cell>
          <cell r="E480">
            <v>-334735.01</v>
          </cell>
        </row>
        <row r="481">
          <cell r="A481" t="str">
            <v>Km Obaly S.R.O.</v>
          </cell>
          <cell r="E481">
            <v>7.0000000000000007E-2</v>
          </cell>
        </row>
        <row r="482">
          <cell r="A482" t="str">
            <v>Lafarge Calcinor Maroc</v>
          </cell>
          <cell r="E482">
            <v>9687766.8200000003</v>
          </cell>
        </row>
        <row r="483">
          <cell r="A483" t="str">
            <v>LC Packaging Belgium NV</v>
          </cell>
          <cell r="E483">
            <v>0</v>
          </cell>
        </row>
        <row r="484">
          <cell r="A484" t="str">
            <v>LC Packaging Covrom Srl</v>
          </cell>
          <cell r="E484">
            <v>0</v>
          </cell>
        </row>
        <row r="485">
          <cell r="A485" t="str">
            <v>LC Packaging Hungary TPI</v>
          </cell>
          <cell r="E485">
            <v>0</v>
          </cell>
        </row>
        <row r="486">
          <cell r="A486" t="str">
            <v>LC Packaging Ireland Ltd</v>
          </cell>
          <cell r="E486">
            <v>4800.92</v>
          </cell>
        </row>
        <row r="487">
          <cell r="A487" t="str">
            <v>LC Packaging Nordic AB, Sweden</v>
          </cell>
          <cell r="E487">
            <v>0</v>
          </cell>
        </row>
        <row r="488">
          <cell r="A488" t="str">
            <v>LC Packaging SAS, France</v>
          </cell>
          <cell r="E488">
            <v>66.33</v>
          </cell>
        </row>
        <row r="489">
          <cell r="A489" t="str">
            <v>Lionel Samson Packaging Co Pty Ltd.</v>
          </cell>
          <cell r="E489">
            <v>4281705.82</v>
          </cell>
        </row>
        <row r="490">
          <cell r="A490" t="str">
            <v>Load Lok Nederland B.V.</v>
          </cell>
          <cell r="E490">
            <v>0</v>
          </cell>
        </row>
        <row r="491">
          <cell r="A491" t="str">
            <v>Louis Blockx Nv</v>
          </cell>
          <cell r="E491">
            <v>0</v>
          </cell>
        </row>
        <row r="492">
          <cell r="A492" t="str">
            <v>Madi Sp. z.o.o.</v>
          </cell>
          <cell r="E492">
            <v>4173448.9</v>
          </cell>
        </row>
        <row r="493">
          <cell r="A493" t="str">
            <v>Manyan Inc.</v>
          </cell>
          <cell r="E493">
            <v>4522980</v>
          </cell>
        </row>
        <row r="494">
          <cell r="A494" t="str">
            <v>Mercados Mundiales Import Export, S.A.U</v>
          </cell>
          <cell r="E494">
            <v>-130165.54</v>
          </cell>
        </row>
        <row r="495">
          <cell r="A495" t="str">
            <v>Mikitos Ind E Com De Gen Alim Do Amazonas Ltda</v>
          </cell>
          <cell r="E495">
            <v>5963513.7400000002</v>
          </cell>
        </row>
        <row r="496">
          <cell r="A496" t="str">
            <v>Minini Spa</v>
          </cell>
          <cell r="E496">
            <v>3739.64</v>
          </cell>
        </row>
        <row r="497">
          <cell r="A497" t="str">
            <v>Modus Granum LLC</v>
          </cell>
          <cell r="E497">
            <v>-231550.7</v>
          </cell>
        </row>
        <row r="498">
          <cell r="A498" t="str">
            <v>Multi Negoce</v>
          </cell>
          <cell r="E498">
            <v>841362.79</v>
          </cell>
        </row>
        <row r="499">
          <cell r="A499" t="str">
            <v>Myrin S.A</v>
          </cell>
          <cell r="E499">
            <v>0</v>
          </cell>
        </row>
        <row r="500">
          <cell r="A500" t="str">
            <v>NNZ Bv</v>
          </cell>
          <cell r="E500">
            <v>-1056500.3799999999</v>
          </cell>
        </row>
        <row r="501">
          <cell r="A501" t="str">
            <v>NNZ GMBH</v>
          </cell>
          <cell r="E501">
            <v>0</v>
          </cell>
        </row>
        <row r="502">
          <cell r="A502" t="str">
            <v>NNZ Gmbh (Austria)</v>
          </cell>
          <cell r="E502">
            <v>0</v>
          </cell>
        </row>
        <row r="503">
          <cell r="A503" t="str">
            <v>NNZ Scandinavia Aps</v>
          </cell>
          <cell r="E503">
            <v>0</v>
          </cell>
        </row>
        <row r="504">
          <cell r="A504" t="str">
            <v>NNZ The Packaging Network (PTY) Ltd South Africa</v>
          </cell>
          <cell r="E504">
            <v>0</v>
          </cell>
        </row>
        <row r="505">
          <cell r="A505" t="str">
            <v>Nortebag Industria De Embalagens Eireli</v>
          </cell>
          <cell r="E505">
            <v>0</v>
          </cell>
        </row>
        <row r="506">
          <cell r="A506" t="str">
            <v>North Atlantic Marine Supplies &amp; Services Inc</v>
          </cell>
          <cell r="E506">
            <v>0</v>
          </cell>
        </row>
        <row r="507">
          <cell r="A507" t="str">
            <v>Northstar Equity Inc</v>
          </cell>
          <cell r="E507">
            <v>0</v>
          </cell>
        </row>
        <row r="508">
          <cell r="A508" t="str">
            <v>Olega S A</v>
          </cell>
          <cell r="E508">
            <v>2061.2199999999998</v>
          </cell>
        </row>
        <row r="509">
          <cell r="A509" t="str">
            <v>Oliva Garden S.A.</v>
          </cell>
          <cell r="E509">
            <v>14031144.539999999</v>
          </cell>
        </row>
        <row r="510">
          <cell r="A510" t="str">
            <v>Omnicor - Manufacturas Internacionais De Cordoarias Lda</v>
          </cell>
          <cell r="E510">
            <v>0</v>
          </cell>
        </row>
        <row r="511">
          <cell r="A511" t="str">
            <v>Oswal Extrusion Ltd- KASEZ-Sales</v>
          </cell>
          <cell r="E511">
            <v>805044190.44000006</v>
          </cell>
        </row>
        <row r="512">
          <cell r="A512" t="str">
            <v>P. Nikiforakis H. Fasourakis Ltd</v>
          </cell>
          <cell r="E512">
            <v>7168387.3799999999</v>
          </cell>
        </row>
        <row r="513">
          <cell r="A513" t="str">
            <v xml:space="preserve">Pacific Trading &amp; Distribution Limited </v>
          </cell>
          <cell r="E513">
            <v>0</v>
          </cell>
        </row>
        <row r="514">
          <cell r="A514" t="str">
            <v>Pacific Trading Nz Lp</v>
          </cell>
          <cell r="E514">
            <v>0</v>
          </cell>
        </row>
        <row r="515">
          <cell r="A515" t="str">
            <v xml:space="preserve">Pack Big Bag Industria De Embalagens E Servicos Ltda </v>
          </cell>
          <cell r="E515">
            <v>0</v>
          </cell>
        </row>
        <row r="516">
          <cell r="A516" t="str">
            <v>Passos &amp; Oliveira, Lda.</v>
          </cell>
          <cell r="E516">
            <v>0</v>
          </cell>
        </row>
        <row r="517">
          <cell r="A517" t="str">
            <v>Pedro Maccio Y Cia,S.A</v>
          </cell>
          <cell r="E517">
            <v>0</v>
          </cell>
        </row>
        <row r="518">
          <cell r="A518" t="str">
            <v>Polipropilen Elyaf Sanayi Ve Dis Ticaret A.S Turkey</v>
          </cell>
          <cell r="E518">
            <v>0</v>
          </cell>
        </row>
        <row r="519">
          <cell r="A519" t="str">
            <v>Polypak Plastene Ltd</v>
          </cell>
          <cell r="E519">
            <v>4536540</v>
          </cell>
        </row>
        <row r="520">
          <cell r="A520" t="str">
            <v>Porastek, LLC</v>
          </cell>
          <cell r="E520">
            <v>0</v>
          </cell>
        </row>
        <row r="521">
          <cell r="A521" t="str">
            <v>Procon Pacific Llc</v>
          </cell>
          <cell r="E521">
            <v>20668318.010000002</v>
          </cell>
        </row>
        <row r="522">
          <cell r="A522" t="str">
            <v>Puh Ram Paulina Baran.</v>
          </cell>
          <cell r="E522">
            <v>0</v>
          </cell>
        </row>
        <row r="523">
          <cell r="A523" t="str">
            <v>Qpac Ltd</v>
          </cell>
          <cell r="E523">
            <v>15238535.810000001</v>
          </cell>
        </row>
        <row r="524">
          <cell r="A524" t="str">
            <v>Qpac Packaging LLP</v>
          </cell>
          <cell r="E524">
            <v>0.01</v>
          </cell>
        </row>
        <row r="525">
          <cell r="A525" t="str">
            <v>Radcoflex Australia Pty Limited</v>
          </cell>
          <cell r="E525">
            <v>0</v>
          </cell>
        </row>
        <row r="526">
          <cell r="A526" t="str">
            <v>Rafia Industrial S.A.</v>
          </cell>
          <cell r="E526">
            <v>0.01</v>
          </cell>
        </row>
        <row r="527">
          <cell r="A527" t="str">
            <v>Raficon Trade Srl</v>
          </cell>
          <cell r="E527">
            <v>0</v>
          </cell>
        </row>
        <row r="528">
          <cell r="A528" t="str">
            <v>Rafypak S.A De C.V</v>
          </cell>
          <cell r="E528">
            <v>138825</v>
          </cell>
        </row>
        <row r="529">
          <cell r="A529" t="str">
            <v>Ravitaillement International Inc.</v>
          </cell>
          <cell r="E529">
            <v>5316.61</v>
          </cell>
        </row>
        <row r="530">
          <cell r="A530" t="str">
            <v>Relianz Ag</v>
          </cell>
          <cell r="E530">
            <v>0</v>
          </cell>
        </row>
        <row r="531">
          <cell r="A531" t="str">
            <v>Rocheux International</v>
          </cell>
          <cell r="E531">
            <v>0</v>
          </cell>
        </row>
        <row r="532">
          <cell r="A532" t="str">
            <v>Rossi Imballaggi Srl</v>
          </cell>
          <cell r="E532">
            <v>0.09</v>
          </cell>
        </row>
        <row r="533">
          <cell r="A533" t="str">
            <v>Rugo Bags Gmbh</v>
          </cell>
          <cell r="E533">
            <v>-21431.97</v>
          </cell>
        </row>
        <row r="534">
          <cell r="A534" t="str">
            <v>Saccheria F.Lli Franceschetti SPA</v>
          </cell>
          <cell r="E534">
            <v>0</v>
          </cell>
        </row>
        <row r="535">
          <cell r="A535" t="str">
            <v>Sacherie De Pantin</v>
          </cell>
          <cell r="E535">
            <v>0</v>
          </cell>
        </row>
        <row r="536">
          <cell r="A536" t="str">
            <v>Sacos Durcal S.A</v>
          </cell>
          <cell r="E536">
            <v>0</v>
          </cell>
        </row>
        <row r="537">
          <cell r="A537" t="str">
            <v>Saeed Ali Godhran Plastic Pipe Factory</v>
          </cell>
          <cell r="E537">
            <v>7229537</v>
          </cell>
        </row>
        <row r="538">
          <cell r="A538" t="str">
            <v>Safesack Finland Oy</v>
          </cell>
          <cell r="E538">
            <v>0.03</v>
          </cell>
        </row>
        <row r="539">
          <cell r="A539" t="str">
            <v>Safesack Scandinavia Ab</v>
          </cell>
          <cell r="E539">
            <v>0</v>
          </cell>
        </row>
        <row r="540">
          <cell r="A540" t="str">
            <v>Sandwood Enterprises Inc</v>
          </cell>
          <cell r="E540">
            <v>0</v>
          </cell>
        </row>
        <row r="541">
          <cell r="A541" t="str">
            <v>SARL Bazelle</v>
          </cell>
          <cell r="E541">
            <v>0</v>
          </cell>
        </row>
        <row r="542">
          <cell r="A542" t="str">
            <v>SAS Emballage Industrie Concept - Bazelle</v>
          </cell>
          <cell r="E542">
            <v>0</v>
          </cell>
        </row>
        <row r="543">
          <cell r="A543" t="str">
            <v>Satucesa Europa, S.L.U.</v>
          </cell>
          <cell r="E543">
            <v>0</v>
          </cell>
        </row>
        <row r="544">
          <cell r="A544" t="str">
            <v>Senegalaise Des Phosphates De Thies</v>
          </cell>
          <cell r="E544">
            <v>0</v>
          </cell>
        </row>
        <row r="545">
          <cell r="A545" t="str">
            <v>Serra Sacos Y Gestion Sl</v>
          </cell>
          <cell r="E545">
            <v>0</v>
          </cell>
        </row>
        <row r="546">
          <cell r="A546" t="str">
            <v>SO Bag</v>
          </cell>
          <cell r="E546">
            <v>-247693.82</v>
          </cell>
        </row>
        <row r="547">
          <cell r="A547" t="str">
            <v>Sohar Advanced Chemicals LLC</v>
          </cell>
          <cell r="E547">
            <v>0</v>
          </cell>
        </row>
        <row r="548">
          <cell r="A548" t="str">
            <v>Somlo-Zsak Kender-Juta Kft</v>
          </cell>
          <cell r="E548">
            <v>0</v>
          </cell>
        </row>
        <row r="549">
          <cell r="A549" t="str">
            <v>Sourcio Inc</v>
          </cell>
          <cell r="E549">
            <v>0</v>
          </cell>
        </row>
        <row r="550">
          <cell r="A550" t="str">
            <v>SP Group Global Ltd</v>
          </cell>
          <cell r="E550">
            <v>0</v>
          </cell>
        </row>
        <row r="551">
          <cell r="A551" t="str">
            <v>Superb Packaging Inc.</v>
          </cell>
          <cell r="E551">
            <v>0</v>
          </cell>
        </row>
        <row r="552">
          <cell r="A552" t="str">
            <v>Tatwir Al Masni For Trading Co</v>
          </cell>
          <cell r="E552">
            <v>0</v>
          </cell>
        </row>
        <row r="553">
          <cell r="A553" t="str">
            <v>Technopac Austria Gmbh</v>
          </cell>
          <cell r="E553">
            <v>7012861.1799999997</v>
          </cell>
        </row>
        <row r="554">
          <cell r="A554" t="str">
            <v>Technopac Gmbh</v>
          </cell>
          <cell r="E554">
            <v>54793761.240000002</v>
          </cell>
        </row>
        <row r="555">
          <cell r="A555" t="str">
            <v>Terceirense De Racoes Sa</v>
          </cell>
          <cell r="E555">
            <v>0</v>
          </cell>
        </row>
        <row r="556">
          <cell r="A556" t="str">
            <v>Textiles Santa Susana Sa De Cv</v>
          </cell>
          <cell r="E556">
            <v>0</v>
          </cell>
        </row>
        <row r="557">
          <cell r="A557" t="str">
            <v>TIGI Kramer Am LLC</v>
          </cell>
          <cell r="E557">
            <v>0</v>
          </cell>
        </row>
        <row r="558">
          <cell r="A558" t="str">
            <v>Tisser, LDA</v>
          </cell>
          <cell r="E558">
            <v>0</v>
          </cell>
        </row>
        <row r="559">
          <cell r="A559" t="str">
            <v xml:space="preserve">Town &amp; Country (Northern) Limited </v>
          </cell>
          <cell r="E559">
            <v>4828109.0599999996</v>
          </cell>
        </row>
        <row r="560">
          <cell r="A560" t="str">
            <v xml:space="preserve">Town &amp; Country Aggregates </v>
          </cell>
          <cell r="E560">
            <v>-2364352.0499999998</v>
          </cell>
        </row>
        <row r="561">
          <cell r="A561" t="str">
            <v>Uab Achempak</v>
          </cell>
          <cell r="E561">
            <v>0</v>
          </cell>
        </row>
        <row r="562">
          <cell r="A562" t="str">
            <v>United Cable In Industries Co.</v>
          </cell>
          <cell r="E562">
            <v>0</v>
          </cell>
        </row>
        <row r="563">
          <cell r="A563" t="str">
            <v>Upper Trade Importacao E Exportacao Ltda</v>
          </cell>
          <cell r="E563">
            <v>0</v>
          </cell>
        </row>
        <row r="564">
          <cell r="A564" t="str">
            <v>Volta Biotech</v>
          </cell>
          <cell r="E564">
            <v>-0.01</v>
          </cell>
        </row>
        <row r="565">
          <cell r="A565" t="str">
            <v>Werba S.A.</v>
          </cell>
          <cell r="E565">
            <v>0</v>
          </cell>
        </row>
        <row r="566">
          <cell r="A566" t="str">
            <v>Western Grain Trading Inc</v>
          </cell>
          <cell r="E566">
            <v>0</v>
          </cell>
        </row>
        <row r="567">
          <cell r="A567" t="str">
            <v>Yuan Da Plastic Fabric Corporation</v>
          </cell>
          <cell r="E567">
            <v>0</v>
          </cell>
        </row>
        <row r="568">
          <cell r="A568" t="str">
            <v xml:space="preserve">  Fixed Assets</v>
          </cell>
          <cell r="E568">
            <v>1749079549.6900001</v>
          </cell>
        </row>
        <row r="569">
          <cell r="A569" t="str">
            <v xml:space="preserve">   Capital Work in Progress</v>
          </cell>
          <cell r="E569">
            <v>155738303</v>
          </cell>
        </row>
        <row r="570">
          <cell r="A570" t="str">
            <v xml:space="preserve">    Building-Cwip</v>
          </cell>
          <cell r="E570">
            <v>155738303</v>
          </cell>
        </row>
        <row r="571">
          <cell r="A571" t="str">
            <v>Factory Building - WIP</v>
          </cell>
          <cell r="E571">
            <v>155738303</v>
          </cell>
        </row>
        <row r="572">
          <cell r="A572" t="str">
            <v xml:space="preserve">    Plant &amp; Machineries-WIP</v>
          </cell>
          <cell r="E572">
            <v>0</v>
          </cell>
        </row>
        <row r="573">
          <cell r="A573" t="str">
            <v>Plant &amp; Machinery Cwip</v>
          </cell>
          <cell r="E573">
            <v>0</v>
          </cell>
        </row>
        <row r="574">
          <cell r="A574" t="str">
            <v xml:space="preserve">   Furniture &amp; Fixtures</v>
          </cell>
          <cell r="E574">
            <v>10419048.880000001</v>
          </cell>
        </row>
        <row r="575">
          <cell r="A575" t="str">
            <v>Furniture &amp; Fixtures</v>
          </cell>
          <cell r="E575">
            <v>9724750.8800000008</v>
          </cell>
        </row>
        <row r="576">
          <cell r="A576" t="str">
            <v>Racks For Rolls/Fg</v>
          </cell>
          <cell r="E576">
            <v>694298</v>
          </cell>
        </row>
        <row r="577">
          <cell r="A577" t="str">
            <v xml:space="preserve">   Intangible Assets</v>
          </cell>
          <cell r="E577">
            <v>166402557</v>
          </cell>
        </row>
        <row r="578">
          <cell r="A578" t="str">
            <v xml:space="preserve">    New Product Development</v>
          </cell>
          <cell r="E578">
            <v>166402557</v>
          </cell>
        </row>
        <row r="579">
          <cell r="A579" t="str">
            <v>New Product Dev. and R&amp;D Exp.Pending For Allocation</v>
          </cell>
          <cell r="E579">
            <v>166402557</v>
          </cell>
        </row>
        <row r="580">
          <cell r="A580" t="str">
            <v xml:space="preserve">   Land &amp; Building</v>
          </cell>
          <cell r="E580">
            <v>215161488.72</v>
          </cell>
        </row>
        <row r="581">
          <cell r="A581" t="str">
            <v xml:space="preserve">    Factory Building</v>
          </cell>
          <cell r="E581">
            <v>172420554.28999999</v>
          </cell>
        </row>
        <row r="582">
          <cell r="A582" t="str">
            <v>Factory Building</v>
          </cell>
          <cell r="E582">
            <v>172420554.28999999</v>
          </cell>
        </row>
        <row r="583">
          <cell r="A583" t="str">
            <v xml:space="preserve">    Land</v>
          </cell>
          <cell r="E583">
            <v>32213685</v>
          </cell>
        </row>
        <row r="584">
          <cell r="A584" t="str">
            <v>Land &amp; Developments</v>
          </cell>
          <cell r="E584">
            <v>4161719</v>
          </cell>
        </row>
        <row r="585">
          <cell r="A585" t="str">
            <v>Land A/c</v>
          </cell>
          <cell r="E585">
            <v>28051966</v>
          </cell>
        </row>
        <row r="586">
          <cell r="A586" t="str">
            <v xml:space="preserve">    Office Building</v>
          </cell>
          <cell r="E586">
            <v>9193968.4299999997</v>
          </cell>
        </row>
        <row r="587">
          <cell r="A587" t="str">
            <v>Office Building - HO</v>
          </cell>
          <cell r="E587">
            <v>7428352</v>
          </cell>
        </row>
        <row r="588">
          <cell r="A588" t="str">
            <v>Office Building - Plants</v>
          </cell>
          <cell r="E588">
            <v>1765616.43</v>
          </cell>
        </row>
        <row r="589">
          <cell r="A589" t="str">
            <v xml:space="preserve">    Road &amp; Temprorary Structure</v>
          </cell>
          <cell r="E589">
            <v>1333281</v>
          </cell>
        </row>
        <row r="590">
          <cell r="A590" t="str">
            <v>Roads</v>
          </cell>
          <cell r="E590">
            <v>1333281</v>
          </cell>
        </row>
        <row r="591">
          <cell r="A591" t="str">
            <v xml:space="preserve">   Office Equipments</v>
          </cell>
          <cell r="E591">
            <v>8892693.5099999998</v>
          </cell>
        </row>
        <row r="592">
          <cell r="A592" t="str">
            <v>Card Scan Executive  - 800C</v>
          </cell>
          <cell r="E592">
            <v>13500</v>
          </cell>
        </row>
        <row r="593">
          <cell r="A593" t="str">
            <v>Currency Counting Machine</v>
          </cell>
          <cell r="E593">
            <v>9500</v>
          </cell>
        </row>
        <row r="594">
          <cell r="A594" t="str">
            <v>EPABX</v>
          </cell>
          <cell r="E594">
            <v>38693</v>
          </cell>
        </row>
        <row r="595">
          <cell r="A595" t="str">
            <v>Face &amp; Fingerprint M/C (Punching M/C)</v>
          </cell>
          <cell r="E595">
            <v>85100</v>
          </cell>
        </row>
        <row r="596">
          <cell r="A596" t="str">
            <v>Face Recognistaion  System</v>
          </cell>
          <cell r="E596">
            <v>53550</v>
          </cell>
        </row>
        <row r="597">
          <cell r="A597" t="str">
            <v>Fax Machine</v>
          </cell>
          <cell r="E597">
            <v>19416</v>
          </cell>
        </row>
        <row r="598">
          <cell r="A598" t="str">
            <v>Inverter</v>
          </cell>
          <cell r="E598">
            <v>68414</v>
          </cell>
        </row>
        <row r="599">
          <cell r="A599" t="str">
            <v>Mobile &amp; Telephone Instrument</v>
          </cell>
          <cell r="E599">
            <v>1752513.33</v>
          </cell>
        </row>
        <row r="600">
          <cell r="A600" t="str">
            <v>Office Equipments</v>
          </cell>
          <cell r="E600">
            <v>4208515.93</v>
          </cell>
        </row>
        <row r="601">
          <cell r="A601" t="str">
            <v>Refrigerator</v>
          </cell>
          <cell r="E601">
            <v>64290</v>
          </cell>
        </row>
        <row r="602">
          <cell r="A602" t="str">
            <v>RO Plant</v>
          </cell>
          <cell r="E602">
            <v>2090000</v>
          </cell>
        </row>
        <row r="603">
          <cell r="A603" t="str">
            <v>Tea Wending Machine</v>
          </cell>
          <cell r="E603">
            <v>25000</v>
          </cell>
        </row>
        <row r="604">
          <cell r="A604" t="str">
            <v>Television</v>
          </cell>
          <cell r="E604">
            <v>450221.59</v>
          </cell>
        </row>
        <row r="605">
          <cell r="A605" t="str">
            <v>Water Dispenser</v>
          </cell>
          <cell r="E605">
            <v>13979.66</v>
          </cell>
        </row>
        <row r="606">
          <cell r="A606" t="str">
            <v xml:space="preserve">   Plant &amp; Machinery</v>
          </cell>
          <cell r="E606">
            <v>1147944742.95</v>
          </cell>
        </row>
        <row r="607">
          <cell r="A607" t="str">
            <v xml:space="preserve">    Air Conditioners</v>
          </cell>
          <cell r="E607">
            <v>16958646.539999999</v>
          </cell>
        </row>
        <row r="608">
          <cell r="A608" t="str">
            <v>Air Conditioners</v>
          </cell>
          <cell r="E608">
            <v>2342562.58</v>
          </cell>
        </row>
        <row r="609">
          <cell r="A609" t="str">
            <v>Forklift Truck Model No.FDZN30</v>
          </cell>
          <cell r="E609">
            <v>6634816.7300000004</v>
          </cell>
        </row>
        <row r="610">
          <cell r="A610" t="str">
            <v>Humidity Vaccum Air Cooling System</v>
          </cell>
          <cell r="E610">
            <v>7778645.2000000002</v>
          </cell>
        </row>
        <row r="611">
          <cell r="A611" t="str">
            <v>Water Cooler</v>
          </cell>
          <cell r="E611">
            <v>202622.03</v>
          </cell>
        </row>
        <row r="612">
          <cell r="A612" t="str">
            <v xml:space="preserve">    Borewell/Deepwell</v>
          </cell>
          <cell r="E612">
            <v>1051369</v>
          </cell>
        </row>
        <row r="613">
          <cell r="A613" t="str">
            <v>Deepwell</v>
          </cell>
          <cell r="E613">
            <v>1051369</v>
          </cell>
        </row>
        <row r="614">
          <cell r="A614" t="str">
            <v xml:space="preserve">    CCTV Cameras &amp; Equipments</v>
          </cell>
          <cell r="E614">
            <v>4764761.71</v>
          </cell>
        </row>
        <row r="615">
          <cell r="A615" t="str">
            <v>Camera</v>
          </cell>
          <cell r="E615">
            <v>2552769.04</v>
          </cell>
        </row>
        <row r="616">
          <cell r="A616" t="str">
            <v>CCTV Camera &amp; Accessories</v>
          </cell>
          <cell r="E616">
            <v>1403125.05</v>
          </cell>
        </row>
        <row r="617">
          <cell r="A617" t="str">
            <v>Digital Camera</v>
          </cell>
          <cell r="E617">
            <v>200728.55</v>
          </cell>
        </row>
        <row r="618">
          <cell r="A618" t="str">
            <v>Projector &amp; Video Conferecing Equip.</v>
          </cell>
          <cell r="E618">
            <v>124950</v>
          </cell>
        </row>
        <row r="619">
          <cell r="A619" t="str">
            <v>Web Camera</v>
          </cell>
          <cell r="E619">
            <v>483189.07</v>
          </cell>
        </row>
        <row r="620">
          <cell r="A620" t="str">
            <v xml:space="preserve">    Circular Looms</v>
          </cell>
          <cell r="E620">
            <v>197201215.06</v>
          </cell>
        </row>
        <row r="621">
          <cell r="A621" t="str">
            <v>Circular Loom - Std Confg - Sby - 850X6S</v>
          </cell>
          <cell r="E621">
            <v>34794806.829999998</v>
          </cell>
        </row>
        <row r="622">
          <cell r="A622" t="str">
            <v>Circular Loom Machine Nova 62</v>
          </cell>
          <cell r="E622">
            <v>12988565</v>
          </cell>
        </row>
        <row r="623">
          <cell r="A623" t="str">
            <v>Circular Loom Nova 82</v>
          </cell>
          <cell r="E623">
            <v>19618437.800000001</v>
          </cell>
        </row>
        <row r="624">
          <cell r="A624" t="str">
            <v>Circular Loom Starlinger Rx 6.1</v>
          </cell>
          <cell r="E624">
            <v>57769260</v>
          </cell>
        </row>
        <row r="625">
          <cell r="A625" t="str">
            <v>Circular Loom Starlinger Rx 8.2</v>
          </cell>
          <cell r="E625">
            <v>896984.52</v>
          </cell>
        </row>
        <row r="626">
          <cell r="A626" t="str">
            <v>Circular Looms LSL 620</v>
          </cell>
          <cell r="E626">
            <v>4574971.9000000004</v>
          </cell>
        </row>
        <row r="627">
          <cell r="A627" t="str">
            <v>Circular Weaving Machine</v>
          </cell>
          <cell r="E627">
            <v>49292293.990000002</v>
          </cell>
        </row>
        <row r="628">
          <cell r="A628" t="str">
            <v>Circular Weaving Machine Csl-6 Ii</v>
          </cell>
          <cell r="E628">
            <v>6285284.5199999996</v>
          </cell>
        </row>
        <row r="629">
          <cell r="A629" t="str">
            <v>Circular Weaving Machine Lsl-8</v>
          </cell>
          <cell r="E629">
            <v>3930000</v>
          </cell>
        </row>
        <row r="630">
          <cell r="A630" t="str">
            <v>Circular Weaving Machine Lsl6</v>
          </cell>
          <cell r="E630">
            <v>2816718.5</v>
          </cell>
        </row>
        <row r="631">
          <cell r="A631" t="str">
            <v>Circular Weaving Machine Lxl 6</v>
          </cell>
          <cell r="E631">
            <v>134978</v>
          </cell>
        </row>
        <row r="632">
          <cell r="A632" t="str">
            <v>Ultrasonic Cutter Machine</v>
          </cell>
          <cell r="E632">
            <v>4054824</v>
          </cell>
        </row>
        <row r="633">
          <cell r="A633" t="str">
            <v>Winder Ms Cone</v>
          </cell>
          <cell r="E633">
            <v>44090</v>
          </cell>
        </row>
        <row r="634">
          <cell r="A634" t="str">
            <v xml:space="preserve">    Electrical Installations</v>
          </cell>
          <cell r="E634">
            <v>55823028.920000002</v>
          </cell>
        </row>
        <row r="635">
          <cell r="A635" t="str">
            <v>Capacitor</v>
          </cell>
          <cell r="E635">
            <v>260046</v>
          </cell>
        </row>
        <row r="636">
          <cell r="A636" t="str">
            <v>Clutch Motor 1 Hp Single Phase  2800 Rmp</v>
          </cell>
          <cell r="E636">
            <v>534856</v>
          </cell>
        </row>
        <row r="637">
          <cell r="A637" t="str">
            <v>Electric Installation</v>
          </cell>
          <cell r="E637">
            <v>38560289.039999999</v>
          </cell>
        </row>
        <row r="638">
          <cell r="A638" t="str">
            <v>Electric Motors</v>
          </cell>
          <cell r="E638">
            <v>144681</v>
          </cell>
        </row>
        <row r="639">
          <cell r="A639" t="str">
            <v>Electrifilament Lamp</v>
          </cell>
          <cell r="E639">
            <v>1194762</v>
          </cell>
        </row>
        <row r="640">
          <cell r="A640" t="str">
            <v>Fan, Cooler, Heater &amp; Blowers</v>
          </cell>
          <cell r="E640">
            <v>7808020.1900000004</v>
          </cell>
        </row>
        <row r="641">
          <cell r="A641" t="str">
            <v>Gear Box</v>
          </cell>
          <cell r="E641">
            <v>454473.2</v>
          </cell>
        </row>
        <row r="642">
          <cell r="A642" t="str">
            <v>Gear Box With Motor  Disc</v>
          </cell>
          <cell r="E642">
            <v>1011000</v>
          </cell>
        </row>
        <row r="643">
          <cell r="A643" t="str">
            <v>Monoblock Pump</v>
          </cell>
          <cell r="E643">
            <v>936834.04</v>
          </cell>
        </row>
        <row r="644">
          <cell r="A644" t="str">
            <v>Mud Pump</v>
          </cell>
          <cell r="E644">
            <v>29530</v>
          </cell>
        </row>
        <row r="645">
          <cell r="A645" t="str">
            <v>Panel Board</v>
          </cell>
          <cell r="E645">
            <v>2520221.4500000002</v>
          </cell>
        </row>
        <row r="646">
          <cell r="A646" t="str">
            <v>Polotizer Machine - Elite Brand</v>
          </cell>
          <cell r="E646">
            <v>866578</v>
          </cell>
        </row>
        <row r="647">
          <cell r="A647" t="str">
            <v>Scanning Head - H620 Wm</v>
          </cell>
          <cell r="E647">
            <v>171000</v>
          </cell>
        </row>
        <row r="648">
          <cell r="A648" t="str">
            <v>Transformer</v>
          </cell>
          <cell r="E648">
            <v>1284538</v>
          </cell>
        </row>
        <row r="649">
          <cell r="A649" t="str">
            <v>Tublights &amp; Fans</v>
          </cell>
          <cell r="E649">
            <v>46200</v>
          </cell>
        </row>
        <row r="650">
          <cell r="A650" t="str">
            <v xml:space="preserve">    FIBC Related Other Machines</v>
          </cell>
          <cell r="E650">
            <v>81173132.930000007</v>
          </cell>
        </row>
        <row r="651">
          <cell r="A651" t="str">
            <v>Auto Bag Cleaning Machine</v>
          </cell>
          <cell r="E651">
            <v>1370420</v>
          </cell>
        </row>
        <row r="652">
          <cell r="A652" t="str">
            <v>Automatic  Bag Making M/C</v>
          </cell>
          <cell r="E652">
            <v>7102207</v>
          </cell>
        </row>
        <row r="653">
          <cell r="A653" t="str">
            <v>Automatic Woven Bags Machine(Imported)</v>
          </cell>
          <cell r="E653">
            <v>1446500</v>
          </cell>
        </row>
        <row r="654">
          <cell r="A654" t="str">
            <v>Automatic Wovensack Bag Cutting &amp; Sewing Machine</v>
          </cell>
          <cell r="E654">
            <v>1532460</v>
          </cell>
        </row>
        <row r="655">
          <cell r="A655" t="str">
            <v>Bag Making Machine.(Multi)</v>
          </cell>
          <cell r="E655">
            <v>40576326.600000001</v>
          </cell>
        </row>
        <row r="656">
          <cell r="A656" t="str">
            <v>Belt Cutting Machine</v>
          </cell>
          <cell r="E656">
            <v>530000</v>
          </cell>
        </row>
        <row r="657">
          <cell r="A657" t="str">
            <v>Belt Die</v>
          </cell>
          <cell r="E657">
            <v>16200</v>
          </cell>
        </row>
        <row r="658">
          <cell r="A658" t="str">
            <v>Bobbin Cutting Machine</v>
          </cell>
          <cell r="E658">
            <v>469118</v>
          </cell>
        </row>
        <row r="659">
          <cell r="A659" t="str">
            <v>Cutter Guiding Systems</v>
          </cell>
          <cell r="E659">
            <v>356001</v>
          </cell>
        </row>
        <row r="660">
          <cell r="A660" t="str">
            <v>Fabric Cutting Machine</v>
          </cell>
          <cell r="E660">
            <v>12855985.75</v>
          </cell>
        </row>
        <row r="661">
          <cell r="A661" t="str">
            <v>Gluing Machine</v>
          </cell>
          <cell r="E661">
            <v>109908.66</v>
          </cell>
        </row>
        <row r="662">
          <cell r="A662" t="str">
            <v>Hydraulic Baffle And Round Punching Machine</v>
          </cell>
          <cell r="E662">
            <v>495000</v>
          </cell>
        </row>
        <row r="663">
          <cell r="A663" t="str">
            <v>Hydraulic Baling Machine</v>
          </cell>
          <cell r="E663">
            <v>12274825.949999999</v>
          </cell>
        </row>
        <row r="664">
          <cell r="A664" t="str">
            <v>Metal Detector Machine</v>
          </cell>
          <cell r="E664">
            <v>458500</v>
          </cell>
        </row>
        <row r="665">
          <cell r="A665" t="str">
            <v>Palang, Tables, Trollies For Finishing</v>
          </cell>
          <cell r="E665">
            <v>1293502.97</v>
          </cell>
        </row>
        <row r="666">
          <cell r="A666" t="str">
            <v>Stretch Wrapping Machine</v>
          </cell>
          <cell r="E666">
            <v>286177</v>
          </cell>
        </row>
        <row r="667">
          <cell r="A667" t="str">
            <v xml:space="preserve">    Filler Plant &amp; Ancilliaries</v>
          </cell>
          <cell r="E667">
            <v>3863914</v>
          </cell>
        </row>
        <row r="668">
          <cell r="A668" t="str">
            <v>Die Adapter ( Under Water Palletizing System)</v>
          </cell>
          <cell r="E668">
            <v>86000</v>
          </cell>
        </row>
        <row r="669">
          <cell r="A669" t="str">
            <v>Filler Machine</v>
          </cell>
          <cell r="E669">
            <v>3500000</v>
          </cell>
        </row>
        <row r="670">
          <cell r="A670" t="str">
            <v>Stuffer For Alpha 50 Extruder</v>
          </cell>
          <cell r="E670">
            <v>277914</v>
          </cell>
        </row>
        <row r="671">
          <cell r="A671" t="str">
            <v xml:space="preserve">    Housekeeping Equipments</v>
          </cell>
          <cell r="E671">
            <v>343000</v>
          </cell>
        </row>
        <row r="672">
          <cell r="A672" t="str">
            <v>Industrial Vaccum Cleaner</v>
          </cell>
          <cell r="E672">
            <v>343000</v>
          </cell>
        </row>
        <row r="673">
          <cell r="A673" t="str">
            <v xml:space="preserve">    Laboratory Equipments</v>
          </cell>
          <cell r="E673">
            <v>5613992.6399999997</v>
          </cell>
        </row>
        <row r="674">
          <cell r="A674" t="str">
            <v>Digital Conditioning Chamber</v>
          </cell>
          <cell r="E674">
            <v>52020</v>
          </cell>
        </row>
        <row r="675">
          <cell r="A675" t="str">
            <v>Laboratory Equipments</v>
          </cell>
          <cell r="E675">
            <v>1308256.2</v>
          </cell>
        </row>
        <row r="676">
          <cell r="A676" t="str">
            <v>Round Cutter Gsm</v>
          </cell>
          <cell r="E676">
            <v>9443.83</v>
          </cell>
        </row>
        <row r="677">
          <cell r="A677" t="str">
            <v>Stroboscope Mxs 1300</v>
          </cell>
          <cell r="E677">
            <v>39500</v>
          </cell>
        </row>
        <row r="678">
          <cell r="A678" t="str">
            <v>Tansile Test Mach</v>
          </cell>
          <cell r="E678">
            <v>923589.5</v>
          </cell>
        </row>
        <row r="679">
          <cell r="A679" t="str">
            <v>Testing Machine</v>
          </cell>
          <cell r="E679">
            <v>3281183.11</v>
          </cell>
        </row>
        <row r="680">
          <cell r="A680" t="str">
            <v xml:space="preserve">    Laminaton Plant &amp; Ancilliaries</v>
          </cell>
          <cell r="E680">
            <v>50508321.049999997</v>
          </cell>
        </row>
        <row r="681">
          <cell r="A681" t="str">
            <v>Lamination Plant -Cl 2700</v>
          </cell>
          <cell r="E681">
            <v>7012857</v>
          </cell>
        </row>
        <row r="682">
          <cell r="A682" t="str">
            <v>Lamination Plant 1000Mm</v>
          </cell>
          <cell r="E682">
            <v>2224223</v>
          </cell>
        </row>
        <row r="683">
          <cell r="A683" t="str">
            <v>Lamination Plant Cl-3900</v>
          </cell>
          <cell r="E683">
            <v>2387812</v>
          </cell>
        </row>
        <row r="684">
          <cell r="A684" t="str">
            <v>Lamination Plant Jp 100 Rc</v>
          </cell>
          <cell r="E684">
            <v>38023212.049999997</v>
          </cell>
        </row>
        <row r="685">
          <cell r="A685" t="str">
            <v>Web Alinger Air Sensor</v>
          </cell>
          <cell r="E685">
            <v>128375</v>
          </cell>
        </row>
        <row r="686">
          <cell r="A686" t="str">
            <v>Web Alinger Machine</v>
          </cell>
          <cell r="E686">
            <v>156653</v>
          </cell>
        </row>
        <row r="687">
          <cell r="A687" t="str">
            <v>Winder Machine</v>
          </cell>
          <cell r="E687">
            <v>575189</v>
          </cell>
        </row>
        <row r="688">
          <cell r="A688" t="str">
            <v xml:space="preserve">    Liner Plant &amp; Ancilliaries</v>
          </cell>
          <cell r="E688">
            <v>26448828.800000001</v>
          </cell>
        </row>
        <row r="689">
          <cell r="A689" t="str">
            <v>Liner Bag Sealing Machine</v>
          </cell>
          <cell r="E689">
            <v>2013955</v>
          </cell>
        </row>
        <row r="690">
          <cell r="A690" t="str">
            <v>Monolayer Plant</v>
          </cell>
          <cell r="E690">
            <v>1929461</v>
          </cell>
        </row>
        <row r="691">
          <cell r="A691" t="str">
            <v>Multilayer (5 Layer) Blown Film Plant</v>
          </cell>
          <cell r="E691">
            <v>22505412.800000001</v>
          </cell>
        </row>
        <row r="692">
          <cell r="A692" t="str">
            <v xml:space="preserve">    Material Handling Equipments</v>
          </cell>
          <cell r="E692">
            <v>12722992.85</v>
          </cell>
        </row>
        <row r="693">
          <cell r="A693" t="str">
            <v>Bobbin Rack</v>
          </cell>
          <cell r="E693">
            <v>420328.8</v>
          </cell>
        </row>
        <row r="694">
          <cell r="A694" t="str">
            <v>Crane - Hoist Installations</v>
          </cell>
          <cell r="E694">
            <v>4133116.29</v>
          </cell>
        </row>
        <row r="695">
          <cell r="A695" t="str">
            <v>Heading Equipment Machine</v>
          </cell>
          <cell r="E695">
            <v>155000</v>
          </cell>
        </row>
        <row r="696">
          <cell r="A696" t="str">
            <v>Hydraulic Hand Pallet Truck</v>
          </cell>
          <cell r="E696">
            <v>1004969</v>
          </cell>
        </row>
        <row r="697">
          <cell r="A697" t="str">
            <v>Hydraulic Lift Machine</v>
          </cell>
          <cell r="E697">
            <v>1564968</v>
          </cell>
        </row>
        <row r="698">
          <cell r="A698" t="str">
            <v>Movable Ramp</v>
          </cell>
          <cell r="E698">
            <v>1034000</v>
          </cell>
        </row>
        <row r="699">
          <cell r="A699" t="str">
            <v>Plastic Carates - For Carrying Bobbins</v>
          </cell>
          <cell r="E699">
            <v>4180785.76</v>
          </cell>
        </row>
        <row r="700">
          <cell r="A700" t="str">
            <v>Trolly</v>
          </cell>
          <cell r="E700">
            <v>229825</v>
          </cell>
        </row>
        <row r="701">
          <cell r="A701" t="str">
            <v xml:space="preserve">    Multifilament/TFO &amp; Ancilliaries</v>
          </cell>
          <cell r="E701">
            <v>27386197.989999998</v>
          </cell>
        </row>
        <row r="702">
          <cell r="A702" t="str">
            <v>Cone Winding Machine</v>
          </cell>
          <cell r="E702">
            <v>547000</v>
          </cell>
        </row>
        <row r="703">
          <cell r="A703" t="str">
            <v>Multifilament Spinning Yarn</v>
          </cell>
          <cell r="E703">
            <v>4817153.34</v>
          </cell>
        </row>
        <row r="704">
          <cell r="A704" t="str">
            <v>Multifilament Yarn Plant</v>
          </cell>
          <cell r="E704">
            <v>7313998.25</v>
          </cell>
        </row>
        <row r="705">
          <cell r="A705" t="str">
            <v>Psrrc Tfo Machine</v>
          </cell>
          <cell r="E705">
            <v>599303</v>
          </cell>
        </row>
        <row r="706">
          <cell r="A706" t="str">
            <v>Ring Twister - Model-Hdt-612</v>
          </cell>
          <cell r="E706">
            <v>4411626</v>
          </cell>
        </row>
        <row r="707">
          <cell r="A707" t="str">
            <v>Ring Twister - Model-Hdt-812</v>
          </cell>
          <cell r="E707">
            <v>1297133</v>
          </cell>
        </row>
        <row r="708">
          <cell r="A708" t="str">
            <v>Tme Precision Closed Cone Winding Machine</v>
          </cell>
          <cell r="E708">
            <v>224200</v>
          </cell>
        </row>
        <row r="709">
          <cell r="A709" t="str">
            <v>Twisting Machine</v>
          </cell>
          <cell r="E709">
            <v>8175784.4000000004</v>
          </cell>
        </row>
        <row r="710">
          <cell r="A710" t="str">
            <v xml:space="preserve">    Needle Looms &amp; Accessories</v>
          </cell>
          <cell r="E710">
            <v>15257294.6</v>
          </cell>
        </row>
        <row r="711">
          <cell r="A711" t="str">
            <v>Filler Cord Winder</v>
          </cell>
          <cell r="E711">
            <v>158410</v>
          </cell>
        </row>
        <row r="712">
          <cell r="A712" t="str">
            <v>Knitting &amp; Braiding Machine</v>
          </cell>
          <cell r="E712">
            <v>2760468</v>
          </cell>
        </row>
        <row r="713">
          <cell r="A713" t="str">
            <v>Neating Mach-Ogdp-800</v>
          </cell>
          <cell r="E713">
            <v>471729.6</v>
          </cell>
        </row>
        <row r="714">
          <cell r="A714" t="str">
            <v>Needle Loom Machine</v>
          </cell>
          <cell r="E714">
            <v>11866687</v>
          </cell>
        </row>
        <row r="715">
          <cell r="A715" t="str">
            <v xml:space="preserve">    Plant &amp; Machineries</v>
          </cell>
          <cell r="E715">
            <v>218339517.55000001</v>
          </cell>
        </row>
        <row r="716">
          <cell r="A716" t="str">
            <v>Air Shower Machine</v>
          </cell>
          <cell r="E716">
            <v>395000</v>
          </cell>
        </row>
        <row r="717">
          <cell r="A717" t="str">
            <v>Auto Loop Sewing Machine Model No-PS-3055</v>
          </cell>
          <cell r="E717">
            <v>2088487.5</v>
          </cell>
        </row>
        <row r="718">
          <cell r="A718" t="str">
            <v>Auto Sewing Machine- Pbas 700C</v>
          </cell>
          <cell r="E718">
            <v>8052069.2000000002</v>
          </cell>
        </row>
        <row r="719">
          <cell r="A719" t="str">
            <v>Back Seam Woven Sack Bag Machine-GIYZ 1300</v>
          </cell>
          <cell r="E719">
            <v>12028170.539999999</v>
          </cell>
        </row>
        <row r="720">
          <cell r="A720" t="str">
            <v>Barell &amp; Carret</v>
          </cell>
          <cell r="E720">
            <v>430512</v>
          </cell>
        </row>
        <row r="721">
          <cell r="A721" t="str">
            <v>Clutch Motor</v>
          </cell>
          <cell r="E721">
            <v>529727.6</v>
          </cell>
        </row>
        <row r="722">
          <cell r="A722" t="str">
            <v>Fire Hydrant / Safety System</v>
          </cell>
          <cell r="E722">
            <v>2072956.6</v>
          </cell>
        </row>
        <row r="723">
          <cell r="A723" t="str">
            <v>Fire Safety Extinguisher</v>
          </cell>
          <cell r="E723">
            <v>6071189.2999999998</v>
          </cell>
        </row>
        <row r="724">
          <cell r="A724" t="str">
            <v>Fly Platform Machine</v>
          </cell>
          <cell r="E724">
            <v>176500</v>
          </cell>
        </row>
        <row r="725">
          <cell r="A725" t="str">
            <v>Hydraulic Loading Platform</v>
          </cell>
          <cell r="E725">
            <v>462865</v>
          </cell>
        </row>
        <row r="726">
          <cell r="A726" t="str">
            <v>Planatary Without Direction Changer</v>
          </cell>
          <cell r="E726">
            <v>93630</v>
          </cell>
        </row>
        <row r="727">
          <cell r="A727" t="str">
            <v>Plant &amp; Machinery</v>
          </cell>
          <cell r="E727">
            <v>110474594.2</v>
          </cell>
        </row>
        <row r="728">
          <cell r="A728" t="str">
            <v>Security Equipment</v>
          </cell>
          <cell r="E728">
            <v>10660</v>
          </cell>
        </row>
        <row r="729">
          <cell r="A729" t="str">
            <v>Solar Power Plant &amp; Accessories</v>
          </cell>
          <cell r="E729">
            <v>74874312.510000005</v>
          </cell>
        </row>
        <row r="730">
          <cell r="A730" t="str">
            <v>Tools &amp; Implements</v>
          </cell>
          <cell r="E730">
            <v>578843.1</v>
          </cell>
        </row>
        <row r="731">
          <cell r="A731" t="str">
            <v xml:space="preserve">    Power Generators</v>
          </cell>
          <cell r="E731">
            <v>73366415.409999996</v>
          </cell>
        </row>
        <row r="732">
          <cell r="A732" t="str">
            <v>DG Set</v>
          </cell>
          <cell r="E732">
            <v>4808445</v>
          </cell>
        </row>
        <row r="733">
          <cell r="A733" t="str">
            <v>Wind Mill 1.5 MW</v>
          </cell>
          <cell r="E733">
            <v>68557970.409999996</v>
          </cell>
        </row>
        <row r="734">
          <cell r="A734" t="str">
            <v xml:space="preserve">    Printing Machines</v>
          </cell>
          <cell r="E734">
            <v>14133177.24</v>
          </cell>
        </row>
        <row r="735">
          <cell r="A735" t="str">
            <v>4 Colour Jumbo Printing Machine</v>
          </cell>
          <cell r="E735">
            <v>650258</v>
          </cell>
        </row>
        <row r="736">
          <cell r="A736" t="str">
            <v>Corona Treater Machine A/C</v>
          </cell>
          <cell r="E736">
            <v>1250000</v>
          </cell>
        </row>
        <row r="737">
          <cell r="A737" t="str">
            <v>Cylinder Printing-Fa</v>
          </cell>
          <cell r="E737">
            <v>2422090.94</v>
          </cell>
        </row>
        <row r="738">
          <cell r="A738" t="str">
            <v>Expert Printing Machine</v>
          </cell>
          <cell r="E738">
            <v>72799.899999999994</v>
          </cell>
        </row>
        <row r="739">
          <cell r="A739" t="str">
            <v>Printing Machine</v>
          </cell>
          <cell r="E739">
            <v>1398408.4</v>
          </cell>
        </row>
        <row r="740">
          <cell r="A740" t="str">
            <v>Printing Machine 6 Colour</v>
          </cell>
          <cell r="E740">
            <v>609397</v>
          </cell>
        </row>
        <row r="741">
          <cell r="A741" t="str">
            <v>Printing Machine Three Colour</v>
          </cell>
          <cell r="E741">
            <v>419146</v>
          </cell>
        </row>
        <row r="742">
          <cell r="A742" t="str">
            <v>Printing Machine Two Colour</v>
          </cell>
          <cell r="E742">
            <v>4887552</v>
          </cell>
        </row>
        <row r="743">
          <cell r="A743" t="str">
            <v>Roller</v>
          </cell>
          <cell r="E743">
            <v>173525</v>
          </cell>
        </row>
        <row r="744">
          <cell r="A744" t="str">
            <v>Turret Rewind Station</v>
          </cell>
          <cell r="E744">
            <v>2250000</v>
          </cell>
        </row>
        <row r="745">
          <cell r="A745" t="str">
            <v xml:space="preserve">    Recycling Machines &amp; Ancilliaries</v>
          </cell>
          <cell r="E745">
            <v>15754540.52</v>
          </cell>
        </row>
        <row r="746">
          <cell r="A746" t="str">
            <v>Recycling Machine</v>
          </cell>
          <cell r="E746">
            <v>15754540.52</v>
          </cell>
        </row>
        <row r="747">
          <cell r="A747" t="str">
            <v>Recycling Machine - NGR</v>
          </cell>
          <cell r="E747">
            <v>0</v>
          </cell>
        </row>
        <row r="748">
          <cell r="A748" t="str">
            <v xml:space="preserve">    Rewinding/Inspection Machines</v>
          </cell>
          <cell r="E748">
            <v>1800000</v>
          </cell>
        </row>
        <row r="749">
          <cell r="A749" t="str">
            <v>Web Inspection Rewinding Machine</v>
          </cell>
          <cell r="E749">
            <v>1800000</v>
          </cell>
        </row>
        <row r="750">
          <cell r="A750" t="str">
            <v xml:space="preserve">    Slitting/Puching Machines</v>
          </cell>
          <cell r="E750">
            <v>21526486</v>
          </cell>
        </row>
        <row r="751">
          <cell r="A751" t="str">
            <v>Centre Pouch Packing Machine</v>
          </cell>
          <cell r="E751">
            <v>686520</v>
          </cell>
        </row>
        <row r="752">
          <cell r="A752" t="str">
            <v>Duplex Slitter Rewinding Machine</v>
          </cell>
          <cell r="E752">
            <v>3655871</v>
          </cell>
        </row>
        <row r="753">
          <cell r="A753" t="str">
            <v>High Speed Slitting Rewinder</v>
          </cell>
          <cell r="E753">
            <v>4448742</v>
          </cell>
        </row>
        <row r="754">
          <cell r="A754" t="str">
            <v>Pouch Making Machine</v>
          </cell>
          <cell r="E754">
            <v>4977422</v>
          </cell>
        </row>
        <row r="755">
          <cell r="A755" t="str">
            <v>Slitting Machine</v>
          </cell>
          <cell r="E755">
            <v>4792330</v>
          </cell>
        </row>
        <row r="756">
          <cell r="A756" t="str">
            <v>Surface Sliting Mac-&amp;-Rew Mach</v>
          </cell>
          <cell r="E756">
            <v>2965601</v>
          </cell>
        </row>
        <row r="757">
          <cell r="A757" t="str">
            <v xml:space="preserve">    Stitching Machines</v>
          </cell>
          <cell r="E757">
            <v>35210283.450000003</v>
          </cell>
        </row>
        <row r="758">
          <cell r="A758" t="str">
            <v>Stitching Machine</v>
          </cell>
          <cell r="E758">
            <v>30003625.649999999</v>
          </cell>
        </row>
        <row r="759">
          <cell r="A759" t="str">
            <v>Stitching Machine DR-FT-ST603</v>
          </cell>
          <cell r="E759">
            <v>442942</v>
          </cell>
        </row>
        <row r="760">
          <cell r="A760" t="str">
            <v>Stitching Machine HD502</v>
          </cell>
          <cell r="E760">
            <v>3665726</v>
          </cell>
        </row>
        <row r="761">
          <cell r="A761" t="str">
            <v>Stitching Machine With Table Orsan-4000H</v>
          </cell>
          <cell r="E761">
            <v>1097989.8</v>
          </cell>
        </row>
        <row r="762">
          <cell r="A762" t="str">
            <v xml:space="preserve">    Sulzer Looms</v>
          </cell>
          <cell r="E762">
            <v>1932796</v>
          </cell>
        </row>
        <row r="763">
          <cell r="A763" t="str">
            <v>Sulzer Looms</v>
          </cell>
          <cell r="E763">
            <v>1932796</v>
          </cell>
        </row>
        <row r="764">
          <cell r="A764" t="str">
            <v xml:space="preserve">    Tape Extrusion &amp; Ancilliary Machines</v>
          </cell>
          <cell r="E764">
            <v>206983433.05000001</v>
          </cell>
        </row>
        <row r="765">
          <cell r="A765" t="str">
            <v>Alluminium Pipe &amp; Fitting</v>
          </cell>
          <cell r="E765">
            <v>28803342.73</v>
          </cell>
        </row>
        <row r="766">
          <cell r="A766" t="str">
            <v>Cheese Pipes (Tape Plant)</v>
          </cell>
          <cell r="E766">
            <v>4777225</v>
          </cell>
        </row>
        <row r="767">
          <cell r="A767" t="str">
            <v>Cheese Winders</v>
          </cell>
          <cell r="E767">
            <v>18264148</v>
          </cell>
        </row>
        <row r="768">
          <cell r="A768" t="str">
            <v>Extrusion Line Barmag-Sulzer Looms</v>
          </cell>
          <cell r="E768">
            <v>-1932794</v>
          </cell>
        </row>
        <row r="769">
          <cell r="A769" t="str">
            <v>Fa Cutter Single  Ymp Plant</v>
          </cell>
          <cell r="E769">
            <v>28350</v>
          </cell>
        </row>
        <row r="770">
          <cell r="A770" t="str">
            <v>Fa- Tapeline 350Kg-Sjpl-Z-110X33-12X10</v>
          </cell>
          <cell r="E770">
            <v>30366108.780000001</v>
          </cell>
        </row>
        <row r="771">
          <cell r="A771" t="str">
            <v>Fa-Tape Line 650Kg-Sjpl-Z-120X32-1500X10</v>
          </cell>
          <cell r="E771">
            <v>39942385.469999999</v>
          </cell>
        </row>
        <row r="772">
          <cell r="A772" t="str">
            <v>Fibrilltor Pin Roll Shaft</v>
          </cell>
          <cell r="E772">
            <v>96500</v>
          </cell>
        </row>
        <row r="773">
          <cell r="A773" t="str">
            <v>Granule Mixer Cum Online Dryer</v>
          </cell>
          <cell r="E773">
            <v>100000</v>
          </cell>
        </row>
        <row r="774">
          <cell r="A774" t="str">
            <v>Gravimetric Dosing Mixing Machine</v>
          </cell>
          <cell r="E774">
            <v>12240440.07</v>
          </cell>
        </row>
        <row r="775">
          <cell r="A775" t="str">
            <v>Hopper Loader</v>
          </cell>
          <cell r="E775">
            <v>271380</v>
          </cell>
        </row>
        <row r="776">
          <cell r="A776" t="str">
            <v>Mixing Machine</v>
          </cell>
          <cell r="E776">
            <v>77150</v>
          </cell>
        </row>
        <row r="777">
          <cell r="A777" t="str">
            <v>Oven Machine [Tape]</v>
          </cell>
          <cell r="E777">
            <v>874000</v>
          </cell>
        </row>
        <row r="778">
          <cell r="A778" t="str">
            <v>Plastic Extrusion Tape Plant-E908, 1400</v>
          </cell>
          <cell r="E778">
            <v>4332000</v>
          </cell>
        </row>
        <row r="779">
          <cell r="A779" t="str">
            <v>Screw Barrel Dia 85 Mm</v>
          </cell>
          <cell r="E779">
            <v>140000</v>
          </cell>
        </row>
        <row r="780">
          <cell r="A780" t="str">
            <v>Tape Plant (Lohia)</v>
          </cell>
          <cell r="E780">
            <v>68603197</v>
          </cell>
        </row>
        <row r="781">
          <cell r="A781" t="str">
            <v xml:space="preserve">    Tarp Related Machines</v>
          </cell>
          <cell r="E781">
            <v>71138</v>
          </cell>
        </row>
        <row r="782">
          <cell r="A782" t="str">
            <v>Hand Sealing Machine</v>
          </cell>
          <cell r="E782">
            <v>13638</v>
          </cell>
        </row>
        <row r="783">
          <cell r="A783" t="str">
            <v>Strapping Machine</v>
          </cell>
          <cell r="E783">
            <v>57500</v>
          </cell>
        </row>
        <row r="784">
          <cell r="A784" t="str">
            <v xml:space="preserve">    Utility -Air Compressors</v>
          </cell>
          <cell r="E784">
            <v>7312861.46</v>
          </cell>
        </row>
        <row r="785">
          <cell r="A785" t="str">
            <v>Air Compressor</v>
          </cell>
          <cell r="E785">
            <v>6145862.46</v>
          </cell>
        </row>
        <row r="786">
          <cell r="A786" t="str">
            <v>Air Receiver With Cubic Meter</v>
          </cell>
          <cell r="E786">
            <v>44580</v>
          </cell>
        </row>
        <row r="787">
          <cell r="A787" t="str">
            <v>Compressed Air System</v>
          </cell>
          <cell r="E787">
            <v>168929</v>
          </cell>
        </row>
        <row r="788">
          <cell r="A788" t="str">
            <v>Rotary Screw Compressor</v>
          </cell>
          <cell r="E788">
            <v>953490</v>
          </cell>
        </row>
        <row r="789">
          <cell r="A789" t="str">
            <v xml:space="preserve">    Utility-Chillers</v>
          </cell>
          <cell r="E789">
            <v>4888415.92</v>
          </cell>
        </row>
        <row r="790">
          <cell r="A790" t="str">
            <v>Chiller Plant</v>
          </cell>
          <cell r="E790">
            <v>4888415.92</v>
          </cell>
        </row>
        <row r="791">
          <cell r="A791" t="str">
            <v xml:space="preserve">    Utility-Cooling Towers</v>
          </cell>
          <cell r="E791">
            <v>25941555.699999999</v>
          </cell>
        </row>
        <row r="792">
          <cell r="A792" t="str">
            <v>Air Cooling Plant</v>
          </cell>
          <cell r="E792">
            <v>21837273.699999999</v>
          </cell>
        </row>
        <row r="793">
          <cell r="A793" t="str">
            <v>Cooling Tower</v>
          </cell>
          <cell r="E793">
            <v>1643387</v>
          </cell>
        </row>
        <row r="794">
          <cell r="A794" t="str">
            <v>Cooling Tower Model No Ac-22</v>
          </cell>
          <cell r="E794">
            <v>85795</v>
          </cell>
        </row>
        <row r="795">
          <cell r="A795" t="str">
            <v>Cooling Tower New</v>
          </cell>
          <cell r="E795">
            <v>2282000</v>
          </cell>
        </row>
        <row r="796">
          <cell r="A796" t="str">
            <v>Cooling Tower Of 50Tr Capacity Model No.Md-50</v>
          </cell>
          <cell r="E796">
            <v>93100</v>
          </cell>
        </row>
        <row r="797">
          <cell r="A797" t="str">
            <v xml:space="preserve">    Utility-Other Machines</v>
          </cell>
          <cell r="E797">
            <v>20505691.559999999</v>
          </cell>
        </row>
        <row r="798">
          <cell r="A798" t="str">
            <v>Adhesive Seprator</v>
          </cell>
          <cell r="E798">
            <v>24819</v>
          </cell>
        </row>
        <row r="799">
          <cell r="A799" t="str">
            <v>Air Dryer</v>
          </cell>
          <cell r="E799">
            <v>433258</v>
          </cell>
        </row>
        <row r="800">
          <cell r="A800" t="str">
            <v>Alluminium Ladder</v>
          </cell>
          <cell r="E800">
            <v>16675</v>
          </cell>
        </row>
        <row r="801">
          <cell r="A801" t="str">
            <v>Bandshow Machine A/C</v>
          </cell>
          <cell r="E801">
            <v>56302</v>
          </cell>
        </row>
        <row r="802">
          <cell r="A802" t="str">
            <v>Blower Machine</v>
          </cell>
          <cell r="E802">
            <v>69758</v>
          </cell>
        </row>
        <row r="803">
          <cell r="A803" t="str">
            <v>Blower Machine-1X-1150</v>
          </cell>
          <cell r="E803">
            <v>54817</v>
          </cell>
        </row>
        <row r="804">
          <cell r="A804" t="str">
            <v>Boiler</v>
          </cell>
          <cell r="E804">
            <v>3215109</v>
          </cell>
        </row>
        <row r="805">
          <cell r="A805" t="str">
            <v>Dbl Stn Winder-1.2 Mtr-Unfld Dvc &amp; Thrm Cuter</v>
          </cell>
          <cell r="E805">
            <v>2659625.63</v>
          </cell>
        </row>
        <row r="806">
          <cell r="A806" t="str">
            <v>Drill Machine A/C</v>
          </cell>
          <cell r="E806">
            <v>138660</v>
          </cell>
        </row>
        <row r="807">
          <cell r="A807" t="str">
            <v>Hand Grinder Machine</v>
          </cell>
          <cell r="E807">
            <v>7650</v>
          </cell>
        </row>
        <row r="808">
          <cell r="A808" t="str">
            <v>Haydraulic Trolly</v>
          </cell>
          <cell r="E808">
            <v>251977</v>
          </cell>
        </row>
        <row r="809">
          <cell r="A809" t="str">
            <v>Hdpe Line (Pm)</v>
          </cell>
          <cell r="E809">
            <v>381584</v>
          </cell>
        </row>
        <row r="810">
          <cell r="A810" t="str">
            <v>Heat Exchanger</v>
          </cell>
          <cell r="E810">
            <v>135000</v>
          </cell>
        </row>
        <row r="811">
          <cell r="A811" t="str">
            <v>Lath Machine A/C</v>
          </cell>
          <cell r="E811">
            <v>371807</v>
          </cell>
        </row>
        <row r="812">
          <cell r="A812" t="str">
            <v>Machinery For Filtering &amp; Purifying Water</v>
          </cell>
          <cell r="E812">
            <v>47000</v>
          </cell>
        </row>
        <row r="813">
          <cell r="A813" t="str">
            <v>Milling Machine</v>
          </cell>
          <cell r="E813">
            <v>111150</v>
          </cell>
        </row>
        <row r="814">
          <cell r="A814" t="str">
            <v>Pipes &amp; Fittings</v>
          </cell>
          <cell r="E814">
            <v>4050642.45</v>
          </cell>
        </row>
        <row r="815">
          <cell r="A815" t="str">
            <v>Plate Hit Exchanger</v>
          </cell>
          <cell r="E815">
            <v>107065</v>
          </cell>
        </row>
        <row r="816">
          <cell r="A816" t="str">
            <v>Pumpset</v>
          </cell>
          <cell r="E816">
            <v>139624</v>
          </cell>
        </row>
        <row r="817">
          <cell r="A817" t="str">
            <v>Scrubber Cum Dryer  Machine</v>
          </cell>
          <cell r="E817">
            <v>90000</v>
          </cell>
        </row>
        <row r="818">
          <cell r="A818" t="str">
            <v>Sewage Treatment Plant</v>
          </cell>
          <cell r="E818">
            <v>2500417.08</v>
          </cell>
        </row>
        <row r="819">
          <cell r="A819" t="str">
            <v>Submarsible Pump</v>
          </cell>
          <cell r="E819">
            <v>758907.36</v>
          </cell>
        </row>
        <row r="820">
          <cell r="A820" t="str">
            <v>Thermic Fluid Pump - Type Cpk Egy 50-250 Capacity</v>
          </cell>
          <cell r="E820">
            <v>75000</v>
          </cell>
        </row>
        <row r="821">
          <cell r="A821" t="str">
            <v>Wall Air Circulator</v>
          </cell>
          <cell r="E821">
            <v>349108.97</v>
          </cell>
        </row>
        <row r="822">
          <cell r="A822" t="str">
            <v>Water Pipeline</v>
          </cell>
          <cell r="E822">
            <v>421373</v>
          </cell>
        </row>
        <row r="823">
          <cell r="A823" t="str">
            <v>Water Softening Plant</v>
          </cell>
          <cell r="E823">
            <v>1746437</v>
          </cell>
        </row>
        <row r="824">
          <cell r="A824" t="str">
            <v>Water Tank</v>
          </cell>
          <cell r="E824">
            <v>68400</v>
          </cell>
        </row>
        <row r="825">
          <cell r="A825" t="str">
            <v>Watering Vaccum Pump</v>
          </cell>
          <cell r="E825">
            <v>24354</v>
          </cell>
        </row>
        <row r="826">
          <cell r="A826" t="str">
            <v>Watertank 2000 Ltr Reno</v>
          </cell>
          <cell r="E826">
            <v>17200</v>
          </cell>
        </row>
        <row r="827">
          <cell r="A827" t="str">
            <v>Weight Bridge A/C</v>
          </cell>
          <cell r="E827">
            <v>69600</v>
          </cell>
        </row>
        <row r="828">
          <cell r="A828" t="str">
            <v>Weightment Scale</v>
          </cell>
          <cell r="E828">
            <v>1295000.95</v>
          </cell>
        </row>
        <row r="829">
          <cell r="A829" t="str">
            <v>Weightment Scale Electronic VIP</v>
          </cell>
          <cell r="E829">
            <v>677.12</v>
          </cell>
        </row>
        <row r="830">
          <cell r="A830" t="str">
            <v>Welding Machine</v>
          </cell>
          <cell r="E830">
            <v>126802</v>
          </cell>
        </row>
        <row r="831">
          <cell r="A831" t="str">
            <v>Welding Winder</v>
          </cell>
          <cell r="E831">
            <v>689891</v>
          </cell>
        </row>
        <row r="832">
          <cell r="A832" t="str">
            <v xml:space="preserve">    Warping Machines</v>
          </cell>
          <cell r="E832">
            <v>1061735</v>
          </cell>
        </row>
        <row r="833">
          <cell r="A833" t="str">
            <v>Beamer Leesona (Head)</v>
          </cell>
          <cell r="E833">
            <v>1061735</v>
          </cell>
        </row>
        <row r="834">
          <cell r="A834" t="str">
            <v xml:space="preserve">   Software, Computers &amp; Printers</v>
          </cell>
          <cell r="E834">
            <v>8420748.6600000001</v>
          </cell>
        </row>
        <row r="835">
          <cell r="A835" t="str">
            <v xml:space="preserve">    Computers &amp; Printers</v>
          </cell>
          <cell r="E835">
            <v>7834877.1399999997</v>
          </cell>
        </row>
        <row r="836">
          <cell r="A836" t="str">
            <v>Computers &amp; Printers</v>
          </cell>
          <cell r="E836">
            <v>7834877.1399999997</v>
          </cell>
        </row>
        <row r="837">
          <cell r="A837" t="str">
            <v xml:space="preserve">    Software</v>
          </cell>
          <cell r="E837">
            <v>585871.52</v>
          </cell>
        </row>
        <row r="838">
          <cell r="A838" t="str">
            <v>Other Softwares</v>
          </cell>
          <cell r="E838">
            <v>585871.52</v>
          </cell>
        </row>
        <row r="839">
          <cell r="A839" t="str">
            <v xml:space="preserve">   Vehicles</v>
          </cell>
          <cell r="E839">
            <v>36099966.969999999</v>
          </cell>
        </row>
        <row r="840">
          <cell r="A840" t="str">
            <v xml:space="preserve">    Cars/Light Vehicals</v>
          </cell>
          <cell r="E840">
            <v>20262993.989999998</v>
          </cell>
        </row>
        <row r="841">
          <cell r="A841" t="str">
            <v>Bmw 320Ld Sedan</v>
          </cell>
          <cell r="E841">
            <v>5673027</v>
          </cell>
        </row>
        <row r="842">
          <cell r="A842" t="str">
            <v>Car - BYD Atton03 Dymamic</v>
          </cell>
          <cell r="E842">
            <v>2649156</v>
          </cell>
        </row>
        <row r="843">
          <cell r="A843" t="str">
            <v>Car - Corolla Altis D-4D G GJ02DA3605</v>
          </cell>
          <cell r="E843">
            <v>1913449</v>
          </cell>
        </row>
        <row r="844">
          <cell r="A844" t="str">
            <v>Car - Honda Amaze 1.5 V Cvt I-DTEC GJ02DA3373</v>
          </cell>
          <cell r="E844">
            <v>964082</v>
          </cell>
        </row>
        <row r="845">
          <cell r="A845" t="str">
            <v>Car - Indigo (Gj12 T 4713)</v>
          </cell>
          <cell r="E845">
            <v>531020</v>
          </cell>
        </row>
        <row r="846">
          <cell r="A846" t="str">
            <v>Car - Maruti New Dzire Vxi BSvi-DRR4DVA00</v>
          </cell>
          <cell r="E846">
            <v>733185</v>
          </cell>
        </row>
        <row r="847">
          <cell r="A847" t="str">
            <v>Car - Maruti Suzuki Swift Dzire Ldi Bs Iv  (Gj-01-Re-4984)</v>
          </cell>
          <cell r="E847">
            <v>629656</v>
          </cell>
        </row>
        <row r="848">
          <cell r="A848" t="str">
            <v>Car - Optra (Gj12 Ae 1836)</v>
          </cell>
          <cell r="E848">
            <v>858373</v>
          </cell>
        </row>
        <row r="849">
          <cell r="A849" t="str">
            <v>Car - Ritz Vdi Bs Iv - (Maruti)</v>
          </cell>
          <cell r="E849">
            <v>561263</v>
          </cell>
        </row>
        <row r="850">
          <cell r="A850" t="str">
            <v>Car - Volkswagon Passat - Gj 1 Ka 2163</v>
          </cell>
          <cell r="E850">
            <v>2592738</v>
          </cell>
        </row>
        <row r="851">
          <cell r="A851" t="str">
            <v>Car – Mahindra XUV700 GJ01WK4063</v>
          </cell>
          <cell r="E851">
            <v>2746750.99</v>
          </cell>
        </row>
        <row r="852">
          <cell r="A852" t="str">
            <v>Cycle</v>
          </cell>
          <cell r="E852">
            <v>8015</v>
          </cell>
        </row>
        <row r="853">
          <cell r="A853" t="str">
            <v>Motorcycle Bajaj Platina AL Motor Cycle</v>
          </cell>
          <cell r="E853">
            <v>36400</v>
          </cell>
        </row>
        <row r="854">
          <cell r="A854" t="str">
            <v>Motorcycle CT100 (Gj 1 Fc 8399)</v>
          </cell>
          <cell r="E854">
            <v>36500</v>
          </cell>
        </row>
        <row r="855">
          <cell r="A855" t="str">
            <v>Motorcycle Hero Honda</v>
          </cell>
          <cell r="E855">
            <v>87249</v>
          </cell>
        </row>
        <row r="856">
          <cell r="A856" t="str">
            <v>Motorcycle Hero Honda-Gj 2A 2384</v>
          </cell>
          <cell r="E856">
            <v>43030</v>
          </cell>
        </row>
        <row r="857">
          <cell r="A857" t="str">
            <v>Motorcycle Hero Honda-Gj2A 2405</v>
          </cell>
          <cell r="E857">
            <v>43030</v>
          </cell>
        </row>
        <row r="858">
          <cell r="A858" t="str">
            <v>Motorcycle Honda Twister - Reg No</v>
          </cell>
          <cell r="E858">
            <v>55762</v>
          </cell>
        </row>
        <row r="859">
          <cell r="A859" t="str">
            <v>Motorcycle Passion Gj-12-Am 8237</v>
          </cell>
          <cell r="E859">
            <v>49397</v>
          </cell>
        </row>
        <row r="860">
          <cell r="A860" t="str">
            <v>Motorcycle Splendor(Gj-12 Am 8248)</v>
          </cell>
          <cell r="E860">
            <v>50911</v>
          </cell>
        </row>
        <row r="861">
          <cell r="A861" t="str">
            <v xml:space="preserve">    Forklifts/Hydra/Fire Fighter</v>
          </cell>
          <cell r="E861">
            <v>8102877.9800000004</v>
          </cell>
        </row>
        <row r="862">
          <cell r="A862" t="str">
            <v>Fork Lift - Ace</v>
          </cell>
          <cell r="E862">
            <v>1818539</v>
          </cell>
        </row>
        <row r="863">
          <cell r="A863" t="str">
            <v>Forklift Diesel Operated</v>
          </cell>
          <cell r="E863">
            <v>766214</v>
          </cell>
        </row>
        <row r="864">
          <cell r="A864" t="str">
            <v>Forklift RTO Rg No - Second</v>
          </cell>
          <cell r="E864">
            <v>669798</v>
          </cell>
        </row>
        <row r="865">
          <cell r="A865" t="str">
            <v>Forklift Truck, Toyota</v>
          </cell>
          <cell r="E865">
            <v>3428358</v>
          </cell>
        </row>
        <row r="866">
          <cell r="A866" t="str">
            <v>Forklift Voltas</v>
          </cell>
          <cell r="E866">
            <v>1419968.98</v>
          </cell>
        </row>
        <row r="867">
          <cell r="A867" t="str">
            <v xml:space="preserve">    Trucks/Buses</v>
          </cell>
          <cell r="E867">
            <v>7734095</v>
          </cell>
        </row>
        <row r="868">
          <cell r="A868" t="str">
            <v>Bus-Tata Starbus [Grt-4713]</v>
          </cell>
          <cell r="E868">
            <v>1507580</v>
          </cell>
        </row>
        <row r="869">
          <cell r="A869" t="str">
            <v>Star Tatabas(Staff Bus)</v>
          </cell>
          <cell r="E869">
            <v>2154376</v>
          </cell>
        </row>
        <row r="870">
          <cell r="A870" t="str">
            <v>Tata Bus-GJ12AY5730</v>
          </cell>
          <cell r="E870">
            <v>2191875</v>
          </cell>
        </row>
        <row r="871">
          <cell r="A871" t="str">
            <v>Tata Mobile (Gj12 X 6309)</v>
          </cell>
          <cell r="E871">
            <v>456989</v>
          </cell>
        </row>
        <row r="872">
          <cell r="A872" t="str">
            <v>Tata Tempo (Gj12 X 1935)</v>
          </cell>
          <cell r="E872">
            <v>648705</v>
          </cell>
        </row>
        <row r="873">
          <cell r="A873" t="str">
            <v>Water Tanker</v>
          </cell>
          <cell r="E873">
            <v>774570</v>
          </cell>
        </row>
        <row r="874">
          <cell r="A874" t="str">
            <v xml:space="preserve"> Expenses</v>
          </cell>
          <cell r="E874">
            <v>1315755980.78</v>
          </cell>
        </row>
        <row r="875">
          <cell r="A875" t="str">
            <v xml:space="preserve">  Direct Expenses</v>
          </cell>
          <cell r="E875">
            <v>1252114862.25</v>
          </cell>
        </row>
        <row r="876">
          <cell r="A876" t="str">
            <v xml:space="preserve">   Expenses On Purchase</v>
          </cell>
          <cell r="E876">
            <v>-8596760.1099999994</v>
          </cell>
        </row>
        <row r="877">
          <cell r="A877" t="str">
            <v>Discount &amp; Rate Difference - Purchase</v>
          </cell>
          <cell r="E877">
            <v>-10397075.1</v>
          </cell>
        </row>
        <row r="878">
          <cell r="A878" t="str">
            <v>Packing Forwading &amp; Cartage Expense</v>
          </cell>
          <cell r="E878">
            <v>201229.35</v>
          </cell>
        </row>
        <row r="879">
          <cell r="A879" t="str">
            <v>Round Off - Purchases</v>
          </cell>
          <cell r="E879">
            <v>58.42</v>
          </cell>
        </row>
        <row r="880">
          <cell r="A880" t="str">
            <v xml:space="preserve">    C &amp; F Charges - Import</v>
          </cell>
          <cell r="E880">
            <v>865254.64</v>
          </cell>
        </row>
        <row r="881">
          <cell r="A881" t="str">
            <v>C &amp; F  Charges  - Import</v>
          </cell>
          <cell r="E881">
            <v>344412.64</v>
          </cell>
        </row>
        <row r="882">
          <cell r="A882" t="str">
            <v>Custom Duty &amp; Charges</v>
          </cell>
          <cell r="E882">
            <v>520842</v>
          </cell>
        </row>
        <row r="883">
          <cell r="A883" t="str">
            <v xml:space="preserve">    Freight Inward Expense</v>
          </cell>
          <cell r="E883">
            <v>701768.45</v>
          </cell>
        </row>
        <row r="884">
          <cell r="A884" t="str">
            <v>Freight Inward Expense (RCM)</v>
          </cell>
          <cell r="E884">
            <v>656495</v>
          </cell>
        </row>
        <row r="885">
          <cell r="A885" t="str">
            <v>Freight Inward Expense (With GST)</v>
          </cell>
          <cell r="E885">
            <v>180293.45</v>
          </cell>
        </row>
        <row r="886">
          <cell r="A886" t="str">
            <v>Freight Inward Expense (Without Gst)</v>
          </cell>
          <cell r="E886">
            <v>-135020</v>
          </cell>
        </row>
        <row r="887">
          <cell r="A887" t="str">
            <v xml:space="preserve">    Licence Fees</v>
          </cell>
          <cell r="E887">
            <v>32004.13</v>
          </cell>
        </row>
        <row r="888">
          <cell r="A888" t="str">
            <v>Advance Licence Fee Expense</v>
          </cell>
          <cell r="E888">
            <v>32004.13</v>
          </cell>
        </row>
        <row r="889">
          <cell r="A889" t="str">
            <v xml:space="preserve">   Manufacturing Expenses</v>
          </cell>
          <cell r="E889">
            <v>108894236.59</v>
          </cell>
        </row>
        <row r="890">
          <cell r="A890" t="str">
            <v xml:space="preserve">    Factory  Expense</v>
          </cell>
          <cell r="E890">
            <v>62934103.259999998</v>
          </cell>
        </row>
        <row r="891">
          <cell r="A891" t="str">
            <v>Consumables, Tools &amp; Spare Expense</v>
          </cell>
          <cell r="E891">
            <v>237966.51</v>
          </cell>
        </row>
        <row r="892">
          <cell r="A892" t="str">
            <v>Electricity Exp (Staff Colony)</v>
          </cell>
          <cell r="E892">
            <v>346465</v>
          </cell>
        </row>
        <row r="893">
          <cell r="A893" t="str">
            <v>Factory Expense</v>
          </cell>
          <cell r="E893">
            <v>681761</v>
          </cell>
        </row>
        <row r="894">
          <cell r="A894" t="str">
            <v>Labour Charges</v>
          </cell>
          <cell r="E894">
            <v>28564418.940000001</v>
          </cell>
        </row>
        <row r="895">
          <cell r="A895" t="str">
            <v>Power Expense</v>
          </cell>
          <cell r="E895">
            <v>31404291.809999999</v>
          </cell>
        </row>
        <row r="896">
          <cell r="A896" t="str">
            <v>Rent Expense - Colony</v>
          </cell>
          <cell r="E896">
            <v>1171200</v>
          </cell>
        </row>
        <row r="897">
          <cell r="A897" t="str">
            <v xml:space="preserve">Rent Expense Colony With Gst </v>
          </cell>
          <cell r="E897">
            <v>480000</v>
          </cell>
        </row>
        <row r="898">
          <cell r="A898" t="str">
            <v>Rent Expenses - Machineries</v>
          </cell>
          <cell r="E898">
            <v>48000</v>
          </cell>
        </row>
        <row r="899">
          <cell r="A899" t="str">
            <v xml:space="preserve">    Other Operating Expenses</v>
          </cell>
          <cell r="E899">
            <v>44548297.049999997</v>
          </cell>
        </row>
        <row r="900">
          <cell r="A900" t="str">
            <v>Exchange Rate Difference - Creditor</v>
          </cell>
          <cell r="E900">
            <v>1864572.24</v>
          </cell>
        </row>
        <row r="901">
          <cell r="A901" t="str">
            <v>Insurance Expenses - Plant</v>
          </cell>
          <cell r="E901">
            <v>7788</v>
          </cell>
        </row>
        <row r="902">
          <cell r="A902" t="str">
            <v>Job Charges</v>
          </cell>
          <cell r="E902">
            <v>38132224.170000002</v>
          </cell>
        </row>
        <row r="903">
          <cell r="A903" t="str">
            <v>Loading &amp; Unloading Expense</v>
          </cell>
          <cell r="E903">
            <v>437359</v>
          </cell>
        </row>
        <row r="904">
          <cell r="A904" t="str">
            <v>Testing Charges</v>
          </cell>
          <cell r="E904">
            <v>1723541.64</v>
          </cell>
        </row>
        <row r="905">
          <cell r="A905" t="str">
            <v>Water Charges</v>
          </cell>
          <cell r="E905">
            <v>2292292</v>
          </cell>
        </row>
        <row r="906">
          <cell r="A906" t="str">
            <v>Weighment Expense</v>
          </cell>
          <cell r="E906">
            <v>90520</v>
          </cell>
        </row>
        <row r="907">
          <cell r="A907" t="str">
            <v xml:space="preserve">    Repairs And Maintenance Exp</v>
          </cell>
          <cell r="E907">
            <v>1411836.28</v>
          </cell>
        </row>
        <row r="908">
          <cell r="A908" t="str">
            <v>Repairs &amp; Maintenance Exp - Plant &amp; Machinery</v>
          </cell>
          <cell r="E908">
            <v>1411836.28</v>
          </cell>
        </row>
        <row r="909">
          <cell r="A909" t="str">
            <v xml:space="preserve">   Purchase A/C</v>
          </cell>
          <cell r="E909">
            <v>1151817385.77</v>
          </cell>
        </row>
        <row r="910">
          <cell r="A910" t="str">
            <v xml:space="preserve">    Branch Transfer In</v>
          </cell>
          <cell r="E910">
            <v>82619102.810000002</v>
          </cell>
        </row>
        <row r="911">
          <cell r="A911" t="str">
            <v>Branch Transfer In - Packing Material</v>
          </cell>
          <cell r="E911">
            <v>20928</v>
          </cell>
        </row>
        <row r="912">
          <cell r="A912" t="str">
            <v>Branch Transfer In - Raw Material</v>
          </cell>
          <cell r="E912">
            <v>82488566.489999995</v>
          </cell>
        </row>
        <row r="913">
          <cell r="A913" t="str">
            <v>Branch Transfer In - Stores, Spares &amp; Consumable</v>
          </cell>
          <cell r="E913">
            <v>52012.32</v>
          </cell>
        </row>
        <row r="914">
          <cell r="A914" t="str">
            <v>Branch Transfer In - Trading</v>
          </cell>
          <cell r="E914">
            <v>57596</v>
          </cell>
        </row>
        <row r="915">
          <cell r="A915" t="str">
            <v xml:space="preserve">    Purchase - Import - Raw Material</v>
          </cell>
          <cell r="E915">
            <v>123635730.09</v>
          </cell>
        </row>
        <row r="916">
          <cell r="A916" t="str">
            <v>Purchase Raw Material - Direct Import</v>
          </cell>
          <cell r="E916">
            <v>123635730.09</v>
          </cell>
        </row>
        <row r="917">
          <cell r="A917" t="str">
            <v xml:space="preserve">    Purchase - Packing Material </v>
          </cell>
          <cell r="E917">
            <v>6837157.1100000003</v>
          </cell>
        </row>
        <row r="918">
          <cell r="A918" t="str">
            <v>Purchase Interstate- Packing Material</v>
          </cell>
          <cell r="E918">
            <v>1500</v>
          </cell>
        </row>
        <row r="919">
          <cell r="A919" t="str">
            <v>Purchase Withinstate- Packing Material</v>
          </cell>
          <cell r="E919">
            <v>6835657.1100000003</v>
          </cell>
        </row>
        <row r="920">
          <cell r="A920" t="str">
            <v xml:space="preserve">    Purchase - Raw Material</v>
          </cell>
          <cell r="E920">
            <v>862356038.42999995</v>
          </cell>
        </row>
        <row r="921">
          <cell r="A921" t="str">
            <v>Purchase Interstate - Raw Material</v>
          </cell>
          <cell r="E921">
            <v>62718305</v>
          </cell>
        </row>
        <row r="922">
          <cell r="A922" t="str">
            <v>Purchase Return - Inter State - Raw Material</v>
          </cell>
          <cell r="E922">
            <v>-11577</v>
          </cell>
        </row>
        <row r="923">
          <cell r="A923" t="str">
            <v>Purchase Return - Within State - Raw Material</v>
          </cell>
          <cell r="E923">
            <v>-458156</v>
          </cell>
        </row>
        <row r="924">
          <cell r="A924" t="str">
            <v>Purchase Withinstate - Raw Material</v>
          </cell>
          <cell r="E924">
            <v>800107466.42999995</v>
          </cell>
        </row>
        <row r="925">
          <cell r="A925" t="str">
            <v xml:space="preserve">    Purchase - Stores, Spares &amp; Consumable</v>
          </cell>
          <cell r="E925">
            <v>18701463.280000001</v>
          </cell>
        </row>
        <row r="926">
          <cell r="A926" t="str">
            <v>Purchase - Import - Stores, Spares &amp; Consumable</v>
          </cell>
          <cell r="E926">
            <v>428825.46</v>
          </cell>
        </row>
        <row r="927">
          <cell r="A927" t="str">
            <v>Purchase - Urd - Stores, Spares &amp; Consumable</v>
          </cell>
          <cell r="E927">
            <v>12841</v>
          </cell>
        </row>
        <row r="928">
          <cell r="A928" t="str">
            <v>Purchase Interstate- Stores, Spares &amp; Consumable</v>
          </cell>
          <cell r="E928">
            <v>2319729.52</v>
          </cell>
        </row>
        <row r="929">
          <cell r="A929" t="str">
            <v>Purchase Return - Stores, Spares &amp; Consumable</v>
          </cell>
          <cell r="E929">
            <v>-66710</v>
          </cell>
        </row>
        <row r="930">
          <cell r="A930" t="str">
            <v>Purchase Withinstate- Stores, Spares &amp; Consumable</v>
          </cell>
          <cell r="E930">
            <v>16006777.300000001</v>
          </cell>
        </row>
        <row r="931">
          <cell r="A931" t="str">
            <v xml:space="preserve">    Purchase - Trading</v>
          </cell>
          <cell r="E931">
            <v>29891244.050000001</v>
          </cell>
        </row>
        <row r="932">
          <cell r="A932" t="str">
            <v>Purchase Trading - High Seas</v>
          </cell>
          <cell r="E932">
            <v>25014250</v>
          </cell>
        </row>
        <row r="933">
          <cell r="A933" t="str">
            <v>Purchase-Import - Third Party</v>
          </cell>
          <cell r="E933">
            <v>4876994.05</v>
          </cell>
        </row>
        <row r="934">
          <cell r="A934" t="str">
            <v xml:space="preserve">    Purchase Raw Material - Highseas</v>
          </cell>
          <cell r="E934">
            <v>27776650</v>
          </cell>
        </row>
        <row r="935">
          <cell r="A935" t="str">
            <v>Purchase Raw Material - High Seas</v>
          </cell>
          <cell r="E935">
            <v>27776650</v>
          </cell>
        </row>
        <row r="936">
          <cell r="A936" t="str">
            <v xml:space="preserve">  Indirect Expenses</v>
          </cell>
          <cell r="E936">
            <v>63641118.530000001</v>
          </cell>
        </row>
        <row r="937">
          <cell r="A937" t="str">
            <v xml:space="preserve">   Administrative &amp; General Exp</v>
          </cell>
          <cell r="E937">
            <v>14402105.369999999</v>
          </cell>
        </row>
        <row r="938">
          <cell r="A938" t="str">
            <v>Conveyance Expenses</v>
          </cell>
          <cell r="E938">
            <v>353674</v>
          </cell>
        </row>
        <row r="939">
          <cell r="A939" t="str">
            <v>Corporate social responsibility</v>
          </cell>
          <cell r="E939">
            <v>481163.4</v>
          </cell>
        </row>
        <row r="940">
          <cell r="A940" t="str">
            <v>Discount &amp; Rebate On Sale</v>
          </cell>
          <cell r="E940">
            <v>-49034.25</v>
          </cell>
        </row>
        <row r="941">
          <cell r="A941" t="str">
            <v>Donation &amp; Charity A/C</v>
          </cell>
          <cell r="E941">
            <v>70000</v>
          </cell>
        </row>
        <row r="942">
          <cell r="A942" t="str">
            <v>Electrical Expense</v>
          </cell>
          <cell r="E942">
            <v>2687811.49</v>
          </cell>
        </row>
        <row r="943">
          <cell r="A943" t="str">
            <v>Garden Mainteance Exp</v>
          </cell>
          <cell r="E943">
            <v>6400</v>
          </cell>
        </row>
        <row r="944">
          <cell r="A944" t="str">
            <v>House Keeping Expense</v>
          </cell>
          <cell r="E944">
            <v>1319167.7</v>
          </cell>
        </row>
        <row r="945">
          <cell r="A945" t="str">
            <v>Insurance Exp - Vehicles</v>
          </cell>
          <cell r="E945">
            <v>39827.17</v>
          </cell>
        </row>
        <row r="946">
          <cell r="A946" t="str">
            <v>Membership &amp; Subscription Fees</v>
          </cell>
          <cell r="E946">
            <v>24409</v>
          </cell>
        </row>
        <row r="947">
          <cell r="A947" t="str">
            <v>Miscellaneous Expense</v>
          </cell>
          <cell r="E947">
            <v>1015118.71</v>
          </cell>
        </row>
        <row r="948">
          <cell r="A948" t="str">
            <v>Mobile &amp; Telephone Expense</v>
          </cell>
          <cell r="E948">
            <v>227000.65</v>
          </cell>
        </row>
        <row r="949">
          <cell r="A949" t="str">
            <v>Office Expenses</v>
          </cell>
          <cell r="E949">
            <v>294957.53999999998</v>
          </cell>
        </row>
        <row r="950">
          <cell r="A950" t="str">
            <v>Petrol &amp; Diesel Expense - Other Vehicles</v>
          </cell>
          <cell r="E950">
            <v>9235</v>
          </cell>
        </row>
        <row r="951">
          <cell r="A951" t="str">
            <v>Postage &amp; Courier Expense</v>
          </cell>
          <cell r="E951">
            <v>54967</v>
          </cell>
        </row>
        <row r="952">
          <cell r="A952" t="str">
            <v>Printing &amp; Stationery Expense</v>
          </cell>
          <cell r="E952">
            <v>286269.53999999998</v>
          </cell>
        </row>
        <row r="953">
          <cell r="A953" t="str">
            <v>Round Off</v>
          </cell>
          <cell r="E953">
            <v>1950.2</v>
          </cell>
        </row>
        <row r="954">
          <cell r="A954" t="str">
            <v>Security Expenses</v>
          </cell>
          <cell r="E954">
            <v>892709</v>
          </cell>
        </row>
        <row r="955">
          <cell r="A955" t="str">
            <v>Travelling Expense</v>
          </cell>
          <cell r="E955">
            <v>3256821.93</v>
          </cell>
        </row>
        <row r="956">
          <cell r="A956" t="str">
            <v xml:space="preserve">    Repairs And Maintenance Exp Others</v>
          </cell>
          <cell r="E956">
            <v>1933407.29</v>
          </cell>
        </row>
        <row r="957">
          <cell r="A957" t="str">
            <v>Repairs &amp; Maintenance Exp - Building</v>
          </cell>
          <cell r="E957">
            <v>402371.02</v>
          </cell>
        </row>
        <row r="958">
          <cell r="A958" t="str">
            <v>Repairs &amp; Maintenance Exp - Computer &amp; Printers</v>
          </cell>
          <cell r="E958">
            <v>54050</v>
          </cell>
        </row>
        <row r="959">
          <cell r="A959" t="str">
            <v>Repairs &amp; Maintenance Exp - Electric</v>
          </cell>
          <cell r="E959">
            <v>434808.58</v>
          </cell>
        </row>
        <row r="960">
          <cell r="A960" t="str">
            <v>Repairs &amp; Maintenance Exp - Motor Cars</v>
          </cell>
          <cell r="E960">
            <v>71972</v>
          </cell>
        </row>
        <row r="961">
          <cell r="A961" t="str">
            <v>Repairs &amp; Maintenance Exp - Other Vehicles</v>
          </cell>
          <cell r="E961">
            <v>46921.84</v>
          </cell>
        </row>
        <row r="962">
          <cell r="A962" t="str">
            <v>Repairs &amp; Maintenance Exp - Others</v>
          </cell>
          <cell r="E962">
            <v>923283.85</v>
          </cell>
        </row>
        <row r="963">
          <cell r="A963" t="str">
            <v xml:space="preserve">    Vehicle Maintenance &amp; Repairs</v>
          </cell>
          <cell r="E963">
            <v>1496250</v>
          </cell>
        </row>
        <row r="964">
          <cell r="A964" t="str">
            <v>Vehicle Hire Charges - RCM</v>
          </cell>
          <cell r="E964">
            <v>555850</v>
          </cell>
        </row>
        <row r="965">
          <cell r="A965" t="str">
            <v>Vehicle Hire Charges - With Gst</v>
          </cell>
          <cell r="E965">
            <v>940400</v>
          </cell>
        </row>
        <row r="966">
          <cell r="A966" t="str">
            <v xml:space="preserve">   Employee Benefit Expenses</v>
          </cell>
          <cell r="E966">
            <v>34090176.93</v>
          </cell>
        </row>
        <row r="967">
          <cell r="A967" t="str">
            <v xml:space="preserve">    Provident Fund</v>
          </cell>
          <cell r="E967">
            <v>1446913</v>
          </cell>
        </row>
        <row r="968">
          <cell r="A968" t="str">
            <v>P.F. Admin. Charge</v>
          </cell>
          <cell r="E968">
            <v>60997</v>
          </cell>
        </row>
        <row r="969">
          <cell r="A969" t="str">
            <v>P.F. Contribution - Employer</v>
          </cell>
          <cell r="E969">
            <v>1385916</v>
          </cell>
        </row>
        <row r="970">
          <cell r="A970" t="str">
            <v xml:space="preserve">    Salaries,Wages And Bonus</v>
          </cell>
          <cell r="E970">
            <v>31735466.91</v>
          </cell>
        </row>
        <row r="971">
          <cell r="A971" t="str">
            <v>Allowance - Books &amp; Periodicals</v>
          </cell>
          <cell r="E971">
            <v>182854</v>
          </cell>
        </row>
        <row r="972">
          <cell r="A972" t="str">
            <v>Allowance - Canteen</v>
          </cell>
          <cell r="E972">
            <v>4009408.54</v>
          </cell>
        </row>
        <row r="973">
          <cell r="A973" t="str">
            <v>Allowance - Children Education &amp; Hostel</v>
          </cell>
          <cell r="E973">
            <v>189425</v>
          </cell>
        </row>
        <row r="974">
          <cell r="A974" t="str">
            <v>Allowance - Conveyance</v>
          </cell>
          <cell r="E974">
            <v>91207</v>
          </cell>
        </row>
        <row r="975">
          <cell r="A975" t="str">
            <v>Allowance - Driver &amp; Assistant</v>
          </cell>
          <cell r="E975">
            <v>65904</v>
          </cell>
        </row>
        <row r="976">
          <cell r="A976" t="str">
            <v>Allowance - House Rent</v>
          </cell>
          <cell r="E976">
            <v>7634113</v>
          </cell>
        </row>
        <row r="977">
          <cell r="A977" t="str">
            <v>Allowance - Leave Travels</v>
          </cell>
          <cell r="E977">
            <v>384654</v>
          </cell>
        </row>
        <row r="978">
          <cell r="A978" t="str">
            <v>Allowance - Medical</v>
          </cell>
          <cell r="E978">
            <v>148367</v>
          </cell>
        </row>
        <row r="979">
          <cell r="A979" t="str">
            <v>Allowance - Other</v>
          </cell>
          <cell r="E979">
            <v>403188</v>
          </cell>
        </row>
        <row r="980">
          <cell r="A980" t="str">
            <v>Allowance - Special</v>
          </cell>
          <cell r="E980">
            <v>1724576</v>
          </cell>
        </row>
        <row r="981">
          <cell r="A981" t="str">
            <v>Allowance - Transport</v>
          </cell>
          <cell r="E981">
            <v>234930</v>
          </cell>
        </row>
        <row r="982">
          <cell r="A982" t="str">
            <v>Allowance - Uniform / Attire</v>
          </cell>
          <cell r="E982">
            <v>481794</v>
          </cell>
        </row>
        <row r="983">
          <cell r="A983" t="str">
            <v>Allowance - Vehicle Maintenance</v>
          </cell>
          <cell r="E983">
            <v>81743</v>
          </cell>
        </row>
        <row r="984">
          <cell r="A984" t="str">
            <v>Allowance - Washing</v>
          </cell>
          <cell r="E984">
            <v>2682393.37</v>
          </cell>
        </row>
        <row r="985">
          <cell r="A985" t="str">
            <v>Att. Bonus (Salary Part)</v>
          </cell>
          <cell r="E985">
            <v>126650</v>
          </cell>
        </row>
        <row r="986">
          <cell r="A986" t="str">
            <v>Bonus Expense</v>
          </cell>
          <cell r="E986">
            <v>302608</v>
          </cell>
        </row>
        <row r="987">
          <cell r="A987" t="str">
            <v>Incentive Expense - Attendence</v>
          </cell>
          <cell r="E987">
            <v>49482</v>
          </cell>
        </row>
        <row r="988">
          <cell r="A988" t="str">
            <v>Incentive Expense - Production</v>
          </cell>
          <cell r="E988">
            <v>2148887</v>
          </cell>
        </row>
        <row r="989">
          <cell r="A989" t="str">
            <v>Leave Encashment</v>
          </cell>
          <cell r="E989">
            <v>75026</v>
          </cell>
        </row>
        <row r="990">
          <cell r="A990" t="str">
            <v>Notice Pay Deduction</v>
          </cell>
          <cell r="E990">
            <v>-34666</v>
          </cell>
        </row>
        <row r="991">
          <cell r="A991" t="str">
            <v>Other Deduction</v>
          </cell>
          <cell r="E991">
            <v>-68613</v>
          </cell>
        </row>
        <row r="992">
          <cell r="A992" t="str">
            <v>Salaries Expense</v>
          </cell>
          <cell r="E992">
            <v>9797643</v>
          </cell>
        </row>
        <row r="993">
          <cell r="A993" t="str">
            <v>Salary - Over Time</v>
          </cell>
          <cell r="E993">
            <v>663031</v>
          </cell>
        </row>
        <row r="994">
          <cell r="A994" t="str">
            <v>Staff Welfare Expense</v>
          </cell>
          <cell r="E994">
            <v>360862</v>
          </cell>
        </row>
        <row r="995">
          <cell r="A995" t="str">
            <v xml:space="preserve">    Staff Welfare Expense</v>
          </cell>
          <cell r="E995">
            <v>907797.02</v>
          </cell>
        </row>
        <row r="996">
          <cell r="A996" t="str">
            <v>Canteen Expense - Factory</v>
          </cell>
          <cell r="E996">
            <v>762046.02</v>
          </cell>
        </row>
        <row r="997">
          <cell r="A997" t="str">
            <v>Canteen Expense - Office</v>
          </cell>
          <cell r="E997">
            <v>12892</v>
          </cell>
        </row>
        <row r="998">
          <cell r="A998" t="str">
            <v>Medical Expense</v>
          </cell>
          <cell r="E998">
            <v>132859</v>
          </cell>
        </row>
        <row r="999">
          <cell r="A999" t="str">
            <v xml:space="preserve">   Finance Cost</v>
          </cell>
          <cell r="E999">
            <v>-816433.33</v>
          </cell>
        </row>
        <row r="1000">
          <cell r="A1000" t="str">
            <v xml:space="preserve">    Bank Commission &amp; Charges</v>
          </cell>
          <cell r="E1000">
            <v>4357341.84</v>
          </cell>
        </row>
        <row r="1001">
          <cell r="A1001" t="str">
            <v>Bank Charges -  Export Collection</v>
          </cell>
          <cell r="E1001">
            <v>1441690.06</v>
          </cell>
        </row>
        <row r="1002">
          <cell r="A1002" t="str">
            <v>Bank Charges - Import</v>
          </cell>
          <cell r="E1002">
            <v>128795.65</v>
          </cell>
        </row>
        <row r="1003">
          <cell r="A1003" t="str">
            <v>Bank Charges - LC</v>
          </cell>
          <cell r="E1003">
            <v>353080.04</v>
          </cell>
        </row>
        <row r="1004">
          <cell r="A1004" t="str">
            <v>Bank Charges - Postage &amp; Swift</v>
          </cell>
          <cell r="E1004">
            <v>21074</v>
          </cell>
        </row>
        <row r="1005">
          <cell r="A1005" t="str">
            <v>Bank Charges - Processing Fees</v>
          </cell>
          <cell r="E1005">
            <v>472000</v>
          </cell>
        </row>
        <row r="1006">
          <cell r="A1006" t="str">
            <v>Bank Charges- Others</v>
          </cell>
          <cell r="E1006">
            <v>1940702.09</v>
          </cell>
        </row>
        <row r="1007">
          <cell r="A1007" t="str">
            <v xml:space="preserve">    Exchange Rate Difference,Net</v>
          </cell>
          <cell r="E1007">
            <v>-39910842.560000002</v>
          </cell>
        </row>
        <row r="1008">
          <cell r="A1008" t="str">
            <v>Exchange Rate Difference - Debtors</v>
          </cell>
          <cell r="E1008">
            <v>-39910842.560000002</v>
          </cell>
        </row>
        <row r="1009">
          <cell r="A1009" t="str">
            <v xml:space="preserve">    Interest On Term Loan</v>
          </cell>
          <cell r="E1009">
            <v>6015586.9800000004</v>
          </cell>
        </row>
        <row r="1010">
          <cell r="A1010" t="str">
            <v>Interest Expense -  Term Loan</v>
          </cell>
          <cell r="E1010">
            <v>5875246</v>
          </cell>
        </row>
        <row r="1011">
          <cell r="A1011" t="str">
            <v>Interest Expense - Vehicle Loan</v>
          </cell>
          <cell r="E1011">
            <v>140340.98000000001</v>
          </cell>
        </row>
        <row r="1012">
          <cell r="A1012" t="str">
            <v xml:space="preserve">    Interest On Working Capital</v>
          </cell>
          <cell r="E1012">
            <v>27267639.280000001</v>
          </cell>
        </row>
        <row r="1013">
          <cell r="A1013" t="str">
            <v>Factoring Charges</v>
          </cell>
          <cell r="E1013">
            <v>1839066.73</v>
          </cell>
        </row>
        <row r="1014">
          <cell r="A1014" t="str">
            <v>Interest Expense - EPC</v>
          </cell>
          <cell r="E1014">
            <v>3471009.95</v>
          </cell>
        </row>
        <row r="1015">
          <cell r="A1015" t="str">
            <v>Interest Expense - Factoring</v>
          </cell>
          <cell r="E1015">
            <v>2139339.6</v>
          </cell>
        </row>
        <row r="1016">
          <cell r="A1016" t="str">
            <v>Interest Expense - Working Capital</v>
          </cell>
          <cell r="E1016">
            <v>19818223</v>
          </cell>
        </row>
        <row r="1017">
          <cell r="A1017" t="str">
            <v xml:space="preserve">    Other Finance Costs</v>
          </cell>
          <cell r="E1017">
            <v>1453841.13</v>
          </cell>
        </row>
        <row r="1018">
          <cell r="A1018" t="str">
            <v>Interest Expense - Other</v>
          </cell>
          <cell r="E1018">
            <v>1453841.13</v>
          </cell>
        </row>
        <row r="1019">
          <cell r="A1019" t="str">
            <v xml:space="preserve">   Other Expenses</v>
          </cell>
          <cell r="E1019">
            <v>4925937.9400000004</v>
          </cell>
        </row>
        <row r="1020">
          <cell r="A1020" t="str">
            <v xml:space="preserve">    Fees &amp; Taxes </v>
          </cell>
          <cell r="E1020">
            <v>703753.65</v>
          </cell>
        </row>
        <row r="1021">
          <cell r="A1021" t="str">
            <v>Fees &amp; Taxes</v>
          </cell>
          <cell r="E1021">
            <v>70320.649999999994</v>
          </cell>
        </row>
        <row r="1022">
          <cell r="A1022" t="str">
            <v>Income Tax Expenses</v>
          </cell>
          <cell r="E1022">
            <v>500</v>
          </cell>
        </row>
        <row r="1023">
          <cell r="A1023" t="str">
            <v>Interest On TDS</v>
          </cell>
          <cell r="E1023">
            <v>600</v>
          </cell>
        </row>
        <row r="1024">
          <cell r="A1024" t="str">
            <v>Property Tax</v>
          </cell>
          <cell r="E1024">
            <v>255933</v>
          </cell>
        </row>
        <row r="1025">
          <cell r="A1025" t="str">
            <v>Stamp Duty Expense</v>
          </cell>
          <cell r="E1025">
            <v>376400</v>
          </cell>
        </row>
        <row r="1026">
          <cell r="A1026" t="str">
            <v xml:space="preserve">    Insurance Expenses </v>
          </cell>
          <cell r="E1026">
            <v>162184</v>
          </cell>
        </row>
        <row r="1027">
          <cell r="A1027" t="str">
            <v>Insurance Expenses - Other</v>
          </cell>
          <cell r="E1027">
            <v>162184</v>
          </cell>
        </row>
        <row r="1028">
          <cell r="A1028" t="str">
            <v xml:space="preserve">    Legal &amp; Professional Expense</v>
          </cell>
          <cell r="E1028">
            <v>4057925.05</v>
          </cell>
        </row>
        <row r="1029">
          <cell r="A1029" t="str">
            <v>Advocate Fees Expense</v>
          </cell>
          <cell r="E1029">
            <v>28600</v>
          </cell>
        </row>
        <row r="1030">
          <cell r="A1030" t="str">
            <v>Audit Fees</v>
          </cell>
          <cell r="E1030">
            <v>34720</v>
          </cell>
        </row>
        <row r="1031">
          <cell r="A1031" t="str">
            <v>Legal Expense</v>
          </cell>
          <cell r="E1031">
            <v>21665</v>
          </cell>
        </row>
        <row r="1032">
          <cell r="A1032" t="str">
            <v>Professional &amp; Consultancy Fees</v>
          </cell>
          <cell r="E1032">
            <v>3972940.05</v>
          </cell>
        </row>
        <row r="1033">
          <cell r="A1033" t="str">
            <v xml:space="preserve">    Other Expense</v>
          </cell>
          <cell r="E1033">
            <v>2075.2399999999998</v>
          </cell>
        </row>
        <row r="1034">
          <cell r="A1034" t="str">
            <v>Balance Written Off Expense</v>
          </cell>
          <cell r="E1034">
            <v>2075.2399999999998</v>
          </cell>
        </row>
        <row r="1035">
          <cell r="A1035" t="str">
            <v xml:space="preserve">   Selling And Distribution Expenses</v>
          </cell>
          <cell r="E1035">
            <v>11039331.619999999</v>
          </cell>
        </row>
        <row r="1036">
          <cell r="A1036" t="str">
            <v xml:space="preserve">    Brokerage And Commission</v>
          </cell>
          <cell r="E1036">
            <v>400000</v>
          </cell>
        </row>
        <row r="1037">
          <cell r="A1037" t="str">
            <v>Brokerage &amp; Commission Expense</v>
          </cell>
          <cell r="E1037">
            <v>400000</v>
          </cell>
        </row>
        <row r="1038">
          <cell r="A1038" t="str">
            <v xml:space="preserve">    C &amp; F Charges - Export</v>
          </cell>
          <cell r="E1038">
            <v>-959344.61</v>
          </cell>
        </row>
        <row r="1039">
          <cell r="A1039" t="str">
            <v>C &amp; F  Charges - Export</v>
          </cell>
          <cell r="E1039">
            <v>-1069344.1100000001</v>
          </cell>
        </row>
        <row r="1040">
          <cell r="A1040" t="str">
            <v>C &amp; F Charges - Detention Outward</v>
          </cell>
          <cell r="E1040">
            <v>109999.5</v>
          </cell>
        </row>
        <row r="1041">
          <cell r="A1041" t="str">
            <v xml:space="preserve">    Expenses On Sales</v>
          </cell>
          <cell r="E1041">
            <v>11128389.51</v>
          </cell>
        </row>
        <row r="1042">
          <cell r="A1042" t="str">
            <v>Discount &amp; Rate Difference - Sales</v>
          </cell>
          <cell r="E1042">
            <v>1184557.17</v>
          </cell>
        </row>
        <row r="1043">
          <cell r="A1043" t="str">
            <v>Export related Certification Charges</v>
          </cell>
          <cell r="E1043">
            <v>23302.639999999999</v>
          </cell>
        </row>
        <row r="1044">
          <cell r="A1044" t="str">
            <v>Freight Outward Expense  - Export</v>
          </cell>
          <cell r="E1044">
            <v>-4565271.05</v>
          </cell>
        </row>
        <row r="1045">
          <cell r="A1045" t="str">
            <v>Freight Outward Expense (Rcm Inter-State)</v>
          </cell>
          <cell r="E1045">
            <v>507600</v>
          </cell>
        </row>
        <row r="1046">
          <cell r="A1046" t="str">
            <v>Freight Outward Expense (RCM)</v>
          </cell>
          <cell r="E1046">
            <v>7210</v>
          </cell>
        </row>
        <row r="1047">
          <cell r="A1047" t="str">
            <v>Freight Outward Expense (With GST)</v>
          </cell>
          <cell r="E1047">
            <v>11454081.189999999</v>
          </cell>
        </row>
        <row r="1048">
          <cell r="A1048" t="str">
            <v>Freight outward Expenses (RCM_Withinstate)</v>
          </cell>
          <cell r="E1048">
            <v>1781767</v>
          </cell>
        </row>
        <row r="1049">
          <cell r="A1049" t="str">
            <v>Fumigation Charges</v>
          </cell>
          <cell r="E1049">
            <v>115350</v>
          </cell>
        </row>
        <row r="1050">
          <cell r="A1050" t="str">
            <v>Ground Rent Charges</v>
          </cell>
          <cell r="E1050">
            <v>122140.52</v>
          </cell>
        </row>
        <row r="1051">
          <cell r="A1051" t="str">
            <v>Insurance Expense - Ecgc - Pc</v>
          </cell>
          <cell r="E1051">
            <v>517062.03</v>
          </cell>
        </row>
        <row r="1052">
          <cell r="A1052" t="str">
            <v>Insurance Expenses - Marine</v>
          </cell>
          <cell r="E1052">
            <v>-19409.54</v>
          </cell>
        </row>
        <row r="1053">
          <cell r="A1053" t="str">
            <v>Round Off - Sales</v>
          </cell>
          <cell r="E1053">
            <v>-0.45</v>
          </cell>
        </row>
        <row r="1054">
          <cell r="A1054" t="str">
            <v xml:space="preserve">    Sales &amp; Promotion Expense</v>
          </cell>
          <cell r="E1054">
            <v>470286.72</v>
          </cell>
        </row>
        <row r="1055">
          <cell r="A1055" t="str">
            <v>Sales Promotion Expense</v>
          </cell>
          <cell r="E1055">
            <v>84060</v>
          </cell>
        </row>
        <row r="1056">
          <cell r="A1056" t="str">
            <v>Travelling Expense - Foreign</v>
          </cell>
          <cell r="E1056">
            <v>386226.72</v>
          </cell>
        </row>
        <row r="1057">
          <cell r="A1057" t="str">
            <v xml:space="preserve"> Income</v>
          </cell>
          <cell r="E1057">
            <v>-1330144775.53</v>
          </cell>
        </row>
        <row r="1058">
          <cell r="A1058" t="str">
            <v xml:space="preserve">  Direct Income</v>
          </cell>
          <cell r="E1058">
            <v>-1325130835.53</v>
          </cell>
        </row>
        <row r="1059">
          <cell r="A1059" t="str">
            <v xml:space="preserve">   Sale Of Finished Goods</v>
          </cell>
          <cell r="E1059">
            <v>-1011741757.74</v>
          </cell>
        </row>
        <row r="1060">
          <cell r="A1060" t="str">
            <v xml:space="preserve">    Sales Deemed Export</v>
          </cell>
          <cell r="E1060">
            <v>-142679062.49000001</v>
          </cell>
        </row>
        <row r="1061">
          <cell r="A1061" t="str">
            <v>Sales - Kasez - Mfg - U/B</v>
          </cell>
          <cell r="E1061">
            <v>-142679062.49000001</v>
          </cell>
        </row>
        <row r="1062">
          <cell r="A1062" t="str">
            <v xml:space="preserve">    Sales Domestics</v>
          </cell>
          <cell r="E1062">
            <v>-551863085.64999998</v>
          </cell>
        </row>
        <row r="1063">
          <cell r="A1063" t="str">
            <v>Sales - Interstate - Manufactured Goods</v>
          </cell>
          <cell r="E1063">
            <v>-24909360</v>
          </cell>
        </row>
        <row r="1064">
          <cell r="A1064" t="str">
            <v>Sales - Merchant Export</v>
          </cell>
          <cell r="E1064">
            <v>-34773358.140000001</v>
          </cell>
        </row>
        <row r="1065">
          <cell r="A1065" t="str">
            <v>Sales - Within State  Manufactured Goods</v>
          </cell>
          <cell r="E1065">
            <v>-492180367.50999999</v>
          </cell>
        </row>
        <row r="1066">
          <cell r="A1066" t="str">
            <v xml:space="preserve">    Sales Export</v>
          </cell>
          <cell r="E1066">
            <v>-317199609.60000002</v>
          </cell>
        </row>
        <row r="1067">
          <cell r="A1067" t="str">
            <v>Sales - Direct Export - Mfg - U/B</v>
          </cell>
          <cell r="E1067">
            <v>-133298770.44</v>
          </cell>
        </row>
        <row r="1068">
          <cell r="A1068" t="str">
            <v>Sales - Direct Export - Mfg - U/R</v>
          </cell>
          <cell r="E1068">
            <v>-183900839.16</v>
          </cell>
        </row>
        <row r="1069">
          <cell r="A1069" t="str">
            <v xml:space="preserve">   Sale Of Services</v>
          </cell>
          <cell r="E1069">
            <v>-67332219.810000002</v>
          </cell>
        </row>
        <row r="1070">
          <cell r="A1070" t="str">
            <v xml:space="preserve">    Job Work Income</v>
          </cell>
          <cell r="E1070">
            <v>-67332219.810000002</v>
          </cell>
        </row>
        <row r="1071">
          <cell r="A1071" t="str">
            <v>Job Work Income</v>
          </cell>
          <cell r="E1071">
            <v>-66030180.810000002</v>
          </cell>
        </row>
        <row r="1072">
          <cell r="A1072" t="str">
            <v>Rent Income</v>
          </cell>
          <cell r="E1072">
            <v>-1302039</v>
          </cell>
        </row>
        <row r="1073">
          <cell r="A1073" t="str">
            <v xml:space="preserve">   Sale Of Traded Goods</v>
          </cell>
          <cell r="E1073">
            <v>-244800837.97999999</v>
          </cell>
        </row>
        <row r="1074">
          <cell r="A1074" t="str">
            <v xml:space="preserve">    Branch Transfer Out</v>
          </cell>
          <cell r="E1074">
            <v>-83628930.840000004</v>
          </cell>
        </row>
        <row r="1075">
          <cell r="A1075" t="str">
            <v>Branch Transfer Out - Raw Material</v>
          </cell>
          <cell r="E1075">
            <v>-47792720.579999998</v>
          </cell>
        </row>
        <row r="1076">
          <cell r="A1076" t="str">
            <v>Branch Transfer Out - Stores, Spares &amp; Consumable</v>
          </cell>
          <cell r="E1076">
            <v>-48280.4</v>
          </cell>
        </row>
        <row r="1077">
          <cell r="A1077" t="str">
            <v>Branch Transfer Out - Trading</v>
          </cell>
          <cell r="E1077">
            <v>-35787929.859999999</v>
          </cell>
        </row>
        <row r="1078">
          <cell r="A1078" t="str">
            <v xml:space="preserve">    Sales - High Seas</v>
          </cell>
          <cell r="E1078">
            <v>-25095750</v>
          </cell>
        </row>
        <row r="1079">
          <cell r="A1079" t="str">
            <v>Sales - High Seas</v>
          </cell>
          <cell r="E1079">
            <v>-25095750</v>
          </cell>
        </row>
        <row r="1080">
          <cell r="A1080" t="str">
            <v xml:space="preserve">    Sales Deemed Export - Traded Goods</v>
          </cell>
          <cell r="E1080">
            <v>-4800764.38</v>
          </cell>
        </row>
        <row r="1081">
          <cell r="A1081" t="str">
            <v>Sales - Kasez - Trading - U/B</v>
          </cell>
          <cell r="E1081">
            <v>-4800764.38</v>
          </cell>
        </row>
        <row r="1082">
          <cell r="A1082" t="str">
            <v xml:space="preserve">    Sales Export - Trading</v>
          </cell>
          <cell r="E1082">
            <v>-4876506.24</v>
          </cell>
        </row>
        <row r="1083">
          <cell r="A1083" t="str">
            <v>Sales - Export - Third Party</v>
          </cell>
          <cell r="E1083">
            <v>-4876506.24</v>
          </cell>
        </row>
        <row r="1084">
          <cell r="A1084" t="str">
            <v xml:space="preserve">    Sales Traded Goods</v>
          </cell>
          <cell r="E1084">
            <v>-126398886.52</v>
          </cell>
        </row>
        <row r="1085">
          <cell r="A1085" t="str">
            <v>Sales - Interstate - Traded Goods</v>
          </cell>
          <cell r="E1085">
            <v>-1274150.2</v>
          </cell>
        </row>
        <row r="1086">
          <cell r="A1086" t="str">
            <v>Sales - Within State - Traded Goods</v>
          </cell>
          <cell r="E1086">
            <v>-125124736.31999999</v>
          </cell>
        </row>
        <row r="1087">
          <cell r="A1087" t="str">
            <v xml:space="preserve">   Sales Others</v>
          </cell>
          <cell r="E1087">
            <v>-1256020</v>
          </cell>
        </row>
        <row r="1088">
          <cell r="A1088" t="str">
            <v xml:space="preserve">    Sales Domestics-Other Scrap</v>
          </cell>
          <cell r="E1088">
            <v>-1256020</v>
          </cell>
        </row>
        <row r="1089">
          <cell r="A1089" t="str">
            <v>Sales - Waste &amp; Scrape</v>
          </cell>
          <cell r="E1089">
            <v>-1256020</v>
          </cell>
        </row>
        <row r="1090">
          <cell r="A1090" t="str">
            <v xml:space="preserve">  Indirect Incomes</v>
          </cell>
          <cell r="E1090">
            <v>-5013940</v>
          </cell>
        </row>
        <row r="1091">
          <cell r="A1091" t="str">
            <v xml:space="preserve">   Other Income </v>
          </cell>
          <cell r="E1091">
            <v>-5013940</v>
          </cell>
        </row>
        <row r="1092">
          <cell r="A1092" t="str">
            <v>Income From Wind Mill</v>
          </cell>
          <cell r="E1092">
            <v>-5659422</v>
          </cell>
        </row>
        <row r="1093">
          <cell r="A1093" t="str">
            <v>Miscellaneous Income</v>
          </cell>
          <cell r="E1093">
            <v>-61200</v>
          </cell>
        </row>
        <row r="1094">
          <cell r="A1094" t="str">
            <v xml:space="preserve">    Interest Income</v>
          </cell>
          <cell r="E1094">
            <v>712163</v>
          </cell>
        </row>
        <row r="1095">
          <cell r="A1095" t="str">
            <v>Advance License Income</v>
          </cell>
          <cell r="E1095">
            <v>850830</v>
          </cell>
        </row>
        <row r="1096">
          <cell r="A1096" t="str">
            <v>Interest on FDR</v>
          </cell>
          <cell r="E1096">
            <v>-138667</v>
          </cell>
        </row>
        <row r="1097">
          <cell r="A1097" t="str">
            <v xml:space="preserve">    Liabilities no longer required written back</v>
          </cell>
          <cell r="E1097">
            <v>-5481</v>
          </cell>
        </row>
        <row r="1098">
          <cell r="A1098" t="str">
            <v>Balance Written Back Income</v>
          </cell>
          <cell r="E1098">
            <v>-5481</v>
          </cell>
        </row>
        <row r="1099">
          <cell r="A1099" t="str">
            <v xml:space="preserve"> Liabilities</v>
          </cell>
          <cell r="E1099">
            <v>-6784353661.9099998</v>
          </cell>
        </row>
        <row r="1100">
          <cell r="A1100" t="str">
            <v xml:space="preserve">  Capital &amp; Share Holder Fund</v>
          </cell>
          <cell r="E1100">
            <v>-1959615006.1099999</v>
          </cell>
        </row>
        <row r="1101">
          <cell r="A1101" t="str">
            <v xml:space="preserve">   Reserve &amp; Surplus</v>
          </cell>
          <cell r="E1101">
            <v>-1678633116.1099999</v>
          </cell>
        </row>
        <row r="1102">
          <cell r="A1102" t="str">
            <v xml:space="preserve">    Deffered Tax Liability</v>
          </cell>
          <cell r="E1102">
            <v>-58806496.329999998</v>
          </cell>
        </row>
        <row r="1103">
          <cell r="A1103" t="str">
            <v>Deffered Tax Liability A/c</v>
          </cell>
          <cell r="E1103">
            <v>-58806496.329999998</v>
          </cell>
        </row>
        <row r="1104">
          <cell r="A1104" t="str">
            <v xml:space="preserve">    Other Reserves- R&amp;S</v>
          </cell>
          <cell r="E1104">
            <v>-1136019</v>
          </cell>
        </row>
        <row r="1105">
          <cell r="A1105" t="str">
            <v>Lease Rent Equilisation Reserve</v>
          </cell>
          <cell r="E1105">
            <v>-1136019</v>
          </cell>
        </row>
        <row r="1106">
          <cell r="A1106" t="str">
            <v xml:space="preserve">    Profit &amp; Loss - R&amp;S</v>
          </cell>
          <cell r="E1106">
            <v>-1161379125.78</v>
          </cell>
        </row>
        <row r="1107">
          <cell r="A1107" t="str">
            <v>Profit &amp; Loss - R&amp;S</v>
          </cell>
          <cell r="E1107">
            <v>-1161379125.78</v>
          </cell>
        </row>
        <row r="1108">
          <cell r="A1108" t="str">
            <v xml:space="preserve">    Securities Premium- R&amp;S</v>
          </cell>
          <cell r="E1108">
            <v>-457311475</v>
          </cell>
        </row>
        <row r="1109">
          <cell r="A1109" t="str">
            <v>Share Premium</v>
          </cell>
          <cell r="E1109">
            <v>-454411475</v>
          </cell>
        </row>
        <row r="1110">
          <cell r="A1110" t="str">
            <v>Share Premium Ordinary Shares Class A</v>
          </cell>
          <cell r="E1110">
            <v>-2900000</v>
          </cell>
        </row>
        <row r="1111">
          <cell r="A1111" t="str">
            <v xml:space="preserve">   Share Capital</v>
          </cell>
          <cell r="E1111">
            <v>-280981890</v>
          </cell>
        </row>
        <row r="1112">
          <cell r="A1112" t="str">
            <v>Anil Goyal</v>
          </cell>
          <cell r="E1112">
            <v>0</v>
          </cell>
        </row>
        <row r="1113">
          <cell r="A1113" t="str">
            <v>Paid Up Equity Share Capital</v>
          </cell>
          <cell r="E1113">
            <v>-280981890</v>
          </cell>
        </row>
        <row r="1114">
          <cell r="A1114" t="str">
            <v xml:space="preserve">  Current Liabilities</v>
          </cell>
          <cell r="E1114">
            <v>-629465990.61000001</v>
          </cell>
        </row>
        <row r="1115">
          <cell r="A1115" t="str">
            <v xml:space="preserve">   Duties &amp; Taxes</v>
          </cell>
          <cell r="E1115">
            <v>-58193377.399999999</v>
          </cell>
        </row>
        <row r="1116">
          <cell r="A1116" t="str">
            <v xml:space="preserve">    Custom Duty</v>
          </cell>
          <cell r="E1116">
            <v>10000</v>
          </cell>
        </row>
        <row r="1117">
          <cell r="A1117" t="str">
            <v>Custom Duty Paid In Advance</v>
          </cell>
          <cell r="E1117">
            <v>10000</v>
          </cell>
        </row>
        <row r="1118">
          <cell r="A1118" t="str">
            <v xml:space="preserve">    GST Liabilities</v>
          </cell>
          <cell r="E1118">
            <v>-57230299.990000002</v>
          </cell>
        </row>
        <row r="1119">
          <cell r="A1119" t="str">
            <v>CGST Output A/c</v>
          </cell>
          <cell r="E1119">
            <v>-21912832.550000001</v>
          </cell>
        </row>
        <row r="1120">
          <cell r="A1120" t="str">
            <v>GST Payable A/c</v>
          </cell>
          <cell r="E1120">
            <v>0</v>
          </cell>
        </row>
        <row r="1121">
          <cell r="A1121" t="str">
            <v>GST RCM payable A/c</v>
          </cell>
          <cell r="E1121">
            <v>0</v>
          </cell>
        </row>
        <row r="1122">
          <cell r="A1122" t="str">
            <v>IGST Output A/c</v>
          </cell>
          <cell r="E1122">
            <v>-13404634.9</v>
          </cell>
        </row>
        <row r="1123">
          <cell r="A1123" t="str">
            <v>SGST Output A/c</v>
          </cell>
          <cell r="E1123">
            <v>-21912832.539999999</v>
          </cell>
        </row>
        <row r="1124">
          <cell r="A1124" t="str">
            <v xml:space="preserve">    Professional Tax Liability</v>
          </cell>
          <cell r="E1124">
            <v>1872</v>
          </cell>
        </row>
        <row r="1125">
          <cell r="A1125" t="str">
            <v>Professional Tax Liability A/c</v>
          </cell>
          <cell r="E1125">
            <v>1872</v>
          </cell>
        </row>
        <row r="1126">
          <cell r="A1126" t="str">
            <v xml:space="preserve">    Service Tax Liability</v>
          </cell>
          <cell r="E1126">
            <v>11321</v>
          </cell>
        </row>
        <row r="1127">
          <cell r="A1127" t="str">
            <v>Service Tax Liability A/c</v>
          </cell>
          <cell r="E1127">
            <v>11321</v>
          </cell>
        </row>
        <row r="1128">
          <cell r="A1128" t="str">
            <v xml:space="preserve">    TCS Payable</v>
          </cell>
          <cell r="E1128">
            <v>-5458.65</v>
          </cell>
        </row>
        <row r="1129">
          <cell r="A1129" t="str">
            <v>TCS on Sales 20-21</v>
          </cell>
          <cell r="E1129">
            <v>0</v>
          </cell>
        </row>
        <row r="1130">
          <cell r="A1130" t="str">
            <v>TCS On Sales 21-22</v>
          </cell>
          <cell r="E1130">
            <v>0</v>
          </cell>
        </row>
        <row r="1131">
          <cell r="A1131" t="str">
            <v>TCS On Sales 22-23</v>
          </cell>
          <cell r="E1131">
            <v>0</v>
          </cell>
        </row>
        <row r="1132">
          <cell r="A1132" t="str">
            <v>TCS On Sales 23-24</v>
          </cell>
          <cell r="E1132">
            <v>0</v>
          </cell>
        </row>
        <row r="1133">
          <cell r="A1133" t="str">
            <v>Tcs On Sales 24-25</v>
          </cell>
          <cell r="E1133">
            <v>-0.24</v>
          </cell>
        </row>
        <row r="1134">
          <cell r="A1134" t="str">
            <v>Tcs On Sales 25-26</v>
          </cell>
          <cell r="E1134">
            <v>0.39</v>
          </cell>
        </row>
        <row r="1135">
          <cell r="A1135" t="str">
            <v>Tcs On Sales 26-27</v>
          </cell>
          <cell r="E1135">
            <v>-5458.8</v>
          </cell>
        </row>
        <row r="1136">
          <cell r="A1136" t="str">
            <v xml:space="preserve">    TDS Payable</v>
          </cell>
          <cell r="E1136">
            <v>-980811.76</v>
          </cell>
        </row>
        <row r="1137">
          <cell r="A1137" t="str">
            <v>TDS -192 (Salary)</v>
          </cell>
          <cell r="E1137">
            <v>-10000</v>
          </cell>
        </row>
        <row r="1138">
          <cell r="A1138" t="str">
            <v>TDS -194A (Interest)</v>
          </cell>
          <cell r="E1138">
            <v>-123703</v>
          </cell>
        </row>
        <row r="1139">
          <cell r="A1139" t="str">
            <v>TDS -194C (Contractor)</v>
          </cell>
          <cell r="E1139">
            <v>-1626602</v>
          </cell>
        </row>
        <row r="1140">
          <cell r="A1140" t="str">
            <v>TDS -194H (Commission)</v>
          </cell>
          <cell r="E1140">
            <v>-8000</v>
          </cell>
        </row>
        <row r="1141">
          <cell r="A1141" t="str">
            <v>TDS -194I (Rent)</v>
          </cell>
          <cell r="E1141">
            <v>-86780</v>
          </cell>
        </row>
        <row r="1142">
          <cell r="A1142" t="str">
            <v>TDS -194J (Professional)</v>
          </cell>
          <cell r="E1142">
            <v>-283332</v>
          </cell>
        </row>
        <row r="1143">
          <cell r="A1143" t="str">
            <v>TDS -194Q (Goods)</v>
          </cell>
          <cell r="E1143">
            <v>-884851.61</v>
          </cell>
        </row>
        <row r="1144">
          <cell r="A1144" t="str">
            <v>TDS Payable U/S 194</v>
          </cell>
          <cell r="E1144">
            <v>2042456.85</v>
          </cell>
        </row>
        <row r="1145">
          <cell r="A1145" t="str">
            <v xml:space="preserve">   Statutory Dues</v>
          </cell>
          <cell r="E1145">
            <v>-950507.47</v>
          </cell>
        </row>
        <row r="1146">
          <cell r="A1146" t="str">
            <v xml:space="preserve">    Statutory Dues Employees</v>
          </cell>
          <cell r="E1146">
            <v>-851853.47</v>
          </cell>
        </row>
        <row r="1147">
          <cell r="A1147" t="str">
            <v>Bonus Payable</v>
          </cell>
          <cell r="E1147">
            <v>-3179103</v>
          </cell>
        </row>
        <row r="1148">
          <cell r="A1148" t="str">
            <v>Employees Contribution to PF - Factory</v>
          </cell>
          <cell r="E1148">
            <v>-3041</v>
          </cell>
        </row>
        <row r="1149">
          <cell r="A1149" t="str">
            <v>Employees Contribution to PF - H.O.</v>
          </cell>
          <cell r="E1149">
            <v>6623</v>
          </cell>
        </row>
        <row r="1150">
          <cell r="A1150" t="str">
            <v>Full &amp; Final Settlement Payable</v>
          </cell>
          <cell r="E1150">
            <v>35895.919999999998</v>
          </cell>
        </row>
        <row r="1151">
          <cell r="A1151" t="str">
            <v>Gratuity Payable</v>
          </cell>
          <cell r="E1151">
            <v>182538</v>
          </cell>
        </row>
        <row r="1152">
          <cell r="A1152" t="str">
            <v>Salary &amp; Wages Payable</v>
          </cell>
          <cell r="E1152">
            <v>2105233.61</v>
          </cell>
        </row>
        <row r="1153">
          <cell r="A1153" t="str">
            <v xml:space="preserve">    Statutory Dues Others</v>
          </cell>
          <cell r="E1153">
            <v>-98654</v>
          </cell>
        </row>
        <row r="1154">
          <cell r="A1154" t="str">
            <v>Interest to MSME Vendors Payable</v>
          </cell>
          <cell r="E1154">
            <v>-98654</v>
          </cell>
        </row>
        <row r="1155">
          <cell r="A1155" t="str">
            <v xml:space="preserve">   Suspense</v>
          </cell>
          <cell r="E1155">
            <v>361081</v>
          </cell>
        </row>
        <row r="1156">
          <cell r="A1156" t="str">
            <v>Suspense A/c</v>
          </cell>
          <cell r="E1156">
            <v>361081</v>
          </cell>
        </row>
        <row r="1157">
          <cell r="A1157" t="str">
            <v xml:space="preserve">   Trade Creditors</v>
          </cell>
          <cell r="E1157">
            <v>-570683186.74000001</v>
          </cell>
        </row>
        <row r="1158">
          <cell r="A1158" t="str">
            <v xml:space="preserve">    Creditors - Capital Goods</v>
          </cell>
          <cell r="E1158">
            <v>-22143</v>
          </cell>
        </row>
        <row r="1159">
          <cell r="A1159" t="str">
            <v>Devi Glass</v>
          </cell>
          <cell r="E1159">
            <v>-6676</v>
          </cell>
        </row>
        <row r="1160">
          <cell r="A1160" t="str">
            <v>Gayatri Rub Tech</v>
          </cell>
          <cell r="E1160">
            <v>0</v>
          </cell>
        </row>
        <row r="1161">
          <cell r="A1161" t="str">
            <v>Hafi Elektra Pvt Ltd</v>
          </cell>
          <cell r="E1161">
            <v>0</v>
          </cell>
        </row>
        <row r="1162">
          <cell r="A1162" t="str">
            <v>Icon Digital</v>
          </cell>
          <cell r="E1162">
            <v>0</v>
          </cell>
        </row>
        <row r="1163">
          <cell r="A1163" t="str">
            <v>Kaka Retails</v>
          </cell>
          <cell r="E1163">
            <v>0</v>
          </cell>
        </row>
        <row r="1164">
          <cell r="A1164" t="str">
            <v>Navdeep Traders</v>
          </cell>
          <cell r="E1164">
            <v>-15467</v>
          </cell>
        </row>
        <row r="1165">
          <cell r="A1165" t="str">
            <v>Pari Enterprises</v>
          </cell>
          <cell r="E1165">
            <v>0</v>
          </cell>
        </row>
        <row r="1166">
          <cell r="A1166" t="str">
            <v>Presinox Impex</v>
          </cell>
          <cell r="E1166">
            <v>0</v>
          </cell>
        </row>
        <row r="1167">
          <cell r="A1167" t="str">
            <v>San Enterprise</v>
          </cell>
          <cell r="E1167">
            <v>0</v>
          </cell>
        </row>
        <row r="1168">
          <cell r="A1168" t="str">
            <v xml:space="preserve">    Creditors - Packing Materials</v>
          </cell>
          <cell r="E1168">
            <v>-839867.34</v>
          </cell>
        </row>
        <row r="1169">
          <cell r="A1169" t="str">
            <v>Ashirvad Paper Solution</v>
          </cell>
          <cell r="E1169">
            <v>-91385</v>
          </cell>
        </row>
        <row r="1170">
          <cell r="A1170" t="str">
            <v>Chandanmal Parasmal Jain</v>
          </cell>
          <cell r="E1170">
            <v>0</v>
          </cell>
        </row>
        <row r="1171">
          <cell r="A1171" t="str">
            <v>Deluxe Plastic Works</v>
          </cell>
          <cell r="E1171">
            <v>-6673</v>
          </cell>
        </row>
        <row r="1172">
          <cell r="A1172" t="str">
            <v>Krishna Packaging</v>
          </cell>
          <cell r="E1172">
            <v>0</v>
          </cell>
        </row>
        <row r="1173">
          <cell r="A1173" t="str">
            <v>Labbdhi Paper Tubes Pvt Ltd</v>
          </cell>
          <cell r="E1173">
            <v>-7080</v>
          </cell>
        </row>
        <row r="1174">
          <cell r="A1174" t="str">
            <v>Metro Packaging</v>
          </cell>
          <cell r="E1174">
            <v>-495561</v>
          </cell>
        </row>
        <row r="1175">
          <cell r="A1175" t="str">
            <v>Pravin Timber Works (Unit II)</v>
          </cell>
          <cell r="E1175">
            <v>0</v>
          </cell>
        </row>
        <row r="1176">
          <cell r="A1176" t="str">
            <v>Premium Paper Products</v>
          </cell>
          <cell r="E1176">
            <v>-5992</v>
          </cell>
        </row>
        <row r="1177">
          <cell r="A1177" t="str">
            <v>Purbanchal Lumbers Pvt Ltd</v>
          </cell>
          <cell r="E1177">
            <v>75040</v>
          </cell>
        </row>
        <row r="1178">
          <cell r="A1178" t="str">
            <v>Radhesham Raviprakash Timbers Pvt Ltd</v>
          </cell>
          <cell r="E1178">
            <v>-5377</v>
          </cell>
        </row>
        <row r="1179">
          <cell r="A1179" t="str">
            <v>Saanvi Pallets</v>
          </cell>
          <cell r="E1179">
            <v>0</v>
          </cell>
        </row>
        <row r="1180">
          <cell r="A1180" t="str">
            <v>Shiv Shakti Enterprise</v>
          </cell>
          <cell r="E1180">
            <v>-133954</v>
          </cell>
        </row>
        <row r="1181">
          <cell r="A1181" t="str">
            <v>Shree Rang Packaging</v>
          </cell>
          <cell r="E1181">
            <v>-153654</v>
          </cell>
        </row>
        <row r="1182">
          <cell r="A1182" t="str">
            <v>Siddheshwar Enterprise</v>
          </cell>
          <cell r="E1182">
            <v>-15080</v>
          </cell>
        </row>
        <row r="1183">
          <cell r="A1183" t="str">
            <v>Vaibhavee Enterprises</v>
          </cell>
          <cell r="E1183">
            <v>-0.86</v>
          </cell>
        </row>
        <row r="1184">
          <cell r="A1184" t="str">
            <v>Veeshna Polypack Pvt Ltd - Purchase</v>
          </cell>
          <cell r="E1184">
            <v>-150.47999999999999</v>
          </cell>
        </row>
        <row r="1185">
          <cell r="A1185" t="str">
            <v xml:space="preserve">    Creditors - Stores &amp; Consumables</v>
          </cell>
          <cell r="E1185">
            <v>-14982641.310000001</v>
          </cell>
        </row>
        <row r="1186">
          <cell r="A1186" t="str">
            <v>A B Online</v>
          </cell>
          <cell r="E1186">
            <v>-188</v>
          </cell>
        </row>
        <row r="1187">
          <cell r="A1187" t="str">
            <v>A To Z Stationery And Zerox</v>
          </cell>
          <cell r="E1187">
            <v>-14815</v>
          </cell>
        </row>
        <row r="1188">
          <cell r="A1188" t="str">
            <v>A.V.R. Corporation</v>
          </cell>
          <cell r="E1188">
            <v>-833</v>
          </cell>
        </row>
        <row r="1189">
          <cell r="A1189" t="str">
            <v>Aadhya Shakti Forklift</v>
          </cell>
          <cell r="E1189">
            <v>-27553</v>
          </cell>
        </row>
        <row r="1190">
          <cell r="A1190" t="str">
            <v>Accurate Equipment</v>
          </cell>
          <cell r="E1190">
            <v>92500</v>
          </cell>
        </row>
        <row r="1191">
          <cell r="A1191" t="str">
            <v>Accurate Rub Tech</v>
          </cell>
          <cell r="E1191">
            <v>-65119</v>
          </cell>
        </row>
        <row r="1192">
          <cell r="A1192" t="str">
            <v>Addon Envirotech</v>
          </cell>
          <cell r="E1192">
            <v>0</v>
          </cell>
        </row>
        <row r="1193">
          <cell r="A1193" t="str">
            <v xml:space="preserve">Aflon Engineering Corporation </v>
          </cell>
          <cell r="E1193">
            <v>-22600</v>
          </cell>
        </row>
        <row r="1194">
          <cell r="A1194" t="str">
            <v>Agarwal Enterprise</v>
          </cell>
          <cell r="E1194">
            <v>-20796</v>
          </cell>
        </row>
        <row r="1195">
          <cell r="A1195" t="str">
            <v>Ahmedabad Cotton Waste Co.</v>
          </cell>
          <cell r="E1195">
            <v>-40005</v>
          </cell>
        </row>
        <row r="1196">
          <cell r="A1196" t="str">
            <v>Airmax Pneumatic Automation</v>
          </cell>
          <cell r="E1196">
            <v>0</v>
          </cell>
        </row>
        <row r="1197">
          <cell r="A1197" t="str">
            <v>Ajanta Chemicals</v>
          </cell>
          <cell r="E1197">
            <v>-4750</v>
          </cell>
        </row>
        <row r="1198">
          <cell r="A1198" t="str">
            <v>Aksha Medical &amp; Provison Stores</v>
          </cell>
          <cell r="E1198">
            <v>0</v>
          </cell>
        </row>
        <row r="1199">
          <cell r="A1199" t="str">
            <v>Akshara Graphics - Purchase</v>
          </cell>
          <cell r="E1199">
            <v>-196664</v>
          </cell>
        </row>
        <row r="1200">
          <cell r="A1200" t="str">
            <v>Alishan Sales</v>
          </cell>
          <cell r="E1200">
            <v>0</v>
          </cell>
        </row>
        <row r="1201">
          <cell r="A1201" t="str">
            <v>Almonard P Limited Ahmedabad</v>
          </cell>
          <cell r="E1201">
            <v>2078.34</v>
          </cell>
        </row>
        <row r="1202">
          <cell r="A1202" t="str">
            <v>Alok Master Batches Private Limited- Surangi</v>
          </cell>
          <cell r="E1202">
            <v>-650573.72</v>
          </cell>
        </row>
        <row r="1203">
          <cell r="A1203" t="str">
            <v>Alpha Electricals</v>
          </cell>
          <cell r="E1203">
            <v>-7095</v>
          </cell>
        </row>
        <row r="1204">
          <cell r="A1204" t="str">
            <v>Alpine Fibc Pvt Ltd - Purchase</v>
          </cell>
          <cell r="E1204">
            <v>0</v>
          </cell>
        </row>
        <row r="1205">
          <cell r="A1205" t="str">
            <v>Amatullah Enterprises</v>
          </cell>
          <cell r="E1205">
            <v>0</v>
          </cell>
        </row>
        <row r="1206">
          <cell r="A1206" t="str">
            <v>Ameya Perfomatt Private Limited (Maharashtra)</v>
          </cell>
          <cell r="E1206">
            <v>0</v>
          </cell>
        </row>
        <row r="1207">
          <cell r="A1207" t="str">
            <v>Amit Engineering</v>
          </cell>
          <cell r="E1207">
            <v>0</v>
          </cell>
        </row>
        <row r="1208">
          <cell r="A1208" t="str">
            <v>Amtek Instruments Pvt Ltd</v>
          </cell>
          <cell r="E1208">
            <v>-2997</v>
          </cell>
        </row>
        <row r="1209">
          <cell r="A1209" t="str">
            <v>Anand Engineering Works</v>
          </cell>
          <cell r="E1209">
            <v>-6372</v>
          </cell>
        </row>
        <row r="1210">
          <cell r="A1210" t="str">
            <v>Anar Rubtech Pvt Ltd</v>
          </cell>
          <cell r="E1210">
            <v>-89628.32</v>
          </cell>
        </row>
        <row r="1211">
          <cell r="A1211" t="str">
            <v>Anny Petroleum</v>
          </cell>
          <cell r="E1211">
            <v>0</v>
          </cell>
        </row>
        <row r="1212">
          <cell r="A1212" t="str">
            <v>Anukumpa Enterprises</v>
          </cell>
          <cell r="E1212">
            <v>-20111.169999999998</v>
          </cell>
        </row>
        <row r="1213">
          <cell r="A1213" t="str">
            <v xml:space="preserve">Ap Enterprise </v>
          </cell>
          <cell r="E1213">
            <v>-14491.4</v>
          </cell>
        </row>
        <row r="1214">
          <cell r="A1214" t="str">
            <v>Apex Electrocare Llp</v>
          </cell>
          <cell r="E1214">
            <v>0</v>
          </cell>
        </row>
        <row r="1215">
          <cell r="A1215" t="str">
            <v>Aptus Solutions</v>
          </cell>
          <cell r="E1215">
            <v>20060</v>
          </cell>
        </row>
        <row r="1216">
          <cell r="A1216" t="str">
            <v>Arihant Electricals</v>
          </cell>
          <cell r="E1216">
            <v>-17346</v>
          </cell>
        </row>
        <row r="1217">
          <cell r="A1217" t="str">
            <v>Armstrong</v>
          </cell>
          <cell r="E1217">
            <v>-351558.93</v>
          </cell>
        </row>
        <row r="1218">
          <cell r="A1218" t="str">
            <v>Arth Indane</v>
          </cell>
          <cell r="E1218">
            <v>0</v>
          </cell>
        </row>
        <row r="1219">
          <cell r="A1219" t="str">
            <v>Asha Mica Traders</v>
          </cell>
          <cell r="E1219">
            <v>0</v>
          </cell>
        </row>
        <row r="1220">
          <cell r="A1220" t="str">
            <v>Ashirwad Infocom</v>
          </cell>
          <cell r="E1220">
            <v>4910.1000000000004</v>
          </cell>
        </row>
        <row r="1221">
          <cell r="A1221" t="str">
            <v>Ashutosh Power Transbelts Ltd.</v>
          </cell>
          <cell r="E1221">
            <v>-9888.7999999999993</v>
          </cell>
        </row>
        <row r="1222">
          <cell r="A1222" t="str">
            <v>Astha International</v>
          </cell>
          <cell r="E1222">
            <v>0</v>
          </cell>
        </row>
        <row r="1223">
          <cell r="A1223" t="str">
            <v>Atc Plywood</v>
          </cell>
          <cell r="E1223">
            <v>-10713</v>
          </cell>
        </row>
        <row r="1224">
          <cell r="A1224" t="str">
            <v>August Technocrat</v>
          </cell>
          <cell r="E1224">
            <v>0</v>
          </cell>
        </row>
        <row r="1225">
          <cell r="A1225" t="str">
            <v>Aum Enterprise</v>
          </cell>
          <cell r="E1225">
            <v>-47429</v>
          </cell>
        </row>
        <row r="1226">
          <cell r="A1226" t="str">
            <v>Aum Polypack</v>
          </cell>
          <cell r="E1226">
            <v>-384521</v>
          </cell>
        </row>
        <row r="1227">
          <cell r="A1227" t="str">
            <v>Auriga Office Equipment</v>
          </cell>
          <cell r="E1227">
            <v>-21321</v>
          </cell>
        </row>
        <row r="1228">
          <cell r="A1228" t="str">
            <v>Automation &amp; Engineering Services</v>
          </cell>
          <cell r="E1228">
            <v>0</v>
          </cell>
        </row>
        <row r="1229">
          <cell r="A1229" t="str">
            <v>Avee Electro Engineers</v>
          </cell>
          <cell r="E1229">
            <v>-12117.1</v>
          </cell>
        </row>
        <row r="1230">
          <cell r="A1230" t="str">
            <v xml:space="preserve">Avin Enterprise  </v>
          </cell>
          <cell r="E1230">
            <v>0</v>
          </cell>
        </row>
        <row r="1231">
          <cell r="A1231" t="str">
            <v>Axle Steel &amp; Fasteners</v>
          </cell>
          <cell r="E1231">
            <v>-39677</v>
          </cell>
        </row>
        <row r="1232">
          <cell r="A1232" t="str">
            <v>B.C.Saraiya &amp; Co</v>
          </cell>
          <cell r="E1232">
            <v>-11033</v>
          </cell>
        </row>
        <row r="1233">
          <cell r="A1233" t="str">
            <v>Baviskar Sales &amp; Service</v>
          </cell>
          <cell r="E1233">
            <v>-0.2</v>
          </cell>
        </row>
        <row r="1234">
          <cell r="A1234" t="str">
            <v>Bhagvati Electrical</v>
          </cell>
          <cell r="E1234">
            <v>0</v>
          </cell>
        </row>
        <row r="1235">
          <cell r="A1235" t="str">
            <v>Bhagwati Sales Agencies</v>
          </cell>
          <cell r="E1235">
            <v>-15736</v>
          </cell>
        </row>
        <row r="1236">
          <cell r="A1236" t="str">
            <v>Bhavani International</v>
          </cell>
          <cell r="E1236">
            <v>0</v>
          </cell>
        </row>
        <row r="1237">
          <cell r="A1237" t="str">
            <v xml:space="preserve">Bombay Fire Safety </v>
          </cell>
          <cell r="E1237">
            <v>-578</v>
          </cell>
        </row>
        <row r="1238">
          <cell r="A1238" t="str">
            <v>BP Lubricants Pvt Ltd</v>
          </cell>
          <cell r="E1238">
            <v>-712248</v>
          </cell>
        </row>
        <row r="1239">
          <cell r="A1239" t="str">
            <v>Brahmani Graphics</v>
          </cell>
          <cell r="E1239">
            <v>-362874</v>
          </cell>
        </row>
        <row r="1240">
          <cell r="A1240" t="str">
            <v>Brahmani Labels</v>
          </cell>
          <cell r="E1240">
            <v>-484551.01</v>
          </cell>
        </row>
        <row r="1241">
          <cell r="A1241" t="str">
            <v>Brahmani Printers</v>
          </cell>
          <cell r="E1241">
            <v>-769013.8</v>
          </cell>
        </row>
        <row r="1242">
          <cell r="A1242" t="str">
            <v>Bright Rubber</v>
          </cell>
          <cell r="E1242">
            <v>-45287</v>
          </cell>
        </row>
        <row r="1243">
          <cell r="A1243" t="str">
            <v>Bst Eltromat India Private Limited</v>
          </cell>
          <cell r="E1243">
            <v>-355</v>
          </cell>
        </row>
        <row r="1244">
          <cell r="A1244" t="str">
            <v>BTC Engineering</v>
          </cell>
          <cell r="E1244">
            <v>3.1</v>
          </cell>
        </row>
        <row r="1245">
          <cell r="A1245" t="str">
            <v>C.H. Wirenetting Works</v>
          </cell>
          <cell r="E1245">
            <v>0</v>
          </cell>
        </row>
        <row r="1246">
          <cell r="A1246" t="str">
            <v>Cess Controls</v>
          </cell>
          <cell r="E1246">
            <v>0</v>
          </cell>
        </row>
        <row r="1247">
          <cell r="A1247" t="str">
            <v>Chakshu Engineering</v>
          </cell>
          <cell r="E1247">
            <v>0</v>
          </cell>
        </row>
        <row r="1248">
          <cell r="A1248" t="str">
            <v>Chandan Electric Store</v>
          </cell>
          <cell r="E1248">
            <v>-2891</v>
          </cell>
        </row>
        <row r="1249">
          <cell r="A1249" t="str">
            <v>Chemline India Ltd</v>
          </cell>
          <cell r="E1249">
            <v>-53100</v>
          </cell>
        </row>
        <row r="1250">
          <cell r="A1250" t="str">
            <v>Chirag Engineering Works</v>
          </cell>
          <cell r="E1250">
            <v>-20743</v>
          </cell>
        </row>
        <row r="1251">
          <cell r="A1251" t="str">
            <v>Cir-Q-Tech Tako Technologies Pvt. Ltd.</v>
          </cell>
          <cell r="E1251">
            <v>34.72</v>
          </cell>
        </row>
        <row r="1252">
          <cell r="A1252" t="str">
            <v>Cocoblu Retail Limited</v>
          </cell>
          <cell r="E1252">
            <v>0</v>
          </cell>
        </row>
        <row r="1253">
          <cell r="A1253" t="str">
            <v>Comet Chemicals</v>
          </cell>
          <cell r="E1253">
            <v>0</v>
          </cell>
        </row>
        <row r="1254">
          <cell r="A1254" t="str">
            <v>Crif Solutions Private Limited</v>
          </cell>
          <cell r="E1254">
            <v>-4720</v>
          </cell>
        </row>
        <row r="1255">
          <cell r="A1255" t="str">
            <v>CTM Technical Textiles Limited</v>
          </cell>
          <cell r="E1255">
            <v>0</v>
          </cell>
        </row>
        <row r="1256">
          <cell r="A1256" t="str">
            <v>Darshil Enterprise</v>
          </cell>
          <cell r="E1256">
            <v>0.48</v>
          </cell>
        </row>
        <row r="1257">
          <cell r="A1257" t="str">
            <v>Destiny Creator</v>
          </cell>
          <cell r="E1257">
            <v>-8850</v>
          </cell>
        </row>
        <row r="1258">
          <cell r="A1258" t="str">
            <v>Dhanlaxmi Trading Corporation</v>
          </cell>
          <cell r="E1258">
            <v>12571.33</v>
          </cell>
        </row>
        <row r="1259">
          <cell r="A1259" t="str">
            <v>Diamond Rubber Industries</v>
          </cell>
          <cell r="E1259">
            <v>-11789</v>
          </cell>
        </row>
        <row r="1260">
          <cell r="A1260" t="str">
            <v>Din Engineering Works</v>
          </cell>
          <cell r="E1260">
            <v>-38940</v>
          </cell>
        </row>
        <row r="1261">
          <cell r="A1261" t="str">
            <v>Disha Trading</v>
          </cell>
          <cell r="E1261">
            <v>0</v>
          </cell>
        </row>
        <row r="1262">
          <cell r="A1262" t="str">
            <v>Dwarkesh Refrigeration And Electrical</v>
          </cell>
          <cell r="E1262">
            <v>0</v>
          </cell>
        </row>
        <row r="1263">
          <cell r="A1263" t="str">
            <v>Dyesun Liva Chemicals</v>
          </cell>
          <cell r="E1263">
            <v>-43719</v>
          </cell>
        </row>
        <row r="1264">
          <cell r="A1264" t="str">
            <v>Dynamic Wooltex</v>
          </cell>
          <cell r="E1264">
            <v>-415768.5</v>
          </cell>
        </row>
        <row r="1265">
          <cell r="A1265" t="str">
            <v>Electro Mek Control</v>
          </cell>
          <cell r="E1265">
            <v>-174404</v>
          </cell>
        </row>
        <row r="1266">
          <cell r="A1266" t="str">
            <v>Elevar Industries</v>
          </cell>
          <cell r="E1266">
            <v>0</v>
          </cell>
        </row>
        <row r="1267">
          <cell r="A1267" t="str">
            <v>Endeavour Instrument Pvt Ltd</v>
          </cell>
          <cell r="E1267">
            <v>0</v>
          </cell>
        </row>
        <row r="1268">
          <cell r="A1268" t="str">
            <v>Espee Electricals</v>
          </cell>
          <cell r="E1268">
            <v>-45045</v>
          </cell>
        </row>
        <row r="1269">
          <cell r="A1269" t="str">
            <v>Everplus Plastics Pvt Ltd</v>
          </cell>
          <cell r="E1269">
            <v>-1365.78</v>
          </cell>
        </row>
        <row r="1270">
          <cell r="A1270" t="str">
            <v>Evolution Elektrotech Pvt Ltd</v>
          </cell>
          <cell r="E1270">
            <v>0</v>
          </cell>
        </row>
        <row r="1271">
          <cell r="A1271" t="str">
            <v>Excel Marketing</v>
          </cell>
          <cell r="E1271">
            <v>-16283.6</v>
          </cell>
        </row>
        <row r="1272">
          <cell r="A1272" t="str">
            <v>Excel Office Solution</v>
          </cell>
          <cell r="E1272">
            <v>-314221.84000000003</v>
          </cell>
        </row>
        <row r="1273">
          <cell r="A1273" t="str">
            <v>Excellent Material</v>
          </cell>
          <cell r="E1273">
            <v>0</v>
          </cell>
        </row>
        <row r="1274">
          <cell r="A1274" t="str">
            <v>Excelsior Engineering Enterprise</v>
          </cell>
          <cell r="E1274">
            <v>-56523</v>
          </cell>
        </row>
        <row r="1275">
          <cell r="A1275" t="str">
            <v>Flesha Paints &amp; Chemicals</v>
          </cell>
          <cell r="E1275">
            <v>-12036</v>
          </cell>
        </row>
        <row r="1276">
          <cell r="A1276" t="str">
            <v>Fm57 Firesystem</v>
          </cell>
          <cell r="E1276">
            <v>-6844</v>
          </cell>
        </row>
        <row r="1277">
          <cell r="A1277" t="str">
            <v>Gabbar Engineering Co.</v>
          </cell>
          <cell r="E1277">
            <v>2047.5</v>
          </cell>
        </row>
        <row r="1278">
          <cell r="A1278" t="str">
            <v>Galaxy Enterprise</v>
          </cell>
          <cell r="E1278">
            <v>-74340</v>
          </cell>
        </row>
        <row r="1279">
          <cell r="A1279" t="str">
            <v>Gandhar Oil Refinery India Ltd. - D AND H</v>
          </cell>
          <cell r="E1279">
            <v>7936.81</v>
          </cell>
        </row>
        <row r="1280">
          <cell r="A1280" t="str">
            <v>Ganesh Corporation</v>
          </cell>
          <cell r="E1280">
            <v>0.4</v>
          </cell>
        </row>
        <row r="1281">
          <cell r="A1281" t="str">
            <v>Ganesh Poly Graph</v>
          </cell>
          <cell r="E1281">
            <v>-21627</v>
          </cell>
        </row>
        <row r="1282">
          <cell r="A1282" t="str">
            <v>Gaurav Trans Engineers Private Limited</v>
          </cell>
          <cell r="E1282">
            <v>0</v>
          </cell>
        </row>
        <row r="1283">
          <cell r="A1283" t="str">
            <v>Gayatri Engineering Works</v>
          </cell>
          <cell r="E1283">
            <v>0</v>
          </cell>
        </row>
        <row r="1284">
          <cell r="A1284" t="str">
            <v>Gayatri Trading Company</v>
          </cell>
          <cell r="E1284">
            <v>-830</v>
          </cell>
        </row>
        <row r="1285">
          <cell r="A1285" t="str">
            <v>Ghanshyam Enterprise</v>
          </cell>
          <cell r="E1285">
            <v>-27823</v>
          </cell>
        </row>
        <row r="1286">
          <cell r="A1286" t="str">
            <v>Ginza Machinery Mfg.Co.</v>
          </cell>
          <cell r="E1286">
            <v>-35757.800000000003</v>
          </cell>
        </row>
        <row r="1287">
          <cell r="A1287" t="str">
            <v>Gladwin Techgen Pvt Ltd</v>
          </cell>
          <cell r="E1287">
            <v>0</v>
          </cell>
        </row>
        <row r="1288">
          <cell r="A1288" t="str">
            <v>Global Industries</v>
          </cell>
          <cell r="E1288">
            <v>-61456.800000000003</v>
          </cell>
        </row>
        <row r="1289">
          <cell r="A1289" t="str">
            <v>Gmmco Limited</v>
          </cell>
          <cell r="E1289">
            <v>0</v>
          </cell>
        </row>
        <row r="1290">
          <cell r="A1290" t="str">
            <v>Green Traders</v>
          </cell>
          <cell r="E1290">
            <v>-14750.01</v>
          </cell>
        </row>
        <row r="1291">
          <cell r="A1291" t="str">
            <v>Grippon Infrastructures</v>
          </cell>
          <cell r="E1291">
            <v>0</v>
          </cell>
        </row>
        <row r="1292">
          <cell r="A1292" t="str">
            <v>Gujarat Sales Corporation</v>
          </cell>
          <cell r="E1292">
            <v>-38965</v>
          </cell>
        </row>
        <row r="1293">
          <cell r="A1293" t="str">
            <v>Gujarat Tools</v>
          </cell>
          <cell r="E1293">
            <v>0</v>
          </cell>
        </row>
        <row r="1294">
          <cell r="A1294" t="str">
            <v>Guru Marketing</v>
          </cell>
          <cell r="E1294">
            <v>-5167.3999999999996</v>
          </cell>
        </row>
        <row r="1295">
          <cell r="A1295" t="str">
            <v>H.N.Dave Forklifts</v>
          </cell>
          <cell r="E1295">
            <v>0</v>
          </cell>
        </row>
        <row r="1296">
          <cell r="A1296" t="str">
            <v>Hare Krishna Trading Co.</v>
          </cell>
          <cell r="E1296">
            <v>-16590</v>
          </cell>
        </row>
        <row r="1297">
          <cell r="A1297" t="str">
            <v>Harsiddhi Creation</v>
          </cell>
          <cell r="E1297">
            <v>-118020.12</v>
          </cell>
        </row>
        <row r="1298">
          <cell r="A1298" t="str">
            <v>Hawa Automation Enterprise</v>
          </cell>
          <cell r="E1298">
            <v>-2785</v>
          </cell>
        </row>
        <row r="1299">
          <cell r="A1299" t="str">
            <v>Hemtech Incorporated</v>
          </cell>
          <cell r="E1299">
            <v>0</v>
          </cell>
        </row>
        <row r="1300">
          <cell r="A1300" t="str">
            <v>Hi Flex Hydraulics Pvt Ltd</v>
          </cell>
          <cell r="E1300">
            <v>-0.06</v>
          </cell>
        </row>
        <row r="1301">
          <cell r="A1301" t="str">
            <v>Himanshu Enterprise</v>
          </cell>
          <cell r="E1301">
            <v>-39079</v>
          </cell>
        </row>
        <row r="1302">
          <cell r="A1302" t="str">
            <v>Hindustan Acid Supply Co.</v>
          </cell>
          <cell r="E1302">
            <v>-5239</v>
          </cell>
        </row>
        <row r="1303">
          <cell r="A1303" t="str">
            <v>Hmt Ceramics &amp; Engineering</v>
          </cell>
          <cell r="E1303">
            <v>-0.2</v>
          </cell>
        </row>
        <row r="1304">
          <cell r="A1304" t="str">
            <v>Ikon Instruments</v>
          </cell>
          <cell r="E1304">
            <v>0</v>
          </cell>
        </row>
        <row r="1305">
          <cell r="A1305" t="str">
            <v>Indian Safety Solution</v>
          </cell>
          <cell r="E1305">
            <v>-2576</v>
          </cell>
        </row>
        <row r="1306">
          <cell r="A1306" t="str">
            <v>Indiana Bearings Private Limited</v>
          </cell>
          <cell r="E1306">
            <v>-5192</v>
          </cell>
        </row>
        <row r="1307">
          <cell r="A1307" t="str">
            <v>Infotek Software &amp; Systems Pvt Ltd</v>
          </cell>
          <cell r="E1307">
            <v>0</v>
          </cell>
        </row>
        <row r="1308">
          <cell r="A1308" t="str">
            <v>International Electricals</v>
          </cell>
          <cell r="E1308">
            <v>-17582</v>
          </cell>
        </row>
        <row r="1309">
          <cell r="A1309" t="str">
            <v>Itoyj</v>
          </cell>
          <cell r="E1309">
            <v>0</v>
          </cell>
        </row>
        <row r="1310">
          <cell r="A1310" t="str">
            <v>J P Extrusiontech Private Limited</v>
          </cell>
          <cell r="E1310">
            <v>-61748.6</v>
          </cell>
        </row>
        <row r="1311">
          <cell r="A1311" t="str">
            <v>J.J.Petroleum</v>
          </cell>
          <cell r="E1311">
            <v>0</v>
          </cell>
        </row>
        <row r="1312">
          <cell r="A1312" t="str">
            <v>Jain Electro Tech</v>
          </cell>
          <cell r="E1312">
            <v>0</v>
          </cell>
        </row>
        <row r="1313">
          <cell r="A1313" t="str">
            <v>Janta Engineering Co.(Pumpwala)</v>
          </cell>
          <cell r="E1313">
            <v>-3328</v>
          </cell>
        </row>
        <row r="1314">
          <cell r="A1314" t="str">
            <v>Jay Jagannath Industries - Prop Umeshbhai Kantilal Panchal</v>
          </cell>
          <cell r="E1314">
            <v>1515</v>
          </cell>
        </row>
        <row r="1315">
          <cell r="A1315" t="str">
            <v>Jay Jagannath Industries- 24GKEPP9703F1Z1</v>
          </cell>
          <cell r="E1315">
            <v>-73853</v>
          </cell>
        </row>
        <row r="1316">
          <cell r="A1316" t="str">
            <v>Jay Meldi Engineering Works</v>
          </cell>
          <cell r="E1316">
            <v>-35304.18</v>
          </cell>
        </row>
        <row r="1317">
          <cell r="A1317" t="str">
            <v>K Patel Drives Systems</v>
          </cell>
          <cell r="E1317">
            <v>-12489</v>
          </cell>
        </row>
        <row r="1318">
          <cell r="A1318" t="str">
            <v>Kabra Electricals</v>
          </cell>
          <cell r="E1318">
            <v>-123881.91</v>
          </cell>
        </row>
        <row r="1319">
          <cell r="A1319" t="str">
            <v>Kailash Enterprise</v>
          </cell>
          <cell r="E1319">
            <v>-16210</v>
          </cell>
        </row>
        <row r="1320">
          <cell r="A1320" t="str">
            <v>Kailash Sales Corporation</v>
          </cell>
          <cell r="E1320">
            <v>-5247</v>
          </cell>
        </row>
        <row r="1321">
          <cell r="A1321" t="str">
            <v>Kamakhya Rubber &amp; Hydraulics Industries</v>
          </cell>
          <cell r="E1321">
            <v>-1239</v>
          </cell>
        </row>
        <row r="1322">
          <cell r="A1322" t="str">
            <v>Kamaldeep Xerox And Stationers</v>
          </cell>
          <cell r="E1322">
            <v>-20862</v>
          </cell>
        </row>
        <row r="1323">
          <cell r="A1323" t="str">
            <v>Kan Power Rubber Industries</v>
          </cell>
          <cell r="E1323">
            <v>1062</v>
          </cell>
        </row>
        <row r="1324">
          <cell r="A1324" t="str">
            <v>Kant Plastology</v>
          </cell>
          <cell r="E1324">
            <v>0</v>
          </cell>
        </row>
        <row r="1325">
          <cell r="A1325" t="str">
            <v>Karmyog Plywood Centre</v>
          </cell>
          <cell r="E1325">
            <v>-1168.4000000000001</v>
          </cell>
        </row>
        <row r="1326">
          <cell r="A1326" t="str">
            <v xml:space="preserve">Karni Enterprise </v>
          </cell>
          <cell r="E1326">
            <v>-2198</v>
          </cell>
        </row>
        <row r="1327">
          <cell r="A1327" t="str">
            <v>Kashvi Pharma-Tech Engineering</v>
          </cell>
          <cell r="E1327">
            <v>-182370.18</v>
          </cell>
        </row>
        <row r="1328">
          <cell r="A1328" t="str">
            <v>KDR Engineers</v>
          </cell>
          <cell r="E1328">
            <v>0</v>
          </cell>
        </row>
        <row r="1329">
          <cell r="A1329" t="str">
            <v>Keshar Automation</v>
          </cell>
          <cell r="E1329">
            <v>78706</v>
          </cell>
        </row>
        <row r="1330">
          <cell r="A1330" t="str">
            <v>Khator Enterprises</v>
          </cell>
          <cell r="E1330">
            <v>-15576</v>
          </cell>
        </row>
        <row r="1331">
          <cell r="A1331" t="str">
            <v>Kijeka Engineers Pvt Ltd.</v>
          </cell>
          <cell r="E1331">
            <v>0</v>
          </cell>
        </row>
        <row r="1332">
          <cell r="A1332" t="str">
            <v>Kishan Traders - Gandhidham</v>
          </cell>
          <cell r="E1332">
            <v>-15968</v>
          </cell>
        </row>
        <row r="1333">
          <cell r="A1333" t="str">
            <v>Krishna Engineering Works - Ahmedabad</v>
          </cell>
          <cell r="E1333">
            <v>16500</v>
          </cell>
        </row>
        <row r="1334">
          <cell r="A1334" t="str">
            <v>Krishna Enterprise - Ashram Road, Ahmedabad</v>
          </cell>
          <cell r="E1334">
            <v>-7434</v>
          </cell>
        </row>
        <row r="1335">
          <cell r="A1335" t="str">
            <v>Krishna Enterprise - Navrangpura</v>
          </cell>
          <cell r="E1335">
            <v>-1505</v>
          </cell>
        </row>
        <row r="1336">
          <cell r="A1336" t="str">
            <v>Krishna Enterprise-Sabarmati</v>
          </cell>
          <cell r="E1336">
            <v>0</v>
          </cell>
        </row>
        <row r="1337">
          <cell r="A1337" t="str">
            <v>Krishna Traders</v>
          </cell>
          <cell r="E1337">
            <v>0</v>
          </cell>
        </row>
        <row r="1338">
          <cell r="A1338" t="str">
            <v>Krunal Enterprise</v>
          </cell>
          <cell r="E1338">
            <v>0</v>
          </cell>
        </row>
        <row r="1339">
          <cell r="A1339" t="str">
            <v xml:space="preserve">Labdhi Engineering Pvt Ltd </v>
          </cell>
          <cell r="E1339">
            <v>-47660</v>
          </cell>
        </row>
        <row r="1340">
          <cell r="A1340" t="str">
            <v>Lohia Corp Limited - 09AAKCK2932Q1ZU - UP</v>
          </cell>
          <cell r="E1340">
            <v>1186736.8999999999</v>
          </cell>
        </row>
        <row r="1341">
          <cell r="A1341" t="str">
            <v>Lohia Corp Limited - 24AAKCK2932Q1Z2 - Guj</v>
          </cell>
          <cell r="E1341">
            <v>-154162.29</v>
          </cell>
        </row>
        <row r="1342">
          <cell r="A1342" t="str">
            <v>Lohia Global Solutions - Gujarat - (A Div of Lohia Corp Ltd)</v>
          </cell>
          <cell r="E1342">
            <v>-666874.4</v>
          </cell>
        </row>
        <row r="1343">
          <cell r="A1343" t="str">
            <v>Lohia Global Solutions - Karnataka (Div Of Lohia Corp)</v>
          </cell>
          <cell r="E1343">
            <v>-13683.6</v>
          </cell>
        </row>
        <row r="1344">
          <cell r="A1344" t="str">
            <v>Lohia Global Solutions - UP - (A Div of Lohia Corp Ltd)</v>
          </cell>
          <cell r="E1344">
            <v>-817970.71</v>
          </cell>
        </row>
        <row r="1345">
          <cell r="A1345" t="str">
            <v>Lohia Global Solutions Pvt Ltd, Gujarat</v>
          </cell>
          <cell r="E1345">
            <v>0</v>
          </cell>
        </row>
        <row r="1346">
          <cell r="A1346" t="str">
            <v>Lubgraf Products</v>
          </cell>
          <cell r="E1346">
            <v>-2660</v>
          </cell>
        </row>
        <row r="1347">
          <cell r="A1347" t="str">
            <v>Lubi Electronics</v>
          </cell>
          <cell r="E1347">
            <v>128</v>
          </cell>
        </row>
        <row r="1348">
          <cell r="A1348" t="str">
            <v>Maa Durga Engineering</v>
          </cell>
          <cell r="E1348">
            <v>-23010</v>
          </cell>
        </row>
        <row r="1349">
          <cell r="A1349" t="str">
            <v>Mahakali Trading Company</v>
          </cell>
          <cell r="E1349">
            <v>-16578.330000000002</v>
          </cell>
        </row>
        <row r="1350">
          <cell r="A1350" t="str">
            <v>Mahavir Business Solutions</v>
          </cell>
          <cell r="E1350">
            <v>-0.4</v>
          </cell>
        </row>
        <row r="1351">
          <cell r="A1351" t="str">
            <v>Mahavir Enterprise</v>
          </cell>
          <cell r="E1351">
            <v>-2348</v>
          </cell>
        </row>
        <row r="1352">
          <cell r="A1352" t="str">
            <v>Maitry Enterprises</v>
          </cell>
          <cell r="E1352">
            <v>-1472.6</v>
          </cell>
        </row>
        <row r="1353">
          <cell r="A1353" t="str">
            <v>Manoj Tyres</v>
          </cell>
          <cell r="E1353">
            <v>0</v>
          </cell>
        </row>
        <row r="1354">
          <cell r="A1354" t="str">
            <v>Max Spare Limited</v>
          </cell>
          <cell r="E1354">
            <v>-3241.53</v>
          </cell>
        </row>
        <row r="1355">
          <cell r="A1355" t="str">
            <v>Mehjal Adhesive Tapes Pvt. Ltd.</v>
          </cell>
          <cell r="E1355">
            <v>-1264089.26</v>
          </cell>
        </row>
        <row r="1356">
          <cell r="A1356" t="str">
            <v>Mehta Plywood</v>
          </cell>
          <cell r="E1356">
            <v>-20390</v>
          </cell>
        </row>
        <row r="1357">
          <cell r="A1357" t="str">
            <v>Mehta Sales Corporate</v>
          </cell>
          <cell r="E1357">
            <v>1640.2</v>
          </cell>
        </row>
        <row r="1358">
          <cell r="A1358" t="str">
            <v>Metalex Agencies</v>
          </cell>
          <cell r="E1358">
            <v>-6195</v>
          </cell>
        </row>
        <row r="1359">
          <cell r="A1359" t="str">
            <v>Milestone Pneumatics</v>
          </cell>
          <cell r="E1359">
            <v>0</v>
          </cell>
        </row>
        <row r="1360">
          <cell r="A1360" t="str">
            <v>Milin Tubes</v>
          </cell>
          <cell r="E1360">
            <v>0</v>
          </cell>
        </row>
        <row r="1361">
          <cell r="A1361" t="str">
            <v>Mohta Electric And Engineering Co</v>
          </cell>
          <cell r="E1361">
            <v>-0.7</v>
          </cell>
        </row>
        <row r="1362">
          <cell r="A1362" t="str">
            <v>Monarch Info</v>
          </cell>
          <cell r="E1362">
            <v>-900</v>
          </cell>
        </row>
        <row r="1363">
          <cell r="A1363" t="str">
            <v xml:space="preserve">Moolchand Agencies </v>
          </cell>
          <cell r="E1363">
            <v>844.48</v>
          </cell>
        </row>
        <row r="1364">
          <cell r="A1364" t="str">
            <v>Morbia Infotech</v>
          </cell>
          <cell r="E1364">
            <v>0</v>
          </cell>
        </row>
        <row r="1365">
          <cell r="A1365" t="str">
            <v>Mukund Steels</v>
          </cell>
          <cell r="E1365">
            <v>0</v>
          </cell>
        </row>
        <row r="1366">
          <cell r="A1366" t="str">
            <v>Multi Enterprise</v>
          </cell>
          <cell r="E1366">
            <v>-840</v>
          </cell>
        </row>
        <row r="1367">
          <cell r="A1367" t="str">
            <v>Muni Enterprises</v>
          </cell>
          <cell r="E1367">
            <v>0</v>
          </cell>
        </row>
        <row r="1368">
          <cell r="A1368" t="str">
            <v>Murlidhar Paper Tube</v>
          </cell>
          <cell r="E1368">
            <v>-190250</v>
          </cell>
        </row>
        <row r="1369">
          <cell r="A1369" t="str">
            <v>Nada Poly Plast</v>
          </cell>
          <cell r="E1369">
            <v>-38586</v>
          </cell>
        </row>
        <row r="1370">
          <cell r="A1370" t="str">
            <v>Naran Scissors Works &amp; Traders</v>
          </cell>
          <cell r="E1370">
            <v>-1269.2</v>
          </cell>
        </row>
        <row r="1371">
          <cell r="A1371" t="str">
            <v>Neer Industries</v>
          </cell>
          <cell r="E1371">
            <v>0</v>
          </cell>
        </row>
        <row r="1372">
          <cell r="A1372" t="str">
            <v>New Arm</v>
          </cell>
          <cell r="E1372">
            <v>-44083</v>
          </cell>
        </row>
        <row r="1373">
          <cell r="A1373" t="str">
            <v>New Manu Engineering &amp; Co.</v>
          </cell>
          <cell r="E1373">
            <v>-38744</v>
          </cell>
        </row>
        <row r="1374">
          <cell r="A1374" t="str">
            <v>New Raj Fashion</v>
          </cell>
          <cell r="E1374">
            <v>0</v>
          </cell>
        </row>
        <row r="1375">
          <cell r="A1375" t="str">
            <v>Nigam Hardware</v>
          </cell>
          <cell r="E1375">
            <v>-1947</v>
          </cell>
        </row>
        <row r="1376">
          <cell r="A1376" t="str">
            <v>Nigam Marketing</v>
          </cell>
          <cell r="E1376">
            <v>0</v>
          </cell>
        </row>
        <row r="1377">
          <cell r="A1377" t="str">
            <v>Nikshe Multiproducts Pvt Ltd</v>
          </cell>
          <cell r="E1377">
            <v>0</v>
          </cell>
        </row>
        <row r="1378">
          <cell r="A1378" t="str">
            <v>Nishith Enterprise</v>
          </cell>
          <cell r="E1378">
            <v>-249091</v>
          </cell>
        </row>
        <row r="1379">
          <cell r="A1379" t="str">
            <v>Nordson India Private Limited</v>
          </cell>
          <cell r="E1379">
            <v>0</v>
          </cell>
        </row>
        <row r="1380">
          <cell r="A1380" t="str">
            <v>Nrs Industrial Products</v>
          </cell>
          <cell r="E1380">
            <v>-10796.4</v>
          </cell>
        </row>
        <row r="1381">
          <cell r="A1381" t="str">
            <v>Nu-Vu Conair Private Limited</v>
          </cell>
          <cell r="E1381">
            <v>-4579.3100000000004</v>
          </cell>
        </row>
        <row r="1382">
          <cell r="A1382" t="str">
            <v>Nylopick Industries</v>
          </cell>
          <cell r="E1382">
            <v>-330.4</v>
          </cell>
        </row>
        <row r="1383">
          <cell r="A1383" t="str">
            <v>Oak Tradeklink</v>
          </cell>
          <cell r="E1383">
            <v>707.68</v>
          </cell>
        </row>
        <row r="1384">
          <cell r="A1384" t="str">
            <v>Office Tools Stationery</v>
          </cell>
          <cell r="E1384">
            <v>0.64</v>
          </cell>
        </row>
        <row r="1385">
          <cell r="A1385" t="str">
            <v>Om Enterprises - Gandhidham</v>
          </cell>
          <cell r="E1385">
            <v>0</v>
          </cell>
        </row>
        <row r="1386">
          <cell r="A1386" t="str">
            <v>Om Enterprises Delhi</v>
          </cell>
          <cell r="E1386">
            <v>0</v>
          </cell>
        </row>
        <row r="1387">
          <cell r="A1387" t="str">
            <v>Om Hydraulic</v>
          </cell>
          <cell r="E1387">
            <v>55474</v>
          </cell>
        </row>
        <row r="1388">
          <cell r="A1388" t="str">
            <v>Omega Fire &amp; Safety Products</v>
          </cell>
          <cell r="E1388">
            <v>3899.8</v>
          </cell>
        </row>
        <row r="1389">
          <cell r="A1389" t="str">
            <v>Onecall Electricals</v>
          </cell>
          <cell r="E1389">
            <v>0</v>
          </cell>
        </row>
        <row r="1390">
          <cell r="A1390" t="str">
            <v>Oswal Lumbers Pvt Ltd</v>
          </cell>
          <cell r="E1390">
            <v>0</v>
          </cell>
        </row>
        <row r="1391">
          <cell r="A1391" t="str">
            <v>P P Patel &amp; Co.</v>
          </cell>
          <cell r="E1391">
            <v>-85309.78</v>
          </cell>
        </row>
        <row r="1392">
          <cell r="A1392" t="str">
            <v>Padm Corporation</v>
          </cell>
          <cell r="E1392">
            <v>-4602</v>
          </cell>
        </row>
        <row r="1393">
          <cell r="A1393" t="str">
            <v>Panchvati Tools Co.</v>
          </cell>
          <cell r="E1393">
            <v>-97668.74</v>
          </cell>
        </row>
        <row r="1394">
          <cell r="A1394" t="str">
            <v>Perfect Belts Private Limited (Gujarat)</v>
          </cell>
          <cell r="E1394">
            <v>-86938.94</v>
          </cell>
        </row>
        <row r="1395">
          <cell r="A1395" t="str">
            <v>Pintex Industrial Corporation</v>
          </cell>
          <cell r="E1395">
            <v>-25010</v>
          </cell>
        </row>
        <row r="1396">
          <cell r="A1396" t="str">
            <v>Pioneer Petrochem &amp; Technology</v>
          </cell>
          <cell r="E1396">
            <v>50026</v>
          </cell>
        </row>
        <row r="1397">
          <cell r="A1397" t="str">
            <v>Plus Logistics Ltd.</v>
          </cell>
          <cell r="E1397">
            <v>0</v>
          </cell>
        </row>
        <row r="1398">
          <cell r="A1398" t="str">
            <v>Power-Grid Switchgears Pvt Ltd</v>
          </cell>
          <cell r="E1398">
            <v>0.2</v>
          </cell>
        </row>
        <row r="1399">
          <cell r="A1399" t="str">
            <v>Pramukh Enterprise</v>
          </cell>
          <cell r="E1399">
            <v>0</v>
          </cell>
        </row>
        <row r="1400">
          <cell r="A1400" t="str">
            <v>Prasham Greens</v>
          </cell>
          <cell r="E1400">
            <v>-0.4</v>
          </cell>
        </row>
        <row r="1401">
          <cell r="A1401" t="str">
            <v>Premier India Bearing Ltd.</v>
          </cell>
          <cell r="E1401">
            <v>-49978.77</v>
          </cell>
        </row>
        <row r="1402">
          <cell r="A1402" t="str">
            <v>Prisam Engitech Private Limited</v>
          </cell>
          <cell r="E1402">
            <v>0</v>
          </cell>
        </row>
        <row r="1403">
          <cell r="A1403" t="str">
            <v>Puran Electric &amp; Power Tools</v>
          </cell>
          <cell r="E1403">
            <v>2872.4</v>
          </cell>
        </row>
        <row r="1404">
          <cell r="A1404" t="str">
            <v>Quality Agency</v>
          </cell>
          <cell r="E1404">
            <v>-2276</v>
          </cell>
        </row>
        <row r="1405">
          <cell r="A1405" t="str">
            <v>Quality Prepress Pvt Ltd</v>
          </cell>
          <cell r="E1405">
            <v>-699</v>
          </cell>
        </row>
        <row r="1406">
          <cell r="A1406" t="str">
            <v>R. B. Tapes Pvt Ltd</v>
          </cell>
          <cell r="E1406">
            <v>-25488</v>
          </cell>
        </row>
        <row r="1407">
          <cell r="A1407" t="str">
            <v xml:space="preserve">Raj Asbestos Co </v>
          </cell>
          <cell r="E1407">
            <v>-5664</v>
          </cell>
        </row>
        <row r="1408">
          <cell r="A1408" t="str">
            <v>Raj Filters And Wiremesh Pvt Ltd</v>
          </cell>
          <cell r="E1408">
            <v>-26692</v>
          </cell>
        </row>
        <row r="1409">
          <cell r="A1409" t="str">
            <v>Raj Furnishing</v>
          </cell>
          <cell r="E1409">
            <v>-36150.400000000001</v>
          </cell>
        </row>
        <row r="1410">
          <cell r="A1410" t="str">
            <v>Rajendra Traders</v>
          </cell>
          <cell r="E1410">
            <v>0</v>
          </cell>
        </row>
        <row r="1411">
          <cell r="A1411" t="str">
            <v>Rajgor Stationery &amp; Computer</v>
          </cell>
          <cell r="E1411">
            <v>-175266.68</v>
          </cell>
        </row>
        <row r="1412">
          <cell r="A1412" t="str">
            <v>Rajhans Plastic Machinery Pvt Ltd</v>
          </cell>
          <cell r="E1412">
            <v>118.8</v>
          </cell>
        </row>
        <row r="1413">
          <cell r="A1413" t="str">
            <v>Rajratan Electricals Pvt Ltd</v>
          </cell>
          <cell r="E1413">
            <v>0</v>
          </cell>
        </row>
        <row r="1414">
          <cell r="A1414" t="str">
            <v>Rajvi Jaldhara</v>
          </cell>
          <cell r="E1414">
            <v>0</v>
          </cell>
        </row>
        <row r="1415">
          <cell r="A1415" t="str">
            <v>Riddhi Electric Industries</v>
          </cell>
          <cell r="E1415">
            <v>-3025</v>
          </cell>
        </row>
        <row r="1416">
          <cell r="A1416" t="str">
            <v>Riddhi Mech-Fab Engineering</v>
          </cell>
          <cell r="E1416">
            <v>-8024</v>
          </cell>
        </row>
        <row r="1417">
          <cell r="A1417" t="str">
            <v>Ripal Engitech Pvt Ltd</v>
          </cell>
          <cell r="E1417">
            <v>0</v>
          </cell>
        </row>
        <row r="1418">
          <cell r="A1418" t="str">
            <v>Roltech Infotech</v>
          </cell>
          <cell r="E1418">
            <v>-6537</v>
          </cell>
        </row>
        <row r="1419">
          <cell r="A1419" t="str">
            <v>Rotek Engineers</v>
          </cell>
          <cell r="E1419">
            <v>0</v>
          </cell>
        </row>
        <row r="1420">
          <cell r="A1420" t="str">
            <v>Rt Wovensack Machinery Solutions</v>
          </cell>
          <cell r="E1420">
            <v>-59260</v>
          </cell>
        </row>
        <row r="1421">
          <cell r="A1421" t="str">
            <v>Rubberking Tyre Pvt Ltd</v>
          </cell>
          <cell r="E1421">
            <v>0</v>
          </cell>
        </row>
        <row r="1422">
          <cell r="A1422" t="str">
            <v>Rudra Enterprise - 24BEVPP2275L1ZS</v>
          </cell>
          <cell r="E1422">
            <v>0</v>
          </cell>
        </row>
        <row r="1423">
          <cell r="A1423" t="str">
            <v>Rushabh Fastech Llp</v>
          </cell>
          <cell r="E1423">
            <v>-8198</v>
          </cell>
        </row>
        <row r="1424">
          <cell r="A1424" t="str">
            <v>S.R. Electronics</v>
          </cell>
          <cell r="E1424">
            <v>680</v>
          </cell>
        </row>
        <row r="1425">
          <cell r="A1425" t="str">
            <v>S.R.Sewing Tech</v>
          </cell>
          <cell r="E1425">
            <v>-401468</v>
          </cell>
        </row>
        <row r="1426">
          <cell r="A1426" t="str">
            <v>Sarathi Agro Corporation</v>
          </cell>
          <cell r="E1426">
            <v>6300</v>
          </cell>
        </row>
        <row r="1427">
          <cell r="A1427" t="str">
            <v>Saru Plastics</v>
          </cell>
          <cell r="E1427">
            <v>-28385</v>
          </cell>
        </row>
        <row r="1428">
          <cell r="A1428" t="str">
            <v>Satyam Stationery Mart</v>
          </cell>
          <cell r="E1428">
            <v>-6136</v>
          </cell>
        </row>
        <row r="1429">
          <cell r="A1429" t="str">
            <v xml:space="preserve">Satyanarayan Rubber And Plastic Industries </v>
          </cell>
          <cell r="E1429">
            <v>0</v>
          </cell>
        </row>
        <row r="1430">
          <cell r="A1430" t="str">
            <v>Saurabh Enterprise</v>
          </cell>
          <cell r="E1430">
            <v>-11342.08</v>
          </cell>
        </row>
        <row r="1431">
          <cell r="A1431" t="str">
            <v>Sayona Engineers</v>
          </cell>
          <cell r="E1431">
            <v>0</v>
          </cell>
        </row>
        <row r="1432">
          <cell r="A1432" t="str">
            <v>Sb Overseas</v>
          </cell>
          <cell r="E1432">
            <v>0</v>
          </cell>
        </row>
        <row r="1433">
          <cell r="A1433" t="str">
            <v>Schmetz India Pvt Ltd</v>
          </cell>
          <cell r="E1433">
            <v>0</v>
          </cell>
        </row>
        <row r="1434">
          <cell r="A1434" t="str">
            <v>Shah Sewing Machine Co.</v>
          </cell>
          <cell r="E1434">
            <v>-2047</v>
          </cell>
        </row>
        <row r="1435">
          <cell r="A1435" t="str">
            <v>Shah Sewing Machine Company - 24AFWFS0831G1ZT</v>
          </cell>
          <cell r="E1435">
            <v>-3015</v>
          </cell>
        </row>
        <row r="1436">
          <cell r="A1436" t="str">
            <v>Shakti Machine Tools</v>
          </cell>
          <cell r="E1436">
            <v>0</v>
          </cell>
        </row>
        <row r="1437">
          <cell r="A1437" t="str">
            <v>Shal Engineering Supplies</v>
          </cell>
          <cell r="E1437">
            <v>-8260</v>
          </cell>
        </row>
        <row r="1438">
          <cell r="A1438" t="str">
            <v>Shashi Dhawal Hydraulics Pvt Ltd</v>
          </cell>
          <cell r="E1438">
            <v>-0.4</v>
          </cell>
        </row>
        <row r="1439">
          <cell r="A1439" t="str">
            <v>Sheetal Engineering Services</v>
          </cell>
          <cell r="E1439">
            <v>-153536.73000000001</v>
          </cell>
        </row>
        <row r="1440">
          <cell r="A1440" t="str">
            <v>Shil Technologies Pvt Ltd</v>
          </cell>
          <cell r="E1440">
            <v>0</v>
          </cell>
        </row>
        <row r="1441">
          <cell r="A1441" t="str">
            <v>Shini Plastics Technologies India Pvt Ltd</v>
          </cell>
          <cell r="E1441">
            <v>7.0000000000000007E-2</v>
          </cell>
        </row>
        <row r="1442">
          <cell r="A1442" t="str">
            <v>Shiv Industrial Products</v>
          </cell>
          <cell r="E1442">
            <v>-10620</v>
          </cell>
        </row>
        <row r="1443">
          <cell r="A1443" t="str">
            <v>Shivam Enterprise - 24ABSFS6360C1Z1</v>
          </cell>
          <cell r="E1443">
            <v>0</v>
          </cell>
        </row>
        <row r="1444">
          <cell r="A1444" t="str">
            <v>Shree Balaad Handling Works</v>
          </cell>
          <cell r="E1444">
            <v>-0.6</v>
          </cell>
        </row>
        <row r="1445">
          <cell r="A1445" t="str">
            <v>Shree Brhm Corporation.</v>
          </cell>
          <cell r="E1445">
            <v>-194021</v>
          </cell>
        </row>
        <row r="1446">
          <cell r="A1446" t="str">
            <v>Shree Ganesh Stereo</v>
          </cell>
          <cell r="E1446">
            <v>-59613</v>
          </cell>
        </row>
        <row r="1447">
          <cell r="A1447" t="str">
            <v>Shree Kdk Enterprise</v>
          </cell>
          <cell r="E1447">
            <v>-3390</v>
          </cell>
        </row>
        <row r="1448">
          <cell r="A1448" t="str">
            <v>Shree Krishna Rubbers</v>
          </cell>
          <cell r="E1448">
            <v>0</v>
          </cell>
        </row>
        <row r="1449">
          <cell r="A1449" t="str">
            <v>Shree Krishna Transformers</v>
          </cell>
          <cell r="E1449">
            <v>0</v>
          </cell>
        </row>
        <row r="1450">
          <cell r="A1450" t="str">
            <v>Shree Maruti Spring And Engineers</v>
          </cell>
          <cell r="E1450">
            <v>0</v>
          </cell>
        </row>
        <row r="1451">
          <cell r="A1451" t="str">
            <v>Shree Meter &amp; Heater</v>
          </cell>
          <cell r="E1451">
            <v>-18266</v>
          </cell>
        </row>
        <row r="1452">
          <cell r="A1452" t="str">
            <v>Shree Prem Industries</v>
          </cell>
          <cell r="E1452">
            <v>-22346</v>
          </cell>
        </row>
        <row r="1453">
          <cell r="A1453" t="str">
            <v>Shree Salareshwar Wood Packers Private Limited.</v>
          </cell>
          <cell r="E1453">
            <v>-1563807.55</v>
          </cell>
        </row>
        <row r="1454">
          <cell r="A1454" t="str">
            <v>Shree Sharda Impex</v>
          </cell>
          <cell r="E1454">
            <v>0</v>
          </cell>
        </row>
        <row r="1455">
          <cell r="A1455" t="str">
            <v>Shree Tex</v>
          </cell>
          <cell r="E1455">
            <v>-5916</v>
          </cell>
        </row>
        <row r="1456">
          <cell r="A1456" t="str">
            <v>Shree Valinath Engineering</v>
          </cell>
          <cell r="E1456">
            <v>133965</v>
          </cell>
        </row>
        <row r="1457">
          <cell r="A1457" t="str">
            <v>Shreeji Marketing Corporation</v>
          </cell>
          <cell r="E1457">
            <v>2059.7600000000002</v>
          </cell>
        </row>
        <row r="1458">
          <cell r="A1458" t="str">
            <v>Shri Lalshah Papers Pvt Ltd</v>
          </cell>
          <cell r="E1458">
            <v>1211.77</v>
          </cell>
        </row>
        <row r="1459">
          <cell r="A1459" t="str">
            <v>Shri Nakoda Transmission &amp; Electric Co.</v>
          </cell>
          <cell r="E1459">
            <v>-309600</v>
          </cell>
        </row>
        <row r="1460">
          <cell r="A1460" t="str">
            <v>Shri Siddheshwari Hydraulic</v>
          </cell>
          <cell r="E1460">
            <v>-696</v>
          </cell>
        </row>
        <row r="1461">
          <cell r="A1461" t="str">
            <v>Shubh Engineering</v>
          </cell>
          <cell r="E1461">
            <v>-13452</v>
          </cell>
        </row>
        <row r="1462">
          <cell r="A1462" t="str">
            <v>Shyam Apparels</v>
          </cell>
          <cell r="E1462">
            <v>-29526</v>
          </cell>
        </row>
        <row r="1463">
          <cell r="A1463" t="str">
            <v>Siddheshwari Industries</v>
          </cell>
          <cell r="E1463">
            <v>0</v>
          </cell>
        </row>
        <row r="1464">
          <cell r="A1464" t="str">
            <v>Sigma Air Source</v>
          </cell>
          <cell r="E1464">
            <v>-30598</v>
          </cell>
        </row>
        <row r="1465">
          <cell r="A1465" t="str">
            <v>Simon Coil &amp; Heat Exchanger</v>
          </cell>
          <cell r="E1465">
            <v>-0.5</v>
          </cell>
        </row>
        <row r="1466">
          <cell r="A1466" t="str">
            <v>Sky Air Cooler</v>
          </cell>
          <cell r="E1466">
            <v>0</v>
          </cell>
        </row>
        <row r="1467">
          <cell r="A1467" t="str">
            <v>Smarhling Sales Agency</v>
          </cell>
          <cell r="E1467">
            <v>-14136</v>
          </cell>
        </row>
        <row r="1468">
          <cell r="A1468" t="str">
            <v>Smit Enterprise - Gandhidham</v>
          </cell>
          <cell r="E1468">
            <v>-4779</v>
          </cell>
        </row>
        <row r="1469">
          <cell r="A1469" t="str">
            <v>Sohanlal Shantilal &amp; Brothers</v>
          </cell>
          <cell r="E1469">
            <v>-12830</v>
          </cell>
        </row>
        <row r="1470">
          <cell r="A1470" t="str">
            <v>Sonal Industries - Amraiwadi</v>
          </cell>
          <cell r="E1470">
            <v>0</v>
          </cell>
        </row>
        <row r="1471">
          <cell r="A1471" t="str">
            <v>Spectrum Lubricants Private Limited</v>
          </cell>
          <cell r="E1471">
            <v>-56628.2</v>
          </cell>
        </row>
        <row r="1472">
          <cell r="A1472" t="str">
            <v>Srivasavi Adhesive Tapes Limited - Vadodara</v>
          </cell>
          <cell r="E1472">
            <v>0</v>
          </cell>
        </row>
        <row r="1473">
          <cell r="A1473" t="str">
            <v>Srv Global</v>
          </cell>
          <cell r="E1473">
            <v>3540</v>
          </cell>
        </row>
        <row r="1474">
          <cell r="A1474" t="str">
            <v>Star Belting</v>
          </cell>
          <cell r="E1474">
            <v>-12904</v>
          </cell>
        </row>
        <row r="1475">
          <cell r="A1475" t="str">
            <v>Star Conveyors</v>
          </cell>
          <cell r="E1475">
            <v>-40425</v>
          </cell>
        </row>
        <row r="1476">
          <cell r="A1476" t="str">
            <v>Strom International</v>
          </cell>
          <cell r="E1476">
            <v>0.48</v>
          </cell>
        </row>
        <row r="1477">
          <cell r="A1477" t="str">
            <v>Sukan Industries</v>
          </cell>
          <cell r="E1477">
            <v>0</v>
          </cell>
        </row>
        <row r="1478">
          <cell r="A1478" t="str">
            <v>Sundaram Electricals</v>
          </cell>
          <cell r="E1478">
            <v>0</v>
          </cell>
        </row>
        <row r="1479">
          <cell r="A1479" t="str">
            <v>Supertech Water Solution</v>
          </cell>
          <cell r="E1479">
            <v>-33040</v>
          </cell>
        </row>
        <row r="1480">
          <cell r="A1480" t="str">
            <v>Surya Cls Pvt Ltd</v>
          </cell>
          <cell r="E1480">
            <v>-4877</v>
          </cell>
        </row>
        <row r="1481">
          <cell r="A1481" t="str">
            <v>Susmatex Machinery</v>
          </cell>
          <cell r="E1481">
            <v>-101302</v>
          </cell>
        </row>
        <row r="1482">
          <cell r="A1482" t="str">
            <v>Swastik Medicos</v>
          </cell>
          <cell r="E1482">
            <v>-2871.25</v>
          </cell>
        </row>
        <row r="1483">
          <cell r="A1483" t="str">
            <v>Synpack Slide N Zip Pvt. Ltd.</v>
          </cell>
          <cell r="E1483">
            <v>0</v>
          </cell>
        </row>
        <row r="1484">
          <cell r="A1484" t="str">
            <v>Tanmay Engitech</v>
          </cell>
          <cell r="E1484">
            <v>-6580</v>
          </cell>
        </row>
        <row r="1485">
          <cell r="A1485" t="str">
            <v>Tashkent Oil Company Pvt Ltd</v>
          </cell>
          <cell r="E1485">
            <v>-1425594</v>
          </cell>
        </row>
        <row r="1486">
          <cell r="A1486" t="str">
            <v>Techwin Electronics</v>
          </cell>
          <cell r="E1486">
            <v>-2301</v>
          </cell>
        </row>
        <row r="1487">
          <cell r="A1487" t="str">
            <v>Theam Utility Solution</v>
          </cell>
          <cell r="E1487">
            <v>0</v>
          </cell>
        </row>
        <row r="1488">
          <cell r="A1488" t="str">
            <v>Toyota Material Handling India Pvt Ltd</v>
          </cell>
          <cell r="E1488">
            <v>0.55000000000000004</v>
          </cell>
        </row>
        <row r="1489">
          <cell r="A1489" t="str">
            <v>Tradelink</v>
          </cell>
          <cell r="E1489">
            <v>0</v>
          </cell>
        </row>
        <row r="1490">
          <cell r="A1490" t="str">
            <v>Tritha Graphics</v>
          </cell>
          <cell r="E1490">
            <v>-31292</v>
          </cell>
        </row>
        <row r="1491">
          <cell r="A1491" t="str">
            <v>Umang Packaging</v>
          </cell>
          <cell r="E1491">
            <v>0</v>
          </cell>
        </row>
        <row r="1492">
          <cell r="A1492" t="str">
            <v>Umiya Crimpers</v>
          </cell>
          <cell r="E1492">
            <v>0</v>
          </cell>
        </row>
        <row r="1493">
          <cell r="A1493" t="str">
            <v>Unique Techno Services Pvt Ltd</v>
          </cell>
          <cell r="E1493">
            <v>0</v>
          </cell>
        </row>
        <row r="1494">
          <cell r="A1494" t="str">
            <v>Universal Pipe Traders</v>
          </cell>
          <cell r="E1494">
            <v>-34826.019999999997</v>
          </cell>
        </row>
        <row r="1495">
          <cell r="A1495" t="str">
            <v>Unnati Steel</v>
          </cell>
          <cell r="E1495">
            <v>0</v>
          </cell>
        </row>
        <row r="1496">
          <cell r="A1496" t="str">
            <v>Urja Products Pvt Ltd</v>
          </cell>
          <cell r="E1496">
            <v>0</v>
          </cell>
        </row>
        <row r="1497">
          <cell r="A1497" t="str">
            <v>V K Print Pack</v>
          </cell>
          <cell r="E1497">
            <v>-51798</v>
          </cell>
        </row>
        <row r="1498">
          <cell r="A1498" t="str">
            <v>V.S.Enterprise</v>
          </cell>
          <cell r="E1498">
            <v>0</v>
          </cell>
        </row>
        <row r="1499">
          <cell r="A1499" t="str">
            <v>Valco Melton Engineering India Pvt Ltd</v>
          </cell>
          <cell r="E1499">
            <v>-708</v>
          </cell>
        </row>
        <row r="1500">
          <cell r="A1500" t="str">
            <v>Valley Textile</v>
          </cell>
          <cell r="E1500">
            <v>0</v>
          </cell>
        </row>
        <row r="1501">
          <cell r="A1501" t="str">
            <v>Vashi Integrated Solutions Limited</v>
          </cell>
          <cell r="E1501">
            <v>-14897.1</v>
          </cell>
        </row>
        <row r="1502">
          <cell r="A1502" t="str">
            <v>Vedant Enterprise</v>
          </cell>
          <cell r="E1502">
            <v>-4588</v>
          </cell>
        </row>
        <row r="1503">
          <cell r="A1503" t="str">
            <v>Vidh Enterprise</v>
          </cell>
          <cell r="E1503">
            <v>-37950</v>
          </cell>
        </row>
        <row r="1504">
          <cell r="A1504" t="str">
            <v>Vihaan Enterprise</v>
          </cell>
          <cell r="E1504">
            <v>0</v>
          </cell>
        </row>
        <row r="1505">
          <cell r="A1505" t="str">
            <v>Vihan Pneumatic &amp; Hydraulics</v>
          </cell>
          <cell r="E1505">
            <v>0</v>
          </cell>
        </row>
        <row r="1506">
          <cell r="A1506" t="str">
            <v>Vijay Enterprises 27AUNPM8628H1Z1</v>
          </cell>
          <cell r="E1506">
            <v>0</v>
          </cell>
        </row>
        <row r="1507">
          <cell r="A1507" t="str">
            <v>Vikas Plastic Emporium</v>
          </cell>
          <cell r="E1507">
            <v>425.04</v>
          </cell>
        </row>
        <row r="1508">
          <cell r="A1508" t="str">
            <v>Vikram Ceramica</v>
          </cell>
          <cell r="E1508">
            <v>-0.09</v>
          </cell>
        </row>
        <row r="1509">
          <cell r="A1509" t="str">
            <v>Vikram Glass</v>
          </cell>
          <cell r="E1509">
            <v>-3923</v>
          </cell>
        </row>
        <row r="1510">
          <cell r="A1510" t="str">
            <v>Vintex Rubber Industries-Abed</v>
          </cell>
          <cell r="E1510">
            <v>0</v>
          </cell>
        </row>
        <row r="1511">
          <cell r="A1511" t="str">
            <v>Vir Bajarang Industries</v>
          </cell>
          <cell r="E1511">
            <v>0</v>
          </cell>
        </row>
        <row r="1512">
          <cell r="A1512" t="str">
            <v>Viral Enterprise- Valsad</v>
          </cell>
          <cell r="E1512">
            <v>0</v>
          </cell>
        </row>
        <row r="1513">
          <cell r="A1513" t="str">
            <v>Viram Marines</v>
          </cell>
          <cell r="E1513">
            <v>0</v>
          </cell>
        </row>
        <row r="1514">
          <cell r="A1514" t="str">
            <v>Virava Chemicals</v>
          </cell>
          <cell r="E1514">
            <v>107.33</v>
          </cell>
        </row>
        <row r="1515">
          <cell r="A1515" t="str">
            <v>Vishal Engineering And Fabricators</v>
          </cell>
          <cell r="E1515">
            <v>-6195</v>
          </cell>
        </row>
        <row r="1516">
          <cell r="A1516" t="str">
            <v>Vyankatesh Udyog (I) Pvt Ltd - Purchase</v>
          </cell>
          <cell r="E1516">
            <v>-763915</v>
          </cell>
        </row>
        <row r="1517">
          <cell r="A1517" t="str">
            <v>Welar Corporation</v>
          </cell>
          <cell r="E1517">
            <v>-23867</v>
          </cell>
        </row>
        <row r="1518">
          <cell r="A1518" t="str">
            <v>West India Forklift Services</v>
          </cell>
          <cell r="E1518">
            <v>0</v>
          </cell>
        </row>
        <row r="1519">
          <cell r="A1519" t="str">
            <v>Yen Traders</v>
          </cell>
          <cell r="E1519">
            <v>-249</v>
          </cell>
        </row>
        <row r="1520">
          <cell r="A1520" t="str">
            <v xml:space="preserve">    Creditors-All Others</v>
          </cell>
          <cell r="E1520">
            <v>-2138071150.51</v>
          </cell>
        </row>
        <row r="1521">
          <cell r="A1521" t="str">
            <v>A N Satyam Enterprise</v>
          </cell>
          <cell r="E1521">
            <v>52450</v>
          </cell>
        </row>
        <row r="1522">
          <cell r="A1522" t="str">
            <v>Aanjana Steel Traders</v>
          </cell>
          <cell r="E1522">
            <v>0</v>
          </cell>
        </row>
        <row r="1523">
          <cell r="A1523" t="str">
            <v>Aaradhya Minerals Overseas</v>
          </cell>
          <cell r="E1523">
            <v>0</v>
          </cell>
        </row>
        <row r="1524">
          <cell r="A1524" t="str">
            <v>Aargus Global Logistics Pvt Ltd</v>
          </cell>
          <cell r="E1524">
            <v>0</v>
          </cell>
        </row>
        <row r="1525">
          <cell r="A1525" t="str">
            <v>Aarya Packthread Private Limited</v>
          </cell>
          <cell r="E1525">
            <v>0</v>
          </cell>
        </row>
        <row r="1526">
          <cell r="A1526" t="str">
            <v>Abhi Electronics</v>
          </cell>
          <cell r="E1526">
            <v>0</v>
          </cell>
        </row>
        <row r="1527">
          <cell r="A1527" t="str">
            <v>Accurate Electric</v>
          </cell>
          <cell r="E1527">
            <v>-2183</v>
          </cell>
        </row>
        <row r="1528">
          <cell r="A1528" t="str">
            <v>Accurate Laboratory</v>
          </cell>
          <cell r="E1528">
            <v>343</v>
          </cell>
        </row>
        <row r="1529">
          <cell r="A1529" t="str">
            <v>Acme Yarns Private Limited</v>
          </cell>
          <cell r="E1529">
            <v>0</v>
          </cell>
        </row>
        <row r="1530">
          <cell r="A1530" t="str">
            <v>Active Pumps Pvt Ltd</v>
          </cell>
          <cell r="E1530">
            <v>-0.24</v>
          </cell>
        </row>
        <row r="1531">
          <cell r="A1531" t="str">
            <v>Adesh Engineering</v>
          </cell>
          <cell r="E1531">
            <v>0</v>
          </cell>
        </row>
        <row r="1532">
          <cell r="A1532" t="str">
            <v>Aditya Elastomer</v>
          </cell>
          <cell r="E1532">
            <v>12469</v>
          </cell>
        </row>
        <row r="1533">
          <cell r="A1533" t="str">
            <v>Aditya Engineering Works - 24ASXPR9642J1ZR old</v>
          </cell>
          <cell r="E1533">
            <v>0</v>
          </cell>
        </row>
        <row r="1534">
          <cell r="A1534" t="str">
            <v>Aditya Engineering Works - 24GIUPP9229Q1ZX</v>
          </cell>
          <cell r="E1534">
            <v>0</v>
          </cell>
        </row>
        <row r="1535">
          <cell r="A1535" t="str">
            <v>Aditya Enterprise 24ABXPD1674M1Z6</v>
          </cell>
          <cell r="E1535">
            <v>0</v>
          </cell>
        </row>
        <row r="1536">
          <cell r="A1536" t="str">
            <v>Aditya Indane 24AMCPD6839J1Z1</v>
          </cell>
          <cell r="E1536">
            <v>-3160</v>
          </cell>
        </row>
        <row r="1537">
          <cell r="A1537" t="str">
            <v>Ahmedabad Lock House</v>
          </cell>
          <cell r="E1537">
            <v>0</v>
          </cell>
        </row>
        <row r="1538">
          <cell r="A1538" t="str">
            <v>Air India Limited 07AACCN6194P2ZQ</v>
          </cell>
          <cell r="E1538">
            <v>-36.01</v>
          </cell>
        </row>
        <row r="1539">
          <cell r="A1539" t="str">
            <v>Airan Inks India Private Limited</v>
          </cell>
          <cell r="E1539">
            <v>0</v>
          </cell>
        </row>
        <row r="1540">
          <cell r="A1540" t="str">
            <v>Aircool System</v>
          </cell>
          <cell r="E1540">
            <v>0</v>
          </cell>
        </row>
        <row r="1541">
          <cell r="A1541" t="str">
            <v>Airtech Engineers - Gandhidham</v>
          </cell>
          <cell r="E1541">
            <v>-18976</v>
          </cell>
        </row>
        <row r="1542">
          <cell r="A1542" t="str">
            <v>Airwell Systems</v>
          </cell>
          <cell r="E1542">
            <v>-4602</v>
          </cell>
        </row>
        <row r="1543">
          <cell r="A1543" t="str">
            <v>Aishwary Enterprisese</v>
          </cell>
          <cell r="E1543">
            <v>0</v>
          </cell>
        </row>
        <row r="1544">
          <cell r="A1544" t="str">
            <v>Akbar Travels Of India Private Limited 24AADCA2140D1ZI</v>
          </cell>
          <cell r="E1544">
            <v>0</v>
          </cell>
        </row>
        <row r="1545">
          <cell r="A1545" t="str">
            <v>Akbar Travels Of India Private Limited 27AADCA2140D1ZC</v>
          </cell>
          <cell r="E1545">
            <v>0</v>
          </cell>
        </row>
        <row r="1546">
          <cell r="A1546" t="str">
            <v>Alankar Automotives Pvt Ltd</v>
          </cell>
          <cell r="E1546">
            <v>-73418.11</v>
          </cell>
        </row>
        <row r="1547">
          <cell r="A1547" t="str">
            <v>Alteem Tech Pvt. Ltd.</v>
          </cell>
          <cell r="E1547">
            <v>0.57999999999999996</v>
          </cell>
        </row>
        <row r="1548">
          <cell r="A1548" t="str">
            <v>Ambica Plastic Industries 24AADFA5584EIZO</v>
          </cell>
          <cell r="E1548">
            <v>-0.04</v>
          </cell>
        </row>
        <row r="1549">
          <cell r="A1549" t="str">
            <v>Ambica Sales Corporation</v>
          </cell>
          <cell r="E1549">
            <v>-0.06</v>
          </cell>
        </row>
        <row r="1550">
          <cell r="A1550" t="str">
            <v>Anand Hvac</v>
          </cell>
          <cell r="E1550">
            <v>-955923</v>
          </cell>
        </row>
        <row r="1551">
          <cell r="A1551" t="str">
            <v>Ankit Telecom &amp; Electricals</v>
          </cell>
          <cell r="E1551">
            <v>-6086.7</v>
          </cell>
        </row>
        <row r="1552">
          <cell r="A1552" t="str">
            <v>Ankur Chemfood Limited - Purchase</v>
          </cell>
          <cell r="E1552">
            <v>-3900</v>
          </cell>
        </row>
        <row r="1553">
          <cell r="A1553" t="str">
            <v>Ansari Sahidhusen Tassawurhusen</v>
          </cell>
          <cell r="E1553">
            <v>0</v>
          </cell>
        </row>
        <row r="1554">
          <cell r="A1554" t="str">
            <v>Anshita Trading Co.Pvt Ltd-Purchase</v>
          </cell>
          <cell r="E1554">
            <v>-6859.72</v>
          </cell>
        </row>
        <row r="1555">
          <cell r="A1555" t="str">
            <v>Anuj Shukla</v>
          </cell>
          <cell r="E1555">
            <v>0</v>
          </cell>
        </row>
        <row r="1556">
          <cell r="A1556" t="str">
            <v>Anukampa Enterprise</v>
          </cell>
          <cell r="E1556">
            <v>-23261</v>
          </cell>
        </row>
        <row r="1557">
          <cell r="A1557" t="str">
            <v>Ap Trade Solutions</v>
          </cell>
          <cell r="E1557">
            <v>-43500</v>
          </cell>
        </row>
        <row r="1558">
          <cell r="A1558" t="str">
            <v>Apple Automation And Sensor</v>
          </cell>
          <cell r="E1558">
            <v>0</v>
          </cell>
        </row>
        <row r="1559">
          <cell r="A1559" t="str">
            <v>Arb Buildcon Pvt Ltd</v>
          </cell>
          <cell r="E1559">
            <v>0</v>
          </cell>
        </row>
        <row r="1560">
          <cell r="A1560" t="str">
            <v>Aries Industries</v>
          </cell>
          <cell r="E1560">
            <v>0</v>
          </cell>
        </row>
        <row r="1561">
          <cell r="A1561" t="str">
            <v>Arihant Engineers</v>
          </cell>
          <cell r="E1561">
            <v>-0.4</v>
          </cell>
        </row>
        <row r="1562">
          <cell r="A1562" t="str">
            <v>Arihant Fire &amp; Safety Services</v>
          </cell>
          <cell r="E1562">
            <v>-22873.5</v>
          </cell>
        </row>
        <row r="1563">
          <cell r="A1563" t="str">
            <v>Aris Engineers</v>
          </cell>
          <cell r="E1563">
            <v>-0.4</v>
          </cell>
        </row>
        <row r="1564">
          <cell r="A1564" t="str">
            <v>Ark Furniture Pvt Ltd</v>
          </cell>
          <cell r="E1564">
            <v>-150000.5</v>
          </cell>
        </row>
        <row r="1565">
          <cell r="A1565" t="str">
            <v>Artivo Gallery Llp</v>
          </cell>
          <cell r="E1565">
            <v>0</v>
          </cell>
        </row>
        <row r="1566">
          <cell r="A1566" t="str">
            <v>Ascent Maritime Private Limited-Gujarat</v>
          </cell>
          <cell r="E1566">
            <v>-255523</v>
          </cell>
        </row>
        <row r="1567">
          <cell r="A1567" t="str">
            <v>Ashapura Logistics Limited- 24AADCA4633M1ZP</v>
          </cell>
          <cell r="E1567">
            <v>9258664.9199999999</v>
          </cell>
        </row>
        <row r="1568">
          <cell r="A1568" t="str">
            <v>Ashish Singh Rambahadur Singh</v>
          </cell>
          <cell r="E1568">
            <v>0</v>
          </cell>
        </row>
        <row r="1569">
          <cell r="A1569" t="str">
            <v>Asian Marketing</v>
          </cell>
          <cell r="E1569">
            <v>0</v>
          </cell>
        </row>
        <row r="1570">
          <cell r="A1570" t="str">
            <v>Asian Metal Industries</v>
          </cell>
          <cell r="E1570">
            <v>-52926</v>
          </cell>
        </row>
        <row r="1571">
          <cell r="A1571" t="str">
            <v>Atulkumar B. Upadhyay</v>
          </cell>
          <cell r="E1571">
            <v>30000</v>
          </cell>
        </row>
        <row r="1572">
          <cell r="A1572" t="str">
            <v>Auroma Geotex Pvt Ltd - Purchase</v>
          </cell>
          <cell r="E1572">
            <v>-656040.66</v>
          </cell>
        </row>
        <row r="1573">
          <cell r="A1573" t="str">
            <v>Avh Polychem Private Limited- Gujarat</v>
          </cell>
          <cell r="E1573">
            <v>0</v>
          </cell>
        </row>
        <row r="1574">
          <cell r="A1574" t="str">
            <v>Ayush Enterprise</v>
          </cell>
          <cell r="E1574">
            <v>446339</v>
          </cell>
        </row>
        <row r="1575">
          <cell r="A1575" t="str">
            <v>Beta Computronics Pvt Ltd</v>
          </cell>
          <cell r="E1575">
            <v>-58847</v>
          </cell>
        </row>
        <row r="1576">
          <cell r="A1576" t="str">
            <v>Bhagwati  Impex</v>
          </cell>
          <cell r="E1576">
            <v>-406350</v>
          </cell>
        </row>
        <row r="1577">
          <cell r="A1577" t="str">
            <v>Bhalchandra Traders</v>
          </cell>
          <cell r="E1577">
            <v>0</v>
          </cell>
        </row>
        <row r="1578">
          <cell r="A1578" t="str">
            <v>Bhanu Pv Solar Pvt Ltd</v>
          </cell>
          <cell r="E1578">
            <v>151987942.88</v>
          </cell>
        </row>
        <row r="1579">
          <cell r="A1579" t="str">
            <v>Bhumi Chem (India)</v>
          </cell>
          <cell r="E1579">
            <v>0</v>
          </cell>
        </row>
        <row r="1580">
          <cell r="A1580" t="str">
            <v>Bio X</v>
          </cell>
          <cell r="E1580">
            <v>0.2</v>
          </cell>
        </row>
        <row r="1581">
          <cell r="A1581" t="str">
            <v>Brahmani Enterprise - 24AQGPG7763G1ZS</v>
          </cell>
          <cell r="E1581">
            <v>0</v>
          </cell>
        </row>
        <row r="1582">
          <cell r="A1582" t="str">
            <v>C. Trivedi &amp; Co.</v>
          </cell>
          <cell r="E1582">
            <v>-1415.58</v>
          </cell>
        </row>
        <row r="1583">
          <cell r="A1583" t="str">
            <v>C.H. Robinson Worldwide Freight India Pvt. Ltd.- Maharashtra</v>
          </cell>
          <cell r="E1583">
            <v>-493</v>
          </cell>
        </row>
        <row r="1584">
          <cell r="A1584" t="str">
            <v>Capital Engraving</v>
          </cell>
          <cell r="E1584">
            <v>-1044849</v>
          </cell>
        </row>
        <row r="1585">
          <cell r="A1585" t="str">
            <v>CC ICICI Manish Banthia 3009</v>
          </cell>
          <cell r="E1585">
            <v>-4320420.7</v>
          </cell>
        </row>
        <row r="1586">
          <cell r="A1586" t="str">
            <v>CC ICICI Prakash Parekh 6006</v>
          </cell>
          <cell r="E1586">
            <v>-17370</v>
          </cell>
        </row>
        <row r="1587">
          <cell r="A1587" t="str">
            <v>CC ICICI Tarachand Purohit 4007</v>
          </cell>
          <cell r="E1587">
            <v>-8020016.1500000004</v>
          </cell>
        </row>
        <row r="1588">
          <cell r="A1588" t="str">
            <v>CC Thomas Coock - Anil Mistry 2498  Forex</v>
          </cell>
          <cell r="E1588">
            <v>90360.81</v>
          </cell>
        </row>
        <row r="1589">
          <cell r="A1589" t="str">
            <v>Cess Automation India LLP</v>
          </cell>
          <cell r="E1589">
            <v>0</v>
          </cell>
        </row>
        <row r="1590">
          <cell r="A1590" t="str">
            <v>Champion Sterling Manufacturing Pvt Ltd</v>
          </cell>
          <cell r="E1590">
            <v>-5699</v>
          </cell>
        </row>
        <row r="1591">
          <cell r="A1591" t="str">
            <v>Chamunda Enterprise</v>
          </cell>
          <cell r="E1591">
            <v>0</v>
          </cell>
        </row>
        <row r="1592">
          <cell r="A1592" t="str">
            <v>Changzhou Hai Bang Trading Co., Ltd</v>
          </cell>
          <cell r="E1592">
            <v>-1220.74</v>
          </cell>
        </row>
        <row r="1593">
          <cell r="A1593" t="str">
            <v>Cheons Speciality Chemicals Private Limited</v>
          </cell>
          <cell r="E1593">
            <v>-203443.8</v>
          </cell>
        </row>
        <row r="1594">
          <cell r="A1594" t="str">
            <v>Chhavi Enterprise</v>
          </cell>
          <cell r="E1594">
            <v>49973</v>
          </cell>
        </row>
        <row r="1595">
          <cell r="A1595" t="str">
            <v>China International Economic And</v>
          </cell>
          <cell r="E1595">
            <v>949454.2</v>
          </cell>
        </row>
        <row r="1596">
          <cell r="A1596" t="str">
            <v>Ckb Global Logistics Private Limited</v>
          </cell>
          <cell r="E1596">
            <v>-120941.8</v>
          </cell>
        </row>
        <row r="1597">
          <cell r="A1597" t="str">
            <v>Classic Adhesive Tapes Mig Co.</v>
          </cell>
          <cell r="E1597">
            <v>-1105</v>
          </cell>
        </row>
        <row r="1598">
          <cell r="A1598" t="str">
            <v>Clean Well Chemical</v>
          </cell>
          <cell r="E1598">
            <v>-145.75</v>
          </cell>
        </row>
        <row r="1599">
          <cell r="A1599" t="str">
            <v>Clicktech Retail Private Limited 24AAJCC9783E1ZD</v>
          </cell>
          <cell r="E1599">
            <v>0</v>
          </cell>
        </row>
        <row r="1600">
          <cell r="A1600" t="str">
            <v>Clicktech Retail Private Limited 29AAJCC9783E1Z3</v>
          </cell>
          <cell r="E1600">
            <v>15990</v>
          </cell>
        </row>
        <row r="1601">
          <cell r="A1601" t="str">
            <v>Clicktech Retail Private Limited-27AAJCC9783E1Z7</v>
          </cell>
          <cell r="E1601">
            <v>0</v>
          </cell>
        </row>
        <row r="1602">
          <cell r="A1602" t="str">
            <v>Colourflex Laminators Limited (Unit-II)</v>
          </cell>
          <cell r="E1602">
            <v>-0.6</v>
          </cell>
        </row>
        <row r="1603">
          <cell r="A1603" t="str">
            <v>Comptoir African Du Maroc</v>
          </cell>
          <cell r="E1603">
            <v>50951.59</v>
          </cell>
        </row>
        <row r="1604">
          <cell r="A1604" t="str">
            <v>Control Print Limited - 24AAACC5378C2ZY</v>
          </cell>
          <cell r="E1604">
            <v>0</v>
          </cell>
        </row>
        <row r="1605">
          <cell r="A1605" t="str">
            <v>Control Print Limited - 27AAACC5378C1ZT</v>
          </cell>
          <cell r="E1605">
            <v>0</v>
          </cell>
        </row>
        <row r="1606">
          <cell r="A1606" t="str">
            <v>CONTROL PRINT LIMITED- 18AAACC5378C1ZS</v>
          </cell>
          <cell r="E1606">
            <v>0</v>
          </cell>
        </row>
        <row r="1607">
          <cell r="A1607" t="str">
            <v>Control Print Ltd 02AAACC5378C1Z5</v>
          </cell>
          <cell r="E1607">
            <v>0</v>
          </cell>
        </row>
        <row r="1608">
          <cell r="A1608" t="str">
            <v>Cornucopia Tradelink Pvt Ltd</v>
          </cell>
          <cell r="E1608">
            <v>6502722</v>
          </cell>
        </row>
        <row r="1609">
          <cell r="A1609" t="str">
            <v>Cost 2 Cost - 27AWRPM0291L1ZX</v>
          </cell>
          <cell r="E1609">
            <v>37618</v>
          </cell>
        </row>
        <row r="1610">
          <cell r="A1610" t="str">
            <v>Cost 2 Cost - 29AWRPM0291L1ZT</v>
          </cell>
          <cell r="E1610">
            <v>0</v>
          </cell>
        </row>
        <row r="1611">
          <cell r="A1611" t="str">
            <v>Creative Enterprise - Ahmedabad</v>
          </cell>
          <cell r="E1611">
            <v>0</v>
          </cell>
        </row>
        <row r="1612">
          <cell r="A1612" t="str">
            <v xml:space="preserve">D N Enterprise </v>
          </cell>
          <cell r="E1612">
            <v>-25714</v>
          </cell>
        </row>
        <row r="1613">
          <cell r="A1613" t="str">
            <v>Daetwyler Swisstec India Pvt. Ltd.</v>
          </cell>
          <cell r="E1613">
            <v>-29028</v>
          </cell>
        </row>
        <row r="1614">
          <cell r="A1614" t="str">
            <v>Dapic Electronics And Automation</v>
          </cell>
          <cell r="E1614">
            <v>0</v>
          </cell>
        </row>
        <row r="1615">
          <cell r="A1615" t="str">
            <v>Desai Janak Kumar Ganeshbhai</v>
          </cell>
          <cell r="E1615">
            <v>0</v>
          </cell>
        </row>
        <row r="1616">
          <cell r="A1616" t="str">
            <v>Desai Rajendar Kumar Ganeshbhai</v>
          </cell>
          <cell r="E1616">
            <v>0</v>
          </cell>
        </row>
        <row r="1617">
          <cell r="A1617" t="str">
            <v>Dhaval Print House</v>
          </cell>
          <cell r="E1617">
            <v>0</v>
          </cell>
        </row>
        <row r="1618">
          <cell r="A1618" t="str">
            <v>Dhruva Advisors India Private Limited</v>
          </cell>
          <cell r="E1618">
            <v>0</v>
          </cell>
        </row>
        <row r="1619">
          <cell r="A1619" t="str">
            <v>Dhruva Advisors LLP</v>
          </cell>
          <cell r="E1619">
            <v>-1</v>
          </cell>
        </row>
        <row r="1620">
          <cell r="A1620" t="str">
            <v>Dilipmiya Chandmiya Malek</v>
          </cell>
          <cell r="E1620">
            <v>0</v>
          </cell>
        </row>
        <row r="1621">
          <cell r="A1621" t="str">
            <v>Divine Enterprise</v>
          </cell>
          <cell r="E1621">
            <v>0</v>
          </cell>
        </row>
        <row r="1622">
          <cell r="A1622" t="str">
            <v>Doshi Enterprises</v>
          </cell>
          <cell r="E1622">
            <v>-236</v>
          </cell>
        </row>
        <row r="1623">
          <cell r="A1623" t="str">
            <v>Doteco SpA</v>
          </cell>
          <cell r="E1623">
            <v>0</v>
          </cell>
        </row>
        <row r="1624">
          <cell r="A1624" t="str">
            <v>Drasti Power Tools &amp; Electricals</v>
          </cell>
          <cell r="E1624">
            <v>-4532</v>
          </cell>
        </row>
        <row r="1625">
          <cell r="A1625" t="str">
            <v>Dugar Polytex Private Limited - Purchase</v>
          </cell>
          <cell r="E1625">
            <v>0</v>
          </cell>
        </row>
        <row r="1626">
          <cell r="A1626" t="str">
            <v>Dutron Products</v>
          </cell>
          <cell r="E1626">
            <v>-40001</v>
          </cell>
        </row>
        <row r="1627">
          <cell r="A1627" t="str">
            <v xml:space="preserve">Dwarkesh Water Supply </v>
          </cell>
          <cell r="E1627">
            <v>0</v>
          </cell>
        </row>
        <row r="1628">
          <cell r="A1628" t="str">
            <v>Dynamic Cleaning System</v>
          </cell>
          <cell r="E1628">
            <v>0.66</v>
          </cell>
        </row>
        <row r="1629">
          <cell r="A1629" t="str">
            <v>Elite Inks Pvt Ltd-Purchase</v>
          </cell>
          <cell r="E1629">
            <v>909333</v>
          </cell>
        </row>
        <row r="1630">
          <cell r="A1630" t="str">
            <v>Eplast Industries LLP</v>
          </cell>
          <cell r="E1630">
            <v>0</v>
          </cell>
        </row>
        <row r="1631">
          <cell r="A1631" t="str">
            <v>Erhardt + Leimer (India) Pvt Ltd</v>
          </cell>
          <cell r="E1631">
            <v>10464.870000000001</v>
          </cell>
        </row>
        <row r="1632">
          <cell r="A1632" t="str">
            <v>Euro Premium Solar System (India) Private Limited</v>
          </cell>
          <cell r="E1632">
            <v>0</v>
          </cell>
        </row>
        <row r="1633">
          <cell r="A1633" t="str">
            <v>Excel Surveyors Pvt Ltd</v>
          </cell>
          <cell r="E1633">
            <v>-18290</v>
          </cell>
        </row>
        <row r="1634">
          <cell r="A1634" t="str">
            <v>Fcs Itech</v>
          </cell>
          <cell r="E1634">
            <v>38940</v>
          </cell>
        </row>
        <row r="1635">
          <cell r="A1635" t="str">
            <v>Friends Book Agency</v>
          </cell>
          <cell r="E1635">
            <v>0</v>
          </cell>
        </row>
        <row r="1636">
          <cell r="A1636" t="str">
            <v>Galaxy Chemicals</v>
          </cell>
          <cell r="E1636">
            <v>-345646</v>
          </cell>
        </row>
        <row r="1637">
          <cell r="A1637" t="str">
            <v>Galaxy Heat Products</v>
          </cell>
          <cell r="E1637">
            <v>-44355</v>
          </cell>
        </row>
        <row r="1638">
          <cell r="A1638" t="str">
            <v>Gandhi Automations Pvt Ltd</v>
          </cell>
          <cell r="E1638">
            <v>0</v>
          </cell>
        </row>
        <row r="1639">
          <cell r="A1639" t="str">
            <v>Ganik Plastics</v>
          </cell>
          <cell r="E1639">
            <v>0</v>
          </cell>
        </row>
        <row r="1640">
          <cell r="A1640" t="str">
            <v>Gayatri Petroleums</v>
          </cell>
          <cell r="E1640">
            <v>-217093.8</v>
          </cell>
        </row>
        <row r="1641">
          <cell r="A1641" t="str">
            <v>Ghanshyam Industries</v>
          </cell>
          <cell r="E1641">
            <v>0</v>
          </cell>
        </row>
        <row r="1642">
          <cell r="A1642" t="str">
            <v>Gitaben Jitendrakumar Rabari</v>
          </cell>
          <cell r="E1642">
            <v>0</v>
          </cell>
        </row>
        <row r="1643">
          <cell r="A1643" t="str">
            <v>Gls Speciality Chemicals Private Limited</v>
          </cell>
          <cell r="E1643">
            <v>0</v>
          </cell>
        </row>
        <row r="1644">
          <cell r="A1644" t="str">
            <v>Go Green Fze</v>
          </cell>
          <cell r="E1644">
            <v>0</v>
          </cell>
        </row>
        <row r="1645">
          <cell r="A1645" t="str">
            <v>Gopal Velji Sanjot</v>
          </cell>
          <cell r="E1645">
            <v>7592000</v>
          </cell>
        </row>
        <row r="1646">
          <cell r="A1646" t="str">
            <v>Gopikishan Polyplast Pvt Ltd - Purchase</v>
          </cell>
          <cell r="E1646">
            <v>-0.96</v>
          </cell>
        </row>
        <row r="1647">
          <cell r="A1647" t="str">
            <v>Gujarat Water Supply &amp; Sewerage Board</v>
          </cell>
          <cell r="E1647">
            <v>0</v>
          </cell>
        </row>
        <row r="1648">
          <cell r="A1648" t="str">
            <v>Gunjan Marketing</v>
          </cell>
          <cell r="E1648">
            <v>0</v>
          </cell>
        </row>
        <row r="1649">
          <cell r="A1649" t="str">
            <v>Hamburg Sud India Pvt Ltd</v>
          </cell>
          <cell r="E1649">
            <v>0</v>
          </cell>
        </row>
        <row r="1650">
          <cell r="A1650" t="str">
            <v>Haridarshan Polymers</v>
          </cell>
          <cell r="E1650">
            <v>0</v>
          </cell>
        </row>
        <row r="1651">
          <cell r="A1651" t="str">
            <v>Harsh Engineering</v>
          </cell>
          <cell r="E1651">
            <v>-1298</v>
          </cell>
        </row>
        <row r="1652">
          <cell r="A1652" t="str">
            <v>HCP Enterprise Ltd-Purchase</v>
          </cell>
          <cell r="E1652">
            <v>5412342141.79</v>
          </cell>
        </row>
        <row r="1653">
          <cell r="A1653" t="str">
            <v>HCP Plastene Bulkpack Limited - Purchase</v>
          </cell>
          <cell r="E1653">
            <v>-130690381.65000001</v>
          </cell>
        </row>
        <row r="1654">
          <cell r="A1654" t="str">
            <v>HELCON STEEL CORPORATION</v>
          </cell>
          <cell r="E1654">
            <v>0</v>
          </cell>
        </row>
        <row r="1655">
          <cell r="A1655" t="str">
            <v>Hella Infra Market Private Limited</v>
          </cell>
          <cell r="E1655">
            <v>-6444</v>
          </cell>
        </row>
        <row r="1656">
          <cell r="A1656" t="str">
            <v>Hemant Tyre Shop</v>
          </cell>
          <cell r="E1656">
            <v>-1200.01</v>
          </cell>
        </row>
        <row r="1657">
          <cell r="A1657" t="str">
            <v>Hermione Renewables Private Limited</v>
          </cell>
          <cell r="E1657">
            <v>0</v>
          </cell>
        </row>
        <row r="1658">
          <cell r="A1658" t="str">
            <v>Hi-Tech Inks Private Limited</v>
          </cell>
          <cell r="E1658">
            <v>-106943</v>
          </cell>
        </row>
        <row r="1659">
          <cell r="A1659" t="str">
            <v>Hi-Tech Speciality Films</v>
          </cell>
          <cell r="E1659">
            <v>0</v>
          </cell>
        </row>
        <row r="1660">
          <cell r="A1660" t="str">
            <v xml:space="preserve">Hkp Steel Pvt Ltd </v>
          </cell>
          <cell r="E1660">
            <v>-1</v>
          </cell>
        </row>
        <row r="1661">
          <cell r="A1661" t="str">
            <v>Iliyas Gulabmiyam Malek</v>
          </cell>
          <cell r="E1661">
            <v>0</v>
          </cell>
        </row>
        <row r="1662">
          <cell r="A1662" t="str">
            <v>Inar company Private Limited (formaly Tumi Enterprise Pvt Ltd)</v>
          </cell>
          <cell r="E1662">
            <v>-51238</v>
          </cell>
        </row>
        <row r="1663">
          <cell r="A1663" t="str">
            <v>Indiaideas.Com Limited- 27AAACI7986C1ZD- Bill Desk</v>
          </cell>
          <cell r="E1663">
            <v>0</v>
          </cell>
        </row>
        <row r="1664">
          <cell r="A1664" t="str">
            <v>Indian Institute Of Packaging - Ahmedabad</v>
          </cell>
          <cell r="E1664">
            <v>16468.900000000001</v>
          </cell>
        </row>
        <row r="1665">
          <cell r="A1665" t="str">
            <v>Indian Oil Corporation Limited (RSC)</v>
          </cell>
          <cell r="E1665">
            <v>-12083817.550000001</v>
          </cell>
        </row>
        <row r="1666">
          <cell r="A1666" t="str">
            <v>Indian Oil Corporation Limited (RSC)-Vapi</v>
          </cell>
          <cell r="E1666">
            <v>2488.6</v>
          </cell>
        </row>
        <row r="1667">
          <cell r="A1667" t="str">
            <v>Indian Oil Corporation Ltd.- Customer Sales A/c</v>
          </cell>
          <cell r="E1667">
            <v>9497833.6099999994</v>
          </cell>
        </row>
        <row r="1668">
          <cell r="A1668" t="str">
            <v>Indian Oil Corporation, Delhi</v>
          </cell>
          <cell r="E1668">
            <v>-12741.95</v>
          </cell>
        </row>
        <row r="1669">
          <cell r="A1669" t="str">
            <v>Indrajeet Construction Chemicals</v>
          </cell>
          <cell r="E1669">
            <v>0</v>
          </cell>
        </row>
        <row r="1670">
          <cell r="A1670" t="str">
            <v>Indralok Fabrics Pvt Ltd - Purchase</v>
          </cell>
          <cell r="E1670">
            <v>0</v>
          </cell>
        </row>
        <row r="1671">
          <cell r="A1671" t="str">
            <v>Industrial Bag Packaging</v>
          </cell>
          <cell r="E1671">
            <v>2613.64</v>
          </cell>
        </row>
        <row r="1672">
          <cell r="A1672" t="str">
            <v>Industrial Rubber Company</v>
          </cell>
          <cell r="E1672">
            <v>-0.2</v>
          </cell>
        </row>
        <row r="1673">
          <cell r="A1673" t="str">
            <v>Infiniti Retail Ltd (Croma)</v>
          </cell>
          <cell r="E1673">
            <v>-42999</v>
          </cell>
        </row>
        <row r="1674">
          <cell r="A1674" t="str">
            <v>Infinity Ocean Line Llp-24Aasfk3341g1zc</v>
          </cell>
          <cell r="E1674">
            <v>0</v>
          </cell>
        </row>
        <row r="1675">
          <cell r="A1675" t="str">
            <v>Interiors</v>
          </cell>
          <cell r="E1675">
            <v>-680</v>
          </cell>
        </row>
        <row r="1676">
          <cell r="A1676" t="str">
            <v>Intertek India Pvt Ltd - Rajasthan</v>
          </cell>
          <cell r="E1676">
            <v>0</v>
          </cell>
        </row>
        <row r="1677">
          <cell r="A1677" t="str">
            <v>Isotech Tie Up Pvt Ltd</v>
          </cell>
          <cell r="E1677">
            <v>-1038448</v>
          </cell>
        </row>
        <row r="1678">
          <cell r="A1678" t="str">
            <v>Isubmiya Umarmiya Malek</v>
          </cell>
          <cell r="E1678">
            <v>0</v>
          </cell>
        </row>
        <row r="1679">
          <cell r="A1679" t="str">
            <v>J Patel Shipping And Logistics</v>
          </cell>
          <cell r="E1679">
            <v>-37294</v>
          </cell>
        </row>
        <row r="1680">
          <cell r="A1680" t="str">
            <v>J&amp;D Industries</v>
          </cell>
          <cell r="E1680">
            <v>0</v>
          </cell>
        </row>
        <row r="1681">
          <cell r="A1681" t="str">
            <v>Jain Bulk Pack - Rajkot</v>
          </cell>
          <cell r="E1681">
            <v>7665296.5899999999</v>
          </cell>
        </row>
        <row r="1682">
          <cell r="A1682" t="str">
            <v xml:space="preserve">Jain Otr Tyre Pvt.Ltd </v>
          </cell>
          <cell r="E1682">
            <v>0</v>
          </cell>
        </row>
        <row r="1683">
          <cell r="A1683" t="str">
            <v>Jalaram Packaging</v>
          </cell>
          <cell r="E1683">
            <v>-138928</v>
          </cell>
        </row>
        <row r="1684">
          <cell r="A1684" t="str">
            <v xml:space="preserve">Jaldevi Engineering Works </v>
          </cell>
          <cell r="E1684">
            <v>0</v>
          </cell>
        </row>
        <row r="1685">
          <cell r="A1685" t="str">
            <v>Jawana Ram</v>
          </cell>
          <cell r="E1685">
            <v>0</v>
          </cell>
        </row>
        <row r="1686">
          <cell r="A1686" t="str">
            <v>Jay Shree Shaktima Textile - 24AGYPP3831G1Z1</v>
          </cell>
          <cell r="E1686">
            <v>-11092</v>
          </cell>
        </row>
        <row r="1687">
          <cell r="A1687" t="str">
            <v>Jaylaxmi Furnishing Pvt Ltd</v>
          </cell>
          <cell r="E1687">
            <v>0.01</v>
          </cell>
        </row>
        <row r="1688">
          <cell r="A1688" t="str">
            <v>Jiabur Rahman</v>
          </cell>
          <cell r="E1688">
            <v>0</v>
          </cell>
        </row>
        <row r="1689">
          <cell r="A1689" t="str">
            <v>Jinneng Chemical (Qingdao) Co Ltd</v>
          </cell>
          <cell r="E1689">
            <v>-621218.98</v>
          </cell>
        </row>
        <row r="1690">
          <cell r="A1690" t="str">
            <v>Jirawala Enterprise</v>
          </cell>
          <cell r="E1690">
            <v>0</v>
          </cell>
        </row>
        <row r="1691">
          <cell r="A1691" t="str">
            <v>JPI Printing Machinery Pvt Ltd</v>
          </cell>
          <cell r="E1691">
            <v>0</v>
          </cell>
        </row>
        <row r="1692">
          <cell r="A1692" t="str">
            <v>K P Enterprise - (GST 24BHQPV2994G1ZM)</v>
          </cell>
          <cell r="E1692">
            <v>-3674</v>
          </cell>
        </row>
        <row r="1693">
          <cell r="A1693" t="str">
            <v>K.P. Woven Pvt Ltd - Unit 2 (Nani Chirai) -Purchase</v>
          </cell>
          <cell r="E1693">
            <v>-135286.1</v>
          </cell>
        </row>
        <row r="1694">
          <cell r="A1694" t="str">
            <v>K.P. Woven Pvt Ltd - Unit 2 -Purchase</v>
          </cell>
          <cell r="E1694">
            <v>-35234259.189999998</v>
          </cell>
        </row>
        <row r="1695">
          <cell r="A1695" t="str">
            <v>K.P. Woven Pvt Ltd - Unit 3 -Purchase</v>
          </cell>
          <cell r="E1695">
            <v>-1401298067.28</v>
          </cell>
        </row>
        <row r="1696">
          <cell r="A1696" t="str">
            <v>Kbm Plastic Machinery Llp</v>
          </cell>
          <cell r="E1696">
            <v>-14667.4</v>
          </cell>
        </row>
        <row r="1697">
          <cell r="A1697" t="str">
            <v>Keestar Industries Co Ltd</v>
          </cell>
          <cell r="E1697">
            <v>-12274.08</v>
          </cell>
        </row>
        <row r="1698">
          <cell r="A1698" t="str">
            <v>Khanna &amp; Khanna Limited</v>
          </cell>
          <cell r="E1698">
            <v>-391524</v>
          </cell>
        </row>
        <row r="1699">
          <cell r="A1699" t="str">
            <v>Khodiyar Water Suppliers</v>
          </cell>
          <cell r="E1699">
            <v>0</v>
          </cell>
        </row>
        <row r="1700">
          <cell r="A1700" t="str">
            <v>Kiran Trading</v>
          </cell>
          <cell r="E1700">
            <v>-21533.599999999999</v>
          </cell>
        </row>
        <row r="1701">
          <cell r="A1701" t="str">
            <v>Kirti Engineering Enterprise - 24ACRPP5435B1ZM</v>
          </cell>
          <cell r="E1701">
            <v>0</v>
          </cell>
        </row>
        <row r="1702">
          <cell r="A1702" t="str">
            <v>Kohinoor Electric &amp; Febrication Works</v>
          </cell>
          <cell r="E1702">
            <v>-93645</v>
          </cell>
        </row>
        <row r="1703">
          <cell r="A1703" t="str">
            <v>Kone Elevator India Private Limited</v>
          </cell>
          <cell r="E1703">
            <v>0</v>
          </cell>
        </row>
        <row r="1704">
          <cell r="A1704" t="str">
            <v>Krishna Enterprise-Yashodadham</v>
          </cell>
          <cell r="E1704">
            <v>0</v>
          </cell>
        </row>
        <row r="1705">
          <cell r="A1705" t="str">
            <v>Krishna Furniture</v>
          </cell>
          <cell r="E1705">
            <v>-673</v>
          </cell>
        </row>
        <row r="1706">
          <cell r="A1706" t="str">
            <v>Krishna Sales</v>
          </cell>
          <cell r="E1706">
            <v>0</v>
          </cell>
        </row>
        <row r="1707">
          <cell r="A1707" t="str">
            <v>Kuehne Nagel Private Limited</v>
          </cell>
          <cell r="E1707">
            <v>0</v>
          </cell>
        </row>
        <row r="1708">
          <cell r="A1708" t="str">
            <v>Kundan Industrial Products &amp; Services</v>
          </cell>
          <cell r="E1708">
            <v>-1706</v>
          </cell>
        </row>
        <row r="1709">
          <cell r="A1709" t="str">
            <v>Kunlun Law Firm</v>
          </cell>
          <cell r="E1709">
            <v>539649.13</v>
          </cell>
        </row>
        <row r="1710">
          <cell r="A1710" t="str">
            <v>Kushal Cargo Movers</v>
          </cell>
          <cell r="E1710">
            <v>0</v>
          </cell>
        </row>
        <row r="1711">
          <cell r="A1711" t="str">
            <v>L L Engineers</v>
          </cell>
          <cell r="E1711">
            <v>-26680</v>
          </cell>
        </row>
        <row r="1712">
          <cell r="A1712" t="str">
            <v>Laxmi Enterprise</v>
          </cell>
          <cell r="E1712">
            <v>-2905</v>
          </cell>
        </row>
        <row r="1713">
          <cell r="A1713" t="str">
            <v>Laxmi Provision Store</v>
          </cell>
          <cell r="E1713">
            <v>0</v>
          </cell>
        </row>
        <row r="1714">
          <cell r="A1714" t="str">
            <v>Lohia Corp Limited - Gujarat</v>
          </cell>
          <cell r="E1714">
            <v>1375147.09</v>
          </cell>
        </row>
        <row r="1715">
          <cell r="A1715" t="str">
            <v>Lohia Corp Limited - Kanpur</v>
          </cell>
          <cell r="E1715">
            <v>0</v>
          </cell>
        </row>
        <row r="1716">
          <cell r="A1716" t="str">
            <v>Lohia Global Solutions - West bengal</v>
          </cell>
          <cell r="E1716">
            <v>-55362.65</v>
          </cell>
        </row>
        <row r="1717">
          <cell r="A1717" t="str">
            <v>Lyft Logistics Llp-Gujarat</v>
          </cell>
          <cell r="E1717">
            <v>400</v>
          </cell>
        </row>
        <row r="1718">
          <cell r="A1718" t="str">
            <v>Maa Bhavani Enterprise</v>
          </cell>
          <cell r="E1718">
            <v>122564</v>
          </cell>
        </row>
        <row r="1719">
          <cell r="A1719" t="str">
            <v>Maersk Line India Pvt Ltd</v>
          </cell>
          <cell r="E1719">
            <v>-100073.44</v>
          </cell>
        </row>
        <row r="1720">
          <cell r="A1720" t="str">
            <v>Maha Shivratri Polymers Private Limited</v>
          </cell>
          <cell r="E1720">
            <v>0</v>
          </cell>
        </row>
        <row r="1721">
          <cell r="A1721" t="str">
            <v>Mahakali Electronics</v>
          </cell>
          <cell r="E1721">
            <v>0</v>
          </cell>
        </row>
        <row r="1722">
          <cell r="A1722" t="str">
            <v>Mahakali Enertprise 24EPJPD1320A1ZT</v>
          </cell>
          <cell r="E1722">
            <v>-95713</v>
          </cell>
        </row>
        <row r="1723">
          <cell r="A1723" t="str">
            <v>Mahavir Industries</v>
          </cell>
          <cell r="E1723">
            <v>-1277418</v>
          </cell>
        </row>
        <row r="1724">
          <cell r="A1724" t="str">
            <v>Mahavir Marketing</v>
          </cell>
          <cell r="E1724">
            <v>0</v>
          </cell>
        </row>
        <row r="1725">
          <cell r="A1725" t="str">
            <v>Mahavir Technovations</v>
          </cell>
          <cell r="E1725">
            <v>-1.82</v>
          </cell>
        </row>
        <row r="1726">
          <cell r="A1726" t="str">
            <v>Majboot Material Handling Pvt. Ltd.</v>
          </cell>
          <cell r="E1726">
            <v>0</v>
          </cell>
        </row>
        <row r="1727">
          <cell r="A1727" t="str">
            <v>Mantri  Industries</v>
          </cell>
          <cell r="E1727">
            <v>0</v>
          </cell>
        </row>
        <row r="1728">
          <cell r="A1728" t="str">
            <v>Maple Enterprise</v>
          </cell>
          <cell r="E1728">
            <v>-743.75</v>
          </cell>
        </row>
        <row r="1729">
          <cell r="A1729" t="str">
            <v>Marut Air System Pvt Ltd.</v>
          </cell>
          <cell r="E1729">
            <v>0</v>
          </cell>
        </row>
        <row r="1730">
          <cell r="A1730" t="str">
            <v>Maruti Traders - Purchase</v>
          </cell>
          <cell r="E1730">
            <v>-1</v>
          </cell>
        </row>
        <row r="1731">
          <cell r="A1731" t="str">
            <v>Matrix Engineers</v>
          </cell>
          <cell r="E1731">
            <v>-4956.3999999999996</v>
          </cell>
        </row>
        <row r="1732">
          <cell r="A1732" t="str">
            <v>Maven Automation</v>
          </cell>
          <cell r="E1732">
            <v>0</v>
          </cell>
        </row>
        <row r="1733">
          <cell r="A1733" t="str">
            <v>Max Control</v>
          </cell>
          <cell r="E1733">
            <v>-13570</v>
          </cell>
        </row>
        <row r="1734">
          <cell r="A1734" t="str">
            <v>Mechtech Enterprise</v>
          </cell>
          <cell r="E1734">
            <v>-5649.8</v>
          </cell>
        </row>
        <row r="1735">
          <cell r="A1735" t="str">
            <v>Mentor Enterprise</v>
          </cell>
          <cell r="E1735">
            <v>-0.5</v>
          </cell>
        </row>
        <row r="1736">
          <cell r="A1736" t="str">
            <v>Mewar Microns</v>
          </cell>
          <cell r="E1736">
            <v>-233175</v>
          </cell>
        </row>
        <row r="1737">
          <cell r="A1737" t="str">
            <v>Mira Inform Private Limited</v>
          </cell>
          <cell r="E1737">
            <v>0</v>
          </cell>
        </row>
        <row r="1738">
          <cell r="A1738" t="str">
            <v>MK Enterprises</v>
          </cell>
          <cell r="E1738">
            <v>-267011.21000000002</v>
          </cell>
        </row>
        <row r="1739">
          <cell r="A1739" t="str">
            <v>Mohan Lal</v>
          </cell>
          <cell r="E1739">
            <v>0</v>
          </cell>
        </row>
        <row r="1740">
          <cell r="A1740" t="str">
            <v>Mohsin Rasulmiya Malek</v>
          </cell>
          <cell r="E1740">
            <v>0</v>
          </cell>
        </row>
        <row r="1741">
          <cell r="A1741" t="str">
            <v>Mor Techfab Pvt .Ltd.</v>
          </cell>
          <cell r="E1741">
            <v>-350286.66</v>
          </cell>
        </row>
        <row r="1742">
          <cell r="A1742" t="str">
            <v>Mount-Polyfab Llp - Purchase</v>
          </cell>
          <cell r="E1742">
            <v>0</v>
          </cell>
        </row>
        <row r="1743">
          <cell r="A1743" t="str">
            <v>Multi Commodity General Trading Fze</v>
          </cell>
          <cell r="E1743">
            <v>-334101.81</v>
          </cell>
        </row>
        <row r="1744">
          <cell r="A1744" t="str">
            <v>Multi Trade Limited Fzc</v>
          </cell>
          <cell r="E1744">
            <v>-138030.75</v>
          </cell>
        </row>
        <row r="1745">
          <cell r="A1745" t="str">
            <v>Munishchandra &amp; Co.</v>
          </cell>
          <cell r="E1745">
            <v>0</v>
          </cell>
        </row>
        <row r="1746">
          <cell r="A1746" t="str">
            <v>Mustufamiyan Divanmiyan Malek</v>
          </cell>
          <cell r="E1746">
            <v>0</v>
          </cell>
        </row>
        <row r="1747">
          <cell r="A1747" t="str">
            <v>Narayan Industries</v>
          </cell>
          <cell r="E1747">
            <v>74340</v>
          </cell>
        </row>
        <row r="1748">
          <cell r="A1748" t="str">
            <v>Navbharat Electronics  Co</v>
          </cell>
          <cell r="E1748">
            <v>0</v>
          </cell>
        </row>
        <row r="1749">
          <cell r="A1749" t="str">
            <v>Navkar Techno Trade</v>
          </cell>
          <cell r="E1749">
            <v>0</v>
          </cell>
        </row>
        <row r="1750">
          <cell r="A1750" t="str">
            <v>Navyantrik Enterprises</v>
          </cell>
          <cell r="E1750">
            <v>0</v>
          </cell>
        </row>
        <row r="1751">
          <cell r="A1751" t="str">
            <v>New Bikaner Cargo Carrier</v>
          </cell>
          <cell r="E1751">
            <v>590</v>
          </cell>
        </row>
        <row r="1752">
          <cell r="A1752" t="str">
            <v>New Dharti Agency</v>
          </cell>
          <cell r="E1752">
            <v>0</v>
          </cell>
        </row>
        <row r="1753">
          <cell r="A1753" t="str">
            <v>New Nilkanth Submersible Pump Service</v>
          </cell>
          <cell r="E1753">
            <v>0</v>
          </cell>
        </row>
        <row r="1754">
          <cell r="A1754" t="str">
            <v>Nexon Enterprise</v>
          </cell>
          <cell r="E1754">
            <v>-504</v>
          </cell>
        </row>
        <row r="1755">
          <cell r="A1755" t="str">
            <v>Norck Gmbh</v>
          </cell>
          <cell r="E1755">
            <v>-4429.83</v>
          </cell>
        </row>
        <row r="1756">
          <cell r="A1756" t="str">
            <v>Nutron Systems Private Limited</v>
          </cell>
          <cell r="E1756">
            <v>-112</v>
          </cell>
        </row>
        <row r="1757">
          <cell r="A1757" t="str">
            <v>Ofb Tech Pvt Ltd</v>
          </cell>
          <cell r="E1757">
            <v>-4998.68</v>
          </cell>
        </row>
        <row r="1758">
          <cell r="A1758" t="str">
            <v>Om Sales</v>
          </cell>
          <cell r="E1758">
            <v>0</v>
          </cell>
        </row>
        <row r="1759">
          <cell r="A1759" t="str">
            <v>Omni Enterprises</v>
          </cell>
          <cell r="E1759">
            <v>0</v>
          </cell>
        </row>
        <row r="1760">
          <cell r="A1760" t="str">
            <v>Onelink Logistics India Private Limited</v>
          </cell>
          <cell r="E1760">
            <v>0</v>
          </cell>
        </row>
        <row r="1761">
          <cell r="A1761" t="str">
            <v>Optel</v>
          </cell>
          <cell r="E1761">
            <v>-0.01</v>
          </cell>
        </row>
        <row r="1762">
          <cell r="A1762" t="str">
            <v>Oswal Extrusion Ltd - HO-Purchase</v>
          </cell>
          <cell r="E1762">
            <v>-139256816.58000001</v>
          </cell>
        </row>
        <row r="1763">
          <cell r="A1763" t="str">
            <v>Oswal Extrusion Ltd - Unit 2-Purchase</v>
          </cell>
          <cell r="E1763">
            <v>-432107632.66000003</v>
          </cell>
        </row>
        <row r="1764">
          <cell r="A1764" t="str">
            <v>Oswal Extrusion Ltd - Unit 3-Purchase</v>
          </cell>
          <cell r="E1764">
            <v>1000</v>
          </cell>
        </row>
        <row r="1765">
          <cell r="A1765" t="str">
            <v>Oswal Extrusion Ltd - Unit 4-Purchase</v>
          </cell>
          <cell r="E1765">
            <v>-220432528.06999999</v>
          </cell>
        </row>
        <row r="1766">
          <cell r="A1766" t="str">
            <v>Oswal Extrusion Ltd - Unit 5-Purchase</v>
          </cell>
          <cell r="E1766">
            <v>-87946806.180000007</v>
          </cell>
        </row>
        <row r="1767">
          <cell r="A1767" t="str">
            <v>Oswal Extrusion Ltd - Unit 6 Plant II -Purchase_Multi Layer</v>
          </cell>
          <cell r="E1767">
            <v>-10370419.560000001</v>
          </cell>
        </row>
        <row r="1768">
          <cell r="A1768" t="str">
            <v>Oswal Extrusion Ltd - Unit 6-Purchase</v>
          </cell>
          <cell r="E1768">
            <v>15316502.789999999</v>
          </cell>
        </row>
        <row r="1769">
          <cell r="A1769" t="str">
            <v>Oswal Extrusion Ltd - Unit 8-Purchase (MRPL)</v>
          </cell>
          <cell r="E1769">
            <v>2628.82</v>
          </cell>
        </row>
        <row r="1770">
          <cell r="A1770" t="str">
            <v>Oswal Polymers</v>
          </cell>
          <cell r="E1770">
            <v>687408.99</v>
          </cell>
        </row>
        <row r="1771">
          <cell r="A1771" t="str">
            <v>Pack Seals Industries</v>
          </cell>
          <cell r="E1771">
            <v>0</v>
          </cell>
        </row>
        <row r="1772">
          <cell r="A1772" t="str">
            <v>Pankaj Sales Corporation</v>
          </cell>
          <cell r="E1772">
            <v>-3540</v>
          </cell>
        </row>
        <row r="1773">
          <cell r="A1773" t="str">
            <v xml:space="preserve">Param Engineering </v>
          </cell>
          <cell r="E1773">
            <v>-44345</v>
          </cell>
        </row>
        <row r="1774">
          <cell r="A1774" t="str">
            <v>Parekh Bulk Pack - Purchase</v>
          </cell>
          <cell r="E1774">
            <v>-3498604.74</v>
          </cell>
        </row>
        <row r="1775">
          <cell r="A1775" t="str">
            <v>Paresh Steel Traders</v>
          </cell>
          <cell r="E1775">
            <v>71174</v>
          </cell>
        </row>
        <row r="1776">
          <cell r="A1776" t="str">
            <v>Pariflex Fibc Private Limited</v>
          </cell>
          <cell r="E1776">
            <v>-215922</v>
          </cell>
        </row>
        <row r="1777">
          <cell r="A1777" t="str">
            <v>PARMAR ENTERPRISE</v>
          </cell>
          <cell r="E1777">
            <v>0</v>
          </cell>
        </row>
        <row r="1778">
          <cell r="A1778" t="str">
            <v>Parshwanath Enterprise</v>
          </cell>
          <cell r="E1778">
            <v>-3500</v>
          </cell>
        </row>
        <row r="1779">
          <cell r="A1779" t="str">
            <v>Pascal Hydraulics</v>
          </cell>
          <cell r="E1779">
            <v>0</v>
          </cell>
        </row>
        <row r="1780">
          <cell r="A1780" t="str">
            <v>Patel Jain &amp; Associates</v>
          </cell>
          <cell r="E1780">
            <v>-225000</v>
          </cell>
        </row>
        <row r="1781">
          <cell r="A1781" t="str">
            <v>Patel Sales &amp; Services</v>
          </cell>
          <cell r="E1781">
            <v>-118</v>
          </cell>
        </row>
        <row r="1782">
          <cell r="A1782" t="str">
            <v>Paurav Enterprise</v>
          </cell>
          <cell r="E1782">
            <v>2124</v>
          </cell>
        </row>
        <row r="1783">
          <cell r="A1783" t="str">
            <v>Peoples Mind</v>
          </cell>
          <cell r="E1783">
            <v>-0.12</v>
          </cell>
        </row>
        <row r="1784">
          <cell r="A1784" t="str">
            <v>Perfect Belts Private Limited</v>
          </cell>
          <cell r="E1784">
            <v>-220980.25</v>
          </cell>
        </row>
        <row r="1785">
          <cell r="A1785" t="str">
            <v>Perfect Electrical Works</v>
          </cell>
          <cell r="E1785">
            <v>-31887</v>
          </cell>
        </row>
        <row r="1786">
          <cell r="A1786" t="str">
            <v>Phoenix Flexibles Private Ltd</v>
          </cell>
          <cell r="E1786">
            <v>0</v>
          </cell>
        </row>
        <row r="1787">
          <cell r="A1787" t="str">
            <v>Pitrukrupa Piep Fiting</v>
          </cell>
          <cell r="E1787">
            <v>-14149</v>
          </cell>
        </row>
        <row r="1788">
          <cell r="A1788" t="str">
            <v>Plastene India Limited - Trading Unit 1</v>
          </cell>
          <cell r="E1788">
            <v>0</v>
          </cell>
        </row>
        <row r="1789">
          <cell r="A1789" t="str">
            <v>Plastene India Limited - Trading Unit 2</v>
          </cell>
          <cell r="E1789">
            <v>0</v>
          </cell>
        </row>
        <row r="1790">
          <cell r="A1790" t="str">
            <v>Plastene India ltd - HO-Purchase</v>
          </cell>
          <cell r="E1790">
            <v>-513700773.61000001</v>
          </cell>
        </row>
        <row r="1791">
          <cell r="A1791" t="str">
            <v>Plastene India ltd - Unit 1-Purchase</v>
          </cell>
          <cell r="E1791">
            <v>-2418183692.3299999</v>
          </cell>
        </row>
        <row r="1792">
          <cell r="A1792" t="str">
            <v>Plastene India ltd - Unit 2-Purchase</v>
          </cell>
          <cell r="E1792">
            <v>-1313478647.03</v>
          </cell>
        </row>
        <row r="1793">
          <cell r="A1793" t="str">
            <v>Plastene India ltd - Unit 3-Purchase</v>
          </cell>
          <cell r="E1793">
            <v>-192848231.44999999</v>
          </cell>
        </row>
        <row r="1794">
          <cell r="A1794" t="str">
            <v>Plastene India ltd - Unit 4-Purchase</v>
          </cell>
          <cell r="E1794">
            <v>-24566.59</v>
          </cell>
        </row>
        <row r="1795">
          <cell r="A1795" t="str">
            <v>Plastene India ltd - Unit 5-Purchase</v>
          </cell>
          <cell r="E1795">
            <v>-15683.55</v>
          </cell>
        </row>
        <row r="1796">
          <cell r="A1796" t="str">
            <v>Plastene India ltd - Unit 6-Purchase</v>
          </cell>
          <cell r="E1796">
            <v>-1072298636.58</v>
          </cell>
        </row>
        <row r="1797">
          <cell r="A1797" t="str">
            <v>Plastene India ltd - Unit 8-Purchase</v>
          </cell>
          <cell r="E1797">
            <v>-201281649.44</v>
          </cell>
        </row>
        <row r="1798">
          <cell r="A1798" t="str">
            <v>Plastene Polyfilms Ltd-Purchase</v>
          </cell>
          <cell r="E1798">
            <v>442020521.72000003</v>
          </cell>
        </row>
        <row r="1799">
          <cell r="A1799" t="str">
            <v>Plus Marketing</v>
          </cell>
          <cell r="E1799">
            <v>0</v>
          </cell>
        </row>
        <row r="1800">
          <cell r="A1800" t="str">
            <v>Poly Texmach</v>
          </cell>
          <cell r="E1800">
            <v>-6868</v>
          </cell>
        </row>
        <row r="1801">
          <cell r="A1801" t="str">
            <v>Polymart Private Limited</v>
          </cell>
          <cell r="E1801">
            <v>-0.25</v>
          </cell>
        </row>
        <row r="1802">
          <cell r="A1802" t="str">
            <v>Pooja Enterprise</v>
          </cell>
          <cell r="E1802">
            <v>40000</v>
          </cell>
        </row>
        <row r="1803">
          <cell r="A1803" t="str">
            <v>Pooja Paper Crafts</v>
          </cell>
          <cell r="E1803">
            <v>-65250</v>
          </cell>
        </row>
        <row r="1804">
          <cell r="A1804" t="str">
            <v>Powerforce Energy Solution Private Limited</v>
          </cell>
          <cell r="E1804">
            <v>0</v>
          </cell>
        </row>
        <row r="1805">
          <cell r="A1805" t="str">
            <v>Prakash H. Parekh (Cr)</v>
          </cell>
          <cell r="E1805">
            <v>7393251</v>
          </cell>
        </row>
        <row r="1806">
          <cell r="A1806" t="str">
            <v>Prasad Koch Technic Pvt Ltd</v>
          </cell>
          <cell r="E1806">
            <v>30</v>
          </cell>
        </row>
        <row r="1807">
          <cell r="A1807" t="str">
            <v>Prihaan Box Packaging Private Limited</v>
          </cell>
          <cell r="E1807">
            <v>361</v>
          </cell>
        </row>
        <row r="1808">
          <cell r="A1808" t="str">
            <v>Prince Road Carriers</v>
          </cell>
          <cell r="E1808">
            <v>0</v>
          </cell>
        </row>
        <row r="1809">
          <cell r="A1809" t="str">
            <v>Protea Retails Private Limited</v>
          </cell>
          <cell r="E1809">
            <v>0</v>
          </cell>
        </row>
        <row r="1810">
          <cell r="A1810" t="str">
            <v>Protek Enterprises</v>
          </cell>
          <cell r="E1810">
            <v>0</v>
          </cell>
        </row>
        <row r="1811">
          <cell r="A1811" t="str">
            <v>Punit Trading Co</v>
          </cell>
          <cell r="E1811">
            <v>0</v>
          </cell>
        </row>
        <row r="1812">
          <cell r="A1812" t="str">
            <v>Qingdao Fundchem Co.,Ltd</v>
          </cell>
          <cell r="E1812">
            <v>0</v>
          </cell>
        </row>
        <row r="1813">
          <cell r="A1813" t="str">
            <v>R C Prajapati</v>
          </cell>
          <cell r="E1813">
            <v>0</v>
          </cell>
        </row>
        <row r="1814">
          <cell r="A1814" t="str">
            <v>R K Yadav Industries</v>
          </cell>
          <cell r="E1814">
            <v>-12873.4</v>
          </cell>
        </row>
        <row r="1815">
          <cell r="A1815" t="str">
            <v>R R Kabel Limited - 26AABCR3352C1ZT</v>
          </cell>
          <cell r="E1815">
            <v>-0.26</v>
          </cell>
        </row>
        <row r="1816">
          <cell r="A1816" t="str">
            <v>R. K. Cosultants</v>
          </cell>
          <cell r="E1816">
            <v>200</v>
          </cell>
        </row>
        <row r="1817">
          <cell r="A1817" t="str">
            <v>R.R. Crane Service</v>
          </cell>
          <cell r="E1817">
            <v>0</v>
          </cell>
        </row>
        <row r="1818">
          <cell r="A1818" t="str">
            <v>Radhika Enterprise</v>
          </cell>
          <cell r="E1818">
            <v>0</v>
          </cell>
        </row>
        <row r="1819">
          <cell r="A1819" t="str">
            <v>Radisson Hotel Kandla</v>
          </cell>
          <cell r="E1819">
            <v>0</v>
          </cell>
        </row>
        <row r="1820">
          <cell r="A1820" t="str">
            <v>Radius Server Parts India</v>
          </cell>
          <cell r="E1820">
            <v>80794.600000000006</v>
          </cell>
        </row>
        <row r="1821">
          <cell r="A1821" t="str">
            <v>Radix Electrosystems Pvt Ltd</v>
          </cell>
          <cell r="E1821">
            <v>0</v>
          </cell>
        </row>
        <row r="1822">
          <cell r="A1822" t="str">
            <v>Rahul Arvindbhai Dabhi</v>
          </cell>
          <cell r="E1822">
            <v>-4500</v>
          </cell>
        </row>
        <row r="1823">
          <cell r="A1823" t="str">
            <v>Rahul Traders - 24AFAPK3878B1ZR</v>
          </cell>
          <cell r="E1823">
            <v>0</v>
          </cell>
        </row>
        <row r="1824">
          <cell r="A1824" t="str">
            <v>Rainox Wiremesh Private Limited</v>
          </cell>
          <cell r="E1824">
            <v>-3658</v>
          </cell>
        </row>
        <row r="1825">
          <cell r="A1825" t="str">
            <v>Raj Cooling World Private Limited</v>
          </cell>
          <cell r="E1825">
            <v>21240</v>
          </cell>
        </row>
        <row r="1826">
          <cell r="A1826" t="str">
            <v>Rajal Office Solution</v>
          </cell>
          <cell r="E1826">
            <v>0</v>
          </cell>
        </row>
        <row r="1827">
          <cell r="A1827" t="str">
            <v>Rajat Impex</v>
          </cell>
          <cell r="E1827">
            <v>-15139</v>
          </cell>
        </row>
        <row r="1828">
          <cell r="A1828" t="str">
            <v>Ranjanben Jagdishbhai Bhavsar</v>
          </cell>
          <cell r="E1828">
            <v>0</v>
          </cell>
        </row>
        <row r="1829">
          <cell r="A1829" t="str">
            <v>Rapid Spare</v>
          </cell>
          <cell r="E1829">
            <v>-53141.7</v>
          </cell>
        </row>
        <row r="1830">
          <cell r="A1830" t="str">
            <v>Rathod Sales &amp; Service</v>
          </cell>
          <cell r="E1830">
            <v>0</v>
          </cell>
        </row>
        <row r="1831">
          <cell r="A1831" t="str">
            <v>Ravechi Suppliers</v>
          </cell>
          <cell r="E1831">
            <v>0</v>
          </cell>
        </row>
        <row r="1832">
          <cell r="A1832" t="str">
            <v>Ravi Arts Gallery</v>
          </cell>
          <cell r="E1832">
            <v>-28802</v>
          </cell>
        </row>
        <row r="1833">
          <cell r="A1833" t="str">
            <v>Reliance Retail Limited-Gujarat</v>
          </cell>
          <cell r="E1833">
            <v>0</v>
          </cell>
        </row>
        <row r="1834">
          <cell r="A1834" t="str">
            <v>Retailez Private Limited 24AALCR3173P1ZT</v>
          </cell>
          <cell r="E1834">
            <v>0</v>
          </cell>
        </row>
        <row r="1835">
          <cell r="A1835" t="str">
            <v>Retailez Private Limited_27AALCR3173P1ZN</v>
          </cell>
          <cell r="E1835">
            <v>0</v>
          </cell>
        </row>
        <row r="1836">
          <cell r="A1836" t="str">
            <v>Rex Steam Products Pvt Ltd</v>
          </cell>
          <cell r="E1836">
            <v>4466</v>
          </cell>
        </row>
        <row r="1837">
          <cell r="A1837" t="str">
            <v>Rishabh Steel Supplier</v>
          </cell>
          <cell r="E1837">
            <v>-11116</v>
          </cell>
        </row>
        <row r="1838">
          <cell r="A1838" t="str">
            <v>RR International</v>
          </cell>
          <cell r="E1838">
            <v>-734.4</v>
          </cell>
        </row>
        <row r="1839">
          <cell r="A1839" t="str">
            <v>Rudrani Electro Engraving Private Limited</v>
          </cell>
          <cell r="E1839">
            <v>-38523</v>
          </cell>
        </row>
        <row r="1840">
          <cell r="A1840" t="str">
            <v>S A Automation Pvt Ltd</v>
          </cell>
          <cell r="E1840">
            <v>9085.11</v>
          </cell>
        </row>
        <row r="1841">
          <cell r="A1841" t="str">
            <v>S Jivraj</v>
          </cell>
          <cell r="E1841">
            <v>0</v>
          </cell>
        </row>
        <row r="1842">
          <cell r="A1842" t="str">
            <v>S R Plast</v>
          </cell>
          <cell r="E1842">
            <v>40000</v>
          </cell>
        </row>
        <row r="1843">
          <cell r="A1843" t="str">
            <v>S.B. AGENCIES</v>
          </cell>
          <cell r="E1843">
            <v>-1890</v>
          </cell>
        </row>
        <row r="1844">
          <cell r="A1844" t="str">
            <v>S.K.Enterprise - 24DXPPS8590J1ZG</v>
          </cell>
          <cell r="E1844">
            <v>44488</v>
          </cell>
        </row>
        <row r="1845">
          <cell r="A1845" t="str">
            <v>S.K.Enterprises</v>
          </cell>
          <cell r="E1845">
            <v>6922.5</v>
          </cell>
        </row>
        <row r="1846">
          <cell r="A1846" t="str">
            <v>S.V.Industries</v>
          </cell>
          <cell r="E1846">
            <v>-162368</v>
          </cell>
        </row>
        <row r="1847">
          <cell r="A1847" t="str">
            <v>Safesack Scandinavia Ab - Purchase</v>
          </cell>
          <cell r="E1847">
            <v>-1320015.96</v>
          </cell>
        </row>
        <row r="1848">
          <cell r="A1848" t="str">
            <v>Safewin International Services</v>
          </cell>
          <cell r="E1848">
            <v>-295</v>
          </cell>
        </row>
        <row r="1849">
          <cell r="A1849" t="str">
            <v>Sagun Logistics</v>
          </cell>
          <cell r="E1849">
            <v>0</v>
          </cell>
        </row>
        <row r="1850">
          <cell r="A1850" t="str">
            <v>Sahajanand Transmission</v>
          </cell>
          <cell r="E1850">
            <v>0</v>
          </cell>
        </row>
        <row r="1851">
          <cell r="A1851" t="str">
            <v>Saheli Enterprise, Gim</v>
          </cell>
          <cell r="E1851">
            <v>-1205</v>
          </cell>
        </row>
        <row r="1852">
          <cell r="A1852" t="str">
            <v>Sandip Kumar Maurya</v>
          </cell>
          <cell r="E1852">
            <v>0</v>
          </cell>
        </row>
        <row r="1853">
          <cell r="A1853" t="str">
            <v>Sanjay Trade And Industries</v>
          </cell>
          <cell r="E1853">
            <v>-2.1800000000000002</v>
          </cell>
        </row>
        <row r="1854">
          <cell r="A1854" t="str">
            <v>Santosh Kumar</v>
          </cell>
          <cell r="E1854">
            <v>0</v>
          </cell>
        </row>
        <row r="1855">
          <cell r="A1855" t="str">
            <v>Satyam Impex-Gujarat</v>
          </cell>
          <cell r="E1855">
            <v>0</v>
          </cell>
        </row>
        <row r="1856">
          <cell r="A1856" t="str">
            <v>Savvy Inc.</v>
          </cell>
          <cell r="E1856">
            <v>-4864.6000000000004</v>
          </cell>
        </row>
        <row r="1857">
          <cell r="A1857" t="str">
            <v>Savya Impex</v>
          </cell>
          <cell r="E1857">
            <v>0</v>
          </cell>
        </row>
        <row r="1858">
          <cell r="A1858" t="str">
            <v>Sea Marine Logistics Pvt Ltd</v>
          </cell>
          <cell r="E1858">
            <v>-0.4</v>
          </cell>
        </row>
        <row r="1859">
          <cell r="A1859" t="str">
            <v>Seal Pack Industries</v>
          </cell>
          <cell r="E1859">
            <v>7523</v>
          </cell>
        </row>
        <row r="1860">
          <cell r="A1860" t="str">
            <v>Sensation Pest Control Services</v>
          </cell>
          <cell r="E1860">
            <v>-64175.56</v>
          </cell>
        </row>
        <row r="1861">
          <cell r="A1861" t="str">
            <v>Shah Industries - 24ABDHS7088C1Z1</v>
          </cell>
          <cell r="E1861">
            <v>-22050.5</v>
          </cell>
        </row>
        <row r="1862">
          <cell r="A1862" t="str">
            <v>Shantiben Kiranbhai Khatariya</v>
          </cell>
          <cell r="E1862">
            <v>0</v>
          </cell>
        </row>
        <row r="1863">
          <cell r="A1863" t="str">
            <v>Sharwajeet Commercial Pvt Ltd</v>
          </cell>
          <cell r="E1863">
            <v>11361.16</v>
          </cell>
        </row>
        <row r="1864">
          <cell r="A1864" t="str">
            <v>Sheetal Enterprises</v>
          </cell>
          <cell r="E1864">
            <v>-332400</v>
          </cell>
        </row>
        <row r="1865">
          <cell r="A1865" t="str">
            <v>Sheth Enterprise</v>
          </cell>
          <cell r="E1865">
            <v>0</v>
          </cell>
        </row>
        <row r="1866">
          <cell r="A1866" t="str">
            <v>Shiv Shakti Rubtech</v>
          </cell>
          <cell r="E1866">
            <v>0</v>
          </cell>
        </row>
        <row r="1867">
          <cell r="A1867" t="str">
            <v>Shivam Logistic</v>
          </cell>
          <cell r="E1867">
            <v>-20520</v>
          </cell>
        </row>
        <row r="1868">
          <cell r="A1868" t="str">
            <v>Shree Industries</v>
          </cell>
          <cell r="E1868">
            <v>-17068.7</v>
          </cell>
        </row>
        <row r="1869">
          <cell r="A1869" t="str">
            <v>Shree Krishna Enterprise 24APUPH0380P1ZD</v>
          </cell>
          <cell r="E1869">
            <v>0</v>
          </cell>
        </row>
        <row r="1870">
          <cell r="A1870" t="str">
            <v>Shree Krishnam Rubtech LLP</v>
          </cell>
          <cell r="E1870">
            <v>-83520</v>
          </cell>
        </row>
        <row r="1871">
          <cell r="A1871" t="str">
            <v>Shree Ram Occupational Health Center &amp; Service</v>
          </cell>
          <cell r="E1871">
            <v>0</v>
          </cell>
        </row>
        <row r="1872">
          <cell r="A1872" t="str">
            <v>Shree Shakti Electric Works</v>
          </cell>
          <cell r="E1872">
            <v>-348.76</v>
          </cell>
        </row>
        <row r="1873">
          <cell r="A1873" t="str">
            <v>Shree Shakti Industries</v>
          </cell>
          <cell r="E1873">
            <v>0</v>
          </cell>
        </row>
        <row r="1874">
          <cell r="A1874" t="str">
            <v>Shree Umiya Engineering</v>
          </cell>
          <cell r="E1874">
            <v>0</v>
          </cell>
        </row>
        <row r="1875">
          <cell r="A1875" t="str">
            <v>Shreeji Carbonic Gases</v>
          </cell>
          <cell r="E1875">
            <v>0</v>
          </cell>
        </row>
        <row r="1876">
          <cell r="A1876" t="str">
            <v>Shreeji Sales And Service</v>
          </cell>
          <cell r="E1876">
            <v>0</v>
          </cell>
        </row>
        <row r="1877">
          <cell r="A1877" t="str">
            <v>Shreeji Tech Engineering</v>
          </cell>
          <cell r="E1877">
            <v>-1534</v>
          </cell>
        </row>
        <row r="1878">
          <cell r="A1878" t="str">
            <v>Shri Balaji Handling Equipments Industry</v>
          </cell>
          <cell r="E1878">
            <v>-48000</v>
          </cell>
        </row>
        <row r="1879">
          <cell r="A1879" t="str">
            <v>Shri Parmeshwar Granite And Marble</v>
          </cell>
          <cell r="E1879">
            <v>-3926</v>
          </cell>
        </row>
        <row r="1880">
          <cell r="A1880" t="str">
            <v>Shridhar Minerals Pvt Ltd</v>
          </cell>
          <cell r="E1880">
            <v>0</v>
          </cell>
        </row>
        <row r="1881">
          <cell r="A1881" t="str">
            <v>Shrinath Adhesive Product Pvt.Ltd.</v>
          </cell>
          <cell r="E1881">
            <v>-28756</v>
          </cell>
        </row>
        <row r="1882">
          <cell r="A1882" t="str">
            <v>Shubham Polyvinyl</v>
          </cell>
          <cell r="E1882">
            <v>0</v>
          </cell>
        </row>
        <row r="1883">
          <cell r="A1883" t="str">
            <v>Siddheshwar Filaments</v>
          </cell>
          <cell r="E1883">
            <v>-228345</v>
          </cell>
        </row>
        <row r="1884">
          <cell r="A1884" t="str">
            <v>Sigma Enterprise</v>
          </cell>
          <cell r="E1884">
            <v>0</v>
          </cell>
        </row>
        <row r="1885">
          <cell r="A1885" t="str">
            <v>Simandhar Technology</v>
          </cell>
          <cell r="E1885">
            <v>0</v>
          </cell>
        </row>
        <row r="1886">
          <cell r="A1886" t="str">
            <v>Siriram Filteration &amp; Engg. Co</v>
          </cell>
          <cell r="E1886">
            <v>-23918.6</v>
          </cell>
        </row>
        <row r="1887">
          <cell r="A1887" t="str">
            <v>Spcx Private Ltd 24ABACS7251D1ZN Guj-Purchase</v>
          </cell>
          <cell r="E1887">
            <v>6159084.4000000004</v>
          </cell>
        </row>
        <row r="1888">
          <cell r="A1888" t="str">
            <v>Starlinger Plastics Machinery India Pvt Ltd</v>
          </cell>
          <cell r="E1888">
            <v>0</v>
          </cell>
        </row>
        <row r="1889">
          <cell r="A1889" t="str">
            <v>Sumitra</v>
          </cell>
          <cell r="E1889">
            <v>-11880</v>
          </cell>
        </row>
        <row r="1890">
          <cell r="A1890" t="str">
            <v>Sunny International Travels</v>
          </cell>
          <cell r="E1890">
            <v>0</v>
          </cell>
        </row>
        <row r="1891">
          <cell r="A1891" t="str">
            <v>Sunrise Marine</v>
          </cell>
          <cell r="E1891">
            <v>-48664</v>
          </cell>
        </row>
        <row r="1892">
          <cell r="A1892" t="str">
            <v>Sunrise Metal</v>
          </cell>
          <cell r="E1892">
            <v>-20813</v>
          </cell>
        </row>
        <row r="1893">
          <cell r="A1893" t="str">
            <v>Surneha Services</v>
          </cell>
          <cell r="E1893">
            <v>0</v>
          </cell>
        </row>
        <row r="1894">
          <cell r="A1894" t="str">
            <v>Surya Drinking Water</v>
          </cell>
          <cell r="E1894">
            <v>0</v>
          </cell>
        </row>
        <row r="1895">
          <cell r="A1895" t="str">
            <v>Suzlon Energy Limited</v>
          </cell>
          <cell r="E1895">
            <v>0</v>
          </cell>
        </row>
        <row r="1896">
          <cell r="A1896" t="str">
            <v>Swift Polymers Pvt Ltd</v>
          </cell>
          <cell r="E1896">
            <v>0</v>
          </cell>
        </row>
        <row r="1897">
          <cell r="A1897" t="str">
            <v>Tarajyot Polymers Ltd - Karnataka</v>
          </cell>
          <cell r="E1897">
            <v>0</v>
          </cell>
        </row>
        <row r="1898">
          <cell r="A1898" t="str">
            <v>Tec Papers Pvt Ltd Purchase</v>
          </cell>
          <cell r="E1898">
            <v>-177295</v>
          </cell>
        </row>
        <row r="1899">
          <cell r="A1899" t="str">
            <v>Tech Aid Systems Pvt Ltd</v>
          </cell>
          <cell r="E1899">
            <v>0</v>
          </cell>
        </row>
        <row r="1900">
          <cell r="A1900" t="str">
            <v>Tech Plastfeb Private Limited</v>
          </cell>
          <cell r="E1900">
            <v>-1.1000000000000001</v>
          </cell>
        </row>
        <row r="1901">
          <cell r="A1901" t="str">
            <v>Tech-Connect Retail Private Limited - Maharashtra</v>
          </cell>
          <cell r="E1901">
            <v>-36890</v>
          </cell>
        </row>
        <row r="1902">
          <cell r="A1902" t="str">
            <v>Techinstro</v>
          </cell>
          <cell r="E1902">
            <v>0</v>
          </cell>
        </row>
        <row r="1903">
          <cell r="A1903" t="str">
            <v>Tekhsol</v>
          </cell>
          <cell r="E1903">
            <v>-231562</v>
          </cell>
        </row>
        <row r="1904">
          <cell r="A1904" t="str">
            <v>The New India Assurance Co. Ltd</v>
          </cell>
          <cell r="E1904">
            <v>-3599</v>
          </cell>
        </row>
        <row r="1905">
          <cell r="A1905" t="str">
            <v>The Professional Couriers Pvt Ltd</v>
          </cell>
          <cell r="E1905">
            <v>0</v>
          </cell>
        </row>
        <row r="1906">
          <cell r="A1906" t="str">
            <v>The Shiv Regency</v>
          </cell>
          <cell r="E1906">
            <v>-9372.5400000000009</v>
          </cell>
        </row>
        <row r="1907">
          <cell r="A1907" t="str">
            <v>The South Indian Bank Limited-24AABCT0022F1Z4</v>
          </cell>
          <cell r="E1907">
            <v>-20060</v>
          </cell>
        </row>
        <row r="1908">
          <cell r="A1908" t="str">
            <v>The Sports Club Of Gujarat Ltd</v>
          </cell>
          <cell r="E1908">
            <v>0</v>
          </cell>
        </row>
        <row r="1909">
          <cell r="A1909" t="str">
            <v>Toyo Ink India Pvt. Ltd. - Gujarat</v>
          </cell>
          <cell r="E1909">
            <v>-1239214.76</v>
          </cell>
        </row>
        <row r="1910">
          <cell r="A1910" t="str">
            <v>Toyo Ink India Pvt. Ltd. - Uttar Pradesh</v>
          </cell>
          <cell r="E1910">
            <v>0</v>
          </cell>
        </row>
        <row r="1911">
          <cell r="A1911" t="str">
            <v>Trident Enterprises</v>
          </cell>
          <cell r="E1911">
            <v>0</v>
          </cell>
        </row>
        <row r="1912">
          <cell r="A1912" t="str">
            <v>Tube Corporation</v>
          </cell>
          <cell r="E1912">
            <v>0</v>
          </cell>
        </row>
        <row r="1913">
          <cell r="A1913" t="str">
            <v>Umiya Enterprise</v>
          </cell>
          <cell r="E1913">
            <v>-23364</v>
          </cell>
        </row>
        <row r="1914">
          <cell r="A1914" t="str">
            <v>Unilink Engineering Corporation Private Limited</v>
          </cell>
          <cell r="E1914">
            <v>149100</v>
          </cell>
        </row>
        <row r="1915">
          <cell r="A1915" t="str">
            <v>Unique Marketing - 24ABEPK2505M1ZU</v>
          </cell>
          <cell r="E1915">
            <v>-6434891.0800000001</v>
          </cell>
        </row>
        <row r="1916">
          <cell r="A1916" t="str">
            <v>United Boxmakers</v>
          </cell>
          <cell r="E1916">
            <v>2835</v>
          </cell>
        </row>
        <row r="1917">
          <cell r="A1917" t="str">
            <v>Unity Engineering Works</v>
          </cell>
          <cell r="E1917">
            <v>-103864</v>
          </cell>
        </row>
        <row r="1918">
          <cell r="A1918" t="str">
            <v>Unity Inn Private Limited</v>
          </cell>
          <cell r="E1918">
            <v>0</v>
          </cell>
        </row>
        <row r="1919">
          <cell r="A1919" t="str">
            <v>Upasana Metals</v>
          </cell>
          <cell r="E1919">
            <v>0</v>
          </cell>
        </row>
        <row r="1920">
          <cell r="A1920" t="str">
            <v>Ups Express Private Limited</v>
          </cell>
          <cell r="E1920">
            <v>2092</v>
          </cell>
        </row>
        <row r="1921">
          <cell r="A1921" t="str">
            <v>Uron Oms Llp</v>
          </cell>
          <cell r="E1921">
            <v>0</v>
          </cell>
        </row>
        <row r="1922">
          <cell r="A1922" t="str">
            <v>Urvashi Logistics</v>
          </cell>
          <cell r="E1922">
            <v>0</v>
          </cell>
        </row>
        <row r="1923">
          <cell r="A1923" t="str">
            <v>Vagheshwari Engineering</v>
          </cell>
          <cell r="E1923">
            <v>0</v>
          </cell>
        </row>
        <row r="1924">
          <cell r="A1924" t="str">
            <v>Vedant Enteprises</v>
          </cell>
          <cell r="E1924">
            <v>4588</v>
          </cell>
        </row>
        <row r="1925">
          <cell r="A1925" t="str">
            <v>Veer Enterprise</v>
          </cell>
          <cell r="E1925">
            <v>0</v>
          </cell>
        </row>
        <row r="1926">
          <cell r="A1926" t="str">
            <v>Veersingh Rajaram Baghel</v>
          </cell>
          <cell r="E1926">
            <v>-34350</v>
          </cell>
        </row>
        <row r="1927">
          <cell r="A1927" t="str">
            <v>Venus Data Products Pvt Ltd</v>
          </cell>
          <cell r="E1927">
            <v>-65143</v>
          </cell>
        </row>
        <row r="1928">
          <cell r="A1928" t="str">
            <v>Vimla Enterprise</v>
          </cell>
          <cell r="E1928">
            <v>-442725</v>
          </cell>
        </row>
        <row r="1929">
          <cell r="A1929" t="str">
            <v>Vishal Shipping Global Logistics Llp</v>
          </cell>
          <cell r="E1929">
            <v>0</v>
          </cell>
        </row>
        <row r="1930">
          <cell r="A1930" t="str">
            <v>Vishwakarma Industries - Chhatral</v>
          </cell>
          <cell r="E1930">
            <v>0</v>
          </cell>
        </row>
        <row r="1931">
          <cell r="A1931" t="str">
            <v>Vishwas Enterprise - Gandhidham 24HJZPS2918Q1ZW</v>
          </cell>
          <cell r="E1931">
            <v>-11875</v>
          </cell>
        </row>
        <row r="1932">
          <cell r="A1932" t="str">
            <v>Vision Hvac Pvt.Ltd</v>
          </cell>
          <cell r="E1932">
            <v>0</v>
          </cell>
        </row>
        <row r="1933">
          <cell r="A1933" t="str">
            <v>Voltas Limited</v>
          </cell>
          <cell r="E1933">
            <v>29500</v>
          </cell>
        </row>
        <row r="1934">
          <cell r="A1934" t="str">
            <v>Winco Automation</v>
          </cell>
          <cell r="E1934">
            <v>0</v>
          </cell>
        </row>
        <row r="1935">
          <cell r="A1935" t="str">
            <v>Worldwide Logistics (India) Pvt Ltd-06AAACW3529P1ZX</v>
          </cell>
          <cell r="E1935">
            <v>0</v>
          </cell>
        </row>
        <row r="1936">
          <cell r="A1936" t="str">
            <v>Yao Ke Jie</v>
          </cell>
          <cell r="E1936">
            <v>0.75</v>
          </cell>
        </row>
        <row r="1937">
          <cell r="A1937" t="str">
            <v>Zibo Riyuejin Plastic Machinery Co Ltd</v>
          </cell>
          <cell r="E1937">
            <v>44765.59</v>
          </cell>
        </row>
        <row r="1938">
          <cell r="A1938" t="str">
            <v xml:space="preserve">    Creditors-Cha/Transportation</v>
          </cell>
          <cell r="E1938">
            <v>1334307.68</v>
          </cell>
        </row>
        <row r="1939">
          <cell r="A1939" t="str">
            <v>20Cube Global Logistics Private Limited-33AACCZ8607K1Z0</v>
          </cell>
          <cell r="E1939">
            <v>0</v>
          </cell>
        </row>
        <row r="1940">
          <cell r="A1940" t="str">
            <v>A Hartrodt (India) Private Limited- Mumbai</v>
          </cell>
          <cell r="E1940">
            <v>-5220</v>
          </cell>
        </row>
        <row r="1941">
          <cell r="A1941" t="str">
            <v>Abreco Freight Pvt Ltd-27AATCA3993L1ZS</v>
          </cell>
          <cell r="E1941">
            <v>0</v>
          </cell>
        </row>
        <row r="1942">
          <cell r="A1942" t="str">
            <v>Active Cargo Movers</v>
          </cell>
          <cell r="E1942">
            <v>0</v>
          </cell>
        </row>
        <row r="1943">
          <cell r="A1943" t="str">
            <v>Adani Cma Mundra Terminal Private Limited</v>
          </cell>
          <cell r="E1943">
            <v>-3548.42</v>
          </cell>
        </row>
        <row r="1944">
          <cell r="A1944" t="str">
            <v>Adani Ports And Special Economic Zone Limited</v>
          </cell>
          <cell r="E1944">
            <v>-72920.2</v>
          </cell>
        </row>
        <row r="1945">
          <cell r="A1945" t="str">
            <v>Ahan Shipping Services-24AAZFA5323K1Z4</v>
          </cell>
          <cell r="E1945">
            <v>0</v>
          </cell>
        </row>
        <row r="1946">
          <cell r="A1946" t="str">
            <v>Ajs Logistics Pvt Ltd 09AAJCA0614L1ZO</v>
          </cell>
          <cell r="E1946">
            <v>0</v>
          </cell>
        </row>
        <row r="1947">
          <cell r="A1947" t="str">
            <v>Arihant Roadlines</v>
          </cell>
          <cell r="E1947">
            <v>-2000</v>
          </cell>
        </row>
        <row r="1948">
          <cell r="A1948" t="str">
            <v>Asia Shipping Internationaltransport Private Ltd.</v>
          </cell>
          <cell r="E1948">
            <v>0</v>
          </cell>
        </row>
        <row r="1949">
          <cell r="A1949" t="str">
            <v>Atlantic Air &amp; Ocean Freight Services Pvt Ltd - Mumbai</v>
          </cell>
          <cell r="E1949">
            <v>0</v>
          </cell>
        </row>
        <row r="1950">
          <cell r="A1950" t="str">
            <v>B.K. Roadways</v>
          </cell>
          <cell r="E1950">
            <v>-4000</v>
          </cell>
        </row>
        <row r="1951">
          <cell r="A1951" t="str">
            <v>Bdp Ugl Global Logistics (India) Pvt Ltd</v>
          </cell>
          <cell r="E1951">
            <v>0</v>
          </cell>
        </row>
        <row r="1952">
          <cell r="A1952" t="str">
            <v>Bison Logistics-09Abcfb2357e1zp</v>
          </cell>
          <cell r="E1952">
            <v>0</v>
          </cell>
        </row>
        <row r="1953">
          <cell r="A1953" t="str">
            <v>Blackstone Shipping Private Limited - Gujarat</v>
          </cell>
          <cell r="E1953">
            <v>0</v>
          </cell>
        </row>
        <row r="1954">
          <cell r="A1954" t="str">
            <v>Blackstone Shipping Private Limited - Maharashtra</v>
          </cell>
          <cell r="E1954">
            <v>12</v>
          </cell>
        </row>
        <row r="1955">
          <cell r="A1955" t="str">
            <v>Bluemoon Logistics Pvt Ltd - Gujarat</v>
          </cell>
          <cell r="E1955">
            <v>-27482</v>
          </cell>
        </row>
        <row r="1956">
          <cell r="A1956" t="str">
            <v>Bravin Logistics LLP</v>
          </cell>
          <cell r="E1956">
            <v>1542.3</v>
          </cell>
        </row>
        <row r="1957">
          <cell r="A1957" t="str">
            <v>C B Logistics</v>
          </cell>
          <cell r="E1957">
            <v>-5974</v>
          </cell>
        </row>
        <row r="1958">
          <cell r="A1958" t="str">
            <v>C. H. Robinson Worldwide Freight India Pvt Ltd-Ahmedabad</v>
          </cell>
          <cell r="E1958">
            <v>493</v>
          </cell>
        </row>
        <row r="1959">
          <cell r="A1959" t="str">
            <v>Cargo Marketing International Private Limited</v>
          </cell>
          <cell r="E1959">
            <v>0</v>
          </cell>
        </row>
        <row r="1960">
          <cell r="A1960" t="str">
            <v>Cfl Logistic</v>
          </cell>
          <cell r="E1960">
            <v>0</v>
          </cell>
        </row>
        <row r="1961">
          <cell r="A1961" t="str">
            <v>Chinubhai Kalidass &amp; Bros - Gujarat</v>
          </cell>
          <cell r="E1961">
            <v>-49080</v>
          </cell>
        </row>
        <row r="1962">
          <cell r="A1962" t="str">
            <v>Clearship Forwarders Pvt. Ltd.-27AABCC2914K1ZR</v>
          </cell>
          <cell r="E1962">
            <v>0</v>
          </cell>
        </row>
        <row r="1963">
          <cell r="A1963" t="str">
            <v>Cma Cgm Agencies (India) Pvt Ltd</v>
          </cell>
          <cell r="E1963">
            <v>13470</v>
          </cell>
        </row>
        <row r="1964">
          <cell r="A1964" t="str">
            <v>Container Corporation Of India Ltd (CKB)</v>
          </cell>
          <cell r="E1964">
            <v>-94099</v>
          </cell>
        </row>
        <row r="1965">
          <cell r="A1965" t="str">
            <v>Cosco Shipping Lines (India) Private Limited - Maharastra</v>
          </cell>
          <cell r="E1965">
            <v>0</v>
          </cell>
        </row>
        <row r="1966">
          <cell r="A1966" t="str">
            <v>Cosco Shipping Lines (India) Private Limited- Gujarat</v>
          </cell>
          <cell r="E1966">
            <v>38013</v>
          </cell>
        </row>
        <row r="1967">
          <cell r="A1967" t="str">
            <v>D R Logistics</v>
          </cell>
          <cell r="E1967">
            <v>0</v>
          </cell>
        </row>
        <row r="1968">
          <cell r="A1968" t="str">
            <v>Dsv Air &amp; Sea Private Limited</v>
          </cell>
          <cell r="E1968">
            <v>-5914</v>
          </cell>
        </row>
        <row r="1969">
          <cell r="A1969" t="str">
            <v>Evergreen Shipping Agency (India) Pvt Ltd</v>
          </cell>
          <cell r="E1969">
            <v>0</v>
          </cell>
        </row>
        <row r="1970">
          <cell r="A1970" t="str">
            <v>Fast And Fair Shipping And Logistics</v>
          </cell>
          <cell r="E1970">
            <v>0</v>
          </cell>
        </row>
        <row r="1971">
          <cell r="A1971" t="str">
            <v>Fedex Trade Networks Transport &amp; Brokerage Private Limited - Maharashtra</v>
          </cell>
          <cell r="E1971">
            <v>0</v>
          </cell>
        </row>
        <row r="1972">
          <cell r="A1972" t="str">
            <v>Fine Tech Corporation Pvt Ltd - Surat</v>
          </cell>
          <cell r="E1972">
            <v>111474</v>
          </cell>
        </row>
        <row r="1973">
          <cell r="A1973" t="str">
            <v>Fortune Shipping Private Limited</v>
          </cell>
          <cell r="E1973">
            <v>-134827.20000000001</v>
          </cell>
        </row>
        <row r="1974">
          <cell r="A1974" t="str">
            <v>Fortune Shipping Services Pvt Ltd</v>
          </cell>
          <cell r="E1974">
            <v>0</v>
          </cell>
        </row>
        <row r="1975">
          <cell r="A1975" t="str">
            <v>Globelink WW India Pvt Ltd</v>
          </cell>
          <cell r="E1975">
            <v>0</v>
          </cell>
        </row>
        <row r="1976">
          <cell r="A1976" t="str">
            <v>Glottis  Ltd</v>
          </cell>
          <cell r="E1976">
            <v>0.4</v>
          </cell>
        </row>
        <row r="1977">
          <cell r="A1977" t="str">
            <v>H D Trading Co</v>
          </cell>
          <cell r="E1977">
            <v>-67320</v>
          </cell>
        </row>
        <row r="1978">
          <cell r="A1978" t="str">
            <v>Hasti Petro Chemical And Shipping Ltd.</v>
          </cell>
          <cell r="E1978">
            <v>-0.2</v>
          </cell>
        </row>
        <row r="1979">
          <cell r="A1979" t="str">
            <v>Hellmann Worldwide Logistics India Private Limited</v>
          </cell>
          <cell r="E1979">
            <v>0</v>
          </cell>
        </row>
        <row r="1980">
          <cell r="A1980" t="str">
            <v>Honour Lane Logistics India Pvt Ltd</v>
          </cell>
          <cell r="E1980">
            <v>0</v>
          </cell>
        </row>
        <row r="1981">
          <cell r="A1981" t="str">
            <v>Indev Infra Private Limited</v>
          </cell>
          <cell r="E1981">
            <v>0</v>
          </cell>
        </row>
        <row r="1982">
          <cell r="A1982" t="str">
            <v>Interasia Lines Singapore Pte Ltd.</v>
          </cell>
          <cell r="E1982">
            <v>810188.19</v>
          </cell>
        </row>
        <row r="1983">
          <cell r="A1983" t="str">
            <v>Jay Mataji Roadlines</v>
          </cell>
          <cell r="E1983">
            <v>0</v>
          </cell>
        </row>
        <row r="1984">
          <cell r="A1984" t="str">
            <v>Kutch Highway Transport Co.</v>
          </cell>
          <cell r="E1984">
            <v>0</v>
          </cell>
        </row>
        <row r="1985">
          <cell r="A1985" t="str">
            <v>Lalji Mulji Transport Co.</v>
          </cell>
          <cell r="E1985">
            <v>13650</v>
          </cell>
        </row>
        <row r="1986">
          <cell r="A1986" t="str">
            <v>M R Logistics</v>
          </cell>
          <cell r="E1986">
            <v>0</v>
          </cell>
        </row>
        <row r="1987">
          <cell r="A1987" t="str">
            <v>Msc Agency (India) Private Limited</v>
          </cell>
          <cell r="E1987">
            <v>0</v>
          </cell>
        </row>
        <row r="1988">
          <cell r="A1988" t="str">
            <v>Msc Mediterranean Shipping Company S.A</v>
          </cell>
          <cell r="E1988">
            <v>4484</v>
          </cell>
        </row>
        <row r="1989">
          <cell r="A1989" t="str">
            <v>Mundra International Container Terminal Pvt. Ltd.</v>
          </cell>
          <cell r="E1989">
            <v>76376.479999999996</v>
          </cell>
        </row>
        <row r="1990">
          <cell r="A1990" t="str">
            <v>Naranji Peraj Transport Co., Gujarat</v>
          </cell>
          <cell r="E1990">
            <v>0</v>
          </cell>
        </row>
        <row r="1991">
          <cell r="A1991" t="str">
            <v>New Globe Logistik LLP</v>
          </cell>
          <cell r="E1991">
            <v>0</v>
          </cell>
        </row>
        <row r="1992">
          <cell r="A1992" t="str">
            <v>Om Freight Forwarders Limited-27AAACO0663J1ZG</v>
          </cell>
          <cell r="E1992">
            <v>0</v>
          </cell>
        </row>
        <row r="1993">
          <cell r="A1993" t="str">
            <v>P J Translifters</v>
          </cell>
          <cell r="E1993">
            <v>0</v>
          </cell>
        </row>
        <row r="1994">
          <cell r="A1994" t="str">
            <v>Parker Shipping</v>
          </cell>
          <cell r="E1994">
            <v>-467303</v>
          </cell>
        </row>
        <row r="1995">
          <cell r="A1995" t="str">
            <v>Patel Transport - 24ABAFP1601P1ZD</v>
          </cell>
          <cell r="E1995">
            <v>0</v>
          </cell>
        </row>
        <row r="1996">
          <cell r="A1996" t="str">
            <v>PIL (India) Private Limited</v>
          </cell>
          <cell r="E1996">
            <v>0.04</v>
          </cell>
        </row>
        <row r="1997">
          <cell r="A1997" t="str">
            <v>Poseidon Shipping Agency Private Limited - Do Fees</v>
          </cell>
          <cell r="E1997">
            <v>242590.54</v>
          </cell>
        </row>
        <row r="1998">
          <cell r="A1998" t="str">
            <v>Qwik Supply Chain Private Limited</v>
          </cell>
          <cell r="E1998">
            <v>164340.49</v>
          </cell>
        </row>
        <row r="1999">
          <cell r="A1999" t="str">
            <v>Real Roadlines - Udaipur</v>
          </cell>
          <cell r="E1999">
            <v>0</v>
          </cell>
        </row>
        <row r="2000">
          <cell r="A2000" t="str">
            <v>Saarthee Shipping Co</v>
          </cell>
          <cell r="E2000">
            <v>0</v>
          </cell>
        </row>
        <row r="2001">
          <cell r="A2001" t="str">
            <v>Samsara Shipping Pvt. Ltd. - Mumbai</v>
          </cell>
          <cell r="E2001">
            <v>99385.02</v>
          </cell>
        </row>
        <row r="2002">
          <cell r="A2002" t="str">
            <v>Sar Transport Systems Pvt Ltd - Gujarat</v>
          </cell>
          <cell r="E2002">
            <v>-416666.19</v>
          </cell>
        </row>
        <row r="2003">
          <cell r="A2003" t="str">
            <v>Sar Transport Systems Pvt Ltd - Maharastra</v>
          </cell>
          <cell r="E2003">
            <v>0</v>
          </cell>
        </row>
        <row r="2004">
          <cell r="A2004" t="str">
            <v>Seabox Shipping &amp; Logistics Pvt Ltd</v>
          </cell>
          <cell r="E2004">
            <v>-28368.880000000001</v>
          </cell>
        </row>
        <row r="2005">
          <cell r="A2005" t="str">
            <v>Sharma Roadlines</v>
          </cell>
          <cell r="E2005">
            <v>0</v>
          </cell>
        </row>
        <row r="2006">
          <cell r="A2006" t="str">
            <v>Shree Goods Carriers</v>
          </cell>
          <cell r="E2006">
            <v>0</v>
          </cell>
        </row>
        <row r="2007">
          <cell r="A2007" t="str">
            <v>Shreena Roadways</v>
          </cell>
          <cell r="E2007">
            <v>-36560</v>
          </cell>
        </row>
        <row r="2008">
          <cell r="A2008" t="str">
            <v>Shri Shiv Shakti Cargo Movers</v>
          </cell>
          <cell r="E2008">
            <v>-7605</v>
          </cell>
        </row>
        <row r="2009">
          <cell r="A2009" t="str">
            <v>Shyam Shipping Services - 24BNVPS6390A1ZL</v>
          </cell>
          <cell r="E2009">
            <v>0</v>
          </cell>
        </row>
        <row r="2010">
          <cell r="A2010" t="str">
            <v>St.John Freight Systems Ltd - Gujarat</v>
          </cell>
          <cell r="E2010">
            <v>-2039.44</v>
          </cell>
        </row>
        <row r="2011">
          <cell r="A2011" t="str">
            <v>Surbhi Shipping &amp; Logistics</v>
          </cell>
          <cell r="E2011">
            <v>439372</v>
          </cell>
        </row>
        <row r="2012">
          <cell r="A2012" t="str">
            <v>Swift Freight (India) Pvt Ltd - Gandhidham</v>
          </cell>
          <cell r="E2012">
            <v>0</v>
          </cell>
        </row>
        <row r="2013">
          <cell r="A2013" t="str">
            <v>V Trans (India) Ltd - Karnataka</v>
          </cell>
          <cell r="E2013">
            <v>6.48</v>
          </cell>
        </row>
        <row r="2014">
          <cell r="A2014" t="str">
            <v>V-Trans (India) Ltd. - Gujarat</v>
          </cell>
          <cell r="E2014">
            <v>-19188.169999999998</v>
          </cell>
        </row>
        <row r="2015">
          <cell r="A2015" t="str">
            <v>V-Trans (India) Ltd. - Karnataka</v>
          </cell>
          <cell r="E2015">
            <v>-7670</v>
          </cell>
        </row>
        <row r="2016">
          <cell r="A2016" t="str">
            <v>V-Trans (India) Ltd. - Rajasthan</v>
          </cell>
          <cell r="E2016">
            <v>-3.12</v>
          </cell>
        </row>
        <row r="2017">
          <cell r="A2017" t="str">
            <v>V-Trans (India) Ltd. - Tamil Nadu</v>
          </cell>
          <cell r="E2017">
            <v>-800</v>
          </cell>
        </row>
        <row r="2018">
          <cell r="A2018" t="str">
            <v>V-Trans (India) Ltd.- Dadra &amp; Nagar Haveli And Daman</v>
          </cell>
          <cell r="E2018">
            <v>0</v>
          </cell>
        </row>
        <row r="2019">
          <cell r="A2019" t="str">
            <v>V-Trans (India) Ltd.-Mp</v>
          </cell>
          <cell r="E2019">
            <v>0.56000000000000005</v>
          </cell>
        </row>
        <row r="2020">
          <cell r="A2020" t="str">
            <v>Virya Logistics Technologies Private Limited</v>
          </cell>
          <cell r="E2020">
            <v>0</v>
          </cell>
        </row>
        <row r="2021">
          <cell r="A2021" t="str">
            <v>Vital Freight Carrier Pvt Ltd</v>
          </cell>
          <cell r="E2021">
            <v>-3654</v>
          </cell>
        </row>
        <row r="2022">
          <cell r="A2022" t="str">
            <v>Vs Trans Lojistik Private Limited-Rajasthan</v>
          </cell>
          <cell r="E2022">
            <v>0</v>
          </cell>
        </row>
        <row r="2023">
          <cell r="A2023" t="str">
            <v>Wan Hai Lines Ltd</v>
          </cell>
          <cell r="E2023">
            <v>750000</v>
          </cell>
        </row>
        <row r="2024">
          <cell r="A2024" t="str">
            <v>Zim Integrated Shipping Services (I) Pvt Ltd</v>
          </cell>
          <cell r="E2024">
            <v>31152</v>
          </cell>
        </row>
        <row r="2025">
          <cell r="A2025" t="str">
            <v xml:space="preserve">    Creditors-Credit Cards</v>
          </cell>
          <cell r="E2025">
            <v>361467.96</v>
          </cell>
        </row>
        <row r="2026">
          <cell r="A2026" t="str">
            <v>CC American Express_3769 398975 82032</v>
          </cell>
          <cell r="E2026">
            <v>-255381</v>
          </cell>
        </row>
        <row r="2027">
          <cell r="A2027" t="str">
            <v>CC Amex Anil Goyal 61002 Platinium</v>
          </cell>
          <cell r="E2027">
            <v>0</v>
          </cell>
        </row>
        <row r="2028">
          <cell r="A2028" t="str">
            <v>CC Amex Madhu Parekh 1003 Platinium</v>
          </cell>
          <cell r="E2028">
            <v>0</v>
          </cell>
        </row>
        <row r="2029">
          <cell r="A2029" t="str">
            <v>CC Amex Prakash Parekh 71008 Metal</v>
          </cell>
          <cell r="E2029">
            <v>0.45</v>
          </cell>
        </row>
        <row r="2030">
          <cell r="A2030" t="str">
            <v>CC Amex Prakash Parekh 81000</v>
          </cell>
          <cell r="E2030">
            <v>0</v>
          </cell>
        </row>
        <row r="2031">
          <cell r="A2031" t="str">
            <v>CC Axis Flipkart Madhu Parekh 6057</v>
          </cell>
          <cell r="E2031">
            <v>0</v>
          </cell>
        </row>
        <row r="2032">
          <cell r="A2032" t="str">
            <v>CC Axis Prakash Parekh 1362 Magnus</v>
          </cell>
          <cell r="E2032">
            <v>550000</v>
          </cell>
        </row>
        <row r="2033">
          <cell r="A2033" t="str">
            <v>Cc Axis Prakash Parekh 8106 Vistara</v>
          </cell>
          <cell r="E2033">
            <v>0</v>
          </cell>
        </row>
        <row r="2034">
          <cell r="A2034" t="str">
            <v>Cc Axis Prakash Parekh Card No 7141</v>
          </cell>
          <cell r="E2034">
            <v>0</v>
          </cell>
        </row>
        <row r="2035">
          <cell r="A2035" t="str">
            <v>CC Axis Spicejet Card 4366010000014703</v>
          </cell>
          <cell r="E2035">
            <v>0</v>
          </cell>
        </row>
        <row r="2036">
          <cell r="A2036" t="str">
            <v>Cc Bob Prakash Parekh Card No 1579</v>
          </cell>
          <cell r="E2036">
            <v>0</v>
          </cell>
        </row>
        <row r="2037">
          <cell r="A2037" t="str">
            <v>CC Citi Prakash Parekh 9022</v>
          </cell>
          <cell r="E2037">
            <v>0</v>
          </cell>
        </row>
        <row r="2038">
          <cell r="A2038" t="str">
            <v>Cc Hdfc Aman Parekh 2436</v>
          </cell>
          <cell r="E2038">
            <v>0</v>
          </cell>
        </row>
        <row r="2039">
          <cell r="A2039" t="str">
            <v>CC HDFC Anil Goyal 0785</v>
          </cell>
          <cell r="E2039">
            <v>0</v>
          </cell>
        </row>
        <row r="2040">
          <cell r="A2040" t="str">
            <v>CC HDFC Anil Goyal 1831 Corp</v>
          </cell>
          <cell r="E2040">
            <v>0</v>
          </cell>
        </row>
        <row r="2041">
          <cell r="A2041" t="str">
            <v>CC HDFC Anil Goyal 2489</v>
          </cell>
          <cell r="E2041">
            <v>0</v>
          </cell>
        </row>
        <row r="2042">
          <cell r="A2042" t="str">
            <v>Cc Hdfc Anil Goyal 2981</v>
          </cell>
          <cell r="E2042">
            <v>0</v>
          </cell>
        </row>
        <row r="2043">
          <cell r="A2043" t="str">
            <v>CC HDFC Anil Goyal 3385</v>
          </cell>
          <cell r="E2043">
            <v>0</v>
          </cell>
        </row>
        <row r="2044">
          <cell r="A2044" t="str">
            <v>CC HDFC Anil Goyal 5125</v>
          </cell>
          <cell r="E2044">
            <v>0</v>
          </cell>
        </row>
        <row r="2045">
          <cell r="A2045" t="str">
            <v>CC HDFC Dilendra Singh 5770 Corp</v>
          </cell>
          <cell r="E2045">
            <v>745</v>
          </cell>
        </row>
        <row r="2046">
          <cell r="A2046" t="str">
            <v>Cc Hdfc Plastene India Limited 6042</v>
          </cell>
          <cell r="E2046">
            <v>34916</v>
          </cell>
        </row>
        <row r="2047">
          <cell r="A2047" t="str">
            <v>Cc Hdfc Prakash Parekh 6009</v>
          </cell>
          <cell r="E2047">
            <v>0</v>
          </cell>
        </row>
        <row r="2048">
          <cell r="A2048" t="str">
            <v>CC HDFC Prakash Parekh 7800</v>
          </cell>
          <cell r="E2048">
            <v>0</v>
          </cell>
        </row>
        <row r="2049">
          <cell r="A2049" t="str">
            <v>Cc Hdfc Prakash Parekh 8529</v>
          </cell>
          <cell r="E2049">
            <v>0</v>
          </cell>
        </row>
        <row r="2050">
          <cell r="A2050" t="str">
            <v>CC HDFC Pritesh Parekh 1005 Forex</v>
          </cell>
          <cell r="E2050">
            <v>731.68</v>
          </cell>
        </row>
        <row r="2051">
          <cell r="A2051" t="str">
            <v>CC ICICI Anil Goyal 5007</v>
          </cell>
          <cell r="E2051">
            <v>0</v>
          </cell>
        </row>
        <row r="2052">
          <cell r="A2052" t="str">
            <v>CC ICICI Manish Banthia 40004</v>
          </cell>
          <cell r="E2052">
            <v>0</v>
          </cell>
        </row>
        <row r="2053">
          <cell r="A2053" t="str">
            <v>CC ICICI Parin Upadhyay 39006</v>
          </cell>
          <cell r="E2053">
            <v>0</v>
          </cell>
        </row>
        <row r="2054">
          <cell r="A2054" t="str">
            <v>CC ICICI Tarachand Purohit 38008</v>
          </cell>
          <cell r="E2054">
            <v>0.01</v>
          </cell>
        </row>
        <row r="2055">
          <cell r="A2055" t="str">
            <v>Cc Idfc Prakash Parekh 8703</v>
          </cell>
          <cell r="E2055">
            <v>0</v>
          </cell>
        </row>
        <row r="2056">
          <cell r="A2056" t="str">
            <v>CC IDFC Vistara Prakash Parekh 7548</v>
          </cell>
          <cell r="E2056">
            <v>0</v>
          </cell>
        </row>
        <row r="2057">
          <cell r="A2057" t="str">
            <v>CC Indusind Anil Goyal 1456</v>
          </cell>
          <cell r="E2057">
            <v>0</v>
          </cell>
        </row>
        <row r="2058">
          <cell r="A2058" t="str">
            <v>CC Indusind Anil Goyal 8007</v>
          </cell>
          <cell r="E2058">
            <v>0</v>
          </cell>
        </row>
        <row r="2059">
          <cell r="A2059" t="str">
            <v>CC Indusind Bank Limited 4147 5276 9673 3698</v>
          </cell>
          <cell r="E2059">
            <v>0</v>
          </cell>
        </row>
        <row r="2060">
          <cell r="A2060" t="str">
            <v>Cc Indusind Bank Pritesh Parekh - 377151978582829</v>
          </cell>
          <cell r="E2060">
            <v>0</v>
          </cell>
        </row>
        <row r="2061">
          <cell r="A2061" t="str">
            <v>Cc Indusind Madhu Prakash 3578</v>
          </cell>
          <cell r="E2061">
            <v>0</v>
          </cell>
        </row>
        <row r="2062">
          <cell r="A2062" t="str">
            <v>CC Indusind Prakash Parekh 3003</v>
          </cell>
          <cell r="E2062">
            <v>0</v>
          </cell>
        </row>
        <row r="2063">
          <cell r="A2063" t="str">
            <v>CC Indusind Prakash Parekh 4523</v>
          </cell>
          <cell r="E2063">
            <v>0</v>
          </cell>
        </row>
        <row r="2064">
          <cell r="A2064" t="str">
            <v>CC Indusind-Vistara Aman Parekh 3808</v>
          </cell>
          <cell r="E2064">
            <v>0</v>
          </cell>
        </row>
        <row r="2065">
          <cell r="A2065" t="str">
            <v>Cc Prakash Pareskh Amex 2008</v>
          </cell>
          <cell r="E2065">
            <v>0</v>
          </cell>
        </row>
        <row r="2066">
          <cell r="A2066" t="str">
            <v>Cc Rbl Manish Banthia 3265</v>
          </cell>
          <cell r="E2066">
            <v>0</v>
          </cell>
        </row>
        <row r="2067">
          <cell r="A2067" t="str">
            <v>Cc Rbl Manish Banthia 4035</v>
          </cell>
          <cell r="E2067">
            <v>0</v>
          </cell>
        </row>
        <row r="2068">
          <cell r="A2068" t="str">
            <v>Cc Rbl Manish Banthia 4681</v>
          </cell>
          <cell r="E2068">
            <v>0</v>
          </cell>
        </row>
        <row r="2069">
          <cell r="A2069" t="str">
            <v>Cc Rbl Manish Banthia 8378</v>
          </cell>
          <cell r="E2069">
            <v>0</v>
          </cell>
        </row>
        <row r="2070">
          <cell r="A2070" t="str">
            <v xml:space="preserve">CC SBI Madhu Parekh 7085 </v>
          </cell>
          <cell r="E2070">
            <v>0</v>
          </cell>
        </row>
        <row r="2071">
          <cell r="A2071" t="str">
            <v>CC SBI Prakash Parekh 2266</v>
          </cell>
          <cell r="E2071">
            <v>0</v>
          </cell>
        </row>
        <row r="2072">
          <cell r="A2072" t="str">
            <v>CC SCB Anil Goyal 2769</v>
          </cell>
          <cell r="E2072">
            <v>0</v>
          </cell>
        </row>
        <row r="2073">
          <cell r="A2073" t="str">
            <v>CC SCB Anil Goyal 5603</v>
          </cell>
          <cell r="E2073">
            <v>791</v>
          </cell>
        </row>
        <row r="2074">
          <cell r="A2074" t="str">
            <v>CC SCB Prakash Parekh 7919</v>
          </cell>
          <cell r="E2074">
            <v>0</v>
          </cell>
        </row>
        <row r="2075">
          <cell r="A2075" t="str">
            <v>CC Thomas Coock - Anil 8889  Forex</v>
          </cell>
          <cell r="E2075">
            <v>29664.82</v>
          </cell>
        </row>
        <row r="2076">
          <cell r="A2076" t="str">
            <v xml:space="preserve">    Creditors-Overseas (Other Then RM)</v>
          </cell>
          <cell r="E2076">
            <v>-508384.15</v>
          </cell>
        </row>
        <row r="2077">
          <cell r="A2077" t="str">
            <v>Ameriglobe LLC - Purchase</v>
          </cell>
          <cell r="E2077">
            <v>-210641.34</v>
          </cell>
        </row>
        <row r="2078">
          <cell r="A2078" t="str">
            <v>Anastassios Aronis</v>
          </cell>
          <cell r="E2078">
            <v>0</v>
          </cell>
        </row>
        <row r="2079">
          <cell r="A2079" t="str">
            <v>Ascom  Carbonate And Chemicals Manufacturing</v>
          </cell>
          <cell r="E2079">
            <v>-3515.4</v>
          </cell>
        </row>
        <row r="2080">
          <cell r="A2080" t="str">
            <v>Comez International S.R.L</v>
          </cell>
          <cell r="E2080">
            <v>0</v>
          </cell>
        </row>
        <row r="2081">
          <cell r="A2081" t="str">
            <v>Dongguan Saipu Electromechanical Device Co. Ltd</v>
          </cell>
          <cell r="E2081">
            <v>-1891.76</v>
          </cell>
        </row>
        <row r="2082">
          <cell r="A2082" t="str">
            <v>Eckert &amp; Ziegler Isotope Products Gmbh</v>
          </cell>
          <cell r="E2082">
            <v>0</v>
          </cell>
        </row>
        <row r="2083">
          <cell r="A2083" t="str">
            <v>Form Edit Cefea</v>
          </cell>
          <cell r="E2083">
            <v>-137856.38</v>
          </cell>
        </row>
        <row r="2084">
          <cell r="A2084" t="str">
            <v>Gcc Minerals Joint Stock Company</v>
          </cell>
          <cell r="E2084">
            <v>-6064.8</v>
          </cell>
        </row>
        <row r="2085">
          <cell r="A2085" t="str">
            <v>Georg Sahm Gmbh And Co. Kg - Eschwege</v>
          </cell>
          <cell r="E2085">
            <v>-675.64</v>
          </cell>
        </row>
        <row r="2086">
          <cell r="A2086" t="str">
            <v>Gunter Kunststoffmaschinen Gmbh</v>
          </cell>
          <cell r="E2086">
            <v>-159430</v>
          </cell>
        </row>
        <row r="2087">
          <cell r="A2087" t="str">
            <v>Jose Maria Camargo</v>
          </cell>
          <cell r="E2087">
            <v>9303.89</v>
          </cell>
        </row>
        <row r="2088">
          <cell r="A2088" t="str">
            <v>Labordata</v>
          </cell>
          <cell r="E2088">
            <v>0</v>
          </cell>
        </row>
        <row r="2089">
          <cell r="A2089" t="str">
            <v>Messe Dusseldorf Gmbh</v>
          </cell>
          <cell r="E2089">
            <v>0</v>
          </cell>
        </row>
        <row r="2090">
          <cell r="A2090" t="str">
            <v>Next Generation Recyling Machinene Gmbh</v>
          </cell>
          <cell r="E2090">
            <v>-85770.19</v>
          </cell>
        </row>
        <row r="2091">
          <cell r="A2091" t="str">
            <v>Polymma (Hk) Co. Ltd</v>
          </cell>
          <cell r="E2091">
            <v>-43096.5</v>
          </cell>
        </row>
        <row r="2092">
          <cell r="A2092" t="str">
            <v>Polytek Makina Dis Ticaret Limited Sirketi</v>
          </cell>
          <cell r="E2092">
            <v>-1069.6300000000001</v>
          </cell>
        </row>
        <row r="2093">
          <cell r="A2093" t="str">
            <v>Q-Lab Corporation</v>
          </cell>
          <cell r="E2093">
            <v>0</v>
          </cell>
        </row>
        <row r="2094">
          <cell r="A2094" t="str">
            <v>Rakha Al Khaleej International Llc</v>
          </cell>
          <cell r="E2094">
            <v>-30681.599999999999</v>
          </cell>
        </row>
        <row r="2095">
          <cell r="A2095" t="str">
            <v>SAR Overseas Ltd.</v>
          </cell>
          <cell r="E2095">
            <v>-144572.85999999999</v>
          </cell>
        </row>
        <row r="2096">
          <cell r="A2096" t="str">
            <v>Shanghai Vision Consulting Co Ltd</v>
          </cell>
          <cell r="E2096">
            <v>0</v>
          </cell>
        </row>
        <row r="2097">
          <cell r="A2097" t="str">
            <v>Shanghai Zhaohui Pressure Apparatus Co Ltd</v>
          </cell>
          <cell r="E2097">
            <v>0</v>
          </cell>
        </row>
        <row r="2098">
          <cell r="A2098" t="str">
            <v>Shenzhen Jitao Technology Co., Ltd</v>
          </cell>
          <cell r="E2098">
            <v>-4.57</v>
          </cell>
        </row>
        <row r="2099">
          <cell r="A2099" t="str">
            <v>Sml Maschinengesellschaf Mbh</v>
          </cell>
          <cell r="E2099">
            <v>453864.82</v>
          </cell>
        </row>
        <row r="2100">
          <cell r="A2100" t="str">
            <v>Starlinger Plastics Machinery (Taicang) Co. Ltd</v>
          </cell>
          <cell r="E2100">
            <v>4717.71</v>
          </cell>
        </row>
        <row r="2101">
          <cell r="A2101" t="str">
            <v>Universitas Gyor Nonprofit Kft</v>
          </cell>
          <cell r="E2101">
            <v>-150618.4</v>
          </cell>
        </row>
        <row r="2102">
          <cell r="A2102" t="str">
            <v>Wenzhou Qianfeng International Trade Co., Ltd</v>
          </cell>
          <cell r="E2102">
            <v>-381.5</v>
          </cell>
        </row>
        <row r="2103">
          <cell r="A2103" t="str">
            <v>Zdenek Prochazka</v>
          </cell>
          <cell r="E2103">
            <v>0</v>
          </cell>
        </row>
        <row r="2104">
          <cell r="A2104" t="str">
            <v xml:space="preserve">    Creditors-RM</v>
          </cell>
          <cell r="E2104">
            <v>1544290571.03</v>
          </cell>
        </row>
        <row r="2105">
          <cell r="A2105" t="str">
            <v>Adinath Enterprises</v>
          </cell>
          <cell r="E2105">
            <v>-3327600</v>
          </cell>
        </row>
        <row r="2106">
          <cell r="A2106" t="str">
            <v>Advanced Global Marketing Company</v>
          </cell>
          <cell r="E2106">
            <v>32273.119999999999</v>
          </cell>
        </row>
        <row r="2107">
          <cell r="A2107" t="str">
            <v>Alok Master Batches Private Limited- Dadra</v>
          </cell>
          <cell r="E2107">
            <v>-96963.14</v>
          </cell>
        </row>
        <row r="2108">
          <cell r="A2108" t="str">
            <v>Alpine Exports</v>
          </cell>
          <cell r="E2108">
            <v>-954003</v>
          </cell>
        </row>
        <row r="2109">
          <cell r="A2109" t="str">
            <v>Ambika Petrochem Private Limited - Bengaluru</v>
          </cell>
          <cell r="E2109">
            <v>13580345</v>
          </cell>
        </row>
        <row r="2110">
          <cell r="A2110" t="str">
            <v>An Thanh Bicsol Jsc</v>
          </cell>
          <cell r="E2110">
            <v>0</v>
          </cell>
        </row>
        <row r="2111">
          <cell r="A2111" t="str">
            <v>An Thanh Bicsol Singapore Pte Ltd</v>
          </cell>
          <cell r="E2111">
            <v>0</v>
          </cell>
        </row>
        <row r="2112">
          <cell r="A2112" t="str">
            <v>Anand Tradelink Pvt Ltd</v>
          </cell>
          <cell r="E2112">
            <v>-2882</v>
          </cell>
        </row>
        <row r="2113">
          <cell r="A2113" t="str">
            <v>Aprirose Trading Limited (Dmcc Branch)</v>
          </cell>
          <cell r="E2113">
            <v>-50936.49</v>
          </cell>
        </row>
        <row r="2114">
          <cell r="A2114" t="str">
            <v>Argus Additive Plastics Gmbh</v>
          </cell>
          <cell r="E2114">
            <v>0</v>
          </cell>
        </row>
        <row r="2115">
          <cell r="A2115" t="str">
            <v>Avient Materials India Private Limited- Gujarat</v>
          </cell>
          <cell r="E2115">
            <v>-266562</v>
          </cell>
        </row>
        <row r="2116">
          <cell r="A2116" t="str">
            <v>Axxon Polymers Trading LLC</v>
          </cell>
          <cell r="E2116">
            <v>0</v>
          </cell>
        </row>
        <row r="2117">
          <cell r="A2117" t="str">
            <v>Basell International Trading Fze</v>
          </cell>
          <cell r="E2117">
            <v>-41654.32</v>
          </cell>
        </row>
        <row r="2118">
          <cell r="A2118" t="str">
            <v>Big Bag Essentials</v>
          </cell>
          <cell r="E2118">
            <v>0</v>
          </cell>
        </row>
        <row r="2119">
          <cell r="A2119" t="str">
            <v>Bonus Plastics Private Limited - Purchase</v>
          </cell>
          <cell r="E2119">
            <v>-2992.51</v>
          </cell>
        </row>
        <row r="2120">
          <cell r="A2120" t="str">
            <v>Borouge Pte Ltd</v>
          </cell>
          <cell r="E2120">
            <v>0</v>
          </cell>
        </row>
        <row r="2121">
          <cell r="A2121" t="str">
            <v>Calco Poly Compounds Pvt Ltd</v>
          </cell>
          <cell r="E2121">
            <v>-5327.16</v>
          </cell>
        </row>
        <row r="2122">
          <cell r="A2122" t="str">
            <v>Chem Sell</v>
          </cell>
          <cell r="E2122">
            <v>0</v>
          </cell>
        </row>
        <row r="2123">
          <cell r="A2123" t="str">
            <v>Chevron Phillips Chemicals Asia Pte. Ltd</v>
          </cell>
          <cell r="E2123">
            <v>0</v>
          </cell>
        </row>
        <row r="2124">
          <cell r="A2124" t="str">
            <v>China-Base Ningbo Foreign Trade Co., Ltd.</v>
          </cell>
          <cell r="E2124">
            <v>0</v>
          </cell>
        </row>
        <row r="2125">
          <cell r="A2125" t="str">
            <v>Colman Polychem Llp</v>
          </cell>
          <cell r="E2125">
            <v>-559320</v>
          </cell>
        </row>
        <row r="2126">
          <cell r="A2126" t="str">
            <v>Coraplast Industries</v>
          </cell>
          <cell r="E2126">
            <v>-5972284</v>
          </cell>
        </row>
        <row r="2127">
          <cell r="A2127" t="str">
            <v>Cpi Plastic Joint Stock Company</v>
          </cell>
          <cell r="E2127">
            <v>-9784.32</v>
          </cell>
        </row>
        <row r="2128">
          <cell r="A2128" t="str">
            <v>CPI Viet Nam Plastic Limited Company</v>
          </cell>
          <cell r="E2128">
            <v>0</v>
          </cell>
        </row>
        <row r="2129">
          <cell r="A2129" t="str">
            <v>Cytech Coatings Pvt Ltd</v>
          </cell>
          <cell r="E2129">
            <v>-7670</v>
          </cell>
        </row>
        <row r="2130">
          <cell r="A2130" t="str">
            <v>De Paauw Plasticrecycling B.V.</v>
          </cell>
          <cell r="E2130">
            <v>-2846.1</v>
          </cell>
        </row>
        <row r="2131">
          <cell r="A2131" t="str">
            <v>Dev Agencies - Purchase</v>
          </cell>
          <cell r="E2131">
            <v>0</v>
          </cell>
        </row>
        <row r="2132">
          <cell r="A2132" t="str">
            <v>Dow Chemical International Pvt Ltd</v>
          </cell>
          <cell r="E2132">
            <v>-29395.58</v>
          </cell>
        </row>
        <row r="2133">
          <cell r="A2133" t="str">
            <v>Dow Chemical Pacific (Singapore)Pte.</v>
          </cell>
          <cell r="E2133">
            <v>0</v>
          </cell>
        </row>
        <row r="2134">
          <cell r="A2134" t="str">
            <v>Ever Bags Packaging Private Limited</v>
          </cell>
          <cell r="E2134">
            <v>-12951</v>
          </cell>
        </row>
        <row r="2135">
          <cell r="A2135" t="str">
            <v>Exxonmobil Chemical Asia Pacific</v>
          </cell>
          <cell r="E2135">
            <v>-62159.62</v>
          </cell>
        </row>
        <row r="2136">
          <cell r="A2136" t="str">
            <v>Fairdeal Multifilament Pvt Ltd</v>
          </cell>
          <cell r="E2136">
            <v>-315368</v>
          </cell>
        </row>
        <row r="2137">
          <cell r="A2137" t="str">
            <v>Glasnost India - Purchase</v>
          </cell>
          <cell r="E2137">
            <v>0</v>
          </cell>
        </row>
        <row r="2138">
          <cell r="A2138" t="str">
            <v>Goldmine Multitrade Pvt Ltd</v>
          </cell>
          <cell r="E2138">
            <v>-12980</v>
          </cell>
        </row>
        <row r="2139">
          <cell r="A2139" t="str">
            <v>Gopala Polyplast Limited - Purchase</v>
          </cell>
          <cell r="E2139">
            <v>0</v>
          </cell>
        </row>
        <row r="2140">
          <cell r="A2140" t="str">
            <v>Grasim Industries Limited</v>
          </cell>
          <cell r="E2140">
            <v>1.5</v>
          </cell>
        </row>
        <row r="2141">
          <cell r="A2141" t="str">
            <v xml:space="preserve">Hanwha Solutions Corporation </v>
          </cell>
          <cell r="E2141">
            <v>-136044</v>
          </cell>
        </row>
        <row r="2142">
          <cell r="A2142" t="str">
            <v>HCP Plastene Bulkpack Ltd (Unit-III) - Purchase</v>
          </cell>
          <cell r="E2142">
            <v>-857471.33</v>
          </cell>
        </row>
        <row r="2143">
          <cell r="A2143" t="str">
            <v>Hcp Plastene Bulkpack Ltd (Unit-Iv) - Purchase</v>
          </cell>
          <cell r="E2143">
            <v>-0.19</v>
          </cell>
        </row>
        <row r="2144">
          <cell r="A2144" t="str">
            <v>Hexagon Globe</v>
          </cell>
          <cell r="E2144">
            <v>0</v>
          </cell>
        </row>
        <row r="2145">
          <cell r="A2145" t="str">
            <v>Hightop Energy Co., LTD</v>
          </cell>
          <cell r="E2145">
            <v>0</v>
          </cell>
        </row>
        <row r="2146">
          <cell r="A2146" t="str">
            <v>Honest Corporation</v>
          </cell>
          <cell r="E2146">
            <v>0</v>
          </cell>
        </row>
        <row r="2147">
          <cell r="A2147" t="str">
            <v>HPCL- Mittal Energy Limited</v>
          </cell>
          <cell r="E2147">
            <v>0</v>
          </cell>
        </row>
        <row r="2148">
          <cell r="A2148" t="str">
            <v>Huzhou Unifull Industrial Fibre Co., Ltd.</v>
          </cell>
          <cell r="E2148">
            <v>0</v>
          </cell>
        </row>
        <row r="2149">
          <cell r="A2149" t="str">
            <v>IMBB - Purchase</v>
          </cell>
          <cell r="E2149">
            <v>0</v>
          </cell>
        </row>
        <row r="2150">
          <cell r="A2150" t="str">
            <v>Indian Oil Corporation -Paradip</v>
          </cell>
          <cell r="E2150">
            <v>0</v>
          </cell>
        </row>
        <row r="2151">
          <cell r="A2151" t="str">
            <v>Indian Oil Corporation Ltd-Haryana-(Pur)</v>
          </cell>
          <cell r="E2151">
            <v>-292736.89</v>
          </cell>
        </row>
        <row r="2152">
          <cell r="A2152" t="str">
            <v>Indian Oil Corporation Ltd. ( Ahmedabad )</v>
          </cell>
          <cell r="E2152">
            <v>-4809415.3600000003</v>
          </cell>
        </row>
        <row r="2153">
          <cell r="A2153" t="str">
            <v>Indian Oil Corporation, Rajkot</v>
          </cell>
          <cell r="E2153">
            <v>0</v>
          </cell>
        </row>
        <row r="2154">
          <cell r="A2154" t="str">
            <v>Ishan Plastic LLP</v>
          </cell>
          <cell r="E2154">
            <v>-9917.25</v>
          </cell>
        </row>
        <row r="2155">
          <cell r="A2155" t="str">
            <v>Israel Polymers Services Ltd.</v>
          </cell>
          <cell r="E2155">
            <v>0</v>
          </cell>
        </row>
        <row r="2156">
          <cell r="A2156" t="str">
            <v>Jhaveri Polyyhouse Private Limited</v>
          </cell>
          <cell r="E2156">
            <v>-0.4</v>
          </cell>
        </row>
        <row r="2157">
          <cell r="A2157" t="str">
            <v>Jincheng Group Imp &amp;  Exp Co Ltd.</v>
          </cell>
          <cell r="E2157">
            <v>10668657.130000001</v>
          </cell>
        </row>
        <row r="2158">
          <cell r="A2158" t="str">
            <v>K.P. Woven Pvt Ltd-Purchase</v>
          </cell>
          <cell r="E2158">
            <v>2154604365.1399999</v>
          </cell>
        </row>
        <row r="2159">
          <cell r="A2159" t="str">
            <v>Koco Group Limited</v>
          </cell>
          <cell r="E2159">
            <v>0</v>
          </cell>
        </row>
        <row r="2160">
          <cell r="A2160" t="str">
            <v>Konkan Speciality Poly Products Pvt Ltd</v>
          </cell>
          <cell r="E2160">
            <v>-28084</v>
          </cell>
        </row>
        <row r="2161">
          <cell r="A2161" t="str">
            <v>Kpr Enterprise</v>
          </cell>
          <cell r="E2161">
            <v>-2208.52</v>
          </cell>
        </row>
        <row r="2162">
          <cell r="A2162" t="str">
            <v>Lankhorst Eurunete Portugal Sa</v>
          </cell>
          <cell r="E2162">
            <v>7908947.1900000004</v>
          </cell>
        </row>
        <row r="2163">
          <cell r="A2163" t="str">
            <v>Lila Polymers Pvt. Ltd. - Gujarat</v>
          </cell>
          <cell r="E2163">
            <v>-2527.5</v>
          </cell>
        </row>
        <row r="2164">
          <cell r="A2164" t="str">
            <v>Lila Polymers Pvt. Ltd. - Maharashtra</v>
          </cell>
          <cell r="E2164">
            <v>-0.24</v>
          </cell>
        </row>
        <row r="2165">
          <cell r="A2165" t="str">
            <v>Marudhar Polymers - Purchase</v>
          </cell>
          <cell r="E2165">
            <v>16384274</v>
          </cell>
        </row>
        <row r="2166">
          <cell r="A2166" t="str">
            <v>Merit Polymers Private Limited
-Daman</v>
          </cell>
          <cell r="E2166">
            <v>0</v>
          </cell>
        </row>
        <row r="2167">
          <cell r="A2167" t="str">
            <v>Mobelchem Specialty Private Limited</v>
          </cell>
          <cell r="E2167">
            <v>-19682250</v>
          </cell>
        </row>
        <row r="2168">
          <cell r="A2168" t="str">
            <v>Monit Trading Pvt Ltd</v>
          </cell>
          <cell r="E2168">
            <v>0</v>
          </cell>
        </row>
        <row r="2169">
          <cell r="A2169" t="str">
            <v>Narayani Enterprise - 24AACHL1775K2Z3</v>
          </cell>
          <cell r="E2169">
            <v>-383</v>
          </cell>
        </row>
        <row r="2170">
          <cell r="A2170" t="str">
            <v>OCI (Hongkong) Limited</v>
          </cell>
          <cell r="E2170">
            <v>252817.26</v>
          </cell>
        </row>
        <row r="2171">
          <cell r="A2171" t="str">
            <v>Ofb Universal Fze</v>
          </cell>
          <cell r="E2171">
            <v>-11039.95</v>
          </cell>
        </row>
        <row r="2172">
          <cell r="A2172" t="str">
            <v>Olive Industries</v>
          </cell>
          <cell r="E2172">
            <v>0</v>
          </cell>
        </row>
        <row r="2173">
          <cell r="A2173" t="str">
            <v>Om Corporation</v>
          </cell>
          <cell r="E2173">
            <v>0</v>
          </cell>
        </row>
        <row r="2174">
          <cell r="A2174" t="str">
            <v>ONGC Petro Addition Ltd</v>
          </cell>
          <cell r="E2174">
            <v>-218237.98</v>
          </cell>
        </row>
        <row r="2175">
          <cell r="A2175" t="str">
            <v>Ongc Petro Additions Limited- DTA ( Domestic )</v>
          </cell>
          <cell r="E2175">
            <v>-924.44</v>
          </cell>
        </row>
        <row r="2176">
          <cell r="A2176" t="str">
            <v>OQ Marketing LLC</v>
          </cell>
          <cell r="E2176">
            <v>-14256</v>
          </cell>
        </row>
        <row r="2177">
          <cell r="A2177" t="str">
            <v>Oriental Energy (Singapore) International Trading Pte Ltd</v>
          </cell>
          <cell r="E2177">
            <v>-109797.12</v>
          </cell>
        </row>
        <row r="2178">
          <cell r="A2178" t="str">
            <v>Oswal Commodities Private Limited - Purchase</v>
          </cell>
          <cell r="E2178">
            <v>-65980877.869999997</v>
          </cell>
        </row>
        <row r="2179">
          <cell r="A2179" t="str">
            <v>Oswal Extrusion Ltd- KASEZ-Purchase</v>
          </cell>
          <cell r="E2179">
            <v>-582595254.53999996</v>
          </cell>
        </row>
        <row r="2180">
          <cell r="A2180" t="str">
            <v>Oswal Overseas - Purchase</v>
          </cell>
          <cell r="E2180">
            <v>-1416</v>
          </cell>
        </row>
        <row r="2181">
          <cell r="A2181" t="str">
            <v>Overseas Polymers Pvt Ltd</v>
          </cell>
          <cell r="E2181">
            <v>0</v>
          </cell>
        </row>
        <row r="2182">
          <cell r="A2182" t="str">
            <v>P.P. Products Private Limited</v>
          </cell>
          <cell r="E2182">
            <v>15794190</v>
          </cell>
        </row>
        <row r="2183">
          <cell r="A2183" t="str">
            <v>Parth Flexipack</v>
          </cell>
          <cell r="E2183">
            <v>-86451</v>
          </cell>
        </row>
        <row r="2184">
          <cell r="A2184" t="str">
            <v>Parth Poly Coat Yarn Pvt Ltd</v>
          </cell>
          <cell r="E2184">
            <v>-816307.12</v>
          </cell>
        </row>
        <row r="2185">
          <cell r="A2185" t="str">
            <v>Polymart Private Limited - Maharashtra</v>
          </cell>
          <cell r="E2185">
            <v>1.25</v>
          </cell>
        </row>
        <row r="2186">
          <cell r="A2186" t="str">
            <v>Polymet Sa (S) Pte. Ltd.</v>
          </cell>
          <cell r="E2186">
            <v>0</v>
          </cell>
        </row>
        <row r="2187">
          <cell r="A2187" t="str">
            <v>Polyone Polymers India Private Limited - Gujarat</v>
          </cell>
          <cell r="E2187">
            <v>0</v>
          </cell>
        </row>
        <row r="2188">
          <cell r="A2188" t="str">
            <v>Polyone Polymers India Private Limited - Maharashtra</v>
          </cell>
          <cell r="E2188">
            <v>0</v>
          </cell>
        </row>
        <row r="2189">
          <cell r="A2189" t="str">
            <v>Ptt Global Chemical Public Company Limited</v>
          </cell>
          <cell r="E2189">
            <v>-29680</v>
          </cell>
        </row>
        <row r="2190">
          <cell r="A2190" t="str">
            <v>Qatar Chemical And Petrochemical Marketing And Distribution Company (Muntajat) Q.J.S.C.</v>
          </cell>
          <cell r="E2190">
            <v>0.01</v>
          </cell>
        </row>
        <row r="2191">
          <cell r="A2191" t="str">
            <v>Rajiv Petrochemical Pvt Ltd -  Purchase</v>
          </cell>
          <cell r="E2191">
            <v>0</v>
          </cell>
        </row>
        <row r="2192">
          <cell r="A2192" t="str">
            <v>Rajyada Polymers Private Limited</v>
          </cell>
          <cell r="E2192">
            <v>-0.4</v>
          </cell>
        </row>
        <row r="2193">
          <cell r="A2193" t="str">
            <v>Reliance Industries Ltd-Gujarat</v>
          </cell>
          <cell r="E2193">
            <v>-6360574.0800000001</v>
          </cell>
        </row>
        <row r="2194">
          <cell r="A2194" t="str">
            <v>Reliance Industries Ltd-Jamnagar SEZ</v>
          </cell>
          <cell r="E2194">
            <v>-3218882.36</v>
          </cell>
        </row>
        <row r="2195">
          <cell r="A2195" t="str">
            <v>Repsol Quimica S.A</v>
          </cell>
          <cell r="E2195">
            <v>38063.42</v>
          </cell>
        </row>
        <row r="2196">
          <cell r="A2196" t="str">
            <v>Rishi Fibc Solutions Pvt Ltd - Purchase</v>
          </cell>
          <cell r="E2196">
            <v>0</v>
          </cell>
        </row>
        <row r="2197">
          <cell r="A2197" t="str">
            <v>Sabic Asia Pacific Pte Ltd</v>
          </cell>
          <cell r="E2197">
            <v>11166705.01</v>
          </cell>
        </row>
        <row r="2198">
          <cell r="A2198" t="str">
            <v>Satyendra Masterbatch Private Limited</v>
          </cell>
          <cell r="E2198">
            <v>-43660</v>
          </cell>
        </row>
        <row r="2199">
          <cell r="A2199" t="str">
            <v>Shikharji Polymers - Purchase</v>
          </cell>
          <cell r="E2199">
            <v>1428076.5</v>
          </cell>
        </row>
        <row r="2200">
          <cell r="A2200" t="str">
            <v xml:space="preserve">Shree Jalaram Chem Trade </v>
          </cell>
          <cell r="E2200">
            <v>0</v>
          </cell>
        </row>
        <row r="2201">
          <cell r="A2201" t="str">
            <v>Shree Saibaba Petroleum</v>
          </cell>
          <cell r="E2201">
            <v>8889270.4800000004</v>
          </cell>
        </row>
        <row r="2202">
          <cell r="A2202" t="str">
            <v>Shri Tirupati Industries</v>
          </cell>
          <cell r="E2202">
            <v>525618</v>
          </cell>
        </row>
        <row r="2203">
          <cell r="A2203" t="str">
            <v>Shribalaji Additives Private Limited</v>
          </cell>
          <cell r="E2203">
            <v>0</v>
          </cell>
        </row>
        <row r="2204">
          <cell r="A2204" t="str">
            <v>Shyam Vandan Enterprises Llp</v>
          </cell>
          <cell r="E2204">
            <v>-6146.4</v>
          </cell>
        </row>
        <row r="2205">
          <cell r="A2205" t="str">
            <v>Simandhar Poly Industries - Unit 2</v>
          </cell>
          <cell r="E2205">
            <v>0</v>
          </cell>
        </row>
        <row r="2206">
          <cell r="A2206" t="str">
            <v>Sinopec Chemical Commercial Holding (Hong Kong) Company Limited</v>
          </cell>
          <cell r="E2206">
            <v>1007874</v>
          </cell>
        </row>
        <row r="2207">
          <cell r="A2207" t="str">
            <v>Soltex Petro Products Limited - Silvassa</v>
          </cell>
          <cell r="E2207">
            <v>-3571018</v>
          </cell>
        </row>
        <row r="2208">
          <cell r="A2208" t="str">
            <v>SPCX Private Ltd - Purchase 27ABACS7251D1ZH</v>
          </cell>
          <cell r="E2208">
            <v>-56</v>
          </cell>
        </row>
        <row r="2209">
          <cell r="A2209" t="str">
            <v>Spcx Private Ltd Diu 26ABACS7251D1ZJ</v>
          </cell>
          <cell r="E2209">
            <v>-6154380</v>
          </cell>
        </row>
        <row r="2210">
          <cell r="A2210" t="str">
            <v>Stavian Chemical Joint Stock Company</v>
          </cell>
          <cell r="E2210">
            <v>-268976.27</v>
          </cell>
        </row>
        <row r="2211">
          <cell r="A2211" t="str">
            <v>Sumitomo Chemical Asia Pte Ltd</v>
          </cell>
          <cell r="E2211">
            <v>17375439.23</v>
          </cell>
        </row>
        <row r="2212">
          <cell r="A2212" t="str">
            <v>Sunrise Asia Limited</v>
          </cell>
          <cell r="E2212">
            <v>406338.24</v>
          </cell>
        </row>
        <row r="2213">
          <cell r="A2213" t="str">
            <v>Suqian Unitecommerce Co. Ltd</v>
          </cell>
          <cell r="E2213">
            <v>-613943.67000000004</v>
          </cell>
        </row>
        <row r="2214">
          <cell r="A2214" t="str">
            <v>Swayam Poly Plast Private Limited - Purchase</v>
          </cell>
          <cell r="E2214">
            <v>-2070513.4</v>
          </cell>
        </row>
        <row r="2215">
          <cell r="A2215" t="str">
            <v>Terramag India Private Limited</v>
          </cell>
          <cell r="E2215">
            <v>-495652</v>
          </cell>
        </row>
        <row r="2216">
          <cell r="A2216" t="str">
            <v>Texene LLC</v>
          </cell>
          <cell r="E2216">
            <v>-5736372.0499999998</v>
          </cell>
        </row>
        <row r="2217">
          <cell r="A2217" t="str">
            <v>Tradex Petroproducts LLP</v>
          </cell>
          <cell r="E2217">
            <v>173162.35</v>
          </cell>
        </row>
        <row r="2218">
          <cell r="A2218" t="str">
            <v>Tricon Dry Chemicals,Llc</v>
          </cell>
          <cell r="E2218">
            <v>-98975.25</v>
          </cell>
        </row>
        <row r="2219">
          <cell r="A2219" t="str">
            <v>Tricon Energy India Private Limited</v>
          </cell>
          <cell r="E2219">
            <v>0</v>
          </cell>
        </row>
        <row r="2220">
          <cell r="A2220" t="str">
            <v>Tricon Energy UK Ltd.</v>
          </cell>
          <cell r="E2220">
            <v>0</v>
          </cell>
        </row>
        <row r="2221">
          <cell r="A2221" t="str">
            <v>Tulsi Dyechem Pvt Ltd - Purchase</v>
          </cell>
          <cell r="E2221">
            <v>180373.06</v>
          </cell>
        </row>
        <row r="2222">
          <cell r="A2222" t="str">
            <v>United Raw Material Pte Ltd</v>
          </cell>
          <cell r="E2222">
            <v>-14263.94</v>
          </cell>
        </row>
        <row r="2223">
          <cell r="A2223" t="str">
            <v>Varsha Printing Inks Mfg. Co.</v>
          </cell>
          <cell r="E2223">
            <v>2691.2</v>
          </cell>
        </row>
        <row r="2224">
          <cell r="A2224" t="str">
            <v>Veechem Global Fzco</v>
          </cell>
          <cell r="E2224">
            <v>0</v>
          </cell>
        </row>
        <row r="2225">
          <cell r="A2225" t="str">
            <v>Vinmar International Llc</v>
          </cell>
          <cell r="E2225">
            <v>-4256.75</v>
          </cell>
        </row>
        <row r="2226">
          <cell r="A2226" t="str">
            <v>Virda Alkalies And Chemicals</v>
          </cell>
          <cell r="E2226">
            <v>-6796.08</v>
          </cell>
        </row>
        <row r="2227">
          <cell r="A2227" t="str">
            <v>Warner Industries</v>
          </cell>
          <cell r="E2227">
            <v>0</v>
          </cell>
        </row>
        <row r="2228">
          <cell r="A2228" t="str">
            <v>Yuni Filaments</v>
          </cell>
          <cell r="E2228">
            <v>0</v>
          </cell>
        </row>
        <row r="2229">
          <cell r="A2229" t="str">
            <v>Zhejiang Guxiandao Polyester Dope Dyed Yarn Co.,Ltd</v>
          </cell>
          <cell r="E2229">
            <v>-49605.599999999999</v>
          </cell>
        </row>
        <row r="2230">
          <cell r="A2230" t="str">
            <v>Zhejiang Unifull Industrial Fibre Co Ltd</v>
          </cell>
          <cell r="E2230">
            <v>4120.13</v>
          </cell>
        </row>
        <row r="2231">
          <cell r="A2231" t="str">
            <v xml:space="preserve">    Creditors-Services</v>
          </cell>
          <cell r="E2231">
            <v>37754652.899999999</v>
          </cell>
        </row>
        <row r="2232">
          <cell r="A2232" t="str">
            <v>20Cube Logistics Solutions Private Limited</v>
          </cell>
          <cell r="E2232">
            <v>31054</v>
          </cell>
        </row>
        <row r="2233">
          <cell r="A2233" t="str">
            <v>4S Electricals</v>
          </cell>
          <cell r="E2233">
            <v>0</v>
          </cell>
        </row>
        <row r="2234">
          <cell r="A2234" t="str">
            <v>A Hartrodt (India) Private Limited</v>
          </cell>
          <cell r="E2234">
            <v>5220</v>
          </cell>
        </row>
        <row r="2235">
          <cell r="A2235" t="str">
            <v>Aakrise</v>
          </cell>
          <cell r="E2235">
            <v>0</v>
          </cell>
        </row>
        <row r="2236">
          <cell r="A2236" t="str">
            <v>Aareha Elastin Fibc Private Limited</v>
          </cell>
          <cell r="E2236">
            <v>0</v>
          </cell>
        </row>
        <row r="2237">
          <cell r="A2237" t="str">
            <v>Abhay Pradhan Trust</v>
          </cell>
          <cell r="E2237">
            <v>10000</v>
          </cell>
        </row>
        <row r="2238">
          <cell r="A2238" t="str">
            <v>Abhi Roadline</v>
          </cell>
          <cell r="E2238">
            <v>0</v>
          </cell>
        </row>
        <row r="2239">
          <cell r="A2239" t="str">
            <v>Adani International Container Terminal Pvt Ltd</v>
          </cell>
          <cell r="E2239">
            <v>36834.300000000003</v>
          </cell>
        </row>
        <row r="2240">
          <cell r="A2240" t="str">
            <v>Adani Ports And Special Economic Zone Limited-(Pil-1)</v>
          </cell>
          <cell r="E2240">
            <v>300000</v>
          </cell>
        </row>
        <row r="2241">
          <cell r="A2241" t="str">
            <v>Ahmedabad Textile Industry Research Association</v>
          </cell>
          <cell r="E2241">
            <v>-944</v>
          </cell>
        </row>
        <row r="2242">
          <cell r="A2242" t="str">
            <v>Air Arabia Pjsc - 24AAICA5432B1Z8</v>
          </cell>
          <cell r="E2242">
            <v>8532.01</v>
          </cell>
        </row>
        <row r="2243">
          <cell r="A2243" t="str">
            <v>Air India Limited-27AACCN6194P1ZP</v>
          </cell>
          <cell r="E2243">
            <v>-24539</v>
          </cell>
        </row>
        <row r="2244">
          <cell r="A2244" t="str">
            <v>Ajitkumar Sumatilal Shah</v>
          </cell>
          <cell r="E2244">
            <v>0</v>
          </cell>
        </row>
        <row r="2245">
          <cell r="A2245" t="str">
            <v>Akshar Polypack Llp</v>
          </cell>
          <cell r="E2245">
            <v>0</v>
          </cell>
        </row>
        <row r="2246">
          <cell r="A2246" t="str">
            <v>Alaris Polymers - Purchase</v>
          </cell>
          <cell r="E2246">
            <v>0</v>
          </cell>
        </row>
        <row r="2247">
          <cell r="A2247" t="str">
            <v>Alps Polytex - Purchase</v>
          </cell>
          <cell r="E2247">
            <v>0</v>
          </cell>
        </row>
        <row r="2248">
          <cell r="A2248" t="str">
            <v>Ambica Kirana Stores</v>
          </cell>
          <cell r="E2248">
            <v>0</v>
          </cell>
        </row>
        <row r="2249">
          <cell r="A2249" t="str">
            <v>Anar Singh Rajput</v>
          </cell>
          <cell r="E2249">
            <v>0</v>
          </cell>
        </row>
        <row r="2250">
          <cell r="A2250" t="str">
            <v>Antarim Hotels Llp_24AAOFG7937L1ZR</v>
          </cell>
          <cell r="E2250">
            <v>-6358.82</v>
          </cell>
        </row>
        <row r="2251">
          <cell r="A2251" t="str">
            <v>Anupriya Kumari</v>
          </cell>
          <cell r="E2251">
            <v>0</v>
          </cell>
        </row>
        <row r="2252">
          <cell r="A2252" t="str">
            <v xml:space="preserve">Ariah Global </v>
          </cell>
          <cell r="E2252">
            <v>-153674</v>
          </cell>
        </row>
        <row r="2253">
          <cell r="A2253" t="str">
            <v>Armaan Security Services</v>
          </cell>
          <cell r="E2253">
            <v>-58566</v>
          </cell>
        </row>
        <row r="2254">
          <cell r="A2254" t="str">
            <v>Arvind Loonkad</v>
          </cell>
          <cell r="E2254">
            <v>0</v>
          </cell>
        </row>
        <row r="2255">
          <cell r="A2255" t="str">
            <v>ArvindSinh Jagdishsinh Rao</v>
          </cell>
          <cell r="E2255">
            <v>-40060</v>
          </cell>
        </row>
        <row r="2256">
          <cell r="A2256" t="str">
            <v>Aryan Security Services</v>
          </cell>
          <cell r="E2256">
            <v>-4138</v>
          </cell>
        </row>
        <row r="2257">
          <cell r="A2257" t="str">
            <v>Ashapura  Roadlines</v>
          </cell>
          <cell r="E2257">
            <v>-60</v>
          </cell>
        </row>
        <row r="2258">
          <cell r="A2258" t="str">
            <v>Ashok Raut</v>
          </cell>
          <cell r="E2258">
            <v>0</v>
          </cell>
        </row>
        <row r="2259">
          <cell r="A2259" t="str">
            <v>Atlantis Products Pvt Ltd - Purchase</v>
          </cell>
          <cell r="E2259">
            <v>-8023.06</v>
          </cell>
        </row>
        <row r="2260">
          <cell r="A2260" t="str">
            <v>Atria Convergence
Technologies Limited</v>
          </cell>
          <cell r="E2260">
            <v>-19782.41</v>
          </cell>
        </row>
        <row r="2261">
          <cell r="A2261" t="str">
            <v>Avadh Manpower Solutions</v>
          </cell>
          <cell r="E2261">
            <v>21410</v>
          </cell>
        </row>
        <row r="2262">
          <cell r="A2262" t="str">
            <v>B &amp; R Industrial Automation Pvt Ltd</v>
          </cell>
          <cell r="E2262">
            <v>0</v>
          </cell>
        </row>
        <row r="2263">
          <cell r="A2263" t="str">
            <v>Bajaj Allianz General Insurance Company Ltd.</v>
          </cell>
          <cell r="E2263">
            <v>6</v>
          </cell>
        </row>
        <row r="2264">
          <cell r="A2264" t="str">
            <v>Bajrang Protection And Allied Services Pvt.Ltd</v>
          </cell>
          <cell r="E2264">
            <v>0</v>
          </cell>
        </row>
        <row r="2265">
          <cell r="A2265" t="str">
            <v>Baldevbhai Nagjibhai Prajapati</v>
          </cell>
          <cell r="E2265">
            <v>0</v>
          </cell>
        </row>
        <row r="2266">
          <cell r="A2266" t="str">
            <v>Bank Of Baroda - 24AAACB1534F2ZB</v>
          </cell>
          <cell r="E2266">
            <v>-1083307.24</v>
          </cell>
        </row>
        <row r="2267">
          <cell r="A2267" t="str">
            <v>Bank Of Baroda - 27AAACB1534F2Z5</v>
          </cell>
          <cell r="E2267">
            <v>-8159.7</v>
          </cell>
        </row>
        <row r="2268">
          <cell r="A2268" t="str">
            <v>Banwarilal S Chauhan</v>
          </cell>
          <cell r="E2268">
            <v>0</v>
          </cell>
        </row>
        <row r="2269">
          <cell r="A2269" t="str">
            <v>Bharat Sanchar Nigam Limited</v>
          </cell>
          <cell r="E2269">
            <v>1553.54</v>
          </cell>
        </row>
        <row r="2270">
          <cell r="A2270" t="str">
            <v>Bharti Airtel Limited</v>
          </cell>
          <cell r="E2270">
            <v>0</v>
          </cell>
        </row>
        <row r="2271">
          <cell r="A2271" t="str">
            <v>Bheem Sen</v>
          </cell>
          <cell r="E2271">
            <v>40000</v>
          </cell>
        </row>
        <row r="2272">
          <cell r="A2272" t="str">
            <v>Bhushn Kumar</v>
          </cell>
          <cell r="E2272">
            <v>99999.5</v>
          </cell>
        </row>
        <row r="2273">
          <cell r="A2273" t="str">
            <v>Blaze Net Ltd.</v>
          </cell>
          <cell r="E2273">
            <v>112</v>
          </cell>
        </row>
        <row r="2274">
          <cell r="A2274" t="str">
            <v>Cc Hdfc Plastene India Limited 1126</v>
          </cell>
          <cell r="E2274">
            <v>13000</v>
          </cell>
        </row>
        <row r="2275">
          <cell r="A2275" t="str">
            <v>Cc Hdfc Plastene Polyfilms Limited 9891</v>
          </cell>
          <cell r="E2275">
            <v>-1627816.14</v>
          </cell>
        </row>
        <row r="2276">
          <cell r="A2276" t="str">
            <v>CC ICICI Prakash Parekh 37000</v>
          </cell>
          <cell r="E2276">
            <v>156355.18</v>
          </cell>
        </row>
        <row r="2277">
          <cell r="A2277" t="str">
            <v>Cc Icici Tarachand Purohit 8009</v>
          </cell>
          <cell r="E2277">
            <v>-2083153</v>
          </cell>
        </row>
        <row r="2278">
          <cell r="A2278" t="str">
            <v>CC Indusind-Vistara Madhu Parekh 4598</v>
          </cell>
          <cell r="E2278">
            <v>0</v>
          </cell>
        </row>
        <row r="2279">
          <cell r="A2279" t="str">
            <v>Cess Technology Company</v>
          </cell>
          <cell r="E2279">
            <v>-148</v>
          </cell>
        </row>
        <row r="2280">
          <cell r="A2280" t="str">
            <v>Charu Agroplast Pvt Ltd Unit -II</v>
          </cell>
          <cell r="E2280">
            <v>0</v>
          </cell>
        </row>
        <row r="2281">
          <cell r="A2281" t="str">
            <v>Chiragkumar Prahaladbhai</v>
          </cell>
          <cell r="E2281">
            <v>-143997.01999999999</v>
          </cell>
        </row>
        <row r="2282">
          <cell r="A2282" t="str">
            <v>Cholamandalam Ms General Insurance Co Ltd</v>
          </cell>
          <cell r="E2282">
            <v>0</v>
          </cell>
        </row>
        <row r="2283">
          <cell r="A2283" t="str">
            <v>Darshan Surveying Co.</v>
          </cell>
          <cell r="E2283">
            <v>0</v>
          </cell>
        </row>
        <row r="2284">
          <cell r="A2284" t="str">
            <v>Deccan Sales &amp; Service Pvt Ltd</v>
          </cell>
          <cell r="E2284">
            <v>0</v>
          </cell>
        </row>
        <row r="2285">
          <cell r="A2285" t="str">
            <v>Deep M. Thacker</v>
          </cell>
          <cell r="E2285">
            <v>-22800</v>
          </cell>
        </row>
        <row r="2286">
          <cell r="A2286" t="str">
            <v>Desai Pinkeeben Jitendrakumar</v>
          </cell>
          <cell r="E2286">
            <v>0</v>
          </cell>
        </row>
        <row r="2287">
          <cell r="A2287" t="str">
            <v>Dev Automation</v>
          </cell>
          <cell r="E2287">
            <v>0</v>
          </cell>
        </row>
        <row r="2288">
          <cell r="A2288" t="str">
            <v>Devichand G Shah</v>
          </cell>
          <cell r="E2288">
            <v>2000</v>
          </cell>
        </row>
        <row r="2289">
          <cell r="A2289" t="str">
            <v>Devikrupa Mobility Services</v>
          </cell>
          <cell r="E2289">
            <v>-62111</v>
          </cell>
        </row>
        <row r="2290">
          <cell r="A2290" t="str">
            <v>Dhanraj Harjibhai Rabari</v>
          </cell>
          <cell r="E2290">
            <v>0</v>
          </cell>
        </row>
        <row r="2291">
          <cell r="A2291" t="str">
            <v>Dharmendrasinh Lalsinh Rathod</v>
          </cell>
          <cell r="E2291">
            <v>0</v>
          </cell>
        </row>
        <row r="2292">
          <cell r="A2292" t="str">
            <v>DHL Express (India) Pvt Ltd - Delhi</v>
          </cell>
          <cell r="E2292">
            <v>21147</v>
          </cell>
        </row>
        <row r="2293">
          <cell r="A2293" t="str">
            <v>DHL Express (India) Pvt Ltd - Maharashtra</v>
          </cell>
          <cell r="E2293">
            <v>-7705.4</v>
          </cell>
        </row>
        <row r="2294">
          <cell r="A2294" t="str">
            <v>Dikul P Soni</v>
          </cell>
          <cell r="E2294">
            <v>10000</v>
          </cell>
        </row>
        <row r="2295">
          <cell r="A2295" t="str">
            <v>Dns Global Logistics LLP - 24AAYFD6424H1Z5</v>
          </cell>
          <cell r="E2295">
            <v>-1</v>
          </cell>
        </row>
        <row r="2296">
          <cell r="A2296" t="str">
            <v>Dodiya Vishal Shyamlal</v>
          </cell>
          <cell r="E2296">
            <v>0</v>
          </cell>
        </row>
        <row r="2297">
          <cell r="A2297" t="str">
            <v>Dubai Aviation Corporation_24AADCD4487A1ZZ</v>
          </cell>
          <cell r="E2297">
            <v>-13120</v>
          </cell>
        </row>
        <row r="2298">
          <cell r="A2298" t="str">
            <v>Duet India Hotels Ahmedabad Pvt. Ltd_24AACCD3915E1Z5</v>
          </cell>
          <cell r="E2298">
            <v>-4999.93</v>
          </cell>
        </row>
        <row r="2299">
          <cell r="A2299" t="str">
            <v>Dun &amp; Bradstreet Information Services India Private Limited</v>
          </cell>
          <cell r="E2299">
            <v>248452</v>
          </cell>
        </row>
        <row r="2300">
          <cell r="A2300" t="str">
            <v>Earth Envirotech</v>
          </cell>
          <cell r="E2300">
            <v>0</v>
          </cell>
        </row>
        <row r="2301">
          <cell r="A2301" t="str">
            <v>Edelweiss General Insurance Company Limited</v>
          </cell>
          <cell r="E2301">
            <v>0</v>
          </cell>
        </row>
        <row r="2302">
          <cell r="A2302" t="str">
            <v>Electronics And Quality Development Centre</v>
          </cell>
          <cell r="E2302">
            <v>0</v>
          </cell>
        </row>
        <row r="2303">
          <cell r="A2303" t="str">
            <v>Eminent Power</v>
          </cell>
          <cell r="E2303">
            <v>0</v>
          </cell>
        </row>
        <row r="2304">
          <cell r="A2304" t="str">
            <v>Eminent Shipping Services LLP</v>
          </cell>
          <cell r="E2304">
            <v>-67711</v>
          </cell>
        </row>
        <row r="2305">
          <cell r="A2305" t="str">
            <v>Emirates_07AAACE1237C2ZA</v>
          </cell>
          <cell r="E2305">
            <v>-89578</v>
          </cell>
        </row>
        <row r="2306">
          <cell r="A2306" t="str">
            <v>Emporos Links Private Limited</v>
          </cell>
          <cell r="E2306">
            <v>-265500</v>
          </cell>
        </row>
        <row r="2307">
          <cell r="A2307" t="str">
            <v>Enshrine Energy</v>
          </cell>
          <cell r="E2307">
            <v>0</v>
          </cell>
        </row>
        <row r="2308">
          <cell r="A2308" t="str">
            <v>Export Import Bank Of India - 27AAACE2769D1ZS</v>
          </cell>
          <cell r="E2308">
            <v>0</v>
          </cell>
        </row>
        <row r="2309">
          <cell r="A2309" t="str">
            <v>Export Inspection Agency_24AAAGE1592G1ZP</v>
          </cell>
          <cell r="E2309">
            <v>-1416</v>
          </cell>
        </row>
        <row r="2310">
          <cell r="A2310" t="str">
            <v>Firojkhan.A.Pathan</v>
          </cell>
          <cell r="E2310">
            <v>-16533</v>
          </cell>
        </row>
        <row r="2311">
          <cell r="A2311" t="str">
            <v>Flexible Intermediate Bulk Container Association (Fibca)</v>
          </cell>
          <cell r="E2311">
            <v>0</v>
          </cell>
        </row>
        <row r="2312">
          <cell r="A2312" t="str">
            <v>Fretlog India Pvt Ltd</v>
          </cell>
          <cell r="E2312">
            <v>0</v>
          </cell>
        </row>
        <row r="2313">
          <cell r="A2313" t="str">
            <v>G P Industries</v>
          </cell>
          <cell r="E2313">
            <v>0</v>
          </cell>
        </row>
        <row r="2314">
          <cell r="A2314" t="str">
            <v>Gajjar Umesh</v>
          </cell>
          <cell r="E2314">
            <v>0</v>
          </cell>
        </row>
        <row r="2315">
          <cell r="A2315" t="str">
            <v>Gandhidham Jain Seva Samiti Medical Store - Purchase</v>
          </cell>
          <cell r="E2315">
            <v>0</v>
          </cell>
        </row>
        <row r="2316">
          <cell r="A2316" t="str">
            <v>Gati Kintetsu Express Private Limited</v>
          </cell>
          <cell r="E2316">
            <v>-1688.58</v>
          </cell>
        </row>
        <row r="2317">
          <cell r="A2317" t="str">
            <v>Gford Institute Of Management Private Limited</v>
          </cell>
          <cell r="E2317">
            <v>2832</v>
          </cell>
        </row>
        <row r="2318">
          <cell r="A2318" t="str">
            <v>Ghanshyam K. Nenwani</v>
          </cell>
          <cell r="E2318">
            <v>0</v>
          </cell>
        </row>
        <row r="2319">
          <cell r="A2319" t="str">
            <v>Go Digit General Insurance Limited</v>
          </cell>
          <cell r="E2319">
            <v>0</v>
          </cell>
        </row>
        <row r="2320">
          <cell r="A2320" t="str">
            <v>Gsec Bird Airport Services Private Limited_24AAICG9289Q1ZK</v>
          </cell>
          <cell r="E2320">
            <v>0</v>
          </cell>
        </row>
        <row r="2321">
          <cell r="A2321" t="str">
            <v>Gujarat Energy Transmission Corporation Limited</v>
          </cell>
          <cell r="E2321">
            <v>0</v>
          </cell>
        </row>
        <row r="2322">
          <cell r="A2322" t="str">
            <v xml:space="preserve">Gujarat EPM Services </v>
          </cell>
          <cell r="E2322">
            <v>19470</v>
          </cell>
        </row>
        <row r="2323">
          <cell r="A2323" t="str">
            <v>Harchanda Ram</v>
          </cell>
          <cell r="E2323">
            <v>-221958</v>
          </cell>
        </row>
        <row r="2324">
          <cell r="A2324" t="str">
            <v>Harish B Trivedi</v>
          </cell>
          <cell r="E2324">
            <v>0</v>
          </cell>
        </row>
        <row r="2325">
          <cell r="A2325" t="str">
            <v>Hcp Plastene Bulkpack Plt-Malaysia</v>
          </cell>
          <cell r="E2325">
            <v>0.01</v>
          </cell>
        </row>
        <row r="2326">
          <cell r="A2326" t="str">
            <v>Heer Engineering</v>
          </cell>
          <cell r="E2326">
            <v>8675220</v>
          </cell>
        </row>
        <row r="2327">
          <cell r="A2327" t="str">
            <v>Hemraj P. Chaudhary</v>
          </cell>
          <cell r="E2327">
            <v>30922.3</v>
          </cell>
        </row>
        <row r="2328">
          <cell r="A2328" t="str">
            <v>Hitech Engineering Solutions</v>
          </cell>
          <cell r="E2328">
            <v>0</v>
          </cell>
        </row>
        <row r="2329">
          <cell r="A2329" t="str">
            <v>Hitesh Scale Repairing Works</v>
          </cell>
          <cell r="E2329">
            <v>0</v>
          </cell>
        </row>
        <row r="2330">
          <cell r="A2330" t="str">
            <v>Horizon Protech</v>
          </cell>
          <cell r="E2330">
            <v>0</v>
          </cell>
        </row>
        <row r="2331">
          <cell r="A2331" t="str">
            <v>Hotel Green Fortune</v>
          </cell>
          <cell r="E2331">
            <v>0</v>
          </cell>
        </row>
        <row r="2332">
          <cell r="A2332" t="str">
            <v>Hotel Highway Inn</v>
          </cell>
          <cell r="E2332">
            <v>0</v>
          </cell>
        </row>
        <row r="2333">
          <cell r="A2333" t="str">
            <v>Hotel Seven Spice</v>
          </cell>
          <cell r="E2333">
            <v>-1008</v>
          </cell>
        </row>
        <row r="2334">
          <cell r="A2334" t="str">
            <v>I T C Limited_24AAACI5950L1ZG</v>
          </cell>
          <cell r="E2334">
            <v>-129308.49</v>
          </cell>
        </row>
        <row r="2335">
          <cell r="A2335" t="str">
            <v>ICICI Lombard General Insurance Co Ltd</v>
          </cell>
          <cell r="E2335">
            <v>-42076</v>
          </cell>
        </row>
        <row r="2336">
          <cell r="A2336" t="str">
            <v>Iffco Tokio General Insurance Co. Ltd</v>
          </cell>
          <cell r="E2336">
            <v>192223</v>
          </cell>
        </row>
        <row r="2337">
          <cell r="A2337" t="str">
            <v>India Factoring And Finance Solutions Private Limited_27AACCI1918C1ZZ</v>
          </cell>
          <cell r="E2337">
            <v>0</v>
          </cell>
        </row>
        <row r="2338">
          <cell r="A2338" t="str">
            <v>Indian Bank-24AAACI1607G3Z3</v>
          </cell>
          <cell r="E2338">
            <v>-489700</v>
          </cell>
        </row>
        <row r="2339">
          <cell r="A2339" t="str">
            <v>Indian Institute Of Packaging</v>
          </cell>
          <cell r="E2339">
            <v>-80</v>
          </cell>
        </row>
        <row r="2340">
          <cell r="A2340" t="str">
            <v>Indusind General Insurance Company Limited</v>
          </cell>
          <cell r="E2340">
            <v>-312700</v>
          </cell>
        </row>
        <row r="2341">
          <cell r="A2341" t="str">
            <v>Infomerics Valuation And Rating Pvt. Ltd</v>
          </cell>
          <cell r="E2341">
            <v>424800</v>
          </cell>
        </row>
        <row r="2342">
          <cell r="A2342" t="str">
            <v>Interglobe Aviation Limited -Tamilnadu</v>
          </cell>
          <cell r="E2342">
            <v>-26024</v>
          </cell>
        </row>
        <row r="2343">
          <cell r="A2343" t="str">
            <v>Interglobe Aviation Limited-Gujarat</v>
          </cell>
          <cell r="E2343">
            <v>-6097</v>
          </cell>
        </row>
        <row r="2344">
          <cell r="A2344" t="str">
            <v>Interglobe Aviation Limited_22AABCI2726B1ZC</v>
          </cell>
          <cell r="E2344">
            <v>-12681</v>
          </cell>
        </row>
        <row r="2345">
          <cell r="A2345" t="str">
            <v>Interglobe Aviation Limited_27AABCI2726B1Z2</v>
          </cell>
          <cell r="E2345">
            <v>-80542</v>
          </cell>
        </row>
        <row r="2346">
          <cell r="A2346" t="str">
            <v>Interglobe Aviation Limited_29AABCI2726B1ZY</v>
          </cell>
          <cell r="E2346">
            <v>-19574</v>
          </cell>
        </row>
        <row r="2347">
          <cell r="A2347" t="str">
            <v>Interport Global Logistics Pvt  Ltd</v>
          </cell>
          <cell r="E2347">
            <v>0</v>
          </cell>
        </row>
        <row r="2348">
          <cell r="A2348" t="str">
            <v>Intertek India Pvt Ltd - Delhi</v>
          </cell>
          <cell r="E2348">
            <v>0</v>
          </cell>
        </row>
        <row r="2349">
          <cell r="A2349" t="str">
            <v>ISSGF India Private Limited</v>
          </cell>
          <cell r="E2349">
            <v>-1909.4</v>
          </cell>
        </row>
        <row r="2350">
          <cell r="A2350" t="str">
            <v>ISSGF India Private Limited - Maharashtra</v>
          </cell>
          <cell r="E2350">
            <v>0</v>
          </cell>
        </row>
        <row r="2351">
          <cell r="A2351" t="str">
            <v>J B Packaging</v>
          </cell>
          <cell r="E2351">
            <v>0</v>
          </cell>
        </row>
        <row r="2352">
          <cell r="A2352" t="str">
            <v>J J Plastalloy Pvt Ltd</v>
          </cell>
          <cell r="E2352">
            <v>-1343518.5</v>
          </cell>
        </row>
        <row r="2353">
          <cell r="A2353" t="str">
            <v>Jain Caterers</v>
          </cell>
          <cell r="E2353">
            <v>-30000</v>
          </cell>
        </row>
        <row r="2354">
          <cell r="A2354" t="str">
            <v>Jalam Singh</v>
          </cell>
          <cell r="E2354">
            <v>40000</v>
          </cell>
        </row>
        <row r="2355">
          <cell r="A2355" t="str">
            <v>Jay Enterprise-Kadi</v>
          </cell>
          <cell r="E2355">
            <v>0</v>
          </cell>
        </row>
        <row r="2356">
          <cell r="A2356" t="str">
            <v>Jay Laxmi Poly Plast (Job)</v>
          </cell>
          <cell r="E2356">
            <v>0</v>
          </cell>
        </row>
        <row r="2357">
          <cell r="A2357" t="str">
            <v>Jayshree R. Desai</v>
          </cell>
          <cell r="E2357">
            <v>0</v>
          </cell>
        </row>
        <row r="2358">
          <cell r="A2358" t="str">
            <v>Jeena &amp; Company</v>
          </cell>
          <cell r="E2358">
            <v>0</v>
          </cell>
        </row>
        <row r="2359">
          <cell r="A2359" t="str">
            <v>Jitendrasinh B. Zala</v>
          </cell>
          <cell r="E2359">
            <v>-10176</v>
          </cell>
        </row>
        <row r="2360">
          <cell r="A2360" t="str">
            <v>Kajal P Mehta</v>
          </cell>
          <cell r="E2360">
            <v>-15000</v>
          </cell>
        </row>
        <row r="2361">
          <cell r="A2361" t="str">
            <v>Kamaldeep Stationers</v>
          </cell>
          <cell r="E2361">
            <v>-956</v>
          </cell>
        </row>
        <row r="2362">
          <cell r="A2362" t="str">
            <v>Kapoors Workshop On Effective Communication</v>
          </cell>
          <cell r="E2362">
            <v>0</v>
          </cell>
        </row>
        <row r="2363">
          <cell r="A2363" t="str">
            <v>Karnavati Polyblends Pvt Ltd</v>
          </cell>
          <cell r="E2363">
            <v>-819745.64</v>
          </cell>
        </row>
        <row r="2364">
          <cell r="A2364" t="str">
            <v>Keshav Manpower Solutions</v>
          </cell>
          <cell r="E2364">
            <v>30234</v>
          </cell>
        </row>
        <row r="2365">
          <cell r="A2365" t="str">
            <v>Kfin Technologies Private Limited</v>
          </cell>
          <cell r="E2365">
            <v>28320</v>
          </cell>
        </row>
        <row r="2366">
          <cell r="A2366" t="str">
            <v>KK Consultancy</v>
          </cell>
          <cell r="E2366">
            <v>-1642</v>
          </cell>
        </row>
        <row r="2367">
          <cell r="A2367" t="str">
            <v>Krishan Kumar Yadav</v>
          </cell>
          <cell r="E2367">
            <v>12354</v>
          </cell>
        </row>
        <row r="2368">
          <cell r="A2368" t="str">
            <v>Krishna &amp; Co. - Nani Chirai (V.H)</v>
          </cell>
          <cell r="E2368">
            <v>0</v>
          </cell>
        </row>
        <row r="2369">
          <cell r="A2369" t="str">
            <v>Krishna Security Service</v>
          </cell>
          <cell r="E2369">
            <v>0</v>
          </cell>
        </row>
        <row r="2370">
          <cell r="A2370" t="str">
            <v>Krishna Transmission</v>
          </cell>
          <cell r="E2370">
            <v>-661</v>
          </cell>
        </row>
        <row r="2371">
          <cell r="A2371" t="str">
            <v>Kumar Engineering</v>
          </cell>
          <cell r="E2371">
            <v>0</v>
          </cell>
        </row>
        <row r="2372">
          <cell r="A2372" t="str">
            <v>Kutch Ratnam Roadways</v>
          </cell>
          <cell r="E2372">
            <v>0</v>
          </cell>
        </row>
        <row r="2373">
          <cell r="A2373" t="str">
            <v>Laxman B. Bakutra</v>
          </cell>
          <cell r="E2373">
            <v>0</v>
          </cell>
        </row>
        <row r="2374">
          <cell r="A2374" t="str">
            <v>Laxman Sharma</v>
          </cell>
          <cell r="E2374">
            <v>0</v>
          </cell>
        </row>
        <row r="2375">
          <cell r="A2375" t="str">
            <v>Logix Infosecurity Pvt Ltd</v>
          </cell>
          <cell r="E2375">
            <v>0</v>
          </cell>
        </row>
        <row r="2376">
          <cell r="A2376" t="str">
            <v>Macgray Solutions Pvt Ltd</v>
          </cell>
          <cell r="E2376">
            <v>-7080</v>
          </cell>
        </row>
        <row r="2377">
          <cell r="A2377" t="str">
            <v>Mahakali Enterprise 24AAXFM9233E1ZY</v>
          </cell>
          <cell r="E2377">
            <v>150000</v>
          </cell>
        </row>
        <row r="2378">
          <cell r="A2378" t="str">
            <v>Mahendra Haribhai Dantani</v>
          </cell>
          <cell r="E2378">
            <v>0</v>
          </cell>
        </row>
        <row r="2379">
          <cell r="A2379" t="str">
            <v>Mahendra Kumar</v>
          </cell>
          <cell r="E2379">
            <v>0</v>
          </cell>
        </row>
        <row r="2380">
          <cell r="A2380" t="str">
            <v>Makarand Krishnarao Deorankar HUF</v>
          </cell>
          <cell r="E2380">
            <v>0</v>
          </cell>
        </row>
        <row r="2381">
          <cell r="A2381" t="str">
            <v>Make My Trip (india) Pvt. Ltd._06AADCM5146R1ZZ</v>
          </cell>
          <cell r="E2381">
            <v>-23530.33</v>
          </cell>
        </row>
        <row r="2382">
          <cell r="A2382" t="str">
            <v>Makwana Enterprise</v>
          </cell>
          <cell r="E2382">
            <v>-17069.5</v>
          </cell>
        </row>
        <row r="2383">
          <cell r="A2383" t="str">
            <v>Mantram Technofab Pvt Ltd</v>
          </cell>
          <cell r="E2383">
            <v>0</v>
          </cell>
        </row>
        <row r="2384">
          <cell r="A2384" t="str">
            <v>Marek Zacek</v>
          </cell>
          <cell r="E2384">
            <v>0</v>
          </cell>
        </row>
        <row r="2385">
          <cell r="A2385" t="str">
            <v>Mark Express</v>
          </cell>
          <cell r="E2385">
            <v>0</v>
          </cell>
        </row>
        <row r="2386">
          <cell r="A2386" t="str">
            <v>Maruti Plastic  24ACBFM1584C1ZM</v>
          </cell>
          <cell r="E2386">
            <v>-389760</v>
          </cell>
        </row>
        <row r="2387">
          <cell r="A2387" t="str">
            <v>Maruti Polymers</v>
          </cell>
          <cell r="E2387">
            <v>-723144</v>
          </cell>
        </row>
        <row r="2388">
          <cell r="A2388" t="str">
            <v>Mehul Khatsuriya &amp; Associates</v>
          </cell>
          <cell r="E2388">
            <v>-1000</v>
          </cell>
        </row>
        <row r="2389">
          <cell r="A2389" t="str">
            <v>Midas Yarn Processors Pvt Ltd</v>
          </cell>
          <cell r="E2389">
            <v>0</v>
          </cell>
        </row>
        <row r="2390">
          <cell r="A2390" t="str">
            <v xml:space="preserve">Mitsui &amp; Co. (Asia Pacific) Pte Ltd </v>
          </cell>
          <cell r="E2390">
            <v>16183270.199999999</v>
          </cell>
        </row>
        <row r="2391">
          <cell r="A2391" t="str">
            <v>Mitul Atulkumar Upadhyay</v>
          </cell>
          <cell r="E2391">
            <v>0</v>
          </cell>
        </row>
        <row r="2392">
          <cell r="A2392" t="str">
            <v>Mogli Labs Inc</v>
          </cell>
          <cell r="E2392">
            <v>-0.03</v>
          </cell>
        </row>
        <row r="2393">
          <cell r="A2393" t="str">
            <v>Mohanbhai Reshambhai Taral</v>
          </cell>
          <cell r="E2393">
            <v>955786.21</v>
          </cell>
        </row>
        <row r="2394">
          <cell r="A2394" t="str">
            <v>Monarch Networth Capital Limited</v>
          </cell>
          <cell r="E2394">
            <v>-1770</v>
          </cell>
        </row>
        <row r="2395">
          <cell r="A2395" t="str">
            <v>Mount-Fab Packaging LLP - Purchase</v>
          </cell>
          <cell r="E2395">
            <v>0</v>
          </cell>
        </row>
        <row r="2396">
          <cell r="A2396" t="str">
            <v>Mukesh Kumar Yadav</v>
          </cell>
          <cell r="E2396">
            <v>0</v>
          </cell>
        </row>
        <row r="2397">
          <cell r="A2397" t="str">
            <v>Mynd Solutions Pvt Ltd</v>
          </cell>
          <cell r="E2397">
            <v>7640.36</v>
          </cell>
        </row>
        <row r="2398">
          <cell r="A2398" t="str">
            <v>Najumiya Umarmiya Malek</v>
          </cell>
          <cell r="E2398">
            <v>-5775</v>
          </cell>
        </row>
        <row r="2399">
          <cell r="A2399" t="str">
            <v>Nandini Chaurasia</v>
          </cell>
          <cell r="E2399">
            <v>-4000</v>
          </cell>
        </row>
        <row r="2400">
          <cell r="A2400" t="str">
            <v>Nandishwari Packaging</v>
          </cell>
          <cell r="E2400">
            <v>-15</v>
          </cell>
        </row>
        <row r="2401">
          <cell r="A2401" t="str">
            <v>Narahari Singh</v>
          </cell>
          <cell r="E2401">
            <v>-19958</v>
          </cell>
        </row>
        <row r="2402">
          <cell r="A2402" t="str">
            <v>National Security Depository Limited</v>
          </cell>
          <cell r="E2402">
            <v>81000</v>
          </cell>
        </row>
        <row r="2403">
          <cell r="A2403" t="str">
            <v>Navin Salecha</v>
          </cell>
          <cell r="E2403">
            <v>0</v>
          </cell>
        </row>
        <row r="2404">
          <cell r="A2404" t="str">
            <v>Navrang Polyfilms Pvt Ltd</v>
          </cell>
          <cell r="E2404">
            <v>-112706</v>
          </cell>
        </row>
        <row r="2405">
          <cell r="A2405" t="str">
            <v>New Kachchh Carrier</v>
          </cell>
          <cell r="E2405">
            <v>140</v>
          </cell>
        </row>
        <row r="2406">
          <cell r="A2406" t="str">
            <v>Nij Plastics - Purchase</v>
          </cell>
          <cell r="E2406">
            <v>0</v>
          </cell>
        </row>
        <row r="2407">
          <cell r="A2407" t="str">
            <v>NILKANTH ENERGY</v>
          </cell>
          <cell r="E2407">
            <v>0</v>
          </cell>
        </row>
        <row r="2408">
          <cell r="A2408" t="str">
            <v>Nishaben Parmar</v>
          </cell>
          <cell r="E2408">
            <v>0</v>
          </cell>
        </row>
        <row r="2409">
          <cell r="A2409" t="str">
            <v>O R Maloo &amp; Co</v>
          </cell>
          <cell r="E2409">
            <v>-9000</v>
          </cell>
        </row>
        <row r="2410">
          <cell r="A2410" t="str">
            <v>Odex India Solutions Private Limited</v>
          </cell>
          <cell r="E2410">
            <v>0</v>
          </cell>
        </row>
        <row r="2411">
          <cell r="A2411" t="str">
            <v>Om Sainath Travels Agency - 24AFIPB7870C1ZQ</v>
          </cell>
          <cell r="E2411">
            <v>-5600</v>
          </cell>
        </row>
        <row r="2412">
          <cell r="A2412" t="str">
            <v>P.M Nahta &amp; Co.</v>
          </cell>
          <cell r="E2412">
            <v>0</v>
          </cell>
        </row>
        <row r="2413">
          <cell r="A2413" t="str">
            <v>P.S. Labour Organisation</v>
          </cell>
          <cell r="E2413">
            <v>1</v>
          </cell>
        </row>
        <row r="2414">
          <cell r="A2414" t="str">
            <v>Pandey Amitbhai</v>
          </cell>
          <cell r="E2414">
            <v>0</v>
          </cell>
        </row>
        <row r="2415">
          <cell r="A2415" t="str">
            <v>Paramount Calibration Centre</v>
          </cell>
          <cell r="E2415">
            <v>0</v>
          </cell>
        </row>
        <row r="2416">
          <cell r="A2416" t="str">
            <v>Parekh Marine Services Pvt Ltd</v>
          </cell>
          <cell r="E2416">
            <v>798885.85</v>
          </cell>
        </row>
        <row r="2417">
          <cell r="A2417" t="str">
            <v>Paschim Gujarat Vij Company Limited</v>
          </cell>
          <cell r="E2417">
            <v>-39478.449999999997</v>
          </cell>
        </row>
        <row r="2418">
          <cell r="A2418" t="str">
            <v>Paymate India Pvt Ltd</v>
          </cell>
          <cell r="E2418">
            <v>0.5</v>
          </cell>
        </row>
        <row r="2419">
          <cell r="A2419" t="str">
            <v>Pest Relief India Private Limited</v>
          </cell>
          <cell r="E2419">
            <v>0</v>
          </cell>
        </row>
        <row r="2420">
          <cell r="A2420" t="str">
            <v>Piyusha Travels</v>
          </cell>
          <cell r="E2420">
            <v>0</v>
          </cell>
        </row>
        <row r="2421">
          <cell r="A2421" t="str">
            <v>Pradeep Kumar Tiwari</v>
          </cell>
          <cell r="E2421">
            <v>20138</v>
          </cell>
        </row>
        <row r="2422">
          <cell r="A2422" t="str">
            <v>Prakash Nath Jogi</v>
          </cell>
          <cell r="E2422">
            <v>334520</v>
          </cell>
        </row>
        <row r="2423">
          <cell r="A2423" t="str">
            <v>Pramod Kumar</v>
          </cell>
          <cell r="E2423">
            <v>0</v>
          </cell>
        </row>
        <row r="2424">
          <cell r="A2424" t="str">
            <v>Pravin Bhatt And Sons</v>
          </cell>
          <cell r="E2424">
            <v>0</v>
          </cell>
        </row>
        <row r="2425">
          <cell r="A2425" t="str">
            <v>Prema Ram</v>
          </cell>
          <cell r="E2425">
            <v>-24000</v>
          </cell>
        </row>
        <row r="2426">
          <cell r="A2426" t="str">
            <v>Premshankar Dubey</v>
          </cell>
          <cell r="E2426">
            <v>0</v>
          </cell>
        </row>
        <row r="2427">
          <cell r="A2427" t="str">
            <v>Prime Placement &amp; Manpower Services</v>
          </cell>
          <cell r="E2427">
            <v>3528</v>
          </cell>
        </row>
        <row r="2428">
          <cell r="A2428" t="str">
            <v>Prithvi Exchange India Limited</v>
          </cell>
          <cell r="E2428">
            <v>0</v>
          </cell>
        </row>
        <row r="2429">
          <cell r="A2429" t="str">
            <v>Prithvi Exchange India Limited - 24AAACO1097L1ZC</v>
          </cell>
          <cell r="E2429">
            <v>0</v>
          </cell>
        </row>
        <row r="2430">
          <cell r="A2430" t="str">
            <v>Priyanka Dubey</v>
          </cell>
          <cell r="E2430">
            <v>0</v>
          </cell>
        </row>
        <row r="2431">
          <cell r="A2431" t="str">
            <v>Punya Transport Corporation</v>
          </cell>
          <cell r="E2431">
            <v>0</v>
          </cell>
        </row>
        <row r="2432">
          <cell r="A2432" t="str">
            <v>Purohit Caterers</v>
          </cell>
          <cell r="E2432">
            <v>0</v>
          </cell>
        </row>
        <row r="2433">
          <cell r="A2433" t="str">
            <v xml:space="preserve">R.V. Sarkaria &amp; Associates </v>
          </cell>
          <cell r="E2433">
            <v>-40000</v>
          </cell>
        </row>
        <row r="2434">
          <cell r="A2434" t="str">
            <v>Rabari Jigneshkumar Ganeshbhai</v>
          </cell>
          <cell r="E2434">
            <v>0</v>
          </cell>
        </row>
        <row r="2435">
          <cell r="A2435" t="str">
            <v>Radisson Blu Hotel Unit Of Rising Hotel Ltd_24AABCA6371L2ZL</v>
          </cell>
          <cell r="E2435">
            <v>-21420.04</v>
          </cell>
        </row>
        <row r="2436">
          <cell r="A2436" t="str">
            <v xml:space="preserve">Ragni Devi Navin Singh </v>
          </cell>
          <cell r="E2436">
            <v>90000</v>
          </cell>
        </row>
        <row r="2437">
          <cell r="A2437" t="str">
            <v>Rajshakti Roadways</v>
          </cell>
          <cell r="E2437">
            <v>-19750</v>
          </cell>
        </row>
        <row r="2438">
          <cell r="A2438" t="str">
            <v>Ranjan Plastics Pvt Ltd</v>
          </cell>
          <cell r="E2438">
            <v>0</v>
          </cell>
        </row>
        <row r="2439">
          <cell r="A2439" t="str">
            <v>Rasidul Mondal</v>
          </cell>
          <cell r="E2439">
            <v>376017</v>
          </cell>
        </row>
        <row r="2440">
          <cell r="A2440" t="str">
            <v>Ravindra</v>
          </cell>
          <cell r="E2440">
            <v>-32040.76</v>
          </cell>
        </row>
        <row r="2441">
          <cell r="A2441" t="str">
            <v>Ravindran Raghavan</v>
          </cell>
          <cell r="E2441">
            <v>561210.80000000005</v>
          </cell>
        </row>
        <row r="2442">
          <cell r="A2442" t="str">
            <v>Ravishankar Maurya</v>
          </cell>
          <cell r="E2442">
            <v>0</v>
          </cell>
        </row>
        <row r="2443">
          <cell r="A2443" t="str">
            <v xml:space="preserve">Real Logistics </v>
          </cell>
          <cell r="E2443">
            <v>-500</v>
          </cell>
        </row>
        <row r="2444">
          <cell r="A2444" t="str">
            <v>Reliance General Insurance Co Ltd-Gujarat</v>
          </cell>
          <cell r="E2444">
            <v>312700</v>
          </cell>
        </row>
        <row r="2445">
          <cell r="A2445" t="str">
            <v>Reliance Jio Infocomm Limited</v>
          </cell>
          <cell r="E2445">
            <v>2114</v>
          </cell>
        </row>
        <row r="2446">
          <cell r="A2446" t="str">
            <v>Reshma D. Solanki</v>
          </cell>
          <cell r="E2446">
            <v>0</v>
          </cell>
        </row>
        <row r="2447">
          <cell r="A2447" t="str">
            <v>Royal Sundaram General Insurance Co LtdMaharashtra</v>
          </cell>
          <cell r="E2447">
            <v>-0.38</v>
          </cell>
        </row>
        <row r="2448">
          <cell r="A2448" t="str">
            <v>RR Services</v>
          </cell>
          <cell r="E2448">
            <v>-19538</v>
          </cell>
        </row>
        <row r="2449">
          <cell r="A2449" t="str">
            <v>Rubix Data Sciences Private Limited</v>
          </cell>
          <cell r="E2449">
            <v>69057</v>
          </cell>
        </row>
        <row r="2450">
          <cell r="A2450" t="str">
            <v>S B Enterprise</v>
          </cell>
          <cell r="E2450">
            <v>0</v>
          </cell>
        </row>
        <row r="2451">
          <cell r="A2451" t="str">
            <v>S R B C &amp; Co Llp</v>
          </cell>
          <cell r="E2451">
            <v>0</v>
          </cell>
        </row>
        <row r="2452">
          <cell r="A2452" t="str">
            <v>S. Khemka &amp; Co.</v>
          </cell>
          <cell r="E2452">
            <v>-300</v>
          </cell>
        </row>
        <row r="2453">
          <cell r="A2453" t="str">
            <v xml:space="preserve">S.R. Roadways </v>
          </cell>
          <cell r="E2453">
            <v>-200000</v>
          </cell>
        </row>
        <row r="2454">
          <cell r="A2454" t="str">
            <v>S.S. Enterprises</v>
          </cell>
          <cell r="E2454">
            <v>0</v>
          </cell>
        </row>
        <row r="2455">
          <cell r="A2455" t="str">
            <v>Sabihhaidar Mustufahusen Saiyad</v>
          </cell>
          <cell r="E2455">
            <v>-63000</v>
          </cell>
        </row>
        <row r="2456">
          <cell r="A2456" t="str">
            <v>Safal Hospitality And Maintenance Services</v>
          </cell>
          <cell r="E2456">
            <v>178</v>
          </cell>
        </row>
        <row r="2457">
          <cell r="A2457" t="str">
            <v>Sahdevsinh Fatehsinh Jadeja</v>
          </cell>
          <cell r="E2457">
            <v>15914</v>
          </cell>
        </row>
        <row r="2458">
          <cell r="A2458" t="str">
            <v>Samkit Enterprises</v>
          </cell>
          <cell r="E2458">
            <v>-46129.34</v>
          </cell>
        </row>
        <row r="2459">
          <cell r="A2459" t="str">
            <v>Sanjay Shivabhai Parmar</v>
          </cell>
          <cell r="E2459">
            <v>0</v>
          </cell>
        </row>
        <row r="2460">
          <cell r="A2460" t="str">
            <v>Sankalp Mehta Associate</v>
          </cell>
          <cell r="E2460">
            <v>0.2</v>
          </cell>
        </row>
        <row r="2461">
          <cell r="A2461" t="str">
            <v>Sapana Agrawal</v>
          </cell>
          <cell r="E2461">
            <v>0</v>
          </cell>
        </row>
        <row r="2462">
          <cell r="A2462" t="str">
            <v>Satyen Chatterjee</v>
          </cell>
          <cell r="E2462">
            <v>37402</v>
          </cell>
        </row>
        <row r="2463">
          <cell r="A2463" t="str">
            <v>Sbi General Insurance Co. Ltd.</v>
          </cell>
          <cell r="E2463">
            <v>63188</v>
          </cell>
        </row>
        <row r="2464">
          <cell r="A2464" t="str">
            <v>Seabridge Marine Agencies Pvt Ltd</v>
          </cell>
          <cell r="E2464">
            <v>0</v>
          </cell>
        </row>
        <row r="2465">
          <cell r="A2465" t="str">
            <v>SGS India Pvt Ltd</v>
          </cell>
          <cell r="E2465">
            <v>0</v>
          </cell>
        </row>
        <row r="2466">
          <cell r="A2466" t="str">
            <v>Shaans Cargo Pvt.Ltd.</v>
          </cell>
          <cell r="E2466">
            <v>0</v>
          </cell>
        </row>
        <row r="2467">
          <cell r="A2467" t="str">
            <v>Sham Construction</v>
          </cell>
          <cell r="E2467">
            <v>-218</v>
          </cell>
        </row>
        <row r="2468">
          <cell r="A2468" t="str">
            <v>Shanti Service</v>
          </cell>
          <cell r="E2468">
            <v>68</v>
          </cell>
        </row>
        <row r="2469">
          <cell r="A2469" t="str">
            <v>Shashibala Sagar</v>
          </cell>
          <cell r="E2469">
            <v>0</v>
          </cell>
        </row>
        <row r="2470">
          <cell r="A2470" t="str">
            <v>Sheth Ashishkumar Vadilal</v>
          </cell>
          <cell r="E2470">
            <v>1610277</v>
          </cell>
        </row>
        <row r="2471">
          <cell r="A2471" t="str">
            <v>Shinhan Bank - 27AAACC2144A1ZF</v>
          </cell>
          <cell r="E2471">
            <v>0</v>
          </cell>
        </row>
        <row r="2472">
          <cell r="A2472" t="str">
            <v>Shivraj Singh Yadav</v>
          </cell>
          <cell r="E2472">
            <v>270000</v>
          </cell>
        </row>
        <row r="2473">
          <cell r="A2473" t="str">
            <v>Shivshankar Gulabbhai Prajapati</v>
          </cell>
          <cell r="E2473">
            <v>-988</v>
          </cell>
        </row>
        <row r="2474">
          <cell r="A2474" t="str">
            <v>Shree Ambica Sales Corporation</v>
          </cell>
          <cell r="E2474">
            <v>-19852</v>
          </cell>
        </row>
        <row r="2475">
          <cell r="A2475" t="str">
            <v>Shree Engineers</v>
          </cell>
          <cell r="E2475">
            <v>0</v>
          </cell>
        </row>
        <row r="2476">
          <cell r="A2476" t="str">
            <v>Shree Ganesh Associates</v>
          </cell>
          <cell r="E2476">
            <v>0</v>
          </cell>
        </row>
        <row r="2477">
          <cell r="A2477" t="str">
            <v>Shree Nakodaji Computerised Weigh-Bridge- DJEPP2502L</v>
          </cell>
          <cell r="E2477">
            <v>-2000</v>
          </cell>
        </row>
        <row r="2478">
          <cell r="A2478" t="str">
            <v>Shree Nilkanth Polytex</v>
          </cell>
          <cell r="E2478">
            <v>0</v>
          </cell>
        </row>
        <row r="2479">
          <cell r="A2479" t="str">
            <v>Shree Pardarshak Polypack - Purchase</v>
          </cell>
          <cell r="E2479">
            <v>0</v>
          </cell>
        </row>
        <row r="2480">
          <cell r="A2480" t="str">
            <v>Shree Rajasthan Syntex Limited</v>
          </cell>
          <cell r="E2480">
            <v>-201168</v>
          </cell>
        </row>
        <row r="2481">
          <cell r="A2481" t="str">
            <v>Shree Ram Motor Rewinding</v>
          </cell>
          <cell r="E2481">
            <v>-204507</v>
          </cell>
        </row>
        <row r="2482">
          <cell r="A2482" t="str">
            <v>Shree Vinayak Consol Llp</v>
          </cell>
          <cell r="E2482">
            <v>0</v>
          </cell>
        </row>
        <row r="2483">
          <cell r="A2483" t="str">
            <v>Shreeji Machine</v>
          </cell>
          <cell r="E2483">
            <v>-85500</v>
          </cell>
        </row>
        <row r="2484">
          <cell r="A2484" t="str">
            <v xml:space="preserve">Shrey Logistics </v>
          </cell>
          <cell r="E2484">
            <v>0</v>
          </cell>
        </row>
        <row r="2485">
          <cell r="A2485" t="str">
            <v>Shriram General Insurance Company Limited</v>
          </cell>
          <cell r="E2485">
            <v>1</v>
          </cell>
        </row>
        <row r="2486">
          <cell r="A2486" t="str">
            <v>Shubh Polyfab Pvt Ltd</v>
          </cell>
          <cell r="E2486">
            <v>-339120</v>
          </cell>
        </row>
        <row r="2487">
          <cell r="A2487" t="str">
            <v>SIDBI - 24AABCS3480N2Z3</v>
          </cell>
          <cell r="E2487">
            <v>450000</v>
          </cell>
        </row>
        <row r="2488">
          <cell r="A2488" t="str">
            <v>Siddharth Chem Industries LLP</v>
          </cell>
          <cell r="E2488">
            <v>0</v>
          </cell>
        </row>
        <row r="2489">
          <cell r="A2489" t="str">
            <v>SKB Shipping And Logistics Private Limited</v>
          </cell>
          <cell r="E2489">
            <v>0</v>
          </cell>
        </row>
        <row r="2490">
          <cell r="A2490" t="str">
            <v>Snv Aviation Private Limited_24Abecs9580p1zi</v>
          </cell>
          <cell r="E2490">
            <v>0</v>
          </cell>
        </row>
        <row r="2491">
          <cell r="A2491" t="str">
            <v>Solanki Poonamram Ambaram</v>
          </cell>
          <cell r="E2491">
            <v>30000</v>
          </cell>
        </row>
        <row r="2492">
          <cell r="A2492" t="str">
            <v>Solos Polymers Private Limited</v>
          </cell>
          <cell r="E2492">
            <v>-80652</v>
          </cell>
        </row>
        <row r="2493">
          <cell r="A2493" t="str">
            <v>Sphatik Network Private Limited</v>
          </cell>
          <cell r="E2493">
            <v>0</v>
          </cell>
        </row>
        <row r="2494">
          <cell r="A2494" t="str">
            <v>Splenzo Polyfab Private Limited</v>
          </cell>
          <cell r="E2494">
            <v>0</v>
          </cell>
        </row>
        <row r="2495">
          <cell r="A2495" t="str">
            <v>Standard Chartered Bank - 24AABCS4681D1ZK</v>
          </cell>
          <cell r="E2495">
            <v>0</v>
          </cell>
        </row>
        <row r="2496">
          <cell r="A2496" t="str">
            <v>State Bank Of India - 24AAACS8577K1ZV</v>
          </cell>
          <cell r="E2496">
            <v>-176649.73</v>
          </cell>
        </row>
        <row r="2497">
          <cell r="A2497" t="str">
            <v>State Bank Of India - 36AAACS8577K1ZQ</v>
          </cell>
          <cell r="E2497">
            <v>0</v>
          </cell>
        </row>
        <row r="2498">
          <cell r="A2498" t="str">
            <v>Sumar Enterprise</v>
          </cell>
          <cell r="E2498">
            <v>90090</v>
          </cell>
        </row>
        <row r="2499">
          <cell r="A2499" t="str">
            <v>Summar Tour &amp; Travels</v>
          </cell>
          <cell r="E2499">
            <v>-61484</v>
          </cell>
        </row>
        <row r="2500">
          <cell r="A2500" t="str">
            <v>Sunil Singh Ramlayak Singh</v>
          </cell>
          <cell r="E2500">
            <v>0</v>
          </cell>
        </row>
        <row r="2501">
          <cell r="A2501" t="str">
            <v>Sunrise Computer &amp; Security System</v>
          </cell>
          <cell r="E2501">
            <v>-0.02</v>
          </cell>
        </row>
        <row r="2502">
          <cell r="A2502" t="str">
            <v>Sunshine Property And Casualty</v>
          </cell>
          <cell r="E2502">
            <v>40403.75</v>
          </cell>
        </row>
        <row r="2503">
          <cell r="A2503" t="str">
            <v>Surkhab Birds Resorts Private Limited_24AAPCS8672L1ZI</v>
          </cell>
          <cell r="E2503">
            <v>-78942.02</v>
          </cell>
        </row>
        <row r="2504">
          <cell r="A2504" t="str">
            <v>Surya Enegy Kutch</v>
          </cell>
          <cell r="E2504">
            <v>-0.93</v>
          </cell>
        </row>
        <row r="2505">
          <cell r="A2505" t="str">
            <v>Tapan Manpower Solutions</v>
          </cell>
          <cell r="E2505">
            <v>-19994</v>
          </cell>
        </row>
        <row r="2506">
          <cell r="A2506" t="str">
            <v>Tata Sia Airlines Limited_27AAECT8346F1Z4</v>
          </cell>
          <cell r="E2506">
            <v>-12726</v>
          </cell>
        </row>
        <row r="2507">
          <cell r="A2507" t="str">
            <v>Tata Sia Airlines Ltd_24AAECT8346F6Z5</v>
          </cell>
          <cell r="E2507">
            <v>-10563</v>
          </cell>
        </row>
        <row r="2508">
          <cell r="A2508" t="str">
            <v>Tejas Acharya</v>
          </cell>
          <cell r="E2508">
            <v>0</v>
          </cell>
        </row>
        <row r="2509">
          <cell r="A2509" t="str">
            <v>Ten Plus</v>
          </cell>
          <cell r="E2509">
            <v>278559.52</v>
          </cell>
        </row>
        <row r="2510">
          <cell r="A2510" t="str">
            <v>Thakor Khodabhai Chandubhai</v>
          </cell>
          <cell r="E2510">
            <v>-22235</v>
          </cell>
        </row>
        <row r="2511">
          <cell r="A2511" t="str">
            <v>Thar Logistics_24AASFT9702A1Z6</v>
          </cell>
          <cell r="E2511">
            <v>-34220</v>
          </cell>
        </row>
        <row r="2512">
          <cell r="A2512" t="str">
            <v>The Gandhidham Chamber Of Commerce &amp; Industry</v>
          </cell>
          <cell r="E2512">
            <v>5900</v>
          </cell>
        </row>
        <row r="2513">
          <cell r="A2513" t="str">
            <v>The Grand Suites</v>
          </cell>
          <cell r="E2513">
            <v>0</v>
          </cell>
        </row>
        <row r="2514">
          <cell r="A2514" t="str">
            <v>The Neemaya Hotel</v>
          </cell>
          <cell r="E2514">
            <v>-41114.5</v>
          </cell>
        </row>
        <row r="2515">
          <cell r="A2515" t="str">
            <v>The New India Assurance Co. Ltd-09AAACN4165C4ZM</v>
          </cell>
          <cell r="E2515">
            <v>0</v>
          </cell>
        </row>
        <row r="2516">
          <cell r="A2516" t="str">
            <v>The Plastics Export Promotion Council</v>
          </cell>
          <cell r="E2516">
            <v>-215726</v>
          </cell>
        </row>
        <row r="2517">
          <cell r="A2517" t="str">
            <v>Torrent Power Ltd.</v>
          </cell>
          <cell r="E2517">
            <v>0</v>
          </cell>
        </row>
        <row r="2518">
          <cell r="A2518" t="str">
            <v>Trawell Story</v>
          </cell>
          <cell r="E2518">
            <v>0</v>
          </cell>
        </row>
        <row r="2519">
          <cell r="A2519" t="str">
            <v>Uma V Bhagchandani</v>
          </cell>
          <cell r="E2519">
            <v>-12500</v>
          </cell>
        </row>
        <row r="2520">
          <cell r="A2520" t="str">
            <v>Unique Power Technologies</v>
          </cell>
          <cell r="E2520">
            <v>373</v>
          </cell>
        </row>
        <row r="2521">
          <cell r="A2521" t="str">
            <v>Uttar Gujarat Vij Company Ltd</v>
          </cell>
          <cell r="E2521">
            <v>254384.43</v>
          </cell>
        </row>
        <row r="2522">
          <cell r="A2522" t="str">
            <v>V &amp; J Furnishing Pvt. Ltd.</v>
          </cell>
          <cell r="E2522">
            <v>0</v>
          </cell>
        </row>
        <row r="2523">
          <cell r="A2523" t="str">
            <v>V Trans (India) Limited - 27AAACV1559Q2ZP</v>
          </cell>
          <cell r="E2523">
            <v>-85900</v>
          </cell>
        </row>
        <row r="2524">
          <cell r="A2524" t="str">
            <v>V-Trans (India) Ltd. - Maharashtra</v>
          </cell>
          <cell r="E2524">
            <v>-1.37</v>
          </cell>
        </row>
        <row r="2525">
          <cell r="A2525" t="str">
            <v>Vaghela Ashokkumar Rajpatsingh</v>
          </cell>
          <cell r="E2525">
            <v>0</v>
          </cell>
        </row>
        <row r="2526">
          <cell r="A2526" t="str">
            <v>Vanik Finance Private Limited</v>
          </cell>
          <cell r="E2526">
            <v>17208471.960000001</v>
          </cell>
        </row>
        <row r="2527">
          <cell r="A2527" t="str">
            <v>Vanitaba J. Zala</v>
          </cell>
          <cell r="E2527">
            <v>0</v>
          </cell>
        </row>
        <row r="2528">
          <cell r="A2528" t="str">
            <v>Vardhman Communication</v>
          </cell>
          <cell r="E2528">
            <v>288419</v>
          </cell>
        </row>
        <row r="2529">
          <cell r="A2529" t="str">
            <v>Vihaan Telecommunication Private Limited</v>
          </cell>
          <cell r="E2529">
            <v>0</v>
          </cell>
        </row>
        <row r="2530">
          <cell r="A2530" t="str">
            <v>Vijaybhai Khodabhai Vaghari</v>
          </cell>
          <cell r="E2530">
            <v>0</v>
          </cell>
        </row>
        <row r="2531">
          <cell r="A2531" t="str">
            <v>Vipulkumar Shankarbhai Patel</v>
          </cell>
          <cell r="E2531">
            <v>0</v>
          </cell>
        </row>
        <row r="2532">
          <cell r="A2532" t="str">
            <v>Virambhai Gamanbhai Rabari</v>
          </cell>
          <cell r="E2532">
            <v>61711.14</v>
          </cell>
        </row>
        <row r="2533">
          <cell r="A2533" t="str">
            <v>Visat Dairy Farm</v>
          </cell>
          <cell r="E2533">
            <v>0</v>
          </cell>
        </row>
        <row r="2534">
          <cell r="A2534" t="str">
            <v>Vishnu T Bhagchandani, Advocte</v>
          </cell>
          <cell r="E2534">
            <v>-12500</v>
          </cell>
        </row>
        <row r="2535">
          <cell r="A2535" t="str">
            <v>Vision Software</v>
          </cell>
          <cell r="E2535">
            <v>0</v>
          </cell>
        </row>
        <row r="2536">
          <cell r="A2536" t="str">
            <v>Vodafone Idea Limited</v>
          </cell>
          <cell r="E2536">
            <v>625.23</v>
          </cell>
        </row>
        <row r="2537">
          <cell r="A2537" t="str">
            <v xml:space="preserve">Vodafone Idea Limited - 24AAACB2100P1Z3 </v>
          </cell>
          <cell r="E2537">
            <v>-432999.36</v>
          </cell>
        </row>
        <row r="2538">
          <cell r="A2538" t="str">
            <v>Westwind Shipping And Logistics Pvt.Ltd</v>
          </cell>
          <cell r="E2538">
            <v>0</v>
          </cell>
        </row>
        <row r="2539">
          <cell r="A2539" t="str">
            <v>Wwl India Private Limited</v>
          </cell>
          <cell r="E2539">
            <v>0</v>
          </cell>
        </row>
        <row r="2540">
          <cell r="A2540" t="str">
            <v>Yes Bank Ltd. - 24AAACY2068D1ZM</v>
          </cell>
          <cell r="E2540">
            <v>0</v>
          </cell>
        </row>
        <row r="2541">
          <cell r="A2541" t="str">
            <v xml:space="preserve">  Loans &amp; Borrowings</v>
          </cell>
          <cell r="E2541">
            <v>-3515995916.75</v>
          </cell>
        </row>
        <row r="2542">
          <cell r="A2542" t="str">
            <v xml:space="preserve">   Bank Loans</v>
          </cell>
          <cell r="E2542">
            <v>-4327444675.1700001</v>
          </cell>
        </row>
        <row r="2543">
          <cell r="A2543" t="str">
            <v xml:space="preserve">    Cash Credit</v>
          </cell>
          <cell r="E2543">
            <v>-1525883558.8599999</v>
          </cell>
        </row>
        <row r="2544">
          <cell r="A2544" t="str">
            <v>Bank Cash Credit BOB 25380500000128</v>
          </cell>
          <cell r="E2544">
            <v>18497.04</v>
          </cell>
        </row>
        <row r="2545">
          <cell r="A2545" t="str">
            <v>Bank Cash Credit Canara Bank 125009101288</v>
          </cell>
          <cell r="E2545">
            <v>-324701.06</v>
          </cell>
        </row>
        <row r="2546">
          <cell r="A2546" t="str">
            <v>Bank Cash Credit Indian Bank 8049829692</v>
          </cell>
          <cell r="E2546">
            <v>-199722039</v>
          </cell>
        </row>
        <row r="2547">
          <cell r="A2547" t="str">
            <v>Bank Cash Credit INDUSIND 650001188162</v>
          </cell>
          <cell r="E2547">
            <v>-13837413.93</v>
          </cell>
        </row>
        <row r="2548">
          <cell r="A2548" t="str">
            <v>Bank Cash Credit SBI 66000073295</v>
          </cell>
          <cell r="E2548">
            <v>-1312017901.9100001</v>
          </cell>
        </row>
        <row r="2549">
          <cell r="A2549" t="str">
            <v>Bank PCFC - Standard Chartered Bank</v>
          </cell>
          <cell r="E2549">
            <v>0</v>
          </cell>
        </row>
        <row r="2550">
          <cell r="A2550" t="str">
            <v>Bank PCFC SBI 31718812533</v>
          </cell>
          <cell r="E2550">
            <v>0</v>
          </cell>
        </row>
        <row r="2551">
          <cell r="A2551" t="str">
            <v xml:space="preserve">    Export Packing Credit</v>
          </cell>
          <cell r="E2551">
            <v>-1794269268.8499999</v>
          </cell>
        </row>
        <row r="2552">
          <cell r="A2552" t="str">
            <v>Bank EPC BOB 25380700000034</v>
          </cell>
          <cell r="E2552">
            <v>-686531111.60000002</v>
          </cell>
        </row>
        <row r="2553">
          <cell r="A2553" t="str">
            <v>Bank EPC Canara Bank</v>
          </cell>
          <cell r="E2553">
            <v>-95000000</v>
          </cell>
        </row>
        <row r="2554">
          <cell r="A2554" t="str">
            <v>Bank EPC SBI 36741261522</v>
          </cell>
          <cell r="E2554">
            <v>-437245785</v>
          </cell>
        </row>
        <row r="2555">
          <cell r="A2555" t="str">
            <v>Bank EPC SBI 40448753388</v>
          </cell>
          <cell r="E2555">
            <v>-497978235.27999997</v>
          </cell>
        </row>
        <row r="2556">
          <cell r="A2556" t="str">
            <v>Bank EPC SCB</v>
          </cell>
          <cell r="E2556">
            <v>-77514136.969999999</v>
          </cell>
        </row>
        <row r="2557">
          <cell r="A2557" t="str">
            <v xml:space="preserve">    Term Loan</v>
          </cell>
          <cell r="E2557">
            <v>-482690134.95999998</v>
          </cell>
        </row>
        <row r="2558">
          <cell r="A2558" t="str">
            <v>Bank Term Loan Bank Of Maharashtra 60410654531</v>
          </cell>
          <cell r="E2558">
            <v>-32133401.539999999</v>
          </cell>
        </row>
        <row r="2559">
          <cell r="A2559" t="str">
            <v>Bank Term loan BOB 25380600000423</v>
          </cell>
          <cell r="E2559">
            <v>0</v>
          </cell>
        </row>
        <row r="2560">
          <cell r="A2560" t="str">
            <v>Bank Term Loan BOB 25380600000508</v>
          </cell>
          <cell r="E2560">
            <v>0</v>
          </cell>
        </row>
        <row r="2561">
          <cell r="A2561" t="str">
            <v>Bank Term Loan BOB Covid 25380600000495</v>
          </cell>
          <cell r="E2561">
            <v>0</v>
          </cell>
        </row>
        <row r="2562">
          <cell r="A2562" t="str">
            <v>Bank Term Loan BOB Covid Ac No.73280600000042</v>
          </cell>
          <cell r="E2562">
            <v>-21093753</v>
          </cell>
        </row>
        <row r="2563">
          <cell r="A2563" t="str">
            <v>Bank Term Loan BOB Covid Ac No.73280600000043</v>
          </cell>
          <cell r="E2563">
            <v>-42135434</v>
          </cell>
        </row>
        <row r="2564">
          <cell r="A2564" t="str">
            <v>Bank Term loan EXIM HOLTWUSD00000082</v>
          </cell>
          <cell r="E2564">
            <v>0</v>
          </cell>
        </row>
        <row r="2565">
          <cell r="A2565" t="str">
            <v>Bank Term loan SBI 35691930416</v>
          </cell>
          <cell r="E2565">
            <v>0</v>
          </cell>
        </row>
        <row r="2566">
          <cell r="A2566" t="str">
            <v>Bank Term loan SBI 39206966041</v>
          </cell>
          <cell r="E2566">
            <v>0</v>
          </cell>
        </row>
        <row r="2567">
          <cell r="A2567" t="str">
            <v>Bank Term loan SBI 39207046578</v>
          </cell>
          <cell r="E2567">
            <v>0</v>
          </cell>
        </row>
        <row r="2568">
          <cell r="A2568" t="str">
            <v>Bank Term Loan SBI 39207063548</v>
          </cell>
          <cell r="E2568">
            <v>0</v>
          </cell>
        </row>
        <row r="2569">
          <cell r="A2569" t="str">
            <v>Bank Term Loan SBI 39534817494</v>
          </cell>
          <cell r="E2569">
            <v>0</v>
          </cell>
        </row>
        <row r="2570">
          <cell r="A2570" t="str">
            <v>Bank Term Loan SBI 39534833073</v>
          </cell>
          <cell r="E2570">
            <v>0</v>
          </cell>
        </row>
        <row r="2571">
          <cell r="A2571" t="str">
            <v>Bank Term Loan SBI 62491222818</v>
          </cell>
          <cell r="E2571">
            <v>0</v>
          </cell>
        </row>
        <row r="2572">
          <cell r="A2572" t="str">
            <v>Bank Term Loan SBI 64194706663</v>
          </cell>
          <cell r="E2572">
            <v>0</v>
          </cell>
        </row>
        <row r="2573">
          <cell r="A2573" t="str">
            <v>Bank Term Loan SBI Covid Ac No.40028122226</v>
          </cell>
          <cell r="E2573">
            <v>1287</v>
          </cell>
        </row>
        <row r="2574">
          <cell r="A2574" t="str">
            <v>Bank Term Loan SBI Covid Ac No.40939817790</v>
          </cell>
          <cell r="E2574">
            <v>701766.85</v>
          </cell>
        </row>
        <row r="2575">
          <cell r="A2575" t="str">
            <v>Bank Term Loan Sidbi A/C No : D0005bm7</v>
          </cell>
          <cell r="E2575">
            <v>-29196000</v>
          </cell>
        </row>
        <row r="2576">
          <cell r="A2576" t="str">
            <v>Bank Term Loan Tata Cap 6263338 - 15 Cr</v>
          </cell>
          <cell r="E2576">
            <v>-34300330</v>
          </cell>
        </row>
        <row r="2577">
          <cell r="A2577" t="str">
            <v>BOB BECLGS Loan 73280600000193</v>
          </cell>
          <cell r="E2577">
            <v>-74200000</v>
          </cell>
        </row>
        <row r="2578">
          <cell r="A2578" t="str">
            <v>Bom Term Loan A/C 73280600000174</v>
          </cell>
          <cell r="E2578">
            <v>-60765435</v>
          </cell>
        </row>
        <row r="2579">
          <cell r="A2579" t="str">
            <v>ECLTerm Loan_SCB_005910514</v>
          </cell>
          <cell r="E2579">
            <v>-9737767.2699999996</v>
          </cell>
        </row>
        <row r="2580">
          <cell r="A2580" t="str">
            <v>ECLTerm Loan_SCB_005910841</v>
          </cell>
          <cell r="E2580">
            <v>-11700000</v>
          </cell>
        </row>
        <row r="2581">
          <cell r="A2581" t="str">
            <v>Indian Bank CGSE Term Loan A/C No. 8280462013</v>
          </cell>
          <cell r="E2581">
            <v>-39763014</v>
          </cell>
        </row>
        <row r="2582">
          <cell r="A2582" t="str">
            <v>Sbi Term Loan A/C 45031107910</v>
          </cell>
          <cell r="E2582">
            <v>-128368054</v>
          </cell>
        </row>
        <row r="2583">
          <cell r="A2583" t="str">
            <v xml:space="preserve">    Vehicle Loans</v>
          </cell>
          <cell r="E2583">
            <v>-6581681.3200000003</v>
          </cell>
        </row>
        <row r="2584">
          <cell r="A2584" t="str">
            <v>Bmw Car Loan Indian Bank -7990123376</v>
          </cell>
          <cell r="E2584">
            <v>-4119535</v>
          </cell>
        </row>
        <row r="2585">
          <cell r="A2585" t="str">
            <v>HDFC Bank Ltd. Agreement No.83111929 (Chillar)</v>
          </cell>
          <cell r="E2585">
            <v>0</v>
          </cell>
        </row>
        <row r="2586">
          <cell r="A2586" t="str">
            <v>HDFC Bank- Forklift Loan A/C 02612560000175</v>
          </cell>
          <cell r="E2586">
            <v>0</v>
          </cell>
        </row>
        <row r="2587">
          <cell r="A2587" t="str">
            <v>HDFC Bank- Forklift Loan A/C 86245787</v>
          </cell>
          <cell r="E2587">
            <v>0</v>
          </cell>
        </row>
        <row r="2588">
          <cell r="A2588" t="str">
            <v>HDFC Bank- Forklift Loan A/C 86397436</v>
          </cell>
          <cell r="E2588">
            <v>0</v>
          </cell>
        </row>
        <row r="2589">
          <cell r="A2589" t="str">
            <v>HDFC Bank- Forklift Loan A/C 86496959</v>
          </cell>
          <cell r="E2589">
            <v>0</v>
          </cell>
        </row>
        <row r="2590">
          <cell r="A2590" t="str">
            <v>HDFC Car Loan Agreement No. 117652724 - Swift Dezire</v>
          </cell>
          <cell r="E2590">
            <v>0</v>
          </cell>
        </row>
        <row r="2591">
          <cell r="A2591" t="str">
            <v>HDFC Car Loan No Agreement No 139105052 XUV700 GJ01WK4063</v>
          </cell>
          <cell r="E2591">
            <v>-965890.41</v>
          </cell>
        </row>
        <row r="2592">
          <cell r="A2592" t="str">
            <v>ICICI Bank - Innova Crysta Car Loan A/c (GJ 12 CP 6684) .</v>
          </cell>
          <cell r="E2592">
            <v>0</v>
          </cell>
        </row>
        <row r="2593">
          <cell r="A2593" t="str">
            <v>ICICI Bank- Forklift Loan A/C Lqabd00037314129</v>
          </cell>
          <cell r="E2593">
            <v>0.09</v>
          </cell>
        </row>
        <row r="2594">
          <cell r="A2594" t="str">
            <v>ICICI Bank- Honda City Car Loan A/C (GJ 12 CP 6736)</v>
          </cell>
          <cell r="E2594">
            <v>0</v>
          </cell>
        </row>
        <row r="2595">
          <cell r="A2595" t="str">
            <v>South Indian Bank BYD Car Loan No-017965200000727</v>
          </cell>
          <cell r="E2595">
            <v>-1496256</v>
          </cell>
        </row>
        <row r="2596">
          <cell r="A2596" t="str">
            <v xml:space="preserve">    Working Capital</v>
          </cell>
          <cell r="E2596">
            <v>-518020031.18000001</v>
          </cell>
        </row>
        <row r="2597">
          <cell r="A2597" t="str">
            <v>Bank PCFC BOB - EURO</v>
          </cell>
          <cell r="E2597">
            <v>-23599198.25</v>
          </cell>
        </row>
        <row r="2598">
          <cell r="A2598" t="str">
            <v>Bank PCFC BOB-25380700000040- USD</v>
          </cell>
          <cell r="E2598">
            <v>-237681535.53</v>
          </cell>
        </row>
        <row r="2599">
          <cell r="A2599" t="str">
            <v>Bank PCFC SBI - EURO</v>
          </cell>
          <cell r="E2599">
            <v>-4502033.58</v>
          </cell>
        </row>
        <row r="2600">
          <cell r="A2600" t="str">
            <v>Bank PCFC SBI - USD</v>
          </cell>
          <cell r="E2600">
            <v>-44798027.149999999</v>
          </cell>
        </row>
        <row r="2601">
          <cell r="A2601" t="str">
            <v>Bank WCDL Indusind 519003567774</v>
          </cell>
          <cell r="E2601">
            <v>0</v>
          </cell>
        </row>
        <row r="2602">
          <cell r="A2602" t="str">
            <v>Bill Of Exchange - M1 Exchange</v>
          </cell>
          <cell r="E2602">
            <v>-32955886.879999999</v>
          </cell>
        </row>
        <row r="2603">
          <cell r="A2603" t="str">
            <v>Bill of Exchange-SBI</v>
          </cell>
          <cell r="E2603">
            <v>-59928274.990000002</v>
          </cell>
        </row>
        <row r="2604">
          <cell r="A2604" t="str">
            <v>Bill of Exchange-SCB</v>
          </cell>
          <cell r="E2604">
            <v>0</v>
          </cell>
        </row>
        <row r="2605">
          <cell r="A2605" t="str">
            <v>Sales Bill Discounted Exports - Drip capital</v>
          </cell>
          <cell r="E2605">
            <v>-8818318.9100000001</v>
          </cell>
        </row>
        <row r="2606">
          <cell r="A2606" t="str">
            <v>Sales Bill Discounted Exports - India Factoring</v>
          </cell>
          <cell r="E2606">
            <v>-14249770.380000001</v>
          </cell>
        </row>
        <row r="2607">
          <cell r="A2607" t="str">
            <v>Sales Bill Discounted Exports - Mogli Labs Asia Private Limited</v>
          </cell>
          <cell r="E2607">
            <v>-13420900.130000001</v>
          </cell>
        </row>
        <row r="2608">
          <cell r="A2608" t="str">
            <v>Sales Bill Discounted Exports - SBI</v>
          </cell>
          <cell r="E2608">
            <v>0</v>
          </cell>
        </row>
        <row r="2609">
          <cell r="A2609" t="str">
            <v>Sales Bill Discounted Exports - SCB</v>
          </cell>
          <cell r="E2609">
            <v>-2.16</v>
          </cell>
        </row>
        <row r="2610">
          <cell r="A2610" t="str">
            <v>Sales Bill Discounted Exports - Shinhan</v>
          </cell>
          <cell r="E2610">
            <v>0</v>
          </cell>
        </row>
        <row r="2611">
          <cell r="A2611" t="str">
            <v>Sales Bill Discounted Exports - Volo Fin Pvt. Ltd.</v>
          </cell>
          <cell r="E2611">
            <v>-79273967.640000001</v>
          </cell>
        </row>
        <row r="2612">
          <cell r="A2612" t="str">
            <v>SBI DL FCNRB A/C No.39234544301</v>
          </cell>
          <cell r="E2612">
            <v>0</v>
          </cell>
        </row>
        <row r="2613">
          <cell r="A2613" t="str">
            <v>SBI DL FCNRB A/C No.39679410224</v>
          </cell>
          <cell r="E2613">
            <v>0</v>
          </cell>
        </row>
        <row r="2614">
          <cell r="A2614" t="str">
            <v>Shinhan Bank</v>
          </cell>
          <cell r="E2614">
            <v>3061.42</v>
          </cell>
        </row>
        <row r="2615">
          <cell r="A2615" t="str">
            <v>Tata Capital Financial Services Ltd.</v>
          </cell>
          <cell r="E2615">
            <v>1204823</v>
          </cell>
        </row>
        <row r="2616">
          <cell r="A2616" t="str">
            <v xml:space="preserve">   Other Liabilities</v>
          </cell>
          <cell r="E2616">
            <v>840453287.23000002</v>
          </cell>
        </row>
        <row r="2617">
          <cell r="A2617" t="str">
            <v xml:space="preserve">    Deposit From Companies</v>
          </cell>
          <cell r="E2617">
            <v>840453287.23000002</v>
          </cell>
        </row>
        <row r="2618">
          <cell r="A2618" t="str">
            <v>HCP Enterprise Ltd-ICD</v>
          </cell>
          <cell r="E2618">
            <v>88666674.200000003</v>
          </cell>
        </row>
        <row r="2619">
          <cell r="A2619" t="str">
            <v>Oswal Extrusion Ltd - HO-ICD</v>
          </cell>
          <cell r="E2619">
            <v>817410837</v>
          </cell>
        </row>
        <row r="2620">
          <cell r="A2620" t="str">
            <v>Plastene India ltd - HO-ICD</v>
          </cell>
          <cell r="E2620">
            <v>56166646.659999996</v>
          </cell>
        </row>
        <row r="2621">
          <cell r="A2621" t="str">
            <v>Plastene Polyfilms Ltd-ICD</v>
          </cell>
          <cell r="E2621">
            <v>-121790870.63</v>
          </cell>
        </row>
        <row r="2622">
          <cell r="A2622" t="str">
            <v xml:space="preserve">   Unsecured Loans</v>
          </cell>
          <cell r="E2622">
            <v>-29004528.809999999</v>
          </cell>
        </row>
        <row r="2623">
          <cell r="A2623" t="str">
            <v>NBFC Term Loan TATA 21842400</v>
          </cell>
          <cell r="E2623">
            <v>0</v>
          </cell>
        </row>
        <row r="2624">
          <cell r="A2624" t="str">
            <v xml:space="preserve">    Other Loans</v>
          </cell>
          <cell r="E2624">
            <v>-29004528.809999999</v>
          </cell>
        </row>
        <row r="2625">
          <cell r="A2625" t="str">
            <v>India Factoring And Finance</v>
          </cell>
          <cell r="E2625">
            <v>406875.19</v>
          </cell>
        </row>
        <row r="2626">
          <cell r="A2626" t="str">
            <v>Marudhar Polymers - ICD</v>
          </cell>
          <cell r="E2626">
            <v>-29411404</v>
          </cell>
        </row>
        <row r="2627">
          <cell r="A2627" t="str">
            <v>Siemens Financial Services Pvt. Ltd - Loan</v>
          </cell>
          <cell r="E2627">
            <v>0</v>
          </cell>
        </row>
        <row r="2628">
          <cell r="A2628" t="str">
            <v xml:space="preserve">  Provisions</v>
          </cell>
          <cell r="E2628">
            <v>-679276748.44000006</v>
          </cell>
        </row>
        <row r="2629">
          <cell r="A2629" t="str">
            <v xml:space="preserve">   Provision For Depreciation</v>
          </cell>
          <cell r="E2629">
            <v>-660477710.05999994</v>
          </cell>
        </row>
        <row r="2630">
          <cell r="A2630" t="str">
            <v>Provision For Depreciation</v>
          </cell>
          <cell r="E2630">
            <v>-660477710.05999994</v>
          </cell>
        </row>
        <row r="2631">
          <cell r="A2631" t="str">
            <v xml:space="preserve">   Provision For Expenses</v>
          </cell>
          <cell r="E2631">
            <v>-18799038.379999999</v>
          </cell>
        </row>
        <row r="2632">
          <cell r="A2632" t="str">
            <v>Provision For Expenses</v>
          </cell>
          <cell r="E2632">
            <v>-1770755</v>
          </cell>
        </row>
        <row r="2633">
          <cell r="A2633" t="str">
            <v>Provision for Gratuaity</v>
          </cell>
          <cell r="E2633">
            <v>-14507346</v>
          </cell>
        </row>
        <row r="2634">
          <cell r="A2634" t="str">
            <v>Provision For Interest</v>
          </cell>
          <cell r="E2634">
            <v>-0.38</v>
          </cell>
        </row>
        <row r="2635">
          <cell r="A2635" t="str">
            <v>Provision For Leave Encashment</v>
          </cell>
          <cell r="E2635">
            <v>-2520937</v>
          </cell>
        </row>
        <row r="2636">
          <cell r="A2636" t="str">
            <v xml:space="preserve">   Provision For Income Tax</v>
          </cell>
          <cell r="E2636">
            <v>0</v>
          </cell>
        </row>
        <row r="2637">
          <cell r="A2637" t="str">
            <v>Provision For Income Tax</v>
          </cell>
          <cell r="E2637">
            <v>0</v>
          </cell>
        </row>
        <row r="2638">
          <cell r="A2638" t="str">
            <v>Profit And Loss Account</v>
          </cell>
          <cell r="E2638">
            <v>-23213627.530006502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riginal"/>
      <sheetName val="Trial Balance"/>
      <sheetName val="Sheet2"/>
    </sheetNames>
    <sheetDataSet>
      <sheetData sheetId="0"/>
      <sheetData sheetId="1">
        <row r="1">
          <cell r="A1" t="str">
            <v>AAAA</v>
          </cell>
          <cell r="B1" t="str">
            <v>Closing</v>
          </cell>
        </row>
        <row r="2">
          <cell r="A2" t="str">
            <v>20 Microns Limited</v>
          </cell>
          <cell r="B2">
            <v>0</v>
          </cell>
        </row>
        <row r="3">
          <cell r="A3" t="str">
            <v>20 Microns Limited - Nagor GIDC</v>
          </cell>
          <cell r="B3">
            <v>0</v>
          </cell>
        </row>
        <row r="4">
          <cell r="A4" t="str">
            <v>20Cube Global Logistics Private Limited-33AACCZ8607K1Z0</v>
          </cell>
          <cell r="B4">
            <v>0</v>
          </cell>
        </row>
        <row r="5">
          <cell r="A5" t="str">
            <v>20Cube Logistics Solutions Private Limited</v>
          </cell>
          <cell r="B5">
            <v>31054</v>
          </cell>
        </row>
        <row r="6">
          <cell r="A6" t="str">
            <v>4 Colour Jumbo Printing Machine</v>
          </cell>
          <cell r="B6">
            <v>2525058</v>
          </cell>
        </row>
        <row r="7">
          <cell r="A7" t="str">
            <v>A B Online</v>
          </cell>
          <cell r="B7">
            <v>-88670</v>
          </cell>
        </row>
        <row r="8">
          <cell r="A8" t="str">
            <v>A Hartrodt (India) Private Limited</v>
          </cell>
          <cell r="B8">
            <v>5220</v>
          </cell>
        </row>
        <row r="9">
          <cell r="A9" t="str">
            <v>A Hartrodt (India) Private Limited- Mumbai</v>
          </cell>
          <cell r="B9">
            <v>-5220</v>
          </cell>
        </row>
        <row r="10">
          <cell r="A10" t="str">
            <v>A N Satyam Enterprise</v>
          </cell>
          <cell r="B10">
            <v>256930</v>
          </cell>
        </row>
        <row r="11">
          <cell r="A11" t="str">
            <v>A To Z Stationery And Zerox</v>
          </cell>
          <cell r="B11">
            <v>-1333</v>
          </cell>
        </row>
        <row r="12">
          <cell r="A12" t="str">
            <v>A.Perdios Trading Ltd</v>
          </cell>
          <cell r="B12">
            <v>0</v>
          </cell>
        </row>
        <row r="13">
          <cell r="A13" t="str">
            <v>A.V.R. Corporation</v>
          </cell>
          <cell r="B13">
            <v>-2261</v>
          </cell>
        </row>
        <row r="14">
          <cell r="A14" t="str">
            <v>Aadhya Shakti Forklift</v>
          </cell>
          <cell r="B14">
            <v>0</v>
          </cell>
        </row>
        <row r="15">
          <cell r="A15" t="str">
            <v>Aakrise</v>
          </cell>
          <cell r="B15">
            <v>0</v>
          </cell>
        </row>
        <row r="16">
          <cell r="A16" t="str">
            <v>Aanjana Steel Traders</v>
          </cell>
          <cell r="B16">
            <v>0</v>
          </cell>
        </row>
        <row r="17">
          <cell r="A17" t="str">
            <v>Aaradhya Minerals Overseas</v>
          </cell>
          <cell r="B17">
            <v>0</v>
          </cell>
        </row>
        <row r="18">
          <cell r="A18" t="str">
            <v>Aarch Nonwoven</v>
          </cell>
          <cell r="B18">
            <v>-1462</v>
          </cell>
        </row>
        <row r="19">
          <cell r="A19" t="str">
            <v>Aareha Elastin Fibc Private Limited</v>
          </cell>
          <cell r="B19">
            <v>0</v>
          </cell>
        </row>
        <row r="20">
          <cell r="A20" t="str">
            <v>Aargus Global Logistics Pvt Ltd</v>
          </cell>
          <cell r="B20">
            <v>0</v>
          </cell>
        </row>
        <row r="21">
          <cell r="A21" t="str">
            <v>Aarya Packthread Private Limited</v>
          </cell>
          <cell r="B21">
            <v>0</v>
          </cell>
        </row>
        <row r="22">
          <cell r="A22" t="str">
            <v>Aasan Consultancy</v>
          </cell>
          <cell r="B22">
            <v>0</v>
          </cell>
        </row>
        <row r="23">
          <cell r="A23" t="str">
            <v>Aayush Plastic</v>
          </cell>
          <cell r="B23">
            <v>0.49</v>
          </cell>
        </row>
        <row r="24">
          <cell r="A24" t="str">
            <v>Abhay Pradhan Trust</v>
          </cell>
          <cell r="B24">
            <v>0</v>
          </cell>
        </row>
        <row r="25">
          <cell r="A25" t="str">
            <v>Abhi Electronics</v>
          </cell>
          <cell r="B25">
            <v>0</v>
          </cell>
        </row>
        <row r="26">
          <cell r="A26" t="str">
            <v>Abhi Roadline</v>
          </cell>
          <cell r="B26">
            <v>0</v>
          </cell>
        </row>
        <row r="27">
          <cell r="A27" t="str">
            <v>Abhiram Traction</v>
          </cell>
          <cell r="B27">
            <v>0</v>
          </cell>
        </row>
        <row r="28">
          <cell r="A28" t="str">
            <v>Abreco Freight Pvt Ltd-27AATCA3993L1ZS</v>
          </cell>
          <cell r="B28">
            <v>-0.14000000000000001</v>
          </cell>
        </row>
        <row r="29">
          <cell r="A29" t="str">
            <v>Access World</v>
          </cell>
          <cell r="B29">
            <v>3151699.2</v>
          </cell>
        </row>
        <row r="30">
          <cell r="A30" t="str">
            <v>Accrued Interest -FDR</v>
          </cell>
          <cell r="B30">
            <v>1242327</v>
          </cell>
        </row>
        <row r="31">
          <cell r="A31" t="str">
            <v>Accuracy Shipping Limited</v>
          </cell>
          <cell r="B31">
            <v>-159497</v>
          </cell>
        </row>
        <row r="32">
          <cell r="A32" t="str">
            <v>Accurate Electric</v>
          </cell>
          <cell r="B32">
            <v>-2183</v>
          </cell>
        </row>
        <row r="33">
          <cell r="A33" t="str">
            <v>Accurate Equipment</v>
          </cell>
          <cell r="B33">
            <v>92500</v>
          </cell>
        </row>
        <row r="34">
          <cell r="A34" t="str">
            <v>Accurate Laboratory</v>
          </cell>
          <cell r="B34">
            <v>343</v>
          </cell>
        </row>
        <row r="35">
          <cell r="A35" t="str">
            <v>Accurate Rub Tech</v>
          </cell>
          <cell r="B35">
            <v>-32407</v>
          </cell>
        </row>
        <row r="36">
          <cell r="A36" t="str">
            <v>Acme Yarns Private Limited</v>
          </cell>
          <cell r="B36">
            <v>-729792</v>
          </cell>
        </row>
        <row r="37">
          <cell r="A37" t="str">
            <v>Acs Composites SARL</v>
          </cell>
          <cell r="B37">
            <v>0</v>
          </cell>
        </row>
        <row r="38">
          <cell r="A38" t="str">
            <v>Actionware India Pvt Ltd</v>
          </cell>
          <cell r="B38">
            <v>33222479.68</v>
          </cell>
        </row>
        <row r="39">
          <cell r="A39" t="str">
            <v>Active Cargo Movers</v>
          </cell>
          <cell r="B39">
            <v>0</v>
          </cell>
        </row>
        <row r="40">
          <cell r="A40" t="str">
            <v>Active Pumps Pvt Ltd</v>
          </cell>
          <cell r="B40">
            <v>-0.24</v>
          </cell>
        </row>
        <row r="41">
          <cell r="A41" t="str">
            <v>Acuver Engineering India Pvt.Ltd.</v>
          </cell>
          <cell r="B41">
            <v>440040.72</v>
          </cell>
        </row>
        <row r="42">
          <cell r="A42" t="str">
            <v>Adani Cma Mundra Terminal Private Limited</v>
          </cell>
          <cell r="B42">
            <v>-3548.42</v>
          </cell>
        </row>
        <row r="43">
          <cell r="A43" t="str">
            <v>Adani International Container Terminal Pvt Ltd</v>
          </cell>
          <cell r="B43">
            <v>36834.300000000003</v>
          </cell>
        </row>
        <row r="44">
          <cell r="A44" t="str">
            <v>Adani Ports And Special Economic Zone Limited</v>
          </cell>
          <cell r="B44">
            <v>-99368.2</v>
          </cell>
        </row>
        <row r="45">
          <cell r="A45" t="str">
            <v>Adani Ports And Special Economic Zone Limited-(Pil-1)</v>
          </cell>
          <cell r="B45">
            <v>350000</v>
          </cell>
        </row>
        <row r="46">
          <cell r="A46" t="str">
            <v>Addon Envirotech</v>
          </cell>
          <cell r="B46">
            <v>0</v>
          </cell>
        </row>
        <row r="47">
          <cell r="A47" t="str">
            <v>Adesh Engineering</v>
          </cell>
          <cell r="B47">
            <v>0</v>
          </cell>
        </row>
        <row r="48">
          <cell r="A48" t="str">
            <v>Adhesive Seprator</v>
          </cell>
          <cell r="B48">
            <v>24819</v>
          </cell>
        </row>
        <row r="49">
          <cell r="A49" t="str">
            <v>Adinath Enterprises</v>
          </cell>
          <cell r="B49">
            <v>0</v>
          </cell>
        </row>
        <row r="50">
          <cell r="A50" t="str">
            <v>Adinath Salt Llp</v>
          </cell>
          <cell r="B50">
            <v>40000</v>
          </cell>
        </row>
        <row r="51">
          <cell r="A51" t="str">
            <v>Aditya Elastomer</v>
          </cell>
          <cell r="B51">
            <v>12469</v>
          </cell>
        </row>
        <row r="52">
          <cell r="A52" t="str">
            <v>Aditya Engineering Works - 24GIUPP9229Q1ZX</v>
          </cell>
          <cell r="B52">
            <v>-30054.6</v>
          </cell>
        </row>
        <row r="53">
          <cell r="A53" t="str">
            <v>Aditya Enterprise 24ABXPD1674M1Z6</v>
          </cell>
          <cell r="B53">
            <v>0</v>
          </cell>
        </row>
        <row r="54">
          <cell r="A54" t="str">
            <v>Aditya Indane 24AMCPD6839J1Z1</v>
          </cell>
          <cell r="B54">
            <v>0</v>
          </cell>
        </row>
        <row r="55">
          <cell r="A55" t="str">
            <v>Advance for Travel &amp; Others</v>
          </cell>
          <cell r="B55">
            <v>25875</v>
          </cell>
        </row>
        <row r="56">
          <cell r="A56" t="str">
            <v>Advance Licence Fee Expense</v>
          </cell>
          <cell r="B56">
            <v>32004.13</v>
          </cell>
        </row>
        <row r="57">
          <cell r="A57" t="str">
            <v>Advance License Income</v>
          </cell>
          <cell r="B57">
            <v>850830</v>
          </cell>
        </row>
        <row r="58">
          <cell r="A58" t="str">
            <v>Advance Salary Paid</v>
          </cell>
          <cell r="B58">
            <v>2633409</v>
          </cell>
        </row>
        <row r="59">
          <cell r="A59" t="str">
            <v>Advanced Global Marketing Company</v>
          </cell>
          <cell r="B59">
            <v>32273.119999999999</v>
          </cell>
        </row>
        <row r="60">
          <cell r="A60" t="str">
            <v>Advocate Fees Expense</v>
          </cell>
          <cell r="B60">
            <v>248600</v>
          </cell>
        </row>
        <row r="61">
          <cell r="A61" t="str">
            <v>Aflon Engineering Corporation</v>
          </cell>
          <cell r="B61">
            <v>0</v>
          </cell>
        </row>
        <row r="62">
          <cell r="A62" t="str">
            <v>Agarwal Enterprise</v>
          </cell>
          <cell r="B62">
            <v>-356033</v>
          </cell>
        </row>
        <row r="63">
          <cell r="A63" t="str">
            <v>Agon A/S</v>
          </cell>
          <cell r="B63">
            <v>0.01</v>
          </cell>
        </row>
        <row r="64">
          <cell r="A64" t="str">
            <v>Agrisac</v>
          </cell>
          <cell r="B64">
            <v>0</v>
          </cell>
        </row>
        <row r="65">
          <cell r="A65" t="str">
            <v>Agroszemek Kft</v>
          </cell>
          <cell r="B65">
            <v>0.01</v>
          </cell>
        </row>
        <row r="66">
          <cell r="A66" t="str">
            <v>Ahan Shipping Services-24AAZFA5323K1Z4</v>
          </cell>
          <cell r="B66">
            <v>0</v>
          </cell>
        </row>
        <row r="67">
          <cell r="A67" t="str">
            <v>Ahlstrom Fibercomposites India Pvt Ltd</v>
          </cell>
          <cell r="B67">
            <v>4070</v>
          </cell>
        </row>
        <row r="68">
          <cell r="A68" t="str">
            <v>Ahlstrom Munksjo Fibercomposites India Private Limited</v>
          </cell>
          <cell r="B68">
            <v>33970</v>
          </cell>
        </row>
        <row r="69">
          <cell r="A69" t="str">
            <v>Ahmedabad Cotton Waste Co.</v>
          </cell>
          <cell r="B69">
            <v>-49717</v>
          </cell>
        </row>
        <row r="70">
          <cell r="A70" t="str">
            <v>Ahmedabad Lock House</v>
          </cell>
          <cell r="B70">
            <v>0</v>
          </cell>
        </row>
        <row r="71">
          <cell r="A71" t="str">
            <v>Ahmedabad Textile Industry Research Association</v>
          </cell>
          <cell r="B71">
            <v>-944</v>
          </cell>
        </row>
        <row r="72">
          <cell r="A72" t="str">
            <v>Air Arabia Pjsc - 24AAICA5432B1Z8</v>
          </cell>
          <cell r="B72">
            <v>8532.01</v>
          </cell>
        </row>
        <row r="73">
          <cell r="A73" t="str">
            <v>Air Compressor</v>
          </cell>
          <cell r="B73">
            <v>6145862.46</v>
          </cell>
        </row>
        <row r="74">
          <cell r="A74" t="str">
            <v>Air Conditioners</v>
          </cell>
          <cell r="B74">
            <v>2469735.88</v>
          </cell>
        </row>
        <row r="75">
          <cell r="A75" t="str">
            <v>Air Cooling Plant</v>
          </cell>
          <cell r="B75">
            <v>21837273.699999999</v>
          </cell>
        </row>
        <row r="76">
          <cell r="A76" t="str">
            <v>Air Dryer</v>
          </cell>
          <cell r="B76">
            <v>508308</v>
          </cell>
        </row>
        <row r="77">
          <cell r="A77" t="str">
            <v>Air India Limited 07AACCN6194P2ZQ</v>
          </cell>
          <cell r="B77">
            <v>-36.01</v>
          </cell>
        </row>
        <row r="78">
          <cell r="A78" t="str">
            <v>Air India Limited-27AACCN6194P1ZP</v>
          </cell>
          <cell r="B78">
            <v>-24539</v>
          </cell>
        </row>
        <row r="79">
          <cell r="A79" t="str">
            <v>Air Receiver With Cubic Meter</v>
          </cell>
          <cell r="B79">
            <v>44580</v>
          </cell>
        </row>
        <row r="80">
          <cell r="A80" t="str">
            <v>Air Shower Machine</v>
          </cell>
          <cell r="B80">
            <v>395000</v>
          </cell>
        </row>
        <row r="81">
          <cell r="A81" t="str">
            <v>Airan Inks India Private Limited</v>
          </cell>
          <cell r="B81">
            <v>0</v>
          </cell>
        </row>
        <row r="82">
          <cell r="A82" t="str">
            <v>Aircool System</v>
          </cell>
          <cell r="B82">
            <v>0</v>
          </cell>
        </row>
        <row r="83">
          <cell r="A83" t="str">
            <v>Airmax Pneumatic Automation</v>
          </cell>
          <cell r="B83">
            <v>-1181.02</v>
          </cell>
        </row>
        <row r="84">
          <cell r="A84" t="str">
            <v>Airtech Engineers - Gandhidham</v>
          </cell>
          <cell r="B84">
            <v>-39164.65</v>
          </cell>
        </row>
        <row r="85">
          <cell r="A85" t="str">
            <v>Airwell Systems</v>
          </cell>
          <cell r="B85">
            <v>-4602</v>
          </cell>
        </row>
        <row r="86">
          <cell r="A86" t="str">
            <v>Ajanta Chemicals</v>
          </cell>
          <cell r="B86">
            <v>-3835</v>
          </cell>
        </row>
        <row r="87">
          <cell r="A87" t="str">
            <v>Ajanta Polymers.</v>
          </cell>
          <cell r="B87">
            <v>29602</v>
          </cell>
        </row>
        <row r="88">
          <cell r="A88" t="str">
            <v>Ajitkumar Sumatilal Shah</v>
          </cell>
          <cell r="B88">
            <v>0</v>
          </cell>
        </row>
        <row r="89">
          <cell r="A89" t="str">
            <v>Ajs Logistics Pvt Ltd 09AAJCA0614L1ZO</v>
          </cell>
          <cell r="B89">
            <v>0</v>
          </cell>
        </row>
        <row r="90">
          <cell r="A90" t="str">
            <v>Akbar Travels Of India Private Limited 24AADCA2140D1ZI</v>
          </cell>
          <cell r="B90">
            <v>0</v>
          </cell>
        </row>
        <row r="91">
          <cell r="A91" t="str">
            <v>Akbar Travels Of India Private Limited 27AADCA2140D1ZC</v>
          </cell>
          <cell r="B91">
            <v>0</v>
          </cell>
        </row>
        <row r="92">
          <cell r="A92" t="str">
            <v>Aksha Medical &amp; Provison Stores</v>
          </cell>
          <cell r="B92">
            <v>0</v>
          </cell>
        </row>
        <row r="93">
          <cell r="A93" t="str">
            <v>Akshar Polypack Llp</v>
          </cell>
          <cell r="B93">
            <v>0</v>
          </cell>
        </row>
        <row r="94">
          <cell r="A94" t="str">
            <v>Akshara Graphics</v>
          </cell>
          <cell r="B94">
            <v>184593.3</v>
          </cell>
        </row>
        <row r="95">
          <cell r="A95" t="str">
            <v>Akshara Graphics - Purchase</v>
          </cell>
          <cell r="B95">
            <v>-199792</v>
          </cell>
        </row>
        <row r="96">
          <cell r="A96" t="str">
            <v>Alankar Automotives Pvt Ltd</v>
          </cell>
          <cell r="B96">
            <v>-73418.11</v>
          </cell>
        </row>
        <row r="97">
          <cell r="A97" t="str">
            <v>Alaris Polymers - Purchase</v>
          </cell>
          <cell r="B97">
            <v>0</v>
          </cell>
        </row>
        <row r="98">
          <cell r="A98" t="str">
            <v>Alimentos Cielo S.A.C.</v>
          </cell>
          <cell r="B98">
            <v>0</v>
          </cell>
        </row>
        <row r="99">
          <cell r="A99" t="str">
            <v>Alishan Sales</v>
          </cell>
          <cell r="B99">
            <v>0</v>
          </cell>
        </row>
        <row r="100">
          <cell r="A100" t="str">
            <v>Allbags Sp. Z O.O.</v>
          </cell>
          <cell r="B100">
            <v>0</v>
          </cell>
        </row>
        <row r="101">
          <cell r="A101" t="str">
            <v>Allowance - Books &amp; Periodicals</v>
          </cell>
          <cell r="B101">
            <v>280230</v>
          </cell>
        </row>
        <row r="102">
          <cell r="A102" t="str">
            <v>Allowance - Canteen</v>
          </cell>
          <cell r="B102">
            <v>6179589.54</v>
          </cell>
        </row>
        <row r="103">
          <cell r="A103" t="str">
            <v>Allowance - Children Education &amp; Hostel</v>
          </cell>
          <cell r="B103">
            <v>290819</v>
          </cell>
        </row>
        <row r="104">
          <cell r="A104" t="str">
            <v>Allowance - Conveyance</v>
          </cell>
          <cell r="B104">
            <v>136811</v>
          </cell>
        </row>
        <row r="105">
          <cell r="A105" t="str">
            <v>Allowance - Driver &amp; Assistant</v>
          </cell>
          <cell r="B105">
            <v>98856</v>
          </cell>
        </row>
        <row r="106">
          <cell r="A106" t="str">
            <v>Allowance - House Rent</v>
          </cell>
          <cell r="B106">
            <v>11777600</v>
          </cell>
        </row>
        <row r="107">
          <cell r="A107" t="str">
            <v>Allowance - Leave Travels</v>
          </cell>
          <cell r="B107">
            <v>618919</v>
          </cell>
        </row>
        <row r="108">
          <cell r="A108" t="str">
            <v>Allowance - Medical</v>
          </cell>
          <cell r="B108">
            <v>222276</v>
          </cell>
        </row>
        <row r="109">
          <cell r="A109" t="str">
            <v>Allowance - Other</v>
          </cell>
          <cell r="B109">
            <v>548145</v>
          </cell>
        </row>
        <row r="110">
          <cell r="A110" t="str">
            <v>Allowance - Special</v>
          </cell>
          <cell r="B110">
            <v>2668242</v>
          </cell>
        </row>
        <row r="111">
          <cell r="A111" t="str">
            <v>Allowance - Transport</v>
          </cell>
          <cell r="B111">
            <v>374805</v>
          </cell>
        </row>
        <row r="112">
          <cell r="A112" t="str">
            <v>Allowance - Uniform / Attire</v>
          </cell>
          <cell r="B112">
            <v>748116</v>
          </cell>
        </row>
        <row r="113">
          <cell r="A113" t="str">
            <v>Allowance - Vehicle Maintenance</v>
          </cell>
          <cell r="B113">
            <v>165335</v>
          </cell>
        </row>
        <row r="114">
          <cell r="A114" t="str">
            <v>Allowance - Washing</v>
          </cell>
          <cell r="B114">
            <v>4136587.7</v>
          </cell>
        </row>
        <row r="115">
          <cell r="A115" t="str">
            <v>Alluminium Ladder</v>
          </cell>
          <cell r="B115">
            <v>35125</v>
          </cell>
        </row>
        <row r="116">
          <cell r="A116" t="str">
            <v>Alluminium Pipe &amp; Fitting</v>
          </cell>
          <cell r="B116">
            <v>28803342.73</v>
          </cell>
        </row>
        <row r="117">
          <cell r="A117" t="str">
            <v>Almatis  Alumina Private Limited</v>
          </cell>
          <cell r="B117">
            <v>1731786.45</v>
          </cell>
        </row>
        <row r="118">
          <cell r="A118" t="str">
            <v>Almonard P Limited Ahmedabad</v>
          </cell>
          <cell r="B118">
            <v>2078.34</v>
          </cell>
        </row>
        <row r="119">
          <cell r="A119" t="str">
            <v>Almonard Wall Fan Air Circ.-18"</v>
          </cell>
          <cell r="B119">
            <v>48483</v>
          </cell>
        </row>
        <row r="120">
          <cell r="A120" t="str">
            <v>Alok Master Batches Private Limited- Dadra</v>
          </cell>
          <cell r="B120">
            <v>-62153.14</v>
          </cell>
        </row>
        <row r="121">
          <cell r="A121" t="str">
            <v>Alok Master Batches Private Limited- Surangi</v>
          </cell>
          <cell r="B121">
            <v>-524903.72</v>
          </cell>
        </row>
        <row r="122">
          <cell r="A122" t="str">
            <v>Alpha Electricals</v>
          </cell>
          <cell r="B122">
            <v>-15249</v>
          </cell>
        </row>
        <row r="123">
          <cell r="A123" t="str">
            <v>Alpine Exports</v>
          </cell>
          <cell r="B123">
            <v>-954003</v>
          </cell>
        </row>
        <row r="124">
          <cell r="A124" t="str">
            <v>Alpine Fibc Pvt Ltd - Purchase</v>
          </cell>
          <cell r="B124">
            <v>0</v>
          </cell>
        </row>
        <row r="125">
          <cell r="A125" t="str">
            <v>Alpine Fibc Pvt Ltd - Sales</v>
          </cell>
          <cell r="B125">
            <v>0</v>
          </cell>
        </row>
        <row r="126">
          <cell r="A126" t="str">
            <v>Alps Polytex - Purchase</v>
          </cell>
          <cell r="B126">
            <v>0</v>
          </cell>
        </row>
        <row r="127">
          <cell r="A127" t="str">
            <v>Alteem Tech Pvt. Ltd.</v>
          </cell>
          <cell r="B127">
            <v>0.57999999999999996</v>
          </cell>
        </row>
        <row r="128">
          <cell r="A128" t="str">
            <v>Aman Parekh-Travel Advance</v>
          </cell>
          <cell r="B128">
            <v>0</v>
          </cell>
        </row>
        <row r="129">
          <cell r="A129" t="str">
            <v>Amatullah Enterprises</v>
          </cell>
          <cell r="B129">
            <v>0</v>
          </cell>
        </row>
        <row r="130">
          <cell r="A130" t="str">
            <v>Ambica Kirana Stores</v>
          </cell>
          <cell r="B130">
            <v>0</v>
          </cell>
        </row>
        <row r="131">
          <cell r="A131" t="str">
            <v>Ambica Plastic Industries 24AADFA5584EIZO</v>
          </cell>
          <cell r="B131">
            <v>-0.04</v>
          </cell>
        </row>
        <row r="132">
          <cell r="A132" t="str">
            <v>Ambica Sales</v>
          </cell>
          <cell r="B132">
            <v>0</v>
          </cell>
        </row>
        <row r="133">
          <cell r="A133" t="str">
            <v>Ambica Sales Corporation</v>
          </cell>
          <cell r="B133">
            <v>-0.06</v>
          </cell>
        </row>
        <row r="134">
          <cell r="A134" t="str">
            <v>Ambiflex S.R.O</v>
          </cell>
          <cell r="B134">
            <v>0</v>
          </cell>
        </row>
        <row r="135">
          <cell r="A135" t="str">
            <v>Ambika Petrochem Private Limited - Bengaluru</v>
          </cell>
          <cell r="B135">
            <v>13580345</v>
          </cell>
        </row>
        <row r="136">
          <cell r="A136" t="str">
            <v>Ambika Petrochem Private Limited - Mundra</v>
          </cell>
          <cell r="B136">
            <v>-4499</v>
          </cell>
        </row>
        <row r="137">
          <cell r="A137" t="str">
            <v>Ameriglobe LLC</v>
          </cell>
          <cell r="B137">
            <v>0</v>
          </cell>
        </row>
        <row r="138">
          <cell r="A138" t="str">
            <v>Ameriglobe LLC - Purchase</v>
          </cell>
          <cell r="B138">
            <v>0</v>
          </cell>
        </row>
        <row r="139">
          <cell r="A139" t="str">
            <v>Ameya Perfomatt Private Limited (Maharashtra)</v>
          </cell>
          <cell r="B139">
            <v>0</v>
          </cell>
        </row>
        <row r="140">
          <cell r="A140" t="str">
            <v>Amit Engineering</v>
          </cell>
          <cell r="B140">
            <v>-44781</v>
          </cell>
        </row>
        <row r="141">
          <cell r="A141" t="str">
            <v>Amtek Instruments Pvt Ltd</v>
          </cell>
          <cell r="B141">
            <v>0</v>
          </cell>
        </row>
        <row r="142">
          <cell r="A142" t="str">
            <v>An Thanh Bicsol Jsc</v>
          </cell>
          <cell r="B142">
            <v>0</v>
          </cell>
        </row>
        <row r="143">
          <cell r="A143" t="str">
            <v>An Thanh Bicsol Singapore Pte Ltd</v>
          </cell>
          <cell r="B143">
            <v>0</v>
          </cell>
        </row>
        <row r="144">
          <cell r="A144" t="str">
            <v>Anand Engineering Works</v>
          </cell>
          <cell r="B144">
            <v>0</v>
          </cell>
        </row>
        <row r="145">
          <cell r="A145" t="str">
            <v>Anand Hvac</v>
          </cell>
          <cell r="B145">
            <v>-231473</v>
          </cell>
        </row>
        <row r="146">
          <cell r="A146" t="str">
            <v>Anand Tradelink Pvt Ltd</v>
          </cell>
          <cell r="B146">
            <v>-2882</v>
          </cell>
        </row>
        <row r="147">
          <cell r="A147" t="str">
            <v>Anar Rubtech Pvt Ltd</v>
          </cell>
          <cell r="B147">
            <v>-95428.32</v>
          </cell>
        </row>
        <row r="148">
          <cell r="A148" t="str">
            <v>Anar Singh Rajput</v>
          </cell>
          <cell r="B148">
            <v>0</v>
          </cell>
        </row>
        <row r="149">
          <cell r="A149" t="str">
            <v>Anastassios Aronis</v>
          </cell>
          <cell r="B149">
            <v>0</v>
          </cell>
        </row>
        <row r="150">
          <cell r="A150" t="str">
            <v>Anil Enterprise-Gadag</v>
          </cell>
          <cell r="B150">
            <v>634270.35</v>
          </cell>
        </row>
        <row r="151">
          <cell r="A151" t="str">
            <v>Anil Goyal</v>
          </cell>
          <cell r="B151">
            <v>0</v>
          </cell>
        </row>
        <row r="152">
          <cell r="A152" t="str">
            <v>Ankit Telecom &amp; Electricals</v>
          </cell>
          <cell r="B152">
            <v>-2993.7</v>
          </cell>
        </row>
        <row r="153">
          <cell r="A153" t="str">
            <v>Ankur Chemfood Limited - Purchase</v>
          </cell>
          <cell r="B153">
            <v>-3900</v>
          </cell>
        </row>
        <row r="154">
          <cell r="A154" t="str">
            <v>Ankur Chemfood Ltd - Sales</v>
          </cell>
          <cell r="B154">
            <v>2567156.6800000002</v>
          </cell>
        </row>
        <row r="155">
          <cell r="A155" t="str">
            <v>Ansari Sahidhusen Tassawurhusen</v>
          </cell>
          <cell r="B155">
            <v>-3915</v>
          </cell>
        </row>
        <row r="156">
          <cell r="A156" t="str">
            <v>Anshita Trading Co.Pvt Ltd-Purchase</v>
          </cell>
          <cell r="B156">
            <v>-6859.72</v>
          </cell>
        </row>
        <row r="157">
          <cell r="A157" t="str">
            <v>Antarim Hotels Llp_24AAOFG7937L1ZR</v>
          </cell>
          <cell r="B157">
            <v>-6358.82</v>
          </cell>
        </row>
        <row r="158">
          <cell r="A158" t="str">
            <v>Anuj Shukla</v>
          </cell>
          <cell r="B158">
            <v>0</v>
          </cell>
        </row>
        <row r="159">
          <cell r="A159" t="str">
            <v>Anukampa Enterprise</v>
          </cell>
          <cell r="B159">
            <v>-23261</v>
          </cell>
        </row>
        <row r="160">
          <cell r="A160" t="str">
            <v>Anukumpa Enterprises</v>
          </cell>
          <cell r="B160">
            <v>-20111.169999999998</v>
          </cell>
        </row>
        <row r="161">
          <cell r="A161" t="str">
            <v>Anupriya Kumari</v>
          </cell>
          <cell r="B161">
            <v>0</v>
          </cell>
        </row>
        <row r="162">
          <cell r="A162" t="str">
            <v>Ap Enterprise</v>
          </cell>
          <cell r="B162">
            <v>-14491.4</v>
          </cell>
        </row>
        <row r="163">
          <cell r="A163" t="str">
            <v>Ap Trade Solutions</v>
          </cell>
          <cell r="B163">
            <v>-43500</v>
          </cell>
        </row>
        <row r="164">
          <cell r="A164" t="str">
            <v>Apex Electrocare Llp</v>
          </cell>
          <cell r="B164">
            <v>0</v>
          </cell>
        </row>
        <row r="165">
          <cell r="A165" t="str">
            <v>Appl Industries Limited, Gurugram</v>
          </cell>
          <cell r="B165">
            <v>-2750</v>
          </cell>
        </row>
        <row r="166">
          <cell r="A166" t="str">
            <v>Apple Automation And Sensor</v>
          </cell>
          <cell r="B166">
            <v>0</v>
          </cell>
        </row>
        <row r="167">
          <cell r="A167" t="str">
            <v>Aprirose Trading Limited (Dmcc Branch)</v>
          </cell>
          <cell r="B167">
            <v>-50936.49</v>
          </cell>
        </row>
        <row r="168">
          <cell r="A168" t="str">
            <v>Aptus Solutions</v>
          </cell>
          <cell r="B168">
            <v>20060</v>
          </cell>
        </row>
        <row r="169">
          <cell r="A169" t="str">
            <v>Aquasky Logistics Private Limited-23AAVCA7265M1ZZ</v>
          </cell>
          <cell r="B169">
            <v>0</v>
          </cell>
        </row>
        <row r="170">
          <cell r="A170" t="str">
            <v>Arabian Pipeline &amp; Services Co. Ltd (Anabeeb)</v>
          </cell>
          <cell r="B170">
            <v>511492.5</v>
          </cell>
        </row>
        <row r="171">
          <cell r="A171" t="str">
            <v>Aragats Perlite OJSC</v>
          </cell>
          <cell r="B171">
            <v>0</v>
          </cell>
        </row>
        <row r="172">
          <cell r="A172" t="str">
            <v>Arb Buildcon Pvt Ltd</v>
          </cell>
          <cell r="B172">
            <v>0</v>
          </cell>
        </row>
        <row r="173">
          <cell r="A173" t="str">
            <v>Argus Additive Plastics Gmbh</v>
          </cell>
          <cell r="B173">
            <v>-1525713</v>
          </cell>
        </row>
        <row r="174">
          <cell r="A174" t="str">
            <v>Ariah Global</v>
          </cell>
          <cell r="B174">
            <v>-153674</v>
          </cell>
        </row>
        <row r="175">
          <cell r="A175" t="str">
            <v>Aries Industries</v>
          </cell>
          <cell r="B175">
            <v>-8335</v>
          </cell>
        </row>
        <row r="176">
          <cell r="A176" t="str">
            <v>Arihant Electricals</v>
          </cell>
          <cell r="B176">
            <v>-18620</v>
          </cell>
        </row>
        <row r="177">
          <cell r="A177" t="str">
            <v>Arihant Engineers</v>
          </cell>
          <cell r="B177">
            <v>-0.4</v>
          </cell>
        </row>
        <row r="178">
          <cell r="A178" t="str">
            <v>Arihant Fire &amp; Safety Services</v>
          </cell>
          <cell r="B178">
            <v>-22873.5</v>
          </cell>
        </row>
        <row r="179">
          <cell r="A179" t="str">
            <v>Arihant Roadlines</v>
          </cell>
          <cell r="B179">
            <v>-28953</v>
          </cell>
        </row>
        <row r="180">
          <cell r="A180" t="str">
            <v>Arihant Toys</v>
          </cell>
          <cell r="B180">
            <v>615822.03</v>
          </cell>
        </row>
        <row r="181">
          <cell r="A181" t="str">
            <v>Aris Engineers</v>
          </cell>
          <cell r="B181">
            <v>-0.4</v>
          </cell>
        </row>
        <row r="182">
          <cell r="A182" t="str">
            <v>Ark Furniture Pvt Ltd</v>
          </cell>
          <cell r="B182">
            <v>-0.5</v>
          </cell>
        </row>
        <row r="183">
          <cell r="A183" t="str">
            <v>Armaan Security Services</v>
          </cell>
          <cell r="B183">
            <v>-58566</v>
          </cell>
        </row>
        <row r="184">
          <cell r="A184" t="str">
            <v>Armstrong</v>
          </cell>
          <cell r="B184">
            <v>-205244.91</v>
          </cell>
        </row>
        <row r="185">
          <cell r="A185" t="str">
            <v>Aroma Fabrics</v>
          </cell>
          <cell r="B185">
            <v>412.21</v>
          </cell>
        </row>
        <row r="186">
          <cell r="A186" t="str">
            <v>Arth Indane</v>
          </cell>
          <cell r="B186">
            <v>0</v>
          </cell>
        </row>
        <row r="187">
          <cell r="A187" t="str">
            <v>Artivo Gallery Llp</v>
          </cell>
          <cell r="B187">
            <v>0</v>
          </cell>
        </row>
        <row r="188">
          <cell r="A188" t="str">
            <v>Arvind Loonkad</v>
          </cell>
          <cell r="B188">
            <v>0</v>
          </cell>
        </row>
        <row r="189">
          <cell r="A189" t="str">
            <v>ArvindSinh Jagdishsinh Rao</v>
          </cell>
          <cell r="B189">
            <v>5007</v>
          </cell>
        </row>
        <row r="190">
          <cell r="A190" t="str">
            <v>Aryan Security Services</v>
          </cell>
          <cell r="B190">
            <v>-4138</v>
          </cell>
        </row>
        <row r="191">
          <cell r="A191" t="str">
            <v>Arysta Lifescience India Ltd</v>
          </cell>
          <cell r="B191">
            <v>0</v>
          </cell>
        </row>
        <row r="192">
          <cell r="A192" t="str">
            <v>Asahi Songwon Colors Ltd.- Sales</v>
          </cell>
          <cell r="B192">
            <v>0</v>
          </cell>
        </row>
        <row r="193">
          <cell r="A193" t="str">
            <v>Ascent Maritime Private Limited-Gujarat</v>
          </cell>
          <cell r="B193">
            <v>-1</v>
          </cell>
        </row>
        <row r="194">
          <cell r="A194" t="str">
            <v>Asco Italia Sas</v>
          </cell>
          <cell r="B194">
            <v>0</v>
          </cell>
        </row>
        <row r="195">
          <cell r="A195" t="str">
            <v>Ascom  Carbonate And Chemicals Manufacturing</v>
          </cell>
          <cell r="B195">
            <v>-3515.4</v>
          </cell>
        </row>
        <row r="196">
          <cell r="A196" t="str">
            <v>Asha Mica Traders</v>
          </cell>
          <cell r="B196">
            <v>0</v>
          </cell>
        </row>
        <row r="197">
          <cell r="A197" t="str">
            <v>Ashapura  Roadlines</v>
          </cell>
          <cell r="B197">
            <v>-60</v>
          </cell>
        </row>
        <row r="198">
          <cell r="A198" t="str">
            <v>Ashapura International Limited</v>
          </cell>
          <cell r="B198">
            <v>0</v>
          </cell>
        </row>
        <row r="199">
          <cell r="A199" t="str">
            <v>Ashapura Logistics Limited- 24AADCA4633M1ZP</v>
          </cell>
          <cell r="B199">
            <v>9771996.4700000007</v>
          </cell>
        </row>
        <row r="200">
          <cell r="A200" t="str">
            <v>Ashirvad Paper Solution</v>
          </cell>
          <cell r="B200">
            <v>-16168</v>
          </cell>
        </row>
        <row r="201">
          <cell r="A201" t="str">
            <v>Ashirwad Infocom</v>
          </cell>
          <cell r="B201">
            <v>4910.1000000000004</v>
          </cell>
        </row>
        <row r="202">
          <cell r="A202" t="str">
            <v>Ashok Raut</v>
          </cell>
          <cell r="B202">
            <v>0</v>
          </cell>
        </row>
        <row r="203">
          <cell r="A203" t="str">
            <v>Ashutosh Power Transbelts Ltd.</v>
          </cell>
          <cell r="B203">
            <v>-11812.8</v>
          </cell>
        </row>
        <row r="204">
          <cell r="A204" t="str">
            <v>Asia Bulk Sack Pvt Ltd - Sales</v>
          </cell>
          <cell r="B204">
            <v>3115200</v>
          </cell>
        </row>
        <row r="205">
          <cell r="A205" t="str">
            <v>Asia Poly Film Industries</v>
          </cell>
          <cell r="B205">
            <v>0</v>
          </cell>
        </row>
        <row r="206">
          <cell r="A206" t="str">
            <v>Asia Shipping Internationaltransport Private Ltd.</v>
          </cell>
          <cell r="B206">
            <v>0</v>
          </cell>
        </row>
        <row r="207">
          <cell r="A207" t="str">
            <v>Asian Marketing</v>
          </cell>
          <cell r="B207">
            <v>0</v>
          </cell>
        </row>
        <row r="208">
          <cell r="A208" t="str">
            <v>Asian Metal Industries</v>
          </cell>
          <cell r="B208">
            <v>-166783</v>
          </cell>
        </row>
        <row r="209">
          <cell r="A209" t="str">
            <v>Astha International</v>
          </cell>
          <cell r="B209">
            <v>0</v>
          </cell>
        </row>
        <row r="210">
          <cell r="A210" t="str">
            <v>Asva Corporation</v>
          </cell>
          <cell r="B210">
            <v>0</v>
          </cell>
        </row>
        <row r="211">
          <cell r="A211" t="str">
            <v>Atc Plywood</v>
          </cell>
          <cell r="B211">
            <v>-4929</v>
          </cell>
        </row>
        <row r="212">
          <cell r="A212" t="str">
            <v>Atlantic Air &amp; Ocean Freight Services Pvt Ltd - Mumbai</v>
          </cell>
          <cell r="B212">
            <v>0</v>
          </cell>
        </row>
        <row r="213">
          <cell r="A213" t="str">
            <v>Atlantis Products Pvt Ltd</v>
          </cell>
          <cell r="B213">
            <v>2602819</v>
          </cell>
        </row>
        <row r="214">
          <cell r="A214" t="str">
            <v>Atlantis Products Pvt Ltd - Aslali</v>
          </cell>
          <cell r="B214">
            <v>0</v>
          </cell>
        </row>
        <row r="215">
          <cell r="A215" t="str">
            <v>Atlantis Products Pvt Ltd - Purchase</v>
          </cell>
          <cell r="B215">
            <v>-2610842.41</v>
          </cell>
        </row>
        <row r="216">
          <cell r="A216" t="str">
            <v>Atria Convergence
Technologies Limited</v>
          </cell>
          <cell r="B216">
            <v>-22318.41</v>
          </cell>
        </row>
        <row r="217">
          <cell r="A217" t="str">
            <v>Att. Bonus (Salary Part)</v>
          </cell>
          <cell r="B217">
            <v>206600</v>
          </cell>
        </row>
        <row r="218">
          <cell r="A218" t="str">
            <v>Atulkumar B. Upadhyay</v>
          </cell>
          <cell r="B218">
            <v>25000</v>
          </cell>
        </row>
        <row r="219">
          <cell r="A219" t="str">
            <v>Audit Fees</v>
          </cell>
          <cell r="B219">
            <v>34720</v>
          </cell>
        </row>
        <row r="220">
          <cell r="A220" t="str">
            <v>August Technocrat</v>
          </cell>
          <cell r="B220">
            <v>0</v>
          </cell>
        </row>
        <row r="221">
          <cell r="A221" t="str">
            <v>Aum Enterprise</v>
          </cell>
          <cell r="B221">
            <v>-48467</v>
          </cell>
        </row>
        <row r="222">
          <cell r="A222" t="str">
            <v>Aum Polypack</v>
          </cell>
          <cell r="B222">
            <v>-448767</v>
          </cell>
        </row>
        <row r="223">
          <cell r="A223" t="str">
            <v>Auriga Office Equipment</v>
          </cell>
          <cell r="B223">
            <v>-21321</v>
          </cell>
        </row>
        <row r="224">
          <cell r="A224" t="str">
            <v>Auroma Geotex Pvt Ltd - Purchase</v>
          </cell>
          <cell r="B224">
            <v>-646757.66</v>
          </cell>
        </row>
        <row r="225">
          <cell r="A225" t="str">
            <v>Auroma Geotex Pvt Ltd - Sales</v>
          </cell>
          <cell r="B225">
            <v>0</v>
          </cell>
        </row>
        <row r="226">
          <cell r="A226" t="str">
            <v>Austrol Nonwoven</v>
          </cell>
          <cell r="B226">
            <v>674523</v>
          </cell>
        </row>
        <row r="227">
          <cell r="A227" t="str">
            <v>Auto Bag Cleaning Machine</v>
          </cell>
          <cell r="B227">
            <v>1370420</v>
          </cell>
        </row>
        <row r="228">
          <cell r="A228" t="str">
            <v>Auto Loop Sewing Machine Model No-PS-3055</v>
          </cell>
          <cell r="B228">
            <v>2088487.5</v>
          </cell>
        </row>
        <row r="229">
          <cell r="A229" t="str">
            <v>Auto Sewing Machine- Pbas 700C</v>
          </cell>
          <cell r="B229">
            <v>8052069.2000000002</v>
          </cell>
        </row>
        <row r="230">
          <cell r="A230" t="str">
            <v>Automatic  Bag Making M/C</v>
          </cell>
          <cell r="B230">
            <v>7102207</v>
          </cell>
        </row>
        <row r="231">
          <cell r="A231" t="str">
            <v>Automatic Woven Bags Machine(Imported)</v>
          </cell>
          <cell r="B231">
            <v>1446500</v>
          </cell>
        </row>
        <row r="232">
          <cell r="A232" t="str">
            <v>Automatic Wovensack Bag Cutting &amp; Sewing Machine</v>
          </cell>
          <cell r="B232">
            <v>1532460</v>
          </cell>
        </row>
        <row r="233">
          <cell r="A233" t="str">
            <v>Automation &amp; Engineering Services</v>
          </cell>
          <cell r="B233">
            <v>0</v>
          </cell>
        </row>
        <row r="234">
          <cell r="A234" t="str">
            <v>Avadh Manpower Solutions</v>
          </cell>
          <cell r="B234">
            <v>12228</v>
          </cell>
        </row>
        <row r="235">
          <cell r="A235" t="str">
            <v>Avee Electro Engineers</v>
          </cell>
          <cell r="B235">
            <v>-12117.1</v>
          </cell>
        </row>
        <row r="236">
          <cell r="A236" t="str">
            <v>Avh Polychem Private Limited- Gujarat</v>
          </cell>
          <cell r="B236">
            <v>0</v>
          </cell>
        </row>
        <row r="237">
          <cell r="A237" t="str">
            <v>Avient Materials India Private Limited- Gujarat</v>
          </cell>
          <cell r="B237">
            <v>-175997</v>
          </cell>
        </row>
        <row r="238">
          <cell r="A238" t="str">
            <v>Avin Enterprise</v>
          </cell>
          <cell r="B238">
            <v>-1746</v>
          </cell>
        </row>
        <row r="239">
          <cell r="A239" t="str">
            <v>Axle Steel &amp; Fasteners</v>
          </cell>
          <cell r="B239">
            <v>-43507</v>
          </cell>
        </row>
        <row r="240">
          <cell r="A240" t="str">
            <v>Axxon Polymers Trading LLC</v>
          </cell>
          <cell r="B240">
            <v>0</v>
          </cell>
        </row>
        <row r="241">
          <cell r="A241" t="str">
            <v>Ayush Enterprise</v>
          </cell>
          <cell r="B241">
            <v>332801</v>
          </cell>
        </row>
        <row r="242">
          <cell r="A242" t="str">
            <v>B &amp; R Industrial Automation Pvt Ltd</v>
          </cell>
          <cell r="B242">
            <v>0</v>
          </cell>
        </row>
        <row r="243">
          <cell r="A243" t="str">
            <v>B.C.Saraiya &amp; Co</v>
          </cell>
          <cell r="B243">
            <v>-11033</v>
          </cell>
        </row>
        <row r="244">
          <cell r="A244" t="str">
            <v>B.K. Roadways</v>
          </cell>
          <cell r="B244">
            <v>-4000</v>
          </cell>
        </row>
        <row r="245">
          <cell r="A245" t="str">
            <v>Back Seam Woven Sack Bag Machine-GIYZ 1300</v>
          </cell>
          <cell r="B245">
            <v>12028170.539999999</v>
          </cell>
        </row>
        <row r="246">
          <cell r="A246" t="str">
            <v>Bag Making Machine.(Multi)</v>
          </cell>
          <cell r="B246">
            <v>40576326.600000001</v>
          </cell>
        </row>
        <row r="247">
          <cell r="A247" t="str">
            <v>Bajaj Allianz General Insurance Company Ltd.</v>
          </cell>
          <cell r="B247">
            <v>6</v>
          </cell>
        </row>
        <row r="248">
          <cell r="A248" t="str">
            <v>Bajrang Protection And Allied Services Pvt.Ltd</v>
          </cell>
          <cell r="B248">
            <v>0</v>
          </cell>
        </row>
        <row r="249">
          <cell r="A249" t="str">
            <v>Bajrang Traders</v>
          </cell>
          <cell r="B249">
            <v>0</v>
          </cell>
        </row>
        <row r="250">
          <cell r="A250" t="str">
            <v>Balaji Propack</v>
          </cell>
          <cell r="B250">
            <v>0</v>
          </cell>
        </row>
        <row r="251">
          <cell r="A251" t="str">
            <v>Balance Written Back Income</v>
          </cell>
          <cell r="B251">
            <v>-1472406.48</v>
          </cell>
        </row>
        <row r="252">
          <cell r="A252" t="str">
            <v>Balance Written Off Expense</v>
          </cell>
          <cell r="B252">
            <v>-200388.76</v>
          </cell>
        </row>
        <row r="253">
          <cell r="A253" t="str">
            <v>Balcon Enterprises Inc.</v>
          </cell>
          <cell r="B253">
            <v>0.01</v>
          </cell>
        </row>
        <row r="254">
          <cell r="A254" t="str">
            <v>Baldevbhai Nagjibhai Prajapati</v>
          </cell>
          <cell r="B254">
            <v>0</v>
          </cell>
        </row>
        <row r="255">
          <cell r="A255" t="str">
            <v>Bandshow Machine A/C</v>
          </cell>
          <cell r="B255">
            <v>56302</v>
          </cell>
        </row>
        <row r="256">
          <cell r="A256" t="str">
            <v>Bank CA BOB 25380200000233</v>
          </cell>
          <cell r="B256">
            <v>0</v>
          </cell>
        </row>
        <row r="257">
          <cell r="A257" t="str">
            <v>Bank CA BOB 26160200000044</v>
          </cell>
          <cell r="B257">
            <v>0</v>
          </cell>
        </row>
        <row r="258">
          <cell r="A258" t="str">
            <v>Bank CA BOB 26160500000026</v>
          </cell>
          <cell r="B258">
            <v>-2335459.13</v>
          </cell>
        </row>
        <row r="259">
          <cell r="A259" t="str">
            <v>Bank CA HDFC 60330005840</v>
          </cell>
          <cell r="B259">
            <v>0</v>
          </cell>
        </row>
        <row r="260">
          <cell r="A260" t="str">
            <v>Bank CA HDFC 60330005874</v>
          </cell>
          <cell r="B260">
            <v>0</v>
          </cell>
        </row>
        <row r="261">
          <cell r="A261" t="str">
            <v>Bank CA SBI 31342060288</v>
          </cell>
          <cell r="B261">
            <v>0</v>
          </cell>
        </row>
        <row r="262">
          <cell r="A262" t="str">
            <v>Bank CA SBI 32649405107</v>
          </cell>
          <cell r="B262">
            <v>0</v>
          </cell>
        </row>
        <row r="263">
          <cell r="A263" t="str">
            <v>Bank CA SBI 37713587096</v>
          </cell>
          <cell r="B263">
            <v>0</v>
          </cell>
        </row>
        <row r="264">
          <cell r="A264" t="str">
            <v>Bank CA SBI EEFC USD 40471492269</v>
          </cell>
          <cell r="B264">
            <v>4561379.51</v>
          </cell>
        </row>
        <row r="265">
          <cell r="A265" t="str">
            <v>Bank CA SCB 23305127882</v>
          </cell>
          <cell r="B265">
            <v>8263.9599999999991</v>
          </cell>
        </row>
        <row r="266">
          <cell r="A266" t="str">
            <v>Bank CA SCB 23305216958</v>
          </cell>
          <cell r="B266">
            <v>0</v>
          </cell>
        </row>
        <row r="267">
          <cell r="A267" t="str">
            <v>Bank CA SCB 23391238420</v>
          </cell>
          <cell r="B267">
            <v>152580.84</v>
          </cell>
        </row>
        <row r="268">
          <cell r="A268" t="str">
            <v>Bank Cash Credit BOB 25380500000128</v>
          </cell>
          <cell r="B268">
            <v>12124.5</v>
          </cell>
        </row>
        <row r="269">
          <cell r="A269" t="str">
            <v>Bank Cash Credit Canara Bank 125009101288</v>
          </cell>
          <cell r="B269">
            <v>-40351.68</v>
          </cell>
        </row>
        <row r="270">
          <cell r="A270" t="str">
            <v>Bank Cash Credit Indian Bank 8049829692</v>
          </cell>
          <cell r="B270">
            <v>-196317722</v>
          </cell>
        </row>
        <row r="271">
          <cell r="A271" t="str">
            <v>Bank Cash Credit INDUSIND 650001188162</v>
          </cell>
          <cell r="B271">
            <v>0</v>
          </cell>
        </row>
        <row r="272">
          <cell r="A272" t="str">
            <v>Bank Cash Credit SBI 66000073295</v>
          </cell>
          <cell r="B272">
            <v>-180709321.94999999</v>
          </cell>
        </row>
        <row r="273">
          <cell r="A273" t="str">
            <v>Bank Charges -  Export Collection</v>
          </cell>
          <cell r="B273">
            <v>1930383.82</v>
          </cell>
        </row>
        <row r="274">
          <cell r="A274" t="str">
            <v>Bank Charges - Import</v>
          </cell>
          <cell r="B274">
            <v>138768.65</v>
          </cell>
        </row>
        <row r="275">
          <cell r="A275" t="str">
            <v>Bank Charges - LC</v>
          </cell>
          <cell r="B275">
            <v>353080.04</v>
          </cell>
        </row>
        <row r="276">
          <cell r="A276" t="str">
            <v>Bank Charges - Postage &amp; Swift</v>
          </cell>
          <cell r="B276">
            <v>24574</v>
          </cell>
        </row>
        <row r="277">
          <cell r="A277" t="str">
            <v>Bank Charges - Processing Fees</v>
          </cell>
          <cell r="B277">
            <v>575250</v>
          </cell>
        </row>
        <row r="278">
          <cell r="A278" t="str">
            <v>Bank Charges- Others</v>
          </cell>
          <cell r="B278">
            <v>1175623.1399999999</v>
          </cell>
        </row>
        <row r="279">
          <cell r="A279" t="str">
            <v>Bank EDFS BOB 03240400000455</v>
          </cell>
          <cell r="B279">
            <v>0</v>
          </cell>
        </row>
        <row r="280">
          <cell r="A280" t="str">
            <v>Bank EDFS SBI 32788207569</v>
          </cell>
          <cell r="B280">
            <v>0</v>
          </cell>
        </row>
        <row r="281">
          <cell r="A281" t="str">
            <v>Bank EDFS TATA HB3216IOC0020</v>
          </cell>
          <cell r="B281">
            <v>0.75</v>
          </cell>
        </row>
        <row r="282">
          <cell r="A282" t="str">
            <v>Bank EEFC SCB 23305153697</v>
          </cell>
          <cell r="B282">
            <v>0</v>
          </cell>
        </row>
        <row r="283">
          <cell r="A283" t="str">
            <v>Bank EPC BOB 25380700000034</v>
          </cell>
          <cell r="B283">
            <v>-285771213.05000001</v>
          </cell>
        </row>
        <row r="284">
          <cell r="A284" t="str">
            <v>Bank EPC Canara Bank</v>
          </cell>
          <cell r="B284">
            <v>-95000000</v>
          </cell>
        </row>
        <row r="285">
          <cell r="A285" t="str">
            <v>Bank EPC SBI 36741261522</v>
          </cell>
          <cell r="B285">
            <v>0</v>
          </cell>
        </row>
        <row r="286">
          <cell r="A286" t="str">
            <v>Bank EPC SBI 40448753388</v>
          </cell>
          <cell r="B286">
            <v>50000.82</v>
          </cell>
        </row>
        <row r="287">
          <cell r="A287" t="str">
            <v>Bank EPC SCB</v>
          </cell>
          <cell r="B287">
            <v>0</v>
          </cell>
        </row>
        <row r="288">
          <cell r="A288" t="str">
            <v>Bank ESCROW SBI 36996709856</v>
          </cell>
          <cell r="B288">
            <v>0</v>
          </cell>
        </row>
        <row r="289">
          <cell r="A289" t="str">
            <v>Bank FDR BOB 03240300032879</v>
          </cell>
          <cell r="B289">
            <v>6926298</v>
          </cell>
        </row>
        <row r="290">
          <cell r="A290" t="str">
            <v>Bank FDR BOB 03240300037151</v>
          </cell>
          <cell r="B290">
            <v>2818283</v>
          </cell>
        </row>
        <row r="291">
          <cell r="A291" t="str">
            <v>Bank FDR BOB 25380300003960</v>
          </cell>
          <cell r="B291">
            <v>463324</v>
          </cell>
        </row>
        <row r="292">
          <cell r="A292" t="str">
            <v>Bank FDR Bob 3003263906</v>
          </cell>
          <cell r="B292">
            <v>0</v>
          </cell>
        </row>
        <row r="293">
          <cell r="A293" t="str">
            <v>Bank FDR BOB 73280300000509</v>
          </cell>
          <cell r="B293">
            <v>948613</v>
          </cell>
        </row>
        <row r="294">
          <cell r="A294" t="str">
            <v>Bank FDR BOB 73280300000618</v>
          </cell>
          <cell r="B294">
            <v>1256424</v>
          </cell>
        </row>
        <row r="295">
          <cell r="A295" t="str">
            <v>Bank Fdr Indian Bank 0965285</v>
          </cell>
          <cell r="B295">
            <v>3200000</v>
          </cell>
        </row>
        <row r="296">
          <cell r="A296" t="str">
            <v>Bank Fdr Indian Bank 0965286</v>
          </cell>
          <cell r="B296">
            <v>0</v>
          </cell>
        </row>
        <row r="297">
          <cell r="A297" t="str">
            <v>Bank FDR SBI 40514841895</v>
          </cell>
          <cell r="B297">
            <v>547855</v>
          </cell>
        </row>
        <row r="298">
          <cell r="A298" t="str">
            <v>Bank FDR SBI 41644356744</v>
          </cell>
          <cell r="B298">
            <v>1592285</v>
          </cell>
        </row>
        <row r="299">
          <cell r="A299" t="str">
            <v>Bank FDR SBI 41644425993</v>
          </cell>
          <cell r="B299">
            <v>960335</v>
          </cell>
        </row>
        <row r="300">
          <cell r="A300" t="str">
            <v>Bank FDR SBI 42199704020</v>
          </cell>
          <cell r="B300">
            <v>1912884</v>
          </cell>
        </row>
        <row r="301">
          <cell r="A301" t="str">
            <v>Bank FDR SBI 42660242561</v>
          </cell>
          <cell r="B301">
            <v>531361</v>
          </cell>
        </row>
        <row r="302">
          <cell r="A302" t="str">
            <v>Bank FDR SBI 42994387131</v>
          </cell>
          <cell r="B302">
            <v>3080143</v>
          </cell>
        </row>
        <row r="303">
          <cell r="A303" t="str">
            <v>Bank FDR SBI 67272203912</v>
          </cell>
          <cell r="B303">
            <v>767967</v>
          </cell>
        </row>
        <row r="304">
          <cell r="A304" t="str">
            <v>Bank FDR SCB 22232854552</v>
          </cell>
          <cell r="B304">
            <v>0</v>
          </cell>
        </row>
        <row r="305">
          <cell r="A305" t="str">
            <v>Bank FDR SCB 22232914555</v>
          </cell>
          <cell r="B305">
            <v>0</v>
          </cell>
        </row>
        <row r="306">
          <cell r="A306" t="str">
            <v>Bank FDR SCB 22239079724</v>
          </cell>
          <cell r="B306">
            <v>0</v>
          </cell>
        </row>
        <row r="307">
          <cell r="A307" t="str">
            <v>Bank FDR SIDBI GDMFD02500</v>
          </cell>
          <cell r="B307">
            <v>20037387</v>
          </cell>
        </row>
        <row r="308">
          <cell r="A308" t="str">
            <v>Bank Of Baroda - 24AAACB1534F2ZB</v>
          </cell>
          <cell r="B308">
            <v>-872148.65</v>
          </cell>
        </row>
        <row r="309">
          <cell r="A309" t="str">
            <v>Bank Of Baroda - 27AAACB1534F2Z5</v>
          </cell>
          <cell r="B309">
            <v>-9127.2999999999993</v>
          </cell>
        </row>
        <row r="310">
          <cell r="A310" t="str">
            <v>Bank Overdraft BOB 03240400000456</v>
          </cell>
          <cell r="B310">
            <v>-295244034.29000002</v>
          </cell>
        </row>
        <row r="311">
          <cell r="A311" t="str">
            <v>Bank PCFC - Standard Chartered Bank</v>
          </cell>
          <cell r="B311">
            <v>0</v>
          </cell>
        </row>
        <row r="312">
          <cell r="A312" t="str">
            <v>Bank PCFC BOB - EURO</v>
          </cell>
          <cell r="B312">
            <v>0</v>
          </cell>
        </row>
        <row r="313">
          <cell r="A313" t="str">
            <v>Bank PCFC BOB-25380700000040- USD</v>
          </cell>
          <cell r="B313">
            <v>5.93</v>
          </cell>
        </row>
        <row r="314">
          <cell r="A314" t="str">
            <v>Bank PCFC SBI - EURO</v>
          </cell>
          <cell r="B314">
            <v>0</v>
          </cell>
        </row>
        <row r="315">
          <cell r="A315" t="str">
            <v>Bank PCFC SBI - USD</v>
          </cell>
          <cell r="B315">
            <v>0</v>
          </cell>
        </row>
        <row r="316">
          <cell r="A316" t="str">
            <v>Bank PCFC SBI 31718812533</v>
          </cell>
          <cell r="B316">
            <v>0</v>
          </cell>
        </row>
        <row r="317">
          <cell r="A317" t="str">
            <v>Bank Term Loan Bank Of Maharashtra 60410654531</v>
          </cell>
          <cell r="B317">
            <v>-16883589.539999999</v>
          </cell>
        </row>
        <row r="318">
          <cell r="A318" t="str">
            <v>Bank Term Loan BOB 25380600000508</v>
          </cell>
          <cell r="B318">
            <v>0</v>
          </cell>
        </row>
        <row r="319">
          <cell r="A319" t="str">
            <v>Bank Term Loan BOB Covid 25380600000495</v>
          </cell>
          <cell r="B319">
            <v>0</v>
          </cell>
        </row>
        <row r="320">
          <cell r="A320" t="str">
            <v>Bank Term Loan BOB Covid Ac No.73280600000042</v>
          </cell>
          <cell r="B320">
            <v>-20250003</v>
          </cell>
        </row>
        <row r="321">
          <cell r="A321" t="str">
            <v>Bank Term Loan BOB Covid Ac No.73280600000043</v>
          </cell>
          <cell r="B321">
            <v>-40450018</v>
          </cell>
        </row>
        <row r="322">
          <cell r="A322" t="str">
            <v>Bank Term loan EXIM HOLTWUSD00000082</v>
          </cell>
          <cell r="B322">
            <v>0</v>
          </cell>
        </row>
        <row r="323">
          <cell r="A323" t="str">
            <v>Bank Term loan SBI 35691930416</v>
          </cell>
          <cell r="B323">
            <v>0</v>
          </cell>
        </row>
        <row r="324">
          <cell r="A324" t="str">
            <v>Bank Term loan SBI 39206966041</v>
          </cell>
          <cell r="B324">
            <v>0</v>
          </cell>
        </row>
        <row r="325">
          <cell r="A325" t="str">
            <v>Bank Term loan SBI 39207046578</v>
          </cell>
          <cell r="B325">
            <v>0</v>
          </cell>
        </row>
        <row r="326">
          <cell r="A326" t="str">
            <v>Bank Term Loan SBI 39534817494</v>
          </cell>
          <cell r="B326">
            <v>0</v>
          </cell>
        </row>
        <row r="327">
          <cell r="A327" t="str">
            <v>Bank Term Loan SBI 39534833073</v>
          </cell>
          <cell r="B327">
            <v>0</v>
          </cell>
        </row>
        <row r="328">
          <cell r="A328" t="str">
            <v>Bank Term Loan SBI 62491222818</v>
          </cell>
          <cell r="B328">
            <v>0</v>
          </cell>
        </row>
        <row r="329">
          <cell r="A329" t="str">
            <v>Bank Term Loan SBI 64194706663</v>
          </cell>
          <cell r="B329">
            <v>0</v>
          </cell>
        </row>
        <row r="330">
          <cell r="A330" t="str">
            <v>Bank Term Loan SBI Covid Ac No.40028122226</v>
          </cell>
          <cell r="B330">
            <v>0</v>
          </cell>
        </row>
        <row r="331">
          <cell r="A331" t="str">
            <v>Bank Term Loan SBI Covid Ac No.40939817790</v>
          </cell>
          <cell r="B331">
            <v>0</v>
          </cell>
        </row>
        <row r="332">
          <cell r="A332" t="str">
            <v>Bank Term Loan SBI FITL-Covid 19 No.39609939203</v>
          </cell>
          <cell r="B332">
            <v>0</v>
          </cell>
        </row>
        <row r="333">
          <cell r="A333" t="str">
            <v>Bank Term Loan Sidbi A/C No : D0005bm7</v>
          </cell>
          <cell r="B333">
            <v>-27808000</v>
          </cell>
        </row>
        <row r="334">
          <cell r="A334" t="str">
            <v>Bank Term Loan Tata Cap 6263338 - 15 Cr</v>
          </cell>
          <cell r="B334">
            <v>-31661330</v>
          </cell>
        </row>
        <row r="335">
          <cell r="A335" t="str">
            <v>Bank WCDL Indusind 519003567774</v>
          </cell>
          <cell r="B335">
            <v>0</v>
          </cell>
        </row>
        <row r="336">
          <cell r="A336" t="str">
            <v>Banner Engineering India Pvt Ltd</v>
          </cell>
          <cell r="B336">
            <v>0</v>
          </cell>
        </row>
        <row r="337">
          <cell r="A337" t="str">
            <v>Banwari Phoolchand Gupta</v>
          </cell>
          <cell r="B337">
            <v>0</v>
          </cell>
        </row>
        <row r="338">
          <cell r="A338" t="str">
            <v>Banwarilal S Chauhan</v>
          </cell>
          <cell r="B338">
            <v>-51439</v>
          </cell>
        </row>
        <row r="339">
          <cell r="A339" t="str">
            <v>Barell &amp; Carret</v>
          </cell>
          <cell r="B339">
            <v>430512</v>
          </cell>
        </row>
        <row r="340">
          <cell r="A340" t="str">
            <v>Basell International Trading Fze</v>
          </cell>
          <cell r="B340">
            <v>-41654.32</v>
          </cell>
        </row>
        <row r="341">
          <cell r="A341" t="str">
            <v>Baviskar Sales &amp; Service</v>
          </cell>
          <cell r="B341">
            <v>-0.2</v>
          </cell>
        </row>
        <row r="342">
          <cell r="A342" t="str">
            <v>Bdp Ugl Global Logistics (India) Pvt Ltd</v>
          </cell>
          <cell r="B342">
            <v>0</v>
          </cell>
        </row>
        <row r="343">
          <cell r="A343" t="str">
            <v>Beamer Leesona (Head)</v>
          </cell>
          <cell r="B343">
            <v>1061735</v>
          </cell>
        </row>
        <row r="344">
          <cell r="A344" t="str">
            <v>Belt Cutting Machine</v>
          </cell>
          <cell r="B344">
            <v>1358580</v>
          </cell>
        </row>
        <row r="345">
          <cell r="A345" t="str">
            <v>Belt Die</v>
          </cell>
          <cell r="B345">
            <v>16200</v>
          </cell>
        </row>
        <row r="346">
          <cell r="A346" t="str">
            <v>Beta Computronics Pvt Ltd</v>
          </cell>
          <cell r="B346">
            <v>-19494</v>
          </cell>
        </row>
        <row r="347">
          <cell r="A347" t="str">
            <v>Bhagvati Electrical</v>
          </cell>
          <cell r="B347">
            <v>0</v>
          </cell>
        </row>
        <row r="348">
          <cell r="A348" t="str">
            <v>Bhagwati  Impex</v>
          </cell>
          <cell r="B348">
            <v>-452682</v>
          </cell>
        </row>
        <row r="349">
          <cell r="A349" t="str">
            <v>Bhagwati Sales Agencies</v>
          </cell>
          <cell r="B349">
            <v>-25583</v>
          </cell>
        </row>
        <row r="350">
          <cell r="A350" t="str">
            <v>Bhalchandra Traders</v>
          </cell>
          <cell r="B350">
            <v>0</v>
          </cell>
        </row>
        <row r="351">
          <cell r="A351" t="str">
            <v>Bhanu Pv Solar Pvt Ltd</v>
          </cell>
          <cell r="B351">
            <v>29160079.879999999</v>
          </cell>
        </row>
        <row r="352">
          <cell r="A352" t="str">
            <v>Bharat Sanchar Nigam Limited</v>
          </cell>
          <cell r="B352">
            <v>1553.54</v>
          </cell>
        </row>
        <row r="353">
          <cell r="A353" t="str">
            <v>Bharti Airtel Limited</v>
          </cell>
          <cell r="B353">
            <v>0.83</v>
          </cell>
        </row>
        <row r="354">
          <cell r="A354" t="str">
            <v>Bhavani International</v>
          </cell>
          <cell r="B354">
            <v>0</v>
          </cell>
        </row>
        <row r="355">
          <cell r="A355" t="str">
            <v>Bhavesh Jain</v>
          </cell>
          <cell r="B355">
            <v>0</v>
          </cell>
        </row>
        <row r="356">
          <cell r="A356" t="str">
            <v>Bheem Sen</v>
          </cell>
          <cell r="B356">
            <v>40000</v>
          </cell>
        </row>
        <row r="357">
          <cell r="A357" t="str">
            <v>Bhopal Fund Deposit A/c</v>
          </cell>
          <cell r="B357">
            <v>112000</v>
          </cell>
        </row>
        <row r="358">
          <cell r="A358" t="str">
            <v>Bhudeva Polymers Private Ltd- Customer</v>
          </cell>
          <cell r="B358">
            <v>15739078</v>
          </cell>
        </row>
        <row r="359">
          <cell r="A359" t="str">
            <v>Bhumi Chem (India)</v>
          </cell>
          <cell r="B359">
            <v>0</v>
          </cell>
        </row>
        <row r="360">
          <cell r="A360" t="str">
            <v>Bhumi Corporation</v>
          </cell>
          <cell r="B360">
            <v>-105350</v>
          </cell>
        </row>
        <row r="361">
          <cell r="A361" t="str">
            <v>Bhushn Kumar</v>
          </cell>
          <cell r="B361">
            <v>99999.5</v>
          </cell>
        </row>
        <row r="362">
          <cell r="A362" t="str">
            <v>Big Bag Essentials</v>
          </cell>
          <cell r="B362">
            <v>0</v>
          </cell>
        </row>
        <row r="363">
          <cell r="A363" t="str">
            <v>Big Bags Disaka S.L.</v>
          </cell>
          <cell r="B363">
            <v>-16124.36</v>
          </cell>
        </row>
        <row r="364">
          <cell r="A364" t="str">
            <v>Bill Of Exchange - M1 Exchange</v>
          </cell>
          <cell r="B364">
            <v>-26898464.030000001</v>
          </cell>
        </row>
        <row r="365">
          <cell r="A365" t="str">
            <v>Bill of Exchange-SBI</v>
          </cell>
          <cell r="B365">
            <v>-59928274.990000002</v>
          </cell>
        </row>
        <row r="366">
          <cell r="A366" t="str">
            <v>Bill of Exchange-SCB</v>
          </cell>
          <cell r="B366">
            <v>0</v>
          </cell>
        </row>
        <row r="367">
          <cell r="A367" t="str">
            <v>Bineet Kumar Mishra -Impress  A/C</v>
          </cell>
          <cell r="B367">
            <v>4000</v>
          </cell>
        </row>
        <row r="368">
          <cell r="A368" t="str">
            <v>Bio X</v>
          </cell>
          <cell r="B368">
            <v>0.2</v>
          </cell>
        </row>
        <row r="369">
          <cell r="A369" t="str">
            <v>Bison Logistics-09Abcfb2357e1zp</v>
          </cell>
          <cell r="B369">
            <v>0</v>
          </cell>
        </row>
        <row r="370">
          <cell r="A370" t="str">
            <v>Biswanath Sarkar - Traveling Advance</v>
          </cell>
          <cell r="B370">
            <v>4604</v>
          </cell>
        </row>
        <row r="371">
          <cell r="A371" t="str">
            <v>Blackstone Shipping Private Limited - Gujarat</v>
          </cell>
          <cell r="B371">
            <v>0</v>
          </cell>
        </row>
        <row r="372">
          <cell r="A372" t="str">
            <v>Blackstone Shipping Private Limited - Maharashtra</v>
          </cell>
          <cell r="B372">
            <v>12</v>
          </cell>
        </row>
        <row r="373">
          <cell r="A373" t="str">
            <v>Blaze Net Ltd.</v>
          </cell>
          <cell r="B373">
            <v>-6376</v>
          </cell>
        </row>
        <row r="374">
          <cell r="A374" t="str">
            <v>Bloflex Surgical Industries</v>
          </cell>
          <cell r="B374">
            <v>-60291</v>
          </cell>
        </row>
        <row r="375">
          <cell r="A375" t="str">
            <v>Blower Machine</v>
          </cell>
          <cell r="B375">
            <v>69758</v>
          </cell>
        </row>
        <row r="376">
          <cell r="A376" t="str">
            <v>Blower Machine-1X-1150</v>
          </cell>
          <cell r="B376">
            <v>54817</v>
          </cell>
        </row>
        <row r="377">
          <cell r="A377" t="str">
            <v>Bluemoon Logistics Pvt Ltd - Gujarat</v>
          </cell>
          <cell r="B377">
            <v>-27482</v>
          </cell>
        </row>
        <row r="378">
          <cell r="A378" t="str">
            <v>Bluepack A/S</v>
          </cell>
          <cell r="B378">
            <v>0.01</v>
          </cell>
        </row>
        <row r="379">
          <cell r="A379" t="str">
            <v>Bluepack ApS</v>
          </cell>
          <cell r="B379">
            <v>0</v>
          </cell>
        </row>
        <row r="380">
          <cell r="A380" t="str">
            <v>Bmw 320Ld Sedan</v>
          </cell>
          <cell r="B380">
            <v>5673027</v>
          </cell>
        </row>
        <row r="381">
          <cell r="A381" t="str">
            <v>Bmw Car Loan Indian Bank -7990123376</v>
          </cell>
          <cell r="B381">
            <v>-4071812</v>
          </cell>
        </row>
        <row r="382">
          <cell r="A382" t="str">
            <v>BOB BECLGS Loan 73280600000193</v>
          </cell>
          <cell r="B382">
            <v>-73672468</v>
          </cell>
        </row>
        <row r="383">
          <cell r="A383" t="str">
            <v>Bobbin Cutting Machine</v>
          </cell>
          <cell r="B383">
            <v>469118</v>
          </cell>
        </row>
        <row r="384">
          <cell r="A384" t="str">
            <v>Bobbin Rack</v>
          </cell>
          <cell r="B384">
            <v>420328.8</v>
          </cell>
        </row>
        <row r="385">
          <cell r="A385" t="str">
            <v>Boiler</v>
          </cell>
          <cell r="B385">
            <v>3215109</v>
          </cell>
        </row>
        <row r="386">
          <cell r="A386" t="str">
            <v>Bolpamur, S.L.</v>
          </cell>
          <cell r="B386">
            <v>0</v>
          </cell>
        </row>
        <row r="387">
          <cell r="A387" t="str">
            <v>Bom Term Loan A/C 73280600000174</v>
          </cell>
          <cell r="B387">
            <v>-60362860</v>
          </cell>
        </row>
        <row r="388">
          <cell r="A388" t="str">
            <v>Bombay Fire Safety</v>
          </cell>
          <cell r="B388">
            <v>-10383</v>
          </cell>
        </row>
        <row r="389">
          <cell r="A389" t="str">
            <v>Bonus Expense</v>
          </cell>
          <cell r="B389">
            <v>441202</v>
          </cell>
        </row>
        <row r="390">
          <cell r="A390" t="str">
            <v>Bonus Payable</v>
          </cell>
          <cell r="B390">
            <v>-3398669</v>
          </cell>
        </row>
        <row r="391">
          <cell r="A391" t="str">
            <v>Bonus Plastics Private Limited - Purchase</v>
          </cell>
          <cell r="B391">
            <v>0</v>
          </cell>
        </row>
        <row r="392">
          <cell r="A392" t="str">
            <v>Borouge Pte Ltd</v>
          </cell>
          <cell r="B392">
            <v>0</v>
          </cell>
        </row>
        <row r="393">
          <cell r="A393" t="str">
            <v>Box Strapping Machine</v>
          </cell>
          <cell r="B393">
            <v>31200</v>
          </cell>
        </row>
        <row r="394">
          <cell r="A394" t="str">
            <v>BP Lubricants Pvt Ltd</v>
          </cell>
          <cell r="B394">
            <v>-1260806</v>
          </cell>
        </row>
        <row r="395">
          <cell r="A395" t="str">
            <v>Brahmani Enterprise - 24AQGPG7763G1ZS</v>
          </cell>
          <cell r="B395">
            <v>0</v>
          </cell>
        </row>
        <row r="396">
          <cell r="A396" t="str">
            <v>Brahmani Graphics</v>
          </cell>
          <cell r="B396">
            <v>-353006.01</v>
          </cell>
        </row>
        <row r="397">
          <cell r="A397" t="str">
            <v>Brahmani Labels</v>
          </cell>
          <cell r="B397">
            <v>-435227.01</v>
          </cell>
        </row>
        <row r="398">
          <cell r="A398" t="str">
            <v>Brahmani Printers</v>
          </cell>
          <cell r="B398">
            <v>-219712.8</v>
          </cell>
        </row>
        <row r="399">
          <cell r="A399" t="str">
            <v>Branch Transfer In - Packing Material</v>
          </cell>
          <cell r="B399">
            <v>101712</v>
          </cell>
        </row>
        <row r="400">
          <cell r="A400" t="str">
            <v>Branch Transfer In - Raw Material</v>
          </cell>
          <cell r="B400">
            <v>131934901.8</v>
          </cell>
        </row>
        <row r="401">
          <cell r="A401" t="str">
            <v>Branch Transfer In - Stores, Spares &amp; Consumable</v>
          </cell>
          <cell r="B401">
            <v>52930.32</v>
          </cell>
        </row>
        <row r="402">
          <cell r="A402" t="str">
            <v>Branch Transfer In - Trading</v>
          </cell>
          <cell r="B402">
            <v>57596</v>
          </cell>
        </row>
        <row r="403">
          <cell r="A403" t="str">
            <v>Branch Transfer Out - Raw Material</v>
          </cell>
          <cell r="B403">
            <v>-81054628.010000005</v>
          </cell>
        </row>
        <row r="404">
          <cell r="A404" t="str">
            <v>Branch Transfer Out - Stores, Spares &amp; Consumable</v>
          </cell>
          <cell r="B404">
            <v>-79192.399999999994</v>
          </cell>
        </row>
        <row r="405">
          <cell r="A405" t="str">
            <v>Branch Transfer Out - Trading</v>
          </cell>
          <cell r="B405">
            <v>-57613692.859999999</v>
          </cell>
        </row>
        <row r="406">
          <cell r="A406" t="str">
            <v>Bravin Logistics LLP</v>
          </cell>
          <cell r="B406">
            <v>1542.3</v>
          </cell>
        </row>
        <row r="407">
          <cell r="A407" t="str">
            <v>Bright Rubber</v>
          </cell>
          <cell r="B407">
            <v>-11894</v>
          </cell>
        </row>
        <row r="408">
          <cell r="A408" t="str">
            <v>Brokerage &amp; Commission Expense</v>
          </cell>
          <cell r="B408">
            <v>400000</v>
          </cell>
        </row>
        <row r="409">
          <cell r="A409" t="str">
            <v>Bst Eltromat India Private Limited</v>
          </cell>
          <cell r="B409">
            <v>-355</v>
          </cell>
        </row>
        <row r="410">
          <cell r="A410" t="str">
            <v>BTC Engineering</v>
          </cell>
          <cell r="B410">
            <v>6.1</v>
          </cell>
        </row>
        <row r="411">
          <cell r="A411" t="str">
            <v>Bubblefine Polypack Private Limited</v>
          </cell>
          <cell r="B411">
            <v>1788581</v>
          </cell>
        </row>
        <row r="412">
          <cell r="A412" t="str">
            <v>Bulkliner Logistics Pvt Ltd-Kerala</v>
          </cell>
          <cell r="B412">
            <v>0</v>
          </cell>
        </row>
        <row r="413">
          <cell r="A413" t="str">
            <v>Bus-Tata Starbus [Grt-4713]</v>
          </cell>
          <cell r="B413">
            <v>1507580</v>
          </cell>
        </row>
        <row r="414">
          <cell r="A414" t="str">
            <v>C &amp; F  Charges  - Import</v>
          </cell>
          <cell r="B414">
            <v>707562.84</v>
          </cell>
        </row>
        <row r="415">
          <cell r="A415" t="str">
            <v>C &amp; F  Charges - Export</v>
          </cell>
          <cell r="B415">
            <v>-1654870.66</v>
          </cell>
        </row>
        <row r="416">
          <cell r="A416" t="str">
            <v>C &amp; F Charges - Detention Outward</v>
          </cell>
          <cell r="B416">
            <v>124499.5</v>
          </cell>
        </row>
        <row r="417">
          <cell r="A417" t="str">
            <v>C B Logistics</v>
          </cell>
          <cell r="B417">
            <v>-5974</v>
          </cell>
        </row>
        <row r="418">
          <cell r="A418" t="str">
            <v>C. H. Robinson Worldwide Freight India Pvt Ltd-Ahmedabad</v>
          </cell>
          <cell r="B418">
            <v>493</v>
          </cell>
        </row>
        <row r="419">
          <cell r="A419" t="str">
            <v>C. Trivedi &amp; Co.</v>
          </cell>
          <cell r="B419">
            <v>-1415.58</v>
          </cell>
        </row>
        <row r="420">
          <cell r="A420" t="str">
            <v>C.H. Robinson Worldwide Freight India Pvt. Ltd.- Maharashtra</v>
          </cell>
          <cell r="B420">
            <v>-493</v>
          </cell>
        </row>
        <row r="421">
          <cell r="A421" t="str">
            <v>C.H. Wirenetting Works</v>
          </cell>
          <cell r="B421">
            <v>0</v>
          </cell>
        </row>
        <row r="422">
          <cell r="A422" t="str">
            <v>Calco Poly Compounds Pvt Ltd</v>
          </cell>
          <cell r="B422">
            <v>-5327.16</v>
          </cell>
        </row>
        <row r="423">
          <cell r="A423" t="str">
            <v>Calloni Srl</v>
          </cell>
          <cell r="B423">
            <v>0</v>
          </cell>
        </row>
        <row r="424">
          <cell r="A424" t="str">
            <v>Camera</v>
          </cell>
          <cell r="B424">
            <v>2584785.04</v>
          </cell>
        </row>
        <row r="425">
          <cell r="A425" t="str">
            <v>Canteen Expense - Factory</v>
          </cell>
          <cell r="B425">
            <v>1061546.22</v>
          </cell>
        </row>
        <row r="426">
          <cell r="A426" t="str">
            <v>Canteen Expense - Office</v>
          </cell>
          <cell r="B426">
            <v>12892</v>
          </cell>
        </row>
        <row r="427">
          <cell r="A427" t="str">
            <v>Capacitor</v>
          </cell>
          <cell r="B427">
            <v>260046</v>
          </cell>
        </row>
        <row r="428">
          <cell r="A428" t="str">
            <v>Capital Engraving</v>
          </cell>
          <cell r="B428">
            <v>-575539</v>
          </cell>
        </row>
        <row r="429">
          <cell r="A429" t="str">
            <v>Car - BYD Atton03 Dymamic</v>
          </cell>
          <cell r="B429">
            <v>2649156</v>
          </cell>
        </row>
        <row r="430">
          <cell r="A430" t="str">
            <v>Car - Corolla Altis D-4D G GJ02DA3605</v>
          </cell>
          <cell r="B430">
            <v>1913449</v>
          </cell>
        </row>
        <row r="431">
          <cell r="A431" t="str">
            <v>Car - Honda Amaze 1.5 V Cvt I-DTEC GJ02DA3373</v>
          </cell>
          <cell r="B431">
            <v>964082</v>
          </cell>
        </row>
        <row r="432">
          <cell r="A432" t="str">
            <v>Car - Hyundai Santro Gls</v>
          </cell>
          <cell r="B432">
            <v>477049</v>
          </cell>
        </row>
        <row r="433">
          <cell r="A433" t="str">
            <v>Car - Indigo (Gj12 T 4713)</v>
          </cell>
          <cell r="B433">
            <v>531020</v>
          </cell>
        </row>
        <row r="434">
          <cell r="A434" t="str">
            <v>Car - Maruti New Dzire Vxi BSvi-DRR4DVA00</v>
          </cell>
          <cell r="B434">
            <v>733185</v>
          </cell>
        </row>
        <row r="435">
          <cell r="A435" t="str">
            <v>Car - Maruti Suzuki Swift Dzire Ldi Bs Iv  (Gj-01-Re-4984)</v>
          </cell>
          <cell r="B435">
            <v>629656</v>
          </cell>
        </row>
        <row r="436">
          <cell r="A436" t="str">
            <v>Car - Optra (Gj12 Ae 1836)</v>
          </cell>
          <cell r="B436">
            <v>858373</v>
          </cell>
        </row>
        <row r="437">
          <cell r="A437" t="str">
            <v>Car - Ritz Vdi Bs Iv - (Maruti)</v>
          </cell>
          <cell r="B437">
            <v>561263</v>
          </cell>
        </row>
        <row r="438">
          <cell r="A438" t="str">
            <v>Car - Volkswagon Passat - Gj 1 Ka 2163</v>
          </cell>
          <cell r="B438">
            <v>2592738</v>
          </cell>
        </row>
        <row r="439">
          <cell r="A439" t="str">
            <v>Car – Mahindra XUV700 GJ01WK4063</v>
          </cell>
          <cell r="B439">
            <v>2746750.99</v>
          </cell>
        </row>
        <row r="440">
          <cell r="A440" t="str">
            <v>Card Scan Executive  - 800C</v>
          </cell>
          <cell r="B440">
            <v>13500</v>
          </cell>
        </row>
        <row r="441">
          <cell r="A441" t="str">
            <v>Care Drinking Water Pvt Ltd</v>
          </cell>
          <cell r="B441">
            <v>-1960</v>
          </cell>
        </row>
        <row r="442">
          <cell r="A442" t="str">
            <v>Cargo Marketing International Private Limited</v>
          </cell>
          <cell r="B442">
            <v>0</v>
          </cell>
        </row>
        <row r="443">
          <cell r="A443" t="str">
            <v>Cargotrans Maritime Private Limited</v>
          </cell>
          <cell r="B443">
            <v>-52103</v>
          </cell>
        </row>
        <row r="444">
          <cell r="A444" t="str">
            <v>Carlos Sousa Industria,Lda</v>
          </cell>
          <cell r="B444">
            <v>0</v>
          </cell>
        </row>
        <row r="445">
          <cell r="A445" t="str">
            <v>Carrypack Solutions</v>
          </cell>
          <cell r="B445">
            <v>0</v>
          </cell>
        </row>
        <row r="446">
          <cell r="A446" t="str">
            <v>Cash in Hand-Factory</v>
          </cell>
          <cell r="B446">
            <v>136374.69</v>
          </cell>
        </row>
        <row r="447">
          <cell r="A447" t="str">
            <v>Cash in Hand-HO</v>
          </cell>
          <cell r="B447">
            <v>140230</v>
          </cell>
        </row>
        <row r="448">
          <cell r="A448" t="str">
            <v>Cash on Hand - Foreign Currency</v>
          </cell>
          <cell r="B448">
            <v>35450.550000000003</v>
          </cell>
        </row>
        <row r="449">
          <cell r="A449" t="str">
            <v>CC American Express_3769 398975 82032</v>
          </cell>
          <cell r="B449">
            <v>-255381</v>
          </cell>
        </row>
        <row r="450">
          <cell r="A450" t="str">
            <v>CC Amex Anil Goyal 61002 Platinium</v>
          </cell>
          <cell r="B450">
            <v>0</v>
          </cell>
        </row>
        <row r="451">
          <cell r="A451" t="str">
            <v>CC Amex Madhu Parekh 1003 Platinium</v>
          </cell>
          <cell r="B451">
            <v>0</v>
          </cell>
        </row>
        <row r="452">
          <cell r="A452" t="str">
            <v>CC Amex Prakash Parekh 71008 Metal</v>
          </cell>
          <cell r="B452">
            <v>0.45</v>
          </cell>
        </row>
        <row r="453">
          <cell r="A453" t="str">
            <v>CC Amex Prakash Parekh 81000</v>
          </cell>
          <cell r="B453">
            <v>0</v>
          </cell>
        </row>
        <row r="454">
          <cell r="A454" t="str">
            <v>CC Axis Flipkart Madhu Parekh 6057</v>
          </cell>
          <cell r="B454">
            <v>0</v>
          </cell>
        </row>
        <row r="455">
          <cell r="A455" t="str">
            <v>CC Axis Prakash Parekh 1362 Magnus</v>
          </cell>
          <cell r="B455">
            <v>0</v>
          </cell>
        </row>
        <row r="456">
          <cell r="A456" t="str">
            <v>Cc Axis Prakash Parekh 8106 Vistara</v>
          </cell>
          <cell r="B456">
            <v>0</v>
          </cell>
        </row>
        <row r="457">
          <cell r="A457" t="str">
            <v>Cc Axis Prakash Parekh Card No 7141</v>
          </cell>
          <cell r="B457">
            <v>0</v>
          </cell>
        </row>
        <row r="458">
          <cell r="A458" t="str">
            <v>CC Axis Spicejet Card 4366010000014703</v>
          </cell>
          <cell r="B458">
            <v>0</v>
          </cell>
        </row>
        <row r="459">
          <cell r="A459" t="str">
            <v>Cc Bob Prakash Parekh Card No 1579</v>
          </cell>
          <cell r="B459">
            <v>0</v>
          </cell>
        </row>
        <row r="460">
          <cell r="A460" t="str">
            <v>CC Citi Prakash Parekh 9022</v>
          </cell>
          <cell r="B460">
            <v>0</v>
          </cell>
        </row>
        <row r="461">
          <cell r="A461" t="str">
            <v>Cc Dhrumil Shah Adani One 1008</v>
          </cell>
          <cell r="B461">
            <v>0</v>
          </cell>
        </row>
        <row r="462">
          <cell r="A462" t="str">
            <v>Cc Hdfc Aman Parekh 2436</v>
          </cell>
          <cell r="B462">
            <v>250000</v>
          </cell>
        </row>
        <row r="463">
          <cell r="A463" t="str">
            <v>CC HDFC Anil Goyal 0785</v>
          </cell>
          <cell r="B463">
            <v>0</v>
          </cell>
        </row>
        <row r="464">
          <cell r="A464" t="str">
            <v>CC HDFC Anil Goyal 1831 Corp</v>
          </cell>
          <cell r="B464">
            <v>0</v>
          </cell>
        </row>
        <row r="465">
          <cell r="A465" t="str">
            <v>CC HDFC Anil Goyal 2489</v>
          </cell>
          <cell r="B465">
            <v>0</v>
          </cell>
        </row>
        <row r="466">
          <cell r="A466" t="str">
            <v>Cc Hdfc Anil Goyal 2981</v>
          </cell>
          <cell r="B466">
            <v>0</v>
          </cell>
        </row>
        <row r="467">
          <cell r="A467" t="str">
            <v>CC HDFC Anil Goyal 3385</v>
          </cell>
          <cell r="B467">
            <v>0</v>
          </cell>
        </row>
        <row r="468">
          <cell r="A468" t="str">
            <v>CC HDFC Anil Goyal 5125</v>
          </cell>
          <cell r="B468">
            <v>0</v>
          </cell>
        </row>
        <row r="469">
          <cell r="A469" t="str">
            <v>CC HDFC Dilendra Singh 5770 Corp</v>
          </cell>
          <cell r="B469">
            <v>745</v>
          </cell>
        </row>
        <row r="470">
          <cell r="A470" t="str">
            <v>Cc Hdfc Plastene India Limited 1126</v>
          </cell>
          <cell r="B470">
            <v>13000</v>
          </cell>
        </row>
        <row r="471">
          <cell r="A471" t="str">
            <v>Cc Hdfc Plastene India Limited 6042</v>
          </cell>
          <cell r="B471">
            <v>34916</v>
          </cell>
        </row>
        <row r="472">
          <cell r="A472" t="str">
            <v>Cc Hdfc Plastene Polyfilms Limited 9891</v>
          </cell>
          <cell r="B472">
            <v>0</v>
          </cell>
        </row>
        <row r="473">
          <cell r="A473" t="str">
            <v>Cc Hdfc Prakash Parekh 6009</v>
          </cell>
          <cell r="B473">
            <v>0</v>
          </cell>
        </row>
        <row r="474">
          <cell r="A474" t="str">
            <v>Cc Hdfc Prakash Parekh 8529</v>
          </cell>
          <cell r="B474">
            <v>0</v>
          </cell>
        </row>
        <row r="475">
          <cell r="A475" t="str">
            <v>CC HDFC Pritesh Parekh 1005 Forex</v>
          </cell>
          <cell r="B475">
            <v>731.68</v>
          </cell>
        </row>
        <row r="476">
          <cell r="A476" t="str">
            <v>Cc Hscb Bank Sunny Chauhan 0614</v>
          </cell>
          <cell r="B476">
            <v>0</v>
          </cell>
        </row>
        <row r="477">
          <cell r="A477" t="str">
            <v>CC ICICI Anil Goyal 5007</v>
          </cell>
          <cell r="B477">
            <v>0</v>
          </cell>
        </row>
        <row r="478">
          <cell r="A478" t="str">
            <v>CC ICICI Manish Banthia 3009</v>
          </cell>
          <cell r="B478">
            <v>-181000</v>
          </cell>
        </row>
        <row r="479">
          <cell r="A479" t="str">
            <v>CC ICICI Manish Banthia 40004</v>
          </cell>
          <cell r="B479">
            <v>0</v>
          </cell>
        </row>
        <row r="480">
          <cell r="A480" t="str">
            <v>CC ICICI Parin Upadhyay 39006</v>
          </cell>
          <cell r="B480">
            <v>0</v>
          </cell>
        </row>
        <row r="481">
          <cell r="A481" t="str">
            <v>CC ICICI Prakash Parekh 37000</v>
          </cell>
          <cell r="B481">
            <v>0</v>
          </cell>
        </row>
        <row r="482">
          <cell r="A482" t="str">
            <v>CC ICICI Prakash Parekh 6006</v>
          </cell>
          <cell r="B482">
            <v>0</v>
          </cell>
        </row>
        <row r="483">
          <cell r="A483" t="str">
            <v>CC ICICI Tarachand Purohit 38008</v>
          </cell>
          <cell r="B483">
            <v>0.01</v>
          </cell>
        </row>
        <row r="484">
          <cell r="A484" t="str">
            <v>CC ICICI Tarachand Purohit 4007</v>
          </cell>
          <cell r="B484">
            <v>-2253699.5099999998</v>
          </cell>
        </row>
        <row r="485">
          <cell r="A485" t="str">
            <v>Cc Icici Tarachand Purohit 8009</v>
          </cell>
          <cell r="B485">
            <v>0.01</v>
          </cell>
        </row>
        <row r="486">
          <cell r="A486" t="str">
            <v>Cc Idfc Prakash Parekh 8703</v>
          </cell>
          <cell r="B486">
            <v>0</v>
          </cell>
        </row>
        <row r="487">
          <cell r="A487" t="str">
            <v>CC IDFC Vistara Prakash Parekh 7548</v>
          </cell>
          <cell r="B487">
            <v>0</v>
          </cell>
        </row>
        <row r="488">
          <cell r="A488" t="str">
            <v>CC Indusind Anil Goyal 1456</v>
          </cell>
          <cell r="B488">
            <v>0</v>
          </cell>
        </row>
        <row r="489">
          <cell r="A489" t="str">
            <v>CC Indusind Anil Goyal 8007</v>
          </cell>
          <cell r="B489">
            <v>0</v>
          </cell>
        </row>
        <row r="490">
          <cell r="A490" t="str">
            <v>CC Indusind Bank Limited 4147 5276 9673 3698</v>
          </cell>
          <cell r="B490">
            <v>0</v>
          </cell>
        </row>
        <row r="491">
          <cell r="A491" t="str">
            <v>Cc Indusind Madhu Prakash 3578</v>
          </cell>
          <cell r="B491">
            <v>0</v>
          </cell>
        </row>
        <row r="492">
          <cell r="A492" t="str">
            <v>CC Indusind Prakash Parekh 4523</v>
          </cell>
          <cell r="B492">
            <v>0</v>
          </cell>
        </row>
        <row r="493">
          <cell r="A493" t="str">
            <v>CC Indusind-Vistara Aman Parekh 3808</v>
          </cell>
          <cell r="B493">
            <v>0</v>
          </cell>
        </row>
        <row r="494">
          <cell r="A494" t="str">
            <v>CC Indusind-Vistara Madhu Parekh 4598</v>
          </cell>
          <cell r="B494">
            <v>0</v>
          </cell>
        </row>
        <row r="495">
          <cell r="A495" t="str">
            <v>Cc Prakash Pareskh Amex 2008</v>
          </cell>
          <cell r="B495">
            <v>0</v>
          </cell>
        </row>
        <row r="496">
          <cell r="A496" t="str">
            <v>Cc Rbl Manish Banthia 3265</v>
          </cell>
          <cell r="B496">
            <v>-1298120</v>
          </cell>
        </row>
        <row r="497">
          <cell r="A497" t="str">
            <v>Cc Rbl Manish Banthia 4035</v>
          </cell>
          <cell r="B497">
            <v>-2999790</v>
          </cell>
        </row>
        <row r="498">
          <cell r="A498" t="str">
            <v>Cc Rbl Manish Banthia 4681</v>
          </cell>
          <cell r="B498">
            <v>0</v>
          </cell>
        </row>
        <row r="499">
          <cell r="A499" t="str">
            <v>Cc Rbl Manish Banthia 8378</v>
          </cell>
          <cell r="B499">
            <v>-4993707</v>
          </cell>
        </row>
        <row r="500">
          <cell r="A500" t="str">
            <v>CC SBI Madhu Parekh 7085</v>
          </cell>
          <cell r="B500">
            <v>0</v>
          </cell>
        </row>
        <row r="501">
          <cell r="A501" t="str">
            <v>CC SBI Prakash Parekh 2266</v>
          </cell>
          <cell r="B501">
            <v>0</v>
          </cell>
        </row>
        <row r="502">
          <cell r="A502" t="str">
            <v>CC SCB Anil Goyal 2769</v>
          </cell>
          <cell r="B502">
            <v>0</v>
          </cell>
        </row>
        <row r="503">
          <cell r="A503" t="str">
            <v>CC SCB Anil Goyal 5603</v>
          </cell>
          <cell r="B503">
            <v>791</v>
          </cell>
        </row>
        <row r="504">
          <cell r="A504" t="str">
            <v>CC SCB Prakash Parekh 7919</v>
          </cell>
          <cell r="B504">
            <v>0</v>
          </cell>
        </row>
        <row r="505">
          <cell r="A505" t="str">
            <v>CC Thomas Coock - Anil 8889  Forex</v>
          </cell>
          <cell r="B505">
            <v>29664.82</v>
          </cell>
        </row>
        <row r="506">
          <cell r="A506" t="str">
            <v>CC Thomas Coock - Anil Mistry 2498  Forex</v>
          </cell>
          <cell r="B506">
            <v>90360.81</v>
          </cell>
        </row>
        <row r="507">
          <cell r="A507" t="str">
            <v>CC Thomas Cook Aman 6426 Forex</v>
          </cell>
          <cell r="B507">
            <v>28905.200000000001</v>
          </cell>
        </row>
        <row r="508">
          <cell r="A508" t="str">
            <v>CC Thomas Cook Anvi 3854 Forex</v>
          </cell>
          <cell r="B508">
            <v>30630</v>
          </cell>
        </row>
        <row r="509">
          <cell r="A509" t="str">
            <v>CC Thomas Cook Pritesh Parekh 4609 Forex</v>
          </cell>
          <cell r="B509">
            <v>646878.16</v>
          </cell>
        </row>
        <row r="510">
          <cell r="A510" t="str">
            <v>CCTV Camera &amp; Accessories</v>
          </cell>
          <cell r="B510">
            <v>1570134.83</v>
          </cell>
        </row>
        <row r="511">
          <cell r="A511" t="str">
            <v>Centre Pouch Packing Machine</v>
          </cell>
          <cell r="B511">
            <v>686520</v>
          </cell>
        </row>
        <row r="512">
          <cell r="A512" t="str">
            <v>Century Fibc</v>
          </cell>
          <cell r="B512">
            <v>-205133.69</v>
          </cell>
        </row>
        <row r="513">
          <cell r="A513" t="str">
            <v>Cess Automation India LLP</v>
          </cell>
          <cell r="B513">
            <v>0</v>
          </cell>
        </row>
        <row r="514">
          <cell r="A514" t="str">
            <v>Cess Controls</v>
          </cell>
          <cell r="B514">
            <v>0</v>
          </cell>
        </row>
        <row r="515">
          <cell r="A515" t="str">
            <v>Cess Technology Company</v>
          </cell>
          <cell r="B515">
            <v>-5948</v>
          </cell>
        </row>
        <row r="516">
          <cell r="A516" t="str">
            <v>Cesur Ambalaj Sanayi Ve Ticaret A.S.</v>
          </cell>
          <cell r="B516">
            <v>0</v>
          </cell>
        </row>
        <row r="517">
          <cell r="A517" t="str">
            <v>Cesur France</v>
          </cell>
          <cell r="B517">
            <v>3303022.53</v>
          </cell>
        </row>
        <row r="518">
          <cell r="A518" t="str">
            <v>Cesur Latam Sac</v>
          </cell>
          <cell r="B518">
            <v>0.04</v>
          </cell>
        </row>
        <row r="519">
          <cell r="A519" t="str">
            <v>Cesur Packaging Benelux Bv</v>
          </cell>
          <cell r="B519">
            <v>5211461.92</v>
          </cell>
        </row>
        <row r="520">
          <cell r="A520" t="str">
            <v>Cesur Packaging Bulgaria Ltd.</v>
          </cell>
          <cell r="B520">
            <v>-30423.84</v>
          </cell>
        </row>
        <row r="521">
          <cell r="A521" t="str">
            <v>Cesur Usa, Llc</v>
          </cell>
          <cell r="B521">
            <v>3175776.71</v>
          </cell>
        </row>
        <row r="522">
          <cell r="A522" t="str">
            <v>Cfl Logistic</v>
          </cell>
          <cell r="B522">
            <v>0</v>
          </cell>
        </row>
        <row r="523">
          <cell r="A523" t="str">
            <v>Cg 1 Hp Mini Master-1 Monoblock</v>
          </cell>
          <cell r="B523">
            <v>2525</v>
          </cell>
        </row>
        <row r="524">
          <cell r="A524" t="str">
            <v>CGST Input</v>
          </cell>
          <cell r="B524">
            <v>32357184.530000001</v>
          </cell>
        </row>
        <row r="525">
          <cell r="A525" t="str">
            <v>CGST Output A/c</v>
          </cell>
          <cell r="B525">
            <v>-20910513.52</v>
          </cell>
        </row>
        <row r="526">
          <cell r="A526" t="str">
            <v>Chakshu Engineering</v>
          </cell>
          <cell r="B526">
            <v>0</v>
          </cell>
        </row>
        <row r="527">
          <cell r="A527" t="str">
            <v>Champion Sterling Manufacturing Pvt Ltd</v>
          </cell>
          <cell r="B527">
            <v>-5699</v>
          </cell>
        </row>
        <row r="528">
          <cell r="A528" t="str">
            <v>Chamunda Enterprise</v>
          </cell>
          <cell r="B528">
            <v>0</v>
          </cell>
        </row>
        <row r="529">
          <cell r="A529" t="str">
            <v>Chamunda Scrap Traders</v>
          </cell>
          <cell r="B529">
            <v>0.04</v>
          </cell>
        </row>
        <row r="530">
          <cell r="A530" t="str">
            <v>Chandan Electric Store</v>
          </cell>
          <cell r="B530">
            <v>-27435</v>
          </cell>
        </row>
        <row r="531">
          <cell r="A531" t="str">
            <v>Chandanmal Parasmal Jain</v>
          </cell>
          <cell r="B531">
            <v>0</v>
          </cell>
        </row>
        <row r="532">
          <cell r="A532" t="str">
            <v>Chandresh Cables Ltd - Purchase</v>
          </cell>
          <cell r="B532">
            <v>0</v>
          </cell>
        </row>
        <row r="533">
          <cell r="A533" t="str">
            <v>Changzhou Hai Bang Trading Co., Ltd</v>
          </cell>
          <cell r="B533">
            <v>-1220.74</v>
          </cell>
        </row>
        <row r="534">
          <cell r="A534" t="str">
            <v>Charu Agroplast Pvt Ltd Unit -II</v>
          </cell>
          <cell r="B534">
            <v>0</v>
          </cell>
        </row>
        <row r="535">
          <cell r="A535" t="str">
            <v>Cheese Pipes (Tape Plant)</v>
          </cell>
          <cell r="B535">
            <v>4777225</v>
          </cell>
        </row>
        <row r="536">
          <cell r="A536" t="str">
            <v>Cheese Winders</v>
          </cell>
          <cell r="B536">
            <v>18264148</v>
          </cell>
        </row>
        <row r="537">
          <cell r="A537" t="str">
            <v>Chem Sell</v>
          </cell>
          <cell r="B537">
            <v>0</v>
          </cell>
        </row>
        <row r="538">
          <cell r="A538" t="str">
            <v>Chemline India Ltd</v>
          </cell>
          <cell r="B538">
            <v>0</v>
          </cell>
        </row>
        <row r="539">
          <cell r="A539" t="str">
            <v>Cheons Speciality Chemicals Private Limited</v>
          </cell>
          <cell r="B539">
            <v>-203443.8</v>
          </cell>
        </row>
        <row r="540">
          <cell r="A540" t="str">
            <v>Chevron Phillips Chemicals Asia Pte. Ltd</v>
          </cell>
          <cell r="B540">
            <v>0</v>
          </cell>
        </row>
        <row r="541">
          <cell r="A541" t="str">
            <v>Chhavi Enterprise</v>
          </cell>
          <cell r="B541">
            <v>49973</v>
          </cell>
        </row>
        <row r="542">
          <cell r="A542" t="str">
            <v>Chiller Plant</v>
          </cell>
          <cell r="B542">
            <v>4888415.92</v>
          </cell>
        </row>
        <row r="543">
          <cell r="A543" t="str">
            <v>China International Economic And</v>
          </cell>
          <cell r="B543">
            <v>949454.2</v>
          </cell>
        </row>
        <row r="544">
          <cell r="A544" t="str">
            <v>China-Base Ningbo Foreign Trade Co., Ltd.</v>
          </cell>
          <cell r="B544">
            <v>0</v>
          </cell>
        </row>
        <row r="545">
          <cell r="A545" t="str">
            <v>Chinubhai Kalidass &amp; Bros - Gujarat</v>
          </cell>
          <cell r="B545">
            <v>-49080</v>
          </cell>
        </row>
        <row r="546">
          <cell r="A546" t="str">
            <v>Chirag Engineering Works</v>
          </cell>
          <cell r="B546">
            <v>-4446</v>
          </cell>
        </row>
        <row r="547">
          <cell r="A547" t="str">
            <v>Chiragkumar Prahaladbhai</v>
          </cell>
          <cell r="B547">
            <v>-153897.01999999999</v>
          </cell>
        </row>
        <row r="548">
          <cell r="A548" t="str">
            <v>Cholamandalam Ms General Insurance Co Ltd</v>
          </cell>
          <cell r="B548">
            <v>0</v>
          </cell>
        </row>
        <row r="549">
          <cell r="A549" t="str">
            <v>Choudhary House Keeping</v>
          </cell>
          <cell r="B549">
            <v>-5227</v>
          </cell>
        </row>
        <row r="550">
          <cell r="A550" t="str">
            <v>CID Products LLP</v>
          </cell>
          <cell r="B550">
            <v>0</v>
          </cell>
        </row>
        <row r="551">
          <cell r="A551" t="str">
            <v>Cir-Q-Tech Tako Technologies Pvt. Ltd.</v>
          </cell>
          <cell r="B551">
            <v>34.72</v>
          </cell>
        </row>
        <row r="552">
          <cell r="A552" t="str">
            <v>Circular Loom - Std Confg - Sby - 850X6S</v>
          </cell>
          <cell r="B552">
            <v>34794806.829999998</v>
          </cell>
        </row>
        <row r="553">
          <cell r="A553" t="str">
            <v>Circular Loom Machine Nova 62</v>
          </cell>
          <cell r="B553">
            <v>12988565</v>
          </cell>
        </row>
        <row r="554">
          <cell r="A554" t="str">
            <v>Circular Loom Nova 82</v>
          </cell>
          <cell r="B554">
            <v>19618437.800000001</v>
          </cell>
        </row>
        <row r="555">
          <cell r="A555" t="str">
            <v>Circular Loom Starlinger Rx 6.1</v>
          </cell>
          <cell r="B555">
            <v>57769260</v>
          </cell>
        </row>
        <row r="556">
          <cell r="A556" t="str">
            <v>Circular Loom Starlinger Rx 8.2</v>
          </cell>
          <cell r="B556">
            <v>896984.52</v>
          </cell>
        </row>
        <row r="557">
          <cell r="A557" t="str">
            <v>Circular Looms LSL 620</v>
          </cell>
          <cell r="B557">
            <v>4574971.9000000004</v>
          </cell>
        </row>
        <row r="558">
          <cell r="A558" t="str">
            <v>Circular Weaving Machine</v>
          </cell>
          <cell r="B558">
            <v>49292293.990000002</v>
          </cell>
        </row>
        <row r="559">
          <cell r="A559" t="str">
            <v>Circular Weaving Machine Csl-6 Ii</v>
          </cell>
          <cell r="B559">
            <v>6285284.5199999996</v>
          </cell>
        </row>
        <row r="560">
          <cell r="A560" t="str">
            <v>Circular Weaving Machine Lsl-8</v>
          </cell>
          <cell r="B560">
            <v>3930000</v>
          </cell>
        </row>
        <row r="561">
          <cell r="A561" t="str">
            <v>Circular Weaving Machine Lsl6</v>
          </cell>
          <cell r="B561">
            <v>2816718.5</v>
          </cell>
        </row>
        <row r="562">
          <cell r="A562" t="str">
            <v>Circular Weaving Machine Lxl 6</v>
          </cell>
          <cell r="B562">
            <v>134978</v>
          </cell>
        </row>
        <row r="563">
          <cell r="A563" t="str">
            <v>Ckb Global Logistics Private Limited</v>
          </cell>
          <cell r="B563">
            <v>-120941.8</v>
          </cell>
        </row>
        <row r="564">
          <cell r="A564" t="str">
            <v>Clariant Chemicals (India) Ltd-Gujarat</v>
          </cell>
          <cell r="B564">
            <v>0</v>
          </cell>
        </row>
        <row r="565">
          <cell r="A565" t="str">
            <v>Classic Adhesive Tapes Mig Co.</v>
          </cell>
          <cell r="B565">
            <v>-1105</v>
          </cell>
        </row>
        <row r="566">
          <cell r="A566" t="str">
            <v>Clean Well Chemical</v>
          </cell>
          <cell r="B566">
            <v>-145.75</v>
          </cell>
        </row>
        <row r="567">
          <cell r="A567" t="str">
            <v>Clearship Forwarders Pvt. Ltd.-27AABCC2914K1ZR</v>
          </cell>
          <cell r="B567">
            <v>0</v>
          </cell>
        </row>
        <row r="568">
          <cell r="A568" t="str">
            <v>Clicktech Retail Private Limited 24AAJCC9783E1ZD</v>
          </cell>
          <cell r="B568">
            <v>0</v>
          </cell>
        </row>
        <row r="569">
          <cell r="A569" t="str">
            <v>Clicktech Retail Private Limited 29AAJCC9783E1Z3</v>
          </cell>
          <cell r="B569">
            <v>15990</v>
          </cell>
        </row>
        <row r="570">
          <cell r="A570" t="str">
            <v>Clicktech Retail Private Limited-27AAJCC9783E1Z7</v>
          </cell>
          <cell r="B570">
            <v>0</v>
          </cell>
        </row>
        <row r="571">
          <cell r="A571" t="str">
            <v>Cliffe Packaging Ltd</v>
          </cell>
          <cell r="B571">
            <v>0</v>
          </cell>
        </row>
        <row r="572">
          <cell r="A572" t="str">
            <v>Clutch Motor</v>
          </cell>
          <cell r="B572">
            <v>661527.6</v>
          </cell>
        </row>
        <row r="573">
          <cell r="A573" t="str">
            <v>Clutch Motor 1 Hp Single Phase  2800 Rmp</v>
          </cell>
          <cell r="B573">
            <v>542287.19999999995</v>
          </cell>
        </row>
        <row r="574">
          <cell r="A574" t="str">
            <v>Clutch Motor 1Hp 2850Rpm Pulley</v>
          </cell>
          <cell r="B574">
            <v>35132</v>
          </cell>
        </row>
        <row r="575">
          <cell r="A575" t="str">
            <v>Cma Cgm Agencies (India) Pvt Ltd</v>
          </cell>
          <cell r="B575">
            <v>13470</v>
          </cell>
        </row>
        <row r="576">
          <cell r="A576" t="str">
            <v>Cobalt Holdings Ltd</v>
          </cell>
          <cell r="B576">
            <v>3151699.2</v>
          </cell>
        </row>
        <row r="577">
          <cell r="A577" t="str">
            <v>Cocoblu Retail Limited</v>
          </cell>
          <cell r="B577">
            <v>0</v>
          </cell>
        </row>
        <row r="578">
          <cell r="A578" t="str">
            <v>Codefine International SA</v>
          </cell>
          <cell r="B578">
            <v>0</v>
          </cell>
        </row>
        <row r="579">
          <cell r="A579" t="str">
            <v>Cofco International Uruguay S.A.</v>
          </cell>
          <cell r="B579">
            <v>-0.01</v>
          </cell>
        </row>
        <row r="580">
          <cell r="A580" t="str">
            <v>Colman Polychem Llp</v>
          </cell>
          <cell r="B580">
            <v>-632008</v>
          </cell>
        </row>
        <row r="581">
          <cell r="A581" t="str">
            <v>Colorobbia Chemicals India Pvt Ltd</v>
          </cell>
          <cell r="B581">
            <v>277300</v>
          </cell>
        </row>
        <row r="582">
          <cell r="A582" t="str">
            <v>Colourflex Laminators Limited (Unit-II)</v>
          </cell>
          <cell r="B582">
            <v>-0.6</v>
          </cell>
        </row>
        <row r="583">
          <cell r="A583" t="str">
            <v>Combes Trading Bv</v>
          </cell>
          <cell r="B583">
            <v>0.65</v>
          </cell>
        </row>
        <row r="584">
          <cell r="A584" t="str">
            <v>Comercial Pra Cafe Ltda - Espirito Santos</v>
          </cell>
          <cell r="B584">
            <v>0</v>
          </cell>
        </row>
        <row r="585">
          <cell r="A585" t="str">
            <v>Comercial Pra Cafe Ltda - Manaus</v>
          </cell>
          <cell r="B585">
            <v>0</v>
          </cell>
        </row>
        <row r="586">
          <cell r="A586" t="str">
            <v>Comez International S.R.L</v>
          </cell>
          <cell r="B586">
            <v>0</v>
          </cell>
        </row>
        <row r="587">
          <cell r="A587" t="str">
            <v>Commercial Bag Company</v>
          </cell>
          <cell r="B587">
            <v>0</v>
          </cell>
        </row>
        <row r="588">
          <cell r="A588" t="str">
            <v>Commission Income</v>
          </cell>
          <cell r="B588">
            <v>-3996895.18</v>
          </cell>
        </row>
        <row r="589">
          <cell r="A589" t="str">
            <v>Commission Income - EPI</v>
          </cell>
          <cell r="B589">
            <v>-37239</v>
          </cell>
        </row>
        <row r="590">
          <cell r="A590" t="str">
            <v>Compressed Air System</v>
          </cell>
          <cell r="B590">
            <v>820707.56</v>
          </cell>
        </row>
        <row r="591">
          <cell r="A591" t="str">
            <v>Comptoir African Du Maroc</v>
          </cell>
          <cell r="B591">
            <v>50951.59</v>
          </cell>
        </row>
        <row r="592">
          <cell r="A592" t="str">
            <v>Computers &amp; Printers</v>
          </cell>
          <cell r="B592">
            <v>8660267.3499999996</v>
          </cell>
        </row>
        <row r="593">
          <cell r="A593" t="str">
            <v>Concord Supply Inc.</v>
          </cell>
          <cell r="B593">
            <v>0</v>
          </cell>
        </row>
        <row r="594">
          <cell r="A594" t="str">
            <v>Condepols, S.A.</v>
          </cell>
          <cell r="B594">
            <v>0</v>
          </cell>
        </row>
        <row r="595">
          <cell r="A595" t="str">
            <v>Cone Winding Machine</v>
          </cell>
          <cell r="B595">
            <v>547000</v>
          </cell>
        </row>
        <row r="596">
          <cell r="A596" t="str">
            <v>Conitex Sonoco USA</v>
          </cell>
          <cell r="B596">
            <v>0</v>
          </cell>
        </row>
        <row r="597">
          <cell r="A597" t="str">
            <v>Consumables, Tools &amp; Spare Expense</v>
          </cell>
          <cell r="B597">
            <v>349892.51</v>
          </cell>
        </row>
        <row r="598">
          <cell r="A598" t="str">
            <v>Container Corporation Of India Ltd (CKB)</v>
          </cell>
          <cell r="B598">
            <v>-94099</v>
          </cell>
        </row>
        <row r="599">
          <cell r="A599" t="str">
            <v>Control Print Limited - 24AAACC5378C2ZY</v>
          </cell>
          <cell r="B599">
            <v>0</v>
          </cell>
        </row>
        <row r="600">
          <cell r="A600" t="str">
            <v>Control Print Limited - 27AAACC5378C1ZT</v>
          </cell>
          <cell r="B600">
            <v>-30164</v>
          </cell>
        </row>
        <row r="601">
          <cell r="A601" t="str">
            <v>CONTROL PRINT LIMITED- 18AAACC5378C1ZS</v>
          </cell>
          <cell r="B601">
            <v>0</v>
          </cell>
        </row>
        <row r="602">
          <cell r="A602" t="str">
            <v>Control Print Ltd 02AAACC5378C1Z5</v>
          </cell>
          <cell r="B602">
            <v>0</v>
          </cell>
        </row>
        <row r="603">
          <cell r="A603" t="str">
            <v>Conveyance Expenses</v>
          </cell>
          <cell r="B603">
            <v>503412</v>
          </cell>
        </row>
        <row r="604">
          <cell r="A604" t="str">
            <v>Cooling Tower</v>
          </cell>
          <cell r="B604">
            <v>1643387</v>
          </cell>
        </row>
        <row r="605">
          <cell r="A605" t="str">
            <v>Cooling Tower Model No Ac-22</v>
          </cell>
          <cell r="B605">
            <v>85795</v>
          </cell>
        </row>
        <row r="606">
          <cell r="A606" t="str">
            <v>Cooling Tower New</v>
          </cell>
          <cell r="B606">
            <v>2282000</v>
          </cell>
        </row>
        <row r="607">
          <cell r="A607" t="str">
            <v>Cooling Tower Of 50Tr Capacity Model No.Md-50</v>
          </cell>
          <cell r="B607">
            <v>93100</v>
          </cell>
        </row>
        <row r="608">
          <cell r="A608" t="str">
            <v>Coraplast Industries</v>
          </cell>
          <cell r="B608">
            <v>-4409607</v>
          </cell>
        </row>
        <row r="609">
          <cell r="A609" t="str">
            <v>Coresa SA</v>
          </cell>
          <cell r="B609">
            <v>0</v>
          </cell>
        </row>
        <row r="610">
          <cell r="A610" t="str">
            <v>Cornucopia Tradelink Pvt Ltd</v>
          </cell>
          <cell r="B610">
            <v>6502722</v>
          </cell>
        </row>
        <row r="611">
          <cell r="A611" t="str">
            <v>Coromandel International Ltd (Dahej)</v>
          </cell>
          <cell r="B611">
            <v>2291997.71</v>
          </cell>
        </row>
        <row r="612">
          <cell r="A612" t="str">
            <v>Coromandel International Ltd-Ankleshwar</v>
          </cell>
          <cell r="B612">
            <v>0</v>
          </cell>
        </row>
        <row r="613">
          <cell r="A613" t="str">
            <v>Coromandel International Ltd-Sarigam</v>
          </cell>
          <cell r="B613">
            <v>9486.25</v>
          </cell>
        </row>
        <row r="614">
          <cell r="A614" t="str">
            <v>Corona Treater Machine A/C</v>
          </cell>
          <cell r="B614">
            <v>1250000</v>
          </cell>
        </row>
        <row r="615">
          <cell r="A615" t="str">
            <v>Corporate social responsibility</v>
          </cell>
          <cell r="B615">
            <v>559392.37</v>
          </cell>
        </row>
        <row r="616">
          <cell r="A616" t="str">
            <v>Cosco Shipping Lines (India) Private Limited - Maharastra</v>
          </cell>
          <cell r="B616">
            <v>0</v>
          </cell>
        </row>
        <row r="617">
          <cell r="A617" t="str">
            <v>Cosco Shipping Lines (India) Private Limited- Gujarat</v>
          </cell>
          <cell r="B617">
            <v>38013</v>
          </cell>
        </row>
        <row r="618">
          <cell r="A618" t="str">
            <v>Cost 2 Cost - 27AWRPM0291L1ZX</v>
          </cell>
          <cell r="B618">
            <v>37618</v>
          </cell>
        </row>
        <row r="619">
          <cell r="A619" t="str">
            <v>Cost 2 Cost - 29AWRPM0291L1ZT</v>
          </cell>
          <cell r="B619">
            <v>0</v>
          </cell>
        </row>
        <row r="620">
          <cell r="A620" t="str">
            <v>Cpi Plastic Joint Stock Company</v>
          </cell>
          <cell r="B620">
            <v>-9784.32</v>
          </cell>
        </row>
        <row r="621">
          <cell r="A621" t="str">
            <v>CPI Viet Nam Plastic Limited Company</v>
          </cell>
          <cell r="B621">
            <v>0</v>
          </cell>
        </row>
        <row r="622">
          <cell r="A622" t="str">
            <v>Crane - Hoist Installations</v>
          </cell>
          <cell r="B622">
            <v>4133116.29</v>
          </cell>
        </row>
        <row r="623">
          <cell r="A623" t="str">
            <v>Creative Enterprise - Ahmedabad</v>
          </cell>
          <cell r="B623">
            <v>0</v>
          </cell>
        </row>
        <row r="624">
          <cell r="A624" t="str">
            <v>Creel Stand-1200 Nos Of Bobbins-Cs1200</v>
          </cell>
          <cell r="B624">
            <v>26420</v>
          </cell>
        </row>
        <row r="625">
          <cell r="A625" t="str">
            <v>Crif Solutions Private Limited</v>
          </cell>
          <cell r="B625">
            <v>-4720</v>
          </cell>
        </row>
        <row r="626">
          <cell r="A626" t="str">
            <v>Crystal Non Woven</v>
          </cell>
          <cell r="B626">
            <v>0</v>
          </cell>
        </row>
        <row r="627">
          <cell r="A627" t="str">
            <v>CTM Technical Textiles Limited</v>
          </cell>
          <cell r="B627">
            <v>0</v>
          </cell>
        </row>
        <row r="628">
          <cell r="A628" t="str">
            <v>Currency Counting Machine</v>
          </cell>
          <cell r="B628">
            <v>9500</v>
          </cell>
        </row>
        <row r="629">
          <cell r="A629" t="str">
            <v>Custom Duty &amp; Charges</v>
          </cell>
          <cell r="B629">
            <v>522858</v>
          </cell>
        </row>
        <row r="630">
          <cell r="A630" t="str">
            <v>Custom Duty Paid In Advance</v>
          </cell>
          <cell r="B630">
            <v>10000</v>
          </cell>
        </row>
        <row r="631">
          <cell r="A631" t="str">
            <v>Cutter Guiding Systems</v>
          </cell>
          <cell r="B631">
            <v>356001</v>
          </cell>
        </row>
        <row r="632">
          <cell r="A632" t="str">
            <v>Cycle</v>
          </cell>
          <cell r="B632">
            <v>8015</v>
          </cell>
        </row>
        <row r="633">
          <cell r="A633" t="str">
            <v>Cylinder Printing-Fa</v>
          </cell>
          <cell r="B633">
            <v>2404666.94</v>
          </cell>
        </row>
        <row r="634">
          <cell r="A634" t="str">
            <v>Cytech Coatings Pvt Ltd</v>
          </cell>
          <cell r="B634">
            <v>-7670</v>
          </cell>
        </row>
        <row r="635">
          <cell r="A635" t="str">
            <v>D N Enterprise</v>
          </cell>
          <cell r="B635">
            <v>-25714</v>
          </cell>
        </row>
        <row r="636">
          <cell r="A636" t="str">
            <v>D R Logistics</v>
          </cell>
          <cell r="B636">
            <v>0</v>
          </cell>
        </row>
        <row r="637">
          <cell r="A637" t="str">
            <v>Daetwyler Swisstec India Pvt. Ltd.</v>
          </cell>
          <cell r="B637">
            <v>0</v>
          </cell>
        </row>
        <row r="638">
          <cell r="A638" t="str">
            <v>Dajusa 2002 S.L.</v>
          </cell>
          <cell r="B638">
            <v>119477.72</v>
          </cell>
        </row>
        <row r="639">
          <cell r="A639" t="str">
            <v>Dapic Electronics And Automation</v>
          </cell>
          <cell r="B639">
            <v>0</v>
          </cell>
        </row>
        <row r="640">
          <cell r="A640" t="str">
            <v>Darshan Surveying Co.</v>
          </cell>
          <cell r="B640">
            <v>0</v>
          </cell>
        </row>
        <row r="641">
          <cell r="A641" t="str">
            <v>Darshil Enterprise</v>
          </cell>
          <cell r="B641">
            <v>0.48</v>
          </cell>
        </row>
        <row r="642">
          <cell r="A642" t="str">
            <v>Das Hari Hotels Private Limited</v>
          </cell>
          <cell r="B642">
            <v>0</v>
          </cell>
        </row>
        <row r="643">
          <cell r="A643" t="str">
            <v>Dbl Stn Winder-1.2 Mtr-Unfld Dvc &amp; Thrm Cuter</v>
          </cell>
          <cell r="B643">
            <v>2659625.63</v>
          </cell>
        </row>
        <row r="644">
          <cell r="A644" t="str">
            <v>De Paauw Plasticrecycling B.V.</v>
          </cell>
          <cell r="B644">
            <v>-2846.1</v>
          </cell>
        </row>
        <row r="645">
          <cell r="A645" t="str">
            <v>Deccan Sales &amp; Service Pvt Ltd</v>
          </cell>
          <cell r="B645">
            <v>0</v>
          </cell>
        </row>
        <row r="646">
          <cell r="A646" t="str">
            <v>Deep M. Thacker</v>
          </cell>
          <cell r="B646">
            <v>-22800</v>
          </cell>
        </row>
        <row r="647">
          <cell r="A647" t="str">
            <v>Deepak Overseas</v>
          </cell>
          <cell r="B647">
            <v>1606180.44</v>
          </cell>
        </row>
        <row r="648">
          <cell r="A648" t="str">
            <v>Deepwell</v>
          </cell>
          <cell r="B648">
            <v>1051369</v>
          </cell>
        </row>
        <row r="649">
          <cell r="A649" t="str">
            <v>Deffered Tax Liability A/c</v>
          </cell>
          <cell r="B649">
            <v>-58806496.329999998</v>
          </cell>
        </row>
        <row r="650">
          <cell r="A650" t="str">
            <v>Deluxe Plastic Works</v>
          </cell>
          <cell r="B650">
            <v>-8130</v>
          </cell>
        </row>
        <row r="651">
          <cell r="A651" t="str">
            <v>Deposit - Legal Suit</v>
          </cell>
          <cell r="B651">
            <v>861066</v>
          </cell>
        </row>
        <row r="652">
          <cell r="A652" t="str">
            <v>Desai Janak Kumar Ganeshbhai</v>
          </cell>
          <cell r="B652">
            <v>0</v>
          </cell>
        </row>
        <row r="653">
          <cell r="A653" t="str">
            <v>Desai Pinkeeben Jitendrakumar</v>
          </cell>
          <cell r="B653">
            <v>0</v>
          </cell>
        </row>
        <row r="654">
          <cell r="A654" t="str">
            <v>Desai Rajendar Kumar Ganeshbhai</v>
          </cell>
          <cell r="B654">
            <v>0</v>
          </cell>
        </row>
        <row r="655">
          <cell r="A655" t="str">
            <v>Destiny Creator</v>
          </cell>
          <cell r="B655">
            <v>0</v>
          </cell>
        </row>
        <row r="656">
          <cell r="A656" t="str">
            <v>Dev Agencies - Purchase</v>
          </cell>
          <cell r="B656">
            <v>0</v>
          </cell>
        </row>
        <row r="657">
          <cell r="A657" t="str">
            <v>Dev Automation</v>
          </cell>
          <cell r="B657">
            <v>-5616</v>
          </cell>
        </row>
        <row r="658">
          <cell r="A658" t="str">
            <v>Dev Enterprise</v>
          </cell>
          <cell r="B658">
            <v>0</v>
          </cell>
        </row>
        <row r="659">
          <cell r="A659" t="str">
            <v>Dev Polyplast</v>
          </cell>
          <cell r="B659">
            <v>7080</v>
          </cell>
        </row>
        <row r="660">
          <cell r="A660" t="str">
            <v>Devi Glass</v>
          </cell>
          <cell r="B660">
            <v>-6676</v>
          </cell>
        </row>
        <row r="661">
          <cell r="A661" t="str">
            <v>Devichand G Shah</v>
          </cell>
          <cell r="B661">
            <v>2000</v>
          </cell>
        </row>
        <row r="662">
          <cell r="A662" t="str">
            <v>Devikrupa Mobility Services</v>
          </cell>
          <cell r="B662">
            <v>-137536</v>
          </cell>
        </row>
        <row r="663">
          <cell r="A663" t="str">
            <v>DG Set</v>
          </cell>
          <cell r="B663">
            <v>5663165</v>
          </cell>
        </row>
        <row r="664">
          <cell r="A664" t="str">
            <v>Dhanlaxmi Trading Corporation</v>
          </cell>
          <cell r="B664">
            <v>10210.85</v>
          </cell>
        </row>
        <row r="665">
          <cell r="A665" t="str">
            <v>Dhanraj Harjibhai Rabari</v>
          </cell>
          <cell r="B665">
            <v>0</v>
          </cell>
        </row>
        <row r="666">
          <cell r="A666" t="str">
            <v>Dharmendrasinh Lalsinh Rathod</v>
          </cell>
          <cell r="B666">
            <v>0</v>
          </cell>
        </row>
        <row r="667">
          <cell r="A667" t="str">
            <v>Dharmi Techno Fab</v>
          </cell>
          <cell r="B667">
            <v>-0.33</v>
          </cell>
        </row>
        <row r="668">
          <cell r="A668" t="str">
            <v>Dhaval Print House</v>
          </cell>
          <cell r="B668">
            <v>0</v>
          </cell>
        </row>
        <row r="669">
          <cell r="A669" t="str">
            <v>DHL Express (India) Pvt Ltd - Delhi</v>
          </cell>
          <cell r="B669">
            <v>21147</v>
          </cell>
        </row>
        <row r="670">
          <cell r="A670" t="str">
            <v>DHL Express (India) Pvt Ltd - Maharashtra</v>
          </cell>
          <cell r="B670">
            <v>11396.6</v>
          </cell>
        </row>
        <row r="671">
          <cell r="A671" t="str">
            <v>Dhruva Advisors India Private Limited</v>
          </cell>
          <cell r="B671">
            <v>0</v>
          </cell>
        </row>
        <row r="672">
          <cell r="A672" t="str">
            <v>Dhruva Advisors LLP</v>
          </cell>
          <cell r="B672">
            <v>-1</v>
          </cell>
        </row>
        <row r="673">
          <cell r="A673" t="str">
            <v>Diamond Rubber Industries</v>
          </cell>
          <cell r="B673">
            <v>-4886</v>
          </cell>
        </row>
        <row r="674">
          <cell r="A674" t="str">
            <v>Die Adapter ( Under Water Palletizing System)</v>
          </cell>
          <cell r="B674">
            <v>86000</v>
          </cell>
        </row>
        <row r="675">
          <cell r="A675" t="str">
            <v>Digital Camera</v>
          </cell>
          <cell r="B675">
            <v>200728.55</v>
          </cell>
        </row>
        <row r="676">
          <cell r="A676" t="str">
            <v>Digital Conditioning Chamber</v>
          </cell>
          <cell r="B676">
            <v>52020</v>
          </cell>
        </row>
        <row r="677">
          <cell r="A677" t="str">
            <v>Dikul P Soni</v>
          </cell>
          <cell r="B677">
            <v>10000</v>
          </cell>
        </row>
        <row r="678">
          <cell r="A678" t="str">
            <v>Dilipmiya Chandmiya Malek</v>
          </cell>
          <cell r="B678">
            <v>0</v>
          </cell>
        </row>
        <row r="679">
          <cell r="A679" t="str">
            <v>Din Engineering Works</v>
          </cell>
          <cell r="B679">
            <v>0</v>
          </cell>
        </row>
        <row r="680">
          <cell r="A680" t="str">
            <v>Dineshkumar Shantilal &amp; Co.</v>
          </cell>
          <cell r="B680">
            <v>-0.09</v>
          </cell>
        </row>
        <row r="681">
          <cell r="A681" t="str">
            <v>Discount &amp; Rate Difference - Purchase</v>
          </cell>
          <cell r="B681">
            <v>-10940674.1</v>
          </cell>
        </row>
        <row r="682">
          <cell r="A682" t="str">
            <v>Discount &amp; Rate Difference - Sales</v>
          </cell>
          <cell r="B682">
            <v>3677444.86</v>
          </cell>
        </row>
        <row r="683">
          <cell r="A683" t="str">
            <v>Discount &amp; Rebate On Sale</v>
          </cell>
          <cell r="B683">
            <v>-49034.25</v>
          </cell>
        </row>
        <row r="684">
          <cell r="A684" t="str">
            <v>Discovery Agritech</v>
          </cell>
          <cell r="B684">
            <v>3699169</v>
          </cell>
        </row>
        <row r="685">
          <cell r="A685" t="str">
            <v>Disha Trading</v>
          </cell>
          <cell r="B685">
            <v>-16800</v>
          </cell>
        </row>
        <row r="686">
          <cell r="A686" t="str">
            <v>Divine Enterprise</v>
          </cell>
          <cell r="B686">
            <v>0</v>
          </cell>
        </row>
        <row r="687">
          <cell r="A687" t="str">
            <v>Divyaraj Enterprise</v>
          </cell>
          <cell r="B687">
            <v>260000</v>
          </cell>
        </row>
        <row r="688">
          <cell r="A688" t="str">
            <v>Diza Nonwoven LLP</v>
          </cell>
          <cell r="B688">
            <v>0</v>
          </cell>
        </row>
        <row r="689">
          <cell r="A689" t="str">
            <v>Dns Global Logistics LLP - 24AAYFD6424H1Z5</v>
          </cell>
          <cell r="B689">
            <v>-1</v>
          </cell>
        </row>
        <row r="690">
          <cell r="A690" t="str">
            <v>Doha Plastic Company</v>
          </cell>
          <cell r="B690">
            <v>0</v>
          </cell>
        </row>
        <row r="691">
          <cell r="A691" t="str">
            <v>Dolphin Polyplast Pvt Ltd</v>
          </cell>
          <cell r="B691">
            <v>-12686</v>
          </cell>
        </row>
        <row r="692">
          <cell r="A692" t="str">
            <v>Donation &amp; Charity A/C</v>
          </cell>
          <cell r="B692">
            <v>345288</v>
          </cell>
        </row>
        <row r="693">
          <cell r="A693" t="str">
            <v>Dongguan Saipu Electromechanical Device Co. Ltd</v>
          </cell>
          <cell r="B693">
            <v>-1891.76</v>
          </cell>
        </row>
        <row r="694">
          <cell r="A694" t="str">
            <v>Doshi Enterprises</v>
          </cell>
          <cell r="B694">
            <v>-236</v>
          </cell>
        </row>
        <row r="695">
          <cell r="A695" t="str">
            <v>Doteco SpA</v>
          </cell>
          <cell r="B695">
            <v>0</v>
          </cell>
        </row>
        <row r="696">
          <cell r="A696" t="str">
            <v>Dow Chemical International Pvt Ltd</v>
          </cell>
          <cell r="B696">
            <v>-29395.58</v>
          </cell>
        </row>
        <row r="697">
          <cell r="A697" t="str">
            <v>Dow Chemical Pacific (Singapore)Pte.</v>
          </cell>
          <cell r="B697">
            <v>0</v>
          </cell>
        </row>
        <row r="698">
          <cell r="A698" t="str">
            <v>Dragon Land Corporation Limited</v>
          </cell>
          <cell r="B698">
            <v>0</v>
          </cell>
        </row>
        <row r="699">
          <cell r="A699" t="str">
            <v>Drasti Power Tools &amp; Electricals</v>
          </cell>
          <cell r="B699">
            <v>-4532</v>
          </cell>
        </row>
        <row r="700">
          <cell r="A700" t="str">
            <v>Drill Machine A/C</v>
          </cell>
          <cell r="B700">
            <v>168110</v>
          </cell>
        </row>
        <row r="701">
          <cell r="A701" t="str">
            <v>DS SafetyWear Arbeitsschutzprodukte GmbH</v>
          </cell>
          <cell r="B701">
            <v>0</v>
          </cell>
        </row>
        <row r="702">
          <cell r="A702" t="str">
            <v>Dsv Air &amp; Sea Private Limited</v>
          </cell>
          <cell r="B702">
            <v>-111058</v>
          </cell>
        </row>
        <row r="703">
          <cell r="A703" t="str">
            <v>Dubai Aviation Corporation_24AADCD4487A1ZZ</v>
          </cell>
          <cell r="B703">
            <v>-13120</v>
          </cell>
        </row>
        <row r="704">
          <cell r="A704" t="str">
            <v>Duet India Hotels Ahmedabad Pvt. Ltd_24AACCD3915E1Z5</v>
          </cell>
          <cell r="B704">
            <v>-4999.93</v>
          </cell>
        </row>
        <row r="705">
          <cell r="A705" t="str">
            <v>Dugar Polytex Private Limited - Purchase</v>
          </cell>
          <cell r="B705">
            <v>0</v>
          </cell>
        </row>
        <row r="706">
          <cell r="A706" t="str">
            <v>Dun &amp; Bradstreet Information Services India Private Limited</v>
          </cell>
          <cell r="B706">
            <v>0</v>
          </cell>
        </row>
        <row r="707">
          <cell r="A707" t="str">
            <v>Duplex Slitter Rewinding Machine</v>
          </cell>
          <cell r="B707">
            <v>3655871</v>
          </cell>
        </row>
        <row r="708">
          <cell r="A708" t="str">
            <v>Dutron Products</v>
          </cell>
          <cell r="B708">
            <v>-40001</v>
          </cell>
        </row>
        <row r="709">
          <cell r="A709" t="str">
            <v>Duty Clearing Account</v>
          </cell>
          <cell r="B709">
            <v>238440.95999999999</v>
          </cell>
        </row>
        <row r="710">
          <cell r="A710" t="str">
            <v>Duty Drawback Receivable</v>
          </cell>
          <cell r="B710">
            <v>-1109</v>
          </cell>
        </row>
        <row r="711">
          <cell r="A711" t="str">
            <v>Dwarkesh Refrigeration And Electrical</v>
          </cell>
          <cell r="B711">
            <v>-23400</v>
          </cell>
        </row>
        <row r="712">
          <cell r="A712" t="str">
            <v>Dwarkesh Roadways</v>
          </cell>
          <cell r="B712">
            <v>0</v>
          </cell>
        </row>
        <row r="713">
          <cell r="A713" t="str">
            <v>Dwarkesh Water Supply</v>
          </cell>
          <cell r="B713">
            <v>-680</v>
          </cell>
        </row>
        <row r="714">
          <cell r="A714" t="str">
            <v>Dyesun Liva Chemicals</v>
          </cell>
          <cell r="B714">
            <v>-105232</v>
          </cell>
        </row>
        <row r="715">
          <cell r="A715" t="str">
            <v>Dynamic Cleaning System</v>
          </cell>
          <cell r="B715">
            <v>0.66</v>
          </cell>
        </row>
        <row r="716">
          <cell r="A716" t="str">
            <v>Dynamic Wooltex</v>
          </cell>
          <cell r="B716">
            <v>0</v>
          </cell>
        </row>
        <row r="717">
          <cell r="A717" t="str">
            <v>Eagle Polymers</v>
          </cell>
          <cell r="B717">
            <v>0</v>
          </cell>
        </row>
        <row r="718">
          <cell r="A718" t="str">
            <v>Earth Envirotech</v>
          </cell>
          <cell r="B718">
            <v>0</v>
          </cell>
        </row>
        <row r="719">
          <cell r="A719" t="str">
            <v>Eckert &amp; Ziegler Isotope Products Gmbh</v>
          </cell>
          <cell r="B719">
            <v>0</v>
          </cell>
        </row>
        <row r="720">
          <cell r="A720" t="str">
            <v>ECLTerm Loan_SCB_005910514</v>
          </cell>
          <cell r="B720">
            <v>-9332038.1099999994</v>
          </cell>
        </row>
        <row r="721">
          <cell r="A721" t="str">
            <v>ECLTerm Loan_SCB_005910841</v>
          </cell>
          <cell r="B721">
            <v>-11212500</v>
          </cell>
        </row>
        <row r="722">
          <cell r="A722" t="str">
            <v>Edelweiss General Insurance Company Limited</v>
          </cell>
          <cell r="B722">
            <v>0</v>
          </cell>
        </row>
        <row r="723">
          <cell r="A723" t="str">
            <v>Egyptian Agriculture Services &amp; Trade Co</v>
          </cell>
          <cell r="B723">
            <v>0</v>
          </cell>
        </row>
        <row r="724">
          <cell r="A724" t="str">
            <v>El Dorado Shipping Sack</v>
          </cell>
          <cell r="B724">
            <v>0</v>
          </cell>
        </row>
        <row r="725">
          <cell r="A725" t="str">
            <v>El-Fedawy Pack For Import And Export</v>
          </cell>
          <cell r="B725">
            <v>0</v>
          </cell>
        </row>
        <row r="726">
          <cell r="A726" t="str">
            <v>Electric Installation</v>
          </cell>
          <cell r="B726">
            <v>41389664.659999996</v>
          </cell>
        </row>
        <row r="727">
          <cell r="A727" t="str">
            <v>Electric Motors</v>
          </cell>
          <cell r="B727">
            <v>144681</v>
          </cell>
        </row>
        <row r="728">
          <cell r="A728" t="str">
            <v>Electrical Expense</v>
          </cell>
          <cell r="B728">
            <v>4019932.49</v>
          </cell>
        </row>
        <row r="729">
          <cell r="A729" t="str">
            <v>Electricity Exp (Staff Colony)</v>
          </cell>
          <cell r="B729">
            <v>438208</v>
          </cell>
        </row>
        <row r="730">
          <cell r="A730" t="str">
            <v>Electricity Exp. (Office)</v>
          </cell>
          <cell r="B730">
            <v>7497</v>
          </cell>
        </row>
        <row r="731">
          <cell r="A731" t="str">
            <v>Electrifilament Lamp</v>
          </cell>
          <cell r="B731">
            <v>1194762</v>
          </cell>
        </row>
        <row r="732">
          <cell r="A732" t="str">
            <v>Electro Mek Control</v>
          </cell>
          <cell r="B732">
            <v>-174404</v>
          </cell>
        </row>
        <row r="733">
          <cell r="A733" t="str">
            <v>Electronics And Quality Development Centre</v>
          </cell>
          <cell r="B733">
            <v>0</v>
          </cell>
        </row>
        <row r="734">
          <cell r="A734" t="str">
            <v>Elevar Industries</v>
          </cell>
          <cell r="B734">
            <v>0</v>
          </cell>
        </row>
        <row r="735">
          <cell r="A735" t="str">
            <v>Elevate Graphics Studio</v>
          </cell>
          <cell r="B735">
            <v>-708</v>
          </cell>
        </row>
        <row r="736">
          <cell r="A736" t="str">
            <v>Elinor International Private Limited</v>
          </cell>
          <cell r="B736">
            <v>465357.79</v>
          </cell>
        </row>
        <row r="737">
          <cell r="A737" t="str">
            <v>Elite Inks Pvt Ltd-Purchase</v>
          </cell>
          <cell r="B737">
            <v>909333</v>
          </cell>
        </row>
        <row r="738">
          <cell r="A738" t="str">
            <v>ELS Sacs Voladors, S.L.U</v>
          </cell>
          <cell r="B738">
            <v>14545125.99</v>
          </cell>
        </row>
        <row r="739">
          <cell r="A739" t="str">
            <v>Elway Industries, Inc</v>
          </cell>
          <cell r="B739">
            <v>0</v>
          </cell>
        </row>
        <row r="740">
          <cell r="A740" t="str">
            <v>Eminent Globexim</v>
          </cell>
          <cell r="B740">
            <v>0</v>
          </cell>
        </row>
        <row r="741">
          <cell r="A741" t="str">
            <v>Eminent Power</v>
          </cell>
          <cell r="B741">
            <v>0</v>
          </cell>
        </row>
        <row r="742">
          <cell r="A742" t="str">
            <v>Eminent Shipping Services LLP</v>
          </cell>
          <cell r="B742">
            <v>-67711</v>
          </cell>
        </row>
        <row r="743">
          <cell r="A743" t="str">
            <v>Emirates Calcium Carbonate Factory L.L.C</v>
          </cell>
          <cell r="B743">
            <v>0</v>
          </cell>
        </row>
        <row r="744">
          <cell r="A744" t="str">
            <v>Emirates_07AAACE1237C2ZA</v>
          </cell>
          <cell r="B744">
            <v>-89578</v>
          </cell>
        </row>
        <row r="745">
          <cell r="A745" t="str">
            <v>Empire Multipack</v>
          </cell>
          <cell r="B745">
            <v>0</v>
          </cell>
        </row>
        <row r="746">
          <cell r="A746" t="str">
            <v>Employees Contribution to PF - Factory</v>
          </cell>
          <cell r="B746">
            <v>-32262</v>
          </cell>
        </row>
        <row r="747">
          <cell r="A747" t="str">
            <v>Employees Contribution to PF - H.O.</v>
          </cell>
          <cell r="B747">
            <v>-7709</v>
          </cell>
        </row>
        <row r="748">
          <cell r="A748" t="str">
            <v>Emporos Links Private Limited</v>
          </cell>
          <cell r="B748">
            <v>-295000</v>
          </cell>
        </row>
        <row r="749">
          <cell r="A749" t="str">
            <v>Endeavour Instrument Pvt Ltd</v>
          </cell>
          <cell r="B749">
            <v>0</v>
          </cell>
        </row>
        <row r="750">
          <cell r="A750" t="str">
            <v>Energemech Incorporation</v>
          </cell>
          <cell r="B750">
            <v>-1180.3800000000001</v>
          </cell>
        </row>
        <row r="751">
          <cell r="A751" t="str">
            <v>Enox Non Woven Pvt Ltd</v>
          </cell>
          <cell r="B751">
            <v>2604.5500000000002</v>
          </cell>
        </row>
        <row r="752">
          <cell r="A752" t="str">
            <v>Enshrine Energy</v>
          </cell>
          <cell r="B752">
            <v>0</v>
          </cell>
        </row>
        <row r="753">
          <cell r="A753" t="str">
            <v>Enviroplast Inc</v>
          </cell>
          <cell r="B753">
            <v>0</v>
          </cell>
        </row>
        <row r="754">
          <cell r="A754" t="str">
            <v>EPABX</v>
          </cell>
          <cell r="B754">
            <v>38693</v>
          </cell>
        </row>
        <row r="755">
          <cell r="A755" t="str">
            <v>Eplast Industries LLP</v>
          </cell>
          <cell r="B755">
            <v>0</v>
          </cell>
        </row>
        <row r="756">
          <cell r="A756" t="str">
            <v>ERD - Customers</v>
          </cell>
          <cell r="B756">
            <v>335375.42</v>
          </cell>
        </row>
        <row r="757">
          <cell r="A757" t="str">
            <v>Erhardt + Leimer (India) Pvt Ltd</v>
          </cell>
          <cell r="B757">
            <v>10464.870000000001</v>
          </cell>
        </row>
        <row r="758">
          <cell r="A758" t="str">
            <v>Espee Electricals</v>
          </cell>
          <cell r="B758">
            <v>-45045</v>
          </cell>
        </row>
        <row r="759">
          <cell r="A759" t="str">
            <v>Essen Electromech</v>
          </cell>
          <cell r="B759">
            <v>0</v>
          </cell>
        </row>
        <row r="760">
          <cell r="A760" t="str">
            <v>Euro Premium Solar System (India) Private Limited</v>
          </cell>
          <cell r="B760">
            <v>0</v>
          </cell>
        </row>
        <row r="761">
          <cell r="A761" t="str">
            <v>Ever Bags Packaging Private Limited</v>
          </cell>
          <cell r="B761">
            <v>-12951</v>
          </cell>
        </row>
        <row r="762">
          <cell r="A762" t="str">
            <v>Everplus Plastics Pvt Ltd</v>
          </cell>
          <cell r="B762">
            <v>-1365.78</v>
          </cell>
        </row>
        <row r="763">
          <cell r="A763" t="str">
            <v>Everplus Plastics Pvt Ltd.- Sales</v>
          </cell>
          <cell r="B763">
            <v>0</v>
          </cell>
        </row>
        <row r="764">
          <cell r="A764" t="str">
            <v>Evolution Elektrotech Pvt Ltd</v>
          </cell>
          <cell r="B764">
            <v>0.18</v>
          </cell>
        </row>
        <row r="765">
          <cell r="A765" t="str">
            <v>Excel Marketing</v>
          </cell>
          <cell r="B765">
            <v>0</v>
          </cell>
        </row>
        <row r="766">
          <cell r="A766" t="str">
            <v>Excel Office Solution</v>
          </cell>
          <cell r="B766">
            <v>-358839.84</v>
          </cell>
        </row>
        <row r="767">
          <cell r="A767" t="str">
            <v>Excel Surveyors Pvt Ltd</v>
          </cell>
          <cell r="B767">
            <v>-18290</v>
          </cell>
        </row>
        <row r="768">
          <cell r="A768" t="str">
            <v>Excellent Material</v>
          </cell>
          <cell r="B768">
            <v>-25960</v>
          </cell>
        </row>
        <row r="769">
          <cell r="A769" t="str">
            <v>Excelsior Engineering Enterprise</v>
          </cell>
          <cell r="B769">
            <v>-2053</v>
          </cell>
        </row>
        <row r="770">
          <cell r="A770" t="str">
            <v>Exchange Rate Difference - Capital Creditor</v>
          </cell>
          <cell r="B770">
            <v>4515</v>
          </cell>
        </row>
        <row r="771">
          <cell r="A771" t="str">
            <v>Exchange Rate Difference - Creditor</v>
          </cell>
          <cell r="B771">
            <v>1841937.27</v>
          </cell>
        </row>
        <row r="772">
          <cell r="A772" t="str">
            <v>Exchange Rate Difference - Debtors</v>
          </cell>
          <cell r="B772">
            <v>-59222862.520000003</v>
          </cell>
        </row>
        <row r="773">
          <cell r="A773" t="str">
            <v>Exds Engineering</v>
          </cell>
          <cell r="B773">
            <v>-25782</v>
          </cell>
        </row>
        <row r="774">
          <cell r="A774" t="str">
            <v>Exim Handelsonderneming Rotterdam Bv</v>
          </cell>
          <cell r="B774">
            <v>0.01</v>
          </cell>
        </row>
        <row r="775">
          <cell r="A775" t="str">
            <v>Eximius Innovative Private Limited</v>
          </cell>
          <cell r="B775">
            <v>0</v>
          </cell>
        </row>
        <row r="776">
          <cell r="A776" t="str">
            <v>Eximius Techtex Private Limited</v>
          </cell>
          <cell r="B776">
            <v>0</v>
          </cell>
        </row>
        <row r="777">
          <cell r="A777" t="str">
            <v>Expert Printing Machine</v>
          </cell>
          <cell r="B777">
            <v>72799.899999999994</v>
          </cell>
        </row>
        <row r="778">
          <cell r="A778" t="str">
            <v>Export Advance Licence Benifit Accured</v>
          </cell>
          <cell r="B778">
            <v>86941777.180000007</v>
          </cell>
        </row>
        <row r="779">
          <cell r="A779" t="str">
            <v>Export Import Bank Of India - 27AAACE2769D1ZS</v>
          </cell>
          <cell r="B779">
            <v>0</v>
          </cell>
        </row>
        <row r="780">
          <cell r="A780" t="str">
            <v>Export Inspection Agency_24AAAGE1592G1ZP</v>
          </cell>
          <cell r="B780">
            <v>-3540</v>
          </cell>
        </row>
        <row r="781">
          <cell r="A781" t="str">
            <v>Export related Certification Charges</v>
          </cell>
          <cell r="B781">
            <v>30890.639999999999</v>
          </cell>
        </row>
        <row r="782">
          <cell r="A782" t="str">
            <v>Express Trade Ltd</v>
          </cell>
          <cell r="B782">
            <v>0</v>
          </cell>
        </row>
        <row r="783">
          <cell r="A783" t="str">
            <v>Extrusion Line Barmag-Sulzer Looms</v>
          </cell>
          <cell r="B783">
            <v>-1932794</v>
          </cell>
        </row>
        <row r="784">
          <cell r="A784" t="str">
            <v>Exxonmobil Chemical Asia Pacific</v>
          </cell>
          <cell r="B784">
            <v>-62159.62</v>
          </cell>
        </row>
        <row r="785">
          <cell r="A785" t="str">
            <v>Exzakta Meccanica Ltd</v>
          </cell>
          <cell r="B785">
            <v>-2803</v>
          </cell>
        </row>
        <row r="786">
          <cell r="A786" t="str">
            <v>Fa Cutter Single  Ymp Plant</v>
          </cell>
          <cell r="B786">
            <v>28350</v>
          </cell>
        </row>
        <row r="787">
          <cell r="A787" t="str">
            <v>Fa- Tapeline 350Kg-Sjpl-Z-110X33-12X10</v>
          </cell>
          <cell r="B787">
            <v>30366108.780000001</v>
          </cell>
        </row>
        <row r="788">
          <cell r="A788" t="str">
            <v>Fa-Tape Line 650Kg-Sjpl-Z-120X32-1500X10</v>
          </cell>
          <cell r="B788">
            <v>39942385.469999999</v>
          </cell>
        </row>
        <row r="789">
          <cell r="A789" t="str">
            <v>Fabric Cutting Machine</v>
          </cell>
          <cell r="B789">
            <v>15817058.75</v>
          </cell>
        </row>
        <row r="790">
          <cell r="A790" t="str">
            <v>Face &amp; Fingerprint M/C (Punching M/C)</v>
          </cell>
          <cell r="B790">
            <v>99600</v>
          </cell>
        </row>
        <row r="791">
          <cell r="A791" t="str">
            <v>Face Recognistaion  System</v>
          </cell>
          <cell r="B791">
            <v>53550</v>
          </cell>
        </row>
        <row r="792">
          <cell r="A792" t="str">
            <v>Factoring Charges</v>
          </cell>
          <cell r="B792">
            <v>2641241.9700000002</v>
          </cell>
        </row>
        <row r="793">
          <cell r="A793" t="str">
            <v>Factory Building</v>
          </cell>
          <cell r="B793">
            <v>175649646.97</v>
          </cell>
        </row>
        <row r="794">
          <cell r="A794" t="str">
            <v>Factory Building - WIP</v>
          </cell>
          <cell r="B794">
            <v>155738303</v>
          </cell>
        </row>
        <row r="795">
          <cell r="A795" t="str">
            <v>Factory Expense</v>
          </cell>
          <cell r="B795">
            <v>792571</v>
          </cell>
        </row>
        <row r="796">
          <cell r="A796" t="str">
            <v>Fairdeal Jumbo Packaging Pvt Ltd - Sales</v>
          </cell>
          <cell r="B796">
            <v>0</v>
          </cell>
        </row>
        <row r="797">
          <cell r="A797" t="str">
            <v>Fairdeal Multifilament Pvt Ltd</v>
          </cell>
          <cell r="B797">
            <v>0</v>
          </cell>
        </row>
        <row r="798">
          <cell r="A798" t="str">
            <v>Fan, Cooler, Heater &amp; Blowers</v>
          </cell>
          <cell r="B798">
            <v>8330504.4900000002</v>
          </cell>
        </row>
        <row r="799">
          <cell r="A799" t="str">
            <v>Fast And Fair Shipping And Logistics</v>
          </cell>
          <cell r="B799">
            <v>0</v>
          </cell>
        </row>
        <row r="800">
          <cell r="A800" t="str">
            <v>Fax Machine</v>
          </cell>
          <cell r="B800">
            <v>25522</v>
          </cell>
        </row>
        <row r="801">
          <cell r="A801" t="str">
            <v>Fcs Itech</v>
          </cell>
          <cell r="B801">
            <v>38940</v>
          </cell>
        </row>
        <row r="802">
          <cell r="A802" t="str">
            <v>Fedex Trade Networks Transport &amp; Brokerage Private Limited - Maharashtra</v>
          </cell>
          <cell r="B802">
            <v>0</v>
          </cell>
        </row>
        <row r="803">
          <cell r="A803" t="str">
            <v>Fees &amp; Taxes</v>
          </cell>
          <cell r="B803">
            <v>71837.17</v>
          </cell>
        </row>
        <row r="804">
          <cell r="A804" t="str">
            <v>Fertiplast S.L.</v>
          </cell>
          <cell r="B804">
            <v>0</v>
          </cell>
        </row>
        <row r="805">
          <cell r="A805" t="str">
            <v>Fertiplast Sacos, S.L.</v>
          </cell>
          <cell r="B805">
            <v>0</v>
          </cell>
        </row>
        <row r="806">
          <cell r="A806" t="str">
            <v>Fibc Heat Cut Machine (Bottom Punching)</v>
          </cell>
          <cell r="B806">
            <v>384315</v>
          </cell>
        </row>
        <row r="807">
          <cell r="A807" t="str">
            <v>Fibco Plastic Industry Llc</v>
          </cell>
          <cell r="B807">
            <v>88311310</v>
          </cell>
        </row>
        <row r="808">
          <cell r="A808" t="str">
            <v>Fibrilltor Pin Roll Shaft</v>
          </cell>
          <cell r="B808">
            <v>96500</v>
          </cell>
        </row>
        <row r="809">
          <cell r="A809" t="str">
            <v>Filler Cord Winder</v>
          </cell>
          <cell r="B809">
            <v>158410</v>
          </cell>
        </row>
        <row r="810">
          <cell r="A810" t="str">
            <v>Filler Machine</v>
          </cell>
          <cell r="B810">
            <v>3500000</v>
          </cell>
        </row>
        <row r="811">
          <cell r="A811" t="str">
            <v>Fine Tech Corporation Pvt Ltd - Surat</v>
          </cell>
          <cell r="B811">
            <v>111474</v>
          </cell>
        </row>
        <row r="812">
          <cell r="A812" t="str">
            <v>Fire Hydrant / Safety System</v>
          </cell>
          <cell r="B812">
            <v>2072956.6</v>
          </cell>
        </row>
        <row r="813">
          <cell r="A813" t="str">
            <v>Fire Safety Extinguisher</v>
          </cell>
          <cell r="B813">
            <v>6942772.3200000003</v>
          </cell>
        </row>
        <row r="814">
          <cell r="A814" t="str">
            <v>Firojkhan.A.Pathan</v>
          </cell>
          <cell r="B814">
            <v>-21582</v>
          </cell>
        </row>
        <row r="815">
          <cell r="A815" t="str">
            <v>Flesha Paints &amp; Chemicals</v>
          </cell>
          <cell r="B815">
            <v>0</v>
          </cell>
        </row>
        <row r="816">
          <cell r="A816" t="str">
            <v>Flexible Intermediate Bulk Container Association (Fibca)</v>
          </cell>
          <cell r="B816">
            <v>0</v>
          </cell>
        </row>
        <row r="817">
          <cell r="A817" t="str">
            <v>Flexibox Container Gmbh</v>
          </cell>
          <cell r="B817">
            <v>31380.02</v>
          </cell>
        </row>
        <row r="818">
          <cell r="A818" t="str">
            <v>Floraware India Pvt Ltd.</v>
          </cell>
          <cell r="B818">
            <v>121898.5</v>
          </cell>
        </row>
        <row r="819">
          <cell r="A819" t="str">
            <v>Fly Platform Machine</v>
          </cell>
          <cell r="B819">
            <v>176500</v>
          </cell>
        </row>
        <row r="820">
          <cell r="A820" t="str">
            <v>Fm57 Firesystem</v>
          </cell>
          <cell r="B820">
            <v>-6844</v>
          </cell>
        </row>
        <row r="821">
          <cell r="A821" t="str">
            <v>Fork Lift - Ace</v>
          </cell>
          <cell r="B821">
            <v>1818539</v>
          </cell>
        </row>
        <row r="822">
          <cell r="A822" t="str">
            <v>Forklift Diesel Operated</v>
          </cell>
          <cell r="B822">
            <v>766214</v>
          </cell>
        </row>
        <row r="823">
          <cell r="A823" t="str">
            <v>Forklift RTO Rg No - Second</v>
          </cell>
          <cell r="B823">
            <v>669798</v>
          </cell>
        </row>
        <row r="824">
          <cell r="A824" t="str">
            <v>Forklift Truck Model No.FDZN30</v>
          </cell>
          <cell r="B824">
            <v>7310279.7300000004</v>
          </cell>
        </row>
        <row r="825">
          <cell r="A825" t="str">
            <v>Forklift Truck, Toyota</v>
          </cell>
          <cell r="B825">
            <v>3428358</v>
          </cell>
        </row>
        <row r="826">
          <cell r="A826" t="str">
            <v>Forklift Voltas</v>
          </cell>
          <cell r="B826">
            <v>1419968.98</v>
          </cell>
        </row>
        <row r="827">
          <cell r="A827" t="str">
            <v>Form Edit Cefea</v>
          </cell>
          <cell r="B827">
            <v>2718.22</v>
          </cell>
        </row>
        <row r="828">
          <cell r="A828" t="str">
            <v>Formosa Synthetics Pvt . Ltd</v>
          </cell>
          <cell r="B828">
            <v>0</v>
          </cell>
        </row>
        <row r="829">
          <cell r="A829" t="str">
            <v>Fortune Shipping Private Limited</v>
          </cell>
          <cell r="B829">
            <v>-7084.2</v>
          </cell>
        </row>
        <row r="830">
          <cell r="A830" t="str">
            <v>Fortune Shipping Services Pvt Ltd</v>
          </cell>
          <cell r="B830">
            <v>0</v>
          </cell>
        </row>
        <row r="831">
          <cell r="A831" t="str">
            <v>FPS Flexibles Chile Spa</v>
          </cell>
          <cell r="B831">
            <v>1667286.17</v>
          </cell>
        </row>
        <row r="832">
          <cell r="A832" t="str">
            <v>FPS Flexibles Irelands Ltd</v>
          </cell>
          <cell r="B832">
            <v>0</v>
          </cell>
        </row>
        <row r="833">
          <cell r="A833" t="str">
            <v>FPS Flexibles UK Ltd</v>
          </cell>
          <cell r="B833">
            <v>7925998.0300000003</v>
          </cell>
        </row>
        <row r="834">
          <cell r="A834" t="str">
            <v>Freight Inward Expense (RCM)</v>
          </cell>
          <cell r="B834">
            <v>973205</v>
          </cell>
        </row>
        <row r="835">
          <cell r="A835" t="str">
            <v>Freight Inward Expense (With GST)</v>
          </cell>
          <cell r="B835">
            <v>357693.63</v>
          </cell>
        </row>
        <row r="836">
          <cell r="A836" t="str">
            <v>Freight Inward Expense (Without Gst)</v>
          </cell>
          <cell r="B836">
            <v>-277930</v>
          </cell>
        </row>
        <row r="837">
          <cell r="A837" t="str">
            <v>Freight Outward Expense  - Export</v>
          </cell>
          <cell r="B837">
            <v>-9076433.3499999996</v>
          </cell>
        </row>
        <row r="838">
          <cell r="A838" t="str">
            <v>Freight Outward Expense (Rcm Inter-State)</v>
          </cell>
          <cell r="B838">
            <v>651100</v>
          </cell>
        </row>
        <row r="839">
          <cell r="A839" t="str">
            <v>Freight Outward Expense (RCM)</v>
          </cell>
          <cell r="B839">
            <v>10510</v>
          </cell>
        </row>
        <row r="840">
          <cell r="A840" t="str">
            <v>Freight Outward Expense (With GST)</v>
          </cell>
          <cell r="B840">
            <v>15227748.67</v>
          </cell>
        </row>
        <row r="841">
          <cell r="A841" t="str">
            <v>Freight outward Expenses (RCM_Withinstate)</v>
          </cell>
          <cell r="B841">
            <v>3116314</v>
          </cell>
        </row>
        <row r="842">
          <cell r="A842" t="str">
            <v>Frelun S.A.</v>
          </cell>
          <cell r="B842">
            <v>0.01</v>
          </cell>
        </row>
        <row r="843">
          <cell r="A843" t="str">
            <v>Fretlog India Pvt Ltd</v>
          </cell>
          <cell r="B843">
            <v>0</v>
          </cell>
        </row>
        <row r="844">
          <cell r="A844" t="str">
            <v>Friends Book Agency</v>
          </cell>
          <cell r="B844">
            <v>0</v>
          </cell>
        </row>
        <row r="845">
          <cell r="A845" t="str">
            <v>Friends Polytech Pvt Ltd</v>
          </cell>
          <cell r="B845">
            <v>39346.67</v>
          </cell>
        </row>
        <row r="846">
          <cell r="A846" t="str">
            <v>Full &amp; Final Settlement Payable</v>
          </cell>
          <cell r="B846">
            <v>35895.919999999998</v>
          </cell>
        </row>
        <row r="847">
          <cell r="A847" t="str">
            <v>Fumigation Charges</v>
          </cell>
          <cell r="B847">
            <v>142700</v>
          </cell>
        </row>
        <row r="848">
          <cell r="A848" t="str">
            <v>Furniture &amp; Fixtures</v>
          </cell>
          <cell r="B848">
            <v>11383534.52</v>
          </cell>
        </row>
        <row r="849">
          <cell r="A849" t="str">
            <v>G P Industries</v>
          </cell>
          <cell r="B849">
            <v>-53820</v>
          </cell>
        </row>
        <row r="850">
          <cell r="A850" t="str">
            <v>Gabbar Engineering Co.</v>
          </cell>
          <cell r="B850">
            <v>2047.48</v>
          </cell>
        </row>
        <row r="851">
          <cell r="A851" t="str">
            <v>Gajjar Umesh</v>
          </cell>
          <cell r="B851">
            <v>0</v>
          </cell>
        </row>
        <row r="852">
          <cell r="A852" t="str">
            <v>Galaxy Chemicals</v>
          </cell>
          <cell r="B852">
            <v>-840255</v>
          </cell>
        </row>
        <row r="853">
          <cell r="A853" t="str">
            <v>Galaxy Enterprise</v>
          </cell>
          <cell r="B853">
            <v>0</v>
          </cell>
        </row>
        <row r="854">
          <cell r="A854" t="str">
            <v>Galaxy Heat Products</v>
          </cell>
          <cell r="B854">
            <v>-60249</v>
          </cell>
        </row>
        <row r="855">
          <cell r="A855" t="str">
            <v>Galeb Jameel Dwaikat</v>
          </cell>
          <cell r="B855">
            <v>0</v>
          </cell>
        </row>
        <row r="856">
          <cell r="A856" t="str">
            <v>Gama Packthread Industries</v>
          </cell>
          <cell r="B856">
            <v>0</v>
          </cell>
        </row>
        <row r="857">
          <cell r="A857" t="str">
            <v>Gamara Bharat Velabhai Imprest A/C</v>
          </cell>
          <cell r="B857">
            <v>-14850</v>
          </cell>
        </row>
        <row r="858">
          <cell r="A858" t="str">
            <v>Gandhar Oil Refinery India Ltd. - D AND H</v>
          </cell>
          <cell r="B858">
            <v>7936.81</v>
          </cell>
        </row>
        <row r="859">
          <cell r="A859" t="str">
            <v>Gandhi Automations Pvt Ltd</v>
          </cell>
          <cell r="B859">
            <v>0</v>
          </cell>
        </row>
        <row r="860">
          <cell r="A860" t="str">
            <v>Gandhidham Jain Seva Samiti Medical Store - Purchase</v>
          </cell>
          <cell r="B860">
            <v>-1822</v>
          </cell>
        </row>
        <row r="861">
          <cell r="A861" t="str">
            <v>Ganesh Corporation</v>
          </cell>
          <cell r="B861">
            <v>-5380.6</v>
          </cell>
        </row>
        <row r="862">
          <cell r="A862" t="str">
            <v>Ganesh Plastics</v>
          </cell>
          <cell r="B862">
            <v>0</v>
          </cell>
        </row>
        <row r="863">
          <cell r="A863" t="str">
            <v>Ganesh Poly Graph</v>
          </cell>
          <cell r="B863">
            <v>-25091</v>
          </cell>
        </row>
        <row r="864">
          <cell r="A864" t="str">
            <v>Ganesh Polyfabrics</v>
          </cell>
          <cell r="B864">
            <v>0</v>
          </cell>
        </row>
        <row r="865">
          <cell r="A865" t="str">
            <v>Ganik Plastics</v>
          </cell>
          <cell r="B865">
            <v>0</v>
          </cell>
        </row>
        <row r="866">
          <cell r="A866" t="str">
            <v>Ganpatraj Chandanmal Salecha</v>
          </cell>
          <cell r="B866">
            <v>3037413</v>
          </cell>
        </row>
        <row r="867">
          <cell r="A867" t="str">
            <v>Garden Mainteance Exp</v>
          </cell>
          <cell r="B867">
            <v>8400</v>
          </cell>
        </row>
        <row r="868">
          <cell r="A868" t="str">
            <v>Gati Kintetsu Express Private Limited</v>
          </cell>
          <cell r="B868">
            <v>-1688.58</v>
          </cell>
        </row>
        <row r="869">
          <cell r="A869" t="str">
            <v>Gaurav Trans Engineers Private Limited</v>
          </cell>
          <cell r="B869">
            <v>-4428</v>
          </cell>
        </row>
        <row r="870">
          <cell r="A870" t="str">
            <v>Gayatri Engineering Works</v>
          </cell>
          <cell r="B870">
            <v>-12225</v>
          </cell>
        </row>
        <row r="871">
          <cell r="A871" t="str">
            <v>Gayatri Microns Ltd</v>
          </cell>
          <cell r="B871">
            <v>0</v>
          </cell>
        </row>
        <row r="872">
          <cell r="A872" t="str">
            <v>Gayatri Microns Ltd - Sales</v>
          </cell>
          <cell r="B872">
            <v>0</v>
          </cell>
        </row>
        <row r="873">
          <cell r="A873" t="str">
            <v>Gayatri Petroleums</v>
          </cell>
          <cell r="B873">
            <v>0</v>
          </cell>
        </row>
        <row r="874">
          <cell r="A874" t="str">
            <v>Gayatri Polypack Industries</v>
          </cell>
          <cell r="B874">
            <v>-5000</v>
          </cell>
        </row>
        <row r="875">
          <cell r="A875" t="str">
            <v>Gayatri Rub Tech</v>
          </cell>
          <cell r="B875">
            <v>0</v>
          </cell>
        </row>
        <row r="876">
          <cell r="A876" t="str">
            <v>Gayatri Trading Company</v>
          </cell>
          <cell r="B876">
            <v>-830</v>
          </cell>
        </row>
        <row r="877">
          <cell r="A877" t="str">
            <v>GC-M PTA Company Limited</v>
          </cell>
          <cell r="B877">
            <v>0</v>
          </cell>
        </row>
        <row r="878">
          <cell r="A878" t="str">
            <v>Gcc Minerals Joint Stock Company</v>
          </cell>
          <cell r="B878">
            <v>-6064.8</v>
          </cell>
        </row>
        <row r="879">
          <cell r="A879" t="str">
            <v>Gear Box</v>
          </cell>
          <cell r="B879">
            <v>454473.2</v>
          </cell>
        </row>
        <row r="880">
          <cell r="A880" t="str">
            <v>Gear Box With Motor  Disc</v>
          </cell>
          <cell r="B880">
            <v>1011000</v>
          </cell>
        </row>
        <row r="881">
          <cell r="A881" t="str">
            <v>Gel Krupa Enterprise</v>
          </cell>
          <cell r="B881">
            <v>24649.48</v>
          </cell>
        </row>
        <row r="882">
          <cell r="A882" t="str">
            <v>Gelpac Bags Inc.</v>
          </cell>
          <cell r="B882">
            <v>0</v>
          </cell>
        </row>
        <row r="883">
          <cell r="A883" t="str">
            <v>Georg Sahm Gmbh And Co. Kg - Eschwege</v>
          </cell>
          <cell r="B883">
            <v>-675.64</v>
          </cell>
        </row>
        <row r="884">
          <cell r="A884" t="str">
            <v>Gford Institute Of Management Private Limited</v>
          </cell>
          <cell r="B884">
            <v>2832</v>
          </cell>
        </row>
        <row r="885">
          <cell r="A885" t="str">
            <v>Ghanshyam Enterprise</v>
          </cell>
          <cell r="B885">
            <v>-19406</v>
          </cell>
        </row>
        <row r="886">
          <cell r="A886" t="str">
            <v>Ghanshyam Industries</v>
          </cell>
          <cell r="B886">
            <v>0</v>
          </cell>
        </row>
        <row r="887">
          <cell r="A887" t="str">
            <v>Ghanshyam K. Nenwani</v>
          </cell>
          <cell r="B887">
            <v>0</v>
          </cell>
        </row>
        <row r="888">
          <cell r="A888" t="str">
            <v>GI Pipe &amp; MS Pipes</v>
          </cell>
          <cell r="B888">
            <v>47643.21</v>
          </cell>
        </row>
        <row r="889">
          <cell r="A889" t="str">
            <v>Ginza Machinery Mfg.Co.</v>
          </cell>
          <cell r="B889">
            <v>-59760.84</v>
          </cell>
        </row>
        <row r="890">
          <cell r="A890" t="str">
            <v>Gipack Tech Llp</v>
          </cell>
          <cell r="B890">
            <v>530734.5</v>
          </cell>
        </row>
        <row r="891">
          <cell r="A891" t="str">
            <v>Giri Organic Village Pvt Ltd</v>
          </cell>
          <cell r="B891">
            <v>0</v>
          </cell>
        </row>
        <row r="892">
          <cell r="A892" t="str">
            <v>Girlloh Global Inc</v>
          </cell>
          <cell r="B892">
            <v>10153076</v>
          </cell>
        </row>
        <row r="893">
          <cell r="A893" t="str">
            <v>Gitaben Jitendrakumar Rabari</v>
          </cell>
          <cell r="B893">
            <v>0</v>
          </cell>
        </row>
        <row r="894">
          <cell r="A894" t="str">
            <v>Gladwin Techgen Pvt Ltd</v>
          </cell>
          <cell r="B894">
            <v>0</v>
          </cell>
        </row>
        <row r="895">
          <cell r="A895" t="str">
            <v>Glare Cutlery Private Limited</v>
          </cell>
          <cell r="B895">
            <v>-170.03</v>
          </cell>
        </row>
        <row r="896">
          <cell r="A896" t="str">
            <v>Glasnost India</v>
          </cell>
          <cell r="B896">
            <v>8994.1</v>
          </cell>
        </row>
        <row r="897">
          <cell r="A897" t="str">
            <v>Glasnost India - Purchase</v>
          </cell>
          <cell r="B897">
            <v>0</v>
          </cell>
        </row>
        <row r="898">
          <cell r="A898" t="str">
            <v>Global Import</v>
          </cell>
          <cell r="B898">
            <v>0</v>
          </cell>
        </row>
        <row r="899">
          <cell r="A899" t="str">
            <v>Global Industries</v>
          </cell>
          <cell r="B899">
            <v>-57158.080000000002</v>
          </cell>
        </row>
        <row r="900">
          <cell r="A900" t="str">
            <v>Global Non Woven Fabric</v>
          </cell>
          <cell r="B900">
            <v>-520801.48</v>
          </cell>
        </row>
        <row r="901">
          <cell r="A901" t="str">
            <v>Global Non Woven Fabric Private Limited</v>
          </cell>
          <cell r="B901">
            <v>0</v>
          </cell>
        </row>
        <row r="902">
          <cell r="A902" t="str">
            <v>Global Pak, Inc</v>
          </cell>
          <cell r="B902">
            <v>0</v>
          </cell>
        </row>
        <row r="903">
          <cell r="A903" t="str">
            <v>Global Technitex</v>
          </cell>
          <cell r="B903">
            <v>-53543.19</v>
          </cell>
        </row>
        <row r="904">
          <cell r="A904" t="str">
            <v>Globelink WW India Pvt Ltd</v>
          </cell>
          <cell r="B904">
            <v>-436412</v>
          </cell>
        </row>
        <row r="905">
          <cell r="A905" t="str">
            <v>Glory Duty Free Marine Shops Ltd</v>
          </cell>
          <cell r="B905">
            <v>-750701.35</v>
          </cell>
        </row>
        <row r="906">
          <cell r="A906" t="str">
            <v>Glottis  Ltd</v>
          </cell>
          <cell r="B906">
            <v>0.4</v>
          </cell>
        </row>
        <row r="907">
          <cell r="A907" t="str">
            <v>Gls Speciality Chemicals Private Limited</v>
          </cell>
          <cell r="B907">
            <v>0</v>
          </cell>
        </row>
        <row r="908">
          <cell r="A908" t="str">
            <v>Gluing Machine</v>
          </cell>
          <cell r="B908">
            <v>109908.66</v>
          </cell>
        </row>
        <row r="909">
          <cell r="A909" t="str">
            <v>Gmmco Limited</v>
          </cell>
          <cell r="B909">
            <v>0</v>
          </cell>
        </row>
        <row r="910">
          <cell r="A910" t="str">
            <v>Go Digit General Insurance Limited</v>
          </cell>
          <cell r="B910">
            <v>0</v>
          </cell>
        </row>
        <row r="911">
          <cell r="A911" t="str">
            <v>Go Green Fze</v>
          </cell>
          <cell r="B911">
            <v>0</v>
          </cell>
        </row>
        <row r="912">
          <cell r="A912" t="str">
            <v>Goldmine Multitrade Pvt Ltd</v>
          </cell>
          <cell r="B912">
            <v>-12980</v>
          </cell>
        </row>
        <row r="913">
          <cell r="A913" t="str">
            <v>Gopal Velji Sanjot</v>
          </cell>
          <cell r="B913">
            <v>7592000</v>
          </cell>
        </row>
        <row r="914">
          <cell r="A914" t="str">
            <v>Gopala Polyplast Limited - Purchase</v>
          </cell>
          <cell r="B914">
            <v>0</v>
          </cell>
        </row>
        <row r="915">
          <cell r="A915" t="str">
            <v>Gopala Polyplast Limited - Sales</v>
          </cell>
          <cell r="B915">
            <v>0</v>
          </cell>
        </row>
        <row r="916">
          <cell r="A916" t="str">
            <v>Gopikishan Polyplast Pvt Ltd - Purchase</v>
          </cell>
          <cell r="B916">
            <v>-0.96</v>
          </cell>
        </row>
        <row r="917">
          <cell r="A917" t="str">
            <v>GPRS Corporation</v>
          </cell>
          <cell r="B917">
            <v>0</v>
          </cell>
        </row>
        <row r="918">
          <cell r="A918" t="str">
            <v>Granule Mixer Cum Online Dryer</v>
          </cell>
          <cell r="B918">
            <v>100000</v>
          </cell>
        </row>
        <row r="919">
          <cell r="A919" t="str">
            <v>Grasim Industries Limited</v>
          </cell>
          <cell r="B919">
            <v>1.5</v>
          </cell>
        </row>
        <row r="920">
          <cell r="A920" t="str">
            <v>Grasim Industries Limited - Gujarat</v>
          </cell>
          <cell r="B920">
            <v>0.5</v>
          </cell>
        </row>
        <row r="921">
          <cell r="A921" t="str">
            <v>Gratuity Payable</v>
          </cell>
          <cell r="B921">
            <v>182538</v>
          </cell>
        </row>
        <row r="922">
          <cell r="A922" t="str">
            <v>Gravimetric Dosing Mixing Machine</v>
          </cell>
          <cell r="B922">
            <v>12240440.07</v>
          </cell>
        </row>
        <row r="923">
          <cell r="A923" t="str">
            <v>Green Traders</v>
          </cell>
          <cell r="B923">
            <v>-50959.01</v>
          </cell>
        </row>
        <row r="924">
          <cell r="A924" t="str">
            <v>Greif Embalagens Industriais Do Brasil LTDA</v>
          </cell>
          <cell r="B924">
            <v>0</v>
          </cell>
        </row>
        <row r="925">
          <cell r="A925" t="str">
            <v>Greif Flexibles Ireland Ltd</v>
          </cell>
          <cell r="B925">
            <v>0</v>
          </cell>
        </row>
        <row r="926">
          <cell r="A926" t="str">
            <v>Greif Flexibles Uk Ltd.</v>
          </cell>
          <cell r="B926">
            <v>0</v>
          </cell>
        </row>
        <row r="927">
          <cell r="A927" t="str">
            <v>Grinder Machine</v>
          </cell>
          <cell r="B927">
            <v>5750</v>
          </cell>
        </row>
        <row r="928">
          <cell r="A928" t="str">
            <v>Grippon Infrastructures</v>
          </cell>
          <cell r="B928">
            <v>0</v>
          </cell>
        </row>
        <row r="929">
          <cell r="A929" t="str">
            <v>Ground Rent Charges</v>
          </cell>
          <cell r="B929">
            <v>186468.52</v>
          </cell>
        </row>
        <row r="930">
          <cell r="A930" t="str">
            <v>Gsec Bird Airport Services Private Limited_24AAICG9289Q1ZK</v>
          </cell>
          <cell r="B930">
            <v>0</v>
          </cell>
        </row>
        <row r="931">
          <cell r="A931" t="str">
            <v>GST Appeal A/C</v>
          </cell>
          <cell r="B931">
            <v>1098244</v>
          </cell>
        </row>
        <row r="932">
          <cell r="A932" t="str">
            <v>GST Credit-Non Eligible</v>
          </cell>
          <cell r="B932">
            <v>0</v>
          </cell>
        </row>
        <row r="933">
          <cell r="A933" t="str">
            <v>GST Electronic Cash Ledger</v>
          </cell>
          <cell r="B933">
            <v>309252</v>
          </cell>
        </row>
        <row r="934">
          <cell r="A934" t="str">
            <v>GST Payable A/c</v>
          </cell>
          <cell r="B934">
            <v>0</v>
          </cell>
        </row>
        <row r="935">
          <cell r="A935" t="str">
            <v>GST RCM payable A/c</v>
          </cell>
          <cell r="B935">
            <v>0</v>
          </cell>
        </row>
        <row r="936">
          <cell r="A936" t="str">
            <v>GST Receivable</v>
          </cell>
          <cell r="B936">
            <v>28150741.370000001</v>
          </cell>
        </row>
        <row r="937">
          <cell r="A937" t="str">
            <v>GST Refund Receivable</v>
          </cell>
          <cell r="B937">
            <v>134017</v>
          </cell>
        </row>
        <row r="938">
          <cell r="A938" t="str">
            <v>GST TDS Receivable</v>
          </cell>
          <cell r="B938">
            <v>676.8</v>
          </cell>
        </row>
        <row r="939">
          <cell r="A939" t="str">
            <v>GST under Protest</v>
          </cell>
          <cell r="B939">
            <v>5400904</v>
          </cell>
        </row>
        <row r="940">
          <cell r="A940" t="str">
            <v>Gujarat Energy Transmission Corporation Limited</v>
          </cell>
          <cell r="B940">
            <v>85</v>
          </cell>
        </row>
        <row r="941">
          <cell r="A941" t="str">
            <v>Gujarat EPM Services</v>
          </cell>
          <cell r="B941">
            <v>19470</v>
          </cell>
        </row>
        <row r="942">
          <cell r="A942" t="str">
            <v>Gujarat Polymers</v>
          </cell>
          <cell r="B942">
            <v>5508</v>
          </cell>
        </row>
        <row r="943">
          <cell r="A943" t="str">
            <v>Gujarat Sales Corporation</v>
          </cell>
          <cell r="B943">
            <v>-43675</v>
          </cell>
        </row>
        <row r="944">
          <cell r="A944" t="str">
            <v>Gujarat Tools</v>
          </cell>
          <cell r="B944">
            <v>0</v>
          </cell>
        </row>
        <row r="945">
          <cell r="A945" t="str">
            <v>Gujarat Water Supply &amp; Sewerage Board</v>
          </cell>
          <cell r="B945">
            <v>0</v>
          </cell>
        </row>
        <row r="946">
          <cell r="A946" t="str">
            <v>Gunin Polymers LLP</v>
          </cell>
          <cell r="B946">
            <v>0</v>
          </cell>
        </row>
        <row r="947">
          <cell r="A947" t="str">
            <v>Gunjan Marketing</v>
          </cell>
          <cell r="B947">
            <v>0</v>
          </cell>
        </row>
        <row r="948">
          <cell r="A948" t="str">
            <v>Gunter Kunststoffmaschinen Gmbh</v>
          </cell>
          <cell r="B948">
            <v>0</v>
          </cell>
        </row>
        <row r="949">
          <cell r="A949" t="str">
            <v>Guru Marketing</v>
          </cell>
          <cell r="B949">
            <v>-10711.4</v>
          </cell>
        </row>
        <row r="950">
          <cell r="A950" t="str">
            <v>Guru Rajendra Metalloys India Pvt Ltd</v>
          </cell>
          <cell r="B950">
            <v>0</v>
          </cell>
        </row>
        <row r="951">
          <cell r="A951" t="str">
            <v>Gurunanak Electronics Company</v>
          </cell>
          <cell r="B951">
            <v>-0.5</v>
          </cell>
        </row>
        <row r="952">
          <cell r="A952" t="str">
            <v>H D Trading Co</v>
          </cell>
          <cell r="B952">
            <v>-67320</v>
          </cell>
        </row>
        <row r="953">
          <cell r="A953" t="str">
            <v>H Polesy &amp; Co Pty Ltd</v>
          </cell>
          <cell r="B953">
            <v>11175802.689999999</v>
          </cell>
        </row>
        <row r="954">
          <cell r="A954" t="str">
            <v>H.N.Dave Forklifts</v>
          </cell>
          <cell r="B954">
            <v>0</v>
          </cell>
        </row>
        <row r="955">
          <cell r="A955" t="str">
            <v>Hafi Elektra Pvt Ltd</v>
          </cell>
          <cell r="B955">
            <v>0</v>
          </cell>
        </row>
        <row r="956">
          <cell r="A956" t="str">
            <v>Halai Plastic Bhandar</v>
          </cell>
          <cell r="B956">
            <v>0</v>
          </cell>
        </row>
        <row r="957">
          <cell r="A957" t="str">
            <v>Hamburg Sud India Pvt Ltd</v>
          </cell>
          <cell r="B957">
            <v>0</v>
          </cell>
        </row>
        <row r="958">
          <cell r="A958" t="str">
            <v>Hampidjan Canada Ltd</v>
          </cell>
          <cell r="B958">
            <v>0</v>
          </cell>
        </row>
        <row r="959">
          <cell r="A959" t="str">
            <v>Hanchang Ind. Co., Ltd.</v>
          </cell>
          <cell r="B959">
            <v>0</v>
          </cell>
        </row>
        <row r="960">
          <cell r="A960" t="str">
            <v>Hand Grinder Machine</v>
          </cell>
          <cell r="B960">
            <v>7650</v>
          </cell>
        </row>
        <row r="961">
          <cell r="A961" t="str">
            <v>Hand Sealing Machine</v>
          </cell>
          <cell r="B961">
            <v>21138</v>
          </cell>
        </row>
        <row r="962">
          <cell r="A962" t="str">
            <v>Hanwha Solutions Corporation</v>
          </cell>
          <cell r="B962">
            <v>-136044</v>
          </cell>
        </row>
        <row r="963">
          <cell r="A963" t="str">
            <v>Harchanda Ram</v>
          </cell>
          <cell r="B963">
            <v>-221958</v>
          </cell>
        </row>
        <row r="964">
          <cell r="A964" t="str">
            <v>Harchanda Ram Imprest A/c</v>
          </cell>
          <cell r="B964">
            <v>31604</v>
          </cell>
        </row>
        <row r="965">
          <cell r="A965" t="str">
            <v>Hare Krishna Trading Co.</v>
          </cell>
          <cell r="B965">
            <v>-18638</v>
          </cell>
        </row>
        <row r="966">
          <cell r="A966" t="str">
            <v>Haresh Enterprise</v>
          </cell>
          <cell r="B966">
            <v>0</v>
          </cell>
        </row>
        <row r="967">
          <cell r="A967" t="str">
            <v>Haridarshan Polymers</v>
          </cell>
          <cell r="B967">
            <v>-213539</v>
          </cell>
        </row>
        <row r="968">
          <cell r="A968" t="str">
            <v>Hariom Tradelink</v>
          </cell>
          <cell r="B968">
            <v>0</v>
          </cell>
        </row>
        <row r="969">
          <cell r="A969" t="str">
            <v>Harish B Trivedi</v>
          </cell>
          <cell r="B969">
            <v>0</v>
          </cell>
        </row>
        <row r="970">
          <cell r="A970" t="str">
            <v>Harsh Engineering</v>
          </cell>
          <cell r="B970">
            <v>0</v>
          </cell>
        </row>
        <row r="971">
          <cell r="A971" t="str">
            <v>Harsiddhi Creation</v>
          </cell>
          <cell r="B971">
            <v>-118020.12</v>
          </cell>
        </row>
        <row r="972">
          <cell r="A972" t="str">
            <v>Hasti Petro Chemical And Shipping Ltd.</v>
          </cell>
          <cell r="B972">
            <v>-0.2</v>
          </cell>
        </row>
        <row r="973">
          <cell r="A973" t="str">
            <v>Havmor Plast Private Limited</v>
          </cell>
          <cell r="B973">
            <v>-0.28000000000000003</v>
          </cell>
        </row>
        <row r="974">
          <cell r="A974" t="str">
            <v>Hawa Automation Enterprise</v>
          </cell>
          <cell r="B974">
            <v>0</v>
          </cell>
        </row>
        <row r="975">
          <cell r="A975" t="str">
            <v>Haydraulic Trolly</v>
          </cell>
          <cell r="B975">
            <v>251977</v>
          </cell>
        </row>
        <row r="976">
          <cell r="A976" t="str">
            <v>HCP Enterprise Ltd-ICD</v>
          </cell>
          <cell r="B976">
            <v>88666674.200000003</v>
          </cell>
        </row>
        <row r="977">
          <cell r="A977" t="str">
            <v>HCP Enterprise Ltd-Purchase</v>
          </cell>
          <cell r="B977">
            <v>5794436255.8699999</v>
          </cell>
        </row>
        <row r="978">
          <cell r="A978" t="str">
            <v>HCP Enterprise Ltd-Sales</v>
          </cell>
          <cell r="B978">
            <v>-4434886038.1400003</v>
          </cell>
        </row>
        <row r="979">
          <cell r="A979" t="str">
            <v>HCP Plastene Bulkpack Limited - Purchase</v>
          </cell>
          <cell r="B979">
            <v>-129284286.39</v>
          </cell>
        </row>
        <row r="980">
          <cell r="A980" t="str">
            <v>HCP Plastene Bulkpack Limited - Sales</v>
          </cell>
          <cell r="B980">
            <v>-402959393.75999999</v>
          </cell>
        </row>
        <row r="981">
          <cell r="A981" t="str">
            <v>Hcp Plastene Bulkpack Ltd (Unit Iv) - Sales</v>
          </cell>
          <cell r="B981">
            <v>323469097.17000002</v>
          </cell>
        </row>
        <row r="982">
          <cell r="A982" t="str">
            <v>HCP Plastene Bulkpack Ltd (Unit-III) - Purchase</v>
          </cell>
          <cell r="B982">
            <v>-857471.33</v>
          </cell>
        </row>
        <row r="983">
          <cell r="A983" t="str">
            <v>HCP Plastene Bulkpack Ltd (Unit-III) - Sales</v>
          </cell>
          <cell r="B983">
            <v>0</v>
          </cell>
        </row>
        <row r="984">
          <cell r="A984" t="str">
            <v>Hcp Plastene Bulkpack Ltd (Unit-Iv) - For Gst Balance Only</v>
          </cell>
          <cell r="B984">
            <v>-12386</v>
          </cell>
        </row>
        <row r="985">
          <cell r="A985" t="str">
            <v>Hcp Plastene Bulkpack Ltd (Unit-Iv) - Purchase</v>
          </cell>
          <cell r="B985">
            <v>-23732475.879999999</v>
          </cell>
        </row>
        <row r="986">
          <cell r="A986" t="str">
            <v>Hcp Plastene Bulkpack Ltd Vadodara Purchase</v>
          </cell>
          <cell r="B986">
            <v>9948152.6699999999</v>
          </cell>
        </row>
        <row r="987">
          <cell r="A987" t="str">
            <v>Hcp Plastene Bulkpack Ltd Vadodara-Sales</v>
          </cell>
          <cell r="B987">
            <v>-26714297.350000001</v>
          </cell>
        </row>
        <row r="988">
          <cell r="A988" t="str">
            <v>Hcp Plastene Bulkpack Plt-Malaysia</v>
          </cell>
          <cell r="B988">
            <v>0.01</v>
          </cell>
        </row>
        <row r="989">
          <cell r="A989" t="str">
            <v>Hd Microns Limited</v>
          </cell>
          <cell r="B989">
            <v>656262.9</v>
          </cell>
        </row>
        <row r="990">
          <cell r="A990" t="str">
            <v>Hdfc Bank Limited  Cards Division-33AAACH2702H2Z6</v>
          </cell>
          <cell r="B990">
            <v>0</v>
          </cell>
        </row>
        <row r="991">
          <cell r="A991" t="str">
            <v>HDFC Bank Ltd. Agreement No.83111929 (Chillar)</v>
          </cell>
          <cell r="B991">
            <v>0</v>
          </cell>
        </row>
        <row r="992">
          <cell r="A992" t="str">
            <v>HDFC Bank- Forklift Loan A/C 02612560000175</v>
          </cell>
          <cell r="B992">
            <v>0</v>
          </cell>
        </row>
        <row r="993">
          <cell r="A993" t="str">
            <v>HDFC Bank- Forklift Loan A/C 86245787</v>
          </cell>
          <cell r="B993">
            <v>0</v>
          </cell>
        </row>
        <row r="994">
          <cell r="A994" t="str">
            <v>HDFC Bank- Forklift Loan A/C 86397436</v>
          </cell>
          <cell r="B994">
            <v>0</v>
          </cell>
        </row>
        <row r="995">
          <cell r="A995" t="str">
            <v>HDFC Bank- Forklift Loan A/C 86496959</v>
          </cell>
          <cell r="B995">
            <v>0</v>
          </cell>
        </row>
        <row r="996">
          <cell r="A996" t="str">
            <v>HDFC Car Loan Agreement No. 117652724 - Swift Dezire</v>
          </cell>
          <cell r="B996">
            <v>0</v>
          </cell>
        </row>
        <row r="997">
          <cell r="A997" t="str">
            <v>HDFC Car Loan No Agreement No 139105052 XUV700 GJ01WK4063</v>
          </cell>
          <cell r="B997">
            <v>-923069.63</v>
          </cell>
        </row>
        <row r="998">
          <cell r="A998" t="str">
            <v>Hdpe Line (Pm)</v>
          </cell>
          <cell r="B998">
            <v>381584</v>
          </cell>
        </row>
        <row r="999">
          <cell r="A999" t="str">
            <v>Heading Equipment Machine</v>
          </cell>
          <cell r="B999">
            <v>155000</v>
          </cell>
        </row>
        <row r="1000">
          <cell r="A1000" t="str">
            <v>Heat Exchanger</v>
          </cell>
          <cell r="B1000">
            <v>135000</v>
          </cell>
        </row>
        <row r="1001">
          <cell r="A1001" t="str">
            <v>Heer Engineering</v>
          </cell>
          <cell r="B1001">
            <v>-1058680</v>
          </cell>
        </row>
        <row r="1002">
          <cell r="A1002" t="str">
            <v>Hella Infra Market Private Limited</v>
          </cell>
          <cell r="B1002">
            <v>-6444</v>
          </cell>
        </row>
        <row r="1003">
          <cell r="A1003" t="str">
            <v>Hellagro S.A.</v>
          </cell>
          <cell r="B1003">
            <v>0</v>
          </cell>
        </row>
        <row r="1004">
          <cell r="A1004" t="str">
            <v>Hellmann Worldwide Logistics India Private Limited</v>
          </cell>
          <cell r="B1004">
            <v>0</v>
          </cell>
        </row>
        <row r="1005">
          <cell r="A1005" t="str">
            <v>Hemant Tyre Shop</v>
          </cell>
          <cell r="B1005">
            <v>-1200.01</v>
          </cell>
        </row>
        <row r="1006">
          <cell r="A1006" t="str">
            <v>Hemraj P. Chaudhary</v>
          </cell>
          <cell r="B1006">
            <v>30922.3</v>
          </cell>
        </row>
        <row r="1007">
          <cell r="A1007" t="str">
            <v>Hemtech Incorporated</v>
          </cell>
          <cell r="B1007">
            <v>0</v>
          </cell>
        </row>
        <row r="1008">
          <cell r="A1008" t="str">
            <v>Henry W. Peabody &amp; Co., Inc.</v>
          </cell>
          <cell r="B1008">
            <v>0</v>
          </cell>
        </row>
        <row r="1009">
          <cell r="A1009" t="str">
            <v>Hermione Renewables Private Limited</v>
          </cell>
          <cell r="B1009">
            <v>-41354</v>
          </cell>
        </row>
        <row r="1010">
          <cell r="A1010" t="str">
            <v>Hexagon Globe</v>
          </cell>
          <cell r="B1010">
            <v>0</v>
          </cell>
        </row>
        <row r="1011">
          <cell r="A1011" t="str">
            <v>Hi Flex Hydraulics Pvt Ltd</v>
          </cell>
          <cell r="B1011">
            <v>-0.06</v>
          </cell>
        </row>
        <row r="1012">
          <cell r="A1012" t="str">
            <v>Hi-Tech Inks Private Limited</v>
          </cell>
          <cell r="B1012">
            <v>-106943</v>
          </cell>
        </row>
        <row r="1013">
          <cell r="A1013" t="str">
            <v>Hi-Tech Speciality Films</v>
          </cell>
          <cell r="B1013">
            <v>0</v>
          </cell>
        </row>
        <row r="1014">
          <cell r="A1014" t="str">
            <v>Hidden Gold LLC</v>
          </cell>
          <cell r="B1014">
            <v>0</v>
          </cell>
        </row>
        <row r="1015">
          <cell r="A1015" t="str">
            <v>High Speed Slitting Rewinder</v>
          </cell>
          <cell r="B1015">
            <v>4448742</v>
          </cell>
        </row>
        <row r="1016">
          <cell r="A1016" t="str">
            <v>Hightop Energy Co., LTD</v>
          </cell>
          <cell r="B1016">
            <v>0</v>
          </cell>
        </row>
        <row r="1017">
          <cell r="A1017" t="str">
            <v>Himalay Thermoplast</v>
          </cell>
          <cell r="B1017">
            <v>1270211</v>
          </cell>
        </row>
        <row r="1018">
          <cell r="A1018" t="str">
            <v>Himalay Thermoware Llp</v>
          </cell>
          <cell r="B1018">
            <v>5327767.66</v>
          </cell>
        </row>
        <row r="1019">
          <cell r="A1019" t="str">
            <v>Himanshu Enterprise</v>
          </cell>
          <cell r="B1019">
            <v>-20215</v>
          </cell>
        </row>
        <row r="1020">
          <cell r="A1020" t="str">
            <v>Hindustan Acid Supply Co.</v>
          </cell>
          <cell r="B1020">
            <v>-6301</v>
          </cell>
        </row>
        <row r="1021">
          <cell r="A1021" t="str">
            <v>Hindustan Gunny Bags And Allied Suppliers</v>
          </cell>
          <cell r="B1021">
            <v>0</v>
          </cell>
        </row>
        <row r="1022">
          <cell r="A1022" t="str">
            <v>Hitech Engineering Solutions</v>
          </cell>
          <cell r="B1022">
            <v>0</v>
          </cell>
        </row>
        <row r="1023">
          <cell r="A1023" t="str">
            <v>Hitesh Scale Repairing Works</v>
          </cell>
          <cell r="B1023">
            <v>0</v>
          </cell>
        </row>
        <row r="1024">
          <cell r="A1024" t="str">
            <v>Hkp Steel Pvt Ltd</v>
          </cell>
          <cell r="B1024">
            <v>-1</v>
          </cell>
        </row>
        <row r="1025">
          <cell r="A1025" t="str">
            <v>Hmt Ceramics &amp; Engineering</v>
          </cell>
          <cell r="B1025">
            <v>-0.2</v>
          </cell>
        </row>
        <row r="1026">
          <cell r="A1026" t="str">
            <v>Honest Corporation</v>
          </cell>
          <cell r="B1026">
            <v>0</v>
          </cell>
        </row>
        <row r="1027">
          <cell r="A1027" t="str">
            <v>Honour Lane Logistics India Pvt Ltd</v>
          </cell>
          <cell r="B1027">
            <v>0</v>
          </cell>
        </row>
        <row r="1028">
          <cell r="A1028" t="str">
            <v>Hopper Loader</v>
          </cell>
          <cell r="B1028">
            <v>271380</v>
          </cell>
        </row>
        <row r="1029">
          <cell r="A1029" t="str">
            <v>Horizon Protech</v>
          </cell>
          <cell r="B1029">
            <v>0</v>
          </cell>
        </row>
        <row r="1030">
          <cell r="A1030" t="str">
            <v>Hotel Green Fortune</v>
          </cell>
          <cell r="B1030">
            <v>0</v>
          </cell>
        </row>
        <row r="1031">
          <cell r="A1031" t="str">
            <v>Hotel Highway Inn</v>
          </cell>
          <cell r="B1031">
            <v>0</v>
          </cell>
        </row>
        <row r="1032">
          <cell r="A1032" t="str">
            <v>Hotel Seven Spice</v>
          </cell>
          <cell r="B1032">
            <v>-1008</v>
          </cell>
        </row>
        <row r="1033">
          <cell r="A1033" t="str">
            <v>House Keeping Expense</v>
          </cell>
          <cell r="B1033">
            <v>1671981.3</v>
          </cell>
        </row>
        <row r="1034">
          <cell r="A1034" t="str">
            <v>House Rent Deposit</v>
          </cell>
          <cell r="B1034">
            <v>154485</v>
          </cell>
        </row>
        <row r="1035">
          <cell r="A1035" t="str">
            <v>Hp Clutch Motor 2800 Rpm 230 Volt</v>
          </cell>
          <cell r="B1035">
            <v>93722</v>
          </cell>
        </row>
        <row r="1036">
          <cell r="A1036" t="str">
            <v>HPCL- Mittal Energy Limited</v>
          </cell>
          <cell r="B1036">
            <v>0</v>
          </cell>
        </row>
        <row r="1037">
          <cell r="A1037" t="str">
            <v>Hq Tek Limited</v>
          </cell>
          <cell r="B1037">
            <v>-0.01</v>
          </cell>
        </row>
        <row r="1038">
          <cell r="A1038" t="str">
            <v>Humidity Vaccum Air Cooling System</v>
          </cell>
          <cell r="B1038">
            <v>7778645.2000000002</v>
          </cell>
        </row>
        <row r="1039">
          <cell r="A1039" t="str">
            <v>Huzhou Unifull Industrial Fibre Co., Ltd.</v>
          </cell>
          <cell r="B1039">
            <v>0</v>
          </cell>
        </row>
        <row r="1040">
          <cell r="A1040" t="str">
            <v>Hyatt Regency</v>
          </cell>
          <cell r="B1040">
            <v>0</v>
          </cell>
        </row>
        <row r="1041">
          <cell r="A1041" t="str">
            <v>Hydraulic Baffle And Round Punching Machine</v>
          </cell>
          <cell r="B1041">
            <v>495000</v>
          </cell>
        </row>
        <row r="1042">
          <cell r="A1042" t="str">
            <v>Hydraulic Baling Machine</v>
          </cell>
          <cell r="B1042">
            <v>15155856.949999999</v>
          </cell>
        </row>
        <row r="1043">
          <cell r="A1043" t="str">
            <v>Hydraulic Hand Pallet Truck</v>
          </cell>
          <cell r="B1043">
            <v>1174415</v>
          </cell>
        </row>
        <row r="1044">
          <cell r="A1044" t="str">
            <v>Hydraulic Lift Machine</v>
          </cell>
          <cell r="B1044">
            <v>1564968</v>
          </cell>
        </row>
        <row r="1045">
          <cell r="A1045" t="str">
            <v>Hydraulic Loading Platform</v>
          </cell>
          <cell r="B1045">
            <v>462865</v>
          </cell>
        </row>
        <row r="1046">
          <cell r="A1046" t="str">
            <v>I Computer And Peripherals</v>
          </cell>
          <cell r="B1046">
            <v>0</v>
          </cell>
        </row>
        <row r="1047">
          <cell r="A1047" t="str">
            <v>I T C Limited_24AAACI5950L1ZG</v>
          </cell>
          <cell r="B1047">
            <v>-129308.49</v>
          </cell>
        </row>
        <row r="1048">
          <cell r="A1048" t="str">
            <v>ICICI Bank - Innova Crysta Car Loan A/c (GJ 12 CP 6684) .</v>
          </cell>
          <cell r="B1048">
            <v>0</v>
          </cell>
        </row>
        <row r="1049">
          <cell r="A1049" t="str">
            <v>ICICI Bank- Ciaz Car Loan No  LAGDM00034893644 GJ01RU4195</v>
          </cell>
          <cell r="B1049">
            <v>0</v>
          </cell>
        </row>
        <row r="1050">
          <cell r="A1050" t="str">
            <v>ICICI Bank- Forklift Loan A/C Lqabd00037314129</v>
          </cell>
          <cell r="B1050">
            <v>0.09</v>
          </cell>
        </row>
        <row r="1051">
          <cell r="A1051" t="str">
            <v>ICICI Bank- Honda City Car Loan A/C (GJ 12 CP 6736)</v>
          </cell>
          <cell r="B1051">
            <v>0</v>
          </cell>
        </row>
        <row r="1052">
          <cell r="A1052" t="str">
            <v>ICICI Lombard General Insurance Co Ltd</v>
          </cell>
          <cell r="B1052">
            <v>-42076</v>
          </cell>
        </row>
        <row r="1053">
          <cell r="A1053" t="str">
            <v>Icon Digital</v>
          </cell>
          <cell r="B1053">
            <v>0</v>
          </cell>
        </row>
        <row r="1054">
          <cell r="A1054" t="str">
            <v>Ideal Wovenplast Private Limited</v>
          </cell>
          <cell r="B1054">
            <v>0</v>
          </cell>
        </row>
        <row r="1055">
          <cell r="A1055" t="str">
            <v>Idol Polytech Pvt Ltd</v>
          </cell>
          <cell r="B1055">
            <v>1505355.32</v>
          </cell>
        </row>
        <row r="1056">
          <cell r="A1056" t="str">
            <v>Iffco Tokio General Insurance Co. Ltd</v>
          </cell>
          <cell r="B1056">
            <v>1</v>
          </cell>
        </row>
        <row r="1057">
          <cell r="A1057" t="str">
            <v>IGST Input</v>
          </cell>
          <cell r="B1057">
            <v>7663421.8499999996</v>
          </cell>
        </row>
        <row r="1058">
          <cell r="A1058" t="str">
            <v>IGST Output A/c</v>
          </cell>
          <cell r="B1058">
            <v>-12650336.32</v>
          </cell>
        </row>
        <row r="1059">
          <cell r="A1059" t="str">
            <v>IGST Refund Receivable Under Rebate</v>
          </cell>
          <cell r="B1059">
            <v>14116850.57</v>
          </cell>
        </row>
        <row r="1060">
          <cell r="A1060" t="str">
            <v>Ikon Instruments</v>
          </cell>
          <cell r="B1060">
            <v>0</v>
          </cell>
        </row>
        <row r="1061">
          <cell r="A1061" t="str">
            <v>Iliyas Gulabmiyam Malek</v>
          </cell>
          <cell r="B1061">
            <v>0</v>
          </cell>
        </row>
        <row r="1062">
          <cell r="A1062" t="str">
            <v>IMBB - Purchase</v>
          </cell>
          <cell r="B1062">
            <v>0</v>
          </cell>
        </row>
        <row r="1063">
          <cell r="A1063" t="str">
            <v>IMBB - Sales</v>
          </cell>
          <cell r="B1063">
            <v>0</v>
          </cell>
        </row>
        <row r="1064">
          <cell r="A1064" t="str">
            <v>Inar company Private Limited (formaly Tumi Enterprise Pvt Ltd)</v>
          </cell>
          <cell r="B1064">
            <v>-47829</v>
          </cell>
        </row>
        <row r="1065">
          <cell r="A1065" t="str">
            <v>Incentive Expense - Attendence</v>
          </cell>
          <cell r="B1065">
            <v>68822</v>
          </cell>
        </row>
        <row r="1066">
          <cell r="A1066" t="str">
            <v>Incentive Expense - Production</v>
          </cell>
          <cell r="B1066">
            <v>3287125</v>
          </cell>
        </row>
        <row r="1067">
          <cell r="A1067" t="str">
            <v>Income From Wind Mill</v>
          </cell>
          <cell r="B1067">
            <v>-9595066</v>
          </cell>
        </row>
        <row r="1068">
          <cell r="A1068" t="str">
            <v>Income Tax Ay 2011-12</v>
          </cell>
          <cell r="B1068">
            <v>1050000</v>
          </cell>
        </row>
        <row r="1069">
          <cell r="A1069" t="str">
            <v>Income Tax Ay 2015-16</v>
          </cell>
          <cell r="B1069">
            <v>2500000</v>
          </cell>
        </row>
        <row r="1070">
          <cell r="A1070" t="str">
            <v>Income Tax Expenses</v>
          </cell>
          <cell r="B1070">
            <v>500</v>
          </cell>
        </row>
        <row r="1071">
          <cell r="A1071" t="str">
            <v>Indauto Filters</v>
          </cell>
          <cell r="B1071">
            <v>0</v>
          </cell>
        </row>
        <row r="1072">
          <cell r="A1072" t="str">
            <v>Indev Infra Private Limited</v>
          </cell>
          <cell r="B1072">
            <v>0</v>
          </cell>
        </row>
        <row r="1073">
          <cell r="A1073" t="str">
            <v>India Factoring And Finance</v>
          </cell>
          <cell r="B1073">
            <v>406875.19</v>
          </cell>
        </row>
        <row r="1074">
          <cell r="A1074" t="str">
            <v>India Factoring And Finance Solutions Private Limited_27AACCI1918C1ZZ</v>
          </cell>
          <cell r="B1074">
            <v>0</v>
          </cell>
        </row>
        <row r="1075">
          <cell r="A1075" t="str">
            <v>Indiaideas.Com Limited- 27AAACI7986C1ZD- Bill Desk</v>
          </cell>
          <cell r="B1075">
            <v>0</v>
          </cell>
        </row>
        <row r="1076">
          <cell r="A1076" t="str">
            <v>Indian Bank CGSE Term Loan A/C No. 8280462013</v>
          </cell>
          <cell r="B1076">
            <v>-39478561</v>
          </cell>
        </row>
        <row r="1077">
          <cell r="A1077" t="str">
            <v>Indian Bank-24AAACI1607G3Z3</v>
          </cell>
          <cell r="B1077">
            <v>7560</v>
          </cell>
        </row>
        <row r="1078">
          <cell r="A1078" t="str">
            <v>Indian Equipment Company</v>
          </cell>
          <cell r="B1078">
            <v>0</v>
          </cell>
        </row>
        <row r="1079">
          <cell r="A1079" t="str">
            <v>Indian Institute Of Packaging</v>
          </cell>
          <cell r="B1079">
            <v>-80</v>
          </cell>
        </row>
        <row r="1080">
          <cell r="A1080" t="str">
            <v>Indian Institute Of Packaging - Ahmedabad</v>
          </cell>
          <cell r="B1080">
            <v>26744.9</v>
          </cell>
        </row>
        <row r="1081">
          <cell r="A1081" t="str">
            <v>Indian Oil Corporation -Paradip</v>
          </cell>
          <cell r="B1081">
            <v>0</v>
          </cell>
        </row>
        <row r="1082">
          <cell r="A1082" t="str">
            <v>Indian Oil Corporation Limited (03D5)</v>
          </cell>
          <cell r="B1082">
            <v>38907.51</v>
          </cell>
        </row>
        <row r="1083">
          <cell r="A1083" t="str">
            <v>Indian Oil Corporation Limited (03I9)</v>
          </cell>
          <cell r="B1083">
            <v>-0.09</v>
          </cell>
        </row>
        <row r="1084">
          <cell r="A1084" t="str">
            <v>Indian Oil Corporation Limited (RSC)</v>
          </cell>
          <cell r="B1084">
            <v>-6480932.3899999997</v>
          </cell>
        </row>
        <row r="1085">
          <cell r="A1085" t="str">
            <v>Indian Oil Corporation Limited (Rsc)-Rajkot</v>
          </cell>
          <cell r="B1085">
            <v>320540.90999999997</v>
          </cell>
        </row>
        <row r="1086">
          <cell r="A1086" t="str">
            <v>Indian Oil Corporation Limited (RSC)-Vapi</v>
          </cell>
          <cell r="B1086">
            <v>2488.6</v>
          </cell>
        </row>
        <row r="1087">
          <cell r="A1087" t="str">
            <v>Indian Oil Corporation Limited-Delhi</v>
          </cell>
          <cell r="B1087">
            <v>-530144.96</v>
          </cell>
        </row>
        <row r="1088">
          <cell r="A1088" t="str">
            <v>Indian Oil Corporation Ltd-Haryana-(Pur)</v>
          </cell>
          <cell r="B1088">
            <v>-214856.89</v>
          </cell>
        </row>
        <row r="1089">
          <cell r="A1089" t="str">
            <v>Indian Oil Corporation Ltd. ( Ahmedabad )</v>
          </cell>
          <cell r="B1089">
            <v>-4809415.3600000003</v>
          </cell>
        </row>
        <row r="1090">
          <cell r="A1090" t="str">
            <v>Indian Oil Corporation Ltd.- Customer Sales A/c</v>
          </cell>
          <cell r="B1090">
            <v>14734917.380000001</v>
          </cell>
        </row>
        <row r="1091">
          <cell r="A1091" t="str">
            <v>Indian Oil Corporation, Delhi</v>
          </cell>
          <cell r="B1091">
            <v>-12741.95</v>
          </cell>
        </row>
        <row r="1092">
          <cell r="A1092" t="str">
            <v>Indian Oil Corporation, Rajkot</v>
          </cell>
          <cell r="B1092">
            <v>0</v>
          </cell>
        </row>
        <row r="1093">
          <cell r="A1093" t="str">
            <v>Indian Safety Solution</v>
          </cell>
          <cell r="B1093">
            <v>-2576</v>
          </cell>
        </row>
        <row r="1094">
          <cell r="A1094" t="str">
            <v>Indiana Bearings Private Limited</v>
          </cell>
          <cell r="B1094">
            <v>-5192</v>
          </cell>
        </row>
        <row r="1095">
          <cell r="A1095" t="str">
            <v>Indrajeet Construction Chemicals</v>
          </cell>
          <cell r="B1095">
            <v>0</v>
          </cell>
        </row>
        <row r="1096">
          <cell r="A1096" t="str">
            <v>Indralok Fabrics Pvt Ltd - Purchase</v>
          </cell>
          <cell r="B1096">
            <v>0</v>
          </cell>
        </row>
        <row r="1097">
          <cell r="A1097" t="str">
            <v>Indralok Fabrics Pvt Ltd - Sales</v>
          </cell>
          <cell r="B1097">
            <v>0</v>
          </cell>
        </row>
        <row r="1098">
          <cell r="A1098" t="str">
            <v>Indusind General Insurance Company Limited</v>
          </cell>
          <cell r="B1098">
            <v>-312700</v>
          </cell>
        </row>
        <row r="1099">
          <cell r="A1099" t="str">
            <v>Industria Sulfuria S.A.</v>
          </cell>
          <cell r="B1099">
            <v>249450.01</v>
          </cell>
        </row>
        <row r="1100">
          <cell r="A1100" t="str">
            <v>Industrial Bag Packaging</v>
          </cell>
          <cell r="B1100">
            <v>-559.36</v>
          </cell>
        </row>
        <row r="1101">
          <cell r="A1101" t="str">
            <v>Industrial Rubber Company</v>
          </cell>
          <cell r="B1101">
            <v>-0.2</v>
          </cell>
        </row>
        <row r="1102">
          <cell r="A1102" t="str">
            <v>Industrial Steel Corporatoion</v>
          </cell>
          <cell r="B1102">
            <v>-1133</v>
          </cell>
        </row>
        <row r="1103">
          <cell r="A1103" t="str">
            <v>Industrial Vaccum Cleaner</v>
          </cell>
          <cell r="B1103">
            <v>343000</v>
          </cell>
        </row>
        <row r="1104">
          <cell r="A1104" t="str">
            <v>Ineos Styrolution India Ltd, Dahej</v>
          </cell>
          <cell r="B1104">
            <v>0</v>
          </cell>
        </row>
        <row r="1105">
          <cell r="A1105" t="str">
            <v>Ineos Styrolution India Ltd, Nandesari</v>
          </cell>
          <cell r="B1105">
            <v>0</v>
          </cell>
        </row>
        <row r="1106">
          <cell r="A1106" t="str">
            <v>Infiniti Retail Ltd (Croma)</v>
          </cell>
          <cell r="B1106">
            <v>-42999</v>
          </cell>
        </row>
        <row r="1107">
          <cell r="A1107" t="str">
            <v>Infinity Ocean Line Llp-24Aasfk3341g1zc</v>
          </cell>
          <cell r="B1107">
            <v>0</v>
          </cell>
        </row>
        <row r="1108">
          <cell r="A1108" t="str">
            <v>Infomerics Valuation And Rating Pvt. Ltd</v>
          </cell>
          <cell r="B1108">
            <v>445700</v>
          </cell>
        </row>
        <row r="1109">
          <cell r="A1109" t="str">
            <v>Infotek Software &amp; Systems Pvt Ltd</v>
          </cell>
          <cell r="B1109">
            <v>0</v>
          </cell>
        </row>
        <row r="1110">
          <cell r="A1110" t="str">
            <v>Insurance Claim Receivable</v>
          </cell>
          <cell r="B1110">
            <v>424184407.97000003</v>
          </cell>
        </row>
        <row r="1111">
          <cell r="A1111" t="str">
            <v>Insurance Exp - Vehicles</v>
          </cell>
          <cell r="B1111">
            <v>39827.17</v>
          </cell>
        </row>
        <row r="1112">
          <cell r="A1112" t="str">
            <v>Insurance Expense - Ecgc - Pc</v>
          </cell>
          <cell r="B1112">
            <v>687823.03</v>
          </cell>
        </row>
        <row r="1113">
          <cell r="A1113" t="str">
            <v>Insurance Expenses - Marine</v>
          </cell>
          <cell r="B1113">
            <v>85764.77</v>
          </cell>
        </row>
        <row r="1114">
          <cell r="A1114" t="str">
            <v>Insurance Expenses - Other</v>
          </cell>
          <cell r="B1114">
            <v>671740.1</v>
          </cell>
        </row>
        <row r="1115">
          <cell r="A1115" t="str">
            <v>Insurance Expenses - Plant</v>
          </cell>
          <cell r="B1115">
            <v>7788</v>
          </cell>
        </row>
        <row r="1116">
          <cell r="A1116" t="str">
            <v>Inter Bulk Usa</v>
          </cell>
          <cell r="B1116">
            <v>3642.03</v>
          </cell>
        </row>
        <row r="1117">
          <cell r="A1117" t="str">
            <v>Interasia Lines Singapore Pte Ltd.</v>
          </cell>
          <cell r="B1117">
            <v>810188.19</v>
          </cell>
        </row>
        <row r="1118">
          <cell r="A1118" t="str">
            <v>Interest Expense -  Term Loan</v>
          </cell>
          <cell r="B1118">
            <v>7324807.8499999996</v>
          </cell>
        </row>
        <row r="1119">
          <cell r="A1119" t="str">
            <v>Interest Expense - EPC</v>
          </cell>
          <cell r="B1119">
            <v>4437727.3499999996</v>
          </cell>
        </row>
        <row r="1120">
          <cell r="A1120" t="str">
            <v>Interest Expense - Factoring</v>
          </cell>
          <cell r="B1120">
            <v>2108039.7200000002</v>
          </cell>
        </row>
        <row r="1121">
          <cell r="A1121" t="str">
            <v>Interest Expense - Other</v>
          </cell>
          <cell r="B1121">
            <v>2523589.0299999998</v>
          </cell>
        </row>
        <row r="1122">
          <cell r="A1122" t="str">
            <v>Interest Expense - PCFC</v>
          </cell>
          <cell r="B1122">
            <v>609726</v>
          </cell>
        </row>
        <row r="1123">
          <cell r="A1123" t="str">
            <v>Interest Expense - Vehicle Loan</v>
          </cell>
          <cell r="B1123">
            <v>184435.20000000001</v>
          </cell>
        </row>
        <row r="1124">
          <cell r="A1124" t="str">
            <v>Interest Expense - Working Capital</v>
          </cell>
          <cell r="B1124">
            <v>34029674.57</v>
          </cell>
        </row>
        <row r="1125">
          <cell r="A1125" t="str">
            <v>Interest on FDR</v>
          </cell>
          <cell r="B1125">
            <v>-131129</v>
          </cell>
        </row>
        <row r="1126">
          <cell r="A1126" t="str">
            <v>Interest On TDS</v>
          </cell>
          <cell r="B1126">
            <v>7300</v>
          </cell>
        </row>
        <row r="1127">
          <cell r="A1127" t="str">
            <v>Interest Received From Customers</v>
          </cell>
          <cell r="B1127">
            <v>-6752077.5300000003</v>
          </cell>
        </row>
        <row r="1128">
          <cell r="A1128" t="str">
            <v>Interest Received From Other</v>
          </cell>
          <cell r="B1128">
            <v>-42865.82</v>
          </cell>
        </row>
        <row r="1129">
          <cell r="A1129" t="str">
            <v>Interest to MSME Vendors Payable</v>
          </cell>
          <cell r="B1129">
            <v>-98654</v>
          </cell>
        </row>
        <row r="1130">
          <cell r="A1130" t="str">
            <v>Interglobe Aviation Limited -Tamilnadu</v>
          </cell>
          <cell r="B1130">
            <v>-26024</v>
          </cell>
        </row>
        <row r="1131">
          <cell r="A1131" t="str">
            <v>Interglobe Aviation Limited-Gujarat</v>
          </cell>
          <cell r="B1131">
            <v>-6097</v>
          </cell>
        </row>
        <row r="1132">
          <cell r="A1132" t="str">
            <v>Interglobe Aviation Limited_22AABCI2726B1ZC</v>
          </cell>
          <cell r="B1132">
            <v>-12681</v>
          </cell>
        </row>
        <row r="1133">
          <cell r="A1133" t="str">
            <v>Interglobe Aviation Limited_27AABCI2726B1Z2</v>
          </cell>
          <cell r="B1133">
            <v>-80542</v>
          </cell>
        </row>
        <row r="1134">
          <cell r="A1134" t="str">
            <v>Interglobe Aviation Limited_29AABCI2726B1ZY</v>
          </cell>
          <cell r="B1134">
            <v>-19574</v>
          </cell>
        </row>
        <row r="1135">
          <cell r="A1135" t="str">
            <v>Interiors</v>
          </cell>
          <cell r="B1135">
            <v>-680</v>
          </cell>
        </row>
        <row r="1136">
          <cell r="A1136" t="str">
            <v>Internal Transportation Expense / Reimbursement</v>
          </cell>
          <cell r="B1136">
            <v>4800</v>
          </cell>
        </row>
        <row r="1137">
          <cell r="A1137" t="str">
            <v>International Electricals</v>
          </cell>
          <cell r="B1137">
            <v>-17582</v>
          </cell>
        </row>
        <row r="1138">
          <cell r="A1138" t="str">
            <v>International Plastic Sourcing Private Limited</v>
          </cell>
          <cell r="B1138">
            <v>6673</v>
          </cell>
        </row>
        <row r="1139">
          <cell r="A1139" t="str">
            <v>Interport Global Logistics Pvt  Ltd</v>
          </cell>
          <cell r="B1139">
            <v>0</v>
          </cell>
        </row>
        <row r="1140">
          <cell r="A1140" t="str">
            <v>Intertek India Pvt Ltd - Delhi</v>
          </cell>
          <cell r="B1140">
            <v>0</v>
          </cell>
        </row>
        <row r="1141">
          <cell r="A1141" t="str">
            <v>Intertek India Pvt Ltd - Rajasthan</v>
          </cell>
          <cell r="B1141">
            <v>0</v>
          </cell>
        </row>
        <row r="1142">
          <cell r="A1142" t="str">
            <v>Inventory- Fg</v>
          </cell>
          <cell r="B1142">
            <v>479885434.07999998</v>
          </cell>
        </row>
        <row r="1143">
          <cell r="A1143" t="str">
            <v>Inventory- Packing Material</v>
          </cell>
          <cell r="B1143">
            <v>1478843.06</v>
          </cell>
        </row>
        <row r="1144">
          <cell r="A1144" t="str">
            <v>Inventory- Raw Material</v>
          </cell>
          <cell r="B1144">
            <v>92207072.829999998</v>
          </cell>
        </row>
        <row r="1145">
          <cell r="A1145" t="str">
            <v>Inventory- Stores &amp; Spares</v>
          </cell>
          <cell r="B1145">
            <v>24942354.859999999</v>
          </cell>
        </row>
        <row r="1146">
          <cell r="A1146" t="str">
            <v>Inventory- Wip</v>
          </cell>
          <cell r="B1146">
            <v>84189882.430000007</v>
          </cell>
        </row>
        <row r="1147">
          <cell r="A1147" t="str">
            <v>Inverter</v>
          </cell>
          <cell r="B1147">
            <v>68414</v>
          </cell>
        </row>
        <row r="1148">
          <cell r="A1148" t="str">
            <v>Inverter Cum Ups</v>
          </cell>
          <cell r="B1148">
            <v>15750</v>
          </cell>
        </row>
        <row r="1149">
          <cell r="A1149" t="str">
            <v>Investment in Ordinary Shares Class A</v>
          </cell>
          <cell r="B1149">
            <v>-1000000</v>
          </cell>
        </row>
        <row r="1150">
          <cell r="A1150" t="str">
            <v>Investment In Shares Of Gopala Polyplast Limited</v>
          </cell>
          <cell r="B1150">
            <v>5000000</v>
          </cell>
        </row>
        <row r="1151">
          <cell r="A1151" t="str">
            <v>Investment in Shares of Oliva Garden SA</v>
          </cell>
          <cell r="B1151">
            <v>34160</v>
          </cell>
        </row>
        <row r="1152">
          <cell r="A1152" t="str">
            <v>Investment In Shares Of OPGS Power Guj Pvt Limited</v>
          </cell>
          <cell r="B1152">
            <v>37905</v>
          </cell>
        </row>
        <row r="1153">
          <cell r="A1153" t="str">
            <v>Investment In Shares Of Oswal Extrusion Limited</v>
          </cell>
          <cell r="B1153">
            <v>20622668</v>
          </cell>
        </row>
        <row r="1154">
          <cell r="A1154" t="str">
            <v>IOCL  - Eximius Techtex</v>
          </cell>
          <cell r="B1154">
            <v>0</v>
          </cell>
        </row>
        <row r="1155">
          <cell r="A1155" t="str">
            <v>IOCL  Global Non Woven Fabric Private Limited</v>
          </cell>
          <cell r="B1155">
            <v>-322000</v>
          </cell>
        </row>
        <row r="1156">
          <cell r="A1156" t="str">
            <v>Iocl  Spunweb India Private Limited</v>
          </cell>
          <cell r="B1156">
            <v>-25190.51</v>
          </cell>
        </row>
        <row r="1157">
          <cell r="A1157" t="str">
            <v>IOCL - Aarch Nonwoven</v>
          </cell>
          <cell r="B1157">
            <v>-248300.17</v>
          </cell>
        </row>
        <row r="1158">
          <cell r="A1158" t="str">
            <v>IOCL - Actionware India Pvt Ltd</v>
          </cell>
          <cell r="B1158">
            <v>1999.34</v>
          </cell>
        </row>
        <row r="1159">
          <cell r="A1159" t="str">
            <v>IOCL - Ajanta Plastic Industries</v>
          </cell>
          <cell r="B1159">
            <v>-134100</v>
          </cell>
        </row>
        <row r="1160">
          <cell r="A1160" t="str">
            <v>IOCL - Aroma Fabrics</v>
          </cell>
          <cell r="B1160">
            <v>0</v>
          </cell>
        </row>
        <row r="1161">
          <cell r="A1161" t="str">
            <v>IOCL - Asia Poly Film Industries</v>
          </cell>
          <cell r="B1161">
            <v>0</v>
          </cell>
        </row>
        <row r="1162">
          <cell r="A1162" t="str">
            <v>IOCL - Austrol Nonwoven</v>
          </cell>
          <cell r="B1162">
            <v>-919271.53</v>
          </cell>
        </row>
        <row r="1163">
          <cell r="A1163" t="str">
            <v>IOCL - Balaji Polyplast</v>
          </cell>
          <cell r="B1163">
            <v>-11</v>
          </cell>
        </row>
        <row r="1164">
          <cell r="A1164" t="str">
            <v>IOCL - Dharmi Techno Fab</v>
          </cell>
          <cell r="B1164">
            <v>-0.96</v>
          </cell>
        </row>
        <row r="1165">
          <cell r="A1165" t="str">
            <v>IOCL - Dolphin Polyplast Pvt Ltd</v>
          </cell>
          <cell r="B1165">
            <v>0</v>
          </cell>
        </row>
        <row r="1166">
          <cell r="A1166" t="str">
            <v>IOCL - Dugar Polytex Pvt Ltd</v>
          </cell>
          <cell r="B1166">
            <v>-43900</v>
          </cell>
        </row>
        <row r="1167">
          <cell r="A1167" t="str">
            <v>IOCL - Elinor International Private Limited</v>
          </cell>
          <cell r="B1167">
            <v>-0.24</v>
          </cell>
        </row>
        <row r="1168">
          <cell r="A1168" t="str">
            <v>IOCL - Enox Non Woven Pvt Ltd</v>
          </cell>
          <cell r="B1168">
            <v>0</v>
          </cell>
        </row>
        <row r="1169">
          <cell r="A1169" t="str">
            <v>IOCL - Eximius Incorporation</v>
          </cell>
          <cell r="B1169">
            <v>-0.32</v>
          </cell>
        </row>
        <row r="1170">
          <cell r="A1170" t="str">
            <v>IOCL - Eximius Innovative Private Limited</v>
          </cell>
          <cell r="B1170">
            <v>-0.73</v>
          </cell>
        </row>
        <row r="1171">
          <cell r="A1171" t="str">
            <v>IOCL - Eximius Techtex Private Limited</v>
          </cell>
          <cell r="B1171">
            <v>-55000.82</v>
          </cell>
        </row>
        <row r="1172">
          <cell r="A1172" t="str">
            <v>IOCL - Floraware India Private Limited</v>
          </cell>
          <cell r="B1172">
            <v>-99000</v>
          </cell>
        </row>
        <row r="1173">
          <cell r="A1173" t="str">
            <v>IOCL - Gama Packthread Industries</v>
          </cell>
          <cell r="B1173">
            <v>0</v>
          </cell>
        </row>
        <row r="1174">
          <cell r="A1174" t="str">
            <v>IOCL - Gelkrupa Enterprise</v>
          </cell>
          <cell r="B1174">
            <v>0</v>
          </cell>
        </row>
        <row r="1175">
          <cell r="A1175" t="str">
            <v>IOCL - Global Non Woven Fabric</v>
          </cell>
          <cell r="B1175">
            <v>0</v>
          </cell>
        </row>
        <row r="1176">
          <cell r="A1176" t="str">
            <v>IOCL - Global Technitex</v>
          </cell>
          <cell r="B1176">
            <v>0</v>
          </cell>
        </row>
        <row r="1177">
          <cell r="A1177" t="str">
            <v>IOCL - Havmor Plast Private Limited</v>
          </cell>
          <cell r="B1177">
            <v>-436103</v>
          </cell>
        </row>
        <row r="1178">
          <cell r="A1178" t="str">
            <v>IOCL - Himalay Thermoplast</v>
          </cell>
          <cell r="B1178">
            <v>0</v>
          </cell>
        </row>
        <row r="1179">
          <cell r="A1179" t="str">
            <v>IOCL - Idol Polytech Pvt Ltd</v>
          </cell>
          <cell r="B1179">
            <v>-0.81</v>
          </cell>
        </row>
        <row r="1180">
          <cell r="A1180" t="str">
            <v>IOCL - Kalson Fabric Pvt Ltd</v>
          </cell>
          <cell r="B1180">
            <v>-322576.45</v>
          </cell>
        </row>
        <row r="1181">
          <cell r="A1181" t="str">
            <v>IOCL - Karam Multipack Pvt Ltd</v>
          </cell>
          <cell r="B1181">
            <v>-0.72</v>
          </cell>
        </row>
        <row r="1182">
          <cell r="A1182" t="str">
            <v>IOCL - Kent Agro Industries</v>
          </cell>
          <cell r="B1182">
            <v>-1750</v>
          </cell>
        </row>
        <row r="1183">
          <cell r="A1183" t="str">
            <v>IOCL - KP Tech Nonwoven India Private Limited</v>
          </cell>
          <cell r="B1183">
            <v>0</v>
          </cell>
        </row>
        <row r="1184">
          <cell r="A1184" t="str">
            <v>IOCL - Ktex Nonwovens Private Limited</v>
          </cell>
          <cell r="B1184">
            <v>-178705</v>
          </cell>
        </row>
        <row r="1185">
          <cell r="A1185" t="str">
            <v>IOCL - Kutch Medisurge Industries</v>
          </cell>
          <cell r="B1185">
            <v>0</v>
          </cell>
        </row>
        <row r="1186">
          <cell r="A1186" t="str">
            <v>IOCL - Marudhar Polymers - Sales</v>
          </cell>
          <cell r="B1186">
            <v>1.84</v>
          </cell>
        </row>
        <row r="1187">
          <cell r="A1187" t="str">
            <v>IOCL - Mishita Filters</v>
          </cell>
          <cell r="B1187">
            <v>0</v>
          </cell>
        </row>
        <row r="1188">
          <cell r="A1188" t="str">
            <v>IOCL - N.S.Engineering Plastic</v>
          </cell>
          <cell r="B1188">
            <v>0.97</v>
          </cell>
        </row>
        <row r="1189">
          <cell r="A1189" t="str">
            <v>IOCL - Neon Polypack</v>
          </cell>
          <cell r="B1189">
            <v>-0.82</v>
          </cell>
        </row>
        <row r="1190">
          <cell r="A1190" t="str">
            <v>IOCL - Om Shanti Plastic Manufacture</v>
          </cell>
          <cell r="B1190">
            <v>0</v>
          </cell>
        </row>
        <row r="1191">
          <cell r="A1191" t="str">
            <v>IOCL - Opera Polypack Private Limited</v>
          </cell>
          <cell r="B1191">
            <v>0</v>
          </cell>
        </row>
        <row r="1192">
          <cell r="A1192" t="str">
            <v>IOCL - Pal Polyfilm</v>
          </cell>
          <cell r="B1192">
            <v>-0.35</v>
          </cell>
        </row>
        <row r="1193">
          <cell r="A1193" t="str">
            <v>IOCL - Parker Plasten</v>
          </cell>
          <cell r="B1193">
            <v>-13600</v>
          </cell>
        </row>
        <row r="1194">
          <cell r="A1194" t="str">
            <v>IOCL - Parth Poly Woven Pvt Ltd</v>
          </cell>
          <cell r="B1194">
            <v>0</v>
          </cell>
        </row>
        <row r="1195">
          <cell r="A1195" t="str">
            <v>IOCL - Plastene India ltd - Unit 1-Sales</v>
          </cell>
          <cell r="B1195">
            <v>-0.51</v>
          </cell>
        </row>
        <row r="1196">
          <cell r="A1196" t="str">
            <v>IOCL - Polymer Impex Pvt Ltd</v>
          </cell>
          <cell r="B1196">
            <v>-49200</v>
          </cell>
        </row>
        <row r="1197">
          <cell r="A1197" t="str">
            <v>IOCL - Popular Polypack</v>
          </cell>
          <cell r="B1197">
            <v>-1.1100000000000001</v>
          </cell>
        </row>
        <row r="1198">
          <cell r="A1198" t="str">
            <v>IOCL - Prime Polymers</v>
          </cell>
          <cell r="B1198">
            <v>-0.28000000000000003</v>
          </cell>
        </row>
        <row r="1199">
          <cell r="A1199" t="str">
            <v>IOCL - Prime Product</v>
          </cell>
          <cell r="B1199">
            <v>-0.11</v>
          </cell>
        </row>
        <row r="1200">
          <cell r="A1200" t="str">
            <v>IOCL - Radiant Fibretech Pvt Ltd</v>
          </cell>
          <cell r="B1200">
            <v>0</v>
          </cell>
        </row>
        <row r="1201">
          <cell r="A1201" t="str">
            <v>IOCL - Rajesh Enterprise</v>
          </cell>
          <cell r="B1201">
            <v>-18250</v>
          </cell>
        </row>
        <row r="1202">
          <cell r="A1202" t="str">
            <v>IOCL - Real Technitex</v>
          </cell>
          <cell r="B1202">
            <v>-180400.73</v>
          </cell>
        </row>
        <row r="1203">
          <cell r="A1203" t="str">
            <v>IOCL - Rotex Fabric Pvt Ltd</v>
          </cell>
          <cell r="B1203">
            <v>-27000.06</v>
          </cell>
        </row>
        <row r="1204">
          <cell r="A1204" t="str">
            <v>IOCL - Royal Marketing</v>
          </cell>
          <cell r="B1204">
            <v>-0.09</v>
          </cell>
        </row>
        <row r="1205">
          <cell r="A1205" t="str">
            <v>IOCL - Ruby Polymers</v>
          </cell>
          <cell r="B1205">
            <v>0</v>
          </cell>
        </row>
        <row r="1206">
          <cell r="A1206" t="str">
            <v>IOCL - Shah Monofilament Plastic</v>
          </cell>
          <cell r="B1206">
            <v>0</v>
          </cell>
        </row>
        <row r="1207">
          <cell r="A1207" t="str">
            <v>IOCL - Shaz Packaging Llp</v>
          </cell>
          <cell r="B1207">
            <v>0</v>
          </cell>
        </row>
        <row r="1208">
          <cell r="A1208" t="str">
            <v>IOCL - Shiv Sai Polymers</v>
          </cell>
          <cell r="B1208">
            <v>-24000</v>
          </cell>
        </row>
        <row r="1209">
          <cell r="A1209" t="str">
            <v>IOCL - Shree Siddhi Vinayak Plastic</v>
          </cell>
          <cell r="B1209">
            <v>0.05</v>
          </cell>
        </row>
        <row r="1210">
          <cell r="A1210" t="str">
            <v>IOCL - Shreeji Polypack</v>
          </cell>
          <cell r="B1210">
            <v>-113900</v>
          </cell>
        </row>
        <row r="1211">
          <cell r="A1211" t="str">
            <v>IOCL - Shreya Micro Plast Pvt Ltd</v>
          </cell>
          <cell r="B1211">
            <v>-0.18</v>
          </cell>
        </row>
        <row r="1212">
          <cell r="A1212" t="str">
            <v>IOCL - Spunweb Nonwoven</v>
          </cell>
          <cell r="B1212">
            <v>0.64</v>
          </cell>
        </row>
        <row r="1213">
          <cell r="A1213" t="str">
            <v>IOCL - Spunweb Nonwoven Limited</v>
          </cell>
          <cell r="B1213">
            <v>-20000.46</v>
          </cell>
        </row>
        <row r="1214">
          <cell r="A1214" t="str">
            <v>IOCL - Spunweb Nonwoven Pvt Ltd</v>
          </cell>
          <cell r="B1214">
            <v>-0.57999999999999996</v>
          </cell>
        </row>
        <row r="1215">
          <cell r="A1215" t="str">
            <v>IOCL - Sun Packaging</v>
          </cell>
          <cell r="B1215">
            <v>-123861</v>
          </cell>
        </row>
        <row r="1216">
          <cell r="A1216" t="str">
            <v>IOCL - Super Tech</v>
          </cell>
          <cell r="B1216">
            <v>-184001</v>
          </cell>
        </row>
        <row r="1217">
          <cell r="A1217" t="str">
            <v>IOCL - Texon Fabrics Pvt Ltd - Sales</v>
          </cell>
          <cell r="B1217">
            <v>-0.65</v>
          </cell>
        </row>
        <row r="1218">
          <cell r="A1218" t="str">
            <v>IOCL - Texon Packaging Private Limited</v>
          </cell>
          <cell r="B1218">
            <v>0</v>
          </cell>
        </row>
        <row r="1219">
          <cell r="A1219" t="str">
            <v>IOCL - U V Polyplast</v>
          </cell>
          <cell r="B1219">
            <v>0</v>
          </cell>
        </row>
        <row r="1220">
          <cell r="A1220" t="str">
            <v>IOCL - Varahi Polymers</v>
          </cell>
          <cell r="B1220">
            <v>-2</v>
          </cell>
        </row>
        <row r="1221">
          <cell r="A1221" t="str">
            <v>IOCL - Velocity Netting Solution</v>
          </cell>
          <cell r="B1221">
            <v>-1</v>
          </cell>
        </row>
        <row r="1222">
          <cell r="A1222" t="str">
            <v>IOCL - Vishal Technitex</v>
          </cell>
          <cell r="B1222">
            <v>0</v>
          </cell>
        </row>
        <row r="1223">
          <cell r="A1223" t="str">
            <v>IOCL -Ahlstrom Munksjo Fibercomposites India Private Limited</v>
          </cell>
          <cell r="B1223">
            <v>0</v>
          </cell>
        </row>
        <row r="1224">
          <cell r="A1224" t="str">
            <v>IOCL Akashganga Manufactures</v>
          </cell>
          <cell r="B1224">
            <v>-5000</v>
          </cell>
        </row>
        <row r="1225">
          <cell r="A1225" t="str">
            <v>IOCL Jain Bulk Pack</v>
          </cell>
          <cell r="B1225">
            <v>-1191</v>
          </cell>
        </row>
        <row r="1226">
          <cell r="A1226" t="str">
            <v>IOCL- Diza Nonwoven Llp</v>
          </cell>
          <cell r="B1226">
            <v>-240600</v>
          </cell>
        </row>
        <row r="1227">
          <cell r="A1227" t="str">
            <v>IOCL- Karam Green Tex Limited</v>
          </cell>
          <cell r="B1227">
            <v>0</v>
          </cell>
        </row>
        <row r="1228">
          <cell r="A1228" t="str">
            <v>IOCL- N-Fab Textile Pvt. Ltd.</v>
          </cell>
          <cell r="B1228">
            <v>-31000</v>
          </cell>
        </row>
        <row r="1229">
          <cell r="A1229" t="str">
            <v>IOCL-Aditi Toys Private Limited</v>
          </cell>
          <cell r="B1229">
            <v>-44138</v>
          </cell>
        </row>
        <row r="1230">
          <cell r="A1230" t="str">
            <v>IOCL-Glare Cutlery Private Limited</v>
          </cell>
          <cell r="B1230">
            <v>-204</v>
          </cell>
        </row>
        <row r="1231">
          <cell r="A1231" t="str">
            <v>IOCL-Kedarnath Tradelilnk</v>
          </cell>
          <cell r="B1231">
            <v>0</v>
          </cell>
        </row>
        <row r="1232">
          <cell r="A1232" t="str">
            <v>IOCLl - Girlloh Global Inc</v>
          </cell>
          <cell r="B1232">
            <v>-0.02</v>
          </cell>
        </row>
        <row r="1233">
          <cell r="A1233" t="str">
            <v>Isbir Mewar Bulk Bag Private Limited</v>
          </cell>
          <cell r="B1233">
            <v>1164996.42</v>
          </cell>
        </row>
        <row r="1234">
          <cell r="A1234" t="str">
            <v>Ishaan Enterprise</v>
          </cell>
          <cell r="B1234">
            <v>0.1</v>
          </cell>
        </row>
        <row r="1235">
          <cell r="A1235" t="str">
            <v>Ishan Plastic LLP</v>
          </cell>
          <cell r="B1235">
            <v>-9917.25</v>
          </cell>
        </row>
        <row r="1236">
          <cell r="A1236" t="str">
            <v>Isotech Tie Up Pvt Ltd</v>
          </cell>
          <cell r="B1236">
            <v>-1158407</v>
          </cell>
        </row>
        <row r="1237">
          <cell r="A1237" t="str">
            <v>Israel Polymers Services Ltd.</v>
          </cell>
          <cell r="B1237">
            <v>0</v>
          </cell>
        </row>
        <row r="1238">
          <cell r="A1238" t="str">
            <v>ISSGF India Private Limited</v>
          </cell>
          <cell r="B1238">
            <v>-1909.4</v>
          </cell>
        </row>
        <row r="1239">
          <cell r="A1239" t="str">
            <v>ISSGF India Private Limited - Maharashtra</v>
          </cell>
          <cell r="B1239">
            <v>0</v>
          </cell>
        </row>
        <row r="1240">
          <cell r="A1240" t="str">
            <v>Isubmiya Umarmiya Malek</v>
          </cell>
          <cell r="B1240">
            <v>0</v>
          </cell>
        </row>
        <row r="1241">
          <cell r="A1241" t="str">
            <v>Itoyj</v>
          </cell>
          <cell r="B1241">
            <v>0</v>
          </cell>
        </row>
        <row r="1242">
          <cell r="A1242" t="str">
            <v>J B Packaging</v>
          </cell>
          <cell r="B1242">
            <v>0</v>
          </cell>
        </row>
        <row r="1243">
          <cell r="A1243" t="str">
            <v>J J Plastalloy Pvt Ltd</v>
          </cell>
          <cell r="B1243">
            <v>-1085600</v>
          </cell>
        </row>
        <row r="1244">
          <cell r="A1244" t="str">
            <v>J K Diagnostics</v>
          </cell>
          <cell r="B1244">
            <v>18045</v>
          </cell>
        </row>
        <row r="1245">
          <cell r="A1245" t="str">
            <v>J P Extrusiontech Private Limited</v>
          </cell>
          <cell r="B1245">
            <v>-61748.6</v>
          </cell>
        </row>
        <row r="1246">
          <cell r="A1246" t="str">
            <v>J Patel Shipping And Logistics</v>
          </cell>
          <cell r="B1246">
            <v>0</v>
          </cell>
        </row>
        <row r="1247">
          <cell r="A1247" t="str">
            <v>J&amp;D Industries</v>
          </cell>
          <cell r="B1247">
            <v>0</v>
          </cell>
        </row>
        <row r="1248">
          <cell r="A1248" t="str">
            <v>J.J.Petroleum</v>
          </cell>
          <cell r="B1248">
            <v>0</v>
          </cell>
        </row>
        <row r="1249">
          <cell r="A1249" t="str">
            <v>J.K. Products</v>
          </cell>
          <cell r="B1249">
            <v>0</v>
          </cell>
        </row>
        <row r="1250">
          <cell r="A1250" t="str">
            <v>Jagdish B Prajapati</v>
          </cell>
          <cell r="B1250">
            <v>-69024</v>
          </cell>
        </row>
        <row r="1251">
          <cell r="A1251" t="str">
            <v>Jahnavi Polymers</v>
          </cell>
          <cell r="B1251">
            <v>359828.73</v>
          </cell>
        </row>
        <row r="1252">
          <cell r="A1252" t="str">
            <v>Jain Bulk Pack - Ahmedabad</v>
          </cell>
          <cell r="B1252">
            <v>-65812705.920000002</v>
          </cell>
        </row>
        <row r="1253">
          <cell r="A1253" t="str">
            <v>Jain Bulk Pack - Rajkot</v>
          </cell>
          <cell r="B1253">
            <v>9056.59</v>
          </cell>
        </row>
        <row r="1254">
          <cell r="A1254" t="str">
            <v>Jain Bulk Pack - Sales</v>
          </cell>
          <cell r="B1254">
            <v>28922810.98</v>
          </cell>
        </row>
        <row r="1255">
          <cell r="A1255" t="str">
            <v>Jain Caterers</v>
          </cell>
          <cell r="B1255">
            <v>-30000</v>
          </cell>
        </row>
        <row r="1256">
          <cell r="A1256" t="str">
            <v>Jain Electro Tech</v>
          </cell>
          <cell r="B1256">
            <v>0</v>
          </cell>
        </row>
        <row r="1257">
          <cell r="A1257" t="str">
            <v>Jain Otr Tyre Pvt.Ltd</v>
          </cell>
          <cell r="B1257">
            <v>0</v>
          </cell>
        </row>
        <row r="1258">
          <cell r="A1258" t="str">
            <v>Jalam Singh</v>
          </cell>
          <cell r="B1258">
            <v>40000</v>
          </cell>
        </row>
        <row r="1259">
          <cell r="A1259" t="str">
            <v>Jalaram Packaging</v>
          </cell>
          <cell r="B1259">
            <v>-40425</v>
          </cell>
        </row>
        <row r="1260">
          <cell r="A1260" t="str">
            <v>Jalaram Plastic</v>
          </cell>
          <cell r="B1260">
            <v>30163</v>
          </cell>
        </row>
        <row r="1261">
          <cell r="A1261" t="str">
            <v>Jaldevi Engineering Works</v>
          </cell>
          <cell r="B1261">
            <v>0</v>
          </cell>
        </row>
        <row r="1262">
          <cell r="A1262" t="str">
            <v>Janta Engineering Co.(Pumpwala)</v>
          </cell>
          <cell r="B1262">
            <v>-3328</v>
          </cell>
        </row>
        <row r="1263">
          <cell r="A1263" t="str">
            <v>Jas Exims 24AACPG5586D1ZY</v>
          </cell>
          <cell r="B1263">
            <v>0</v>
          </cell>
        </row>
        <row r="1264">
          <cell r="A1264" t="str">
            <v>Jawana Ram</v>
          </cell>
          <cell r="B1264">
            <v>0</v>
          </cell>
        </row>
        <row r="1265">
          <cell r="A1265" t="str">
            <v>Jay Bhavani Enterprise</v>
          </cell>
          <cell r="B1265">
            <v>0.65</v>
          </cell>
        </row>
        <row r="1266">
          <cell r="A1266" t="str">
            <v>Jay Enterprise-Kadi</v>
          </cell>
          <cell r="B1266">
            <v>0</v>
          </cell>
        </row>
        <row r="1267">
          <cell r="A1267" t="str">
            <v>Jay Jagannath Industries - Prop Umeshbhai Kantilal Panchal</v>
          </cell>
          <cell r="B1267">
            <v>1515</v>
          </cell>
        </row>
        <row r="1268">
          <cell r="A1268" t="str">
            <v>Jay Jagannath Industries- 24GKEPP9703F1Z1</v>
          </cell>
          <cell r="B1268">
            <v>-97804</v>
          </cell>
        </row>
        <row r="1269">
          <cell r="A1269" t="str">
            <v>Jay Laxmi Poly Plast (Job)</v>
          </cell>
          <cell r="B1269">
            <v>0</v>
          </cell>
        </row>
        <row r="1270">
          <cell r="A1270" t="str">
            <v>Jay Mataji Roadlines</v>
          </cell>
          <cell r="B1270">
            <v>0</v>
          </cell>
        </row>
        <row r="1271">
          <cell r="A1271" t="str">
            <v>Jay Meldi Engineering Works</v>
          </cell>
          <cell r="B1271">
            <v>-31508.18</v>
          </cell>
        </row>
        <row r="1272">
          <cell r="A1272" t="str">
            <v>Jay Shree Shaktima Textile - 24AGYPP3831G1Z1</v>
          </cell>
          <cell r="B1272">
            <v>0</v>
          </cell>
        </row>
        <row r="1273">
          <cell r="A1273" t="str">
            <v>Jay Umiya Traders</v>
          </cell>
          <cell r="B1273">
            <v>-802</v>
          </cell>
        </row>
        <row r="1274">
          <cell r="A1274" t="str">
            <v>Jay Vijay Polymers</v>
          </cell>
          <cell r="B1274">
            <v>0</v>
          </cell>
        </row>
        <row r="1275">
          <cell r="A1275" t="str">
            <v>Jay Viru Plast</v>
          </cell>
          <cell r="B1275">
            <v>0</v>
          </cell>
        </row>
        <row r="1276">
          <cell r="A1276" t="str">
            <v>Jaylaxmi Furnishing Pvt Ltd</v>
          </cell>
          <cell r="B1276">
            <v>0.01</v>
          </cell>
        </row>
        <row r="1277">
          <cell r="A1277" t="str">
            <v>Jayshree R. Desai</v>
          </cell>
          <cell r="B1277">
            <v>0</v>
          </cell>
        </row>
        <row r="1278">
          <cell r="A1278" t="str">
            <v>Jeena &amp; Company</v>
          </cell>
          <cell r="B1278">
            <v>0</v>
          </cell>
        </row>
        <row r="1279">
          <cell r="A1279" t="str">
            <v>Jet Tech Pvt Ltd</v>
          </cell>
          <cell r="B1279">
            <v>0</v>
          </cell>
        </row>
        <row r="1280">
          <cell r="A1280" t="str">
            <v>JG Enterprise</v>
          </cell>
          <cell r="B1280">
            <v>-32829</v>
          </cell>
        </row>
        <row r="1281">
          <cell r="A1281" t="str">
            <v>Jhaveri Polyyhouse Private Limited</v>
          </cell>
          <cell r="B1281">
            <v>-0.4</v>
          </cell>
        </row>
        <row r="1282">
          <cell r="A1282" t="str">
            <v>Jhunjhunwala Polyplast Private Ltd</v>
          </cell>
          <cell r="B1282">
            <v>0</v>
          </cell>
        </row>
        <row r="1283">
          <cell r="A1283" t="str">
            <v>Jiabur Rahman</v>
          </cell>
          <cell r="B1283">
            <v>0</v>
          </cell>
        </row>
        <row r="1284">
          <cell r="A1284" t="str">
            <v>Jill Mill Non Woven Pvt Ltd</v>
          </cell>
          <cell r="B1284">
            <v>-293864</v>
          </cell>
        </row>
        <row r="1285">
          <cell r="A1285" t="str">
            <v>Jincheng Group Imp &amp;  Exp Co Ltd.</v>
          </cell>
          <cell r="B1285">
            <v>10668657.130000001</v>
          </cell>
        </row>
        <row r="1286">
          <cell r="A1286" t="str">
            <v>Jinneng Chemical (Qingdao) Co Ltd</v>
          </cell>
          <cell r="B1286">
            <v>-621218.98</v>
          </cell>
        </row>
        <row r="1287">
          <cell r="A1287" t="str">
            <v>Jirawala Enterprise</v>
          </cell>
          <cell r="B1287">
            <v>0</v>
          </cell>
        </row>
        <row r="1288">
          <cell r="A1288" t="str">
            <v>Jitendrasinh B. Zala</v>
          </cell>
          <cell r="B1288">
            <v>-59052</v>
          </cell>
        </row>
        <row r="1289">
          <cell r="A1289" t="str">
            <v>Jmj Bulk Packaging</v>
          </cell>
          <cell r="B1289">
            <v>0</v>
          </cell>
        </row>
        <row r="1290">
          <cell r="A1290" t="str">
            <v>Job Charges</v>
          </cell>
          <cell r="B1290">
            <v>49597248.82</v>
          </cell>
        </row>
        <row r="1291">
          <cell r="A1291" t="str">
            <v>Job Work Income</v>
          </cell>
          <cell r="B1291">
            <v>-79774585.090000004</v>
          </cell>
        </row>
        <row r="1292">
          <cell r="A1292" t="str">
            <v>Jose Maria Camargo</v>
          </cell>
          <cell r="B1292">
            <v>9303.89</v>
          </cell>
        </row>
        <row r="1293">
          <cell r="A1293" t="str">
            <v>Joshi Bansari Ketanbhai</v>
          </cell>
          <cell r="B1293">
            <v>0</v>
          </cell>
        </row>
        <row r="1294">
          <cell r="A1294" t="str">
            <v>JPI Printing Machinery Pvt Ltd</v>
          </cell>
          <cell r="B1294">
            <v>0</v>
          </cell>
        </row>
        <row r="1295">
          <cell r="A1295" t="str">
            <v>Jtl Packaging Ltd. T/A Interpac</v>
          </cell>
          <cell r="B1295">
            <v>0</v>
          </cell>
        </row>
        <row r="1296">
          <cell r="A1296" t="str">
            <v>Jumbo Sack Corporation</v>
          </cell>
          <cell r="B1296">
            <v>49034.82</v>
          </cell>
        </row>
        <row r="1297">
          <cell r="A1297" t="str">
            <v>Juta A.S.</v>
          </cell>
          <cell r="B1297">
            <v>64407777.109999999</v>
          </cell>
        </row>
        <row r="1298">
          <cell r="A1298" t="str">
            <v>Jyot Overseas Pvt Ltd</v>
          </cell>
          <cell r="B1298">
            <v>0</v>
          </cell>
        </row>
        <row r="1299">
          <cell r="A1299" t="str">
            <v>K P Enterprise - (GST 24BHQPV2994G1ZM)</v>
          </cell>
          <cell r="B1299">
            <v>-3674</v>
          </cell>
        </row>
        <row r="1300">
          <cell r="A1300" t="str">
            <v>K Patel Drives Systems</v>
          </cell>
          <cell r="B1300">
            <v>0</v>
          </cell>
        </row>
        <row r="1301">
          <cell r="A1301" t="str">
            <v>K.J.Electric Corporation</v>
          </cell>
          <cell r="B1301">
            <v>-610</v>
          </cell>
        </row>
        <row r="1302">
          <cell r="A1302" t="str">
            <v>K.P. Woven Pvt Ltd - Unit 2 (Nani Chirai) -Purchase</v>
          </cell>
          <cell r="B1302">
            <v>-135286.1</v>
          </cell>
        </row>
        <row r="1303">
          <cell r="A1303" t="str">
            <v>K.P. Woven Pvt Ltd - Unit 2 (Nani Chirai) -Sales</v>
          </cell>
          <cell r="B1303">
            <v>290919.21000000002</v>
          </cell>
        </row>
        <row r="1304">
          <cell r="A1304" t="str">
            <v>K.P. Woven Pvt Ltd - Unit 2 -Purchase</v>
          </cell>
          <cell r="B1304">
            <v>-68693398.439999998</v>
          </cell>
        </row>
        <row r="1305">
          <cell r="A1305" t="str">
            <v>K.P. Woven Pvt Ltd - Unit 2 -Sales</v>
          </cell>
          <cell r="B1305">
            <v>176620608.21000001</v>
          </cell>
        </row>
        <row r="1306">
          <cell r="A1306" t="str">
            <v>K.P. Woven Pvt Ltd - Unit 3 -Purchase</v>
          </cell>
          <cell r="B1306">
            <v>-1401213734.28</v>
          </cell>
        </row>
        <row r="1307">
          <cell r="A1307" t="str">
            <v>K.P. Woven Pvt Ltd - Unit 3 -Sales</v>
          </cell>
          <cell r="B1307">
            <v>1047229504.29</v>
          </cell>
        </row>
        <row r="1308">
          <cell r="A1308" t="str">
            <v>K.P. Woven Pvt Ltd-Purchase</v>
          </cell>
          <cell r="B1308">
            <v>1717793562.73</v>
          </cell>
        </row>
        <row r="1309">
          <cell r="A1309" t="str">
            <v>K.P. Woven Pvt Ltd-Sales</v>
          </cell>
          <cell r="B1309">
            <v>-2428074108.7199998</v>
          </cell>
        </row>
        <row r="1310">
          <cell r="A1310" t="str">
            <v>Kabra Electricals</v>
          </cell>
          <cell r="B1310">
            <v>-165441.60999999999</v>
          </cell>
        </row>
        <row r="1311">
          <cell r="A1311" t="str">
            <v>Kailash Enterprise</v>
          </cell>
          <cell r="B1311">
            <v>-16210</v>
          </cell>
        </row>
        <row r="1312">
          <cell r="A1312" t="str">
            <v>Kailash Sales Corporation</v>
          </cell>
          <cell r="B1312">
            <v>-5247</v>
          </cell>
        </row>
        <row r="1313">
          <cell r="A1313" t="str">
            <v>Kajal P Mehta</v>
          </cell>
          <cell r="B1313">
            <v>-15000</v>
          </cell>
        </row>
        <row r="1314">
          <cell r="A1314" t="str">
            <v>Kaka Retails</v>
          </cell>
          <cell r="B1314">
            <v>0</v>
          </cell>
        </row>
        <row r="1315">
          <cell r="A1315" t="str">
            <v>Kal Tire Recycling Chile Spa</v>
          </cell>
          <cell r="B1315">
            <v>-0.04</v>
          </cell>
        </row>
        <row r="1316">
          <cell r="A1316" t="str">
            <v>Kalson Fabric Pvt Ltd</v>
          </cell>
          <cell r="B1316">
            <v>0</v>
          </cell>
        </row>
        <row r="1317">
          <cell r="A1317" t="str">
            <v>Kalson Nuvotech Llp</v>
          </cell>
          <cell r="B1317">
            <v>-100</v>
          </cell>
        </row>
        <row r="1318">
          <cell r="A1318" t="str">
            <v>Kamadur Industrial Knives B.V.</v>
          </cell>
          <cell r="B1318">
            <v>0</v>
          </cell>
        </row>
        <row r="1319">
          <cell r="A1319" t="str">
            <v>Kamakhya Rubber &amp; Hydraulics Industries</v>
          </cell>
          <cell r="B1319">
            <v>0</v>
          </cell>
        </row>
        <row r="1320">
          <cell r="A1320" t="str">
            <v>Kamaldeep Stationers</v>
          </cell>
          <cell r="B1320">
            <v>0</v>
          </cell>
        </row>
        <row r="1321">
          <cell r="A1321" t="str">
            <v>Kamaldeep Xerox And Stationers</v>
          </cell>
          <cell r="B1321">
            <v>-20862</v>
          </cell>
        </row>
        <row r="1322">
          <cell r="A1322" t="str">
            <v>Kamdhenu Industries</v>
          </cell>
          <cell r="B1322">
            <v>-150000</v>
          </cell>
        </row>
        <row r="1323">
          <cell r="A1323" t="str">
            <v>Kamdhenu Polymers Private Limited</v>
          </cell>
          <cell r="B1323">
            <v>-221348</v>
          </cell>
        </row>
        <row r="1324">
          <cell r="A1324" t="str">
            <v>Kan Power Rubber Industries</v>
          </cell>
          <cell r="B1324">
            <v>-11175</v>
          </cell>
        </row>
        <row r="1325">
          <cell r="A1325" t="str">
            <v>Kant Plastology</v>
          </cell>
          <cell r="B1325">
            <v>0</v>
          </cell>
        </row>
        <row r="1326">
          <cell r="A1326" t="str">
            <v>Kantam Kontainers Llp</v>
          </cell>
          <cell r="B1326">
            <v>0</v>
          </cell>
        </row>
        <row r="1327">
          <cell r="A1327" t="str">
            <v>Kapoors Workshop On Effective Communication</v>
          </cell>
          <cell r="B1327">
            <v>0</v>
          </cell>
        </row>
        <row r="1328">
          <cell r="A1328" t="str">
            <v>Karam Green Tex Limited</v>
          </cell>
          <cell r="B1328">
            <v>7338824.4000000004</v>
          </cell>
        </row>
        <row r="1329">
          <cell r="A1329" t="str">
            <v>Karam Multipack Pvt Ltd</v>
          </cell>
          <cell r="B1329">
            <v>4137038.62</v>
          </cell>
        </row>
        <row r="1330">
          <cell r="A1330" t="str">
            <v>Karapatsias Ltd</v>
          </cell>
          <cell r="B1330">
            <v>-47672.51</v>
          </cell>
        </row>
        <row r="1331">
          <cell r="A1331" t="str">
            <v>Karl Weiterer Sack- und Planenfabrik GmbH</v>
          </cell>
          <cell r="B1331">
            <v>0</v>
          </cell>
        </row>
        <row r="1332">
          <cell r="A1332" t="str">
            <v>Karmyog Plywood Centre</v>
          </cell>
          <cell r="B1332">
            <v>-1168.4000000000001</v>
          </cell>
        </row>
        <row r="1333">
          <cell r="A1333" t="str">
            <v>Karnavati Polyblends Pvt Ltd</v>
          </cell>
          <cell r="B1333">
            <v>-900269.64</v>
          </cell>
        </row>
        <row r="1334">
          <cell r="A1334" t="str">
            <v>Karneet Enterprises (India) Private Limited</v>
          </cell>
          <cell r="B1334">
            <v>-0.5</v>
          </cell>
        </row>
        <row r="1335">
          <cell r="A1335" t="str">
            <v>Karni Enterprise</v>
          </cell>
          <cell r="B1335">
            <v>0</v>
          </cell>
        </row>
        <row r="1336">
          <cell r="A1336" t="str">
            <v>Kashvi Pharma-Tech Engineering</v>
          </cell>
          <cell r="B1336">
            <v>0</v>
          </cell>
        </row>
        <row r="1337">
          <cell r="A1337" t="str">
            <v>Kataria Carriers, Delhi</v>
          </cell>
          <cell r="B1337">
            <v>0</v>
          </cell>
        </row>
        <row r="1338">
          <cell r="A1338" t="str">
            <v>Kbm Plastic Machinery Llp</v>
          </cell>
          <cell r="B1338">
            <v>-14667.4</v>
          </cell>
        </row>
        <row r="1339">
          <cell r="A1339" t="str">
            <v>KDR Engineers</v>
          </cell>
          <cell r="B1339">
            <v>-2762</v>
          </cell>
        </row>
        <row r="1340">
          <cell r="A1340" t="str">
            <v>Keestar Industries Co Ltd</v>
          </cell>
          <cell r="B1340">
            <v>-12274.08</v>
          </cell>
        </row>
        <row r="1341">
          <cell r="A1341" t="str">
            <v>Keshar Automation</v>
          </cell>
          <cell r="B1341">
            <v>0</v>
          </cell>
        </row>
        <row r="1342">
          <cell r="A1342" t="str">
            <v>Keshav Manpower Solutions</v>
          </cell>
          <cell r="B1342">
            <v>49398</v>
          </cell>
        </row>
        <row r="1343">
          <cell r="A1343" t="str">
            <v>Kfin Technologies Private Limited</v>
          </cell>
          <cell r="B1343">
            <v>28320</v>
          </cell>
        </row>
        <row r="1344">
          <cell r="A1344" t="str">
            <v>Khanna &amp; Khanna Limited</v>
          </cell>
          <cell r="B1344">
            <v>0</v>
          </cell>
        </row>
        <row r="1345">
          <cell r="A1345" t="str">
            <v>Khator Enterprises</v>
          </cell>
          <cell r="B1345">
            <v>-95993</v>
          </cell>
        </row>
        <row r="1346">
          <cell r="A1346" t="str">
            <v>Khodiyar Water Suppliers</v>
          </cell>
          <cell r="B1346">
            <v>0</v>
          </cell>
        </row>
        <row r="1347">
          <cell r="A1347" t="str">
            <v>Khushboo Enterprises - Gujarat</v>
          </cell>
          <cell r="B1347">
            <v>4254750.16</v>
          </cell>
        </row>
        <row r="1348">
          <cell r="A1348" t="str">
            <v>Kijeka Engineers Pvt Ltd.</v>
          </cell>
          <cell r="B1348">
            <v>0</v>
          </cell>
        </row>
        <row r="1349">
          <cell r="A1349" t="str">
            <v>Kiran Trading</v>
          </cell>
          <cell r="B1349">
            <v>-21533.599999999999</v>
          </cell>
        </row>
        <row r="1350">
          <cell r="A1350" t="str">
            <v>Kirti Engineering Enterprise - 24ACRPP5435B1ZM</v>
          </cell>
          <cell r="B1350">
            <v>-40474</v>
          </cell>
        </row>
        <row r="1351">
          <cell r="A1351" t="str">
            <v>Kishan Traders - Gandhidham</v>
          </cell>
          <cell r="B1351">
            <v>-12948</v>
          </cell>
        </row>
        <row r="1352">
          <cell r="A1352" t="str">
            <v>KK Consultancy</v>
          </cell>
          <cell r="B1352">
            <v>-1642</v>
          </cell>
        </row>
        <row r="1353">
          <cell r="A1353" t="str">
            <v>Km Obaly S.R.O.</v>
          </cell>
          <cell r="B1353">
            <v>7.0000000000000007E-2</v>
          </cell>
        </row>
        <row r="1354">
          <cell r="A1354" t="str">
            <v>Knitting &amp; Braiding Machine</v>
          </cell>
          <cell r="B1354">
            <v>2760468</v>
          </cell>
        </row>
        <row r="1355">
          <cell r="A1355" t="str">
            <v>Koco Group Limited</v>
          </cell>
          <cell r="B1355">
            <v>0</v>
          </cell>
        </row>
        <row r="1356">
          <cell r="A1356" t="str">
            <v>Kohinoor Electric &amp; Febrication Works</v>
          </cell>
          <cell r="B1356">
            <v>-82227</v>
          </cell>
        </row>
        <row r="1357">
          <cell r="A1357" t="str">
            <v>Kone Elevator India Private Limited</v>
          </cell>
          <cell r="B1357">
            <v>0</v>
          </cell>
        </row>
        <row r="1358">
          <cell r="A1358" t="str">
            <v>Konkan Speciality Poly Products Pvt Ltd</v>
          </cell>
          <cell r="B1358">
            <v>-28084</v>
          </cell>
        </row>
        <row r="1359">
          <cell r="A1359" t="str">
            <v>Konndor Industries Limited</v>
          </cell>
          <cell r="B1359">
            <v>0</v>
          </cell>
        </row>
        <row r="1360">
          <cell r="A1360" t="str">
            <v>KP Tech Nonwoven India Private Limited</v>
          </cell>
          <cell r="B1360">
            <v>0</v>
          </cell>
        </row>
        <row r="1361">
          <cell r="A1361" t="str">
            <v>Kpr Enterprise</v>
          </cell>
          <cell r="B1361">
            <v>-2208.52</v>
          </cell>
        </row>
        <row r="1362">
          <cell r="A1362" t="str">
            <v>Krishan Kumar Yadav</v>
          </cell>
          <cell r="B1362">
            <v>39083</v>
          </cell>
        </row>
        <row r="1363">
          <cell r="A1363" t="str">
            <v>Krishna &amp; Co. - Nani Chirai (V.H)</v>
          </cell>
          <cell r="B1363">
            <v>0</v>
          </cell>
        </row>
        <row r="1364">
          <cell r="A1364" t="str">
            <v>Krishna Engineering Works - Ahmedabad</v>
          </cell>
          <cell r="B1364">
            <v>16500</v>
          </cell>
        </row>
        <row r="1365">
          <cell r="A1365" t="str">
            <v>Krishna Enterprise - Ashram Road, Ahmedabad</v>
          </cell>
          <cell r="B1365">
            <v>-22302</v>
          </cell>
        </row>
        <row r="1366">
          <cell r="A1366" t="str">
            <v>Krishna Enterprise - Navrangpura</v>
          </cell>
          <cell r="B1366">
            <v>-25364</v>
          </cell>
        </row>
        <row r="1367">
          <cell r="A1367" t="str">
            <v>Krishna Enterprise-Sabarmati</v>
          </cell>
          <cell r="B1367">
            <v>0</v>
          </cell>
        </row>
        <row r="1368">
          <cell r="A1368" t="str">
            <v>Krishna Enterprise-Yashodadham</v>
          </cell>
          <cell r="B1368">
            <v>0</v>
          </cell>
        </row>
        <row r="1369">
          <cell r="A1369" t="str">
            <v>Krishna Furniture</v>
          </cell>
          <cell r="B1369">
            <v>-673</v>
          </cell>
        </row>
        <row r="1370">
          <cell r="A1370" t="str">
            <v>Krishna Industries</v>
          </cell>
          <cell r="B1370">
            <v>0</v>
          </cell>
        </row>
        <row r="1371">
          <cell r="A1371" t="str">
            <v>Krishna Packaging</v>
          </cell>
          <cell r="B1371">
            <v>0</v>
          </cell>
        </row>
        <row r="1372">
          <cell r="A1372" t="str">
            <v>Krishna Plastics</v>
          </cell>
          <cell r="B1372">
            <v>0</v>
          </cell>
        </row>
        <row r="1373">
          <cell r="A1373" t="str">
            <v>Krishna Sales</v>
          </cell>
          <cell r="B1373">
            <v>0</v>
          </cell>
        </row>
        <row r="1374">
          <cell r="A1374" t="str">
            <v>Krishna Security Service</v>
          </cell>
          <cell r="B1374">
            <v>0</v>
          </cell>
        </row>
        <row r="1375">
          <cell r="A1375" t="str">
            <v>Krishna Traders</v>
          </cell>
          <cell r="B1375">
            <v>0</v>
          </cell>
        </row>
        <row r="1376">
          <cell r="A1376" t="str">
            <v>Krishna Transmission</v>
          </cell>
          <cell r="B1376">
            <v>0</v>
          </cell>
        </row>
        <row r="1377">
          <cell r="A1377" t="str">
            <v>Krunal Enterprise</v>
          </cell>
          <cell r="B1377">
            <v>-12885</v>
          </cell>
        </row>
        <row r="1378">
          <cell r="A1378" t="str">
            <v>Ktex Nonwovens Private Limited</v>
          </cell>
          <cell r="B1378">
            <v>5298155.2</v>
          </cell>
        </row>
        <row r="1379">
          <cell r="A1379" t="str">
            <v>Kuehne Nagel Private Limited</v>
          </cell>
          <cell r="B1379">
            <v>0</v>
          </cell>
        </row>
        <row r="1380">
          <cell r="A1380" t="str">
            <v>Kumar Engineering</v>
          </cell>
          <cell r="B1380">
            <v>0</v>
          </cell>
        </row>
        <row r="1381">
          <cell r="A1381" t="str">
            <v>Kundan Industrial Products &amp; Services</v>
          </cell>
          <cell r="B1381">
            <v>-5222</v>
          </cell>
        </row>
        <row r="1382">
          <cell r="A1382" t="str">
            <v>Kunlun Law Firm</v>
          </cell>
          <cell r="B1382">
            <v>539649.13</v>
          </cell>
        </row>
        <row r="1383">
          <cell r="A1383" t="str">
            <v>Kushal Cargo Movers</v>
          </cell>
          <cell r="B1383">
            <v>0</v>
          </cell>
        </row>
        <row r="1384">
          <cell r="A1384" t="str">
            <v>Kutch Highway Transport Co.</v>
          </cell>
          <cell r="B1384">
            <v>0</v>
          </cell>
        </row>
        <row r="1385">
          <cell r="A1385" t="str">
            <v>Kutch Medisurge Industries</v>
          </cell>
          <cell r="B1385">
            <v>6208142.0099999998</v>
          </cell>
        </row>
        <row r="1386">
          <cell r="A1386" t="str">
            <v>Kutch Ratnam Roadways</v>
          </cell>
          <cell r="B1386">
            <v>0</v>
          </cell>
        </row>
        <row r="1387">
          <cell r="A1387" t="str">
            <v>L L Engineers</v>
          </cell>
          <cell r="B1387">
            <v>0</v>
          </cell>
        </row>
        <row r="1388">
          <cell r="A1388" t="str">
            <v>Labbdhi Paper Tubes Pvt Ltd</v>
          </cell>
          <cell r="B1388">
            <v>-7080</v>
          </cell>
        </row>
        <row r="1389">
          <cell r="A1389" t="str">
            <v>Labdhi Engineering Pvt Ltd</v>
          </cell>
          <cell r="B1389">
            <v>-21287</v>
          </cell>
        </row>
        <row r="1390">
          <cell r="A1390" t="str">
            <v>Labdhi Plastic</v>
          </cell>
          <cell r="B1390">
            <v>0</v>
          </cell>
        </row>
        <row r="1391">
          <cell r="A1391" t="str">
            <v>Laboratory Equipments</v>
          </cell>
          <cell r="B1391">
            <v>1308256.2</v>
          </cell>
        </row>
        <row r="1392">
          <cell r="A1392" t="str">
            <v>Labordata</v>
          </cell>
          <cell r="B1392">
            <v>0</v>
          </cell>
        </row>
        <row r="1393">
          <cell r="A1393" t="str">
            <v>Labour Charges</v>
          </cell>
          <cell r="B1393">
            <v>44806085</v>
          </cell>
        </row>
        <row r="1394">
          <cell r="A1394" t="str">
            <v>Labour Welfare Fund Exp</v>
          </cell>
          <cell r="B1394">
            <v>7920</v>
          </cell>
        </row>
        <row r="1395">
          <cell r="A1395" t="str">
            <v>Lafarge Calcinor Maroc</v>
          </cell>
          <cell r="B1395">
            <v>4979372.9800000004</v>
          </cell>
        </row>
        <row r="1396">
          <cell r="A1396" t="str">
            <v>Lalji Mulji Transport Co.</v>
          </cell>
          <cell r="B1396">
            <v>860</v>
          </cell>
        </row>
        <row r="1397">
          <cell r="A1397" t="str">
            <v>Lamination Plant -Cl 2700</v>
          </cell>
          <cell r="B1397">
            <v>7012857</v>
          </cell>
        </row>
        <row r="1398">
          <cell r="A1398" t="str">
            <v>Lamination Plant 1000Mm</v>
          </cell>
          <cell r="B1398">
            <v>2224223</v>
          </cell>
        </row>
        <row r="1399">
          <cell r="A1399" t="str">
            <v>Lamination Plant Cl-3900</v>
          </cell>
          <cell r="B1399">
            <v>2387812</v>
          </cell>
        </row>
        <row r="1400">
          <cell r="A1400" t="str">
            <v>Lamination Plant Jp 100 Rc</v>
          </cell>
          <cell r="B1400">
            <v>38023212.049999997</v>
          </cell>
        </row>
        <row r="1401">
          <cell r="A1401" t="str">
            <v>Land &amp; Developments</v>
          </cell>
          <cell r="B1401">
            <v>4161719</v>
          </cell>
        </row>
        <row r="1402">
          <cell r="A1402" t="str">
            <v>Land A/c</v>
          </cell>
          <cell r="B1402">
            <v>28051966</v>
          </cell>
        </row>
        <row r="1403">
          <cell r="A1403" t="str">
            <v>Lankhorst Eurunete Portugal Sa</v>
          </cell>
          <cell r="B1403">
            <v>7908947.1900000004</v>
          </cell>
        </row>
        <row r="1404">
          <cell r="A1404" t="str">
            <v>Late Payment Charges</v>
          </cell>
          <cell r="B1404">
            <v>240.49</v>
          </cell>
        </row>
        <row r="1405">
          <cell r="A1405" t="str">
            <v>Lath Machine A/C</v>
          </cell>
          <cell r="B1405">
            <v>371807</v>
          </cell>
        </row>
        <row r="1406">
          <cell r="A1406" t="str">
            <v>Laxman B. Bakutra</v>
          </cell>
          <cell r="B1406">
            <v>0</v>
          </cell>
        </row>
        <row r="1407">
          <cell r="A1407" t="str">
            <v>Laxman Sharma</v>
          </cell>
          <cell r="B1407">
            <v>10000</v>
          </cell>
        </row>
        <row r="1408">
          <cell r="A1408" t="str">
            <v>Laxmi Enterprise</v>
          </cell>
          <cell r="B1408">
            <v>-1</v>
          </cell>
        </row>
        <row r="1409">
          <cell r="A1409" t="str">
            <v>Laxmi Provision Store</v>
          </cell>
          <cell r="B1409">
            <v>0</v>
          </cell>
        </row>
        <row r="1410">
          <cell r="A1410" t="str">
            <v>LC Packaging Belgium NV</v>
          </cell>
          <cell r="B1410">
            <v>0</v>
          </cell>
        </row>
        <row r="1411">
          <cell r="A1411" t="str">
            <v>LC Packaging Covrom Srl</v>
          </cell>
          <cell r="B1411">
            <v>0</v>
          </cell>
        </row>
        <row r="1412">
          <cell r="A1412" t="str">
            <v>LC Packaging Hungary TPI</v>
          </cell>
          <cell r="B1412">
            <v>0.01</v>
          </cell>
        </row>
        <row r="1413">
          <cell r="A1413" t="str">
            <v>LC Packaging Hungary TPI - Purchase</v>
          </cell>
          <cell r="B1413">
            <v>0</v>
          </cell>
        </row>
        <row r="1414">
          <cell r="A1414" t="str">
            <v>LC Packaging Ireland Ltd</v>
          </cell>
          <cell r="B1414">
            <v>4800.92</v>
          </cell>
        </row>
        <row r="1415">
          <cell r="A1415" t="str">
            <v>LC Packaging Netherlands Bv</v>
          </cell>
          <cell r="B1415">
            <v>-113531.23</v>
          </cell>
        </row>
        <row r="1416">
          <cell r="A1416" t="str">
            <v>LC Packaging Netherlands Bv - Purchase</v>
          </cell>
          <cell r="B1416">
            <v>-5381.7</v>
          </cell>
        </row>
        <row r="1417">
          <cell r="A1417" t="str">
            <v>LC Packaging Nordic AB, Sweden</v>
          </cell>
          <cell r="B1417">
            <v>0</v>
          </cell>
        </row>
        <row r="1418">
          <cell r="A1418" t="str">
            <v>LC Packaging SAS, France</v>
          </cell>
          <cell r="B1418">
            <v>66.33</v>
          </cell>
        </row>
        <row r="1419">
          <cell r="A1419" t="str">
            <v>Lease Hold Land</v>
          </cell>
          <cell r="B1419">
            <v>3687635</v>
          </cell>
        </row>
        <row r="1420">
          <cell r="A1420" t="str">
            <v>Lease Rent Equilisation Reserve</v>
          </cell>
          <cell r="B1420">
            <v>-1136019</v>
          </cell>
        </row>
        <row r="1421">
          <cell r="A1421" t="str">
            <v>Leave Encashment</v>
          </cell>
          <cell r="B1421">
            <v>80068</v>
          </cell>
        </row>
        <row r="1422">
          <cell r="A1422" t="str">
            <v>Legal Expense</v>
          </cell>
          <cell r="B1422">
            <v>58795</v>
          </cell>
        </row>
        <row r="1423">
          <cell r="A1423" t="str">
            <v>Legal Expenses Deposit</v>
          </cell>
          <cell r="B1423">
            <v>10000</v>
          </cell>
        </row>
        <row r="1424">
          <cell r="A1424" t="str">
            <v>Licenses DFIA (Stock)</v>
          </cell>
          <cell r="B1424">
            <v>0</v>
          </cell>
        </row>
        <row r="1425">
          <cell r="A1425" t="str">
            <v>Licenses MEIS (Stock)</v>
          </cell>
          <cell r="B1425">
            <v>0</v>
          </cell>
        </row>
        <row r="1426">
          <cell r="A1426" t="str">
            <v>Lila Polymers Pvt. Ltd. - Gujarat</v>
          </cell>
          <cell r="B1426">
            <v>-2527.5</v>
          </cell>
        </row>
        <row r="1427">
          <cell r="A1427" t="str">
            <v>Lila Polymers Pvt. Ltd. - Maharashtra</v>
          </cell>
          <cell r="B1427">
            <v>-0.24</v>
          </cell>
        </row>
        <row r="1428">
          <cell r="A1428" t="str">
            <v>Liner Bag Sealing Machine</v>
          </cell>
          <cell r="B1428">
            <v>2013955</v>
          </cell>
        </row>
        <row r="1429">
          <cell r="A1429" t="str">
            <v>Lionel Samson Packaging Co Pty Ltd.</v>
          </cell>
          <cell r="B1429">
            <v>1.07</v>
          </cell>
        </row>
        <row r="1430">
          <cell r="A1430" t="str">
            <v>Load Lok Nederland B.V.</v>
          </cell>
          <cell r="B1430">
            <v>0</v>
          </cell>
        </row>
        <row r="1431">
          <cell r="A1431" t="str">
            <v>Loading &amp; Unloading Expense</v>
          </cell>
          <cell r="B1431">
            <v>596651</v>
          </cell>
        </row>
        <row r="1432">
          <cell r="A1432" t="str">
            <v>Logix Infosecurity Pvt Ltd</v>
          </cell>
          <cell r="B1432">
            <v>0</v>
          </cell>
        </row>
        <row r="1433">
          <cell r="A1433" t="str">
            <v>Lohia Corp Limited - 09AAKCK2932Q1ZU - UP</v>
          </cell>
          <cell r="B1433">
            <v>1175863.3799999999</v>
          </cell>
        </row>
        <row r="1434">
          <cell r="A1434" t="str">
            <v>Lohia Corp Limited - 24AAKCK2932Q1Z2 - Guj</v>
          </cell>
          <cell r="B1434">
            <v>-670981.71</v>
          </cell>
        </row>
        <row r="1435">
          <cell r="A1435" t="str">
            <v>Lohia Corp Limited - Gujarat</v>
          </cell>
          <cell r="B1435">
            <v>1375147.09</v>
          </cell>
        </row>
        <row r="1436">
          <cell r="A1436" t="str">
            <v>Lohia Corp Limited - Kanpur</v>
          </cell>
          <cell r="B1436">
            <v>0</v>
          </cell>
        </row>
        <row r="1437">
          <cell r="A1437" t="str">
            <v>Lohia Global Solutions - Gujarat - (A Div of Lohia Corp Ltd)</v>
          </cell>
          <cell r="B1437">
            <v>-666874.4</v>
          </cell>
        </row>
        <row r="1438">
          <cell r="A1438" t="str">
            <v>Lohia Global Solutions - Karnataka (Div Of Lohia Corp)</v>
          </cell>
          <cell r="B1438">
            <v>-13683.6</v>
          </cell>
        </row>
        <row r="1439">
          <cell r="A1439" t="str">
            <v>Lohia Global Solutions - UP - (A Div of Lohia Corp Ltd)</v>
          </cell>
          <cell r="B1439">
            <v>-817970.71</v>
          </cell>
        </row>
        <row r="1440">
          <cell r="A1440" t="str">
            <v>Lohia Global Solutions - West bengal</v>
          </cell>
          <cell r="B1440">
            <v>-55362.65</v>
          </cell>
        </row>
        <row r="1441">
          <cell r="A1441" t="str">
            <v>Lohia Global Solutions Pvt Ltd, Gujarat</v>
          </cell>
          <cell r="B1441">
            <v>0</v>
          </cell>
        </row>
        <row r="1442">
          <cell r="A1442" t="str">
            <v>Lorenz Snacks India Private Limited</v>
          </cell>
          <cell r="B1442">
            <v>0</v>
          </cell>
        </row>
        <row r="1443">
          <cell r="A1443" t="str">
            <v>Louis Blockx Nv</v>
          </cell>
          <cell r="B1443">
            <v>0</v>
          </cell>
        </row>
        <row r="1444">
          <cell r="A1444" t="str">
            <v>Lubgraf Products</v>
          </cell>
          <cell r="B1444">
            <v>-5310</v>
          </cell>
        </row>
        <row r="1445">
          <cell r="A1445" t="str">
            <v>Lubi Electronics</v>
          </cell>
          <cell r="B1445">
            <v>128</v>
          </cell>
        </row>
        <row r="1446">
          <cell r="A1446" t="str">
            <v>Lyft Logistics Llp-Gujarat</v>
          </cell>
          <cell r="B1446">
            <v>400</v>
          </cell>
        </row>
        <row r="1447">
          <cell r="A1447" t="str">
            <v>M B And Sons</v>
          </cell>
          <cell r="B1447">
            <v>3709</v>
          </cell>
        </row>
        <row r="1448">
          <cell r="A1448" t="str">
            <v>M D PLASTIC</v>
          </cell>
          <cell r="B1448">
            <v>2585000.04</v>
          </cell>
        </row>
        <row r="1449">
          <cell r="A1449" t="str">
            <v>M R Brothers</v>
          </cell>
          <cell r="B1449">
            <v>1546.5</v>
          </cell>
        </row>
        <row r="1450">
          <cell r="A1450" t="str">
            <v>M R Logistics</v>
          </cell>
          <cell r="B1450">
            <v>0</v>
          </cell>
        </row>
        <row r="1451">
          <cell r="A1451" t="str">
            <v>M.S.Woven Sacks</v>
          </cell>
          <cell r="B1451">
            <v>0</v>
          </cell>
        </row>
        <row r="1452">
          <cell r="A1452" t="str">
            <v>Maa Bhavani Enterprise</v>
          </cell>
          <cell r="B1452">
            <v>102183</v>
          </cell>
        </row>
        <row r="1453">
          <cell r="A1453" t="str">
            <v>Maa Durga Engineering</v>
          </cell>
          <cell r="B1453">
            <v>0</v>
          </cell>
        </row>
        <row r="1454">
          <cell r="A1454" t="str">
            <v>Macarize Industries</v>
          </cell>
          <cell r="B1454">
            <v>0.6</v>
          </cell>
        </row>
        <row r="1455">
          <cell r="A1455" t="str">
            <v>Macfil Industries - Sales</v>
          </cell>
          <cell r="B1455">
            <v>0</v>
          </cell>
        </row>
        <row r="1456">
          <cell r="A1456" t="str">
            <v>Macgray Solutions Pvt Ltd</v>
          </cell>
          <cell r="B1456">
            <v>-7080</v>
          </cell>
        </row>
        <row r="1457">
          <cell r="A1457" t="str">
            <v>Machinery For Filtering &amp; Purifying Water</v>
          </cell>
          <cell r="B1457">
            <v>47000</v>
          </cell>
        </row>
        <row r="1458">
          <cell r="A1458" t="str">
            <v>Madhu P. Parekh (Dr)</v>
          </cell>
          <cell r="B1458">
            <v>15071960</v>
          </cell>
        </row>
        <row r="1459">
          <cell r="A1459" t="str">
            <v>Madi Sp. z.o.o.</v>
          </cell>
          <cell r="B1459">
            <v>3476296.99</v>
          </cell>
        </row>
        <row r="1460">
          <cell r="A1460" t="str">
            <v>Maersk Line India Pvt Ltd</v>
          </cell>
          <cell r="B1460">
            <v>-100073.44</v>
          </cell>
        </row>
        <row r="1461">
          <cell r="A1461" t="str">
            <v>Magma General Insurance Limited</v>
          </cell>
          <cell r="B1461">
            <v>0</v>
          </cell>
        </row>
        <row r="1462">
          <cell r="A1462" t="str">
            <v>Maha Shivratri Polymers Private Limited</v>
          </cell>
          <cell r="B1462">
            <v>-7052366.2000000002</v>
          </cell>
        </row>
        <row r="1463">
          <cell r="A1463" t="str">
            <v>Mahadhan Agritech Limited</v>
          </cell>
          <cell r="B1463">
            <v>5339.8</v>
          </cell>
        </row>
        <row r="1464">
          <cell r="A1464" t="str">
            <v>Mahakali Electronics</v>
          </cell>
          <cell r="B1464">
            <v>0</v>
          </cell>
        </row>
        <row r="1465">
          <cell r="A1465" t="str">
            <v>Mahakali Enertprise 24EPJPD1320A1ZT</v>
          </cell>
          <cell r="B1465">
            <v>26919</v>
          </cell>
        </row>
        <row r="1466">
          <cell r="A1466" t="str">
            <v>Mahakali Trading Company</v>
          </cell>
          <cell r="B1466">
            <v>-12802.33</v>
          </cell>
        </row>
        <row r="1467">
          <cell r="A1467" t="str">
            <v>Mahavir Business Solutions</v>
          </cell>
          <cell r="B1467">
            <v>-0.4</v>
          </cell>
        </row>
        <row r="1468">
          <cell r="A1468" t="str">
            <v>Mahavir Enterprise</v>
          </cell>
          <cell r="B1468">
            <v>-2348</v>
          </cell>
        </row>
        <row r="1469">
          <cell r="A1469" t="str">
            <v>Mahavir Industries</v>
          </cell>
          <cell r="B1469">
            <v>-1038997</v>
          </cell>
        </row>
        <row r="1470">
          <cell r="A1470" t="str">
            <v>Mahavir Marketing</v>
          </cell>
          <cell r="B1470">
            <v>0</v>
          </cell>
        </row>
        <row r="1471">
          <cell r="A1471" t="str">
            <v>Mahavir Technovations</v>
          </cell>
          <cell r="B1471">
            <v>375.82</v>
          </cell>
        </row>
        <row r="1472">
          <cell r="A1472" t="str">
            <v>Mahendra Haribhai Dantani</v>
          </cell>
          <cell r="B1472">
            <v>0</v>
          </cell>
        </row>
        <row r="1473">
          <cell r="A1473" t="str">
            <v>Mahendra Haribhai Dantani - Colony Deposit</v>
          </cell>
          <cell r="B1473">
            <v>100980</v>
          </cell>
        </row>
        <row r="1474">
          <cell r="A1474" t="str">
            <v>Mahendra Kumar</v>
          </cell>
          <cell r="B1474">
            <v>0</v>
          </cell>
        </row>
        <row r="1475">
          <cell r="A1475" t="str">
            <v>Maitri Enterprise</v>
          </cell>
          <cell r="B1475">
            <v>912159.64</v>
          </cell>
        </row>
        <row r="1476">
          <cell r="A1476" t="str">
            <v>Maitry Enterprises</v>
          </cell>
          <cell r="B1476">
            <v>-30540.6</v>
          </cell>
        </row>
        <row r="1477">
          <cell r="A1477" t="str">
            <v>Makarand Krishnarao Deorankar HUF</v>
          </cell>
          <cell r="B1477">
            <v>0</v>
          </cell>
        </row>
        <row r="1478">
          <cell r="A1478" t="str">
            <v>Make My Trip (india) Pvt. Ltd._06AADCM5146R1ZZ</v>
          </cell>
          <cell r="B1478">
            <v>-23530.33</v>
          </cell>
        </row>
        <row r="1479">
          <cell r="A1479" t="str">
            <v>Makwana Enterprise</v>
          </cell>
          <cell r="B1479">
            <v>-17069.5</v>
          </cell>
        </row>
        <row r="1480">
          <cell r="A1480" t="str">
            <v>Manikaran Analytics Limited</v>
          </cell>
          <cell r="B1480">
            <v>0</v>
          </cell>
        </row>
        <row r="1481">
          <cell r="A1481" t="str">
            <v>Manish Stationery Mart</v>
          </cell>
          <cell r="B1481">
            <v>0.01</v>
          </cell>
        </row>
        <row r="1482">
          <cell r="A1482" t="str">
            <v>Manoj Tyres</v>
          </cell>
          <cell r="B1482">
            <v>0</v>
          </cell>
        </row>
        <row r="1483">
          <cell r="A1483" t="str">
            <v>Mantram Technofab Pvt Ltd</v>
          </cell>
          <cell r="B1483">
            <v>0</v>
          </cell>
        </row>
        <row r="1484">
          <cell r="A1484" t="str">
            <v>Mantri  Industries</v>
          </cell>
          <cell r="B1484">
            <v>0</v>
          </cell>
        </row>
        <row r="1485">
          <cell r="A1485" t="str">
            <v>Manyan Inc.</v>
          </cell>
          <cell r="B1485">
            <v>9726116.4000000004</v>
          </cell>
        </row>
        <row r="1486">
          <cell r="A1486" t="str">
            <v>Maple Enterprise</v>
          </cell>
          <cell r="B1486">
            <v>-743.75</v>
          </cell>
        </row>
        <row r="1487">
          <cell r="A1487" t="str">
            <v>Marek Zacek</v>
          </cell>
          <cell r="B1487">
            <v>0</v>
          </cell>
        </row>
        <row r="1488">
          <cell r="A1488" t="str">
            <v>Mark Express</v>
          </cell>
          <cell r="B1488">
            <v>0</v>
          </cell>
        </row>
        <row r="1489">
          <cell r="A1489" t="str">
            <v>Marshal Polymers</v>
          </cell>
          <cell r="B1489">
            <v>0.44</v>
          </cell>
        </row>
        <row r="1490">
          <cell r="A1490" t="str">
            <v>Marudhar Polycot India Pvt Ltd</v>
          </cell>
          <cell r="B1490">
            <v>-27500000</v>
          </cell>
        </row>
        <row r="1491">
          <cell r="A1491" t="str">
            <v>Marudhar Polymers - ICD</v>
          </cell>
          <cell r="B1491">
            <v>-29411404</v>
          </cell>
        </row>
        <row r="1492">
          <cell r="A1492" t="str">
            <v>Marudhar Polymers - Purchase</v>
          </cell>
          <cell r="B1492">
            <v>16384274</v>
          </cell>
        </row>
        <row r="1493">
          <cell r="A1493" t="str">
            <v>Marudhar Polymers - Sales</v>
          </cell>
          <cell r="B1493">
            <v>66454517.229999997</v>
          </cell>
        </row>
        <row r="1494">
          <cell r="A1494" t="str">
            <v>Marut Air System Pvt Ltd.</v>
          </cell>
          <cell r="B1494">
            <v>0</v>
          </cell>
        </row>
        <row r="1495">
          <cell r="A1495" t="str">
            <v>Maruti Plastic  24ACBFM1584C1ZM</v>
          </cell>
          <cell r="B1495">
            <v>-292320</v>
          </cell>
        </row>
        <row r="1496">
          <cell r="A1496" t="str">
            <v>Maruti Polymers</v>
          </cell>
          <cell r="B1496">
            <v>-1217014</v>
          </cell>
        </row>
        <row r="1497">
          <cell r="A1497" t="str">
            <v>Maruti Traders - Purchase</v>
          </cell>
          <cell r="B1497">
            <v>-1</v>
          </cell>
        </row>
        <row r="1498">
          <cell r="A1498" t="str">
            <v>Marwadi Infosys Inc.</v>
          </cell>
          <cell r="B1498">
            <v>0</v>
          </cell>
        </row>
        <row r="1499">
          <cell r="A1499" t="str">
            <v>MAT Credit Receivable</v>
          </cell>
          <cell r="B1499">
            <v>12818387</v>
          </cell>
        </row>
        <row r="1500">
          <cell r="A1500" t="str">
            <v>Matrix Engineers</v>
          </cell>
          <cell r="B1500">
            <v>-4956.3999999999996</v>
          </cell>
        </row>
        <row r="1501">
          <cell r="A1501" t="str">
            <v>Maven Automation</v>
          </cell>
          <cell r="B1501">
            <v>0</v>
          </cell>
        </row>
        <row r="1502">
          <cell r="A1502" t="str">
            <v>Max Control</v>
          </cell>
          <cell r="B1502">
            <v>-109812</v>
          </cell>
        </row>
        <row r="1503">
          <cell r="A1503" t="str">
            <v>Max Spare Limited</v>
          </cell>
          <cell r="B1503">
            <v>-7387.53</v>
          </cell>
        </row>
        <row r="1504">
          <cell r="A1504" t="str">
            <v>Mechtech Enterprise</v>
          </cell>
          <cell r="B1504">
            <v>-5653.8</v>
          </cell>
        </row>
        <row r="1505">
          <cell r="A1505" t="str">
            <v>Medical Expense</v>
          </cell>
          <cell r="B1505">
            <v>170187</v>
          </cell>
        </row>
        <row r="1506">
          <cell r="A1506" t="str">
            <v>Meet Enterprise</v>
          </cell>
          <cell r="B1506">
            <v>0.76</v>
          </cell>
        </row>
        <row r="1507">
          <cell r="A1507" t="str">
            <v>Mehjal Adhesive Tapes Pvt. Ltd.</v>
          </cell>
          <cell r="B1507">
            <v>-1153993.26</v>
          </cell>
        </row>
        <row r="1508">
          <cell r="A1508" t="str">
            <v>Mehjal Adhesive Tapes Pvt. Ltd. - Sales</v>
          </cell>
          <cell r="B1508">
            <v>527930.66</v>
          </cell>
        </row>
        <row r="1509">
          <cell r="A1509" t="str">
            <v>Mehta Plywood</v>
          </cell>
          <cell r="B1509">
            <v>-28615</v>
          </cell>
        </row>
        <row r="1510">
          <cell r="A1510" t="str">
            <v>Mehta Sales Corporate</v>
          </cell>
          <cell r="B1510">
            <v>0.2</v>
          </cell>
        </row>
        <row r="1511">
          <cell r="A1511" t="str">
            <v>Mehul Khatsuriya &amp; Associates</v>
          </cell>
          <cell r="B1511">
            <v>-1000</v>
          </cell>
        </row>
        <row r="1512">
          <cell r="A1512" t="str">
            <v>MEIS Receivable</v>
          </cell>
          <cell r="B1512">
            <v>0</v>
          </cell>
        </row>
        <row r="1513">
          <cell r="A1513" t="str">
            <v>Membership &amp; Subscription Fees</v>
          </cell>
          <cell r="B1513">
            <v>28408</v>
          </cell>
        </row>
        <row r="1514">
          <cell r="A1514" t="str">
            <v>Mentor Enterprise</v>
          </cell>
          <cell r="B1514">
            <v>-0.5</v>
          </cell>
        </row>
        <row r="1515">
          <cell r="A1515" t="str">
            <v>Mepal Engineering Industries</v>
          </cell>
          <cell r="B1515">
            <v>9676</v>
          </cell>
        </row>
        <row r="1516">
          <cell r="A1516" t="str">
            <v>Mercados Mundiales Import Export, S.A.U</v>
          </cell>
          <cell r="B1516">
            <v>4910937.8600000003</v>
          </cell>
        </row>
        <row r="1517">
          <cell r="A1517" t="str">
            <v>Merit Polymers Private Limited
-Daman</v>
          </cell>
          <cell r="B1517">
            <v>0</v>
          </cell>
        </row>
        <row r="1518">
          <cell r="A1518" t="str">
            <v>Meshtech India- Sales</v>
          </cell>
          <cell r="B1518">
            <v>-0.2</v>
          </cell>
        </row>
        <row r="1519">
          <cell r="A1519" t="str">
            <v>Messe Dusseldorf Gmbh</v>
          </cell>
          <cell r="B1519">
            <v>0</v>
          </cell>
        </row>
        <row r="1520">
          <cell r="A1520" t="str">
            <v>Metal Detector Machine</v>
          </cell>
          <cell r="B1520">
            <v>458500</v>
          </cell>
        </row>
        <row r="1521">
          <cell r="A1521" t="str">
            <v>Metalex Agencies</v>
          </cell>
          <cell r="B1521">
            <v>0</v>
          </cell>
        </row>
        <row r="1522">
          <cell r="A1522" t="str">
            <v>Metro Packaging</v>
          </cell>
          <cell r="B1522">
            <v>-159686</v>
          </cell>
        </row>
        <row r="1523">
          <cell r="A1523" t="str">
            <v>Mewar Microns</v>
          </cell>
          <cell r="B1523">
            <v>-233175</v>
          </cell>
        </row>
        <row r="1524">
          <cell r="A1524" t="str">
            <v>Midas Yarn Processors Pvt Ltd</v>
          </cell>
          <cell r="B1524">
            <v>0</v>
          </cell>
        </row>
        <row r="1525">
          <cell r="A1525" t="str">
            <v>Mikitos Ind E Com De Gen Alim Do Amazonas Ltda</v>
          </cell>
          <cell r="B1525">
            <v>-0.01</v>
          </cell>
        </row>
        <row r="1526">
          <cell r="A1526" t="str">
            <v>Milan Auto Parts</v>
          </cell>
          <cell r="B1526">
            <v>0</v>
          </cell>
        </row>
        <row r="1527">
          <cell r="A1527" t="str">
            <v>Milestone Pneumatics</v>
          </cell>
          <cell r="B1527">
            <v>0</v>
          </cell>
        </row>
        <row r="1528">
          <cell r="A1528" t="str">
            <v>Milestone Services</v>
          </cell>
          <cell r="B1528">
            <v>0</v>
          </cell>
        </row>
        <row r="1529">
          <cell r="A1529" t="str">
            <v>Milin Tubes</v>
          </cell>
          <cell r="B1529">
            <v>0</v>
          </cell>
        </row>
        <row r="1530">
          <cell r="A1530" t="str">
            <v>Milling Machine</v>
          </cell>
          <cell r="B1530">
            <v>111150</v>
          </cell>
        </row>
        <row r="1531">
          <cell r="A1531" t="str">
            <v>Minini Spa</v>
          </cell>
          <cell r="B1531">
            <v>3739.64</v>
          </cell>
        </row>
        <row r="1532">
          <cell r="A1532" t="str">
            <v>Mira Inform Private Limited</v>
          </cell>
          <cell r="B1532">
            <v>0</v>
          </cell>
        </row>
        <row r="1533">
          <cell r="A1533" t="str">
            <v>Miscellaneous Expense</v>
          </cell>
          <cell r="B1533">
            <v>1643735.28</v>
          </cell>
        </row>
        <row r="1534">
          <cell r="A1534" t="str">
            <v>Miscellaneous Income</v>
          </cell>
          <cell r="B1534">
            <v>-61200</v>
          </cell>
        </row>
        <row r="1535">
          <cell r="A1535" t="str">
            <v>Mishita Filters</v>
          </cell>
          <cell r="B1535">
            <v>-34897</v>
          </cell>
        </row>
        <row r="1536">
          <cell r="A1536" t="str">
            <v>Mitsui &amp; Co. (Asia Pacific) Pte Ltd</v>
          </cell>
          <cell r="B1536">
            <v>-17729.8</v>
          </cell>
        </row>
        <row r="1537">
          <cell r="A1537" t="str">
            <v>Mittal Trade Netlinks</v>
          </cell>
          <cell r="B1537">
            <v>9485.57</v>
          </cell>
        </row>
        <row r="1538">
          <cell r="A1538" t="str">
            <v>Mitul Atulkumar Upadhyay</v>
          </cell>
          <cell r="B1538">
            <v>0</v>
          </cell>
        </row>
        <row r="1539">
          <cell r="A1539" t="str">
            <v>Mixing Machine</v>
          </cell>
          <cell r="B1539">
            <v>77150</v>
          </cell>
        </row>
        <row r="1540">
          <cell r="A1540" t="str">
            <v>MK Enterprises</v>
          </cell>
          <cell r="B1540">
            <v>-288013.73</v>
          </cell>
        </row>
        <row r="1541">
          <cell r="A1541" t="str">
            <v>Mobelchem Specialty Private Limited</v>
          </cell>
          <cell r="B1541">
            <v>-219286</v>
          </cell>
        </row>
        <row r="1542">
          <cell r="A1542" t="str">
            <v>Mobile &amp; Telephone Expense</v>
          </cell>
          <cell r="B1542">
            <v>290863.95</v>
          </cell>
        </row>
        <row r="1543">
          <cell r="A1543" t="str">
            <v>Mobile &amp; Telephone Instrument</v>
          </cell>
          <cell r="B1543">
            <v>1785693.5</v>
          </cell>
        </row>
        <row r="1544">
          <cell r="A1544" t="str">
            <v>Modus Granum LLC</v>
          </cell>
          <cell r="B1544">
            <v>-231550.7</v>
          </cell>
        </row>
        <row r="1545">
          <cell r="A1545" t="str">
            <v>Mogli Labs Inc</v>
          </cell>
          <cell r="B1545">
            <v>-0.03</v>
          </cell>
        </row>
        <row r="1546">
          <cell r="A1546" t="str">
            <v>Mohan Lal</v>
          </cell>
          <cell r="B1546">
            <v>0</v>
          </cell>
        </row>
        <row r="1547">
          <cell r="A1547" t="str">
            <v>Mohanbhai Reshambhai Taral</v>
          </cell>
          <cell r="B1547">
            <v>1004513.21</v>
          </cell>
        </row>
        <row r="1548">
          <cell r="A1548" t="str">
            <v>Mohsin Rasulmiya Malek</v>
          </cell>
          <cell r="B1548">
            <v>0</v>
          </cell>
        </row>
        <row r="1549">
          <cell r="A1549" t="str">
            <v>Mohta Electric And Engineering Co</v>
          </cell>
          <cell r="B1549">
            <v>-0.7</v>
          </cell>
        </row>
        <row r="1550">
          <cell r="A1550" t="str">
            <v>Moldking Packaging Private Limited</v>
          </cell>
          <cell r="B1550">
            <v>-22000</v>
          </cell>
        </row>
        <row r="1551">
          <cell r="A1551" t="str">
            <v>Monarch Info</v>
          </cell>
          <cell r="B1551">
            <v>-900</v>
          </cell>
        </row>
        <row r="1552">
          <cell r="A1552" t="str">
            <v>Monarch Networth Capital Limited</v>
          </cell>
          <cell r="B1552">
            <v>-1770</v>
          </cell>
        </row>
        <row r="1553">
          <cell r="A1553" t="str">
            <v>Mono Block Water Pump</v>
          </cell>
          <cell r="B1553">
            <v>96944.71</v>
          </cell>
        </row>
        <row r="1554">
          <cell r="A1554" t="str">
            <v>Monoblock Pump</v>
          </cell>
          <cell r="B1554">
            <v>936834.04</v>
          </cell>
        </row>
        <row r="1555">
          <cell r="A1555" t="str">
            <v>Monolayer Plant</v>
          </cell>
          <cell r="B1555">
            <v>1929461</v>
          </cell>
        </row>
        <row r="1556">
          <cell r="A1556" t="str">
            <v>Moolchand Agencies</v>
          </cell>
          <cell r="B1556">
            <v>844.48</v>
          </cell>
        </row>
        <row r="1557">
          <cell r="A1557" t="str">
            <v>Mor Techfab Pvt .Ltd.</v>
          </cell>
          <cell r="B1557">
            <v>-217579.14</v>
          </cell>
        </row>
        <row r="1558">
          <cell r="A1558" t="str">
            <v>Morbia Infotech</v>
          </cell>
          <cell r="B1558">
            <v>0</v>
          </cell>
        </row>
        <row r="1559">
          <cell r="A1559" t="str">
            <v>Morendha Rajesh Nathalal (Huf)</v>
          </cell>
          <cell r="B1559">
            <v>0</v>
          </cell>
        </row>
        <row r="1560">
          <cell r="A1560" t="str">
            <v>Morimura Brothers Trading India Private Limited - 06AAGCM8226M2Z2</v>
          </cell>
          <cell r="B1560">
            <v>0</v>
          </cell>
        </row>
        <row r="1561">
          <cell r="A1561" t="str">
            <v>Motorcycle Bajaj Platina AL Motor Cycle</v>
          </cell>
          <cell r="B1561">
            <v>36400</v>
          </cell>
        </row>
        <row r="1562">
          <cell r="A1562" t="str">
            <v>Motorcycle CT100 (Gj 1 Fc 8399)</v>
          </cell>
          <cell r="B1562">
            <v>36500</v>
          </cell>
        </row>
        <row r="1563">
          <cell r="A1563" t="str">
            <v>Motorcycle Hero Honda</v>
          </cell>
          <cell r="B1563">
            <v>87249</v>
          </cell>
        </row>
        <row r="1564">
          <cell r="A1564" t="str">
            <v>Motorcycle Hero Honda-Gj 2A 2384</v>
          </cell>
          <cell r="B1564">
            <v>43030</v>
          </cell>
        </row>
        <row r="1565">
          <cell r="A1565" t="str">
            <v>Motorcycle Hero Honda-Gj2A 2405</v>
          </cell>
          <cell r="B1565">
            <v>43030</v>
          </cell>
        </row>
        <row r="1566">
          <cell r="A1566" t="str">
            <v>Motorcycle Honda Twister - Reg No</v>
          </cell>
          <cell r="B1566">
            <v>55762</v>
          </cell>
        </row>
        <row r="1567">
          <cell r="A1567" t="str">
            <v>Motorcycle Passion Gj-12-Am 8237</v>
          </cell>
          <cell r="B1567">
            <v>49397</v>
          </cell>
        </row>
        <row r="1568">
          <cell r="A1568" t="str">
            <v>Motorcycle Splendor(Gj-12 Am 8248)</v>
          </cell>
          <cell r="B1568">
            <v>50911</v>
          </cell>
        </row>
        <row r="1569">
          <cell r="A1569" t="str">
            <v>Mount-Polyfab Llp - Purchase</v>
          </cell>
          <cell r="B1569">
            <v>0</v>
          </cell>
        </row>
        <row r="1570">
          <cell r="A1570" t="str">
            <v>Movable Ramp</v>
          </cell>
          <cell r="B1570">
            <v>1034000</v>
          </cell>
        </row>
        <row r="1571">
          <cell r="A1571" t="str">
            <v>Msc Agency (India) Private Limited</v>
          </cell>
          <cell r="B1571">
            <v>0</v>
          </cell>
        </row>
        <row r="1572">
          <cell r="A1572" t="str">
            <v>Msc Mediterranean Shipping Company S.A</v>
          </cell>
          <cell r="B1572">
            <v>5168</v>
          </cell>
        </row>
        <row r="1573">
          <cell r="A1573" t="str">
            <v>Mud Pump</v>
          </cell>
          <cell r="B1573">
            <v>29530</v>
          </cell>
        </row>
        <row r="1574">
          <cell r="A1574" t="str">
            <v>Mukesh Kumar Yadav</v>
          </cell>
          <cell r="B1574">
            <v>0</v>
          </cell>
        </row>
        <row r="1575">
          <cell r="A1575" t="str">
            <v>Mukund Steels</v>
          </cell>
          <cell r="B1575">
            <v>0</v>
          </cell>
        </row>
        <row r="1576">
          <cell r="A1576" t="str">
            <v>Multi Commodity General Trading Fze</v>
          </cell>
          <cell r="B1576">
            <v>-334101.81</v>
          </cell>
        </row>
        <row r="1577">
          <cell r="A1577" t="str">
            <v>Multi Enterprise</v>
          </cell>
          <cell r="B1577">
            <v>-840</v>
          </cell>
        </row>
        <row r="1578">
          <cell r="A1578" t="str">
            <v>Multi Negoce</v>
          </cell>
          <cell r="B1578">
            <v>1726506.32</v>
          </cell>
        </row>
        <row r="1579">
          <cell r="A1579" t="str">
            <v>Multi Trade Limited Fzc</v>
          </cell>
          <cell r="B1579">
            <v>-138030.75</v>
          </cell>
        </row>
        <row r="1580">
          <cell r="A1580" t="str">
            <v>Multifilament Spinning Yarn</v>
          </cell>
          <cell r="B1580">
            <v>4817153.34</v>
          </cell>
        </row>
        <row r="1581">
          <cell r="A1581" t="str">
            <v>Multifilament Yarn Plant</v>
          </cell>
          <cell r="B1581">
            <v>7313998.25</v>
          </cell>
        </row>
        <row r="1582">
          <cell r="A1582" t="str">
            <v>Multilayer (5 Layer) Blown Film Plant</v>
          </cell>
          <cell r="B1582">
            <v>22505412.800000001</v>
          </cell>
        </row>
        <row r="1583">
          <cell r="A1583" t="str">
            <v>Mundra International Container Terminal Pvt. Ltd.</v>
          </cell>
          <cell r="B1583">
            <v>76376.479999999996</v>
          </cell>
        </row>
        <row r="1584">
          <cell r="A1584" t="str">
            <v>Muni Enterprises</v>
          </cell>
          <cell r="B1584">
            <v>-30504</v>
          </cell>
        </row>
        <row r="1585">
          <cell r="A1585" t="str">
            <v>Munishchandra &amp; Co.</v>
          </cell>
          <cell r="B1585">
            <v>0</v>
          </cell>
        </row>
        <row r="1586">
          <cell r="A1586" t="str">
            <v>Murari Trading Private Limited</v>
          </cell>
          <cell r="B1586">
            <v>38702605.200000003</v>
          </cell>
        </row>
        <row r="1587">
          <cell r="A1587" t="str">
            <v>Murlidhar Paper Tube</v>
          </cell>
          <cell r="B1587">
            <v>-45483</v>
          </cell>
        </row>
        <row r="1588">
          <cell r="A1588" t="str">
            <v>Muscat Polymers Pvt Ltd - Sales</v>
          </cell>
          <cell r="B1588">
            <v>-1522921</v>
          </cell>
        </row>
        <row r="1589">
          <cell r="A1589" t="str">
            <v>Mustufamiyan Divanmiyan Malek</v>
          </cell>
          <cell r="B1589">
            <v>0</v>
          </cell>
        </row>
        <row r="1590">
          <cell r="A1590" t="str">
            <v>Mynd Solutions Pvt Ltd</v>
          </cell>
          <cell r="B1590">
            <v>7640.36</v>
          </cell>
        </row>
        <row r="1591">
          <cell r="A1591" t="str">
            <v>Myrin S.A</v>
          </cell>
          <cell r="B1591">
            <v>0</v>
          </cell>
        </row>
        <row r="1592">
          <cell r="A1592" t="str">
            <v>Mytri International</v>
          </cell>
          <cell r="B1592">
            <v>0</v>
          </cell>
        </row>
        <row r="1593">
          <cell r="A1593" t="str">
            <v>N S Traders</v>
          </cell>
          <cell r="B1593">
            <v>0</v>
          </cell>
        </row>
        <row r="1594">
          <cell r="A1594" t="str">
            <v>N-FAB Textile Pvt. Ltd.</v>
          </cell>
          <cell r="B1594">
            <v>6708604.2400000002</v>
          </cell>
        </row>
        <row r="1595">
          <cell r="A1595" t="str">
            <v>N.S.Engineering Plastic</v>
          </cell>
          <cell r="B1595">
            <v>17916.689999999999</v>
          </cell>
        </row>
        <row r="1596">
          <cell r="A1596" t="str">
            <v>Nada Poly Plast</v>
          </cell>
          <cell r="B1596">
            <v>-38586</v>
          </cell>
        </row>
        <row r="1597">
          <cell r="A1597" t="str">
            <v>Naidu Associates</v>
          </cell>
          <cell r="B1597">
            <v>0</v>
          </cell>
        </row>
        <row r="1598">
          <cell r="A1598" t="str">
            <v>Najumiya Umarmiya Malek</v>
          </cell>
          <cell r="B1598">
            <v>-7525</v>
          </cell>
        </row>
        <row r="1599">
          <cell r="A1599" t="str">
            <v>Nandini Chaurasia</v>
          </cell>
          <cell r="B1599">
            <v>-4000</v>
          </cell>
        </row>
        <row r="1600">
          <cell r="A1600" t="str">
            <v>Nandishwari Packaging</v>
          </cell>
          <cell r="B1600">
            <v>-15</v>
          </cell>
        </row>
        <row r="1601">
          <cell r="A1601" t="str">
            <v>Narahari Singh</v>
          </cell>
          <cell r="B1601">
            <v>-19958</v>
          </cell>
        </row>
        <row r="1602">
          <cell r="A1602" t="str">
            <v>Naran Scissors Works &amp; Traders</v>
          </cell>
          <cell r="B1602">
            <v>-1269.2</v>
          </cell>
        </row>
        <row r="1603">
          <cell r="A1603" t="str">
            <v>Naranji Peraj Transport Co., Gujarat</v>
          </cell>
          <cell r="B1603">
            <v>0</v>
          </cell>
        </row>
        <row r="1604">
          <cell r="A1604" t="str">
            <v>Narayan Industries</v>
          </cell>
          <cell r="B1604">
            <v>74340</v>
          </cell>
        </row>
        <row r="1605">
          <cell r="A1605" t="str">
            <v>Narayandas Murlidhar</v>
          </cell>
          <cell r="B1605">
            <v>0</v>
          </cell>
        </row>
        <row r="1606">
          <cell r="A1606" t="str">
            <v>Narayani Enterprise - 24AACHL1775K2Z3</v>
          </cell>
          <cell r="B1606">
            <v>-383</v>
          </cell>
        </row>
        <row r="1607">
          <cell r="A1607" t="str">
            <v>National Security Depository Limited</v>
          </cell>
          <cell r="B1607">
            <v>81000</v>
          </cell>
        </row>
        <row r="1608">
          <cell r="A1608" t="str">
            <v>Navbharat Electronics  Co</v>
          </cell>
          <cell r="B1608">
            <v>0</v>
          </cell>
        </row>
        <row r="1609">
          <cell r="A1609" t="str">
            <v>Navdeep Traders</v>
          </cell>
          <cell r="B1609">
            <v>-5841</v>
          </cell>
        </row>
        <row r="1610">
          <cell r="A1610" t="str">
            <v>Navin Salecha</v>
          </cell>
          <cell r="B1610">
            <v>0</v>
          </cell>
        </row>
        <row r="1611">
          <cell r="A1611" t="str">
            <v>Navkar Techno Trade</v>
          </cell>
          <cell r="B1611">
            <v>0</v>
          </cell>
        </row>
        <row r="1612">
          <cell r="A1612" t="str">
            <v>Navrang Machinery Pvt Ltd</v>
          </cell>
          <cell r="B1612">
            <v>-3776</v>
          </cell>
        </row>
        <row r="1613">
          <cell r="A1613" t="str">
            <v>Navrang Polyfilms Pvt Ltd</v>
          </cell>
          <cell r="B1613">
            <v>-112706</v>
          </cell>
        </row>
        <row r="1614">
          <cell r="A1614" t="str">
            <v>Navyantrik Enterprises</v>
          </cell>
          <cell r="B1614">
            <v>0</v>
          </cell>
        </row>
        <row r="1615">
          <cell r="A1615" t="str">
            <v>NBFC Term Loan TATA 21842400</v>
          </cell>
          <cell r="B1615">
            <v>0</v>
          </cell>
        </row>
        <row r="1616">
          <cell r="A1616" t="str">
            <v>Neating Mach-Ogdp-800</v>
          </cell>
          <cell r="B1616">
            <v>471729.6</v>
          </cell>
        </row>
        <row r="1617">
          <cell r="A1617" t="str">
            <v>Needle Loom Machine</v>
          </cell>
          <cell r="B1617">
            <v>11945404</v>
          </cell>
        </row>
        <row r="1618">
          <cell r="A1618" t="str">
            <v>Neelakantha Commercial Pvt Ltd</v>
          </cell>
          <cell r="B1618">
            <v>11476262.25</v>
          </cell>
        </row>
        <row r="1619">
          <cell r="A1619" t="str">
            <v>Neer Industries</v>
          </cell>
          <cell r="B1619">
            <v>-4095</v>
          </cell>
        </row>
        <row r="1620">
          <cell r="A1620" t="str">
            <v>Neon Polypack</v>
          </cell>
          <cell r="B1620">
            <v>0</v>
          </cell>
        </row>
        <row r="1621">
          <cell r="A1621" t="str">
            <v>New Arm</v>
          </cell>
          <cell r="B1621">
            <v>-44083</v>
          </cell>
        </row>
        <row r="1622">
          <cell r="A1622" t="str">
            <v>New Bikaner Cargo Carrier</v>
          </cell>
          <cell r="B1622">
            <v>590</v>
          </cell>
        </row>
        <row r="1623">
          <cell r="A1623" t="str">
            <v>New Dharti Agency</v>
          </cell>
          <cell r="B1623">
            <v>0</v>
          </cell>
        </row>
        <row r="1624">
          <cell r="A1624" t="str">
            <v>New Globe Logistik LLP</v>
          </cell>
          <cell r="B1624">
            <v>0</v>
          </cell>
        </row>
        <row r="1625">
          <cell r="A1625" t="str">
            <v>New Kachchh Carrier</v>
          </cell>
          <cell r="B1625">
            <v>140</v>
          </cell>
        </row>
        <row r="1626">
          <cell r="A1626" t="str">
            <v>New Manu Engineering &amp; Co.</v>
          </cell>
          <cell r="B1626">
            <v>-38744</v>
          </cell>
        </row>
        <row r="1627">
          <cell r="A1627" t="str">
            <v>New Nilkanth Submersible Pump Service</v>
          </cell>
          <cell r="B1627">
            <v>-8621</v>
          </cell>
        </row>
        <row r="1628">
          <cell r="A1628" t="str">
            <v>New Product Dev. and R&amp;D Exp.Pending For Allocation</v>
          </cell>
          <cell r="B1628">
            <v>166402557</v>
          </cell>
        </row>
        <row r="1629">
          <cell r="A1629" t="str">
            <v>New Raj Fashion</v>
          </cell>
          <cell r="B1629">
            <v>0</v>
          </cell>
        </row>
        <row r="1630">
          <cell r="A1630" t="str">
            <v>Nexon Enterprise</v>
          </cell>
          <cell r="B1630">
            <v>-504</v>
          </cell>
        </row>
        <row r="1631">
          <cell r="A1631" t="str">
            <v>Next Generation Recyling Machinene Gmbh</v>
          </cell>
          <cell r="B1631">
            <v>-8393.75</v>
          </cell>
        </row>
        <row r="1632">
          <cell r="A1632" t="str">
            <v>Nexus Feeds Limited</v>
          </cell>
          <cell r="B1632">
            <v>1155865</v>
          </cell>
        </row>
        <row r="1633">
          <cell r="A1633" t="str">
            <v>Nigam Hardware</v>
          </cell>
          <cell r="B1633">
            <v>-1947</v>
          </cell>
        </row>
        <row r="1634">
          <cell r="A1634" t="str">
            <v>Nigam Marketing</v>
          </cell>
          <cell r="B1634">
            <v>0</v>
          </cell>
        </row>
        <row r="1635">
          <cell r="A1635" t="str">
            <v>Nij Plastics - Purchase</v>
          </cell>
          <cell r="B1635">
            <v>0</v>
          </cell>
        </row>
        <row r="1636">
          <cell r="A1636" t="str">
            <v>Nij Plastics- Sale</v>
          </cell>
          <cell r="B1636">
            <v>0</v>
          </cell>
        </row>
        <row r="1637">
          <cell r="A1637" t="str">
            <v>Nikhil Packagers</v>
          </cell>
          <cell r="B1637">
            <v>7000362.0800000001</v>
          </cell>
        </row>
        <row r="1638">
          <cell r="A1638" t="str">
            <v>Nikshe Multiproducts Pvt Ltd</v>
          </cell>
          <cell r="B1638">
            <v>0</v>
          </cell>
        </row>
        <row r="1639">
          <cell r="A1639" t="str">
            <v>Nilesh Vijaysinh Chavda</v>
          </cell>
          <cell r="B1639">
            <v>711000</v>
          </cell>
        </row>
        <row r="1640">
          <cell r="A1640" t="str">
            <v>Nilkamal Limited-Silvassa</v>
          </cell>
          <cell r="B1640">
            <v>-1081045</v>
          </cell>
        </row>
        <row r="1641">
          <cell r="A1641" t="str">
            <v>NILKANTH ENERGY</v>
          </cell>
          <cell r="B1641">
            <v>0</v>
          </cell>
        </row>
        <row r="1642">
          <cell r="A1642" t="str">
            <v>Niraj Kumar Sinha Imprest A/C</v>
          </cell>
          <cell r="B1642">
            <v>0</v>
          </cell>
        </row>
        <row r="1643">
          <cell r="A1643" t="str">
            <v>Nirban Trading Company</v>
          </cell>
          <cell r="B1643">
            <v>0.2</v>
          </cell>
        </row>
        <row r="1644">
          <cell r="A1644" t="str">
            <v>Nishaben Parmar</v>
          </cell>
          <cell r="B1644">
            <v>0</v>
          </cell>
        </row>
        <row r="1645">
          <cell r="A1645" t="str">
            <v>Nishant Plastic</v>
          </cell>
          <cell r="B1645">
            <v>11227.56</v>
          </cell>
        </row>
        <row r="1646">
          <cell r="A1646" t="str">
            <v>Nishith Enterprise</v>
          </cell>
          <cell r="B1646">
            <v>-226723</v>
          </cell>
        </row>
        <row r="1647">
          <cell r="A1647" t="str">
            <v>NNZ Bv</v>
          </cell>
          <cell r="B1647">
            <v>-1056500.3799999999</v>
          </cell>
        </row>
        <row r="1648">
          <cell r="A1648" t="str">
            <v>NNZ GMBH</v>
          </cell>
          <cell r="B1648">
            <v>0</v>
          </cell>
        </row>
        <row r="1649">
          <cell r="A1649" t="str">
            <v>NNZ Gmbh (Austria)</v>
          </cell>
          <cell r="B1649">
            <v>0</v>
          </cell>
        </row>
        <row r="1650">
          <cell r="A1650" t="str">
            <v>NNZ Scandinavia Aps</v>
          </cell>
          <cell r="B1650">
            <v>0</v>
          </cell>
        </row>
        <row r="1651">
          <cell r="A1651" t="str">
            <v>NNZ The Packaging Network (PTY) Ltd South Africa</v>
          </cell>
          <cell r="B1651">
            <v>0</v>
          </cell>
        </row>
        <row r="1652">
          <cell r="A1652" t="str">
            <v>Noatum Logistics India Private Limited - Mumbai</v>
          </cell>
          <cell r="B1652">
            <v>0</v>
          </cell>
        </row>
        <row r="1653">
          <cell r="A1653" t="str">
            <v>Norck Gmbh</v>
          </cell>
          <cell r="B1653">
            <v>-4429.83</v>
          </cell>
        </row>
        <row r="1654">
          <cell r="A1654" t="str">
            <v>Nordson India Private Limited</v>
          </cell>
          <cell r="B1654">
            <v>0</v>
          </cell>
        </row>
        <row r="1655">
          <cell r="A1655" t="str">
            <v>Nortebag Industria De Embalagens Eireli</v>
          </cell>
          <cell r="B1655">
            <v>0</v>
          </cell>
        </row>
        <row r="1656">
          <cell r="A1656" t="str">
            <v>North Atlantic Marine Supplies &amp; Services Inc</v>
          </cell>
          <cell r="B1656">
            <v>0</v>
          </cell>
        </row>
        <row r="1657">
          <cell r="A1657" t="str">
            <v>Northstar Equity Inc</v>
          </cell>
          <cell r="B1657">
            <v>0</v>
          </cell>
        </row>
        <row r="1658">
          <cell r="A1658" t="str">
            <v>Notice Pay Deduction</v>
          </cell>
          <cell r="B1658">
            <v>-34666</v>
          </cell>
        </row>
        <row r="1659">
          <cell r="A1659" t="str">
            <v>Novelty Stationery &amp; Computers</v>
          </cell>
          <cell r="B1659">
            <v>0</v>
          </cell>
        </row>
        <row r="1660">
          <cell r="A1660" t="str">
            <v>Novoflex Marketing Private Limited</v>
          </cell>
          <cell r="B1660">
            <v>0</v>
          </cell>
        </row>
        <row r="1661">
          <cell r="A1661" t="str">
            <v>Nrs Industrial Products</v>
          </cell>
          <cell r="B1661">
            <v>-17286.400000000001</v>
          </cell>
        </row>
        <row r="1662">
          <cell r="A1662" t="str">
            <v>Nu-Vu Conair Private Limited</v>
          </cell>
          <cell r="B1662">
            <v>-4579.3100000000004</v>
          </cell>
        </row>
        <row r="1663">
          <cell r="A1663" t="str">
            <v>Nutron Systems Private Limited</v>
          </cell>
          <cell r="B1663">
            <v>-112</v>
          </cell>
        </row>
        <row r="1664">
          <cell r="A1664" t="str">
            <v>Nylopick Industries</v>
          </cell>
          <cell r="B1664">
            <v>-330.4</v>
          </cell>
        </row>
        <row r="1665">
          <cell r="A1665" t="str">
            <v>O R Maloo &amp; Co</v>
          </cell>
          <cell r="B1665">
            <v>-9000</v>
          </cell>
        </row>
        <row r="1666">
          <cell r="A1666" t="str">
            <v>Oak Tradeklink</v>
          </cell>
          <cell r="B1666">
            <v>707.68</v>
          </cell>
        </row>
        <row r="1667">
          <cell r="A1667" t="str">
            <v>OCI (Hongkong) Limited</v>
          </cell>
          <cell r="B1667">
            <v>252817.26</v>
          </cell>
        </row>
        <row r="1668">
          <cell r="A1668" t="str">
            <v>Odex India Solutions Private Limited</v>
          </cell>
          <cell r="B1668">
            <v>0</v>
          </cell>
        </row>
        <row r="1669">
          <cell r="A1669" t="str">
            <v>Ofb Tech Pvt Ltd</v>
          </cell>
          <cell r="B1669">
            <v>-4998.68</v>
          </cell>
        </row>
        <row r="1670">
          <cell r="A1670" t="str">
            <v>Ofb Universal Fze</v>
          </cell>
          <cell r="B1670">
            <v>-11039.95</v>
          </cell>
        </row>
        <row r="1671">
          <cell r="A1671" t="str">
            <v>Office Building - HO</v>
          </cell>
          <cell r="B1671">
            <v>7428352</v>
          </cell>
        </row>
        <row r="1672">
          <cell r="A1672" t="str">
            <v>Office Building - Plants</v>
          </cell>
          <cell r="B1672">
            <v>1765616.43</v>
          </cell>
        </row>
        <row r="1673">
          <cell r="A1673" t="str">
            <v>Office Equipments</v>
          </cell>
          <cell r="B1673">
            <v>5776570.4199999999</v>
          </cell>
        </row>
        <row r="1674">
          <cell r="A1674" t="str">
            <v>Office Expenses</v>
          </cell>
          <cell r="B1674">
            <v>397157.54</v>
          </cell>
        </row>
        <row r="1675">
          <cell r="A1675" t="str">
            <v>Office Tools Stationery</v>
          </cell>
          <cell r="B1675">
            <v>0.64</v>
          </cell>
        </row>
        <row r="1676">
          <cell r="A1676" t="str">
            <v>Olega S A</v>
          </cell>
          <cell r="B1676">
            <v>13678480.84</v>
          </cell>
        </row>
        <row r="1677">
          <cell r="A1677" t="str">
            <v>OLEX</v>
          </cell>
          <cell r="B1677">
            <v>0</v>
          </cell>
        </row>
        <row r="1678">
          <cell r="A1678" t="str">
            <v>Oliva Garden S.A.</v>
          </cell>
          <cell r="B1678">
            <v>9692676.6400000006</v>
          </cell>
        </row>
        <row r="1679">
          <cell r="A1679" t="str">
            <v>Olive Industries</v>
          </cell>
          <cell r="B1679">
            <v>0</v>
          </cell>
        </row>
        <row r="1680">
          <cell r="A1680" t="str">
            <v>Om Corporation</v>
          </cell>
          <cell r="B1680">
            <v>0</v>
          </cell>
        </row>
        <row r="1681">
          <cell r="A1681" t="str">
            <v>Om Enterprises - Gandhidham</v>
          </cell>
          <cell r="B1681">
            <v>0</v>
          </cell>
        </row>
        <row r="1682">
          <cell r="A1682" t="str">
            <v>Om Enterprises Delhi</v>
          </cell>
          <cell r="B1682">
            <v>0</v>
          </cell>
        </row>
        <row r="1683">
          <cell r="A1683" t="str">
            <v>Om Freight Forwarders Limited-27AAACO0663J1ZG</v>
          </cell>
          <cell r="B1683">
            <v>0</v>
          </cell>
        </row>
        <row r="1684">
          <cell r="A1684" t="str">
            <v>Om Hydraulic</v>
          </cell>
          <cell r="B1684">
            <v>55474</v>
          </cell>
        </row>
        <row r="1685">
          <cell r="A1685" t="str">
            <v>Om Hydraulic - 24BCWPP1111Q1Z4</v>
          </cell>
          <cell r="B1685">
            <v>710</v>
          </cell>
        </row>
        <row r="1686">
          <cell r="A1686" t="str">
            <v>Om Plastics</v>
          </cell>
          <cell r="B1686">
            <v>0</v>
          </cell>
        </row>
        <row r="1687">
          <cell r="A1687" t="str">
            <v>Om Sainath Travels Agency - 24AFIPB7870C1ZQ</v>
          </cell>
          <cell r="B1687">
            <v>-5600</v>
          </cell>
        </row>
        <row r="1688">
          <cell r="A1688" t="str">
            <v>Om Sales</v>
          </cell>
          <cell r="B1688">
            <v>0</v>
          </cell>
        </row>
        <row r="1689">
          <cell r="A1689" t="str">
            <v>Om Shanti Plastic Manufacture</v>
          </cell>
          <cell r="B1689">
            <v>0</v>
          </cell>
        </row>
        <row r="1690">
          <cell r="A1690" t="str">
            <v>Omega Fire &amp; Safety Products</v>
          </cell>
          <cell r="B1690">
            <v>3899.8</v>
          </cell>
        </row>
        <row r="1691">
          <cell r="A1691" t="str">
            <v>Omkar Industries 24BPDPP0620L1Z2</v>
          </cell>
          <cell r="B1691">
            <v>-6042</v>
          </cell>
        </row>
        <row r="1692">
          <cell r="A1692" t="str">
            <v>Omnicor - Manufacturas Internacionais De Cordoarias Lda</v>
          </cell>
          <cell r="B1692">
            <v>0</v>
          </cell>
        </row>
        <row r="1693">
          <cell r="A1693" t="str">
            <v>Onecall Electricals</v>
          </cell>
          <cell r="B1693">
            <v>0</v>
          </cell>
        </row>
        <row r="1694">
          <cell r="A1694" t="str">
            <v>Onelink Logistics India Private Limited</v>
          </cell>
          <cell r="B1694">
            <v>0</v>
          </cell>
        </row>
        <row r="1695">
          <cell r="A1695" t="str">
            <v>ONGC Petro Addition Ltd</v>
          </cell>
          <cell r="B1695">
            <v>-218237.98</v>
          </cell>
        </row>
        <row r="1696">
          <cell r="A1696" t="str">
            <v>Ongc Petro Additions Limited- DTA ( Domestic )</v>
          </cell>
          <cell r="B1696">
            <v>-924.44</v>
          </cell>
        </row>
        <row r="1697">
          <cell r="A1697" t="str">
            <v>Optel</v>
          </cell>
          <cell r="B1697">
            <v>-0.01</v>
          </cell>
        </row>
        <row r="1698">
          <cell r="A1698" t="str">
            <v>OQ Marketing LLC</v>
          </cell>
          <cell r="B1698">
            <v>-14256</v>
          </cell>
        </row>
        <row r="1699">
          <cell r="A1699" t="str">
            <v>Oriental Energy (Singapore) International Trading Pte Ltd</v>
          </cell>
          <cell r="B1699">
            <v>-109797.12</v>
          </cell>
        </row>
        <row r="1700">
          <cell r="A1700" t="str">
            <v>Oswal Agrimpex</v>
          </cell>
          <cell r="B1700">
            <v>0</v>
          </cell>
        </row>
        <row r="1701">
          <cell r="A1701" t="str">
            <v>Oswal Commodities Private Limited - Purchase</v>
          </cell>
          <cell r="B1701">
            <v>-65709831.869999997</v>
          </cell>
        </row>
        <row r="1702">
          <cell r="A1702" t="str">
            <v>Oswal Commodities Private Limited - Sale</v>
          </cell>
          <cell r="B1702">
            <v>-227130778</v>
          </cell>
        </row>
        <row r="1703">
          <cell r="A1703" t="str">
            <v>Oswal Extrusion Ltd - HO-ICD</v>
          </cell>
          <cell r="B1703">
            <v>817410837</v>
          </cell>
        </row>
        <row r="1704">
          <cell r="A1704" t="str">
            <v>Oswal Extrusion Ltd - HO-Purchase</v>
          </cell>
          <cell r="B1704">
            <v>-139256816.58000001</v>
          </cell>
        </row>
        <row r="1705">
          <cell r="A1705" t="str">
            <v>Oswal Extrusion Ltd - HO-Sales</v>
          </cell>
          <cell r="B1705">
            <v>233101838.25999999</v>
          </cell>
        </row>
        <row r="1706">
          <cell r="A1706" t="str">
            <v>Oswal Extrusion Ltd - Unit 2-Purchase</v>
          </cell>
          <cell r="B1706">
            <v>-432796783.66000003</v>
          </cell>
        </row>
        <row r="1707">
          <cell r="A1707" t="str">
            <v>Oswal Extrusion Ltd - Unit 2-Sales</v>
          </cell>
          <cell r="B1707">
            <v>91450129.920000002</v>
          </cell>
        </row>
        <row r="1708">
          <cell r="A1708" t="str">
            <v>Oswal Extrusion Ltd - Unit 3-Purchase</v>
          </cell>
          <cell r="B1708">
            <v>1000</v>
          </cell>
        </row>
        <row r="1709">
          <cell r="A1709" t="str">
            <v>Oswal Extrusion Ltd - Unit 3-Sales</v>
          </cell>
          <cell r="B1709">
            <v>86630578.090000004</v>
          </cell>
        </row>
        <row r="1710">
          <cell r="A1710" t="str">
            <v>Oswal Extrusion Ltd - Unit 4-Purchase</v>
          </cell>
          <cell r="B1710">
            <v>-220432528.06999999</v>
          </cell>
        </row>
        <row r="1711">
          <cell r="A1711" t="str">
            <v>Oswal Extrusion Ltd - Unit 4-Sales</v>
          </cell>
          <cell r="B1711">
            <v>9871677</v>
          </cell>
        </row>
        <row r="1712">
          <cell r="A1712" t="str">
            <v>Oswal Extrusion Ltd - Unit 5-Purchase</v>
          </cell>
          <cell r="B1712">
            <v>-87946806.180000007</v>
          </cell>
        </row>
        <row r="1713">
          <cell r="A1713" t="str">
            <v>Oswal Extrusion Ltd - Unit 5-Sales</v>
          </cell>
          <cell r="B1713">
            <v>83440</v>
          </cell>
        </row>
        <row r="1714">
          <cell r="A1714" t="str">
            <v>Oswal Extrusion Ltd - Unit 6 Plant II -Purchase_Multi Layer</v>
          </cell>
          <cell r="B1714">
            <v>-10370419.560000001</v>
          </cell>
        </row>
        <row r="1715">
          <cell r="A1715" t="str">
            <v>Oswal Extrusion Ltd - Unit 6 Plant II -Sales_Closed</v>
          </cell>
          <cell r="B1715">
            <v>-439132</v>
          </cell>
        </row>
        <row r="1716">
          <cell r="A1716" t="str">
            <v>Oswal Extrusion Ltd - Unit 6-Purchase</v>
          </cell>
          <cell r="B1716">
            <v>5861297.79</v>
          </cell>
        </row>
        <row r="1717">
          <cell r="A1717" t="str">
            <v>Oswal Extrusion Ltd - Unit 6-Sales</v>
          </cell>
          <cell r="B1717">
            <v>161884516.47</v>
          </cell>
        </row>
        <row r="1718">
          <cell r="A1718" t="str">
            <v>Oswal Extrusion Ltd - Unit 7-Purchase</v>
          </cell>
          <cell r="B1718">
            <v>-2183745</v>
          </cell>
        </row>
        <row r="1719">
          <cell r="A1719" t="str">
            <v>Oswal Extrusion Ltd - Unit 7-Sales</v>
          </cell>
          <cell r="B1719">
            <v>-49468259.909999996</v>
          </cell>
        </row>
        <row r="1720">
          <cell r="A1720" t="str">
            <v>Oswal Extrusion Ltd - Unit 8-Purchase (MRPL)</v>
          </cell>
          <cell r="B1720">
            <v>2628.82</v>
          </cell>
        </row>
        <row r="1721">
          <cell r="A1721" t="str">
            <v>Oswal Extrusion Ltd - Unit 8-Sales</v>
          </cell>
          <cell r="B1721">
            <v>4401760.7300000004</v>
          </cell>
        </row>
        <row r="1722">
          <cell r="A1722" t="str">
            <v>Oswal Extrusion Ltd- KASEZ-Purchase</v>
          </cell>
          <cell r="B1722">
            <v>-810532143.02999997</v>
          </cell>
        </row>
        <row r="1723">
          <cell r="A1723" t="str">
            <v>Oswal Extrusion Ltd- KASEZ-Sales</v>
          </cell>
          <cell r="B1723">
            <v>791770162.97000003</v>
          </cell>
        </row>
        <row r="1724">
          <cell r="A1724" t="str">
            <v>Oswal Lumbers Pvt Ltd</v>
          </cell>
          <cell r="B1724">
            <v>0</v>
          </cell>
        </row>
        <row r="1725">
          <cell r="A1725" t="str">
            <v>Oswal Lumbers Pvt Ltd (ICD)</v>
          </cell>
          <cell r="B1725">
            <v>40000000</v>
          </cell>
        </row>
        <row r="1726">
          <cell r="A1726" t="str">
            <v>Oswal Overseas - ICD</v>
          </cell>
          <cell r="B1726">
            <v>14744383</v>
          </cell>
        </row>
        <row r="1727">
          <cell r="A1727" t="str">
            <v>Oswal Overseas - Purchase</v>
          </cell>
          <cell r="B1727">
            <v>-1416</v>
          </cell>
        </row>
        <row r="1728">
          <cell r="A1728" t="str">
            <v>Oswal Overseas - Sales</v>
          </cell>
          <cell r="B1728">
            <v>0</v>
          </cell>
        </row>
        <row r="1729">
          <cell r="A1729" t="str">
            <v>Oswal Polymers</v>
          </cell>
          <cell r="B1729">
            <v>687408.99</v>
          </cell>
        </row>
        <row r="1730">
          <cell r="A1730" t="str">
            <v>Oswal Wood Private Limited - Purchase</v>
          </cell>
          <cell r="B1730">
            <v>2100</v>
          </cell>
        </row>
        <row r="1731">
          <cell r="A1731" t="str">
            <v>Oswal Wood Private Limited - Sale</v>
          </cell>
          <cell r="B1731">
            <v>167256</v>
          </cell>
        </row>
        <row r="1732">
          <cell r="A1732" t="str">
            <v>Other Deduction</v>
          </cell>
          <cell r="B1732">
            <v>-343620</v>
          </cell>
        </row>
        <row r="1733">
          <cell r="A1733" t="str">
            <v>Other Softwares</v>
          </cell>
          <cell r="B1733">
            <v>585871.52</v>
          </cell>
        </row>
        <row r="1734">
          <cell r="A1734" t="str">
            <v>Oven Machine [Tape]</v>
          </cell>
          <cell r="B1734">
            <v>874000</v>
          </cell>
        </row>
        <row r="1735">
          <cell r="A1735" t="str">
            <v>Overseas Polymers Pvt Ltd</v>
          </cell>
          <cell r="B1735">
            <v>0</v>
          </cell>
        </row>
        <row r="1736">
          <cell r="A1736" t="str">
            <v>P &amp; D Industries</v>
          </cell>
          <cell r="B1736">
            <v>0</v>
          </cell>
        </row>
        <row r="1737">
          <cell r="A1737" t="str">
            <v>P And G Screap Traders</v>
          </cell>
          <cell r="B1737">
            <v>0.38</v>
          </cell>
        </row>
        <row r="1738">
          <cell r="A1738" t="str">
            <v>P J Cargo Movers</v>
          </cell>
          <cell r="B1738">
            <v>-68440</v>
          </cell>
        </row>
        <row r="1739">
          <cell r="A1739" t="str">
            <v>P J Logistic</v>
          </cell>
          <cell r="B1739">
            <v>-48140</v>
          </cell>
        </row>
        <row r="1740">
          <cell r="A1740" t="str">
            <v>P J Translifters</v>
          </cell>
          <cell r="B1740">
            <v>-48140</v>
          </cell>
        </row>
        <row r="1741">
          <cell r="A1741" t="str">
            <v>P P Patel &amp; Co.</v>
          </cell>
          <cell r="B1741">
            <v>-85309.78</v>
          </cell>
        </row>
        <row r="1742">
          <cell r="A1742" t="str">
            <v>P. Nikiforakis H. Fasourakis Ltd</v>
          </cell>
          <cell r="B1742">
            <v>-2225500.21</v>
          </cell>
        </row>
        <row r="1743">
          <cell r="A1743" t="str">
            <v>P.F. Admin. Charge</v>
          </cell>
          <cell r="B1743">
            <v>80252</v>
          </cell>
        </row>
        <row r="1744">
          <cell r="A1744" t="str">
            <v>P.F. Contribution - Employer</v>
          </cell>
          <cell r="B1744">
            <v>1854203.08</v>
          </cell>
        </row>
        <row r="1745">
          <cell r="A1745" t="str">
            <v>P.M Nahta &amp; Co.</v>
          </cell>
          <cell r="B1745">
            <v>0</v>
          </cell>
        </row>
        <row r="1746">
          <cell r="A1746" t="str">
            <v>P.P. Products Private Limited</v>
          </cell>
          <cell r="B1746">
            <v>15794190</v>
          </cell>
        </row>
        <row r="1747">
          <cell r="A1747" t="str">
            <v>P.S. Labour Organisation</v>
          </cell>
          <cell r="B1747">
            <v>1</v>
          </cell>
        </row>
        <row r="1748">
          <cell r="A1748" t="str">
            <v>Pacific Trading &amp; Distribution Limited</v>
          </cell>
          <cell r="B1748">
            <v>0</v>
          </cell>
        </row>
        <row r="1749">
          <cell r="A1749" t="str">
            <v>Pacific Trading Nz Lp</v>
          </cell>
          <cell r="B1749">
            <v>0</v>
          </cell>
        </row>
        <row r="1750">
          <cell r="A1750" t="str">
            <v>Pack Big Bag Industria De Embalagens E Servicos Ltda</v>
          </cell>
          <cell r="B1750">
            <v>0</v>
          </cell>
        </row>
        <row r="1751">
          <cell r="A1751" t="str">
            <v>Pack Seals Industries</v>
          </cell>
          <cell r="B1751">
            <v>0</v>
          </cell>
        </row>
        <row r="1752">
          <cell r="A1752" t="str">
            <v>Packing Forwading &amp; Cartage Expense</v>
          </cell>
          <cell r="B1752">
            <v>228444.9</v>
          </cell>
        </row>
        <row r="1753">
          <cell r="A1753" t="str">
            <v>Padm Corporation</v>
          </cell>
          <cell r="B1753">
            <v>0</v>
          </cell>
        </row>
        <row r="1754">
          <cell r="A1754" t="str">
            <v>Padmanabh Alloys And Polymers Ltd.</v>
          </cell>
          <cell r="B1754">
            <v>1000</v>
          </cell>
        </row>
        <row r="1755">
          <cell r="A1755" t="str">
            <v>Paid Up Equity Share Capital</v>
          </cell>
          <cell r="B1755">
            <v>-280981890</v>
          </cell>
        </row>
        <row r="1756">
          <cell r="A1756" t="str">
            <v>Pal Polyfilm</v>
          </cell>
          <cell r="B1756">
            <v>20215.63</v>
          </cell>
        </row>
        <row r="1757">
          <cell r="A1757" t="str">
            <v>Palang, Tables, Trollies For Finishing</v>
          </cell>
          <cell r="B1757">
            <v>1293502.97</v>
          </cell>
        </row>
        <row r="1758">
          <cell r="A1758" t="str">
            <v>Pamnani International</v>
          </cell>
          <cell r="B1758">
            <v>0</v>
          </cell>
        </row>
        <row r="1759">
          <cell r="A1759" t="str">
            <v>Panchvati Tools Co.</v>
          </cell>
          <cell r="B1759">
            <v>-125548.97</v>
          </cell>
        </row>
        <row r="1760">
          <cell r="A1760" t="str">
            <v>Pandey Amitbhai</v>
          </cell>
          <cell r="B1760">
            <v>-4335</v>
          </cell>
        </row>
        <row r="1761">
          <cell r="A1761" t="str">
            <v>Panel Board</v>
          </cell>
          <cell r="B1761">
            <v>2520221.4500000002</v>
          </cell>
        </row>
        <row r="1762">
          <cell r="A1762" t="str">
            <v>Pankaj Enterprises</v>
          </cell>
          <cell r="B1762">
            <v>-11873</v>
          </cell>
        </row>
        <row r="1763">
          <cell r="A1763" t="str">
            <v>Pankaj Rameshbhai Jeshani</v>
          </cell>
          <cell r="B1763">
            <v>-15250</v>
          </cell>
        </row>
        <row r="1764">
          <cell r="A1764" t="str">
            <v>Pankaj Sales Corporation</v>
          </cell>
          <cell r="B1764">
            <v>-3540</v>
          </cell>
        </row>
        <row r="1765">
          <cell r="A1765" t="str">
            <v>Param Engineering</v>
          </cell>
          <cell r="B1765">
            <v>0</v>
          </cell>
        </row>
        <row r="1766">
          <cell r="A1766" t="str">
            <v>Paramount Calibration Centre</v>
          </cell>
          <cell r="B1766">
            <v>-14859</v>
          </cell>
        </row>
        <row r="1767">
          <cell r="A1767" t="str">
            <v>Paras Overseas</v>
          </cell>
          <cell r="B1767">
            <v>79101.3</v>
          </cell>
        </row>
        <row r="1768">
          <cell r="A1768" t="str">
            <v>Parekh Bulk Pack - Purchase</v>
          </cell>
          <cell r="B1768">
            <v>-3498604.74</v>
          </cell>
        </row>
        <row r="1769">
          <cell r="A1769" t="str">
            <v>Parekh Bulk Pack - Sales</v>
          </cell>
          <cell r="B1769">
            <v>3082697.59</v>
          </cell>
        </row>
        <row r="1770">
          <cell r="A1770" t="str">
            <v>Parekh Marine Services Pvt Ltd</v>
          </cell>
          <cell r="B1770">
            <v>798885.85</v>
          </cell>
        </row>
        <row r="1771">
          <cell r="A1771" t="str">
            <v>Paresh Bharatkumar Mehta</v>
          </cell>
          <cell r="B1771">
            <v>-65000</v>
          </cell>
        </row>
        <row r="1772">
          <cell r="A1772" t="str">
            <v>Paresh Steel Traders</v>
          </cell>
          <cell r="B1772">
            <v>71174</v>
          </cell>
        </row>
        <row r="1773">
          <cell r="A1773" t="str">
            <v>Pari Enterprises</v>
          </cell>
          <cell r="B1773">
            <v>0</v>
          </cell>
        </row>
        <row r="1774">
          <cell r="A1774" t="str">
            <v>Pariflex Fibc Private Limited</v>
          </cell>
          <cell r="B1774">
            <v>-215922</v>
          </cell>
        </row>
        <row r="1775">
          <cell r="A1775" t="str">
            <v>Parikh Enterprises Private Limited</v>
          </cell>
          <cell r="B1775">
            <v>0</v>
          </cell>
        </row>
        <row r="1776">
          <cell r="A1776" t="str">
            <v>Parinam Law Associates</v>
          </cell>
          <cell r="B1776">
            <v>0</v>
          </cell>
        </row>
        <row r="1777">
          <cell r="A1777" t="str">
            <v>Parker Shipping</v>
          </cell>
          <cell r="B1777">
            <v>-202867</v>
          </cell>
        </row>
        <row r="1778">
          <cell r="A1778" t="str">
            <v>PARMAR ENTERPRISE</v>
          </cell>
          <cell r="B1778">
            <v>0</v>
          </cell>
        </row>
        <row r="1779">
          <cell r="A1779" t="str">
            <v>Parshwanath Enterprise</v>
          </cell>
          <cell r="B1779">
            <v>-3500</v>
          </cell>
        </row>
        <row r="1780">
          <cell r="A1780" t="str">
            <v>Parsva Trading</v>
          </cell>
          <cell r="B1780">
            <v>0</v>
          </cell>
        </row>
        <row r="1781">
          <cell r="A1781" t="str">
            <v>Parth Flexipack</v>
          </cell>
          <cell r="B1781">
            <v>-119337</v>
          </cell>
        </row>
        <row r="1782">
          <cell r="A1782" t="str">
            <v>Parth Poly Coat Yarn Pvt Ltd</v>
          </cell>
          <cell r="B1782">
            <v>0</v>
          </cell>
        </row>
        <row r="1783">
          <cell r="A1783" t="str">
            <v>Parth Poly Coat Yarn Pvt.Ltd. - Debtor</v>
          </cell>
          <cell r="B1783">
            <v>0</v>
          </cell>
        </row>
        <row r="1784">
          <cell r="A1784" t="str">
            <v>Parth Polymers</v>
          </cell>
          <cell r="B1784">
            <v>-9686.66</v>
          </cell>
        </row>
        <row r="1785">
          <cell r="A1785" t="str">
            <v>Parth Polymers - Sales</v>
          </cell>
          <cell r="B1785">
            <v>0</v>
          </cell>
        </row>
        <row r="1786">
          <cell r="A1786" t="str">
            <v>Pascal Hydraulics</v>
          </cell>
          <cell r="B1786">
            <v>0</v>
          </cell>
        </row>
        <row r="1787">
          <cell r="A1787" t="str">
            <v>Paschim Gujarat Vij Company Limited</v>
          </cell>
          <cell r="B1787">
            <v>-30899.17</v>
          </cell>
        </row>
        <row r="1788">
          <cell r="A1788" t="str">
            <v>Passos &amp; Oliveira, Lda.</v>
          </cell>
          <cell r="B1788">
            <v>0</v>
          </cell>
        </row>
        <row r="1789">
          <cell r="A1789" t="str">
            <v>Patel Jain &amp; Associates</v>
          </cell>
          <cell r="B1789">
            <v>-225000</v>
          </cell>
        </row>
        <row r="1790">
          <cell r="A1790" t="str">
            <v>Patel Sales &amp; Services</v>
          </cell>
          <cell r="B1790">
            <v>-118</v>
          </cell>
        </row>
        <row r="1791">
          <cell r="A1791" t="str">
            <v>Patel Transport - 24ABAFP1601P1ZD</v>
          </cell>
          <cell r="B1791">
            <v>0</v>
          </cell>
        </row>
        <row r="1792">
          <cell r="A1792" t="str">
            <v>Paurav Enterprise</v>
          </cell>
          <cell r="B1792">
            <v>2124</v>
          </cell>
        </row>
        <row r="1793">
          <cell r="A1793" t="str">
            <v>Pavan Courier Service Rajkot</v>
          </cell>
          <cell r="B1793">
            <v>-156</v>
          </cell>
        </row>
        <row r="1794">
          <cell r="A1794" t="str">
            <v>Pawan Parekh</v>
          </cell>
          <cell r="B1794">
            <v>-40922</v>
          </cell>
        </row>
        <row r="1795">
          <cell r="A1795" t="str">
            <v>Paymate India Pvt Ltd</v>
          </cell>
          <cell r="B1795">
            <v>0.5</v>
          </cell>
        </row>
        <row r="1796">
          <cell r="A1796" t="str">
            <v>Pedro Maccio Y Cia,S.A</v>
          </cell>
          <cell r="B1796">
            <v>0</v>
          </cell>
        </row>
        <row r="1797">
          <cell r="A1797" t="str">
            <v>Peoples Mind</v>
          </cell>
          <cell r="B1797">
            <v>-0.12</v>
          </cell>
        </row>
        <row r="1798">
          <cell r="A1798" t="str">
            <v>Perfect Belts Private Limited</v>
          </cell>
          <cell r="B1798">
            <v>-221178.25</v>
          </cell>
        </row>
        <row r="1799">
          <cell r="A1799" t="str">
            <v>Perfect Belts Private Limited (Gujarat)</v>
          </cell>
          <cell r="B1799">
            <v>-49580.94</v>
          </cell>
        </row>
        <row r="1800">
          <cell r="A1800" t="str">
            <v>Perfect Electrical Works</v>
          </cell>
          <cell r="B1800">
            <v>-40624</v>
          </cell>
        </row>
        <row r="1801">
          <cell r="A1801" t="str">
            <v>Pest Relief India Private Limited</v>
          </cell>
          <cell r="B1801">
            <v>-19140</v>
          </cell>
        </row>
        <row r="1802">
          <cell r="A1802" t="str">
            <v>Petrol &amp; Diesel Expense - Car</v>
          </cell>
          <cell r="B1802">
            <v>71610</v>
          </cell>
        </row>
        <row r="1803">
          <cell r="A1803" t="str">
            <v>Petrol &amp; Diesel Expense - Other Vehicles</v>
          </cell>
          <cell r="B1803">
            <v>18745</v>
          </cell>
        </row>
        <row r="1804">
          <cell r="A1804" t="str">
            <v>Phoenix Flexibles Private Ltd</v>
          </cell>
          <cell r="B1804">
            <v>0</v>
          </cell>
        </row>
        <row r="1805">
          <cell r="A1805" t="str">
            <v>PI Polyblendz Private Limited</v>
          </cell>
          <cell r="B1805">
            <v>849600</v>
          </cell>
        </row>
        <row r="1806">
          <cell r="A1806" t="str">
            <v>PIL (India) Private Limited</v>
          </cell>
          <cell r="B1806">
            <v>0.04</v>
          </cell>
        </row>
        <row r="1807">
          <cell r="A1807" t="str">
            <v>Pintex Industrial Corporation</v>
          </cell>
          <cell r="B1807">
            <v>-12891</v>
          </cell>
        </row>
        <row r="1808">
          <cell r="A1808" t="str">
            <v>Pioneer Petrochem &amp; Technology</v>
          </cell>
          <cell r="B1808">
            <v>50026</v>
          </cell>
        </row>
        <row r="1809">
          <cell r="A1809" t="str">
            <v>Pipes &amp; Fittings</v>
          </cell>
          <cell r="B1809">
            <v>4050642.45</v>
          </cell>
        </row>
        <row r="1810">
          <cell r="A1810" t="str">
            <v>Pitrukrupa Piep Fiting</v>
          </cell>
          <cell r="B1810">
            <v>-14149</v>
          </cell>
        </row>
        <row r="1811">
          <cell r="A1811" t="str">
            <v>Piyusha Travels</v>
          </cell>
          <cell r="B1811">
            <v>0</v>
          </cell>
        </row>
        <row r="1812">
          <cell r="A1812" t="str">
            <v>Planatary Without Direction Changer</v>
          </cell>
          <cell r="B1812">
            <v>93630</v>
          </cell>
        </row>
        <row r="1813">
          <cell r="A1813" t="str">
            <v>Plant &amp; Machinery</v>
          </cell>
          <cell r="B1813">
            <v>124614288.58</v>
          </cell>
        </row>
        <row r="1814">
          <cell r="A1814" t="str">
            <v>Plant &amp; Machinery Cwip</v>
          </cell>
          <cell r="B1814">
            <v>0</v>
          </cell>
        </row>
        <row r="1815">
          <cell r="A1815" t="str">
            <v>Plastene Flexibles Ltd</v>
          </cell>
          <cell r="B1815">
            <v>-24333684</v>
          </cell>
        </row>
        <row r="1816">
          <cell r="A1816" t="str">
            <v>Plastene India Limited - Maharastra</v>
          </cell>
          <cell r="B1816">
            <v>-33156</v>
          </cell>
        </row>
        <row r="1817">
          <cell r="A1817" t="str">
            <v>Plastene India Limited - Trading Unit 1</v>
          </cell>
          <cell r="B1817">
            <v>0</v>
          </cell>
        </row>
        <row r="1818">
          <cell r="A1818" t="str">
            <v>Plastene India Limited - Trading Unit 2</v>
          </cell>
          <cell r="B1818">
            <v>0</v>
          </cell>
        </row>
        <row r="1819">
          <cell r="A1819" t="str">
            <v>Plastene India Ltd - Ho-For Gst Balance Only</v>
          </cell>
          <cell r="B1819">
            <v>669109345.50999999</v>
          </cell>
        </row>
        <row r="1820">
          <cell r="A1820" t="str">
            <v>Plastene India ltd - HO-ICD</v>
          </cell>
          <cell r="B1820">
            <v>390234278.70999998</v>
          </cell>
        </row>
        <row r="1821">
          <cell r="A1821" t="str">
            <v>Plastene India ltd - HO-Purchase</v>
          </cell>
          <cell r="B1821">
            <v>-513700773.61000001</v>
          </cell>
        </row>
        <row r="1822">
          <cell r="A1822" t="str">
            <v>Plastene India ltd - HO-Sales</v>
          </cell>
          <cell r="B1822">
            <v>5566585.54</v>
          </cell>
        </row>
        <row r="1823">
          <cell r="A1823" t="str">
            <v>Plastene India Ltd - Unit 1- Commission</v>
          </cell>
          <cell r="B1823">
            <v>52684112.719999999</v>
          </cell>
        </row>
        <row r="1824">
          <cell r="A1824" t="str">
            <v>Plastene India Ltd - Unit 1-For Gst Balance Only</v>
          </cell>
          <cell r="B1824">
            <v>-630449853.70000005</v>
          </cell>
        </row>
        <row r="1825">
          <cell r="A1825" t="str">
            <v>Plastene India ltd - Unit 1-Purchase</v>
          </cell>
          <cell r="B1825">
            <v>-5062966510.8400002</v>
          </cell>
        </row>
        <row r="1826">
          <cell r="A1826" t="str">
            <v>Plastene India ltd - Unit 1-Sales</v>
          </cell>
          <cell r="B1826">
            <v>3708799359.0300002</v>
          </cell>
        </row>
        <row r="1827">
          <cell r="A1827" t="str">
            <v>Plastene India Ltd - Unit 2-For Gst Balance Only</v>
          </cell>
          <cell r="B1827">
            <v>-17839813.420000002</v>
          </cell>
        </row>
        <row r="1828">
          <cell r="A1828" t="str">
            <v>Plastene India ltd - Unit 2-Purchase</v>
          </cell>
          <cell r="B1828">
            <v>-1931729620.02</v>
          </cell>
        </row>
        <row r="1829">
          <cell r="A1829" t="str">
            <v>Plastene India ltd - Unit 2-Sales</v>
          </cell>
          <cell r="B1829">
            <v>1691049451.3099999</v>
          </cell>
        </row>
        <row r="1830">
          <cell r="A1830" t="str">
            <v>Plastene India Ltd - Unit 3- Commission</v>
          </cell>
          <cell r="B1830">
            <v>-52637359.079999998</v>
          </cell>
        </row>
        <row r="1831">
          <cell r="A1831" t="str">
            <v>Plastene India Ltd - Unit 3-For Gst Balance Only</v>
          </cell>
          <cell r="B1831">
            <v>42457066.469999999</v>
          </cell>
        </row>
        <row r="1832">
          <cell r="A1832" t="str">
            <v>Plastene India ltd - Unit 3-Purchase</v>
          </cell>
          <cell r="B1832">
            <v>-128036745.45</v>
          </cell>
        </row>
        <row r="1833">
          <cell r="A1833" t="str">
            <v>Plastene India ltd - Unit 3-Sales</v>
          </cell>
          <cell r="B1833">
            <v>14907.1</v>
          </cell>
        </row>
        <row r="1834">
          <cell r="A1834" t="str">
            <v>Plastene India Ltd - Unit 4-For Gst Balance Only</v>
          </cell>
          <cell r="B1834">
            <v>-2684873.15</v>
          </cell>
        </row>
        <row r="1835">
          <cell r="A1835" t="str">
            <v>Plastene India ltd - Unit 4-Purchase</v>
          </cell>
          <cell r="B1835">
            <v>-8125667.46</v>
          </cell>
        </row>
        <row r="1836">
          <cell r="A1836" t="str">
            <v>Plastene India ltd - Unit 4-Sales</v>
          </cell>
          <cell r="B1836">
            <v>5291134.57</v>
          </cell>
        </row>
        <row r="1837">
          <cell r="A1837" t="str">
            <v>Plastene India Ltd - Unit 5-For Gst Balance Only</v>
          </cell>
          <cell r="B1837">
            <v>15683.19</v>
          </cell>
        </row>
        <row r="1838">
          <cell r="A1838" t="str">
            <v>Plastene India ltd - Unit 5-Purchase</v>
          </cell>
          <cell r="B1838">
            <v>-15683.55</v>
          </cell>
        </row>
        <row r="1839">
          <cell r="A1839" t="str">
            <v>Plastene India Ltd - Unit 6-For Gst Balance Only</v>
          </cell>
          <cell r="B1839">
            <v>-59059263.939999998</v>
          </cell>
        </row>
        <row r="1840">
          <cell r="A1840" t="str">
            <v>Plastene India ltd - Unit 6-Purchase</v>
          </cell>
          <cell r="B1840">
            <v>-1072298636.58</v>
          </cell>
        </row>
        <row r="1841">
          <cell r="A1841" t="str">
            <v>Plastene India ltd - Unit 6-Sales</v>
          </cell>
          <cell r="B1841">
            <v>2942534422.9699998</v>
          </cell>
        </row>
        <row r="1842">
          <cell r="A1842" t="str">
            <v>Plastene India ltd - Unit 7-Sales</v>
          </cell>
          <cell r="B1842">
            <v>33156</v>
          </cell>
        </row>
        <row r="1843">
          <cell r="A1843" t="str">
            <v>Plastene India Ltd - Unit 8-For Gst Balance Only</v>
          </cell>
          <cell r="B1843">
            <v>-1548291.46</v>
          </cell>
        </row>
        <row r="1844">
          <cell r="A1844" t="str">
            <v>Plastene India ltd - Unit 8-Purchase</v>
          </cell>
          <cell r="B1844">
            <v>-201458649.44</v>
          </cell>
        </row>
        <row r="1845">
          <cell r="A1845" t="str">
            <v>Plastene India ltd - Unit 8-Sales</v>
          </cell>
          <cell r="B1845">
            <v>190645194.84999999</v>
          </cell>
        </row>
        <row r="1846">
          <cell r="A1846" t="str">
            <v>Plastene Infrastructure Ltd</v>
          </cell>
          <cell r="B1846">
            <v>8466761.4399999995</v>
          </cell>
        </row>
        <row r="1847">
          <cell r="A1847" t="str">
            <v>Plastene Polyfilms Ltd-ICD</v>
          </cell>
          <cell r="B1847">
            <v>-151790870.63</v>
          </cell>
        </row>
        <row r="1848">
          <cell r="A1848" t="str">
            <v>Plastene Polyfilms Ltd-Purchase</v>
          </cell>
          <cell r="B1848">
            <v>-65034157.380000003</v>
          </cell>
        </row>
        <row r="1849">
          <cell r="A1849" t="str">
            <v>Plastene Polyfilms Ltd-Sales</v>
          </cell>
          <cell r="B1849">
            <v>205634017.63999999</v>
          </cell>
        </row>
        <row r="1850">
          <cell r="A1850" t="str">
            <v>Plastene Realty LLP</v>
          </cell>
          <cell r="B1850">
            <v>107300</v>
          </cell>
        </row>
        <row r="1851">
          <cell r="A1851" t="str">
            <v>Plastic Carates - For Carrying Bobbins</v>
          </cell>
          <cell r="B1851">
            <v>5096925.76</v>
          </cell>
        </row>
        <row r="1852">
          <cell r="A1852" t="str">
            <v>Plastic Extrusion Tape Plant-E908, 1400</v>
          </cell>
          <cell r="B1852">
            <v>4332000</v>
          </cell>
        </row>
        <row r="1853">
          <cell r="A1853" t="str">
            <v>Plasto Processors-Sales</v>
          </cell>
          <cell r="B1853">
            <v>55308</v>
          </cell>
        </row>
        <row r="1854">
          <cell r="A1854" t="str">
            <v>Plastochem - F.Z.C.</v>
          </cell>
          <cell r="B1854">
            <v>4585093.05</v>
          </cell>
        </row>
        <row r="1855">
          <cell r="A1855" t="str">
            <v>Plate Hit Exchanger</v>
          </cell>
          <cell r="B1855">
            <v>107065</v>
          </cell>
        </row>
        <row r="1856">
          <cell r="A1856" t="str">
            <v>Plus Logistics Ltd.</v>
          </cell>
          <cell r="B1856">
            <v>0</v>
          </cell>
        </row>
        <row r="1857">
          <cell r="A1857" t="str">
            <v>Plus Marketing</v>
          </cell>
          <cell r="B1857">
            <v>0</v>
          </cell>
        </row>
        <row r="1858">
          <cell r="A1858" t="str">
            <v>Plusnet Communication Pvt Ltd</v>
          </cell>
          <cell r="B1858">
            <v>-1000</v>
          </cell>
        </row>
        <row r="1859">
          <cell r="A1859" t="str">
            <v>Pnumatic Strapping Machine</v>
          </cell>
          <cell r="B1859">
            <v>14500</v>
          </cell>
        </row>
        <row r="1860">
          <cell r="A1860" t="str">
            <v>Polipropilen Elyaf Sanayi Ve Dis Ticaret A.S Turkey</v>
          </cell>
          <cell r="B1860">
            <v>3975339.5</v>
          </cell>
        </row>
        <row r="1861">
          <cell r="A1861" t="str">
            <v>Polotizer Machine - Elite Brand</v>
          </cell>
          <cell r="B1861">
            <v>866578</v>
          </cell>
        </row>
        <row r="1862">
          <cell r="A1862" t="str">
            <v>Poly Texmach</v>
          </cell>
          <cell r="B1862">
            <v>0</v>
          </cell>
        </row>
        <row r="1863">
          <cell r="A1863" t="str">
            <v>Polymart Private Limited</v>
          </cell>
          <cell r="B1863">
            <v>-0.25</v>
          </cell>
        </row>
        <row r="1864">
          <cell r="A1864" t="str">
            <v>Polymart Private Limited - Maharashtra</v>
          </cell>
          <cell r="B1864">
            <v>1.25</v>
          </cell>
        </row>
        <row r="1865">
          <cell r="A1865" t="str">
            <v>Polymart Private Limited - Silvassa</v>
          </cell>
          <cell r="B1865">
            <v>-0.2</v>
          </cell>
        </row>
        <row r="1866">
          <cell r="A1866" t="str">
            <v>Polymer Impex Pvt Ltd</v>
          </cell>
          <cell r="B1866">
            <v>0</v>
          </cell>
        </row>
        <row r="1867">
          <cell r="A1867" t="str">
            <v>Polymet Sa (S) Pte. Ltd.</v>
          </cell>
          <cell r="B1867">
            <v>0</v>
          </cell>
        </row>
        <row r="1868">
          <cell r="A1868" t="str">
            <v>Polymma (Hk) Co. Ltd</v>
          </cell>
          <cell r="B1868">
            <v>-43096.5</v>
          </cell>
        </row>
        <row r="1869">
          <cell r="A1869" t="str">
            <v>Polyone Polymers India Private Limited - Gujarat</v>
          </cell>
          <cell r="B1869">
            <v>0</v>
          </cell>
        </row>
        <row r="1870">
          <cell r="A1870" t="str">
            <v>Polyone Polymers India Private Limited - Maharashtra</v>
          </cell>
          <cell r="B1870">
            <v>0</v>
          </cell>
        </row>
        <row r="1871">
          <cell r="A1871" t="str">
            <v>Polypak Plastene Ltd</v>
          </cell>
          <cell r="B1871">
            <v>0.02</v>
          </cell>
        </row>
        <row r="1872">
          <cell r="A1872" t="str">
            <v>Polytek Makina Dis Ticaret Limited Sirketi</v>
          </cell>
          <cell r="B1872">
            <v>-1069.6300000000001</v>
          </cell>
        </row>
        <row r="1873">
          <cell r="A1873" t="str">
            <v>Polyworld Fzco</v>
          </cell>
          <cell r="B1873">
            <v>0</v>
          </cell>
        </row>
        <row r="1874">
          <cell r="A1874" t="str">
            <v>Pooja Enterprise</v>
          </cell>
          <cell r="B1874">
            <v>40000</v>
          </cell>
        </row>
        <row r="1875">
          <cell r="A1875" t="str">
            <v>Pooja Enterprise - Ahmedabad</v>
          </cell>
          <cell r="B1875">
            <v>0</v>
          </cell>
        </row>
        <row r="1876">
          <cell r="A1876" t="str">
            <v>Pooja Paper Crafts</v>
          </cell>
          <cell r="B1876">
            <v>-219510</v>
          </cell>
        </row>
        <row r="1877">
          <cell r="A1877" t="str">
            <v>Porastek, LLC</v>
          </cell>
          <cell r="B1877">
            <v>0</v>
          </cell>
        </row>
        <row r="1878">
          <cell r="A1878" t="str">
            <v>Poseidon Shipping Agency Private Limited - Do Fees</v>
          </cell>
          <cell r="B1878">
            <v>242590.54</v>
          </cell>
        </row>
        <row r="1879">
          <cell r="A1879" t="str">
            <v>Postage &amp; Courier Expense</v>
          </cell>
          <cell r="B1879">
            <v>78515.100000000006</v>
          </cell>
        </row>
        <row r="1880">
          <cell r="A1880" t="str">
            <v>Pouch Making Machine</v>
          </cell>
          <cell r="B1880">
            <v>4977422</v>
          </cell>
        </row>
        <row r="1881">
          <cell r="A1881" t="str">
            <v>Power Expense</v>
          </cell>
          <cell r="B1881">
            <v>45247131.07</v>
          </cell>
        </row>
        <row r="1882">
          <cell r="A1882" t="str">
            <v>Power-Grid Switchgears Pvt Ltd</v>
          </cell>
          <cell r="B1882">
            <v>0.2</v>
          </cell>
        </row>
        <row r="1883">
          <cell r="A1883" t="str">
            <v>Powerforce Energy Solution Private Limited</v>
          </cell>
          <cell r="B1883">
            <v>0</v>
          </cell>
        </row>
        <row r="1884">
          <cell r="A1884" t="str">
            <v>Prabhat Polymers</v>
          </cell>
          <cell r="B1884">
            <v>1538383.63</v>
          </cell>
        </row>
        <row r="1885">
          <cell r="A1885" t="str">
            <v>Pradeep Kumar Tiwari</v>
          </cell>
          <cell r="B1885">
            <v>-4356</v>
          </cell>
        </row>
        <row r="1886">
          <cell r="A1886" t="str">
            <v>Praful D.Daka</v>
          </cell>
          <cell r="B1886">
            <v>30</v>
          </cell>
        </row>
        <row r="1887">
          <cell r="A1887" t="str">
            <v>Prakash Enterprise</v>
          </cell>
          <cell r="B1887">
            <v>0</v>
          </cell>
        </row>
        <row r="1888">
          <cell r="A1888" t="str">
            <v>Prakash H. Parekh (Cr)</v>
          </cell>
          <cell r="B1888">
            <v>7859960</v>
          </cell>
        </row>
        <row r="1889">
          <cell r="A1889" t="str">
            <v>Prakash H. Parekh (Dr)</v>
          </cell>
          <cell r="B1889">
            <v>458670</v>
          </cell>
        </row>
        <row r="1890">
          <cell r="A1890" t="str">
            <v>Prakash Nath Jogi</v>
          </cell>
          <cell r="B1890">
            <v>143945</v>
          </cell>
        </row>
        <row r="1891">
          <cell r="A1891" t="str">
            <v>Pramod Kumar</v>
          </cell>
          <cell r="B1891">
            <v>0</v>
          </cell>
        </row>
        <row r="1892">
          <cell r="A1892" t="str">
            <v>Pramukh Enterprise</v>
          </cell>
          <cell r="B1892">
            <v>0</v>
          </cell>
        </row>
        <row r="1893">
          <cell r="A1893" t="str">
            <v>Prasad Koch Technic Pvt Ltd</v>
          </cell>
          <cell r="B1893">
            <v>30</v>
          </cell>
        </row>
        <row r="1894">
          <cell r="A1894" t="str">
            <v>Prasham Greens</v>
          </cell>
          <cell r="B1894">
            <v>-0.4</v>
          </cell>
        </row>
        <row r="1895">
          <cell r="A1895" t="str">
            <v>Pratyaksh Reality Llp</v>
          </cell>
          <cell r="B1895">
            <v>646000</v>
          </cell>
        </row>
        <row r="1896">
          <cell r="A1896" t="str">
            <v>Pravin Bhatt And Sons</v>
          </cell>
          <cell r="B1896">
            <v>0</v>
          </cell>
        </row>
        <row r="1897">
          <cell r="A1897" t="str">
            <v>Pravin Bhatt And Sons Logistics</v>
          </cell>
          <cell r="B1897">
            <v>0</v>
          </cell>
        </row>
        <row r="1898">
          <cell r="A1898" t="str">
            <v>Precious Writing Instruments</v>
          </cell>
          <cell r="B1898">
            <v>0</v>
          </cell>
        </row>
        <row r="1899">
          <cell r="A1899" t="str">
            <v>Prema Ram</v>
          </cell>
          <cell r="B1899">
            <v>-24000</v>
          </cell>
        </row>
        <row r="1900">
          <cell r="A1900" t="str">
            <v>Premier India Bearing Ltd.</v>
          </cell>
          <cell r="B1900">
            <v>-49978.77</v>
          </cell>
        </row>
        <row r="1901">
          <cell r="A1901" t="str">
            <v>Premium Paper Products</v>
          </cell>
          <cell r="B1901">
            <v>-5992</v>
          </cell>
        </row>
        <row r="1902">
          <cell r="A1902" t="str">
            <v>Premshankar Dubey</v>
          </cell>
          <cell r="B1902">
            <v>0</v>
          </cell>
        </row>
        <row r="1903">
          <cell r="A1903" t="str">
            <v>Prepaid Expenses</v>
          </cell>
          <cell r="B1903">
            <v>2887.58</v>
          </cell>
        </row>
        <row r="1904">
          <cell r="A1904" t="str">
            <v>Prepaid Insurance</v>
          </cell>
          <cell r="B1904">
            <v>6361081.0599999996</v>
          </cell>
        </row>
        <row r="1905">
          <cell r="A1905" t="str">
            <v>Presinox Impex</v>
          </cell>
          <cell r="B1905">
            <v>0</v>
          </cell>
        </row>
        <row r="1906">
          <cell r="A1906" t="str">
            <v>Pridee Non Woven Private Limited</v>
          </cell>
          <cell r="B1906">
            <v>1350192</v>
          </cell>
        </row>
        <row r="1907">
          <cell r="A1907" t="str">
            <v>Prihaan Box Packaging Private Limited</v>
          </cell>
          <cell r="B1907">
            <v>361</v>
          </cell>
        </row>
        <row r="1908">
          <cell r="A1908" t="str">
            <v>Prime Placement &amp; Manpower Services</v>
          </cell>
          <cell r="B1908">
            <v>3528</v>
          </cell>
        </row>
        <row r="1909">
          <cell r="A1909" t="str">
            <v>Prime Product</v>
          </cell>
          <cell r="B1909">
            <v>1018010.32</v>
          </cell>
        </row>
        <row r="1910">
          <cell r="A1910" t="str">
            <v>Prince Computer</v>
          </cell>
          <cell r="B1910">
            <v>0</v>
          </cell>
        </row>
        <row r="1911">
          <cell r="A1911" t="str">
            <v>Prince Road Carriers</v>
          </cell>
          <cell r="B1911">
            <v>0</v>
          </cell>
        </row>
        <row r="1912">
          <cell r="A1912" t="str">
            <v>Printing &amp; Stationery Expense</v>
          </cell>
          <cell r="B1912">
            <v>341151.86</v>
          </cell>
        </row>
        <row r="1913">
          <cell r="A1913" t="str">
            <v>Printing Machine</v>
          </cell>
          <cell r="B1913">
            <v>1421670.3999999999</v>
          </cell>
        </row>
        <row r="1914">
          <cell r="A1914" t="str">
            <v>Printing Machine 6 Colour</v>
          </cell>
          <cell r="B1914">
            <v>9709397</v>
          </cell>
        </row>
        <row r="1915">
          <cell r="A1915" t="str">
            <v>Printing Machine Three Colour</v>
          </cell>
          <cell r="B1915">
            <v>419146</v>
          </cell>
        </row>
        <row r="1916">
          <cell r="A1916" t="str">
            <v>Printing Machine Two Colour</v>
          </cell>
          <cell r="B1916">
            <v>4887552</v>
          </cell>
        </row>
        <row r="1917">
          <cell r="A1917" t="str">
            <v>Prisam Engitech Private Limited</v>
          </cell>
          <cell r="B1917">
            <v>0</v>
          </cell>
        </row>
        <row r="1918">
          <cell r="A1918" t="str">
            <v>Prithvi Exchange India Limited</v>
          </cell>
          <cell r="B1918">
            <v>0</v>
          </cell>
        </row>
        <row r="1919">
          <cell r="A1919" t="str">
            <v>Prithvi Exchange India Limited - 24AAACO1097L1ZC</v>
          </cell>
          <cell r="B1919">
            <v>0</v>
          </cell>
        </row>
        <row r="1920">
          <cell r="A1920" t="str">
            <v>Priyanka Dubey</v>
          </cell>
          <cell r="B1920">
            <v>0</v>
          </cell>
        </row>
        <row r="1921">
          <cell r="A1921" t="str">
            <v>Procon Pacific Llc</v>
          </cell>
          <cell r="B1921">
            <v>15957302.9</v>
          </cell>
        </row>
        <row r="1922">
          <cell r="A1922" t="str">
            <v>Professional &amp; Consultancy Fees</v>
          </cell>
          <cell r="B1922">
            <v>4992666.3499999996</v>
          </cell>
        </row>
        <row r="1923">
          <cell r="A1923" t="str">
            <v>Professional Tax Liability A/c</v>
          </cell>
          <cell r="B1923">
            <v>-47828</v>
          </cell>
        </row>
        <row r="1924">
          <cell r="A1924" t="str">
            <v>Profit &amp; Loss - R&amp;S</v>
          </cell>
          <cell r="B1924">
            <v>-1091909407.8099999</v>
          </cell>
        </row>
        <row r="1925">
          <cell r="A1925" t="str">
            <v>Projector &amp; Video Conferecing Equip.</v>
          </cell>
          <cell r="B1925">
            <v>124950</v>
          </cell>
        </row>
        <row r="1926">
          <cell r="A1926" t="str">
            <v>Property Tax</v>
          </cell>
          <cell r="B1926">
            <v>255933</v>
          </cell>
        </row>
        <row r="1927">
          <cell r="A1927" t="str">
            <v>Protea Retails Private Limited</v>
          </cell>
          <cell r="B1927">
            <v>0</v>
          </cell>
        </row>
        <row r="1928">
          <cell r="A1928" t="str">
            <v>Protek Enterprises</v>
          </cell>
          <cell r="B1928">
            <v>0</v>
          </cell>
        </row>
        <row r="1929">
          <cell r="A1929" t="str">
            <v>Provident Fund On Behalf Of Contractors</v>
          </cell>
          <cell r="B1929">
            <v>0</v>
          </cell>
        </row>
        <row r="1930">
          <cell r="A1930" t="str">
            <v>Provision For Depreciation</v>
          </cell>
          <cell r="B1930">
            <v>-657804804.60000002</v>
          </cell>
        </row>
        <row r="1931">
          <cell r="A1931" t="str">
            <v>Provision For Expenses</v>
          </cell>
          <cell r="B1931">
            <v>-1770755</v>
          </cell>
        </row>
        <row r="1932">
          <cell r="A1932" t="str">
            <v>Provision for Gratuaity</v>
          </cell>
          <cell r="B1932">
            <v>-14475655</v>
          </cell>
        </row>
        <row r="1933">
          <cell r="A1933" t="str">
            <v>Provision For Income</v>
          </cell>
          <cell r="B1933">
            <v>1143473</v>
          </cell>
        </row>
        <row r="1934">
          <cell r="A1934" t="str">
            <v>Provision For Interest</v>
          </cell>
          <cell r="B1934">
            <v>3869632.62</v>
          </cell>
        </row>
        <row r="1935">
          <cell r="A1935" t="str">
            <v>Provision For Leave Encashment</v>
          </cell>
          <cell r="B1935">
            <v>-2520937</v>
          </cell>
        </row>
        <row r="1936">
          <cell r="A1936" t="str">
            <v>Psrrc Tfo Machine</v>
          </cell>
          <cell r="B1936">
            <v>599303</v>
          </cell>
        </row>
        <row r="1937">
          <cell r="A1937" t="str">
            <v>Ptt Global Chemical Public Company Limited</v>
          </cell>
          <cell r="B1937">
            <v>-29680</v>
          </cell>
        </row>
        <row r="1938">
          <cell r="A1938" t="str">
            <v>Puh Ram Paulina Baran.</v>
          </cell>
          <cell r="B1938">
            <v>0</v>
          </cell>
        </row>
        <row r="1939">
          <cell r="A1939" t="str">
            <v>Pumpset</v>
          </cell>
          <cell r="B1939">
            <v>139624</v>
          </cell>
        </row>
        <row r="1940">
          <cell r="A1940" t="str">
            <v>Punit Trading Co</v>
          </cell>
          <cell r="B1940">
            <v>0</v>
          </cell>
        </row>
        <row r="1941">
          <cell r="A1941" t="str">
            <v>Punya Transport Corporation</v>
          </cell>
          <cell r="B1941">
            <v>0</v>
          </cell>
        </row>
        <row r="1942">
          <cell r="A1942" t="str">
            <v>Puran Electric &amp; Power Tools</v>
          </cell>
          <cell r="B1942">
            <v>2872.4</v>
          </cell>
        </row>
        <row r="1943">
          <cell r="A1943" t="str">
            <v>Purbanchal Lumbers Pvt Ltd</v>
          </cell>
          <cell r="B1943">
            <v>0</v>
          </cell>
        </row>
        <row r="1944">
          <cell r="A1944" t="str">
            <v>Purchase - Import - Stores, Spares &amp; Consumable</v>
          </cell>
          <cell r="B1944">
            <v>437445.46</v>
          </cell>
        </row>
        <row r="1945">
          <cell r="A1945" t="str">
            <v>Purchase - Urd - Stores, Spares &amp; Consumable</v>
          </cell>
          <cell r="B1945">
            <v>18710</v>
          </cell>
        </row>
        <row r="1946">
          <cell r="A1946" t="str">
            <v>Purchase Interstate - Raw Material</v>
          </cell>
          <cell r="B1946">
            <v>74826196.400000006</v>
          </cell>
        </row>
        <row r="1947">
          <cell r="A1947" t="str">
            <v>Purchase Interstate- Packing Material</v>
          </cell>
          <cell r="B1947">
            <v>1500</v>
          </cell>
        </row>
        <row r="1948">
          <cell r="A1948" t="str">
            <v>Purchase Interstate- Stores, Spares &amp; Consumable</v>
          </cell>
          <cell r="B1948">
            <v>2754685</v>
          </cell>
        </row>
        <row r="1949">
          <cell r="A1949" t="str">
            <v>Purchase Raw Material - Direct Import</v>
          </cell>
          <cell r="B1949">
            <v>151735169.74000001</v>
          </cell>
        </row>
        <row r="1950">
          <cell r="A1950" t="str">
            <v>Purchase Raw Material - High Seas</v>
          </cell>
          <cell r="B1950">
            <v>57422665</v>
          </cell>
        </row>
        <row r="1951">
          <cell r="A1951" t="str">
            <v>Purchase Return - Inter State - Raw Material</v>
          </cell>
          <cell r="B1951">
            <v>-11577</v>
          </cell>
        </row>
        <row r="1952">
          <cell r="A1952" t="str">
            <v>Purchase Return - Stores, Spares &amp; Consumable</v>
          </cell>
          <cell r="B1952">
            <v>-66710</v>
          </cell>
        </row>
        <row r="1953">
          <cell r="A1953" t="str">
            <v>Purchase Return - Within State - Raw Material</v>
          </cell>
          <cell r="B1953">
            <v>-458156</v>
          </cell>
        </row>
        <row r="1954">
          <cell r="A1954" t="str">
            <v>Purchase Trading - High Seas</v>
          </cell>
          <cell r="B1954">
            <v>42038050</v>
          </cell>
        </row>
        <row r="1955">
          <cell r="A1955" t="str">
            <v>Purchase Withinstate - Raw Material</v>
          </cell>
          <cell r="B1955">
            <v>1061914689.28</v>
          </cell>
        </row>
        <row r="1956">
          <cell r="A1956" t="str">
            <v>Purchase Withinstate- Packing Material</v>
          </cell>
          <cell r="B1956">
            <v>9664730.4800000004</v>
          </cell>
        </row>
        <row r="1957">
          <cell r="A1957" t="str">
            <v>Purchase Withinstate- Stores, Spares &amp; Consumable</v>
          </cell>
          <cell r="B1957">
            <v>22194477.420000002</v>
          </cell>
        </row>
        <row r="1958">
          <cell r="A1958" t="str">
            <v>Purchase-Import - Third Party</v>
          </cell>
          <cell r="B1958">
            <v>4876994.05</v>
          </cell>
        </row>
        <row r="1959">
          <cell r="A1959" t="str">
            <v>Purohit Caterers</v>
          </cell>
          <cell r="B1959">
            <v>-0.2</v>
          </cell>
        </row>
        <row r="1960">
          <cell r="A1960" t="str">
            <v>Q-Lab Corporation</v>
          </cell>
          <cell r="B1960">
            <v>0</v>
          </cell>
        </row>
        <row r="1961">
          <cell r="A1961" t="str">
            <v>Qatar Chemical And Petrochemical Marketing And Distribution Company (Muntajat) Q.J.S.C.</v>
          </cell>
          <cell r="B1961">
            <v>0.01</v>
          </cell>
        </row>
        <row r="1962">
          <cell r="A1962" t="str">
            <v>Qingdao Fundchem Co.,Ltd</v>
          </cell>
          <cell r="B1962">
            <v>0</v>
          </cell>
        </row>
        <row r="1963">
          <cell r="A1963" t="str">
            <v>Qingzhou Riyuejin Machinery Co.,Ltd</v>
          </cell>
          <cell r="B1963">
            <v>0</v>
          </cell>
        </row>
        <row r="1964">
          <cell r="A1964" t="str">
            <v>Qpac Ltd</v>
          </cell>
          <cell r="B1964">
            <v>4985268.59</v>
          </cell>
        </row>
        <row r="1965">
          <cell r="A1965" t="str">
            <v>Qpac Packaging LLP</v>
          </cell>
          <cell r="B1965">
            <v>0.01</v>
          </cell>
        </row>
        <row r="1966">
          <cell r="A1966" t="str">
            <v>Quality Agency</v>
          </cell>
          <cell r="B1966">
            <v>-2276</v>
          </cell>
        </row>
        <row r="1967">
          <cell r="A1967" t="str">
            <v>Quality Prepress Pvt Ltd</v>
          </cell>
          <cell r="B1967">
            <v>-2343</v>
          </cell>
        </row>
        <row r="1968">
          <cell r="A1968" t="str">
            <v>Qwik Supply Chain Private Limited</v>
          </cell>
          <cell r="B1968">
            <v>165214.69</v>
          </cell>
        </row>
        <row r="1969">
          <cell r="A1969" t="str">
            <v>R C Prajapati</v>
          </cell>
          <cell r="B1969">
            <v>0</v>
          </cell>
        </row>
        <row r="1970">
          <cell r="A1970" t="str">
            <v>R K Yadav Industries</v>
          </cell>
          <cell r="B1970">
            <v>-12873.4</v>
          </cell>
        </row>
        <row r="1971">
          <cell r="A1971" t="str">
            <v>R R Kabel Limited - 26AABCR3352C1ZT</v>
          </cell>
          <cell r="B1971">
            <v>-0.26</v>
          </cell>
        </row>
        <row r="1972">
          <cell r="A1972" t="str">
            <v>R. B. Tapes Pvt Ltd</v>
          </cell>
          <cell r="B1972">
            <v>-46728</v>
          </cell>
        </row>
        <row r="1973">
          <cell r="A1973" t="str">
            <v>R. K. Cosultants</v>
          </cell>
          <cell r="B1973">
            <v>200</v>
          </cell>
        </row>
        <row r="1974">
          <cell r="A1974" t="str">
            <v>R.B Office Solutions</v>
          </cell>
          <cell r="B1974">
            <v>0</v>
          </cell>
        </row>
        <row r="1975">
          <cell r="A1975" t="str">
            <v>R.R. Crane Service</v>
          </cell>
          <cell r="B1975">
            <v>0</v>
          </cell>
        </row>
        <row r="1976">
          <cell r="A1976" t="str">
            <v>R.V. Sarkaria &amp; Associates</v>
          </cell>
          <cell r="B1976">
            <v>-40000</v>
          </cell>
        </row>
        <row r="1977">
          <cell r="A1977" t="str">
            <v>Rabari Jigneshkumar Ganeshbhai</v>
          </cell>
          <cell r="B1977">
            <v>0</v>
          </cell>
        </row>
        <row r="1978">
          <cell r="A1978" t="str">
            <v>Racks For Rolls/Fg</v>
          </cell>
          <cell r="B1978">
            <v>694298</v>
          </cell>
        </row>
        <row r="1979">
          <cell r="A1979" t="str">
            <v>Radcoflex Australia Pty Limited</v>
          </cell>
          <cell r="B1979">
            <v>0</v>
          </cell>
        </row>
        <row r="1980">
          <cell r="A1980" t="str">
            <v>Radhesham Raviprakash Timbers Pvt Ltd</v>
          </cell>
          <cell r="B1980">
            <v>-5377</v>
          </cell>
        </row>
        <row r="1981">
          <cell r="A1981" t="str">
            <v>Radhika Enterprise</v>
          </cell>
          <cell r="B1981">
            <v>0</v>
          </cell>
        </row>
        <row r="1982">
          <cell r="A1982" t="str">
            <v>Radiant Fibretech Pvt Ltd</v>
          </cell>
          <cell r="B1982">
            <v>39591.160000000003</v>
          </cell>
        </row>
        <row r="1983">
          <cell r="A1983" t="str">
            <v>Radisson Blu Hotel Unit Of Rising Hotel Ltd_24AABCA6371L2ZL</v>
          </cell>
          <cell r="B1983">
            <v>-21420.04</v>
          </cell>
        </row>
        <row r="1984">
          <cell r="A1984" t="str">
            <v>Radisson Hotel Kandla</v>
          </cell>
          <cell r="B1984">
            <v>0</v>
          </cell>
        </row>
        <row r="1985">
          <cell r="A1985" t="str">
            <v>Radius Server Parts India</v>
          </cell>
          <cell r="B1985">
            <v>80794.600000000006</v>
          </cell>
        </row>
        <row r="1986">
          <cell r="A1986" t="str">
            <v>Radix Electrosystems Pvt Ltd</v>
          </cell>
          <cell r="B1986">
            <v>0</v>
          </cell>
        </row>
        <row r="1987">
          <cell r="A1987" t="str">
            <v>Rafia Industrial S.A.</v>
          </cell>
          <cell r="B1987">
            <v>0.12</v>
          </cell>
        </row>
        <row r="1988">
          <cell r="A1988" t="str">
            <v>Raficon Trade Srl</v>
          </cell>
          <cell r="B1988">
            <v>0</v>
          </cell>
        </row>
        <row r="1989">
          <cell r="A1989" t="str">
            <v>Rafypak S.A De C.V</v>
          </cell>
          <cell r="B1989">
            <v>138825</v>
          </cell>
        </row>
        <row r="1990">
          <cell r="A1990" t="str">
            <v>Ragni Devi Navin Singh</v>
          </cell>
          <cell r="B1990">
            <v>90000</v>
          </cell>
        </row>
        <row r="1991">
          <cell r="A1991" t="str">
            <v>Rahul Arvindbhai Dabhi</v>
          </cell>
          <cell r="B1991">
            <v>-4258</v>
          </cell>
        </row>
        <row r="1992">
          <cell r="A1992" t="str">
            <v>Rahul Traders - 24AFAPK3878B1ZR</v>
          </cell>
          <cell r="B1992">
            <v>-2590593</v>
          </cell>
        </row>
        <row r="1993">
          <cell r="A1993" t="str">
            <v>Rainox Wiremesh Private Limited</v>
          </cell>
          <cell r="B1993">
            <v>0</v>
          </cell>
        </row>
        <row r="1994">
          <cell r="A1994" t="str">
            <v>Raj Ac Service</v>
          </cell>
          <cell r="B1994">
            <v>0</v>
          </cell>
        </row>
        <row r="1995">
          <cell r="A1995" t="str">
            <v>Raj Asbestos Co</v>
          </cell>
          <cell r="B1995">
            <v>0</v>
          </cell>
        </row>
        <row r="1996">
          <cell r="A1996" t="str">
            <v>Raj Cooling World Private Limited</v>
          </cell>
          <cell r="B1996">
            <v>21240</v>
          </cell>
        </row>
        <row r="1997">
          <cell r="A1997" t="str">
            <v>Raj Enterprise</v>
          </cell>
          <cell r="B1997">
            <v>0</v>
          </cell>
        </row>
        <row r="1998">
          <cell r="A1998" t="str">
            <v>Raj Filters And Wiremesh Pvt Ltd</v>
          </cell>
          <cell r="B1998">
            <v>0</v>
          </cell>
        </row>
        <row r="1999">
          <cell r="A1999" t="str">
            <v>Raj Furnishing</v>
          </cell>
          <cell r="B1999">
            <v>-45590.400000000001</v>
          </cell>
        </row>
        <row r="2000">
          <cell r="A2000" t="str">
            <v>Rajal Office Solution</v>
          </cell>
          <cell r="B2000">
            <v>0</v>
          </cell>
        </row>
        <row r="2001">
          <cell r="A2001" t="str">
            <v>Rajan Kantilal Velani</v>
          </cell>
          <cell r="B2001">
            <v>309310.44</v>
          </cell>
        </row>
        <row r="2002">
          <cell r="A2002" t="str">
            <v>Rajat Impex</v>
          </cell>
          <cell r="B2002">
            <v>-15139</v>
          </cell>
        </row>
        <row r="2003">
          <cell r="A2003" t="str">
            <v>Rajat Logistics</v>
          </cell>
          <cell r="B2003">
            <v>0</v>
          </cell>
        </row>
        <row r="2004">
          <cell r="A2004" t="str">
            <v>Rajat Vinyls Pvt Ltd</v>
          </cell>
          <cell r="B2004">
            <v>0</v>
          </cell>
        </row>
        <row r="2005">
          <cell r="A2005" t="str">
            <v>Rajendra Traders</v>
          </cell>
          <cell r="B2005">
            <v>0</v>
          </cell>
        </row>
        <row r="2006">
          <cell r="A2006" t="str">
            <v>Rajesh Enterprise</v>
          </cell>
          <cell r="B2006">
            <v>0.56999999999999995</v>
          </cell>
        </row>
        <row r="2007">
          <cell r="A2007" t="str">
            <v>Rajgor Stationery &amp; Computer</v>
          </cell>
          <cell r="B2007">
            <v>-279244.02</v>
          </cell>
        </row>
        <row r="2008">
          <cell r="A2008" t="str">
            <v>Rajhans Plastic Machinery Pvt Ltd</v>
          </cell>
          <cell r="B2008">
            <v>118.8</v>
          </cell>
        </row>
        <row r="2009">
          <cell r="A2009" t="str">
            <v>Rajiv Petrochemical Pvt Ltd -  Purchase</v>
          </cell>
          <cell r="B2009">
            <v>0</v>
          </cell>
        </row>
        <row r="2010">
          <cell r="A2010" t="str">
            <v>Rajkamal Poly Print Private Limited</v>
          </cell>
          <cell r="B2010">
            <v>-21000</v>
          </cell>
        </row>
        <row r="2011">
          <cell r="A2011" t="str">
            <v>Rajkumar &amp; Sons</v>
          </cell>
          <cell r="B2011">
            <v>580857.16</v>
          </cell>
        </row>
        <row r="2012">
          <cell r="A2012" t="str">
            <v>Rajratan Electricals Pvt Ltd</v>
          </cell>
          <cell r="B2012">
            <v>-5310</v>
          </cell>
        </row>
        <row r="2013">
          <cell r="A2013" t="str">
            <v>Rajshakti Roadways</v>
          </cell>
          <cell r="B2013">
            <v>-19750</v>
          </cell>
        </row>
        <row r="2014">
          <cell r="A2014" t="str">
            <v>Rajvi Jaldhara</v>
          </cell>
          <cell r="B2014">
            <v>0</v>
          </cell>
        </row>
        <row r="2015">
          <cell r="A2015" t="str">
            <v>Rajyada Polymers Private Limited</v>
          </cell>
          <cell r="B2015">
            <v>-0.4</v>
          </cell>
        </row>
        <row r="2016">
          <cell r="A2016" t="str">
            <v>Rakha Al Khaleej International Llc</v>
          </cell>
          <cell r="B2016">
            <v>-30681.599999999999</v>
          </cell>
        </row>
        <row r="2017">
          <cell r="A2017" t="str">
            <v>Ranjan Plastics Pvt Ltd</v>
          </cell>
          <cell r="B2017">
            <v>0</v>
          </cell>
        </row>
        <row r="2018">
          <cell r="A2018" t="str">
            <v>Ranjanben Jagdishbhai Bhavsar</v>
          </cell>
          <cell r="B2018">
            <v>0</v>
          </cell>
        </row>
        <row r="2019">
          <cell r="A2019" t="str">
            <v>Rapid Spare</v>
          </cell>
          <cell r="B2019">
            <v>-32438</v>
          </cell>
        </row>
        <row r="2020">
          <cell r="A2020" t="str">
            <v>Rasidul Mandal (Advance)</v>
          </cell>
          <cell r="B2020">
            <v>15000</v>
          </cell>
        </row>
        <row r="2021">
          <cell r="A2021" t="str">
            <v>Rasidul Mondal</v>
          </cell>
          <cell r="B2021">
            <v>231878</v>
          </cell>
        </row>
        <row r="2022">
          <cell r="A2022" t="str">
            <v>Rataan Fabtex Private Limited - Unit 2</v>
          </cell>
          <cell r="B2022">
            <v>0</v>
          </cell>
        </row>
        <row r="2023">
          <cell r="A2023" t="str">
            <v>Rathod Sales &amp; Service</v>
          </cell>
          <cell r="B2023">
            <v>-1239</v>
          </cell>
        </row>
        <row r="2024">
          <cell r="A2024" t="str">
            <v>Ratnam Polymers</v>
          </cell>
          <cell r="B2024">
            <v>-0.3</v>
          </cell>
        </row>
        <row r="2025">
          <cell r="A2025" t="str">
            <v>Ravechi Suppliers</v>
          </cell>
          <cell r="B2025">
            <v>0</v>
          </cell>
        </row>
        <row r="2026">
          <cell r="A2026" t="str">
            <v>Ravi Arts Gallery</v>
          </cell>
          <cell r="B2026">
            <v>0</v>
          </cell>
        </row>
        <row r="2027">
          <cell r="A2027" t="str">
            <v>Ravi Sunrise Industries- Supplier</v>
          </cell>
          <cell r="B2027">
            <v>177.4</v>
          </cell>
        </row>
        <row r="2028">
          <cell r="A2028" t="str">
            <v>Ravindra</v>
          </cell>
          <cell r="B2028">
            <v>-34717.760000000002</v>
          </cell>
        </row>
        <row r="2029">
          <cell r="A2029" t="str">
            <v>Ravindran Raghavan</v>
          </cell>
          <cell r="B2029">
            <v>561210.80000000005</v>
          </cell>
        </row>
        <row r="2030">
          <cell r="A2030" t="str">
            <v>Ravishankar Maurya</v>
          </cell>
          <cell r="B2030">
            <v>0</v>
          </cell>
        </row>
        <row r="2031">
          <cell r="A2031" t="str">
            <v>Ravitaillement International Inc.</v>
          </cell>
          <cell r="B2031">
            <v>5316.61</v>
          </cell>
        </row>
        <row r="2032">
          <cell r="A2032" t="str">
            <v>RCM - CGST Credit</v>
          </cell>
          <cell r="B2032">
            <v>0</v>
          </cell>
        </row>
        <row r="2033">
          <cell r="A2033" t="str">
            <v>RCM - IGST Credit</v>
          </cell>
          <cell r="B2033">
            <v>400</v>
          </cell>
        </row>
        <row r="2034">
          <cell r="A2034" t="str">
            <v>RCM - SGST Credit</v>
          </cell>
          <cell r="B2034">
            <v>-400</v>
          </cell>
        </row>
        <row r="2035">
          <cell r="A2035" t="str">
            <v>Rdc Agro Ventures Private Limited</v>
          </cell>
          <cell r="B2035">
            <v>0</v>
          </cell>
        </row>
        <row r="2036">
          <cell r="A2036" t="str">
            <v>Real Logistics</v>
          </cell>
          <cell r="B2036">
            <v>-500</v>
          </cell>
        </row>
        <row r="2037">
          <cell r="A2037" t="str">
            <v>Real Roadlines - Udaipur</v>
          </cell>
          <cell r="B2037">
            <v>0</v>
          </cell>
        </row>
        <row r="2038">
          <cell r="A2038" t="str">
            <v>Real Technitex</v>
          </cell>
          <cell r="B2038">
            <v>0</v>
          </cell>
        </row>
        <row r="2039">
          <cell r="A2039" t="str">
            <v>Recycling Machine</v>
          </cell>
          <cell r="B2039">
            <v>15754540.52</v>
          </cell>
        </row>
        <row r="2040">
          <cell r="A2040" t="str">
            <v>Recycling Machine - NGR</v>
          </cell>
          <cell r="B2040">
            <v>0</v>
          </cell>
        </row>
        <row r="2041">
          <cell r="A2041" t="str">
            <v>Refrigerator</v>
          </cell>
          <cell r="B2041">
            <v>75306</v>
          </cell>
        </row>
        <row r="2042">
          <cell r="A2042" t="str">
            <v>Reliance General Insurance Co Ltd-Gujarat</v>
          </cell>
          <cell r="B2042">
            <v>312700</v>
          </cell>
        </row>
        <row r="2043">
          <cell r="A2043" t="str">
            <v>Reliance Industries Ltd-Gujarat</v>
          </cell>
          <cell r="B2043">
            <v>-6238544.4199999999</v>
          </cell>
        </row>
        <row r="2044">
          <cell r="A2044" t="str">
            <v>Reliance Industries Ltd-Jamnagar SEZ</v>
          </cell>
          <cell r="B2044">
            <v>-3218882.36</v>
          </cell>
        </row>
        <row r="2045">
          <cell r="A2045" t="str">
            <v>Reliance Jio Infocomm Limited</v>
          </cell>
          <cell r="B2045">
            <v>0</v>
          </cell>
        </row>
        <row r="2046">
          <cell r="A2046" t="str">
            <v>Reliance Retail Limited-Gujarat</v>
          </cell>
          <cell r="B2046">
            <v>246.1</v>
          </cell>
        </row>
        <row r="2047">
          <cell r="A2047" t="str">
            <v>Relianz Ag</v>
          </cell>
          <cell r="B2047">
            <v>0</v>
          </cell>
        </row>
        <row r="2048">
          <cell r="A2048" t="str">
            <v>Religare Finvest Ltd.- TDS amount</v>
          </cell>
          <cell r="B2048">
            <v>0</v>
          </cell>
        </row>
        <row r="2049">
          <cell r="A2049" t="str">
            <v>Rent Deposit - Rajani M.Hinduja</v>
          </cell>
          <cell r="B2049">
            <v>20000</v>
          </cell>
        </row>
        <row r="2050">
          <cell r="A2050" t="str">
            <v>Rent Expense - Colony</v>
          </cell>
          <cell r="B2050">
            <v>1568400</v>
          </cell>
        </row>
        <row r="2051">
          <cell r="A2051" t="str">
            <v>Rent Expense - Godown</v>
          </cell>
          <cell r="B2051">
            <v>421773</v>
          </cell>
        </row>
        <row r="2052">
          <cell r="A2052" t="str">
            <v>Rent Expense Colony With Gst</v>
          </cell>
          <cell r="B2052">
            <v>660000</v>
          </cell>
        </row>
        <row r="2053">
          <cell r="A2053" t="str">
            <v>Rent Expenses - Machineries</v>
          </cell>
          <cell r="B2053">
            <v>894120</v>
          </cell>
        </row>
        <row r="2054">
          <cell r="A2054" t="str">
            <v>Rent Income</v>
          </cell>
          <cell r="B2054">
            <v>-136052</v>
          </cell>
        </row>
        <row r="2055">
          <cell r="A2055" t="str">
            <v>Repairs &amp; Maintenance Exp - Building</v>
          </cell>
          <cell r="B2055">
            <v>486330.02</v>
          </cell>
        </row>
        <row r="2056">
          <cell r="A2056" t="str">
            <v>Repairs &amp; Maintenance Exp - Computer &amp; Printers</v>
          </cell>
          <cell r="B2056">
            <v>58200</v>
          </cell>
        </row>
        <row r="2057">
          <cell r="A2057" t="str">
            <v>Repairs &amp; Maintenance Exp - Electric</v>
          </cell>
          <cell r="B2057">
            <v>566424.57999999996</v>
          </cell>
        </row>
        <row r="2058">
          <cell r="A2058" t="str">
            <v>Repairs &amp; Maintenance Exp - Motor Cars</v>
          </cell>
          <cell r="B2058">
            <v>89693.05</v>
          </cell>
        </row>
        <row r="2059">
          <cell r="A2059" t="str">
            <v>Repairs &amp; Maintenance Exp - Other Vehicles</v>
          </cell>
          <cell r="B2059">
            <v>52501.84</v>
          </cell>
        </row>
        <row r="2060">
          <cell r="A2060" t="str">
            <v>Repairs &amp; Maintenance Exp - Others</v>
          </cell>
          <cell r="B2060">
            <v>1877688.28</v>
          </cell>
        </row>
        <row r="2061">
          <cell r="A2061" t="str">
            <v>Repairs &amp; Maintenance Exp - Plant &amp; Machinery</v>
          </cell>
          <cell r="B2061">
            <v>1754324.54</v>
          </cell>
        </row>
        <row r="2062">
          <cell r="A2062" t="str">
            <v>Repsol Quimica S.A</v>
          </cell>
          <cell r="B2062">
            <v>38063.42</v>
          </cell>
        </row>
        <row r="2063">
          <cell r="A2063" t="str">
            <v>Reshma D. Solanki</v>
          </cell>
          <cell r="B2063">
            <v>0</v>
          </cell>
        </row>
        <row r="2064">
          <cell r="A2064" t="str">
            <v>Retailez Private Limited 24AALCR3173P1ZT</v>
          </cell>
          <cell r="B2064">
            <v>0</v>
          </cell>
        </row>
        <row r="2065">
          <cell r="A2065" t="str">
            <v>Rex Steam Products Pvt Ltd</v>
          </cell>
          <cell r="B2065">
            <v>2884.28</v>
          </cell>
        </row>
        <row r="2066">
          <cell r="A2066" t="str">
            <v>Rfbl Flexi Pack Limited</v>
          </cell>
          <cell r="B2066">
            <v>14703308.24</v>
          </cell>
        </row>
        <row r="2067">
          <cell r="A2067" t="str">
            <v>Riddhi Construction</v>
          </cell>
          <cell r="B2067">
            <v>0</v>
          </cell>
        </row>
        <row r="2068">
          <cell r="A2068" t="str">
            <v>Riddhi Electric Industries</v>
          </cell>
          <cell r="B2068">
            <v>-5975</v>
          </cell>
        </row>
        <row r="2069">
          <cell r="A2069" t="str">
            <v>Riddhi Graphics</v>
          </cell>
          <cell r="B2069">
            <v>-3658</v>
          </cell>
        </row>
        <row r="2070">
          <cell r="A2070" t="str">
            <v>Riddhi Mech-Fab Engineering</v>
          </cell>
          <cell r="B2070">
            <v>-8024</v>
          </cell>
        </row>
        <row r="2071">
          <cell r="A2071" t="str">
            <v>Riddhi Siddhi Traders</v>
          </cell>
          <cell r="B2071">
            <v>0</v>
          </cell>
        </row>
        <row r="2072">
          <cell r="A2072" t="str">
            <v>Ring Twister - Model-Hdt-612</v>
          </cell>
          <cell r="B2072">
            <v>4411626</v>
          </cell>
        </row>
        <row r="2073">
          <cell r="A2073" t="str">
            <v>Ring Twister - Model-Hdt-812</v>
          </cell>
          <cell r="B2073">
            <v>1297133</v>
          </cell>
        </row>
        <row r="2074">
          <cell r="A2074" t="str">
            <v>Ripal Engitech Pvt Ltd</v>
          </cell>
          <cell r="B2074">
            <v>0</v>
          </cell>
        </row>
        <row r="2075">
          <cell r="A2075" t="str">
            <v>Rishabh Steel Supplier</v>
          </cell>
          <cell r="B2075">
            <v>0</v>
          </cell>
        </row>
        <row r="2076">
          <cell r="A2076" t="str">
            <v>Ritesh Auto</v>
          </cell>
          <cell r="B2076">
            <v>-16638</v>
          </cell>
        </row>
        <row r="2077">
          <cell r="A2077" t="str">
            <v>RO Plant</v>
          </cell>
          <cell r="B2077">
            <v>2214800</v>
          </cell>
        </row>
        <row r="2078">
          <cell r="A2078" t="str">
            <v>Roads</v>
          </cell>
          <cell r="B2078">
            <v>1333281</v>
          </cell>
        </row>
        <row r="2079">
          <cell r="A2079" t="str">
            <v>Rocheux International</v>
          </cell>
          <cell r="B2079">
            <v>0</v>
          </cell>
        </row>
        <row r="2080">
          <cell r="A2080" t="str">
            <v>RODTEP SCRIPT</v>
          </cell>
          <cell r="B2080">
            <v>37291</v>
          </cell>
        </row>
        <row r="2081">
          <cell r="A2081" t="str">
            <v>Rolaxo Polypack LLP- Sales</v>
          </cell>
          <cell r="B2081">
            <v>-30.4</v>
          </cell>
        </row>
        <row r="2082">
          <cell r="A2082" t="str">
            <v>Roller</v>
          </cell>
          <cell r="B2082">
            <v>173525</v>
          </cell>
        </row>
        <row r="2083">
          <cell r="A2083" t="str">
            <v>Roltech Infotech</v>
          </cell>
          <cell r="B2083">
            <v>-6537</v>
          </cell>
        </row>
        <row r="2084">
          <cell r="A2084" t="str">
            <v>Ronak Polypack</v>
          </cell>
          <cell r="B2084">
            <v>0</v>
          </cell>
        </row>
        <row r="2085">
          <cell r="A2085" t="str">
            <v>Rossi Imballaggi Srl</v>
          </cell>
          <cell r="B2085">
            <v>0.09</v>
          </cell>
        </row>
        <row r="2086">
          <cell r="A2086" t="str">
            <v>Rotary Hammer Machine</v>
          </cell>
          <cell r="B2086">
            <v>6550</v>
          </cell>
        </row>
        <row r="2087">
          <cell r="A2087" t="str">
            <v>Rotary Screw Compressor</v>
          </cell>
          <cell r="B2087">
            <v>953490</v>
          </cell>
        </row>
        <row r="2088">
          <cell r="A2088" t="str">
            <v>Rotex Fabric Pvt Ltd</v>
          </cell>
          <cell r="B2088">
            <v>0</v>
          </cell>
        </row>
        <row r="2089">
          <cell r="A2089" t="str">
            <v>Roto Master India</v>
          </cell>
          <cell r="B2089">
            <v>-1.1399999999999999</v>
          </cell>
        </row>
        <row r="2090">
          <cell r="A2090" t="str">
            <v>Round Cutter Gsm</v>
          </cell>
          <cell r="B2090">
            <v>9443.83</v>
          </cell>
        </row>
        <row r="2091">
          <cell r="A2091" t="str">
            <v>Round Off</v>
          </cell>
          <cell r="B2091">
            <v>3328.62</v>
          </cell>
        </row>
        <row r="2092">
          <cell r="A2092" t="str">
            <v>Round Off - Purchases</v>
          </cell>
          <cell r="B2092">
            <v>358.24</v>
          </cell>
        </row>
        <row r="2093">
          <cell r="A2093" t="str">
            <v>Round Off - Sales</v>
          </cell>
          <cell r="B2093">
            <v>-0.32</v>
          </cell>
        </row>
        <row r="2094">
          <cell r="A2094" t="str">
            <v>Royal Marketing</v>
          </cell>
          <cell r="B2094">
            <v>0.34</v>
          </cell>
        </row>
        <row r="2095">
          <cell r="A2095" t="str">
            <v>Royal Sundaram General Insurance Co LtdMaharashtra</v>
          </cell>
          <cell r="B2095">
            <v>-0.38</v>
          </cell>
        </row>
        <row r="2096">
          <cell r="A2096" t="str">
            <v>RR International</v>
          </cell>
          <cell r="B2096">
            <v>-734.4</v>
          </cell>
        </row>
        <row r="2097">
          <cell r="A2097" t="str">
            <v>RR Services</v>
          </cell>
          <cell r="B2097">
            <v>-9769</v>
          </cell>
        </row>
        <row r="2098">
          <cell r="A2098" t="str">
            <v>Rsc Hyderabad</v>
          </cell>
          <cell r="B2098">
            <v>0</v>
          </cell>
        </row>
        <row r="2099">
          <cell r="A2099" t="str">
            <v>Rt Wovensack Machinery Solutions</v>
          </cell>
          <cell r="B2099">
            <v>0</v>
          </cell>
        </row>
        <row r="2100">
          <cell r="A2100" t="str">
            <v>Rubberking Tyre Pvt Ltd</v>
          </cell>
          <cell r="B2100">
            <v>0</v>
          </cell>
        </row>
        <row r="2101">
          <cell r="A2101" t="str">
            <v>Rubix Data Sciences Private Limited</v>
          </cell>
          <cell r="B2101">
            <v>98262</v>
          </cell>
        </row>
        <row r="2102">
          <cell r="A2102" t="str">
            <v>Ruby Polymers</v>
          </cell>
          <cell r="B2102">
            <v>0</v>
          </cell>
        </row>
        <row r="2103">
          <cell r="A2103" t="str">
            <v>Rudra Enterprise</v>
          </cell>
          <cell r="B2103">
            <v>0</v>
          </cell>
        </row>
        <row r="2104">
          <cell r="A2104" t="str">
            <v>Rudra Enterprise - 24BEVPP2275L1ZS</v>
          </cell>
          <cell r="B2104">
            <v>0</v>
          </cell>
        </row>
        <row r="2105">
          <cell r="A2105" t="str">
            <v>Rudra Marketing</v>
          </cell>
          <cell r="B2105">
            <v>0</v>
          </cell>
        </row>
        <row r="2106">
          <cell r="A2106" t="str">
            <v>Rudra Trading Co.</v>
          </cell>
          <cell r="B2106">
            <v>7022086.0999999996</v>
          </cell>
        </row>
        <row r="2107">
          <cell r="A2107" t="str">
            <v>Rudraksh Polychem</v>
          </cell>
          <cell r="B2107">
            <v>-218300</v>
          </cell>
        </row>
        <row r="2108">
          <cell r="A2108" t="str">
            <v>Rudrani Electro Engraving Private Limited</v>
          </cell>
          <cell r="B2108">
            <v>-38523</v>
          </cell>
        </row>
        <row r="2109">
          <cell r="A2109" t="str">
            <v>Rugo Bags Gmbh</v>
          </cell>
          <cell r="B2109">
            <v>-21431.96</v>
          </cell>
        </row>
        <row r="2110">
          <cell r="A2110" t="str">
            <v>Rushabh Fastech Llp</v>
          </cell>
          <cell r="B2110">
            <v>-8198</v>
          </cell>
        </row>
        <row r="2111">
          <cell r="A2111" t="str">
            <v>S A Automation Pvt Ltd</v>
          </cell>
          <cell r="B2111">
            <v>9085.11</v>
          </cell>
        </row>
        <row r="2112">
          <cell r="A2112" t="str">
            <v>S B Enterprise</v>
          </cell>
          <cell r="B2112">
            <v>0</v>
          </cell>
        </row>
        <row r="2113">
          <cell r="A2113" t="str">
            <v>S Jivraj</v>
          </cell>
          <cell r="B2113">
            <v>0</v>
          </cell>
        </row>
        <row r="2114">
          <cell r="A2114" t="str">
            <v>S R B C &amp; Co Llp</v>
          </cell>
          <cell r="B2114">
            <v>0</v>
          </cell>
        </row>
        <row r="2115">
          <cell r="A2115" t="str">
            <v>S R Plast</v>
          </cell>
          <cell r="B2115">
            <v>40000</v>
          </cell>
        </row>
        <row r="2116">
          <cell r="A2116" t="str">
            <v>S. Khemka &amp; Co.</v>
          </cell>
          <cell r="B2116">
            <v>-300</v>
          </cell>
        </row>
        <row r="2117">
          <cell r="A2117" t="str">
            <v>S.B. AGENCIES</v>
          </cell>
          <cell r="B2117">
            <v>-1890</v>
          </cell>
        </row>
        <row r="2118">
          <cell r="A2118" t="str">
            <v>S.K. Enterprise</v>
          </cell>
          <cell r="B2118">
            <v>0</v>
          </cell>
        </row>
        <row r="2119">
          <cell r="A2119" t="str">
            <v>S.K.Enterprise - 24DXPPS8590J1ZG</v>
          </cell>
          <cell r="B2119">
            <v>30398</v>
          </cell>
        </row>
        <row r="2120">
          <cell r="A2120" t="str">
            <v>S.K.Enterprises</v>
          </cell>
          <cell r="B2120">
            <v>6922.5</v>
          </cell>
        </row>
        <row r="2121">
          <cell r="A2121" t="str">
            <v>S.R. Electronics</v>
          </cell>
          <cell r="B2121">
            <v>680</v>
          </cell>
        </row>
        <row r="2122">
          <cell r="A2122" t="str">
            <v>S.R. Roadways</v>
          </cell>
          <cell r="B2122">
            <v>-200000</v>
          </cell>
        </row>
        <row r="2123">
          <cell r="A2123" t="str">
            <v>S.R.Adhesive Tapes Mfg - Sales</v>
          </cell>
          <cell r="B2123">
            <v>0</v>
          </cell>
        </row>
        <row r="2124">
          <cell r="A2124" t="str">
            <v>S.R.Sewing Tech</v>
          </cell>
          <cell r="B2124">
            <v>-277778</v>
          </cell>
        </row>
        <row r="2125">
          <cell r="A2125" t="str">
            <v>S.S. Enterprises</v>
          </cell>
          <cell r="B2125">
            <v>0</v>
          </cell>
        </row>
        <row r="2126">
          <cell r="A2126" t="str">
            <v>S.V.Industries</v>
          </cell>
          <cell r="B2126">
            <v>-5723</v>
          </cell>
        </row>
        <row r="2127">
          <cell r="A2127" t="str">
            <v>Saanvi Pallets</v>
          </cell>
          <cell r="B2127">
            <v>0</v>
          </cell>
        </row>
        <row r="2128">
          <cell r="A2128" t="str">
            <v>Saarthee Shipping Co</v>
          </cell>
          <cell r="B2128">
            <v>0</v>
          </cell>
        </row>
        <row r="2129">
          <cell r="A2129" t="str">
            <v>Sabar Flex Industries</v>
          </cell>
          <cell r="B2129">
            <v>3597958</v>
          </cell>
        </row>
        <row r="2130">
          <cell r="A2130" t="str">
            <v>Sabic Asia Pacific Pte Ltd</v>
          </cell>
          <cell r="B2130">
            <v>11166705.01</v>
          </cell>
        </row>
        <row r="2131">
          <cell r="A2131" t="str">
            <v>Sabihhaidar Mustufahusen Saiyad</v>
          </cell>
          <cell r="B2131">
            <v>-63000</v>
          </cell>
        </row>
        <row r="2132">
          <cell r="A2132" t="str">
            <v>Saccheria F.Lli Franceschetti SPA</v>
          </cell>
          <cell r="B2132">
            <v>0</v>
          </cell>
        </row>
        <row r="2133">
          <cell r="A2133" t="str">
            <v>Sacherie De Pantin</v>
          </cell>
          <cell r="B2133">
            <v>0</v>
          </cell>
        </row>
        <row r="2134">
          <cell r="A2134" t="str">
            <v>Sacos Durcal S.A</v>
          </cell>
          <cell r="B2134">
            <v>0</v>
          </cell>
        </row>
        <row r="2135">
          <cell r="A2135" t="str">
            <v>Sadleirs Packaging</v>
          </cell>
          <cell r="B2135">
            <v>0</v>
          </cell>
        </row>
        <row r="2136">
          <cell r="A2136" t="str">
            <v>Saeed Ali Godhran Plastic Pipe Factory</v>
          </cell>
          <cell r="B2136">
            <v>0</v>
          </cell>
        </row>
        <row r="2137">
          <cell r="A2137" t="str">
            <v>Safal Hospitality And Maintenance Services</v>
          </cell>
          <cell r="B2137">
            <v>178</v>
          </cell>
        </row>
        <row r="2138">
          <cell r="A2138" t="str">
            <v>Safal Poly Products</v>
          </cell>
          <cell r="B2138">
            <v>802400</v>
          </cell>
        </row>
        <row r="2139">
          <cell r="A2139" t="str">
            <v>Safesack Finland Oy</v>
          </cell>
          <cell r="B2139">
            <v>0.03</v>
          </cell>
        </row>
        <row r="2140">
          <cell r="A2140" t="str">
            <v>Safesack Scandinavia Ab</v>
          </cell>
          <cell r="B2140">
            <v>0.04</v>
          </cell>
        </row>
        <row r="2141">
          <cell r="A2141" t="str">
            <v>Safesack Scandinavia Ab - Purchase</v>
          </cell>
          <cell r="B2141">
            <v>-1320015.96</v>
          </cell>
        </row>
        <row r="2142">
          <cell r="A2142" t="str">
            <v>Safewin International Services</v>
          </cell>
          <cell r="B2142">
            <v>-295</v>
          </cell>
        </row>
        <row r="2143">
          <cell r="A2143" t="str">
            <v>Sagun Logistics</v>
          </cell>
          <cell r="B2143">
            <v>0</v>
          </cell>
        </row>
        <row r="2144">
          <cell r="A2144" t="str">
            <v>Sahajanand Transmission</v>
          </cell>
          <cell r="B2144">
            <v>0</v>
          </cell>
        </row>
        <row r="2145">
          <cell r="A2145" t="str">
            <v>Sahdevsinh Fatehsinh Jadeja</v>
          </cell>
          <cell r="B2145">
            <v>-38282</v>
          </cell>
        </row>
        <row r="2146">
          <cell r="A2146" t="str">
            <v>Saheli Enterprise, Gim</v>
          </cell>
          <cell r="B2146">
            <v>-1205</v>
          </cell>
        </row>
        <row r="2147">
          <cell r="A2147" t="str">
            <v>Sai Natraj Steel Traders</v>
          </cell>
          <cell r="B2147">
            <v>-1611</v>
          </cell>
        </row>
        <row r="2148">
          <cell r="A2148" t="str">
            <v>Salaries Expense</v>
          </cell>
          <cell r="B2148">
            <v>16132867</v>
          </cell>
        </row>
        <row r="2149">
          <cell r="A2149" t="str">
            <v>Salary &amp; Wages Payable</v>
          </cell>
          <cell r="B2149">
            <v>1987313.4</v>
          </cell>
        </row>
        <row r="2150">
          <cell r="A2150" t="str">
            <v>Salary - Over Time</v>
          </cell>
          <cell r="B2150">
            <v>996936</v>
          </cell>
        </row>
        <row r="2151">
          <cell r="A2151" t="str">
            <v>Sales - Direct Export - Mfg - U/B</v>
          </cell>
          <cell r="B2151">
            <v>-195454582.19999999</v>
          </cell>
        </row>
        <row r="2152">
          <cell r="A2152" t="str">
            <v>Sales - Direct Export - Mfg - U/R</v>
          </cell>
          <cell r="B2152">
            <v>-250646053.05000001</v>
          </cell>
        </row>
        <row r="2153">
          <cell r="A2153" t="str">
            <v>Sales - Export - Third Party</v>
          </cell>
          <cell r="B2153">
            <v>-4876506.24</v>
          </cell>
        </row>
        <row r="2154">
          <cell r="A2154" t="str">
            <v>Sales - High Seas</v>
          </cell>
          <cell r="B2154">
            <v>-42221550</v>
          </cell>
        </row>
        <row r="2155">
          <cell r="A2155" t="str">
            <v>Sales - Interstate - Manufactured Goods</v>
          </cell>
          <cell r="B2155">
            <v>-28863360</v>
          </cell>
        </row>
        <row r="2156">
          <cell r="A2156" t="str">
            <v>Sales - Interstate - Traded Goods</v>
          </cell>
          <cell r="B2156">
            <v>-2370670.6</v>
          </cell>
        </row>
        <row r="2157">
          <cell r="A2157" t="str">
            <v>Sales - Kasez - Mfg - U/B</v>
          </cell>
          <cell r="B2157">
            <v>-184462943.99000001</v>
          </cell>
        </row>
        <row r="2158">
          <cell r="A2158" t="str">
            <v>Sales - Kasez - Trading - U/B</v>
          </cell>
          <cell r="B2158">
            <v>-11705357.050000001</v>
          </cell>
        </row>
        <row r="2159">
          <cell r="A2159" t="str">
            <v>Sales - Merchant Export</v>
          </cell>
          <cell r="B2159">
            <v>-74801213.400000006</v>
          </cell>
        </row>
        <row r="2160">
          <cell r="A2160" t="str">
            <v>Sales - Waste &amp; Scrape</v>
          </cell>
          <cell r="B2160">
            <v>-1949098.2</v>
          </cell>
        </row>
        <row r="2161">
          <cell r="A2161" t="str">
            <v>Sales - Within State  Manufactured Goods</v>
          </cell>
          <cell r="B2161">
            <v>-684021505.49000001</v>
          </cell>
        </row>
        <row r="2162">
          <cell r="A2162" t="str">
            <v>Sales - Within State - Traded Goods</v>
          </cell>
          <cell r="B2162">
            <v>-149166083.31999999</v>
          </cell>
        </row>
        <row r="2163">
          <cell r="A2163" t="str">
            <v>Sales Bill Discounted Exports - Drip capital</v>
          </cell>
          <cell r="B2163">
            <v>-8823246.3800000008</v>
          </cell>
        </row>
        <row r="2164">
          <cell r="A2164" t="str">
            <v>Sales Bill Discounted Exports - India Factoring</v>
          </cell>
          <cell r="B2164">
            <v>-19618200.300000001</v>
          </cell>
        </row>
        <row r="2165">
          <cell r="A2165" t="str">
            <v>Sales Bill Discounted Exports - Mogli Labs Asia Private Limited</v>
          </cell>
          <cell r="B2165">
            <v>-2955874.68</v>
          </cell>
        </row>
        <row r="2166">
          <cell r="A2166" t="str">
            <v>Sales Bill Discounted Exports - SBI</v>
          </cell>
          <cell r="B2166">
            <v>0</v>
          </cell>
        </row>
        <row r="2167">
          <cell r="A2167" t="str">
            <v>Sales Bill Discounted Exports - SCB</v>
          </cell>
          <cell r="B2167">
            <v>0</v>
          </cell>
        </row>
        <row r="2168">
          <cell r="A2168" t="str">
            <v>Sales Bill Discounted Exports - Shinhan</v>
          </cell>
          <cell r="B2168">
            <v>0</v>
          </cell>
        </row>
        <row r="2169">
          <cell r="A2169" t="str">
            <v>Sales Bill Discounted Exports - Volo Fin Pvt. Ltd.</v>
          </cell>
          <cell r="B2169">
            <v>-66221179.340000004</v>
          </cell>
        </row>
        <row r="2170">
          <cell r="A2170" t="str">
            <v>Sales Incentive</v>
          </cell>
          <cell r="B2170">
            <v>4000</v>
          </cell>
        </row>
        <row r="2171">
          <cell r="A2171" t="str">
            <v>Sales Promotion Expense</v>
          </cell>
          <cell r="B2171">
            <v>1889887.9</v>
          </cell>
        </row>
        <row r="2172">
          <cell r="A2172" t="str">
            <v>Samkit Enterprises</v>
          </cell>
          <cell r="B2172">
            <v>-47904.34</v>
          </cell>
        </row>
        <row r="2173">
          <cell r="A2173" t="str">
            <v>Samsara Shipping Pvt. Ltd. - Mumbai</v>
          </cell>
          <cell r="B2173">
            <v>99385.02</v>
          </cell>
        </row>
        <row r="2174">
          <cell r="A2174" t="str">
            <v>San Enterprise</v>
          </cell>
          <cell r="B2174">
            <v>0</v>
          </cell>
        </row>
        <row r="2175">
          <cell r="A2175" t="str">
            <v>Sandip Kumar Maurya</v>
          </cell>
          <cell r="B2175">
            <v>0</v>
          </cell>
        </row>
        <row r="2176">
          <cell r="A2176" t="str">
            <v>Sandwood Enterprises Inc</v>
          </cell>
          <cell r="B2176">
            <v>0</v>
          </cell>
        </row>
        <row r="2177">
          <cell r="A2177" t="str">
            <v>Sanjay Shivabhai Parmar</v>
          </cell>
          <cell r="B2177">
            <v>0</v>
          </cell>
        </row>
        <row r="2178">
          <cell r="A2178" t="str">
            <v>Sanjay Trade And Industries</v>
          </cell>
          <cell r="B2178">
            <v>-2.1800000000000002</v>
          </cell>
        </row>
        <row r="2179">
          <cell r="A2179" t="str">
            <v>Sankalp Mehta Associate</v>
          </cell>
          <cell r="B2179">
            <v>0.2</v>
          </cell>
        </row>
        <row r="2180">
          <cell r="A2180" t="str">
            <v>Santosh Kumar</v>
          </cell>
          <cell r="B2180">
            <v>0</v>
          </cell>
        </row>
        <row r="2181">
          <cell r="A2181" t="str">
            <v>Sapana Agrawal</v>
          </cell>
          <cell r="B2181">
            <v>0</v>
          </cell>
        </row>
        <row r="2182">
          <cell r="A2182" t="str">
            <v>SAR Overseas Ltd.</v>
          </cell>
          <cell r="B2182">
            <v>-144572.85999999999</v>
          </cell>
        </row>
        <row r="2183">
          <cell r="A2183" t="str">
            <v>Sar Transport Systems Pvt Ltd - Gujarat</v>
          </cell>
          <cell r="B2183">
            <v>-416666.19</v>
          </cell>
        </row>
        <row r="2184">
          <cell r="A2184" t="str">
            <v>Sar Transport Systems Pvt Ltd - Maharastra</v>
          </cell>
          <cell r="B2184">
            <v>0</v>
          </cell>
        </row>
        <row r="2185">
          <cell r="A2185" t="str">
            <v>Sarathi Agro Corporation</v>
          </cell>
          <cell r="B2185">
            <v>6300</v>
          </cell>
        </row>
        <row r="2186">
          <cell r="A2186" t="str">
            <v>SARL Bazelle</v>
          </cell>
          <cell r="B2186">
            <v>0</v>
          </cell>
        </row>
        <row r="2187">
          <cell r="A2187" t="str">
            <v>Sarl Orion 42</v>
          </cell>
          <cell r="B2187">
            <v>0</v>
          </cell>
        </row>
        <row r="2188">
          <cell r="A2188" t="str">
            <v>Saru Plastics</v>
          </cell>
          <cell r="B2188">
            <v>-22438</v>
          </cell>
        </row>
        <row r="2189">
          <cell r="A2189" t="str">
            <v>SAS Emballage Industrie Concept - Bazelle</v>
          </cell>
          <cell r="B2189">
            <v>0</v>
          </cell>
        </row>
        <row r="2190">
          <cell r="A2190" t="str">
            <v>Satguru Enterprises</v>
          </cell>
          <cell r="B2190">
            <v>0</v>
          </cell>
        </row>
        <row r="2191">
          <cell r="A2191" t="str">
            <v>Satucesa Europa, S.L.U.</v>
          </cell>
          <cell r="B2191">
            <v>0</v>
          </cell>
        </row>
        <row r="2192">
          <cell r="A2192" t="str">
            <v>Satyam Graphics</v>
          </cell>
          <cell r="B2192">
            <v>0</v>
          </cell>
        </row>
        <row r="2193">
          <cell r="A2193" t="str">
            <v>Satyam Impex-Gujarat</v>
          </cell>
          <cell r="B2193">
            <v>0</v>
          </cell>
        </row>
        <row r="2194">
          <cell r="A2194" t="str">
            <v>Satyam Polymers</v>
          </cell>
          <cell r="B2194">
            <v>0</v>
          </cell>
        </row>
        <row r="2195">
          <cell r="A2195" t="str">
            <v>Satyam Stationery Mart</v>
          </cell>
          <cell r="B2195">
            <v>-6136</v>
          </cell>
        </row>
        <row r="2196">
          <cell r="A2196" t="str">
            <v>Satyanarayan Rubber And Plastic Industries</v>
          </cell>
          <cell r="B2196">
            <v>0</v>
          </cell>
        </row>
        <row r="2197">
          <cell r="A2197" t="str">
            <v>Satyen Chatterjee</v>
          </cell>
          <cell r="B2197">
            <v>0</v>
          </cell>
        </row>
        <row r="2198">
          <cell r="A2198" t="str">
            <v>Satyendra Masterbatch Private Limited</v>
          </cell>
          <cell r="B2198">
            <v>-43660</v>
          </cell>
        </row>
        <row r="2199">
          <cell r="A2199" t="str">
            <v>Saurabh Enterprise</v>
          </cell>
          <cell r="B2199">
            <v>-20061.080000000002</v>
          </cell>
        </row>
        <row r="2200">
          <cell r="A2200" t="str">
            <v>Savvy Inc.</v>
          </cell>
          <cell r="B2200">
            <v>-4864.6000000000004</v>
          </cell>
        </row>
        <row r="2201">
          <cell r="A2201" t="str">
            <v>Savya Impex</v>
          </cell>
          <cell r="B2201">
            <v>0</v>
          </cell>
        </row>
        <row r="2202">
          <cell r="A2202" t="str">
            <v>Sayona Engineers</v>
          </cell>
          <cell r="B2202">
            <v>0</v>
          </cell>
        </row>
        <row r="2203">
          <cell r="A2203" t="str">
            <v>Sb Overseas</v>
          </cell>
          <cell r="B2203">
            <v>0</v>
          </cell>
        </row>
        <row r="2204">
          <cell r="A2204" t="str">
            <v>SBI DL FCNRB A/C No.39234544301</v>
          </cell>
          <cell r="B2204">
            <v>0</v>
          </cell>
        </row>
        <row r="2205">
          <cell r="A2205" t="str">
            <v>SBI DL FCNRB A/C No.39679410224</v>
          </cell>
          <cell r="B2205">
            <v>0</v>
          </cell>
        </row>
        <row r="2206">
          <cell r="A2206" t="str">
            <v>Sbi General Insurance Co. Ltd.</v>
          </cell>
          <cell r="B2206">
            <v>63188</v>
          </cell>
        </row>
        <row r="2207">
          <cell r="A2207" t="str">
            <v>Sbi Term Loan A/C 45031107910</v>
          </cell>
          <cell r="B2207">
            <v>-127523944</v>
          </cell>
        </row>
        <row r="2208">
          <cell r="A2208" t="str">
            <v>Scanning Head - H620 Wm</v>
          </cell>
          <cell r="B2208">
            <v>171000</v>
          </cell>
        </row>
        <row r="2209">
          <cell r="A2209" t="str">
            <v>Schmetz India Pvt Ltd</v>
          </cell>
          <cell r="B2209">
            <v>0.48</v>
          </cell>
        </row>
        <row r="2210">
          <cell r="A2210" t="str">
            <v>Screw Barrel Dia 85 Mm</v>
          </cell>
          <cell r="B2210">
            <v>140000</v>
          </cell>
        </row>
        <row r="2211">
          <cell r="A2211" t="str">
            <v>Scrubber Cum Dryer  Machine</v>
          </cell>
          <cell r="B2211">
            <v>90000</v>
          </cell>
        </row>
        <row r="2212">
          <cell r="A2212" t="str">
            <v>Sea Marine Logistics Pvt Ltd</v>
          </cell>
          <cell r="B2212">
            <v>-0.4</v>
          </cell>
        </row>
        <row r="2213">
          <cell r="A2213" t="str">
            <v>Seabox Shipping &amp; Logistics Pvt Ltd</v>
          </cell>
          <cell r="B2213">
            <v>-28368.880000000001</v>
          </cell>
        </row>
        <row r="2214">
          <cell r="A2214" t="str">
            <v>Seabridge Marine Agencies Pvt Ltd</v>
          </cell>
          <cell r="B2214">
            <v>0</v>
          </cell>
        </row>
        <row r="2215">
          <cell r="A2215" t="str">
            <v>Seal Pack Industries</v>
          </cell>
          <cell r="B2215">
            <v>7523</v>
          </cell>
        </row>
        <row r="2216">
          <cell r="A2216" t="str">
            <v>Secuirty Deposit - Reliance Communication</v>
          </cell>
          <cell r="B2216">
            <v>11000</v>
          </cell>
        </row>
        <row r="2217">
          <cell r="A2217" t="str">
            <v>Security &amp; Deposits Paid</v>
          </cell>
          <cell r="B2217">
            <v>66000</v>
          </cell>
        </row>
        <row r="2218">
          <cell r="A2218" t="str">
            <v>Security Deposit - Bsnl Broadband</v>
          </cell>
          <cell r="B2218">
            <v>8000</v>
          </cell>
        </row>
        <row r="2219">
          <cell r="A2219" t="str">
            <v>Security Deposit - Cost of High Court For Royal Sundaram</v>
          </cell>
          <cell r="B2219">
            <v>82</v>
          </cell>
        </row>
        <row r="2220">
          <cell r="A2220" t="str">
            <v>Security Deposit - Electricity</v>
          </cell>
          <cell r="B2220">
            <v>53600</v>
          </cell>
        </row>
        <row r="2221">
          <cell r="A2221" t="str">
            <v>Security Deposit - Excle Markeing Gas</v>
          </cell>
          <cell r="B2221">
            <v>15500</v>
          </cell>
        </row>
        <row r="2222">
          <cell r="A2222" t="str">
            <v>Security Deposit - G.W.S.S.B.</v>
          </cell>
          <cell r="B2222">
            <v>1723536</v>
          </cell>
        </row>
        <row r="2223">
          <cell r="A2223" t="str">
            <v>Security Deposit - Gas</v>
          </cell>
          <cell r="B2223">
            <v>7200</v>
          </cell>
        </row>
        <row r="2224">
          <cell r="A2224" t="str">
            <v>Security Deposit - Industrial Gases &amp; Welding Equip</v>
          </cell>
          <cell r="B2224">
            <v>4000</v>
          </cell>
        </row>
        <row r="2225">
          <cell r="A2225" t="str">
            <v>Security Deposit - Lsure Services</v>
          </cell>
          <cell r="B2225">
            <v>6529240</v>
          </cell>
        </row>
        <row r="2226">
          <cell r="A2226" t="str">
            <v>Security Deposit - PGVCL</v>
          </cell>
          <cell r="B2226">
            <v>4931821</v>
          </cell>
        </row>
        <row r="2227">
          <cell r="A2227" t="str">
            <v>Security Deposit - Pitmans Gas &amp; Appliances</v>
          </cell>
          <cell r="B2227">
            <v>7772</v>
          </cell>
        </row>
        <row r="2228">
          <cell r="A2228" t="str">
            <v>Security Deposit - Tata Indicomm Broadband</v>
          </cell>
          <cell r="B2228">
            <v>1000</v>
          </cell>
        </row>
        <row r="2229">
          <cell r="A2229" t="str">
            <v>Security Deposit - Telephone</v>
          </cell>
          <cell r="B2229">
            <v>11184</v>
          </cell>
        </row>
        <row r="2230">
          <cell r="A2230" t="str">
            <v>Security Deposit - UGVCL</v>
          </cell>
          <cell r="B2230">
            <v>0</v>
          </cell>
        </row>
        <row r="2231">
          <cell r="A2231" t="str">
            <v>Security Deposit -Indian Farmers Fertiliser Co Ltd.</v>
          </cell>
          <cell r="B2231">
            <v>50000</v>
          </cell>
        </row>
        <row r="2232">
          <cell r="A2232" t="str">
            <v>Security deposit- Electricity- Maljibhai S Rabari</v>
          </cell>
          <cell r="B2232">
            <v>17933</v>
          </cell>
        </row>
        <row r="2233">
          <cell r="A2233" t="str">
            <v>Security deposit- House Rent- Maljibhai S Rabari</v>
          </cell>
          <cell r="B2233">
            <v>104000</v>
          </cell>
        </row>
        <row r="2234">
          <cell r="A2234" t="str">
            <v>Security deposit- House Rent-Desai Jitendrakumar Ganesh</v>
          </cell>
          <cell r="B2234">
            <v>30000</v>
          </cell>
        </row>
        <row r="2235">
          <cell r="A2235" t="str">
            <v>Security deposit- Rent</v>
          </cell>
          <cell r="B2235">
            <v>365864</v>
          </cell>
        </row>
        <row r="2236">
          <cell r="A2236" t="str">
            <v>Security Equipment</v>
          </cell>
          <cell r="B2236">
            <v>10660</v>
          </cell>
        </row>
        <row r="2237">
          <cell r="A2237" t="str">
            <v>Security Expenses</v>
          </cell>
          <cell r="B2237">
            <v>1298924</v>
          </cell>
        </row>
        <row r="2238">
          <cell r="A2238" t="str">
            <v>Senegalaise Des Phosphates De Thies</v>
          </cell>
          <cell r="B2238">
            <v>0</v>
          </cell>
        </row>
        <row r="2239">
          <cell r="A2239" t="str">
            <v>Sensation Pest Control Services</v>
          </cell>
          <cell r="B2239">
            <v>-60347.56</v>
          </cell>
        </row>
        <row r="2240">
          <cell r="A2240" t="str">
            <v>Serra Sacos Y Gestion Sl</v>
          </cell>
          <cell r="B2240">
            <v>0</v>
          </cell>
        </row>
        <row r="2241">
          <cell r="A2241" t="str">
            <v>Service Tax Liability A/c</v>
          </cell>
          <cell r="B2241">
            <v>11321</v>
          </cell>
        </row>
        <row r="2242">
          <cell r="A2242" t="str">
            <v>Setu Polymers</v>
          </cell>
          <cell r="B2242">
            <v>-3000</v>
          </cell>
        </row>
        <row r="2243">
          <cell r="A2243" t="str">
            <v>Sewage Treatment Plant</v>
          </cell>
          <cell r="B2243">
            <v>2500417.08</v>
          </cell>
        </row>
        <row r="2244">
          <cell r="A2244" t="str">
            <v>SGS India Pvt Ltd</v>
          </cell>
          <cell r="B2244">
            <v>0</v>
          </cell>
        </row>
        <row r="2245">
          <cell r="A2245" t="str">
            <v>SGST Input</v>
          </cell>
          <cell r="B2245">
            <v>32357184.329999998</v>
          </cell>
        </row>
        <row r="2246">
          <cell r="A2246" t="str">
            <v>SGST Output A/c</v>
          </cell>
          <cell r="B2246">
            <v>-20910513.52</v>
          </cell>
        </row>
        <row r="2247">
          <cell r="A2247" t="str">
            <v>Shaans Cargo Pvt.Ltd.</v>
          </cell>
          <cell r="B2247">
            <v>0</v>
          </cell>
        </row>
        <row r="2248">
          <cell r="A2248" t="str">
            <v>Shah Corporation (24AFQPS0007Q1Z1)</v>
          </cell>
          <cell r="B2248">
            <v>-1965</v>
          </cell>
        </row>
        <row r="2249">
          <cell r="A2249" t="str">
            <v>Shah Industries - 24ABDHS7088C1Z1</v>
          </cell>
          <cell r="B2249">
            <v>-22050.5</v>
          </cell>
        </row>
        <row r="2250">
          <cell r="A2250" t="str">
            <v>Shah Sewing Machine Co.</v>
          </cell>
          <cell r="B2250">
            <v>-2047</v>
          </cell>
        </row>
        <row r="2251">
          <cell r="A2251" t="str">
            <v>Shah Sewing Machine Company - 24AFWFS0831G1ZT</v>
          </cell>
          <cell r="B2251">
            <v>-3015</v>
          </cell>
        </row>
        <row r="2252">
          <cell r="A2252" t="str">
            <v>Shakti Machine Tools</v>
          </cell>
          <cell r="B2252">
            <v>0</v>
          </cell>
        </row>
        <row r="2253">
          <cell r="A2253" t="str">
            <v>Shakti Polyplast</v>
          </cell>
          <cell r="B2253">
            <v>-63800</v>
          </cell>
        </row>
        <row r="2254">
          <cell r="A2254" t="str">
            <v>Shal Engineering Supplies</v>
          </cell>
          <cell r="B2254">
            <v>0</v>
          </cell>
        </row>
        <row r="2255">
          <cell r="A2255" t="str">
            <v>Sham Construction</v>
          </cell>
          <cell r="B2255">
            <v>-218</v>
          </cell>
        </row>
        <row r="2256">
          <cell r="A2256" t="str">
            <v>Shamla Raiyabhai Lamka</v>
          </cell>
          <cell r="B2256">
            <v>-4136</v>
          </cell>
        </row>
        <row r="2257">
          <cell r="A2257" t="str">
            <v>Shanghai Vision Consulting Co Ltd</v>
          </cell>
          <cell r="B2257">
            <v>77345.119999999995</v>
          </cell>
        </row>
        <row r="2258">
          <cell r="A2258" t="str">
            <v>Shanghai Zhaohui Pressure Apparatus Co Ltd</v>
          </cell>
          <cell r="B2258">
            <v>0</v>
          </cell>
        </row>
        <row r="2259">
          <cell r="A2259" t="str">
            <v>Shanti Service</v>
          </cell>
          <cell r="B2259">
            <v>68</v>
          </cell>
        </row>
        <row r="2260">
          <cell r="A2260" t="str">
            <v>Shantiben Kiranbhai Khatariya</v>
          </cell>
          <cell r="B2260">
            <v>0</v>
          </cell>
        </row>
        <row r="2261">
          <cell r="A2261" t="str">
            <v>Sharaswati Enterprise</v>
          </cell>
          <cell r="B2261">
            <v>0</v>
          </cell>
        </row>
        <row r="2262">
          <cell r="A2262" t="str">
            <v>Share Premium</v>
          </cell>
          <cell r="B2262">
            <v>-454411475</v>
          </cell>
        </row>
        <row r="2263">
          <cell r="A2263" t="str">
            <v>Share Premium Ordinary Shares Class A</v>
          </cell>
          <cell r="B2263">
            <v>-2900000</v>
          </cell>
        </row>
        <row r="2264">
          <cell r="A2264" t="str">
            <v>Sharma Roadlines</v>
          </cell>
          <cell r="B2264">
            <v>0</v>
          </cell>
        </row>
        <row r="2265">
          <cell r="A2265" t="str">
            <v>Sharwajeet Commercial Pvt Ltd</v>
          </cell>
          <cell r="B2265">
            <v>11361.16</v>
          </cell>
        </row>
        <row r="2266">
          <cell r="A2266" t="str">
            <v>Shashi Dhawal Hydraulics Pvt Ltd</v>
          </cell>
          <cell r="B2266">
            <v>-0.4</v>
          </cell>
        </row>
        <row r="2267">
          <cell r="A2267" t="str">
            <v>Shashibala Sagar</v>
          </cell>
          <cell r="B2267">
            <v>0</v>
          </cell>
        </row>
        <row r="2268">
          <cell r="A2268" t="str">
            <v>Shaz Packaging Llp</v>
          </cell>
          <cell r="B2268">
            <v>0</v>
          </cell>
        </row>
        <row r="2269">
          <cell r="A2269" t="str">
            <v>Sheetal Engineering Services</v>
          </cell>
          <cell r="B2269">
            <v>-185396.73</v>
          </cell>
        </row>
        <row r="2270">
          <cell r="A2270" t="str">
            <v>Sheetal Enterprises</v>
          </cell>
          <cell r="B2270">
            <v>-42120</v>
          </cell>
        </row>
        <row r="2271">
          <cell r="A2271" t="str">
            <v>Shenzhen Jitao Technology Co., Ltd</v>
          </cell>
          <cell r="B2271">
            <v>-4.57</v>
          </cell>
        </row>
        <row r="2272">
          <cell r="A2272" t="str">
            <v>Sheth Ashishkumar Vadilal</v>
          </cell>
          <cell r="B2272">
            <v>1610277</v>
          </cell>
        </row>
        <row r="2273">
          <cell r="A2273" t="str">
            <v>Sheth Enterprise</v>
          </cell>
          <cell r="B2273">
            <v>0</v>
          </cell>
        </row>
        <row r="2274">
          <cell r="A2274" t="str">
            <v>Shikharji Polymers - Purchase</v>
          </cell>
          <cell r="B2274">
            <v>1428076.5</v>
          </cell>
        </row>
        <row r="2275">
          <cell r="A2275" t="str">
            <v>Shikharji Polymers - Sales</v>
          </cell>
          <cell r="B2275">
            <v>1000.77</v>
          </cell>
        </row>
        <row r="2276">
          <cell r="A2276" t="str">
            <v>Shil Technologies Pvt Ltd</v>
          </cell>
          <cell r="B2276">
            <v>-2346.2399999999998</v>
          </cell>
        </row>
        <row r="2277">
          <cell r="A2277" t="str">
            <v>Shine Engineering</v>
          </cell>
          <cell r="B2277">
            <v>7705061.3700000001</v>
          </cell>
        </row>
        <row r="2278">
          <cell r="A2278" t="str">
            <v>Shinhan Bank</v>
          </cell>
          <cell r="B2278">
            <v>3061.42</v>
          </cell>
        </row>
        <row r="2279">
          <cell r="A2279" t="str">
            <v>Shinhan Bank - 27AAACC2144A1ZF</v>
          </cell>
          <cell r="B2279">
            <v>0</v>
          </cell>
        </row>
        <row r="2280">
          <cell r="A2280" t="str">
            <v>Shini Plastics Technologies India Pvt Ltd</v>
          </cell>
          <cell r="B2280">
            <v>7.0000000000000007E-2</v>
          </cell>
        </row>
        <row r="2281">
          <cell r="A2281" t="str">
            <v>Shiv Enterprise - 24CNIPS9979P1ZL</v>
          </cell>
          <cell r="B2281">
            <v>0</v>
          </cell>
        </row>
        <row r="2282">
          <cell r="A2282" t="str">
            <v>Shiv Industrial Products</v>
          </cell>
          <cell r="B2282">
            <v>-10620</v>
          </cell>
        </row>
        <row r="2283">
          <cell r="A2283" t="str">
            <v>Shiv Industries &amp; Polymer</v>
          </cell>
          <cell r="B2283">
            <v>27258</v>
          </cell>
        </row>
        <row r="2284">
          <cell r="A2284" t="str">
            <v>Shiv Plastic - 24ACXFS2019L1ZN</v>
          </cell>
          <cell r="B2284">
            <v>0</v>
          </cell>
        </row>
        <row r="2285">
          <cell r="A2285" t="str">
            <v>Shiv Sai Polymers</v>
          </cell>
          <cell r="B2285">
            <v>0</v>
          </cell>
        </row>
        <row r="2286">
          <cell r="A2286" t="str">
            <v>Shiv Shakti Enterprise</v>
          </cell>
          <cell r="B2286">
            <v>-320565.09999999998</v>
          </cell>
        </row>
        <row r="2287">
          <cell r="A2287" t="str">
            <v>Shiv Shakti Rubtech</v>
          </cell>
          <cell r="B2287">
            <v>0</v>
          </cell>
        </row>
        <row r="2288">
          <cell r="A2288" t="str">
            <v>Shivam Enterprise - 24ABSFS6360C1Z1</v>
          </cell>
          <cell r="B2288">
            <v>0</v>
          </cell>
        </row>
        <row r="2289">
          <cell r="A2289" t="str">
            <v>Shivam Logistic</v>
          </cell>
          <cell r="B2289">
            <v>-20520</v>
          </cell>
        </row>
        <row r="2290">
          <cell r="A2290" t="str">
            <v>Shivam Traders - Sales (24AGUPS9760R1ZZ)</v>
          </cell>
          <cell r="B2290">
            <v>-499999.79</v>
          </cell>
        </row>
        <row r="2291">
          <cell r="A2291" t="str">
            <v>Shivraj Singh Yadav</v>
          </cell>
          <cell r="B2291">
            <v>270000</v>
          </cell>
        </row>
        <row r="2292">
          <cell r="A2292" t="str">
            <v>Shivshankar Gulabbhai Prajapati</v>
          </cell>
          <cell r="B2292">
            <v>-988</v>
          </cell>
        </row>
        <row r="2293">
          <cell r="A2293" t="str">
            <v>Shraddha Impex - Purchase</v>
          </cell>
          <cell r="B2293">
            <v>93015</v>
          </cell>
        </row>
        <row r="2294">
          <cell r="A2294" t="str">
            <v>Shree Ambica Sales Corporation</v>
          </cell>
          <cell r="B2294">
            <v>-19852</v>
          </cell>
        </row>
        <row r="2295">
          <cell r="A2295" t="str">
            <v>Shree Balaad Handling Works</v>
          </cell>
          <cell r="B2295">
            <v>-0.6</v>
          </cell>
        </row>
        <row r="2296">
          <cell r="A2296" t="str">
            <v>Shree Balaji Enterprises</v>
          </cell>
          <cell r="B2296">
            <v>0.4</v>
          </cell>
        </row>
        <row r="2297">
          <cell r="A2297" t="str">
            <v>Shree Brhm Corporation.</v>
          </cell>
          <cell r="B2297">
            <v>-247490</v>
          </cell>
        </row>
        <row r="2298">
          <cell r="A2298" t="str">
            <v>Shree Engineers</v>
          </cell>
          <cell r="B2298">
            <v>0</v>
          </cell>
        </row>
        <row r="2299">
          <cell r="A2299" t="str">
            <v>Shree Fire Engineers</v>
          </cell>
          <cell r="B2299">
            <v>-12332</v>
          </cell>
        </row>
        <row r="2300">
          <cell r="A2300" t="str">
            <v>Shree Ganesh Associates</v>
          </cell>
          <cell r="B2300">
            <v>0</v>
          </cell>
        </row>
        <row r="2301">
          <cell r="A2301" t="str">
            <v>Shree Ganesh Stereo</v>
          </cell>
          <cell r="B2301">
            <v>-68217</v>
          </cell>
        </row>
        <row r="2302">
          <cell r="A2302" t="str">
            <v>Shree Goods Carriers</v>
          </cell>
          <cell r="B2302">
            <v>0</v>
          </cell>
        </row>
        <row r="2303">
          <cell r="A2303" t="str">
            <v>Shree Industries</v>
          </cell>
          <cell r="B2303">
            <v>-17068.7</v>
          </cell>
        </row>
        <row r="2304">
          <cell r="A2304" t="str">
            <v>Shree Jalaram Chem Trade</v>
          </cell>
          <cell r="B2304">
            <v>0</v>
          </cell>
        </row>
        <row r="2305">
          <cell r="A2305" t="str">
            <v>Shree Kdk Enterprise</v>
          </cell>
          <cell r="B2305">
            <v>-17583</v>
          </cell>
        </row>
        <row r="2306">
          <cell r="A2306" t="str">
            <v>Shree Krishna Enterprise 24APUPH0380P1ZD</v>
          </cell>
          <cell r="B2306">
            <v>0</v>
          </cell>
        </row>
        <row r="2307">
          <cell r="A2307" t="str">
            <v>Shree Krishna Rubbers</v>
          </cell>
          <cell r="B2307">
            <v>-0.3</v>
          </cell>
        </row>
        <row r="2308">
          <cell r="A2308" t="str">
            <v>Shree Krishna Transformers</v>
          </cell>
          <cell r="B2308">
            <v>0</v>
          </cell>
        </row>
        <row r="2309">
          <cell r="A2309" t="str">
            <v>Shree Krishnam Rubtech LLP</v>
          </cell>
          <cell r="B2309">
            <v>-83520</v>
          </cell>
        </row>
        <row r="2310">
          <cell r="A2310" t="str">
            <v>Shree Maruti Integrated Logistics Limited 24AABCM9407D1ZS</v>
          </cell>
          <cell r="B2310">
            <v>-1679</v>
          </cell>
        </row>
        <row r="2311">
          <cell r="A2311" t="str">
            <v>Shree Maruti Spring And Engineers</v>
          </cell>
          <cell r="B2311">
            <v>-1770</v>
          </cell>
        </row>
        <row r="2312">
          <cell r="A2312" t="str">
            <v>Shree Meter &amp; Heater</v>
          </cell>
          <cell r="B2312">
            <v>-89856</v>
          </cell>
        </row>
        <row r="2313">
          <cell r="A2313" t="str">
            <v>Shree Nakodaji Computerised Weigh-Bridge- DJEPP2502L</v>
          </cell>
          <cell r="B2313">
            <v>-2000</v>
          </cell>
        </row>
        <row r="2314">
          <cell r="A2314" t="str">
            <v>Shree Nilkanth Polytex</v>
          </cell>
          <cell r="B2314">
            <v>-118828.46</v>
          </cell>
        </row>
        <row r="2315">
          <cell r="A2315" t="str">
            <v>Shree Pardarshak Polypack - Sales</v>
          </cell>
          <cell r="B2315">
            <v>8814.15</v>
          </cell>
        </row>
        <row r="2316">
          <cell r="A2316" t="str">
            <v>Shree Prem Industries</v>
          </cell>
          <cell r="B2316">
            <v>0</v>
          </cell>
        </row>
        <row r="2317">
          <cell r="A2317" t="str">
            <v>Shree Rajasthan Syntex Limited</v>
          </cell>
          <cell r="B2317">
            <v>-8889</v>
          </cell>
        </row>
        <row r="2318">
          <cell r="A2318" t="str">
            <v>Shree Ram Enterprise - Ahmedabad</v>
          </cell>
          <cell r="B2318">
            <v>0</v>
          </cell>
        </row>
        <row r="2319">
          <cell r="A2319" t="str">
            <v>Shree Ram Motor Rewinding</v>
          </cell>
          <cell r="B2319">
            <v>-1495</v>
          </cell>
        </row>
        <row r="2320">
          <cell r="A2320" t="str">
            <v>Shree Ram Occupational Health Center &amp; Service</v>
          </cell>
          <cell r="B2320">
            <v>0</v>
          </cell>
        </row>
        <row r="2321">
          <cell r="A2321" t="str">
            <v>Shree Rang Packaging</v>
          </cell>
          <cell r="B2321">
            <v>-93233</v>
          </cell>
        </row>
        <row r="2322">
          <cell r="A2322" t="str">
            <v>Shree Royal Polyplast Industries</v>
          </cell>
          <cell r="B2322">
            <v>-8508</v>
          </cell>
        </row>
        <row r="2323">
          <cell r="A2323" t="str">
            <v>Shree Saibaba Petroleum</v>
          </cell>
          <cell r="B2323">
            <v>8877120.4800000004</v>
          </cell>
        </row>
        <row r="2324">
          <cell r="A2324" t="str">
            <v>Shree Salareshwar Wood Packers Private Limited.</v>
          </cell>
          <cell r="B2324">
            <v>-1077888.75</v>
          </cell>
        </row>
        <row r="2325">
          <cell r="A2325" t="str">
            <v>Shree Shakti Electric Works</v>
          </cell>
          <cell r="B2325">
            <v>-348.76</v>
          </cell>
        </row>
        <row r="2326">
          <cell r="A2326" t="str">
            <v>Shree Shakti Industries</v>
          </cell>
          <cell r="B2326">
            <v>0</v>
          </cell>
        </row>
        <row r="2327">
          <cell r="A2327" t="str">
            <v>Shree Sharda Impex</v>
          </cell>
          <cell r="B2327">
            <v>-12508</v>
          </cell>
        </row>
        <row r="2328">
          <cell r="A2328" t="str">
            <v>Shree Tex</v>
          </cell>
          <cell r="B2328">
            <v>-5916</v>
          </cell>
        </row>
        <row r="2329">
          <cell r="A2329" t="str">
            <v>Shree Umiya Engineering</v>
          </cell>
          <cell r="B2329">
            <v>0</v>
          </cell>
        </row>
        <row r="2330">
          <cell r="A2330" t="str">
            <v>Shree Valinath Engineering</v>
          </cell>
          <cell r="B2330">
            <v>133965</v>
          </cell>
        </row>
        <row r="2331">
          <cell r="A2331" t="str">
            <v>Shree Vinayak Consol Llp</v>
          </cell>
          <cell r="B2331">
            <v>0</v>
          </cell>
        </row>
        <row r="2332">
          <cell r="A2332" t="str">
            <v>Shreeji Carbonic Gases</v>
          </cell>
          <cell r="B2332">
            <v>0</v>
          </cell>
        </row>
        <row r="2333">
          <cell r="A2333" t="str">
            <v>Shreeji Courier &amp; Cargo Service</v>
          </cell>
          <cell r="B2333">
            <v>-7.72</v>
          </cell>
        </row>
        <row r="2334">
          <cell r="A2334" t="str">
            <v>Shreeji Machine</v>
          </cell>
          <cell r="B2334">
            <v>-85500</v>
          </cell>
        </row>
        <row r="2335">
          <cell r="A2335" t="str">
            <v>Shreeji Marketing Corporation</v>
          </cell>
          <cell r="B2335">
            <v>2059.58</v>
          </cell>
        </row>
        <row r="2336">
          <cell r="A2336" t="str">
            <v>Shreeji Sales And Service</v>
          </cell>
          <cell r="B2336">
            <v>0</v>
          </cell>
        </row>
        <row r="2337">
          <cell r="A2337" t="str">
            <v>Shreeji Tech Engineering</v>
          </cell>
          <cell r="B2337">
            <v>-1534</v>
          </cell>
        </row>
        <row r="2338">
          <cell r="A2338" t="str">
            <v>Shreena Roadways</v>
          </cell>
          <cell r="B2338">
            <v>-1560</v>
          </cell>
        </row>
        <row r="2339">
          <cell r="A2339" t="str">
            <v>Shrey Logistics</v>
          </cell>
          <cell r="B2339">
            <v>0</v>
          </cell>
        </row>
        <row r="2340">
          <cell r="A2340" t="str">
            <v>Shreya Micro Plast Pvt Ltd</v>
          </cell>
          <cell r="B2340">
            <v>7218034.9400000004</v>
          </cell>
        </row>
        <row r="2341">
          <cell r="A2341" t="str">
            <v>Shri Balaji Handling Equipments Industry</v>
          </cell>
          <cell r="B2341">
            <v>-48000</v>
          </cell>
        </row>
        <row r="2342">
          <cell r="A2342" t="str">
            <v>Shri Lalshah Papers Pvt Ltd</v>
          </cell>
          <cell r="B2342">
            <v>1211.77</v>
          </cell>
        </row>
        <row r="2343">
          <cell r="A2343" t="str">
            <v>Shri Nakoda Transmission &amp; Electric Co.</v>
          </cell>
          <cell r="B2343">
            <v>-627601</v>
          </cell>
        </row>
        <row r="2344">
          <cell r="A2344" t="str">
            <v>Shri Narayan Enterprise</v>
          </cell>
          <cell r="B2344">
            <v>0</v>
          </cell>
        </row>
        <row r="2345">
          <cell r="A2345" t="str">
            <v>Shri Parmeshwar Granite And Marble</v>
          </cell>
          <cell r="B2345">
            <v>-3926</v>
          </cell>
        </row>
        <row r="2346">
          <cell r="A2346" t="str">
            <v>Shri Shakti Enterprises</v>
          </cell>
          <cell r="B2346">
            <v>0</v>
          </cell>
        </row>
        <row r="2347">
          <cell r="A2347" t="str">
            <v>Shri Shiv Shakti Cargo Movers</v>
          </cell>
          <cell r="B2347">
            <v>-7605</v>
          </cell>
        </row>
        <row r="2348">
          <cell r="A2348" t="str">
            <v>Shri Siddheshwari Hydraulic</v>
          </cell>
          <cell r="B2348">
            <v>-2254</v>
          </cell>
        </row>
        <row r="2349">
          <cell r="A2349" t="str">
            <v>Shri Tirupati Industries</v>
          </cell>
          <cell r="B2349">
            <v>525618</v>
          </cell>
        </row>
        <row r="2350">
          <cell r="A2350" t="str">
            <v>Shribalaji Additives Private Limited</v>
          </cell>
          <cell r="B2350">
            <v>0</v>
          </cell>
        </row>
        <row r="2351">
          <cell r="A2351" t="str">
            <v>Shrinath Adhesive Product Pvt.Ltd.</v>
          </cell>
          <cell r="B2351">
            <v>-42244</v>
          </cell>
        </row>
        <row r="2352">
          <cell r="A2352" t="str">
            <v>Shrink Wrapping Machine</v>
          </cell>
          <cell r="B2352">
            <v>206000</v>
          </cell>
        </row>
        <row r="2353">
          <cell r="A2353" t="str">
            <v>Shriram General Insurance Company Limited</v>
          </cell>
          <cell r="B2353">
            <v>2.58</v>
          </cell>
        </row>
        <row r="2354">
          <cell r="A2354" t="str">
            <v>Shubh Engineering</v>
          </cell>
          <cell r="B2354">
            <v>-8968</v>
          </cell>
        </row>
        <row r="2355">
          <cell r="A2355" t="str">
            <v>Shubh Polyfab Pvt Ltd</v>
          </cell>
          <cell r="B2355">
            <v>-234514</v>
          </cell>
        </row>
        <row r="2356">
          <cell r="A2356" t="str">
            <v>Shubham Polyvinyl</v>
          </cell>
          <cell r="B2356">
            <v>0</v>
          </cell>
        </row>
        <row r="2357">
          <cell r="A2357" t="str">
            <v>Shyam Apparels</v>
          </cell>
          <cell r="B2357">
            <v>-29526</v>
          </cell>
        </row>
        <row r="2358">
          <cell r="A2358" t="str">
            <v>Shyam Arora</v>
          </cell>
          <cell r="B2358">
            <v>735000</v>
          </cell>
        </row>
        <row r="2359">
          <cell r="A2359" t="str">
            <v>Shyam Plastic Services</v>
          </cell>
          <cell r="B2359">
            <v>21013195</v>
          </cell>
        </row>
        <row r="2360">
          <cell r="A2360" t="str">
            <v>Shyam Shipping Services - 24BNVPS6390A1ZL</v>
          </cell>
          <cell r="B2360">
            <v>0</v>
          </cell>
        </row>
        <row r="2361">
          <cell r="A2361" t="str">
            <v>Shyam Vandan Enterprises Llp</v>
          </cell>
          <cell r="B2361">
            <v>-6146.4</v>
          </cell>
        </row>
        <row r="2362">
          <cell r="A2362" t="str">
            <v>SIDBI - 24AABCS3480N2Z3</v>
          </cell>
          <cell r="B2362">
            <v>450000</v>
          </cell>
        </row>
        <row r="2363">
          <cell r="A2363" t="str">
            <v>Siddharth Chem Industries LLP</v>
          </cell>
          <cell r="B2363">
            <v>0</v>
          </cell>
        </row>
        <row r="2364">
          <cell r="A2364" t="str">
            <v>Siddheshwar Enterprise</v>
          </cell>
          <cell r="B2364">
            <v>-15080</v>
          </cell>
        </row>
        <row r="2365">
          <cell r="A2365" t="str">
            <v>Siddheshwar Filaments</v>
          </cell>
          <cell r="B2365">
            <v>5713</v>
          </cell>
        </row>
        <row r="2366">
          <cell r="A2366" t="str">
            <v>Siddheshwari Industries</v>
          </cell>
          <cell r="B2366">
            <v>0</v>
          </cell>
        </row>
        <row r="2367">
          <cell r="A2367" t="str">
            <v>Siddhivinayak Krupa</v>
          </cell>
          <cell r="B2367">
            <v>0</v>
          </cell>
        </row>
        <row r="2368">
          <cell r="A2368" t="str">
            <v>Siemens Financial Services Pvt. Ltd - Loan</v>
          </cell>
          <cell r="B2368">
            <v>0</v>
          </cell>
        </row>
        <row r="2369">
          <cell r="A2369" t="str">
            <v>Sigma Air Source</v>
          </cell>
          <cell r="B2369">
            <v>-17467.34</v>
          </cell>
        </row>
        <row r="2370">
          <cell r="A2370" t="str">
            <v>Sigma Enterprise</v>
          </cell>
          <cell r="B2370">
            <v>0</v>
          </cell>
        </row>
        <row r="2371">
          <cell r="A2371" t="str">
            <v>Sikotar Roadways</v>
          </cell>
          <cell r="B2371">
            <v>0</v>
          </cell>
        </row>
        <row r="2372">
          <cell r="A2372" t="str">
            <v>Sikotar Traders</v>
          </cell>
          <cell r="B2372">
            <v>0</v>
          </cell>
        </row>
        <row r="2373">
          <cell r="A2373" t="str">
            <v>Simandhar Poly Industries - Unit 2</v>
          </cell>
          <cell r="B2373">
            <v>0</v>
          </cell>
        </row>
        <row r="2374">
          <cell r="A2374" t="str">
            <v>Simandhar Technology</v>
          </cell>
          <cell r="B2374">
            <v>0</v>
          </cell>
        </row>
        <row r="2375">
          <cell r="A2375" t="str">
            <v>Simon Coil &amp; Heat Exchanger</v>
          </cell>
          <cell r="B2375">
            <v>-0.5</v>
          </cell>
        </row>
        <row r="2376">
          <cell r="A2376" t="str">
            <v>Sinopec Chemical Commercial Holding (Hong Kong) Company Limited</v>
          </cell>
          <cell r="B2376">
            <v>1007874</v>
          </cell>
        </row>
        <row r="2377">
          <cell r="A2377" t="str">
            <v>Siriram Filteration &amp; Engg. Co</v>
          </cell>
          <cell r="B2377">
            <v>-10739.18</v>
          </cell>
        </row>
        <row r="2378">
          <cell r="A2378" t="str">
            <v>SKB Shipping And Logistics Private Limited</v>
          </cell>
          <cell r="B2378">
            <v>0</v>
          </cell>
        </row>
        <row r="2379">
          <cell r="A2379" t="str">
            <v>Sky Air Cooler</v>
          </cell>
          <cell r="B2379">
            <v>0</v>
          </cell>
        </row>
        <row r="2380">
          <cell r="A2380" t="str">
            <v>Slitting Machine</v>
          </cell>
          <cell r="B2380">
            <v>4792330</v>
          </cell>
        </row>
        <row r="2381">
          <cell r="A2381" t="str">
            <v>Smarhling Sales Agency</v>
          </cell>
          <cell r="B2381">
            <v>0</v>
          </cell>
        </row>
        <row r="2382">
          <cell r="A2382" t="str">
            <v>Smart Eye Surveillance</v>
          </cell>
          <cell r="B2382">
            <v>-100</v>
          </cell>
        </row>
        <row r="2383">
          <cell r="A2383" t="str">
            <v>Smartchem Technologies Ltd.</v>
          </cell>
          <cell r="B2383">
            <v>0</v>
          </cell>
        </row>
        <row r="2384">
          <cell r="A2384" t="str">
            <v>Smit Enterprise - Gandhidham</v>
          </cell>
          <cell r="B2384">
            <v>-4779</v>
          </cell>
        </row>
        <row r="2385">
          <cell r="A2385" t="str">
            <v>Sml Maschinengesellschaf Mbh</v>
          </cell>
          <cell r="B2385">
            <v>453864.82</v>
          </cell>
        </row>
        <row r="2386">
          <cell r="A2386" t="str">
            <v>Snv Aviation Private Limited_24Abecs9580p1zi</v>
          </cell>
          <cell r="B2386">
            <v>0</v>
          </cell>
        </row>
        <row r="2387">
          <cell r="A2387" t="str">
            <v>SO Bag</v>
          </cell>
          <cell r="B2387">
            <v>-247693.82</v>
          </cell>
        </row>
        <row r="2388">
          <cell r="A2388" t="str">
            <v>Sohan Singh</v>
          </cell>
          <cell r="B2388">
            <v>600000</v>
          </cell>
        </row>
        <row r="2389">
          <cell r="A2389" t="str">
            <v>Sohanlal Shantilal &amp; Brothers</v>
          </cell>
          <cell r="B2389">
            <v>0</v>
          </cell>
        </row>
        <row r="2390">
          <cell r="A2390" t="str">
            <v>Sohar Advanced Chemicals LLC</v>
          </cell>
          <cell r="B2390">
            <v>0</v>
          </cell>
        </row>
        <row r="2391">
          <cell r="A2391" t="str">
            <v>Solanki Poonamram Ambaram</v>
          </cell>
          <cell r="B2391">
            <v>30000</v>
          </cell>
        </row>
        <row r="2392">
          <cell r="A2392" t="str">
            <v>Solar Power Plant &amp; Accessories</v>
          </cell>
          <cell r="B2392">
            <v>200778812.50999999</v>
          </cell>
        </row>
        <row r="2393">
          <cell r="A2393" t="str">
            <v>Solos Polymers Private Limited</v>
          </cell>
          <cell r="B2393">
            <v>0</v>
          </cell>
        </row>
        <row r="2394">
          <cell r="A2394" t="str">
            <v>Soltex Petro Products Limited - Silvassa</v>
          </cell>
          <cell r="B2394">
            <v>83815</v>
          </cell>
        </row>
        <row r="2395">
          <cell r="A2395" t="str">
            <v>Somlo-Zsak Kender-Juta Kft</v>
          </cell>
          <cell r="B2395">
            <v>0</v>
          </cell>
        </row>
        <row r="2396">
          <cell r="A2396" t="str">
            <v>Sonal Industries - Amraiwadi</v>
          </cell>
          <cell r="B2396">
            <v>0</v>
          </cell>
        </row>
        <row r="2397">
          <cell r="A2397" t="str">
            <v>Sourcio Inc</v>
          </cell>
          <cell r="B2397">
            <v>0</v>
          </cell>
        </row>
        <row r="2398">
          <cell r="A2398" t="str">
            <v>South Indian Bank BYD Car Loan No-017965200000727</v>
          </cell>
          <cell r="B2398">
            <v>-1464643</v>
          </cell>
        </row>
        <row r="2399">
          <cell r="A2399" t="str">
            <v>SP Group Global Ltd</v>
          </cell>
          <cell r="B2399">
            <v>0</v>
          </cell>
        </row>
        <row r="2400">
          <cell r="A2400" t="str">
            <v>Spcx Private Limited - Delhi</v>
          </cell>
          <cell r="B2400">
            <v>0</v>
          </cell>
        </row>
        <row r="2401">
          <cell r="A2401" t="str">
            <v>SPCX Private Ltd - Purchase 27ABACS7251D1ZH</v>
          </cell>
          <cell r="B2401">
            <v>-56</v>
          </cell>
        </row>
        <row r="2402">
          <cell r="A2402" t="str">
            <v>Spcx Private Ltd 24ABACS7251D1ZN Guj-Purchase</v>
          </cell>
          <cell r="B2402">
            <v>3930774.4</v>
          </cell>
        </row>
        <row r="2403">
          <cell r="A2403" t="str">
            <v>Spcx Private Ltd Diu 26ABACS7251D1ZJ</v>
          </cell>
          <cell r="B2403">
            <v>-6154380</v>
          </cell>
        </row>
        <row r="2404">
          <cell r="A2404" t="str">
            <v>Spectrum Lubricants Private Limited</v>
          </cell>
          <cell r="B2404">
            <v>-31565.200000000001</v>
          </cell>
        </row>
        <row r="2405">
          <cell r="A2405" t="str">
            <v>Sphatik Network Private Limited</v>
          </cell>
          <cell r="B2405">
            <v>0</v>
          </cell>
        </row>
        <row r="2406">
          <cell r="A2406" t="str">
            <v>Splenzo Polyfab Private Limited</v>
          </cell>
          <cell r="B2406">
            <v>0</v>
          </cell>
        </row>
        <row r="2407">
          <cell r="A2407" t="str">
            <v>Spunweb India Private Limited</v>
          </cell>
          <cell r="B2407">
            <v>29387643.420000002</v>
          </cell>
        </row>
        <row r="2408">
          <cell r="A2408" t="str">
            <v>Spunweb Nonwoven</v>
          </cell>
          <cell r="B2408">
            <v>-30369.8</v>
          </cell>
        </row>
        <row r="2409">
          <cell r="A2409" t="str">
            <v>Spunweb Nonwoven Limited</v>
          </cell>
          <cell r="B2409">
            <v>48254271</v>
          </cell>
        </row>
        <row r="2410">
          <cell r="A2410" t="str">
            <v>Srivasavi Adhesive Tapes Limited - Vadodara</v>
          </cell>
          <cell r="B2410">
            <v>0</v>
          </cell>
        </row>
        <row r="2411">
          <cell r="A2411" t="str">
            <v>Srv Global</v>
          </cell>
          <cell r="B2411">
            <v>3540</v>
          </cell>
        </row>
        <row r="2412">
          <cell r="A2412" t="str">
            <v>St.John Freight Systems Ltd - Gujarat</v>
          </cell>
          <cell r="B2412">
            <v>-2039.44</v>
          </cell>
        </row>
        <row r="2413">
          <cell r="A2413" t="str">
            <v>Staff Advances</v>
          </cell>
          <cell r="B2413">
            <v>457500</v>
          </cell>
        </row>
        <row r="2414">
          <cell r="A2414" t="str">
            <v>Staff Loan</v>
          </cell>
          <cell r="B2414">
            <v>3124151</v>
          </cell>
        </row>
        <row r="2415">
          <cell r="A2415" t="str">
            <v>Staff Welfare Expense</v>
          </cell>
          <cell r="B2415">
            <v>481045</v>
          </cell>
        </row>
        <row r="2416">
          <cell r="A2416" t="str">
            <v>Stamp Duty Expense</v>
          </cell>
          <cell r="B2416">
            <v>376700</v>
          </cell>
        </row>
        <row r="2417">
          <cell r="A2417" t="str">
            <v>Standard Chartered Bank - 24AABCS4681D1ZK</v>
          </cell>
          <cell r="B2417">
            <v>-3540</v>
          </cell>
        </row>
        <row r="2418">
          <cell r="A2418" t="str">
            <v>Standard Chartered Bank - 27AABCS4681D1ZE</v>
          </cell>
          <cell r="B2418">
            <v>0</v>
          </cell>
        </row>
        <row r="2419">
          <cell r="A2419" t="str">
            <v>Star Belting</v>
          </cell>
          <cell r="B2419">
            <v>-12904</v>
          </cell>
        </row>
        <row r="2420">
          <cell r="A2420" t="str">
            <v>Star Conveyors</v>
          </cell>
          <cell r="B2420">
            <v>-40425</v>
          </cell>
        </row>
        <row r="2421">
          <cell r="A2421" t="str">
            <v>Star Tatabas(Staff Bus)</v>
          </cell>
          <cell r="B2421">
            <v>2154376</v>
          </cell>
        </row>
        <row r="2422">
          <cell r="A2422" t="str">
            <v>Starlinger Plastics Machinery (Taicang) Co. Ltd</v>
          </cell>
          <cell r="B2422">
            <v>4717.71</v>
          </cell>
        </row>
        <row r="2423">
          <cell r="A2423" t="str">
            <v>Starlinger Plastics Machinery India Pvt Ltd</v>
          </cell>
          <cell r="B2423">
            <v>0</v>
          </cell>
        </row>
        <row r="2424">
          <cell r="A2424" t="str">
            <v>State Bank Of India (Rent)</v>
          </cell>
          <cell r="B2424">
            <v>46257</v>
          </cell>
        </row>
        <row r="2425">
          <cell r="A2425" t="str">
            <v>State Bank Of India - 24AAACS8577K1ZV</v>
          </cell>
          <cell r="B2425">
            <v>-72043.14</v>
          </cell>
        </row>
        <row r="2426">
          <cell r="A2426" t="str">
            <v>State Bank Of India - 36AAACS8577K1ZQ</v>
          </cell>
          <cell r="B2426">
            <v>-1515.12</v>
          </cell>
        </row>
        <row r="2427">
          <cell r="A2427" t="str">
            <v>Stavian Chemical Joint Stock Company</v>
          </cell>
          <cell r="B2427">
            <v>-268976.27</v>
          </cell>
        </row>
        <row r="2428">
          <cell r="A2428" t="str">
            <v>Sterling Solid Tyres Pvt Ltd</v>
          </cell>
          <cell r="B2428">
            <v>42692.4</v>
          </cell>
        </row>
        <row r="2429">
          <cell r="A2429" t="str">
            <v>Stitching Machine</v>
          </cell>
          <cell r="B2429">
            <v>38667811.649999999</v>
          </cell>
        </row>
        <row r="2430">
          <cell r="A2430" t="str">
            <v>Stitching Machine 602</v>
          </cell>
          <cell r="B2430">
            <v>15000</v>
          </cell>
        </row>
        <row r="2431">
          <cell r="A2431" t="str">
            <v>Stitching Machine DR-FT-ST603</v>
          </cell>
          <cell r="B2431">
            <v>442942</v>
          </cell>
        </row>
        <row r="2432">
          <cell r="A2432" t="str">
            <v>Stitching Machine HD502</v>
          </cell>
          <cell r="B2432">
            <v>3665726</v>
          </cell>
        </row>
        <row r="2433">
          <cell r="A2433" t="str">
            <v>Stitching Machine Model No.St.606</v>
          </cell>
          <cell r="B2433">
            <v>45460</v>
          </cell>
        </row>
        <row r="2434">
          <cell r="A2434" t="str">
            <v>Stitching Machine Model VMC802</v>
          </cell>
          <cell r="B2434">
            <v>122400</v>
          </cell>
        </row>
        <row r="2435">
          <cell r="A2435" t="str">
            <v>Stitching Machine With Table Orsan-4000H</v>
          </cell>
          <cell r="B2435">
            <v>2177268.7999999998</v>
          </cell>
        </row>
        <row r="2436">
          <cell r="A2436" t="str">
            <v>Stock In Hand- Temp Ledger</v>
          </cell>
          <cell r="B2436">
            <v>0</v>
          </cell>
        </row>
        <row r="2437">
          <cell r="A2437" t="str">
            <v>Strapping Machine</v>
          </cell>
          <cell r="B2437">
            <v>57500</v>
          </cell>
        </row>
        <row r="2438">
          <cell r="A2438" t="str">
            <v>Stretch Wrapping Machine</v>
          </cell>
          <cell r="B2438">
            <v>286177</v>
          </cell>
        </row>
        <row r="2439">
          <cell r="A2439" t="str">
            <v>Stroboscope Mxs 1300</v>
          </cell>
          <cell r="B2439">
            <v>39500</v>
          </cell>
        </row>
        <row r="2440">
          <cell r="A2440" t="str">
            <v>Strom International</v>
          </cell>
          <cell r="B2440">
            <v>0.44</v>
          </cell>
        </row>
        <row r="2441">
          <cell r="A2441" t="str">
            <v>Stuffer For Alpha 50 Extruder</v>
          </cell>
          <cell r="B2441">
            <v>277914</v>
          </cell>
        </row>
        <row r="2442">
          <cell r="A2442" t="str">
            <v>Subham Timing Belt Agency</v>
          </cell>
          <cell r="B2442">
            <v>2403</v>
          </cell>
        </row>
        <row r="2443">
          <cell r="A2443" t="str">
            <v>Submarsible Pump</v>
          </cell>
          <cell r="B2443">
            <v>758907.36</v>
          </cell>
        </row>
        <row r="2444">
          <cell r="A2444" t="str">
            <v>Sujal Lamka (For Tea Exp)</v>
          </cell>
          <cell r="B2444">
            <v>-4384</v>
          </cell>
        </row>
        <row r="2445">
          <cell r="A2445" t="str">
            <v>Sukan Industries</v>
          </cell>
          <cell r="B2445">
            <v>0</v>
          </cell>
        </row>
        <row r="2446">
          <cell r="A2446" t="str">
            <v>Sulzer Looms</v>
          </cell>
          <cell r="B2446">
            <v>1932796</v>
          </cell>
        </row>
        <row r="2447">
          <cell r="A2447" t="str">
            <v>Sumar Enterprise</v>
          </cell>
          <cell r="B2447">
            <v>64550</v>
          </cell>
        </row>
        <row r="2448">
          <cell r="A2448" t="str">
            <v>Sumitomo Chemical Asia Pte Ltd</v>
          </cell>
          <cell r="B2448">
            <v>12537086.48</v>
          </cell>
        </row>
        <row r="2449">
          <cell r="A2449" t="str">
            <v>Sumitra</v>
          </cell>
          <cell r="B2449">
            <v>-5940</v>
          </cell>
        </row>
        <row r="2450">
          <cell r="A2450" t="str">
            <v>Summar Tour &amp; Travels</v>
          </cell>
          <cell r="B2450">
            <v>0</v>
          </cell>
        </row>
        <row r="2451">
          <cell r="A2451" t="str">
            <v>Sun Packaging</v>
          </cell>
          <cell r="B2451">
            <v>12083721</v>
          </cell>
        </row>
        <row r="2452">
          <cell r="A2452" t="str">
            <v>Sundaram Electricals</v>
          </cell>
          <cell r="B2452">
            <v>0</v>
          </cell>
        </row>
        <row r="2453">
          <cell r="A2453" t="str">
            <v>Sunil Singh Ramlayak Singh</v>
          </cell>
          <cell r="B2453">
            <v>0</v>
          </cell>
        </row>
        <row r="2454">
          <cell r="A2454" t="str">
            <v>Sunny Chauhan</v>
          </cell>
          <cell r="B2454">
            <v>884500</v>
          </cell>
        </row>
        <row r="2455">
          <cell r="A2455" t="str">
            <v>Sunny International Travels</v>
          </cell>
          <cell r="B2455">
            <v>0</v>
          </cell>
        </row>
        <row r="2456">
          <cell r="A2456" t="str">
            <v>Sunpack Barrier Films Pvt Ltd</v>
          </cell>
          <cell r="B2456">
            <v>0</v>
          </cell>
        </row>
        <row r="2457">
          <cell r="A2457" t="str">
            <v>Sunrise Asia Limited</v>
          </cell>
          <cell r="B2457">
            <v>406338.24</v>
          </cell>
        </row>
        <row r="2458">
          <cell r="A2458" t="str">
            <v>Sunrise Computer &amp; Security System</v>
          </cell>
          <cell r="B2458">
            <v>-0.02</v>
          </cell>
        </row>
        <row r="2459">
          <cell r="A2459" t="str">
            <v>Sunrise Marine</v>
          </cell>
          <cell r="B2459">
            <v>-58910</v>
          </cell>
        </row>
        <row r="2460">
          <cell r="A2460" t="str">
            <v>Sunrise Metal</v>
          </cell>
          <cell r="B2460">
            <v>0</v>
          </cell>
        </row>
        <row r="2461">
          <cell r="A2461" t="str">
            <v>Sunscrap Solar Recycle Llp</v>
          </cell>
          <cell r="B2461">
            <v>-193947</v>
          </cell>
        </row>
        <row r="2462">
          <cell r="A2462" t="str">
            <v>Sunshine Property And Casualty</v>
          </cell>
          <cell r="B2462">
            <v>40403.75</v>
          </cell>
        </row>
        <row r="2463">
          <cell r="A2463" t="str">
            <v>Super Tech Containers</v>
          </cell>
          <cell r="B2463">
            <v>2715028</v>
          </cell>
        </row>
        <row r="2464">
          <cell r="A2464" t="str">
            <v>Super Tech</v>
          </cell>
          <cell r="B2464">
            <v>4225959.33</v>
          </cell>
        </row>
        <row r="2465">
          <cell r="A2465" t="str">
            <v>Superb Packaging Inc.</v>
          </cell>
          <cell r="B2465">
            <v>0</v>
          </cell>
        </row>
        <row r="2466">
          <cell r="A2466" t="str">
            <v>Superform Chemistries Limited Jhagadia- PL85</v>
          </cell>
          <cell r="B2466">
            <v>5927.06</v>
          </cell>
        </row>
        <row r="2467">
          <cell r="A2467" t="str">
            <v>Supertech Water Solution</v>
          </cell>
          <cell r="B2467">
            <v>-8520</v>
          </cell>
        </row>
        <row r="2468">
          <cell r="A2468" t="str">
            <v>Suqian Unitecommerce Co. Ltd</v>
          </cell>
          <cell r="B2468">
            <v>-11573443.67</v>
          </cell>
        </row>
        <row r="2469">
          <cell r="A2469" t="str">
            <v>Surbhi Shipping &amp; Logistics</v>
          </cell>
          <cell r="B2469">
            <v>439372</v>
          </cell>
        </row>
        <row r="2470">
          <cell r="A2470" t="str">
            <v>Surface Sliting Mac-&amp;-Rew Mach</v>
          </cell>
          <cell r="B2470">
            <v>2965601</v>
          </cell>
        </row>
        <row r="2471">
          <cell r="A2471" t="str">
            <v>Surkhab Birds Resorts Private Limited_24AAPCS8672L1ZI</v>
          </cell>
          <cell r="B2471">
            <v>-78942.02</v>
          </cell>
        </row>
        <row r="2472">
          <cell r="A2472" t="str">
            <v>Surneha Services</v>
          </cell>
          <cell r="B2472">
            <v>-2760</v>
          </cell>
        </row>
        <row r="2473">
          <cell r="A2473" t="str">
            <v>Surya Cls Pvt Ltd</v>
          </cell>
          <cell r="B2473">
            <v>730</v>
          </cell>
        </row>
        <row r="2474">
          <cell r="A2474" t="str">
            <v>Surya Drinking Water</v>
          </cell>
          <cell r="B2474">
            <v>0</v>
          </cell>
        </row>
        <row r="2475">
          <cell r="A2475" t="str">
            <v>Surya Enegy Kutch</v>
          </cell>
          <cell r="B2475">
            <v>-74764.929999999993</v>
          </cell>
        </row>
        <row r="2476">
          <cell r="A2476" t="str">
            <v>Susmatex Machinery</v>
          </cell>
          <cell r="B2476">
            <v>-8259</v>
          </cell>
        </row>
        <row r="2477">
          <cell r="A2477" t="str">
            <v>Suspense A/c</v>
          </cell>
          <cell r="B2477">
            <v>25778</v>
          </cell>
        </row>
        <row r="2478">
          <cell r="A2478" t="str">
            <v>Suzlon Energy Limited</v>
          </cell>
          <cell r="B2478">
            <v>0</v>
          </cell>
        </row>
        <row r="2479">
          <cell r="A2479" t="str">
            <v>Suzlon Global Services Limited.</v>
          </cell>
          <cell r="B2479">
            <v>0</v>
          </cell>
        </row>
        <row r="2480">
          <cell r="A2480" t="str">
            <v>Swastidaya Commercial Private Limited</v>
          </cell>
          <cell r="B2480">
            <v>9860400</v>
          </cell>
        </row>
        <row r="2481">
          <cell r="A2481" t="str">
            <v>Swastik Enterprise - 24GVWPS9873J1Z6 - Rajkot</v>
          </cell>
          <cell r="B2481">
            <v>-0.36</v>
          </cell>
        </row>
        <row r="2482">
          <cell r="A2482" t="str">
            <v>Swastik Medicos</v>
          </cell>
          <cell r="B2482">
            <v>-5795.25</v>
          </cell>
        </row>
        <row r="2483">
          <cell r="A2483" t="str">
            <v>Swastik Sales</v>
          </cell>
          <cell r="B2483">
            <v>0</v>
          </cell>
        </row>
        <row r="2484">
          <cell r="A2484" t="str">
            <v>Swastik Sales - 24BQOPP5837M1Z2</v>
          </cell>
          <cell r="B2484">
            <v>-6300</v>
          </cell>
        </row>
        <row r="2485">
          <cell r="A2485" t="str">
            <v>Swayam Poly Plast Private Limited - Purchase</v>
          </cell>
          <cell r="B2485">
            <v>-2070513.4</v>
          </cell>
        </row>
        <row r="2486">
          <cell r="A2486" t="str">
            <v>Swayam Poly Plast Pvt Ltd</v>
          </cell>
          <cell r="B2486">
            <v>3852336.51</v>
          </cell>
        </row>
        <row r="2487">
          <cell r="A2487" t="str">
            <v>Swayam Polymer</v>
          </cell>
          <cell r="B2487">
            <v>0</v>
          </cell>
        </row>
        <row r="2488">
          <cell r="A2488" t="str">
            <v>Swift Freight (India) Pvt Ltd - Gandhidham</v>
          </cell>
          <cell r="B2488">
            <v>0</v>
          </cell>
        </row>
        <row r="2489">
          <cell r="A2489" t="str">
            <v>Swift Polymers Pvt Ltd</v>
          </cell>
          <cell r="B2489">
            <v>0</v>
          </cell>
        </row>
        <row r="2490">
          <cell r="A2490" t="str">
            <v>Synpack Slide N Zip Pvt. Ltd.</v>
          </cell>
          <cell r="B2490">
            <v>0</v>
          </cell>
        </row>
        <row r="2491">
          <cell r="A2491" t="str">
            <v>Tanmay Engitech</v>
          </cell>
          <cell r="B2491">
            <v>-19627</v>
          </cell>
        </row>
        <row r="2492">
          <cell r="A2492" t="str">
            <v>Tansile Test Mach</v>
          </cell>
          <cell r="B2492">
            <v>923589.5</v>
          </cell>
        </row>
        <row r="2493">
          <cell r="A2493" t="str">
            <v>Tapan Manpower Solutions</v>
          </cell>
          <cell r="B2493">
            <v>-19994</v>
          </cell>
        </row>
        <row r="2494">
          <cell r="A2494" t="str">
            <v>Tape Plant (Lohia)</v>
          </cell>
          <cell r="B2494">
            <v>68603197</v>
          </cell>
        </row>
        <row r="2495">
          <cell r="A2495" t="str">
            <v>Tarajyot Polymers Ltd - Karnataka</v>
          </cell>
          <cell r="B2495">
            <v>-300</v>
          </cell>
        </row>
        <row r="2496">
          <cell r="A2496" t="str">
            <v>Tashkent Oil Company Pvt Ltd</v>
          </cell>
          <cell r="B2496">
            <v>-1449382</v>
          </cell>
        </row>
        <row r="2497">
          <cell r="A2497" t="str">
            <v>Tata Bus-GJ12AY5730</v>
          </cell>
          <cell r="B2497">
            <v>2191875</v>
          </cell>
        </row>
        <row r="2498">
          <cell r="A2498" t="str">
            <v>Tata Capital Financial Services Ltd.</v>
          </cell>
          <cell r="B2498">
            <v>1204823</v>
          </cell>
        </row>
        <row r="2499">
          <cell r="A2499" t="str">
            <v>Tata Chemical Ltd (Vat)</v>
          </cell>
          <cell r="B2499">
            <v>0</v>
          </cell>
        </row>
        <row r="2500">
          <cell r="A2500" t="str">
            <v>Tata Mobile (Gj12 X 6309)</v>
          </cell>
          <cell r="B2500">
            <v>456989</v>
          </cell>
        </row>
        <row r="2501">
          <cell r="A2501" t="str">
            <v>Tata Sia Airlines Limited_27AAECT8346F1Z4</v>
          </cell>
          <cell r="B2501">
            <v>-12726</v>
          </cell>
        </row>
        <row r="2502">
          <cell r="A2502" t="str">
            <v>Tata Sia Airlines Ltd_24AAECT8346F6Z5</v>
          </cell>
          <cell r="B2502">
            <v>-10563</v>
          </cell>
        </row>
        <row r="2503">
          <cell r="A2503" t="str">
            <v>Tata Tempo (Gj12 X 1935)</v>
          </cell>
          <cell r="B2503">
            <v>648705</v>
          </cell>
        </row>
        <row r="2504">
          <cell r="A2504" t="str">
            <v>Tatwir Al Masni For Trading Co</v>
          </cell>
          <cell r="B2504">
            <v>0</v>
          </cell>
        </row>
        <row r="2505">
          <cell r="A2505" t="str">
            <v>TCS on Purchase</v>
          </cell>
          <cell r="B2505">
            <v>127789.26</v>
          </cell>
        </row>
        <row r="2506">
          <cell r="A2506" t="str">
            <v>TCS on Purchase 12-13</v>
          </cell>
          <cell r="B2506">
            <v>23659.18</v>
          </cell>
        </row>
        <row r="2507">
          <cell r="A2507" t="str">
            <v>TCS on Purchase 17-18</v>
          </cell>
          <cell r="B2507">
            <v>304936.25</v>
          </cell>
        </row>
        <row r="2508">
          <cell r="A2508" t="str">
            <v>TCS On Purchase 19-20</v>
          </cell>
          <cell r="B2508">
            <v>0</v>
          </cell>
        </row>
        <row r="2509">
          <cell r="A2509" t="str">
            <v>TCS On Purchase 20-21</v>
          </cell>
          <cell r="B2509">
            <v>5366.38</v>
          </cell>
        </row>
        <row r="2510">
          <cell r="A2510" t="str">
            <v>TCS On Purchase 21-22</v>
          </cell>
          <cell r="B2510">
            <v>12214.32</v>
          </cell>
        </row>
        <row r="2511">
          <cell r="A2511" t="str">
            <v>TCS On Purchase 22-23</v>
          </cell>
          <cell r="B2511">
            <v>94328.54</v>
          </cell>
        </row>
        <row r="2512">
          <cell r="A2512" t="str">
            <v>TCS On Purchase 23-24</v>
          </cell>
          <cell r="B2512">
            <v>0</v>
          </cell>
        </row>
        <row r="2513">
          <cell r="A2513" t="str">
            <v>Tcs On Purchase 24-25</v>
          </cell>
          <cell r="B2513">
            <v>0</v>
          </cell>
        </row>
        <row r="2514">
          <cell r="A2514" t="str">
            <v>Tcs On Purchase 25-26</v>
          </cell>
          <cell r="B2514">
            <v>108707.47</v>
          </cell>
        </row>
        <row r="2515">
          <cell r="A2515" t="str">
            <v>Tcs On Purchase 26-27</v>
          </cell>
          <cell r="B2515">
            <v>95010.96</v>
          </cell>
        </row>
        <row r="2516">
          <cell r="A2516" t="str">
            <v>TCS on Sales 20-21</v>
          </cell>
          <cell r="B2516">
            <v>0</v>
          </cell>
        </row>
        <row r="2517">
          <cell r="A2517" t="str">
            <v>TCS On Sales 21-22</v>
          </cell>
          <cell r="B2517">
            <v>0</v>
          </cell>
        </row>
        <row r="2518">
          <cell r="A2518" t="str">
            <v>TCS On Sales 22-23</v>
          </cell>
          <cell r="B2518">
            <v>0</v>
          </cell>
        </row>
        <row r="2519">
          <cell r="A2519" t="str">
            <v>TCS On Sales 23-24</v>
          </cell>
          <cell r="B2519">
            <v>0</v>
          </cell>
        </row>
        <row r="2520">
          <cell r="A2520" t="str">
            <v>Tcs On Sales 24-25</v>
          </cell>
          <cell r="B2520">
            <v>-0.24</v>
          </cell>
        </row>
        <row r="2521">
          <cell r="A2521" t="str">
            <v>Tcs On Sales 25-26</v>
          </cell>
          <cell r="B2521">
            <v>0.39</v>
          </cell>
        </row>
        <row r="2522">
          <cell r="A2522" t="str">
            <v>Tcs On Sales 26-27</v>
          </cell>
          <cell r="B2522">
            <v>-16139.11</v>
          </cell>
        </row>
        <row r="2523">
          <cell r="A2523" t="str">
            <v>TDS -192 (Salary)</v>
          </cell>
          <cell r="B2523">
            <v>-10000</v>
          </cell>
        </row>
        <row r="2524">
          <cell r="A2524" t="str">
            <v>TDS -194A (Interest)</v>
          </cell>
          <cell r="B2524">
            <v>-158662</v>
          </cell>
        </row>
        <row r="2525">
          <cell r="A2525" t="str">
            <v>TDS -194C (Contractor)</v>
          </cell>
          <cell r="B2525">
            <v>-1761097</v>
          </cell>
        </row>
        <row r="2526">
          <cell r="A2526" t="str">
            <v>TDS -194H (Commission)</v>
          </cell>
          <cell r="B2526">
            <v>-8000</v>
          </cell>
        </row>
        <row r="2527">
          <cell r="A2527" t="str">
            <v>TDS -194I (Rent)</v>
          </cell>
          <cell r="B2527">
            <v>-166006</v>
          </cell>
        </row>
        <row r="2528">
          <cell r="A2528" t="str">
            <v>TDS -194J (Professional)</v>
          </cell>
          <cell r="B2528">
            <v>-344602</v>
          </cell>
        </row>
        <row r="2529">
          <cell r="A2529" t="str">
            <v>TDS -194Q (Goods)</v>
          </cell>
          <cell r="B2529">
            <v>-1293830.47</v>
          </cell>
        </row>
        <row r="2530">
          <cell r="A2530" t="str">
            <v>TDS Payable U/S 194</v>
          </cell>
          <cell r="B2530">
            <v>4062876.85</v>
          </cell>
        </row>
        <row r="2531">
          <cell r="A2531" t="str">
            <v>TDS Receivable 2012-13</v>
          </cell>
          <cell r="B2531">
            <v>2268356.35</v>
          </cell>
        </row>
        <row r="2532">
          <cell r="A2532" t="str">
            <v>TDS Receivable 2017-18</v>
          </cell>
          <cell r="B2532">
            <v>10109661.539999999</v>
          </cell>
        </row>
        <row r="2533">
          <cell r="A2533" t="str">
            <v>TDS Receivable 2018-19</v>
          </cell>
          <cell r="B2533">
            <v>344496.2</v>
          </cell>
        </row>
        <row r="2534">
          <cell r="A2534" t="str">
            <v>TDS Receivable 2019-20</v>
          </cell>
          <cell r="B2534">
            <v>-161827</v>
          </cell>
        </row>
        <row r="2535">
          <cell r="A2535" t="str">
            <v>TDS Receivable 2020-21</v>
          </cell>
          <cell r="B2535">
            <v>0</v>
          </cell>
        </row>
        <row r="2536">
          <cell r="A2536" t="str">
            <v>TDS Receivable 2021-22</v>
          </cell>
          <cell r="B2536">
            <v>318461.94</v>
          </cell>
        </row>
        <row r="2537">
          <cell r="A2537" t="str">
            <v>TDS Receivable 2022-23</v>
          </cell>
          <cell r="B2537">
            <v>10544293.720000001</v>
          </cell>
        </row>
        <row r="2538">
          <cell r="A2538" t="str">
            <v>TDS Receivable 2023-24</v>
          </cell>
          <cell r="B2538">
            <v>0</v>
          </cell>
        </row>
        <row r="2539">
          <cell r="A2539" t="str">
            <v>Tds Receivable 2024-25</v>
          </cell>
          <cell r="B2539">
            <v>417301.99</v>
          </cell>
        </row>
        <row r="2540">
          <cell r="A2540" t="str">
            <v>Tds Receivable 2025-26</v>
          </cell>
          <cell r="B2540">
            <v>8498920.25</v>
          </cell>
        </row>
        <row r="2541">
          <cell r="A2541" t="str">
            <v>Tds Receivable 2026-27</v>
          </cell>
          <cell r="B2541">
            <v>2862554.11</v>
          </cell>
        </row>
        <row r="2542">
          <cell r="A2542" t="str">
            <v>TDS Recoverable</v>
          </cell>
          <cell r="B2542">
            <v>115083.06</v>
          </cell>
        </row>
        <row r="2543">
          <cell r="A2543" t="str">
            <v>Tea Wending Machine</v>
          </cell>
          <cell r="B2543">
            <v>25000</v>
          </cell>
        </row>
        <row r="2544">
          <cell r="A2544" t="str">
            <v>Tec Papers Pvt Ltd</v>
          </cell>
          <cell r="B2544">
            <v>367183.32</v>
          </cell>
        </row>
        <row r="2545">
          <cell r="A2545" t="str">
            <v>Tec Papers Pvt Ltd Purchase</v>
          </cell>
          <cell r="B2545">
            <v>-362424.88</v>
          </cell>
        </row>
        <row r="2546">
          <cell r="A2546" t="str">
            <v>Tech Aid Systems Pvt Ltd</v>
          </cell>
          <cell r="B2546">
            <v>0</v>
          </cell>
        </row>
        <row r="2547">
          <cell r="A2547" t="str">
            <v>Tech Plastfeb Private Limited</v>
          </cell>
          <cell r="B2547">
            <v>-1.1000000000000001</v>
          </cell>
        </row>
        <row r="2548">
          <cell r="A2548" t="str">
            <v>Tech-Connect Retail Private Limited - Maharashtra</v>
          </cell>
          <cell r="B2548">
            <v>-36890</v>
          </cell>
        </row>
        <row r="2549">
          <cell r="A2549" t="str">
            <v>Techinstro</v>
          </cell>
          <cell r="B2549">
            <v>0</v>
          </cell>
        </row>
        <row r="2550">
          <cell r="A2550" t="str">
            <v>Technopac Austria Gmbh</v>
          </cell>
          <cell r="B2550">
            <v>4519973.49</v>
          </cell>
        </row>
        <row r="2551">
          <cell r="A2551" t="str">
            <v>Technopac Gmbh</v>
          </cell>
          <cell r="B2551">
            <v>63129121.840000004</v>
          </cell>
        </row>
        <row r="2552">
          <cell r="A2552" t="str">
            <v>Techsuppen Enterprises</v>
          </cell>
          <cell r="B2552">
            <v>47589.4</v>
          </cell>
        </row>
        <row r="2553">
          <cell r="A2553" t="str">
            <v>Techwin Electronics</v>
          </cell>
          <cell r="B2553">
            <v>0</v>
          </cell>
        </row>
        <row r="2554">
          <cell r="A2554" t="str">
            <v>Tejas Acharya</v>
          </cell>
          <cell r="B2554">
            <v>0</v>
          </cell>
        </row>
        <row r="2555">
          <cell r="A2555" t="str">
            <v>Tekhsol</v>
          </cell>
          <cell r="B2555">
            <v>-231562</v>
          </cell>
        </row>
        <row r="2556">
          <cell r="A2556" t="str">
            <v>Television</v>
          </cell>
          <cell r="B2556">
            <v>450221.59</v>
          </cell>
        </row>
        <row r="2557">
          <cell r="A2557" t="str">
            <v>Ten Plus</v>
          </cell>
          <cell r="B2557">
            <v>192009.52</v>
          </cell>
        </row>
        <row r="2558">
          <cell r="A2558" t="str">
            <v>Tensile Testing Machine</v>
          </cell>
          <cell r="B2558">
            <v>225000</v>
          </cell>
        </row>
        <row r="2559">
          <cell r="A2559" t="str">
            <v>Terceirense De Racoes Sa</v>
          </cell>
          <cell r="B2559">
            <v>0</v>
          </cell>
        </row>
        <row r="2560">
          <cell r="A2560" t="str">
            <v>Terramag India Private Limited</v>
          </cell>
          <cell r="B2560">
            <v>-1593301</v>
          </cell>
        </row>
        <row r="2561">
          <cell r="A2561" t="str">
            <v>Testing Charges</v>
          </cell>
          <cell r="B2561">
            <v>2112031.64</v>
          </cell>
        </row>
        <row r="2562">
          <cell r="A2562" t="str">
            <v>Testing Machine</v>
          </cell>
          <cell r="B2562">
            <v>3293883.11</v>
          </cell>
        </row>
        <row r="2563">
          <cell r="A2563" t="str">
            <v>Texene LLC</v>
          </cell>
          <cell r="B2563">
            <v>40751.74</v>
          </cell>
        </row>
        <row r="2564">
          <cell r="A2564" t="str">
            <v>Texon Fabrics Pvt Ltd - Sales</v>
          </cell>
          <cell r="B2564">
            <v>2463589.08</v>
          </cell>
        </row>
        <row r="2565">
          <cell r="A2565" t="str">
            <v>Texon Packaging Private Limited</v>
          </cell>
          <cell r="B2565">
            <v>27754804.190000001</v>
          </cell>
        </row>
        <row r="2566">
          <cell r="A2566" t="str">
            <v>Textiles Santa Susana Sa De Cv</v>
          </cell>
          <cell r="B2566">
            <v>0</v>
          </cell>
        </row>
        <row r="2567">
          <cell r="A2567" t="str">
            <v>Textro Electronics</v>
          </cell>
          <cell r="B2567">
            <v>-17110</v>
          </cell>
        </row>
        <row r="2568">
          <cell r="A2568" t="str">
            <v>Thakor Khodabhai Chandubhai</v>
          </cell>
          <cell r="B2568">
            <v>-16069</v>
          </cell>
        </row>
        <row r="2569">
          <cell r="A2569" t="str">
            <v>Thar Logistics_24AASFT9702A1Z6</v>
          </cell>
          <cell r="B2569">
            <v>-34220</v>
          </cell>
        </row>
        <row r="2570">
          <cell r="A2570" t="str">
            <v>The Gandhidham Chamber Of Commerce &amp; Industry</v>
          </cell>
          <cell r="B2570">
            <v>5900</v>
          </cell>
        </row>
        <row r="2571">
          <cell r="A2571" t="str">
            <v>The Grand Suites</v>
          </cell>
          <cell r="B2571">
            <v>0</v>
          </cell>
        </row>
        <row r="2572">
          <cell r="A2572" t="str">
            <v>The Neemaya Hotel</v>
          </cell>
          <cell r="B2572">
            <v>-41114.5</v>
          </cell>
        </row>
        <row r="2573">
          <cell r="A2573" t="str">
            <v>The New India Assurance Co. Ltd</v>
          </cell>
          <cell r="B2573">
            <v>-3599</v>
          </cell>
        </row>
        <row r="2574">
          <cell r="A2574" t="str">
            <v>The New India Assurance Co. Ltd-09AAACN4165C4ZM</v>
          </cell>
          <cell r="B2574">
            <v>0</v>
          </cell>
        </row>
        <row r="2575">
          <cell r="A2575" t="str">
            <v>The New India Scissers House</v>
          </cell>
          <cell r="B2575">
            <v>1746</v>
          </cell>
        </row>
        <row r="2576">
          <cell r="A2576" t="str">
            <v>The New India Scissors House 24AFXPS5715A1ZA</v>
          </cell>
          <cell r="B2576">
            <v>-873</v>
          </cell>
        </row>
        <row r="2577">
          <cell r="A2577" t="str">
            <v>The Plastic</v>
          </cell>
          <cell r="B2577">
            <v>3253406.91</v>
          </cell>
        </row>
        <row r="2578">
          <cell r="A2578" t="str">
            <v>The Plastics Export Promotion Council</v>
          </cell>
          <cell r="B2578">
            <v>-215726</v>
          </cell>
        </row>
        <row r="2579">
          <cell r="A2579" t="str">
            <v>The Professional Couriers Pvt Ltd</v>
          </cell>
          <cell r="B2579">
            <v>0</v>
          </cell>
        </row>
        <row r="2580">
          <cell r="A2580" t="str">
            <v>The Shiv Regency</v>
          </cell>
          <cell r="B2580">
            <v>-19617.54</v>
          </cell>
        </row>
        <row r="2581">
          <cell r="A2581" t="str">
            <v>The South Indian Bank Limited-24AABCT0022F1Z4</v>
          </cell>
          <cell r="B2581">
            <v>-8024</v>
          </cell>
        </row>
        <row r="2582">
          <cell r="A2582" t="str">
            <v>The Sports Club Of Gujarat Ltd</v>
          </cell>
          <cell r="B2582">
            <v>-33837</v>
          </cell>
        </row>
        <row r="2583">
          <cell r="A2583" t="str">
            <v>The Supreme Industries - 27AAACT1344F1ZO</v>
          </cell>
          <cell r="B2583">
            <v>0</v>
          </cell>
        </row>
        <row r="2584">
          <cell r="A2584" t="str">
            <v>Theam Utility Solution</v>
          </cell>
          <cell r="B2584">
            <v>0</v>
          </cell>
        </row>
        <row r="2585">
          <cell r="A2585" t="str">
            <v>Thermic Fluid Pump - Type Cpk Egy 50-250 Capacity</v>
          </cell>
          <cell r="B2585">
            <v>75000</v>
          </cell>
        </row>
        <row r="2586">
          <cell r="A2586" t="str">
            <v>TIGI Kramer Am LLC</v>
          </cell>
          <cell r="B2586">
            <v>0</v>
          </cell>
        </row>
        <row r="2587">
          <cell r="A2587" t="str">
            <v>Tirupati Sales Corporation</v>
          </cell>
          <cell r="B2587">
            <v>0</v>
          </cell>
        </row>
        <row r="2588">
          <cell r="A2588" t="str">
            <v>Tisser, LDA</v>
          </cell>
          <cell r="B2588">
            <v>0</v>
          </cell>
        </row>
        <row r="2589">
          <cell r="A2589" t="str">
            <v>Tme Precision Closed Cone Winding Machine</v>
          </cell>
          <cell r="B2589">
            <v>224200</v>
          </cell>
        </row>
        <row r="2590">
          <cell r="A2590" t="str">
            <v>Tools &amp; Implements</v>
          </cell>
          <cell r="B2590">
            <v>578843.1</v>
          </cell>
        </row>
        <row r="2591">
          <cell r="A2591" t="str">
            <v>Torrent Power Ltd.</v>
          </cell>
          <cell r="B2591">
            <v>0</v>
          </cell>
        </row>
        <row r="2592">
          <cell r="A2592" t="str">
            <v>Town &amp; Country (Northern) Limited</v>
          </cell>
          <cell r="B2592">
            <v>9972746.6099999994</v>
          </cell>
        </row>
        <row r="2593">
          <cell r="A2593" t="str">
            <v>Town &amp; Country Aggregates</v>
          </cell>
          <cell r="B2593">
            <v>-4769838.49</v>
          </cell>
        </row>
        <row r="2594">
          <cell r="A2594" t="str">
            <v>Toyo Ink India Pvt. Ltd. - Gujarat</v>
          </cell>
          <cell r="B2594">
            <v>-2465291.4</v>
          </cell>
        </row>
        <row r="2595">
          <cell r="A2595" t="str">
            <v>Toyota Material Handling India Pvt Ltd</v>
          </cell>
          <cell r="B2595">
            <v>0.56000000000000005</v>
          </cell>
        </row>
        <row r="2596">
          <cell r="A2596" t="str">
            <v>Tradelink</v>
          </cell>
          <cell r="B2596">
            <v>0</v>
          </cell>
        </row>
        <row r="2597">
          <cell r="A2597" t="str">
            <v>Tradex Petroproducts LLP</v>
          </cell>
          <cell r="B2597">
            <v>185762.35</v>
          </cell>
        </row>
        <row r="2598">
          <cell r="A2598" t="str">
            <v>Transformer</v>
          </cell>
          <cell r="B2598">
            <v>1284538</v>
          </cell>
        </row>
        <row r="2599">
          <cell r="A2599" t="str">
            <v>Transformer 315 KVA</v>
          </cell>
          <cell r="B2599">
            <v>415000</v>
          </cell>
        </row>
        <row r="2600">
          <cell r="A2600" t="str">
            <v>Travelling Advance - Anil Goyal</v>
          </cell>
          <cell r="B2600">
            <v>3237</v>
          </cell>
        </row>
        <row r="2601">
          <cell r="A2601" t="str">
            <v>Travelling Advance - Anil Mistry</v>
          </cell>
          <cell r="B2601">
            <v>0</v>
          </cell>
        </row>
        <row r="2602">
          <cell r="A2602" t="str">
            <v>Travelling Advance - Nihar Parikh</v>
          </cell>
          <cell r="B2602">
            <v>0</v>
          </cell>
        </row>
        <row r="2603">
          <cell r="A2603" t="str">
            <v>Travelling Advance - Staff</v>
          </cell>
          <cell r="B2603">
            <v>3000</v>
          </cell>
        </row>
        <row r="2604">
          <cell r="A2604" t="str">
            <v>Travelling Expense</v>
          </cell>
          <cell r="B2604">
            <v>4181255.99</v>
          </cell>
        </row>
        <row r="2605">
          <cell r="A2605" t="str">
            <v>Travelling Expense - Foreign</v>
          </cell>
          <cell r="B2605">
            <v>386226.72</v>
          </cell>
        </row>
        <row r="2606">
          <cell r="A2606" t="str">
            <v>Trawell Story</v>
          </cell>
          <cell r="B2606">
            <v>0</v>
          </cell>
        </row>
        <row r="2607">
          <cell r="A2607" t="str">
            <v>Tricon Dry Chemicals,Llc</v>
          </cell>
          <cell r="B2607">
            <v>-98975.25</v>
          </cell>
        </row>
        <row r="2608">
          <cell r="A2608" t="str">
            <v>Tricon Energy India Private Limited</v>
          </cell>
          <cell r="B2608">
            <v>0</v>
          </cell>
        </row>
        <row r="2609">
          <cell r="A2609" t="str">
            <v>Tricon Energy UK Ltd.</v>
          </cell>
          <cell r="B2609">
            <v>0</v>
          </cell>
        </row>
        <row r="2610">
          <cell r="A2610" t="str">
            <v>Trident Enterprises</v>
          </cell>
          <cell r="B2610">
            <v>0</v>
          </cell>
        </row>
        <row r="2611">
          <cell r="A2611" t="str">
            <v>Tritha Graphics</v>
          </cell>
          <cell r="B2611">
            <v>-31292.01</v>
          </cell>
        </row>
        <row r="2612">
          <cell r="A2612" t="str">
            <v>Trolly</v>
          </cell>
          <cell r="B2612">
            <v>229825</v>
          </cell>
        </row>
        <row r="2613">
          <cell r="A2613" t="str">
            <v>Ts Container Lines Pte Ltd</v>
          </cell>
          <cell r="B2613">
            <v>0</v>
          </cell>
        </row>
        <row r="2614">
          <cell r="A2614" t="str">
            <v>Tube Corporation</v>
          </cell>
          <cell r="B2614">
            <v>0</v>
          </cell>
        </row>
        <row r="2615">
          <cell r="A2615" t="str">
            <v>Tublights &amp; Fans</v>
          </cell>
          <cell r="B2615">
            <v>58362.37</v>
          </cell>
        </row>
        <row r="2616">
          <cell r="A2616" t="str">
            <v>Tulsi Dyechem Pvt Ltd - Purchase</v>
          </cell>
          <cell r="B2616">
            <v>120363.06</v>
          </cell>
        </row>
        <row r="2617">
          <cell r="A2617" t="str">
            <v>Tulsi Dyechem Pvt.Ltd - Sales</v>
          </cell>
          <cell r="B2617">
            <v>53900</v>
          </cell>
        </row>
        <row r="2618">
          <cell r="A2618" t="str">
            <v>Turret Rewind Station</v>
          </cell>
          <cell r="B2618">
            <v>2250000</v>
          </cell>
        </row>
        <row r="2619">
          <cell r="A2619" t="str">
            <v>Twisting Machine</v>
          </cell>
          <cell r="B2619">
            <v>8175784.4000000004</v>
          </cell>
        </row>
        <row r="2620">
          <cell r="A2620" t="str">
            <v>U V Polyplast</v>
          </cell>
          <cell r="B2620">
            <v>7.0000000000000007E-2</v>
          </cell>
        </row>
        <row r="2621">
          <cell r="A2621" t="str">
            <v>Uab Achempak</v>
          </cell>
          <cell r="B2621">
            <v>0</v>
          </cell>
        </row>
        <row r="2622">
          <cell r="A2622" t="str">
            <v>Ultrasonic Cutter Machine</v>
          </cell>
          <cell r="B2622">
            <v>4054824</v>
          </cell>
        </row>
        <row r="2623">
          <cell r="A2623" t="str">
            <v>Uma Thermoplast</v>
          </cell>
          <cell r="B2623">
            <v>-0.56000000000000005</v>
          </cell>
        </row>
        <row r="2624">
          <cell r="A2624" t="str">
            <v>Uma V Bhagchandani</v>
          </cell>
          <cell r="B2624">
            <v>-12500</v>
          </cell>
        </row>
        <row r="2625">
          <cell r="A2625" t="str">
            <v>Umang Packaging</v>
          </cell>
          <cell r="B2625">
            <v>0</v>
          </cell>
        </row>
        <row r="2626">
          <cell r="A2626" t="str">
            <v>Umiya Crimpers</v>
          </cell>
          <cell r="B2626">
            <v>0</v>
          </cell>
        </row>
        <row r="2627">
          <cell r="A2627" t="str">
            <v>Umiya Enterprise</v>
          </cell>
          <cell r="B2627">
            <v>-46728</v>
          </cell>
        </row>
        <row r="2628">
          <cell r="A2628" t="str">
            <v>Unclaimed CGST</v>
          </cell>
          <cell r="B2628">
            <v>79296.800000000003</v>
          </cell>
        </row>
        <row r="2629">
          <cell r="A2629" t="str">
            <v>Unclaimed IGST</v>
          </cell>
          <cell r="B2629">
            <v>73248.09</v>
          </cell>
        </row>
        <row r="2630">
          <cell r="A2630" t="str">
            <v>Unclaimed SGST</v>
          </cell>
          <cell r="B2630">
            <v>79296.92</v>
          </cell>
        </row>
        <row r="2631">
          <cell r="A2631" t="str">
            <v>Unilink Engineering Corporation Private Limited</v>
          </cell>
          <cell r="B2631">
            <v>149100</v>
          </cell>
        </row>
        <row r="2632">
          <cell r="A2632" t="str">
            <v>Union Special Gmbh-Update Master</v>
          </cell>
          <cell r="B2632">
            <v>-0.01</v>
          </cell>
        </row>
        <row r="2633">
          <cell r="A2633" t="str">
            <v>Unique Marketing - 24ABEPK2505M1ZU</v>
          </cell>
          <cell r="B2633">
            <v>-6434432.0199999996</v>
          </cell>
        </row>
        <row r="2634">
          <cell r="A2634" t="str">
            <v>Unique Power Technologies</v>
          </cell>
          <cell r="B2634">
            <v>373</v>
          </cell>
        </row>
        <row r="2635">
          <cell r="A2635" t="str">
            <v>Unique Techno Services Pvt Ltd</v>
          </cell>
          <cell r="B2635">
            <v>0</v>
          </cell>
        </row>
        <row r="2636">
          <cell r="A2636" t="str">
            <v>United Boxmakers</v>
          </cell>
          <cell r="B2636">
            <v>2835</v>
          </cell>
        </row>
        <row r="2637">
          <cell r="A2637" t="str">
            <v>United Cable In Industries Co.</v>
          </cell>
          <cell r="B2637">
            <v>0</v>
          </cell>
        </row>
        <row r="2638">
          <cell r="A2638" t="str">
            <v>United Raw Material Pte Ltd</v>
          </cell>
          <cell r="B2638">
            <v>-14263.94</v>
          </cell>
        </row>
        <row r="2639">
          <cell r="A2639" t="str">
            <v>Unity Engineering Works</v>
          </cell>
          <cell r="B2639">
            <v>0</v>
          </cell>
        </row>
        <row r="2640">
          <cell r="A2640" t="str">
            <v>Unity Inn Private Limited</v>
          </cell>
          <cell r="B2640">
            <v>0</v>
          </cell>
        </row>
        <row r="2641">
          <cell r="A2641" t="str">
            <v>Universal Pipe Traders</v>
          </cell>
          <cell r="B2641">
            <v>-18005.02</v>
          </cell>
        </row>
        <row r="2642">
          <cell r="A2642" t="str">
            <v>Universitas Gyor Nonprofit Kft</v>
          </cell>
          <cell r="B2642">
            <v>-150618.4</v>
          </cell>
        </row>
        <row r="2643">
          <cell r="A2643" t="str">
            <v>Unnati Steel</v>
          </cell>
          <cell r="B2643">
            <v>0</v>
          </cell>
        </row>
        <row r="2644">
          <cell r="A2644" t="str">
            <v>Upasana Metals</v>
          </cell>
          <cell r="B2644">
            <v>0</v>
          </cell>
        </row>
        <row r="2645">
          <cell r="A2645" t="str">
            <v>Upl Limited - Jhagadia</v>
          </cell>
          <cell r="B2645">
            <v>0</v>
          </cell>
        </row>
        <row r="2646">
          <cell r="A2646" t="str">
            <v>Upl Limited - Unit 1</v>
          </cell>
          <cell r="B2646">
            <v>0</v>
          </cell>
        </row>
        <row r="2647">
          <cell r="A2647" t="str">
            <v>Upper Trade Importacao E Exportacao Ltda</v>
          </cell>
          <cell r="B2647">
            <v>0</v>
          </cell>
        </row>
        <row r="2648">
          <cell r="A2648" t="str">
            <v>Ups Express Private Limited</v>
          </cell>
          <cell r="B2648">
            <v>2092</v>
          </cell>
        </row>
        <row r="2649">
          <cell r="A2649" t="str">
            <v>Urja Products Pvt Ltd</v>
          </cell>
          <cell r="B2649">
            <v>0</v>
          </cell>
        </row>
        <row r="2650">
          <cell r="A2650" t="str">
            <v>Uron Oms Llp</v>
          </cell>
          <cell r="B2650">
            <v>0</v>
          </cell>
        </row>
        <row r="2651">
          <cell r="A2651" t="str">
            <v>Urvashi Logistics</v>
          </cell>
          <cell r="B2651">
            <v>0</v>
          </cell>
        </row>
        <row r="2652">
          <cell r="A2652" t="str">
            <v>Uttar Gujarat Vij Company Ltd</v>
          </cell>
          <cell r="B2652">
            <v>254383.43</v>
          </cell>
        </row>
        <row r="2653">
          <cell r="A2653" t="str">
            <v>V &amp; J Furnishing Pvt. Ltd.</v>
          </cell>
          <cell r="B2653">
            <v>0</v>
          </cell>
        </row>
        <row r="2654">
          <cell r="A2654" t="str">
            <v>V K Print Pack</v>
          </cell>
          <cell r="B2654">
            <v>-63014</v>
          </cell>
        </row>
        <row r="2655">
          <cell r="A2655" t="str">
            <v>V Tex Overseas Pvt Ltd</v>
          </cell>
          <cell r="B2655">
            <v>0</v>
          </cell>
        </row>
        <row r="2656">
          <cell r="A2656" t="str">
            <v>V Trans (India) Limited - 27AAACV1559Q2ZP</v>
          </cell>
          <cell r="B2656">
            <v>-85900</v>
          </cell>
        </row>
        <row r="2657">
          <cell r="A2657" t="str">
            <v>V Trans (India) Ltd - Karnataka</v>
          </cell>
          <cell r="B2657">
            <v>6.48</v>
          </cell>
        </row>
        <row r="2658">
          <cell r="A2658" t="str">
            <v>V-Trans (India) Ltd. - Gujarat</v>
          </cell>
          <cell r="B2658">
            <v>-19625.439999999999</v>
          </cell>
        </row>
        <row r="2659">
          <cell r="A2659" t="str">
            <v>V-Trans (India) Ltd. - Karnataka</v>
          </cell>
          <cell r="B2659">
            <v>-7670</v>
          </cell>
        </row>
        <row r="2660">
          <cell r="A2660" t="str">
            <v>V-Trans (India) Ltd. - Maharashtra</v>
          </cell>
          <cell r="B2660">
            <v>-1.77</v>
          </cell>
        </row>
        <row r="2661">
          <cell r="A2661" t="str">
            <v>V-Trans (India) Ltd. - Rajasthan</v>
          </cell>
          <cell r="B2661">
            <v>-3.12</v>
          </cell>
        </row>
        <row r="2662">
          <cell r="A2662" t="str">
            <v>V-Trans (India) Ltd. - Tamil Nadu</v>
          </cell>
          <cell r="B2662">
            <v>-800</v>
          </cell>
        </row>
        <row r="2663">
          <cell r="A2663" t="str">
            <v>V-Trans (India) Ltd.- Dadra &amp; Nagar Haveli And Daman</v>
          </cell>
          <cell r="B2663">
            <v>0</v>
          </cell>
        </row>
        <row r="2664">
          <cell r="A2664" t="str">
            <v>V-Trans (India) Ltd.-Mp</v>
          </cell>
          <cell r="B2664">
            <v>0.56000000000000005</v>
          </cell>
        </row>
        <row r="2665">
          <cell r="A2665" t="str">
            <v>V.S.Enterprise</v>
          </cell>
          <cell r="B2665">
            <v>0</v>
          </cell>
        </row>
        <row r="2666">
          <cell r="A2666" t="str">
            <v>Vaghela Ashokkumar Rajpatsingh</v>
          </cell>
          <cell r="B2666">
            <v>0</v>
          </cell>
        </row>
        <row r="2667">
          <cell r="A2667" t="str">
            <v>Vagheshwari Engineering</v>
          </cell>
          <cell r="B2667">
            <v>0</v>
          </cell>
        </row>
        <row r="2668">
          <cell r="A2668" t="str">
            <v>Vaibhavee Enterprises</v>
          </cell>
          <cell r="B2668">
            <v>-0.86</v>
          </cell>
        </row>
        <row r="2669">
          <cell r="A2669" t="str">
            <v>Valco Melton Engineering India Pvt Ltd</v>
          </cell>
          <cell r="B2669">
            <v>-708</v>
          </cell>
        </row>
        <row r="2670">
          <cell r="A2670" t="str">
            <v>Valley Textile</v>
          </cell>
          <cell r="B2670">
            <v>-61950</v>
          </cell>
        </row>
        <row r="2671">
          <cell r="A2671" t="str">
            <v>Vanik Finance Private Limited</v>
          </cell>
          <cell r="B2671">
            <v>0</v>
          </cell>
        </row>
        <row r="2672">
          <cell r="A2672" t="str">
            <v>Vanitaba J. Zala</v>
          </cell>
          <cell r="B2672">
            <v>0</v>
          </cell>
        </row>
        <row r="2673">
          <cell r="A2673" t="str">
            <v>Varahi Polymers</v>
          </cell>
          <cell r="B2673">
            <v>6946942.5099999998</v>
          </cell>
        </row>
        <row r="2674">
          <cell r="A2674" t="str">
            <v>Varahi Polymers Private Limited  LC Margin</v>
          </cell>
          <cell r="B2674">
            <v>-172392</v>
          </cell>
        </row>
        <row r="2675">
          <cell r="A2675" t="str">
            <v>Vardhman Communication</v>
          </cell>
          <cell r="B2675">
            <v>305060</v>
          </cell>
        </row>
        <row r="2676">
          <cell r="A2676" t="str">
            <v>Variofil Industries</v>
          </cell>
          <cell r="B2676">
            <v>0</v>
          </cell>
        </row>
        <row r="2677">
          <cell r="A2677" t="str">
            <v>Varsha Printing Inks Mfg. Co.</v>
          </cell>
          <cell r="B2677">
            <v>2691.2</v>
          </cell>
        </row>
        <row r="2678">
          <cell r="A2678" t="str">
            <v>Varun Engineers</v>
          </cell>
          <cell r="B2678">
            <v>0</v>
          </cell>
        </row>
        <row r="2679">
          <cell r="A2679" t="str">
            <v>Vashi Integrated Solutions Limited</v>
          </cell>
          <cell r="B2679">
            <v>0</v>
          </cell>
        </row>
        <row r="2680">
          <cell r="A2680" t="str">
            <v>Vat Receivable 2008-09 Appeal</v>
          </cell>
          <cell r="B2680">
            <v>0</v>
          </cell>
        </row>
        <row r="2681">
          <cell r="A2681" t="str">
            <v>Vedant Enteprises</v>
          </cell>
          <cell r="B2681">
            <v>4588</v>
          </cell>
        </row>
        <row r="2682">
          <cell r="A2682" t="str">
            <v>Vedant Enterprise</v>
          </cell>
          <cell r="B2682">
            <v>-4588</v>
          </cell>
        </row>
        <row r="2683">
          <cell r="A2683" t="str">
            <v>Veechem Global Fzco</v>
          </cell>
          <cell r="B2683">
            <v>0</v>
          </cell>
        </row>
        <row r="2684">
          <cell r="A2684" t="str">
            <v>Veer Enterprise</v>
          </cell>
          <cell r="B2684">
            <v>0</v>
          </cell>
        </row>
        <row r="2685">
          <cell r="A2685" t="str">
            <v>Veersingh Rajaram Baghel</v>
          </cell>
          <cell r="B2685">
            <v>-34350</v>
          </cell>
        </row>
        <row r="2686">
          <cell r="A2686" t="str">
            <v>Veeshna Polypack Pvt Ltd - Purchase</v>
          </cell>
          <cell r="B2686">
            <v>-150.47999999999999</v>
          </cell>
        </row>
        <row r="2687">
          <cell r="A2687" t="str">
            <v>Vehicle Hire Charges - RCM</v>
          </cell>
          <cell r="B2687">
            <v>750350</v>
          </cell>
        </row>
        <row r="2688">
          <cell r="A2688" t="str">
            <v>Vehicle Hire Charges - With Gst</v>
          </cell>
          <cell r="B2688">
            <v>1417731</v>
          </cell>
        </row>
        <row r="2689">
          <cell r="A2689" t="str">
            <v>Velabhai Revabhai Gamara</v>
          </cell>
          <cell r="B2689">
            <v>-7000</v>
          </cell>
        </row>
        <row r="2690">
          <cell r="A2690" t="str">
            <v>Venus Data Products Pvt Ltd</v>
          </cell>
          <cell r="B2690">
            <v>-65143</v>
          </cell>
        </row>
        <row r="2691">
          <cell r="A2691" t="str">
            <v>Venus Polypack Industries</v>
          </cell>
          <cell r="B2691">
            <v>-15000</v>
          </cell>
        </row>
        <row r="2692">
          <cell r="A2692" t="str">
            <v>Vera Nets Pvt Ltd</v>
          </cell>
          <cell r="B2692">
            <v>6987669</v>
          </cell>
        </row>
        <row r="2693">
          <cell r="A2693" t="str">
            <v>Vibhav Commercial Private Limited</v>
          </cell>
          <cell r="B2693">
            <v>20493000</v>
          </cell>
        </row>
        <row r="2694">
          <cell r="A2694" t="str">
            <v>Vibrant Metal And Tube</v>
          </cell>
          <cell r="B2694">
            <v>0</v>
          </cell>
        </row>
        <row r="2695">
          <cell r="A2695" t="str">
            <v>Vidh Enterprise</v>
          </cell>
          <cell r="B2695">
            <v>-38268</v>
          </cell>
        </row>
        <row r="2696">
          <cell r="A2696" t="str">
            <v>Vihaan Enterprise</v>
          </cell>
          <cell r="B2696">
            <v>-78652</v>
          </cell>
        </row>
        <row r="2697">
          <cell r="A2697" t="str">
            <v>Vihaan Telecommunication Private Limited</v>
          </cell>
          <cell r="B2697">
            <v>0</v>
          </cell>
        </row>
        <row r="2698">
          <cell r="A2698" t="str">
            <v>Vihan Pneumatic &amp; Hydraulics</v>
          </cell>
          <cell r="B2698">
            <v>0</v>
          </cell>
        </row>
        <row r="2699">
          <cell r="A2699" t="str">
            <v>Vijay Enterprises 27AUNPM8628H1Z1</v>
          </cell>
          <cell r="B2699">
            <v>0</v>
          </cell>
        </row>
        <row r="2700">
          <cell r="A2700" t="str">
            <v>Vijay Kumar Khaniya</v>
          </cell>
          <cell r="B2700">
            <v>-40968</v>
          </cell>
        </row>
        <row r="2701">
          <cell r="A2701" t="str">
            <v>Vijaybhai Khodabhai Vaghari</v>
          </cell>
          <cell r="B2701">
            <v>0</v>
          </cell>
        </row>
        <row r="2702">
          <cell r="A2702" t="str">
            <v>Vijaybhai Ramanbhai Bariya</v>
          </cell>
          <cell r="B2702">
            <v>0</v>
          </cell>
        </row>
        <row r="2703">
          <cell r="A2703" t="str">
            <v>Vikas Plastic Emporium</v>
          </cell>
          <cell r="B2703">
            <v>425.04</v>
          </cell>
        </row>
        <row r="2704">
          <cell r="A2704" t="str">
            <v>Vikki Singh</v>
          </cell>
          <cell r="B2704">
            <v>50000</v>
          </cell>
        </row>
        <row r="2705">
          <cell r="A2705" t="str">
            <v>Vikram Ceramica</v>
          </cell>
          <cell r="B2705">
            <v>-0.09</v>
          </cell>
        </row>
        <row r="2706">
          <cell r="A2706" t="str">
            <v>Vikram Glass</v>
          </cell>
          <cell r="B2706">
            <v>0</v>
          </cell>
        </row>
        <row r="2707">
          <cell r="A2707" t="str">
            <v>Vimla Enterprise</v>
          </cell>
          <cell r="B2707">
            <v>-442725</v>
          </cell>
        </row>
        <row r="2708">
          <cell r="A2708" t="str">
            <v>Vinmar International Llc</v>
          </cell>
          <cell r="B2708">
            <v>-4256.75</v>
          </cell>
        </row>
        <row r="2709">
          <cell r="A2709" t="str">
            <v>Vintex Rubber Industries-Abed</v>
          </cell>
          <cell r="B2709">
            <v>-17405</v>
          </cell>
        </row>
        <row r="2710">
          <cell r="A2710" t="str">
            <v>Vipro Tools &amp; Engineers</v>
          </cell>
          <cell r="B2710">
            <v>0</v>
          </cell>
        </row>
        <row r="2711">
          <cell r="A2711" t="str">
            <v>Vipulkumar Shankarbhai Patel</v>
          </cell>
          <cell r="B2711">
            <v>0</v>
          </cell>
        </row>
        <row r="2712">
          <cell r="A2712" t="str">
            <v>Vir Bajarang Industries</v>
          </cell>
          <cell r="B2712">
            <v>0</v>
          </cell>
        </row>
        <row r="2713">
          <cell r="A2713" t="str">
            <v>Vir Engineers</v>
          </cell>
          <cell r="B2713">
            <v>-1699</v>
          </cell>
        </row>
        <row r="2714">
          <cell r="A2714" t="str">
            <v>Viral Enterprise- Valsad</v>
          </cell>
          <cell r="B2714">
            <v>0</v>
          </cell>
        </row>
        <row r="2715">
          <cell r="A2715" t="str">
            <v>Viram Marines</v>
          </cell>
          <cell r="B2715">
            <v>0</v>
          </cell>
        </row>
        <row r="2716">
          <cell r="A2716" t="str">
            <v>Virambhai Gamanbhai Rabari</v>
          </cell>
          <cell r="B2716">
            <v>126255.14</v>
          </cell>
        </row>
        <row r="2717">
          <cell r="A2717" t="str">
            <v>Virava Chemicals</v>
          </cell>
          <cell r="B2717">
            <v>107.33</v>
          </cell>
        </row>
        <row r="2718">
          <cell r="A2718" t="str">
            <v>Virda Alkalies And Chemicals</v>
          </cell>
          <cell r="B2718">
            <v>-6796.08</v>
          </cell>
        </row>
        <row r="2719">
          <cell r="A2719" t="str">
            <v>Virya Logistics Technologies Private Limited</v>
          </cell>
          <cell r="B2719">
            <v>0</v>
          </cell>
        </row>
        <row r="2720">
          <cell r="A2720" t="str">
            <v>Visat Dairy Farm</v>
          </cell>
          <cell r="B2720">
            <v>0</v>
          </cell>
        </row>
        <row r="2721">
          <cell r="A2721" t="str">
            <v>Vishal Engineering And Fabricators</v>
          </cell>
          <cell r="B2721">
            <v>-26255</v>
          </cell>
        </row>
        <row r="2722">
          <cell r="A2722" t="str">
            <v>Vishal Packaging</v>
          </cell>
          <cell r="B2722">
            <v>0</v>
          </cell>
        </row>
        <row r="2723">
          <cell r="A2723" t="str">
            <v>Vishal Shipping Global Logistics Llp</v>
          </cell>
          <cell r="B2723">
            <v>0</v>
          </cell>
        </row>
        <row r="2724">
          <cell r="A2724" t="str">
            <v>Vishal Technitex</v>
          </cell>
          <cell r="B2724">
            <v>-950.24</v>
          </cell>
        </row>
        <row r="2725">
          <cell r="A2725" t="str">
            <v>Vishnu T Bhagchandani, Advocte</v>
          </cell>
          <cell r="B2725">
            <v>-12500</v>
          </cell>
        </row>
        <row r="2726">
          <cell r="A2726" t="str">
            <v>Vishwakarma Industries - Chhatral</v>
          </cell>
          <cell r="B2726">
            <v>0</v>
          </cell>
        </row>
        <row r="2727">
          <cell r="A2727" t="str">
            <v>Vishwas Enterprise - Gandhidham 24HJZPS2918Q1ZW</v>
          </cell>
          <cell r="B2727">
            <v>0</v>
          </cell>
        </row>
        <row r="2728">
          <cell r="A2728" t="str">
            <v>Vision Hvac Pvt.Ltd</v>
          </cell>
          <cell r="B2728">
            <v>0</v>
          </cell>
        </row>
        <row r="2729">
          <cell r="A2729" t="str">
            <v>Vision Software</v>
          </cell>
          <cell r="B2729">
            <v>0</v>
          </cell>
        </row>
        <row r="2730">
          <cell r="A2730" t="str">
            <v>Vital Freight Carrier Pvt Ltd</v>
          </cell>
          <cell r="B2730">
            <v>-3654</v>
          </cell>
        </row>
        <row r="2731">
          <cell r="A2731" t="str">
            <v>Vodafone Idea Limited</v>
          </cell>
          <cell r="B2731">
            <v>625.23</v>
          </cell>
        </row>
        <row r="2732">
          <cell r="A2732" t="str">
            <v>Vodafone Idea Limited - 24AAACB2100P1Z3</v>
          </cell>
          <cell r="B2732">
            <v>-432999.36</v>
          </cell>
        </row>
        <row r="2733">
          <cell r="A2733" t="str">
            <v>Vodafone Mobile Services Limited</v>
          </cell>
          <cell r="B2733">
            <v>0</v>
          </cell>
        </row>
        <row r="2734">
          <cell r="A2734" t="str">
            <v>Volga Agency</v>
          </cell>
          <cell r="B2734">
            <v>0</v>
          </cell>
        </row>
        <row r="2735">
          <cell r="A2735" t="str">
            <v>Volta Biotech</v>
          </cell>
          <cell r="B2735">
            <v>-0.01</v>
          </cell>
        </row>
        <row r="2736">
          <cell r="A2736" t="str">
            <v>Voltas Limited</v>
          </cell>
          <cell r="B2736">
            <v>29500</v>
          </cell>
        </row>
        <row r="2737">
          <cell r="A2737" t="str">
            <v>Vriha Industries</v>
          </cell>
          <cell r="B2737">
            <v>-0.46</v>
          </cell>
        </row>
        <row r="2738">
          <cell r="A2738" t="str">
            <v>Vs Trans Lojistik Private Limited-Rajasthan</v>
          </cell>
          <cell r="B2738">
            <v>0</v>
          </cell>
        </row>
        <row r="2739">
          <cell r="A2739" t="str">
            <v>Vyankatesh Udyog (I) Pvt Ltd - Purchase</v>
          </cell>
          <cell r="B2739">
            <v>-1380431</v>
          </cell>
        </row>
        <row r="2740">
          <cell r="A2740" t="str">
            <v>Wall Air Circulator</v>
          </cell>
          <cell r="B2740">
            <v>349108.97</v>
          </cell>
        </row>
        <row r="2741">
          <cell r="A2741" t="str">
            <v>Wan Hai Lines Ltd</v>
          </cell>
          <cell r="B2741">
            <v>750000</v>
          </cell>
        </row>
        <row r="2742">
          <cell r="A2742" t="str">
            <v>Warner Industries</v>
          </cell>
          <cell r="B2742">
            <v>0</v>
          </cell>
        </row>
        <row r="2743">
          <cell r="A2743" t="str">
            <v>Water Charges</v>
          </cell>
          <cell r="B2743">
            <v>3474272</v>
          </cell>
        </row>
        <row r="2744">
          <cell r="A2744" t="str">
            <v>Water Cooler</v>
          </cell>
          <cell r="B2744">
            <v>269517.03000000003</v>
          </cell>
        </row>
        <row r="2745">
          <cell r="A2745" t="str">
            <v>Water Dispenser</v>
          </cell>
          <cell r="B2745">
            <v>21006.66</v>
          </cell>
        </row>
        <row r="2746">
          <cell r="A2746" t="str">
            <v>Water Pipeline</v>
          </cell>
          <cell r="B2746">
            <v>421373</v>
          </cell>
        </row>
        <row r="2747">
          <cell r="A2747" t="str">
            <v>Water Softening Plant</v>
          </cell>
          <cell r="B2747">
            <v>1746437</v>
          </cell>
        </row>
        <row r="2748">
          <cell r="A2748" t="str">
            <v>Water Tank</v>
          </cell>
          <cell r="B2748">
            <v>68400</v>
          </cell>
        </row>
        <row r="2749">
          <cell r="A2749" t="str">
            <v>Water Tank-1000 Ltr.</v>
          </cell>
          <cell r="B2749">
            <v>9100</v>
          </cell>
        </row>
        <row r="2750">
          <cell r="A2750" t="str">
            <v>Water Tanker</v>
          </cell>
          <cell r="B2750">
            <v>786570</v>
          </cell>
        </row>
        <row r="2751">
          <cell r="A2751" t="str">
            <v>Watering Vaccum Pump</v>
          </cell>
          <cell r="B2751">
            <v>24354</v>
          </cell>
        </row>
        <row r="2752">
          <cell r="A2752" t="str">
            <v>Watertank 2000 Ltr Reno</v>
          </cell>
          <cell r="B2752">
            <v>28100</v>
          </cell>
        </row>
        <row r="2753">
          <cell r="A2753" t="str">
            <v>Web Alinger Air Sensor</v>
          </cell>
          <cell r="B2753">
            <v>128375</v>
          </cell>
        </row>
        <row r="2754">
          <cell r="A2754" t="str">
            <v>Web Alinger Machine</v>
          </cell>
          <cell r="B2754">
            <v>156653</v>
          </cell>
        </row>
        <row r="2755">
          <cell r="A2755" t="str">
            <v>Web Camera</v>
          </cell>
          <cell r="B2755">
            <v>483189.07</v>
          </cell>
        </row>
        <row r="2756">
          <cell r="A2756" t="str">
            <v>Web Inspection Rewinding Machine</v>
          </cell>
          <cell r="B2756">
            <v>1800000</v>
          </cell>
        </row>
        <row r="2757">
          <cell r="A2757" t="str">
            <v>Weighment Expense</v>
          </cell>
          <cell r="B2757">
            <v>121270</v>
          </cell>
        </row>
        <row r="2758">
          <cell r="A2758" t="str">
            <v>Weight Bridge A/C</v>
          </cell>
          <cell r="B2758">
            <v>69600</v>
          </cell>
        </row>
        <row r="2759">
          <cell r="A2759" t="str">
            <v>Weightment Scale</v>
          </cell>
          <cell r="B2759">
            <v>1300273.95</v>
          </cell>
        </row>
        <row r="2760">
          <cell r="A2760" t="str">
            <v>Weightment Scale Electronic VIP</v>
          </cell>
          <cell r="B2760">
            <v>6427.12</v>
          </cell>
        </row>
        <row r="2761">
          <cell r="A2761" t="str">
            <v>Welar Corporation</v>
          </cell>
          <cell r="B2761">
            <v>-23966</v>
          </cell>
        </row>
        <row r="2762">
          <cell r="A2762" t="str">
            <v>Welding Machine</v>
          </cell>
          <cell r="B2762">
            <v>157970</v>
          </cell>
        </row>
        <row r="2763">
          <cell r="A2763" t="str">
            <v>Welding Winder</v>
          </cell>
          <cell r="B2763">
            <v>689891</v>
          </cell>
        </row>
        <row r="2764">
          <cell r="A2764" t="str">
            <v>Wenzhou Qianfeng International Trade Co., Ltd</v>
          </cell>
          <cell r="B2764">
            <v>-381.5</v>
          </cell>
        </row>
        <row r="2765">
          <cell r="A2765" t="str">
            <v>Werba S.A.</v>
          </cell>
          <cell r="B2765">
            <v>0</v>
          </cell>
        </row>
        <row r="2766">
          <cell r="A2766" t="str">
            <v>West India Forklift Services</v>
          </cell>
          <cell r="B2766">
            <v>-17947</v>
          </cell>
        </row>
        <row r="2767">
          <cell r="A2767" t="str">
            <v>Western Grain Trading Inc</v>
          </cell>
          <cell r="B2767">
            <v>0</v>
          </cell>
        </row>
        <row r="2768">
          <cell r="A2768" t="str">
            <v>Westwind Shipping And Logistics Pvt.Ltd</v>
          </cell>
          <cell r="B2768">
            <v>0</v>
          </cell>
        </row>
        <row r="2769">
          <cell r="A2769" t="str">
            <v>White Valley Private Limited</v>
          </cell>
          <cell r="B2769">
            <v>-95124</v>
          </cell>
        </row>
        <row r="2770">
          <cell r="A2770" t="str">
            <v>Winco Automation</v>
          </cell>
          <cell r="B2770">
            <v>0</v>
          </cell>
        </row>
        <row r="2771">
          <cell r="A2771" t="str">
            <v>Wind Mill 1.5 MW</v>
          </cell>
          <cell r="B2771">
            <v>68557970.409999996</v>
          </cell>
        </row>
        <row r="2772">
          <cell r="A2772" t="str">
            <v>Winder Machine</v>
          </cell>
          <cell r="B2772">
            <v>589909</v>
          </cell>
        </row>
        <row r="2773">
          <cell r="A2773" t="str">
            <v>Winder Ms Cone</v>
          </cell>
          <cell r="B2773">
            <v>44090</v>
          </cell>
        </row>
        <row r="2774">
          <cell r="A2774" t="str">
            <v>Wireventure Electrical Works</v>
          </cell>
          <cell r="B2774">
            <v>0</v>
          </cell>
        </row>
        <row r="2775">
          <cell r="A2775" t="str">
            <v>Worldwide Logistics (India) Pvt Ltd-06AAACW3529P1ZX</v>
          </cell>
          <cell r="B2775">
            <v>0</v>
          </cell>
        </row>
        <row r="2776">
          <cell r="A2776" t="str">
            <v>Wwl India Private Limited</v>
          </cell>
          <cell r="B2776">
            <v>0</v>
          </cell>
        </row>
        <row r="2777">
          <cell r="A2777" t="str">
            <v>Yadav Crane Service</v>
          </cell>
          <cell r="B2777">
            <v>-4500</v>
          </cell>
        </row>
        <row r="2778">
          <cell r="A2778" t="str">
            <v>Yao Ke Jie</v>
          </cell>
          <cell r="B2778">
            <v>0.75</v>
          </cell>
        </row>
        <row r="2779">
          <cell r="A2779" t="str">
            <v>Yash Industries</v>
          </cell>
          <cell r="B2779">
            <v>0</v>
          </cell>
        </row>
        <row r="2780">
          <cell r="A2780" t="str">
            <v>Yashasvi International Llp</v>
          </cell>
          <cell r="B2780">
            <v>4472.2</v>
          </cell>
        </row>
        <row r="2781">
          <cell r="A2781" t="str">
            <v>Yen Traders</v>
          </cell>
          <cell r="B2781">
            <v>-6154</v>
          </cell>
        </row>
        <row r="2782">
          <cell r="A2782" t="str">
            <v>Yes Bank Ltd. - 24AAACY2068D1ZM</v>
          </cell>
          <cell r="B2782">
            <v>0</v>
          </cell>
        </row>
        <row r="2783">
          <cell r="A2783" t="str">
            <v>Yuan Da Plastic Fabric Corporation</v>
          </cell>
          <cell r="B2783">
            <v>0</v>
          </cell>
        </row>
        <row r="2784">
          <cell r="A2784" t="str">
            <v>Yuni Filaments</v>
          </cell>
          <cell r="B2784">
            <v>0</v>
          </cell>
        </row>
        <row r="2785">
          <cell r="A2785" t="str">
            <v>Zdenek Prochazka</v>
          </cell>
          <cell r="B2785">
            <v>0</v>
          </cell>
        </row>
        <row r="2786">
          <cell r="A2786" t="str">
            <v>Zedex Industries</v>
          </cell>
          <cell r="B2786">
            <v>13465.93</v>
          </cell>
        </row>
        <row r="2787">
          <cell r="A2787" t="str">
            <v>Zhejiang Guxiandao Polyester Dope Dyed Yarn Co.,Ltd</v>
          </cell>
          <cell r="B2787">
            <v>-49605.599999999999</v>
          </cell>
        </row>
        <row r="2788">
          <cell r="A2788" t="str">
            <v>Zhejiang Unifull Industrial Fibre Co Ltd</v>
          </cell>
          <cell r="B2788">
            <v>4120.13</v>
          </cell>
        </row>
        <row r="2789">
          <cell r="A2789" t="str">
            <v>Zibo Riyuejin Plastic Machinery Co Ltd</v>
          </cell>
          <cell r="B2789">
            <v>151170.04</v>
          </cell>
        </row>
        <row r="2790">
          <cell r="A2790" t="str">
            <v>Zim Integrated Shipping Services (I) Pvt Ltd</v>
          </cell>
          <cell r="B2790">
            <v>31152</v>
          </cell>
        </row>
        <row r="2791">
          <cell r="A2791" t="str">
            <v>Zunaidul Isalm</v>
          </cell>
          <cell r="B2791">
            <v>0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Sheet1"/>
    </sheetNames>
    <sheetDataSet>
      <sheetData sheetId="0"/>
      <sheetData sheetId="1">
        <row r="2">
          <cell r="D2" t="str">
            <v>Particular</v>
          </cell>
          <cell r="AB2" t="str">
            <v>GST-IN</v>
          </cell>
        </row>
        <row r="3">
          <cell r="D3" t="str">
            <v>K.P. Woven Pvt Ltd - Unit 3 -Sales</v>
          </cell>
          <cell r="AB3" t="str">
            <v>24AAECK6307M2ZE</v>
          </cell>
        </row>
        <row r="4">
          <cell r="D4" t="str">
            <v>K.P. Woven Pvt Ltd - Unit 3 -Sales</v>
          </cell>
          <cell r="AB4" t="str">
            <v>24AAECK6307M2ZE</v>
          </cell>
        </row>
        <row r="5">
          <cell r="D5" t="str">
            <v>K.P. Woven Pvt Ltd - Unit 3 -Sales</v>
          </cell>
          <cell r="AB5" t="str">
            <v>24AAECK6307M2ZE</v>
          </cell>
        </row>
        <row r="6">
          <cell r="D6" t="str">
            <v>K.P. Woven Pvt Ltd - Unit 3 -Sales</v>
          </cell>
          <cell r="AB6" t="str">
            <v>24AAECK6307M2ZE</v>
          </cell>
        </row>
        <row r="7">
          <cell r="D7" t="str">
            <v>K.P. Woven Pvt Ltd - Unit 3 -Sales</v>
          </cell>
          <cell r="AB7" t="str">
            <v>24AAECK6307M2ZE</v>
          </cell>
        </row>
        <row r="8">
          <cell r="D8" t="str">
            <v>K.P. Woven Pvt Ltd-Sales</v>
          </cell>
          <cell r="AB8" t="str">
            <v>24AAECK6307M1ZF</v>
          </cell>
        </row>
        <row r="9">
          <cell r="D9" t="str">
            <v>K.P. Woven Pvt Ltd-Sales</v>
          </cell>
          <cell r="AB9" t="str">
            <v>24AAECK6307M1ZF</v>
          </cell>
        </row>
        <row r="10">
          <cell r="D10" t="str">
            <v>K.P. Woven Pvt Ltd-Sales</v>
          </cell>
          <cell r="AB10" t="str">
            <v>24AAECK6307M1ZF</v>
          </cell>
        </row>
        <row r="11">
          <cell r="D11" t="str">
            <v>K.P. Woven Pvt Ltd-Sales</v>
          </cell>
          <cell r="AB11" t="str">
            <v>24AAECK6307M1ZF</v>
          </cell>
        </row>
        <row r="12">
          <cell r="D12" t="str">
            <v>K.P. Woven Pvt Ltd-Sales</v>
          </cell>
          <cell r="AB12" t="str">
            <v>24AAECK6307M1ZF</v>
          </cell>
        </row>
        <row r="13">
          <cell r="D13" t="str">
            <v>K.P. Woven Pvt Ltd-Sales</v>
          </cell>
          <cell r="AB13" t="str">
            <v>24AAECK6307M1ZF</v>
          </cell>
        </row>
        <row r="14">
          <cell r="D14" t="str">
            <v>Lionel Samson Packaging Co Pty Ltd.</v>
          </cell>
          <cell r="AB14" t="str">
            <v>N.A.</v>
          </cell>
        </row>
        <row r="15">
          <cell r="D15" t="str">
            <v>Plastene Polyfilms Ltd-Sales</v>
          </cell>
          <cell r="AB15" t="str">
            <v>24AAFCP2956A1ZR</v>
          </cell>
        </row>
        <row r="16">
          <cell r="D16" t="str">
            <v>Plastene Polyfilms Ltd-Sales</v>
          </cell>
          <cell r="AB16" t="str">
            <v>24AAFCP2956A1ZR</v>
          </cell>
        </row>
        <row r="17">
          <cell r="D17" t="str">
            <v>Plastene Polyfilms Ltd-Sales</v>
          </cell>
          <cell r="AB17" t="str">
            <v>24AAFCP2956A1ZR</v>
          </cell>
        </row>
        <row r="18">
          <cell r="D18" t="str">
            <v>Plastene Polyfilms Ltd-Sales</v>
          </cell>
          <cell r="AB18" t="str">
            <v>24AAFCP2956A1ZR</v>
          </cell>
        </row>
        <row r="19">
          <cell r="D19" t="str">
            <v>Plastene Polyfilms Ltd-Sales</v>
          </cell>
          <cell r="AB19" t="str">
            <v>24AAFCP2956A1ZR</v>
          </cell>
        </row>
        <row r="20">
          <cell r="D20" t="str">
            <v>Plastene Polyfilms Ltd-Sales</v>
          </cell>
          <cell r="AB20" t="str">
            <v>24AAFCP2956A1ZR</v>
          </cell>
        </row>
        <row r="21">
          <cell r="D21" t="str">
            <v>Plastene Polyfilms Ltd-Sales</v>
          </cell>
          <cell r="AB21" t="str">
            <v>24AAFCP2956A1ZR</v>
          </cell>
        </row>
        <row r="22">
          <cell r="D22" t="str">
            <v>SO Bag</v>
          </cell>
          <cell r="AB22" t="str">
            <v>N.A.</v>
          </cell>
        </row>
        <row r="23">
          <cell r="D23" t="str">
            <v>Hidden Gold LLC</v>
          </cell>
          <cell r="AB23" t="str">
            <v>N.A.</v>
          </cell>
        </row>
        <row r="24">
          <cell r="D24" t="str">
            <v>Hidden Gold LLC</v>
          </cell>
          <cell r="AB24" t="str">
            <v>N.A.</v>
          </cell>
        </row>
        <row r="25">
          <cell r="D25" t="str">
            <v>K.P. Woven Pvt Ltd - Unit 3 -Sales</v>
          </cell>
          <cell r="AB25" t="str">
            <v>24AAECK6307M2ZE</v>
          </cell>
        </row>
        <row r="26">
          <cell r="D26" t="str">
            <v>K.P. Woven Pvt Ltd-Sales</v>
          </cell>
          <cell r="AB26" t="str">
            <v>24AAECK6307M1ZF</v>
          </cell>
        </row>
        <row r="27">
          <cell r="D27" t="str">
            <v>K.P. Woven Pvt Ltd-Sales</v>
          </cell>
          <cell r="AB27" t="str">
            <v>24AAECK6307M1ZF</v>
          </cell>
        </row>
        <row r="28">
          <cell r="D28" t="str">
            <v>K.P. Woven Pvt Ltd-Sales</v>
          </cell>
          <cell r="AB28" t="str">
            <v>24AAECK6307M1ZF</v>
          </cell>
        </row>
        <row r="29">
          <cell r="D29" t="str">
            <v>K.P. Woven Pvt Ltd-Sales</v>
          </cell>
          <cell r="AB29" t="str">
            <v>24AAECK6307M1ZF</v>
          </cell>
        </row>
        <row r="30">
          <cell r="D30" t="str">
            <v>K.P. Woven Pvt Ltd-Sales</v>
          </cell>
          <cell r="AB30" t="str">
            <v>24AAECK6307M1ZF</v>
          </cell>
        </row>
        <row r="31">
          <cell r="D31" t="str">
            <v>K.P. Woven Pvt Ltd-Sales</v>
          </cell>
          <cell r="AB31" t="str">
            <v>24AAECK6307M1ZF</v>
          </cell>
        </row>
        <row r="32">
          <cell r="D32" t="str">
            <v>K.P. Woven Pvt Ltd-Sales</v>
          </cell>
          <cell r="AB32" t="str">
            <v>24AAECK6307M1ZF</v>
          </cell>
        </row>
        <row r="33">
          <cell r="D33" t="str">
            <v>K.P. Woven Pvt Ltd-Sales</v>
          </cell>
          <cell r="AB33" t="str">
            <v>24AAECK6307M1ZF</v>
          </cell>
        </row>
        <row r="34">
          <cell r="D34" t="str">
            <v>Plastene Polyfilms Ltd-Sales</v>
          </cell>
          <cell r="AB34" t="str">
            <v>24AAFCP2956A1ZR</v>
          </cell>
        </row>
        <row r="35">
          <cell r="D35" t="str">
            <v>Plastene Polyfilms Ltd-Sales</v>
          </cell>
          <cell r="AB35" t="str">
            <v>24AAFCP2956A1ZR</v>
          </cell>
        </row>
        <row r="36">
          <cell r="D36" t="str">
            <v>Plastene Polyfilms Ltd-Sales</v>
          </cell>
          <cell r="AB36" t="str">
            <v>24AAFCP2956A1ZR</v>
          </cell>
        </row>
        <row r="37">
          <cell r="D37" t="str">
            <v>Plastene Polyfilms Ltd-Sales</v>
          </cell>
          <cell r="AB37" t="str">
            <v>24AAFCP2956A1ZR</v>
          </cell>
        </row>
        <row r="38">
          <cell r="D38" t="str">
            <v>Plastene Polyfilms Ltd-Sales</v>
          </cell>
          <cell r="AB38" t="str">
            <v>24AAFCP2956A1ZR</v>
          </cell>
        </row>
        <row r="39">
          <cell r="D39" t="str">
            <v>Plastene Polyfilms Ltd-Sales</v>
          </cell>
          <cell r="AB39" t="str">
            <v>24AAFCP2956A1ZR</v>
          </cell>
        </row>
        <row r="40">
          <cell r="D40" t="str">
            <v>Plastene Polyfilms Ltd-Sales</v>
          </cell>
          <cell r="AB40" t="str">
            <v>24AAFCP2956A1ZR</v>
          </cell>
        </row>
        <row r="41">
          <cell r="D41" t="str">
            <v>Plastene Polyfilms Ltd-Sales</v>
          </cell>
          <cell r="AB41" t="str">
            <v>24AAFCP2956A1ZR</v>
          </cell>
        </row>
        <row r="42">
          <cell r="D42" t="str">
            <v>Plastene Polyfilms Ltd-Sales</v>
          </cell>
          <cell r="AB42" t="str">
            <v>24AAFCP2956A1ZR</v>
          </cell>
        </row>
        <row r="43">
          <cell r="D43" t="str">
            <v>Plastene Polyfilms Ltd-Sales</v>
          </cell>
          <cell r="AB43" t="str">
            <v>24AAFCP2956A1ZR</v>
          </cell>
        </row>
        <row r="44">
          <cell r="D44" t="str">
            <v>Plastene Polyfilms Ltd-Sales</v>
          </cell>
          <cell r="AB44" t="str">
            <v>24AAFCP2956A1ZR</v>
          </cell>
        </row>
        <row r="45">
          <cell r="D45" t="str">
            <v>Plastene Polyfilms Ltd-Sales</v>
          </cell>
          <cell r="AB45" t="str">
            <v>24AAFCP2956A1ZR</v>
          </cell>
        </row>
        <row r="46">
          <cell r="D46" t="str">
            <v>Ambika Petrochem Private Limited</v>
          </cell>
          <cell r="AB46" t="str">
            <v>24AACCA3482H1ZW</v>
          </cell>
        </row>
        <row r="47">
          <cell r="D47" t="str">
            <v>Jain Bulk Pack - Ahmedabad</v>
          </cell>
          <cell r="AB47" t="str">
            <v>24AFOPG7793M1ZO</v>
          </cell>
        </row>
        <row r="48">
          <cell r="D48" t="str">
            <v>K.P. Woven Pvt Ltd - Unit 3 -Sales</v>
          </cell>
          <cell r="AB48" t="str">
            <v>24AAECK6307M2ZE</v>
          </cell>
        </row>
        <row r="49">
          <cell r="D49" t="str">
            <v>K.P. Woven Pvt Ltd - Unit 3 -Sales</v>
          </cell>
          <cell r="AB49" t="str">
            <v>24AAECK6307M2ZE</v>
          </cell>
        </row>
        <row r="50">
          <cell r="D50" t="str">
            <v>K.P. Woven Pvt Ltd - Unit 3 -Sales</v>
          </cell>
          <cell r="AB50" t="str">
            <v>24AAECK6307M2ZE</v>
          </cell>
        </row>
        <row r="51">
          <cell r="D51" t="str">
            <v>K.P. Woven Pvt Ltd - Unit 3 -Sales</v>
          </cell>
          <cell r="AB51" t="str">
            <v>24AAECK6307M2ZE</v>
          </cell>
        </row>
        <row r="52">
          <cell r="D52" t="str">
            <v>K.P. Woven Pvt Ltd - Unit 3 -Sales</v>
          </cell>
          <cell r="AB52" t="str">
            <v>24AAECK6307M2ZE</v>
          </cell>
        </row>
        <row r="53">
          <cell r="D53" t="str">
            <v>K.P. Woven Pvt Ltd - Unit 3 -Sales</v>
          </cell>
          <cell r="AB53" t="str">
            <v>24AAECK6307M2ZE</v>
          </cell>
        </row>
        <row r="54">
          <cell r="D54" t="str">
            <v>K.P. Woven Pvt Ltd - Unit 3 -Sales</v>
          </cell>
          <cell r="AB54" t="str">
            <v>24AAECK6307M2ZE</v>
          </cell>
        </row>
        <row r="55">
          <cell r="D55" t="str">
            <v>K.P. Woven Pvt Ltd - Unit 3 -Sales</v>
          </cell>
          <cell r="AB55" t="str">
            <v>24AAECK6307M2ZE</v>
          </cell>
        </row>
        <row r="56">
          <cell r="D56" t="str">
            <v>K.P. Woven Pvt Ltd-Sales</v>
          </cell>
          <cell r="AB56" t="str">
            <v>24AAECK6307M1ZF</v>
          </cell>
        </row>
        <row r="57">
          <cell r="D57" t="str">
            <v>K.P. Woven Pvt Ltd-Sales</v>
          </cell>
          <cell r="AB57" t="str">
            <v>24AAECK6307M1ZF</v>
          </cell>
        </row>
        <row r="58">
          <cell r="D58" t="str">
            <v>K.P. Woven Pvt Ltd-Sales</v>
          </cell>
          <cell r="AB58" t="str">
            <v>24AAECK6307M1ZF</v>
          </cell>
        </row>
        <row r="59">
          <cell r="D59" t="str">
            <v>K.P. Woven Pvt Ltd-Sales</v>
          </cell>
          <cell r="AB59" t="str">
            <v>24AAECK6307M1ZF</v>
          </cell>
        </row>
        <row r="60">
          <cell r="D60" t="str">
            <v>K.P. Woven Pvt Ltd-Sales</v>
          </cell>
          <cell r="AB60" t="str">
            <v>24AAECK6307M1ZF</v>
          </cell>
        </row>
        <row r="61">
          <cell r="D61" t="str">
            <v>K.P. Woven Pvt Ltd-Sales</v>
          </cell>
          <cell r="AB61" t="str">
            <v>24AAECK6307M1ZF</v>
          </cell>
        </row>
        <row r="62">
          <cell r="D62" t="str">
            <v>K.P. Woven Pvt Ltd-Sales</v>
          </cell>
          <cell r="AB62" t="str">
            <v>24AAECK6307M1ZF</v>
          </cell>
        </row>
        <row r="63">
          <cell r="D63" t="str">
            <v>K.P. Woven Pvt Ltd-Sales</v>
          </cell>
          <cell r="AB63" t="str">
            <v>24AAECK6307M1ZF</v>
          </cell>
        </row>
        <row r="64">
          <cell r="D64" t="str">
            <v>K.P. Woven Pvt Ltd-Sales</v>
          </cell>
          <cell r="AB64" t="str">
            <v>24AAECK6307M1ZF</v>
          </cell>
        </row>
        <row r="65">
          <cell r="D65" t="str">
            <v>K.P. Woven Pvt Ltd-Sales</v>
          </cell>
          <cell r="AB65" t="str">
            <v>24AAECK6307M1ZF</v>
          </cell>
        </row>
        <row r="66">
          <cell r="D66" t="str">
            <v>K.P. Woven Pvt Ltd-Sales</v>
          </cell>
          <cell r="AB66" t="str">
            <v>24AAECK6307M1ZF</v>
          </cell>
        </row>
        <row r="67">
          <cell r="D67" t="str">
            <v>Plastene Polyfilms Ltd-Sales</v>
          </cell>
          <cell r="AB67" t="str">
            <v>24AAFCP2956A1ZR</v>
          </cell>
        </row>
        <row r="68">
          <cell r="D68" t="str">
            <v>Plastene Polyfilms Ltd-Sales</v>
          </cell>
          <cell r="AB68" t="str">
            <v>24AAFCP2956A1ZR</v>
          </cell>
        </row>
        <row r="69">
          <cell r="D69" t="str">
            <v>Plastene Polyfilms Ltd-Sales</v>
          </cell>
          <cell r="AB69" t="str">
            <v>24AAFCP2956A1ZR</v>
          </cell>
        </row>
        <row r="70">
          <cell r="D70" t="str">
            <v>Plastene Polyfilms Ltd-Sales</v>
          </cell>
          <cell r="AB70" t="str">
            <v>24AAFCP2956A1ZR</v>
          </cell>
        </row>
        <row r="71">
          <cell r="D71" t="str">
            <v>Plastene Polyfilms Ltd-Sales</v>
          </cell>
          <cell r="AB71" t="str">
            <v>24AAFCP2956A1ZR</v>
          </cell>
        </row>
        <row r="72">
          <cell r="D72" t="str">
            <v>Plastene Polyfilms Ltd-Sales</v>
          </cell>
          <cell r="AB72" t="str">
            <v>24AAFCP2956A1ZR</v>
          </cell>
        </row>
        <row r="73">
          <cell r="D73" t="str">
            <v>Plastene Polyfilms Ltd-Sales</v>
          </cell>
          <cell r="AB73" t="str">
            <v>24AAFCP2956A1ZR</v>
          </cell>
        </row>
        <row r="74">
          <cell r="D74" t="str">
            <v>Plastene Polyfilms Ltd-Sales</v>
          </cell>
          <cell r="AB74" t="str">
            <v>24AAFCP2956A1ZR</v>
          </cell>
        </row>
        <row r="75">
          <cell r="D75" t="str">
            <v>Plastene Polyfilms Ltd-Sales</v>
          </cell>
          <cell r="AB75" t="str">
            <v>24AAFCP2956A1ZR</v>
          </cell>
        </row>
        <row r="76">
          <cell r="D76" t="str">
            <v>Juta A.S.</v>
          </cell>
          <cell r="AB76" t="str">
            <v>N.A.</v>
          </cell>
        </row>
        <row r="77">
          <cell r="D77" t="str">
            <v>K.P. Woven Pvt Ltd - Unit 3 -Sales</v>
          </cell>
          <cell r="AB77" t="str">
            <v>24AAECK6307M2ZE</v>
          </cell>
        </row>
        <row r="78">
          <cell r="D78" t="str">
            <v>K.P. Woven Pvt Ltd-Sales</v>
          </cell>
          <cell r="AB78" t="str">
            <v>24AAECK6307M1ZF</v>
          </cell>
        </row>
        <row r="79">
          <cell r="D79" t="str">
            <v>K.P. Woven Pvt Ltd-Sales</v>
          </cell>
          <cell r="AB79" t="str">
            <v>24AAECK6307M1ZF</v>
          </cell>
        </row>
        <row r="80">
          <cell r="D80" t="str">
            <v>K.P. Woven Pvt Ltd-Sales</v>
          </cell>
          <cell r="AB80" t="str">
            <v>24AAECK6307M1ZF</v>
          </cell>
        </row>
        <row r="81">
          <cell r="D81" t="str">
            <v>K.P. Woven Pvt Ltd-Sales</v>
          </cell>
          <cell r="AB81" t="str">
            <v>24AAECK6307M1ZF</v>
          </cell>
        </row>
        <row r="82">
          <cell r="D82" t="str">
            <v>K.P. Woven Pvt Ltd-Sales</v>
          </cell>
          <cell r="AB82" t="str">
            <v>24AAECK6307M1ZF</v>
          </cell>
        </row>
        <row r="83">
          <cell r="D83" t="str">
            <v>K.P. Woven Pvt Ltd-Sales</v>
          </cell>
          <cell r="AB83" t="str">
            <v>24AAECK6307M1ZF</v>
          </cell>
        </row>
        <row r="84">
          <cell r="D84" t="str">
            <v>K.P. Woven Pvt Ltd-Sales</v>
          </cell>
          <cell r="AB84" t="str">
            <v>24AAECK6307M1ZF</v>
          </cell>
        </row>
        <row r="85">
          <cell r="D85" t="str">
            <v>K.P. Woven Pvt Ltd-Sales</v>
          </cell>
          <cell r="AB85" t="str">
            <v>24AAECK6307M1ZF</v>
          </cell>
        </row>
        <row r="86">
          <cell r="D86" t="str">
            <v>Plastene Polyfilms Ltd-Sales</v>
          </cell>
          <cell r="AB86" t="str">
            <v>24AAFCP2956A1ZR</v>
          </cell>
        </row>
        <row r="87">
          <cell r="D87" t="str">
            <v>Plastene Polyfilms Ltd-Sales</v>
          </cell>
          <cell r="AB87" t="str">
            <v>24AAFCP2956A1ZR</v>
          </cell>
        </row>
        <row r="88">
          <cell r="D88" t="str">
            <v>Plastene Polyfilms Ltd-Sales</v>
          </cell>
          <cell r="AB88" t="str">
            <v>24AAFCP2956A1ZR</v>
          </cell>
        </row>
        <row r="89">
          <cell r="D89" t="str">
            <v>Plastene Polyfilms Ltd-Sales</v>
          </cell>
          <cell r="AB89" t="str">
            <v>24AAFCP2956A1ZR</v>
          </cell>
        </row>
        <row r="90">
          <cell r="D90" t="str">
            <v>Plastene Polyfilms Ltd-Sales</v>
          </cell>
          <cell r="AB90" t="str">
            <v>24AAFCP2956A1ZR</v>
          </cell>
        </row>
        <row r="91">
          <cell r="D91" t="str">
            <v>Plastene Polyfilms Ltd-Sales</v>
          </cell>
          <cell r="AB91" t="str">
            <v>24AAFCP2956A1ZR</v>
          </cell>
        </row>
        <row r="92">
          <cell r="D92" t="str">
            <v>Plastene Polyfilms Ltd-Sales</v>
          </cell>
          <cell r="AB92" t="str">
            <v>24AAFCP2956A1ZR</v>
          </cell>
        </row>
        <row r="93">
          <cell r="D93" t="str">
            <v>Plastene Polyfilms Ltd-Sales</v>
          </cell>
          <cell r="AB93" t="str">
            <v>24AAFCP2956A1ZR</v>
          </cell>
        </row>
        <row r="94">
          <cell r="D94" t="str">
            <v>Plastene Polyfilms Ltd-Sales</v>
          </cell>
          <cell r="AB94" t="str">
            <v>24AAFCP2956A1ZR</v>
          </cell>
        </row>
        <row r="95">
          <cell r="D95" t="str">
            <v>Plastene Polyfilms Ltd-Sales</v>
          </cell>
          <cell r="AB95" t="str">
            <v>24AAFCP2956A1ZR</v>
          </cell>
        </row>
        <row r="96">
          <cell r="D96" t="str">
            <v>Plastene Polyfilms Ltd-Sales</v>
          </cell>
          <cell r="AB96" t="str">
            <v>24AAFCP2956A1ZR</v>
          </cell>
        </row>
        <row r="97">
          <cell r="D97" t="str">
            <v>Plastene Polyfilms Ltd-Sales</v>
          </cell>
          <cell r="AB97" t="str">
            <v>24AAFCP2956A1ZR</v>
          </cell>
        </row>
        <row r="98">
          <cell r="D98" t="str">
            <v>Qpac Packaging LLP</v>
          </cell>
          <cell r="AB98" t="str">
            <v>N.A.</v>
          </cell>
        </row>
        <row r="99">
          <cell r="D99" t="str">
            <v>Comercial Pra Cafe Ltda - Manaus</v>
          </cell>
          <cell r="AB99" t="str">
            <v>N.A.</v>
          </cell>
        </row>
        <row r="100">
          <cell r="D100" t="str">
            <v>K.P. Woven Pvt Ltd - Unit 3 -Sales</v>
          </cell>
          <cell r="AB100" t="str">
            <v>24AAECK6307M2ZE</v>
          </cell>
        </row>
        <row r="101">
          <cell r="D101" t="str">
            <v>K.P. Woven Pvt Ltd - Unit 3 -Sales</v>
          </cell>
          <cell r="AB101" t="str">
            <v>24AAECK6307M2ZE</v>
          </cell>
        </row>
        <row r="102">
          <cell r="D102" t="str">
            <v>K.P. Woven Pvt Ltd - Unit 3 -Sales</v>
          </cell>
          <cell r="AB102" t="str">
            <v>24AAECK6307M2ZE</v>
          </cell>
        </row>
        <row r="103">
          <cell r="D103" t="str">
            <v>K.P. Woven Pvt Ltd - Unit 3 -Sales</v>
          </cell>
          <cell r="AB103" t="str">
            <v>24AAECK6307M2ZE</v>
          </cell>
        </row>
        <row r="104">
          <cell r="D104" t="str">
            <v>K.P. Woven Pvt Ltd - Unit 3 -Sales</v>
          </cell>
          <cell r="AB104" t="str">
            <v>24AAECK6307M2ZE</v>
          </cell>
        </row>
        <row r="105">
          <cell r="D105" t="str">
            <v>K.P. Woven Pvt Ltd - Unit 3 -Sales</v>
          </cell>
          <cell r="AB105" t="str">
            <v>24AAECK6307M2ZE</v>
          </cell>
        </row>
        <row r="106">
          <cell r="D106" t="str">
            <v>K.P. Woven Pvt Ltd - Unit 3 -Sales</v>
          </cell>
          <cell r="AB106" t="str">
            <v>24AAECK6307M2ZE</v>
          </cell>
        </row>
        <row r="107">
          <cell r="D107" t="str">
            <v>Plastene Polyfilms Ltd-Sales</v>
          </cell>
          <cell r="AB107" t="str">
            <v>24AAFCP2956A1ZR</v>
          </cell>
        </row>
        <row r="108">
          <cell r="D108" t="str">
            <v>Plastene Polyfilms Ltd-Sales</v>
          </cell>
          <cell r="AB108" t="str">
            <v>24AAFCP2956A1ZR</v>
          </cell>
        </row>
        <row r="109">
          <cell r="D109" t="str">
            <v>Plastene Polyfilms Ltd-Sales</v>
          </cell>
          <cell r="AB109" t="str">
            <v>24AAFCP2956A1ZR</v>
          </cell>
        </row>
        <row r="110">
          <cell r="D110" t="str">
            <v>Plastene Polyfilms Ltd-Sales</v>
          </cell>
          <cell r="AB110" t="str">
            <v>24AAFCP2956A1ZR</v>
          </cell>
        </row>
        <row r="111">
          <cell r="D111" t="str">
            <v>Plastene Polyfilms Ltd-Sales</v>
          </cell>
          <cell r="AB111" t="str">
            <v>24AAFCP2956A1ZR</v>
          </cell>
        </row>
        <row r="112">
          <cell r="D112" t="str">
            <v>Plastene Polyfilms Ltd-Sales</v>
          </cell>
          <cell r="AB112" t="str">
            <v>24AAFCP2956A1ZR</v>
          </cell>
        </row>
        <row r="113">
          <cell r="D113" t="str">
            <v>Plastene Polyfilms Ltd-Sales</v>
          </cell>
          <cell r="AB113" t="str">
            <v>24AAFCP2956A1ZR</v>
          </cell>
        </row>
        <row r="114">
          <cell r="D114" t="str">
            <v>Plastene Polyfilms Ltd-Sales</v>
          </cell>
          <cell r="AB114" t="str">
            <v>24AAFCP2956A1ZR</v>
          </cell>
        </row>
        <row r="115">
          <cell r="D115" t="str">
            <v>HCP Plastene Bulkpack Limited - Sales</v>
          </cell>
          <cell r="AB115" t="str">
            <v>24AABCG1282C2Z6</v>
          </cell>
        </row>
        <row r="116">
          <cell r="D116" t="str">
            <v>K.P. Woven Pvt Ltd - Unit 3 -Sales</v>
          </cell>
          <cell r="AB116" t="str">
            <v>24AAECK6307M2ZE</v>
          </cell>
        </row>
        <row r="117">
          <cell r="D117" t="str">
            <v>K.P. Woven Pvt Ltd - Unit 3 -Sales</v>
          </cell>
          <cell r="AB117" t="str">
            <v>24AAECK6307M2ZE</v>
          </cell>
        </row>
        <row r="118">
          <cell r="D118" t="str">
            <v>K.P. Woven Pvt Ltd - Unit 3 -Sales</v>
          </cell>
          <cell r="AB118" t="str">
            <v>24AAECK6307M2ZE</v>
          </cell>
        </row>
        <row r="119">
          <cell r="D119" t="str">
            <v>K.P. Woven Pvt Ltd-Sales</v>
          </cell>
          <cell r="AB119" t="str">
            <v>24AAECK6307M1ZF</v>
          </cell>
        </row>
        <row r="120">
          <cell r="D120" t="str">
            <v>K.P. Woven Pvt Ltd-Sales</v>
          </cell>
          <cell r="AB120" t="str">
            <v>24AAECK6307M1ZF</v>
          </cell>
        </row>
        <row r="121">
          <cell r="D121" t="str">
            <v>K.P. Woven Pvt Ltd-Sales</v>
          </cell>
          <cell r="AB121" t="str">
            <v>24AAECK6307M1ZF</v>
          </cell>
        </row>
        <row r="122">
          <cell r="D122" t="str">
            <v>K.P. Woven Pvt Ltd-Sales</v>
          </cell>
          <cell r="AB122" t="str">
            <v>24AAECK6307M1ZF</v>
          </cell>
        </row>
        <row r="123">
          <cell r="D123" t="str">
            <v>K.P. Woven Pvt Ltd-Sales</v>
          </cell>
          <cell r="AB123" t="str">
            <v>24AAECK6307M1ZF</v>
          </cell>
        </row>
        <row r="124">
          <cell r="D124" t="str">
            <v>K.P. Woven Pvt Ltd-Sales</v>
          </cell>
          <cell r="AB124" t="str">
            <v>24AAECK6307M1ZF</v>
          </cell>
        </row>
        <row r="125">
          <cell r="D125" t="str">
            <v>K.P. Woven Pvt Ltd-Sales</v>
          </cell>
          <cell r="AB125" t="str">
            <v>24AAECK6307M1ZF</v>
          </cell>
        </row>
        <row r="126">
          <cell r="D126" t="str">
            <v>K.P. Woven Pvt Ltd-Sales</v>
          </cell>
          <cell r="AB126" t="str">
            <v>24AAECK6307M1ZF</v>
          </cell>
        </row>
        <row r="127">
          <cell r="D127" t="str">
            <v>Plastene Polyfilms Ltd-Sales</v>
          </cell>
          <cell r="AB127" t="str">
            <v>24AAFCP2956A1ZR</v>
          </cell>
        </row>
        <row r="128">
          <cell r="D128" t="str">
            <v>Plastene Polyfilms Ltd-Sales</v>
          </cell>
          <cell r="AB128" t="str">
            <v>24AAFCP2956A1ZR</v>
          </cell>
        </row>
        <row r="129">
          <cell r="D129" t="str">
            <v>Plastene Polyfilms Ltd-Sales</v>
          </cell>
          <cell r="AB129" t="str">
            <v>24AAFCP2956A1ZR</v>
          </cell>
        </row>
        <row r="130">
          <cell r="D130" t="str">
            <v>Plastene Polyfilms Ltd-Sales</v>
          </cell>
          <cell r="AB130" t="str">
            <v>24AAFCP2956A1ZR</v>
          </cell>
        </row>
        <row r="131">
          <cell r="D131" t="str">
            <v>Plastene Polyfilms Ltd-Sales</v>
          </cell>
          <cell r="AB131" t="str">
            <v>24AAFCP2956A1ZR</v>
          </cell>
        </row>
        <row r="132">
          <cell r="D132" t="str">
            <v>Plastene Polyfilms Ltd-Sales</v>
          </cell>
          <cell r="AB132" t="str">
            <v>24AAFCP2956A1ZR</v>
          </cell>
        </row>
        <row r="133">
          <cell r="D133" t="str">
            <v>Plastene Polyfilms Ltd-Sales</v>
          </cell>
          <cell r="AB133" t="str">
            <v>24AAFCP2956A1ZR</v>
          </cell>
        </row>
        <row r="134">
          <cell r="D134" t="str">
            <v>Plastene Polyfilms Ltd-Sales</v>
          </cell>
          <cell r="AB134" t="str">
            <v>24AAFCP2956A1ZR</v>
          </cell>
        </row>
        <row r="135">
          <cell r="D135" t="str">
            <v>Plastene Polyfilms Ltd-Sales</v>
          </cell>
          <cell r="AB135" t="str">
            <v>24AAFCP2956A1ZR</v>
          </cell>
        </row>
        <row r="136">
          <cell r="D136" t="str">
            <v>20 Microns Limited</v>
          </cell>
          <cell r="AB136" t="str">
            <v>24AAACZ0580B1ZS</v>
          </cell>
        </row>
        <row r="137">
          <cell r="D137" t="str">
            <v>K.P. Woven Pvt Ltd - Unit 3 -Sales</v>
          </cell>
          <cell r="AB137" t="str">
            <v>24AAECK6307M2ZE</v>
          </cell>
        </row>
        <row r="138">
          <cell r="D138" t="str">
            <v>K.P. Woven Pvt Ltd - Unit 3 -Sales</v>
          </cell>
          <cell r="AB138" t="str">
            <v>24AAECK6307M2ZE</v>
          </cell>
        </row>
        <row r="139">
          <cell r="D139" t="str">
            <v>K.P. Woven Pvt Ltd - Unit 3 -Sales</v>
          </cell>
          <cell r="AB139" t="str">
            <v>24AAECK6307M2ZE</v>
          </cell>
        </row>
        <row r="140">
          <cell r="D140" t="str">
            <v>Plastene Polyfilms Ltd-Sales</v>
          </cell>
          <cell r="AB140" t="str">
            <v>24AAFCP2956A1ZR</v>
          </cell>
        </row>
        <row r="141">
          <cell r="D141" t="str">
            <v>Plastene Polyfilms Ltd-Sales</v>
          </cell>
          <cell r="AB141" t="str">
            <v>24AAFCP2956A1ZR</v>
          </cell>
        </row>
        <row r="142">
          <cell r="D142" t="str">
            <v>Plastene Polyfilms Ltd-Sales</v>
          </cell>
          <cell r="AB142" t="str">
            <v>24AAFCP2956A1ZR</v>
          </cell>
        </row>
        <row r="143">
          <cell r="D143" t="str">
            <v>Plastene Polyfilms Ltd-Sales</v>
          </cell>
          <cell r="AB143" t="str">
            <v>24AAFCP2956A1ZR</v>
          </cell>
        </row>
        <row r="144">
          <cell r="D144" t="str">
            <v>Plastene Polyfilms Ltd-Sales</v>
          </cell>
          <cell r="AB144" t="str">
            <v>24AAFCP2956A1ZR</v>
          </cell>
        </row>
        <row r="145">
          <cell r="D145" t="str">
            <v>Plastene Polyfilms Ltd-Sales</v>
          </cell>
          <cell r="AB145" t="str">
            <v>24AAFCP2956A1ZR</v>
          </cell>
        </row>
        <row r="146">
          <cell r="D146" t="str">
            <v>Plastene Polyfilms Ltd-Sales</v>
          </cell>
          <cell r="AB146" t="str">
            <v>24AAFCP2956A1ZR</v>
          </cell>
        </row>
        <row r="147">
          <cell r="D147" t="str">
            <v>Plastene Polyfilms Ltd-Sales</v>
          </cell>
          <cell r="AB147" t="str">
            <v>24AAFCP2956A1ZR</v>
          </cell>
        </row>
        <row r="148">
          <cell r="D148" t="str">
            <v>Plastene Polyfilms Ltd-Sales</v>
          </cell>
          <cell r="AB148" t="str">
            <v>24AAFCP2956A1ZR</v>
          </cell>
        </row>
        <row r="149">
          <cell r="D149" t="str">
            <v>Plastene Polyfilms Ltd-Sales</v>
          </cell>
          <cell r="AB149" t="str">
            <v>24AAFCP2956A1ZR</v>
          </cell>
        </row>
        <row r="150">
          <cell r="D150" t="str">
            <v>Plastene Polyfilms Ltd-Sales</v>
          </cell>
          <cell r="AB150" t="str">
            <v>24AAFCP2956A1ZR</v>
          </cell>
        </row>
        <row r="151">
          <cell r="D151" t="str">
            <v>HCP Plastene Bulkpack Limited - Sales</v>
          </cell>
          <cell r="AB151" t="str">
            <v>24AABCG1282C2Z6</v>
          </cell>
        </row>
        <row r="152">
          <cell r="D152" t="str">
            <v>HCP Plastene Bulkpack Limited - Sales</v>
          </cell>
          <cell r="AB152" t="str">
            <v>24AABCG1282C2Z6</v>
          </cell>
        </row>
        <row r="153">
          <cell r="D153" t="str">
            <v>K.P. Woven Pvt Ltd - Unit 3 -Sales</v>
          </cell>
          <cell r="AB153" t="str">
            <v>24AAECK6307M2ZE</v>
          </cell>
        </row>
        <row r="154">
          <cell r="D154" t="str">
            <v>K.P. Woven Pvt Ltd - Unit 3 -Sales</v>
          </cell>
          <cell r="AB154" t="str">
            <v>24AAECK6307M2ZE</v>
          </cell>
        </row>
        <row r="155">
          <cell r="D155" t="str">
            <v>K.P. Woven Pvt Ltd - Unit 3 -Sales</v>
          </cell>
          <cell r="AB155" t="str">
            <v>24AAECK6307M2ZE</v>
          </cell>
        </row>
        <row r="156">
          <cell r="D156" t="str">
            <v>K.P. Woven Pvt Ltd-Sales</v>
          </cell>
          <cell r="AB156" t="str">
            <v>24AAECK6307M1ZF</v>
          </cell>
        </row>
        <row r="157">
          <cell r="D157" t="str">
            <v>K.P. Woven Pvt Ltd-Sales</v>
          </cell>
          <cell r="AB157" t="str">
            <v>24AAECK6307M1ZF</v>
          </cell>
        </row>
        <row r="158">
          <cell r="D158" t="str">
            <v>K.P. Woven Pvt Ltd-Sales</v>
          </cell>
          <cell r="AB158" t="str">
            <v>24AAECK6307M1ZF</v>
          </cell>
        </row>
        <row r="159">
          <cell r="D159" t="str">
            <v>K.P. Woven Pvt Ltd-Sales</v>
          </cell>
          <cell r="AB159" t="str">
            <v>24AAECK6307M1ZF</v>
          </cell>
        </row>
        <row r="160">
          <cell r="D160" t="str">
            <v>K.P. Woven Pvt Ltd-Sales</v>
          </cell>
          <cell r="AB160" t="str">
            <v>24AAECK6307M1ZF</v>
          </cell>
        </row>
        <row r="161">
          <cell r="D161" t="str">
            <v>K.P. Woven Pvt Ltd-Sales</v>
          </cell>
          <cell r="AB161" t="str">
            <v>24AAECK6307M1ZF</v>
          </cell>
        </row>
        <row r="162">
          <cell r="D162" t="str">
            <v>Plastene Polyfilms Ltd-Sales</v>
          </cell>
          <cell r="AB162" t="str">
            <v>24AAFCP2956A1ZR</v>
          </cell>
        </row>
        <row r="163">
          <cell r="D163" t="str">
            <v>Plastene Polyfilms Ltd-Sales</v>
          </cell>
          <cell r="AB163" t="str">
            <v>24AAFCP2956A1ZR</v>
          </cell>
        </row>
        <row r="164">
          <cell r="D164" t="str">
            <v>Plastene Polyfilms Ltd-Sales</v>
          </cell>
          <cell r="AB164" t="str">
            <v>24AAFCP2956A1ZR</v>
          </cell>
        </row>
        <row r="165">
          <cell r="D165" t="str">
            <v>Plastene Polyfilms Ltd-Sales</v>
          </cell>
          <cell r="AB165" t="str">
            <v>24AAFCP2956A1ZR</v>
          </cell>
        </row>
        <row r="166">
          <cell r="D166" t="str">
            <v>Plastene Polyfilms Ltd-Sales</v>
          </cell>
          <cell r="AB166" t="str">
            <v>24AAFCP2956A1ZR</v>
          </cell>
        </row>
        <row r="167">
          <cell r="D167" t="str">
            <v>Plastene Polyfilms Ltd-Sales</v>
          </cell>
          <cell r="AB167" t="str">
            <v>24AAFCP2956A1ZR</v>
          </cell>
        </row>
        <row r="168">
          <cell r="D168" t="str">
            <v>HCP Plastene Bulkpack Limited - Sales</v>
          </cell>
          <cell r="AB168" t="str">
            <v>24AABCG1282C2Z6</v>
          </cell>
        </row>
        <row r="169">
          <cell r="D169" t="str">
            <v>K.P. Woven Pvt Ltd - Unit 3 -Sales</v>
          </cell>
          <cell r="AB169" t="str">
            <v>24AAECK6307M2ZE</v>
          </cell>
        </row>
        <row r="170">
          <cell r="D170" t="str">
            <v>K.P. Woven Pvt Ltd - Unit 3 -Sales</v>
          </cell>
          <cell r="AB170" t="str">
            <v>24AAECK6307M2ZE</v>
          </cell>
        </row>
        <row r="171">
          <cell r="D171" t="str">
            <v>K.P. Woven Pvt Ltd - Unit 3 -Sales</v>
          </cell>
          <cell r="AB171" t="str">
            <v>24AAECK6307M2ZE</v>
          </cell>
        </row>
        <row r="172">
          <cell r="D172" t="str">
            <v>K.P. Woven Pvt Ltd - Unit 3 -Sales</v>
          </cell>
          <cell r="AB172" t="str">
            <v>24AAECK6307M2ZE</v>
          </cell>
        </row>
        <row r="173">
          <cell r="D173" t="str">
            <v>K.P. Woven Pvt Ltd - Unit 3 -Sales</v>
          </cell>
          <cell r="AB173" t="str">
            <v>24AAECK6307M2ZE</v>
          </cell>
        </row>
        <row r="174">
          <cell r="D174" t="str">
            <v>K.P. Woven Pvt Ltd-Sales</v>
          </cell>
          <cell r="AB174" t="str">
            <v>24AAECK6307M1ZF</v>
          </cell>
        </row>
        <row r="175">
          <cell r="D175" t="str">
            <v>K.P. Woven Pvt Ltd-Sales</v>
          </cell>
          <cell r="AB175" t="str">
            <v>24AAECK6307M1ZF</v>
          </cell>
        </row>
        <row r="176">
          <cell r="D176" t="str">
            <v>K.P. Woven Pvt Ltd-Sales</v>
          </cell>
          <cell r="AB176" t="str">
            <v>24AAECK6307M1ZF</v>
          </cell>
        </row>
        <row r="177">
          <cell r="D177" t="str">
            <v>K.P. Woven Pvt Ltd-Sales</v>
          </cell>
          <cell r="AB177" t="str">
            <v>24AAECK6307M1ZF</v>
          </cell>
        </row>
        <row r="178">
          <cell r="D178" t="str">
            <v>K.P. Woven Pvt Ltd-Sales</v>
          </cell>
          <cell r="AB178" t="str">
            <v>24AAECK6307M1ZF</v>
          </cell>
        </row>
        <row r="179">
          <cell r="D179" t="str">
            <v>K.P. Woven Pvt Ltd-Sales</v>
          </cell>
          <cell r="AB179" t="str">
            <v>24AAECK6307M1ZF</v>
          </cell>
        </row>
        <row r="180">
          <cell r="D180" t="str">
            <v>K.P. Woven Pvt Ltd-Sales</v>
          </cell>
          <cell r="AB180" t="str">
            <v>24AAECK6307M1ZF</v>
          </cell>
        </row>
        <row r="181">
          <cell r="D181" t="str">
            <v>K.P. Woven Pvt Ltd-Sales</v>
          </cell>
          <cell r="AB181" t="str">
            <v>24AAECK6307M1ZF</v>
          </cell>
        </row>
        <row r="182">
          <cell r="D182" t="str">
            <v>K.P. Woven Pvt Ltd-Sales</v>
          </cell>
          <cell r="AB182" t="str">
            <v>24AAECK6307M1ZF</v>
          </cell>
        </row>
        <row r="183">
          <cell r="D183" t="str">
            <v>Plastene Polyfilms Ltd-Sales</v>
          </cell>
          <cell r="AB183" t="str">
            <v>24AAFCP2956A1ZR</v>
          </cell>
        </row>
        <row r="184">
          <cell r="D184" t="str">
            <v>Plastene Polyfilms Ltd-Sales</v>
          </cell>
          <cell r="AB184" t="str">
            <v>24AAFCP2956A1ZR</v>
          </cell>
        </row>
        <row r="185">
          <cell r="D185" t="str">
            <v>Plastene Polyfilms Ltd-Sales</v>
          </cell>
          <cell r="AB185" t="str">
            <v>24AAFCP2956A1ZR</v>
          </cell>
        </row>
        <row r="186">
          <cell r="D186" t="str">
            <v>Plastene Polyfilms Ltd-Sales</v>
          </cell>
          <cell r="AB186" t="str">
            <v>24AAFCP2956A1ZR</v>
          </cell>
        </row>
        <row r="187">
          <cell r="D187" t="str">
            <v>Plastene Polyfilms Ltd-Sales</v>
          </cell>
          <cell r="AB187" t="str">
            <v>24AAFCP2956A1ZR</v>
          </cell>
        </row>
        <row r="188">
          <cell r="D188" t="str">
            <v>Plastene Polyfilms Ltd-Sales</v>
          </cell>
          <cell r="AB188" t="str">
            <v>24AAFCP2956A1ZR</v>
          </cell>
        </row>
        <row r="189">
          <cell r="D189" t="str">
            <v>Plastene Polyfilms Ltd-Sales</v>
          </cell>
          <cell r="AB189" t="str">
            <v>24AAFCP2956A1ZR</v>
          </cell>
        </row>
        <row r="190">
          <cell r="D190" t="str">
            <v>Plastene Polyfilms Ltd-Sales</v>
          </cell>
          <cell r="AB190" t="str">
            <v>24AAFCP2956A1ZR</v>
          </cell>
        </row>
        <row r="191">
          <cell r="D191" t="str">
            <v>Plastene Polyfilms Ltd-Sales</v>
          </cell>
          <cell r="AB191" t="str">
            <v>24AAFCP2956A1ZR</v>
          </cell>
        </row>
        <row r="192">
          <cell r="D192" t="str">
            <v>Plastene Polyfilms Ltd-Sales</v>
          </cell>
          <cell r="AB192" t="str">
            <v>24AAFCP2956A1ZR</v>
          </cell>
        </row>
        <row r="193">
          <cell r="D193" t="str">
            <v>Plastene Polyfilms Ltd-Sales</v>
          </cell>
          <cell r="AB193" t="str">
            <v>24AAFCP2956A1ZR</v>
          </cell>
        </row>
        <row r="194">
          <cell r="D194" t="str">
            <v>Fibco Plastic Industry Llc</v>
          </cell>
          <cell r="AB194" t="str">
            <v>N.A.</v>
          </cell>
        </row>
        <row r="195">
          <cell r="D195" t="str">
            <v>Fibco Plastic Industry Llc</v>
          </cell>
          <cell r="AB195" t="str">
            <v>N.A.</v>
          </cell>
        </row>
        <row r="196">
          <cell r="D196" t="str">
            <v>Fibco Plastic Industry Llc</v>
          </cell>
          <cell r="AB196" t="str">
            <v>N.A.</v>
          </cell>
        </row>
        <row r="197">
          <cell r="D197" t="str">
            <v>Fibco Plastic Industry Llc</v>
          </cell>
          <cell r="AB197" t="str">
            <v>N.A.</v>
          </cell>
        </row>
        <row r="198">
          <cell r="D198" t="str">
            <v>K.P. Woven Pvt Ltd - Unit 3 -Sales</v>
          </cell>
          <cell r="AB198" t="str">
            <v>24AAECK6307M2ZE</v>
          </cell>
        </row>
        <row r="199">
          <cell r="D199" t="str">
            <v>K.P. Woven Pvt Ltd - Unit 3 -Sales</v>
          </cell>
          <cell r="AB199" t="str">
            <v>24AAECK6307M2ZE</v>
          </cell>
        </row>
        <row r="200">
          <cell r="D200" t="str">
            <v>K.P. Woven Pvt Ltd - Unit 3 -Sales</v>
          </cell>
          <cell r="AB200" t="str">
            <v>24AAECK6307M2ZE</v>
          </cell>
        </row>
        <row r="201">
          <cell r="D201" t="str">
            <v>K.P. Woven Pvt Ltd - Unit 3 -Sales</v>
          </cell>
          <cell r="AB201" t="str">
            <v>24AAECK6307M2ZE</v>
          </cell>
        </row>
        <row r="202">
          <cell r="D202" t="str">
            <v>K.P. Woven Pvt Ltd - Unit 3 -Sales</v>
          </cell>
          <cell r="AB202" t="str">
            <v>24AAECK6307M2ZE</v>
          </cell>
        </row>
        <row r="203">
          <cell r="D203" t="str">
            <v>K.P. Woven Pvt Ltd - Unit 3 -Sales</v>
          </cell>
          <cell r="AB203" t="str">
            <v>24AAECK6307M2ZE</v>
          </cell>
        </row>
        <row r="204">
          <cell r="D204" t="str">
            <v>K.P. Woven Pvt Ltd - Unit 3 -Sales</v>
          </cell>
          <cell r="AB204" t="str">
            <v>24AAECK6307M2ZE</v>
          </cell>
        </row>
        <row r="205">
          <cell r="D205" t="str">
            <v>K.P. Woven Pvt Ltd - Unit 3 -Sales</v>
          </cell>
          <cell r="AB205" t="str">
            <v>24AAECK6307M2ZE</v>
          </cell>
        </row>
        <row r="206">
          <cell r="D206" t="str">
            <v>K.P. Woven Pvt Ltd-Sales</v>
          </cell>
          <cell r="AB206" t="str">
            <v>24AAECK6307M1ZF</v>
          </cell>
        </row>
        <row r="207">
          <cell r="D207" t="str">
            <v>K.P. Woven Pvt Ltd-Sales</v>
          </cell>
          <cell r="AB207" t="str">
            <v>24AAECK6307M1ZF</v>
          </cell>
        </row>
        <row r="208">
          <cell r="D208" t="str">
            <v>K.P. Woven Pvt Ltd-Sales</v>
          </cell>
          <cell r="AB208" t="str">
            <v>24AAECK6307M1ZF</v>
          </cell>
        </row>
        <row r="209">
          <cell r="D209" t="str">
            <v>K.P. Woven Pvt Ltd-Sales</v>
          </cell>
          <cell r="AB209" t="str">
            <v>24AAECK6307M1ZF</v>
          </cell>
        </row>
        <row r="210">
          <cell r="D210" t="str">
            <v>K.P. Woven Pvt Ltd-Sales</v>
          </cell>
          <cell r="AB210" t="str">
            <v>24AAECK6307M1ZF</v>
          </cell>
        </row>
        <row r="211">
          <cell r="D211" t="str">
            <v>K.P. Woven Pvt Ltd-Sales</v>
          </cell>
          <cell r="AB211" t="str">
            <v>24AAECK6307M1ZF</v>
          </cell>
        </row>
        <row r="212">
          <cell r="D212" t="str">
            <v>K.P. Woven Pvt Ltd-Sales</v>
          </cell>
          <cell r="AB212" t="str">
            <v>24AAECK6307M1ZF</v>
          </cell>
        </row>
        <row r="213">
          <cell r="D213" t="str">
            <v>K.P. Woven Pvt Ltd-Sales</v>
          </cell>
          <cell r="AB213" t="str">
            <v>24AAECK6307M1ZF</v>
          </cell>
        </row>
        <row r="214">
          <cell r="D214" t="str">
            <v>Plastene Polyfilms Ltd-Sales</v>
          </cell>
          <cell r="AB214" t="str">
            <v>24AAFCP2956A1ZR</v>
          </cell>
        </row>
        <row r="215">
          <cell r="D215" t="str">
            <v>Plastene Polyfilms Ltd-Sales</v>
          </cell>
          <cell r="AB215" t="str">
            <v>24AAFCP2956A1ZR</v>
          </cell>
        </row>
        <row r="216">
          <cell r="D216" t="str">
            <v>Plastene Polyfilms Ltd-Sales</v>
          </cell>
          <cell r="AB216" t="str">
            <v>24AAFCP2956A1ZR</v>
          </cell>
        </row>
        <row r="217">
          <cell r="D217" t="str">
            <v>Plastene Polyfilms Ltd-Sales</v>
          </cell>
          <cell r="AB217" t="str">
            <v>24AAFCP2956A1ZR</v>
          </cell>
        </row>
        <row r="218">
          <cell r="D218" t="str">
            <v>Plastene Polyfilms Ltd-Sales</v>
          </cell>
          <cell r="AB218" t="str">
            <v>24AAFCP2956A1ZR</v>
          </cell>
        </row>
        <row r="219">
          <cell r="D219" t="str">
            <v>Plastene Polyfilms Ltd-Sales</v>
          </cell>
          <cell r="AB219" t="str">
            <v>24AAFCP2956A1ZR</v>
          </cell>
        </row>
        <row r="220">
          <cell r="D220" t="str">
            <v>Plastene Polyfilms Ltd-Sales</v>
          </cell>
          <cell r="AB220" t="str">
            <v>24AAFCP2956A1ZR</v>
          </cell>
        </row>
        <row r="221">
          <cell r="D221" t="str">
            <v>Plastene Polyfilms Ltd-Sales</v>
          </cell>
          <cell r="AB221" t="str">
            <v>24AAFCP2956A1ZR</v>
          </cell>
        </row>
        <row r="222">
          <cell r="D222" t="str">
            <v>Plastene Polyfilms Ltd-Sales</v>
          </cell>
          <cell r="AB222" t="str">
            <v>24AAFCP2956A1ZR</v>
          </cell>
        </row>
        <row r="223">
          <cell r="D223" t="str">
            <v>Dev Polyplast</v>
          </cell>
          <cell r="AB223" t="str">
            <v>24BDRPS9840M1ZK</v>
          </cell>
        </row>
        <row r="224">
          <cell r="D224" t="str">
            <v>K.P. Woven Pvt Ltd - Unit 3 -Sales</v>
          </cell>
          <cell r="AB224" t="str">
            <v>24AAECK6307M2ZE</v>
          </cell>
        </row>
        <row r="225">
          <cell r="D225" t="str">
            <v>K.P. Woven Pvt Ltd - Unit 3 -Sales</v>
          </cell>
          <cell r="AB225" t="str">
            <v>24AAECK6307M2ZE</v>
          </cell>
        </row>
        <row r="226">
          <cell r="D226" t="str">
            <v>K.P. Woven Pvt Ltd - Unit 3 -Sales</v>
          </cell>
          <cell r="AB226" t="str">
            <v>24AAECK6307M2ZE</v>
          </cell>
        </row>
        <row r="227">
          <cell r="D227" t="str">
            <v>K.P. Woven Pvt Ltd - Unit 3 -Sales</v>
          </cell>
          <cell r="AB227" t="str">
            <v>24AAECK6307M2ZE</v>
          </cell>
        </row>
        <row r="228">
          <cell r="D228" t="str">
            <v>K.P. Woven Pvt Ltd-Sales</v>
          </cell>
          <cell r="AB228" t="str">
            <v>24AAECK6307M1ZF</v>
          </cell>
        </row>
        <row r="229">
          <cell r="D229" t="str">
            <v>K.P. Woven Pvt Ltd-Sales</v>
          </cell>
          <cell r="AB229" t="str">
            <v>24AAECK6307M1ZF</v>
          </cell>
        </row>
        <row r="230">
          <cell r="D230" t="str">
            <v>K.P. Woven Pvt Ltd-Sales</v>
          </cell>
          <cell r="AB230" t="str">
            <v>24AAECK6307M1ZF</v>
          </cell>
        </row>
        <row r="231">
          <cell r="D231" t="str">
            <v>K.P. Woven Pvt Ltd-Sales</v>
          </cell>
          <cell r="AB231" t="str">
            <v>24AAECK6307M1ZF</v>
          </cell>
        </row>
        <row r="232">
          <cell r="D232" t="str">
            <v>K.P. Woven Pvt Ltd-Sales</v>
          </cell>
          <cell r="AB232" t="str">
            <v>24AAECK6307M1ZF</v>
          </cell>
        </row>
        <row r="233">
          <cell r="D233" t="str">
            <v>K.P. Woven Pvt Ltd-Sales</v>
          </cell>
          <cell r="AB233" t="str">
            <v>24AAECK6307M1ZF</v>
          </cell>
        </row>
        <row r="234">
          <cell r="D234" t="str">
            <v>K.P. Woven Pvt Ltd-Sales</v>
          </cell>
          <cell r="AB234" t="str">
            <v>24AAECK6307M1ZF</v>
          </cell>
        </row>
        <row r="235">
          <cell r="D235" t="str">
            <v>Lionel Samson Packaging Co Pty Ltd.</v>
          </cell>
          <cell r="AB235" t="str">
            <v>N.A.</v>
          </cell>
        </row>
        <row r="236">
          <cell r="D236" t="str">
            <v>Plastene Polyfilms Ltd-Sales</v>
          </cell>
          <cell r="AB236" t="str">
            <v>24AAFCP2956A1ZR</v>
          </cell>
        </row>
        <row r="237">
          <cell r="D237" t="str">
            <v>Plastene Polyfilms Ltd-Sales</v>
          </cell>
          <cell r="AB237" t="str">
            <v>24AAFCP2956A1ZR</v>
          </cell>
        </row>
        <row r="238">
          <cell r="D238" t="str">
            <v>Plastene Polyfilms Ltd-Sales</v>
          </cell>
          <cell r="AB238" t="str">
            <v>24AAFCP2956A1ZR</v>
          </cell>
        </row>
        <row r="239">
          <cell r="D239" t="str">
            <v>Plastene Polyfilms Ltd-Sales</v>
          </cell>
          <cell r="AB239" t="str">
            <v>24AAFCP2956A1ZR</v>
          </cell>
        </row>
        <row r="240">
          <cell r="D240" t="str">
            <v>Plastene Polyfilms Ltd-Sales</v>
          </cell>
          <cell r="AB240" t="str">
            <v>24AAFCP2956A1ZR</v>
          </cell>
        </row>
        <row r="241">
          <cell r="D241" t="str">
            <v>Plastene Polyfilms Ltd-Sales</v>
          </cell>
          <cell r="AB241" t="str">
            <v>24AAFCP2956A1ZR</v>
          </cell>
        </row>
        <row r="242">
          <cell r="D242" t="str">
            <v>Plastene Polyfilms Ltd-Sales</v>
          </cell>
          <cell r="AB242" t="str">
            <v>24AAFCP2956A1ZR</v>
          </cell>
        </row>
        <row r="243">
          <cell r="D243" t="str">
            <v>Plastene Polyfilms Ltd-Sales</v>
          </cell>
          <cell r="AB243" t="str">
            <v>24AAFCP2956A1ZR</v>
          </cell>
        </row>
        <row r="244">
          <cell r="D244" t="str">
            <v>Plastene Polyfilms Ltd-Sales</v>
          </cell>
          <cell r="AB244" t="str">
            <v>24AAFCP2956A1ZR</v>
          </cell>
        </row>
        <row r="245">
          <cell r="D245" t="str">
            <v>Plastene Polyfilms Ltd-Sales</v>
          </cell>
          <cell r="AB245" t="str">
            <v>24AAFCP2956A1ZR</v>
          </cell>
        </row>
        <row r="246">
          <cell r="D246" t="str">
            <v>Comercial Pra Cafe Ltda - Manaus</v>
          </cell>
          <cell r="AB246" t="str">
            <v>N.A.</v>
          </cell>
        </row>
        <row r="247">
          <cell r="D247" t="str">
            <v>HCP Plastene Bulkpack Limited - Sales</v>
          </cell>
          <cell r="AB247" t="str">
            <v>24AABCG1282C2Z6</v>
          </cell>
        </row>
        <row r="248">
          <cell r="D248" t="str">
            <v>K.P. Woven Pvt Ltd - Unit 3 -Sales</v>
          </cell>
          <cell r="AB248" t="str">
            <v>24AAECK6307M2ZE</v>
          </cell>
        </row>
        <row r="249">
          <cell r="D249" t="str">
            <v>K.P. Woven Pvt Ltd - Unit 3 -Sales</v>
          </cell>
          <cell r="AB249" t="str">
            <v>24AAECK6307M2ZE</v>
          </cell>
        </row>
        <row r="250">
          <cell r="D250" t="str">
            <v>K.P. Woven Pvt Ltd - Unit 3 -Sales</v>
          </cell>
          <cell r="AB250" t="str">
            <v>24AAECK6307M2ZE</v>
          </cell>
        </row>
        <row r="251">
          <cell r="D251" t="str">
            <v>K.P. Woven Pvt Ltd - Unit 3 -Sales</v>
          </cell>
          <cell r="AB251" t="str">
            <v>24AAECK6307M2ZE</v>
          </cell>
        </row>
        <row r="252">
          <cell r="D252" t="str">
            <v>K.P. Woven Pvt Ltd - Unit 3 -Sales</v>
          </cell>
          <cell r="AB252" t="str">
            <v>24AAECK6307M2ZE</v>
          </cell>
        </row>
        <row r="253">
          <cell r="D253" t="str">
            <v>K.P. Woven Pvt Ltd - Unit 3 -Sales</v>
          </cell>
          <cell r="AB253" t="str">
            <v>24AAECK6307M2ZE</v>
          </cell>
        </row>
        <row r="254">
          <cell r="D254" t="str">
            <v>K.P. Woven Pvt Ltd-Sales</v>
          </cell>
          <cell r="AB254" t="str">
            <v>24AAECK6307M1ZF</v>
          </cell>
        </row>
        <row r="255">
          <cell r="D255" t="str">
            <v>K.P. Woven Pvt Ltd-Sales</v>
          </cell>
          <cell r="AB255" t="str">
            <v>24AAECK6307M1ZF</v>
          </cell>
        </row>
        <row r="256">
          <cell r="D256" t="str">
            <v>K.P. Woven Pvt Ltd-Sales</v>
          </cell>
          <cell r="AB256" t="str">
            <v>24AAECK6307M1ZF</v>
          </cell>
        </row>
        <row r="257">
          <cell r="D257" t="str">
            <v>K.P. Woven Pvt Ltd-Sales</v>
          </cell>
          <cell r="AB257" t="str">
            <v>24AAECK6307M1ZF</v>
          </cell>
        </row>
        <row r="258">
          <cell r="D258" t="str">
            <v>K.P. Woven Pvt Ltd-Sales</v>
          </cell>
          <cell r="AB258" t="str">
            <v>24AAECK6307M1ZF</v>
          </cell>
        </row>
        <row r="259">
          <cell r="D259" t="str">
            <v>Manyan Inc.</v>
          </cell>
          <cell r="AB259" t="str">
            <v>N.A.</v>
          </cell>
        </row>
        <row r="260">
          <cell r="D260" t="str">
            <v>Plastene Polyfilms Ltd-Sales</v>
          </cell>
          <cell r="AB260" t="str">
            <v>24AAFCP2956A1ZR</v>
          </cell>
        </row>
        <row r="261">
          <cell r="D261" t="str">
            <v>Plastene Polyfilms Ltd-Sales</v>
          </cell>
          <cell r="AB261" t="str">
            <v>24AAFCP2956A1ZR</v>
          </cell>
        </row>
        <row r="262">
          <cell r="D262" t="str">
            <v>Plastene Polyfilms Ltd-Sales</v>
          </cell>
          <cell r="AB262" t="str">
            <v>24AAFCP2956A1ZR</v>
          </cell>
        </row>
        <row r="263">
          <cell r="D263" t="str">
            <v>Plastene Polyfilms Ltd-Sales</v>
          </cell>
          <cell r="AB263" t="str">
            <v>24AAFCP2956A1ZR</v>
          </cell>
        </row>
        <row r="264">
          <cell r="D264" t="str">
            <v>Plastene Polyfilms Ltd-Sales</v>
          </cell>
          <cell r="AB264" t="str">
            <v>24AAFCP2956A1ZR</v>
          </cell>
        </row>
        <row r="265">
          <cell r="D265" t="str">
            <v>Plastene Polyfilms Ltd-Sales</v>
          </cell>
          <cell r="AB265" t="str">
            <v>24AAFCP2956A1ZR</v>
          </cell>
        </row>
        <row r="266">
          <cell r="D266" t="str">
            <v>Plastene Polyfilms Ltd-Sales</v>
          </cell>
          <cell r="AB266" t="str">
            <v>24AAFCP2956A1ZR</v>
          </cell>
        </row>
        <row r="267">
          <cell r="D267" t="str">
            <v>K.P. Woven Pvt Ltd - Unit 3 -Sales</v>
          </cell>
          <cell r="AB267" t="str">
            <v>24AAECK6307M2ZE</v>
          </cell>
        </row>
        <row r="268">
          <cell r="D268" t="str">
            <v>K.P. Woven Pvt Ltd - Unit 3 -Sales</v>
          </cell>
          <cell r="AB268" t="str">
            <v>24AAECK6307M2ZE</v>
          </cell>
        </row>
        <row r="269">
          <cell r="D269" t="str">
            <v>K.P. Woven Pvt Ltd - Unit 3 -Sales</v>
          </cell>
          <cell r="AB269" t="str">
            <v>24AAECK6307M2ZE</v>
          </cell>
        </row>
        <row r="270">
          <cell r="D270" t="str">
            <v>K.P. Woven Pvt Ltd - Unit 3 -Sales</v>
          </cell>
          <cell r="AB270" t="str">
            <v>24AAECK6307M2ZE</v>
          </cell>
        </row>
        <row r="271">
          <cell r="D271" t="str">
            <v>Oliva Garden S.A.</v>
          </cell>
          <cell r="AB271" t="str">
            <v>N.A.</v>
          </cell>
        </row>
        <row r="272">
          <cell r="D272" t="str">
            <v>Plastene Polyfilms Ltd-Sales</v>
          </cell>
          <cell r="AB272" t="str">
            <v>24AAFCP2956A1ZR</v>
          </cell>
        </row>
        <row r="273">
          <cell r="D273" t="str">
            <v>Plastene Polyfilms Ltd-Sales</v>
          </cell>
          <cell r="AB273" t="str">
            <v>24AAFCP2956A1ZR</v>
          </cell>
        </row>
        <row r="274">
          <cell r="D274" t="str">
            <v>Plastene Polyfilms Ltd-Sales</v>
          </cell>
          <cell r="AB274" t="str">
            <v>24AAFCP2956A1ZR</v>
          </cell>
        </row>
        <row r="275">
          <cell r="D275" t="str">
            <v>Plastene Polyfilms Ltd-Sales</v>
          </cell>
          <cell r="AB275" t="str">
            <v>24AAFCP2956A1ZR</v>
          </cell>
        </row>
        <row r="276">
          <cell r="D276" t="str">
            <v>Plastene Polyfilms Ltd-Sales</v>
          </cell>
          <cell r="AB276" t="str">
            <v>24AAFCP2956A1ZR</v>
          </cell>
        </row>
        <row r="277">
          <cell r="D277" t="str">
            <v>Plastene Polyfilms Ltd-Sales</v>
          </cell>
          <cell r="AB277" t="str">
            <v>24AAFCP2956A1ZR</v>
          </cell>
        </row>
        <row r="278">
          <cell r="D278" t="str">
            <v>Plastene Polyfilms Ltd-Sales</v>
          </cell>
          <cell r="AB278" t="str">
            <v>24AAFCP2956A1ZR</v>
          </cell>
        </row>
        <row r="279">
          <cell r="D279" t="str">
            <v>Plastene Polyfilms Ltd-Sales</v>
          </cell>
          <cell r="AB279" t="str">
            <v>24AAFCP2956A1ZR</v>
          </cell>
        </row>
        <row r="280">
          <cell r="D280" t="str">
            <v>K.P. Woven Pvt Ltd - Unit 3 -Sales</v>
          </cell>
          <cell r="AB280" t="str">
            <v>24AAECK6307M2ZE</v>
          </cell>
        </row>
        <row r="281">
          <cell r="D281" t="str">
            <v>K.P. Woven Pvt Ltd - Unit 3 -Sales</v>
          </cell>
          <cell r="AB281" t="str">
            <v>24AAECK6307M2ZE</v>
          </cell>
        </row>
        <row r="282">
          <cell r="D282" t="str">
            <v>K.P. Woven Pvt Ltd - Unit 3 -Sales</v>
          </cell>
          <cell r="AB282" t="str">
            <v>24AAECK6307M2ZE</v>
          </cell>
        </row>
        <row r="283">
          <cell r="D283" t="str">
            <v>K.P. Woven Pvt Ltd-Sales</v>
          </cell>
          <cell r="AB283" t="str">
            <v>24AAECK6307M1ZF</v>
          </cell>
        </row>
        <row r="284">
          <cell r="D284" t="str">
            <v>K.P. Woven Pvt Ltd-Sales</v>
          </cell>
          <cell r="AB284" t="str">
            <v>24AAECK6307M1ZF</v>
          </cell>
        </row>
        <row r="285">
          <cell r="D285" t="str">
            <v>K.P. Woven Pvt Ltd-Sales</v>
          </cell>
          <cell r="AB285" t="str">
            <v>24AAECK6307M1ZF</v>
          </cell>
        </row>
        <row r="286">
          <cell r="D286" t="str">
            <v>K.P. Woven Pvt Ltd-Sales</v>
          </cell>
          <cell r="AB286" t="str">
            <v>24AAECK6307M1ZF</v>
          </cell>
        </row>
        <row r="287">
          <cell r="D287" t="str">
            <v>K.P. Woven Pvt Ltd-Sales</v>
          </cell>
          <cell r="AB287" t="str">
            <v>24AAECK6307M1ZF</v>
          </cell>
        </row>
        <row r="288">
          <cell r="D288" t="str">
            <v>K.P. Woven Pvt Ltd-Sales</v>
          </cell>
          <cell r="AB288" t="str">
            <v>24AAECK6307M1ZF</v>
          </cell>
        </row>
        <row r="289">
          <cell r="D289" t="str">
            <v>K.P. Woven Pvt Ltd-Sales</v>
          </cell>
          <cell r="AB289" t="str">
            <v>24AAECK6307M1ZF</v>
          </cell>
        </row>
        <row r="290">
          <cell r="D290" t="str">
            <v>K.P. Woven Pvt Ltd-Sales</v>
          </cell>
          <cell r="AB290" t="str">
            <v>24AAECK6307M1ZF</v>
          </cell>
        </row>
        <row r="291">
          <cell r="D291" t="str">
            <v>K.P. Woven Pvt Ltd-Sales</v>
          </cell>
          <cell r="AB291" t="str">
            <v>24AAECK6307M1ZF</v>
          </cell>
        </row>
        <row r="292">
          <cell r="D292" t="str">
            <v>K.P. Woven Pvt Ltd-Sales</v>
          </cell>
          <cell r="AB292" t="str">
            <v>24AAECK6307M1ZF</v>
          </cell>
        </row>
        <row r="293">
          <cell r="D293" t="str">
            <v>K.P. Woven Pvt Ltd-Sales</v>
          </cell>
          <cell r="AB293" t="str">
            <v>24AAECK6307M1ZF</v>
          </cell>
        </row>
        <row r="294">
          <cell r="D294" t="str">
            <v>K.P. Woven Pvt Ltd-Sales</v>
          </cell>
          <cell r="AB294" t="str">
            <v>24AAECK6307M1ZF</v>
          </cell>
        </row>
        <row r="295">
          <cell r="D295" t="str">
            <v>K.P. Woven Pvt Ltd-Sales</v>
          </cell>
          <cell r="AB295" t="str">
            <v>24AAECK6307M1ZF</v>
          </cell>
        </row>
        <row r="296">
          <cell r="D296" t="str">
            <v>K.P. Woven Pvt Ltd-Sales</v>
          </cell>
          <cell r="AB296" t="str">
            <v>24AAECK6307M1ZF</v>
          </cell>
        </row>
        <row r="297">
          <cell r="D297" t="str">
            <v>K.P. Woven Pvt Ltd-Sales</v>
          </cell>
          <cell r="AB297" t="str">
            <v>24AAECK6307M1ZF</v>
          </cell>
        </row>
        <row r="298">
          <cell r="D298" t="str">
            <v>Plastene Polyfilms Ltd-Sales</v>
          </cell>
          <cell r="AB298" t="str">
            <v>24AAFCP2956A1ZR</v>
          </cell>
        </row>
        <row r="299">
          <cell r="D299" t="str">
            <v>Plastene Polyfilms Ltd-Sales</v>
          </cell>
          <cell r="AB299" t="str">
            <v>24AAFCP2956A1ZR</v>
          </cell>
        </row>
        <row r="300">
          <cell r="D300" t="str">
            <v>Plastene Polyfilms Ltd-Sales</v>
          </cell>
          <cell r="AB300" t="str">
            <v>24AAFCP2956A1ZR</v>
          </cell>
        </row>
        <row r="301">
          <cell r="D301" t="str">
            <v>Plastene Polyfilms Ltd-Sales</v>
          </cell>
          <cell r="AB301" t="str">
            <v>24AAFCP2956A1ZR</v>
          </cell>
        </row>
        <row r="302">
          <cell r="D302" t="str">
            <v>Plastene Polyfilms Ltd-Sales</v>
          </cell>
          <cell r="AB302" t="str">
            <v>24AAFCP2956A1ZR</v>
          </cell>
        </row>
        <row r="303">
          <cell r="D303" t="str">
            <v>Plastene Polyfilms Ltd-Sales</v>
          </cell>
          <cell r="AB303" t="str">
            <v>24AAFCP2956A1ZR</v>
          </cell>
        </row>
        <row r="304">
          <cell r="D304" t="str">
            <v>Plastene Polyfilms Ltd-Sales</v>
          </cell>
          <cell r="AB304" t="str">
            <v>24AAFCP2956A1ZR</v>
          </cell>
        </row>
        <row r="305">
          <cell r="D305" t="str">
            <v>Plastene Polyfilms Ltd-Sales</v>
          </cell>
          <cell r="AB305" t="str">
            <v>24AAFCP2956A1ZR</v>
          </cell>
        </row>
        <row r="306">
          <cell r="D306" t="str">
            <v>Plastene Polyfilms Ltd-Sales</v>
          </cell>
          <cell r="AB306" t="str">
            <v>24AAFCP2956A1ZR</v>
          </cell>
        </row>
        <row r="307">
          <cell r="D307" t="str">
            <v>Plastene Polyfilms Ltd-Sales</v>
          </cell>
          <cell r="AB307" t="str">
            <v>24AAFCP2956A1ZR</v>
          </cell>
        </row>
        <row r="308">
          <cell r="D308" t="str">
            <v>Plastene Polyfilms Ltd-Sales</v>
          </cell>
          <cell r="AB308" t="str">
            <v>24AAFCP2956A1ZR</v>
          </cell>
        </row>
        <row r="309">
          <cell r="D309" t="str">
            <v>Plastene Polyfilms Ltd-Sales</v>
          </cell>
          <cell r="AB309" t="str">
            <v>24AAFCP2956A1ZR</v>
          </cell>
        </row>
        <row r="310">
          <cell r="D310" t="str">
            <v>Plastene Polyfilms Ltd-Sales</v>
          </cell>
          <cell r="AB310" t="str">
            <v>24AAFCP2956A1ZR</v>
          </cell>
        </row>
        <row r="311">
          <cell r="D311" t="str">
            <v>Plastene Polyfilms Ltd-Sales</v>
          </cell>
          <cell r="AB311" t="str">
            <v>24AAFCP2956A1ZR</v>
          </cell>
        </row>
        <row r="312">
          <cell r="D312" t="str">
            <v>Plastene Polyfilms Ltd-Sales</v>
          </cell>
          <cell r="AB312" t="str">
            <v>24AAFCP2956A1ZR</v>
          </cell>
        </row>
        <row r="313">
          <cell r="D313" t="str">
            <v>Plastene Polyfilms Ltd-Sales</v>
          </cell>
          <cell r="AB313" t="str">
            <v>24AAFCP2956A1ZR</v>
          </cell>
        </row>
        <row r="314">
          <cell r="D314" t="str">
            <v>Plastene Polyfilms Ltd-Sales</v>
          </cell>
          <cell r="AB314" t="str">
            <v>24AAFCP2956A1ZR</v>
          </cell>
        </row>
        <row r="315">
          <cell r="D315" t="str">
            <v>Plastene Polyfilms Ltd-Sales</v>
          </cell>
          <cell r="AB315" t="str">
            <v>24AAFCP2956A1ZR</v>
          </cell>
        </row>
        <row r="316">
          <cell r="D316" t="str">
            <v>K.P. Woven Pvt Ltd - Unit 3 -Sales</v>
          </cell>
          <cell r="AB316" t="str">
            <v>24AAECK6307M2ZE</v>
          </cell>
        </row>
        <row r="317">
          <cell r="D317" t="str">
            <v>K.P. Woven Pvt Ltd - Unit 3 -Sales</v>
          </cell>
          <cell r="AB317" t="str">
            <v>24AAECK6307M2ZE</v>
          </cell>
        </row>
        <row r="318">
          <cell r="D318" t="str">
            <v>K.P. Woven Pvt Ltd - Unit 3 -Sales</v>
          </cell>
          <cell r="AB318" t="str">
            <v>24AAECK6307M2ZE</v>
          </cell>
        </row>
        <row r="319">
          <cell r="D319" t="str">
            <v>K.P. Woven Pvt Ltd - Unit 3 -Sales</v>
          </cell>
          <cell r="AB319" t="str">
            <v>24AAECK6307M2ZE</v>
          </cell>
        </row>
        <row r="320">
          <cell r="D320" t="str">
            <v>K.P. Woven Pvt Ltd - Unit 3 -Sales</v>
          </cell>
          <cell r="AB320" t="str">
            <v>24AAECK6307M2ZE</v>
          </cell>
        </row>
        <row r="321">
          <cell r="D321" t="str">
            <v>K.P. Woven Pvt Ltd - Unit 3 -Sales</v>
          </cell>
          <cell r="AB321" t="str">
            <v>24AAECK6307M2ZE</v>
          </cell>
        </row>
        <row r="322">
          <cell r="D322" t="str">
            <v>K.P. Woven Pvt Ltd-Sales</v>
          </cell>
          <cell r="AB322" t="str">
            <v>24AAECK6307M1ZF</v>
          </cell>
        </row>
        <row r="323">
          <cell r="D323" t="str">
            <v>K.P. Woven Pvt Ltd-Sales</v>
          </cell>
          <cell r="AB323" t="str">
            <v>24AAECK6307M1ZF</v>
          </cell>
        </row>
        <row r="324">
          <cell r="D324" t="str">
            <v>K.P. Woven Pvt Ltd-Sales</v>
          </cell>
          <cell r="AB324" t="str">
            <v>24AAECK6307M1ZF</v>
          </cell>
        </row>
        <row r="325">
          <cell r="D325" t="str">
            <v>K.P. Woven Pvt Ltd-Sales</v>
          </cell>
          <cell r="AB325" t="str">
            <v>24AAECK6307M1ZF</v>
          </cell>
        </row>
        <row r="326">
          <cell r="D326" t="str">
            <v>K.P. Woven Pvt Ltd-Sales</v>
          </cell>
          <cell r="AB326" t="str">
            <v>24AAECK6307M1ZF</v>
          </cell>
        </row>
        <row r="327">
          <cell r="D327" t="str">
            <v>Plastene Polyfilms Ltd-Sales</v>
          </cell>
          <cell r="AB327" t="str">
            <v>24AAFCP2956A1ZR</v>
          </cell>
        </row>
        <row r="328">
          <cell r="D328" t="str">
            <v>Plastene Polyfilms Ltd-Sales</v>
          </cell>
          <cell r="AB328" t="str">
            <v>24AAFCP2956A1ZR</v>
          </cell>
        </row>
        <row r="329">
          <cell r="D329" t="str">
            <v>Plastene Polyfilms Ltd-Sales</v>
          </cell>
          <cell r="AB329" t="str">
            <v>24AAFCP2956A1ZR</v>
          </cell>
        </row>
        <row r="330">
          <cell r="D330" t="str">
            <v>Plastene Polyfilms Ltd-Sales</v>
          </cell>
          <cell r="AB330" t="str">
            <v>24AAFCP2956A1ZR</v>
          </cell>
        </row>
        <row r="331">
          <cell r="D331" t="str">
            <v>Plastene Polyfilms Ltd-Sales</v>
          </cell>
          <cell r="AB331" t="str">
            <v>24AAFCP2956A1ZR</v>
          </cell>
        </row>
        <row r="332">
          <cell r="D332" t="str">
            <v>Plastene Polyfilms Ltd-Sales</v>
          </cell>
          <cell r="AB332" t="str">
            <v>24AAFCP2956A1ZR</v>
          </cell>
        </row>
        <row r="333">
          <cell r="D333" t="str">
            <v>Plastene Polyfilms Ltd-Sales</v>
          </cell>
          <cell r="AB333" t="str">
            <v>24AAFCP2956A1ZR</v>
          </cell>
        </row>
        <row r="334">
          <cell r="D334" t="str">
            <v>Plastene Polyfilms Ltd-Sales</v>
          </cell>
          <cell r="AB334" t="str">
            <v>24AAFCP2956A1ZR</v>
          </cell>
        </row>
        <row r="335">
          <cell r="D335" t="str">
            <v>Plastene Polyfilms Ltd-Sales</v>
          </cell>
          <cell r="AB335" t="str">
            <v>24AAFCP2956A1ZR</v>
          </cell>
        </row>
        <row r="336">
          <cell r="D336" t="str">
            <v>Plastene Polyfilms Ltd-Sales</v>
          </cell>
          <cell r="AB336" t="str">
            <v>24AAFCP2956A1ZR</v>
          </cell>
        </row>
        <row r="337">
          <cell r="D337" t="str">
            <v>Plastene Polyfilms Ltd-Sales</v>
          </cell>
          <cell r="AB337" t="str">
            <v>24AAFCP2956A1ZR</v>
          </cell>
        </row>
        <row r="338">
          <cell r="D338" t="str">
            <v>Plastene Polyfilms Ltd-Sales</v>
          </cell>
          <cell r="AB338" t="str">
            <v>24AAFCP2956A1ZR</v>
          </cell>
        </row>
        <row r="339">
          <cell r="D339" t="str">
            <v>K.P. Woven Pvt Ltd - Unit 3 -Sales</v>
          </cell>
          <cell r="AB339" t="str">
            <v>24AAECK6307M2ZE</v>
          </cell>
        </row>
        <row r="340">
          <cell r="D340" t="str">
            <v>K.P. Woven Pvt Ltd - Unit 3 -Sales</v>
          </cell>
          <cell r="AB340" t="str">
            <v>24AAECK6307M2ZE</v>
          </cell>
        </row>
        <row r="341">
          <cell r="D341" t="str">
            <v>K.P. Woven Pvt Ltd - Unit 3 -Sales</v>
          </cell>
          <cell r="AB341" t="str">
            <v>24AAECK6307M2ZE</v>
          </cell>
        </row>
        <row r="342">
          <cell r="D342" t="str">
            <v>Plastene Polyfilms Ltd-Sales</v>
          </cell>
          <cell r="AB342" t="str">
            <v>24AAFCP2956A1ZR</v>
          </cell>
        </row>
        <row r="343">
          <cell r="D343" t="str">
            <v>Plastene Polyfilms Ltd-Sales</v>
          </cell>
          <cell r="AB343" t="str">
            <v>24AAFCP2956A1ZR</v>
          </cell>
        </row>
        <row r="344">
          <cell r="D344" t="str">
            <v>Plastene Polyfilms Ltd-Sales</v>
          </cell>
          <cell r="AB344" t="str">
            <v>24AAFCP2956A1ZR</v>
          </cell>
        </row>
        <row r="345">
          <cell r="D345" t="str">
            <v>Plastene Polyfilms Ltd-Sales</v>
          </cell>
          <cell r="AB345" t="str">
            <v>24AAFCP2956A1ZR</v>
          </cell>
        </row>
        <row r="346">
          <cell r="D346" t="str">
            <v>Plastene Polyfilms Ltd-Sales</v>
          </cell>
          <cell r="AB346" t="str">
            <v>24AAFCP2956A1ZR</v>
          </cell>
        </row>
        <row r="347">
          <cell r="D347" t="str">
            <v>Plastene Polyfilms Ltd-Sales</v>
          </cell>
          <cell r="AB347" t="str">
            <v>24AAFCP2956A1ZR</v>
          </cell>
        </row>
        <row r="348">
          <cell r="D348" t="str">
            <v>FPS Flexibles Chile Spa</v>
          </cell>
          <cell r="AB348" t="str">
            <v>N.A.</v>
          </cell>
        </row>
        <row r="349">
          <cell r="D349" t="str">
            <v>HCP Plastene Bulkpack Limited - Sales</v>
          </cell>
          <cell r="AB349" t="str">
            <v>24AABCG1282C2Z6</v>
          </cell>
        </row>
        <row r="350">
          <cell r="D350" t="str">
            <v>HCP Plastene Bulkpack Limited - Sales</v>
          </cell>
          <cell r="AB350" t="str">
            <v>24AABCG1282C2Z6</v>
          </cell>
        </row>
        <row r="351">
          <cell r="D351" t="str">
            <v>HCP Plastene Bulkpack Limited - Sales</v>
          </cell>
          <cell r="AB351" t="str">
            <v>24AABCG1282C2Z6</v>
          </cell>
        </row>
        <row r="352">
          <cell r="D352" t="str">
            <v>HCP Plastene Bulkpack Limited - Sales</v>
          </cell>
          <cell r="AB352" t="str">
            <v>24AABCG1282C2Z6</v>
          </cell>
        </row>
        <row r="353">
          <cell r="D353" t="str">
            <v>HCP Plastene Bulkpack Limited - Sales</v>
          </cell>
          <cell r="AB353" t="str">
            <v>24AABCG1282C2Z6</v>
          </cell>
        </row>
        <row r="354">
          <cell r="D354" t="str">
            <v>HCP Plastene Bulkpack Limited - Sales</v>
          </cell>
          <cell r="AB354" t="str">
            <v>24AABCG1282C2Z6</v>
          </cell>
        </row>
        <row r="355">
          <cell r="D355" t="str">
            <v>HCP Plastene Bulkpack Limited - Sales</v>
          </cell>
          <cell r="AB355" t="str">
            <v>24AABCG1282C2Z6</v>
          </cell>
        </row>
        <row r="356">
          <cell r="D356" t="str">
            <v>HCP Plastene Bulkpack Limited - Sales</v>
          </cell>
          <cell r="AB356" t="str">
            <v>24AABCG1282C2Z6</v>
          </cell>
        </row>
        <row r="357">
          <cell r="D357" t="str">
            <v>Juta A.S.</v>
          </cell>
          <cell r="AB357" t="str">
            <v>N.A.</v>
          </cell>
        </row>
        <row r="358">
          <cell r="D358" t="str">
            <v>K.P. Woven Pvt Ltd - Unit 3 -Sales</v>
          </cell>
          <cell r="AB358" t="str">
            <v>24AAECK6307M2ZE</v>
          </cell>
        </row>
        <row r="359">
          <cell r="D359" t="str">
            <v>K.P. Woven Pvt Ltd - Unit 3 -Sales</v>
          </cell>
          <cell r="AB359" t="str">
            <v>24AAECK6307M2ZE</v>
          </cell>
        </row>
        <row r="360">
          <cell r="D360" t="str">
            <v>K.P. Woven Pvt Ltd - Unit 3 -Sales</v>
          </cell>
          <cell r="AB360" t="str">
            <v>24AAECK6307M2ZE</v>
          </cell>
        </row>
        <row r="361">
          <cell r="D361" t="str">
            <v>K.P. Woven Pvt Ltd - Unit 3 -Sales</v>
          </cell>
          <cell r="AB361" t="str">
            <v>24AAECK6307M2ZE</v>
          </cell>
        </row>
        <row r="362">
          <cell r="D362" t="str">
            <v>K.P. Woven Pvt Ltd-Sales</v>
          </cell>
          <cell r="AB362" t="str">
            <v>24AAECK6307M1ZF</v>
          </cell>
        </row>
        <row r="363">
          <cell r="D363" t="str">
            <v>K.P. Woven Pvt Ltd-Sales</v>
          </cell>
          <cell r="AB363" t="str">
            <v>24AAECK6307M1ZF</v>
          </cell>
        </row>
        <row r="364">
          <cell r="D364" t="str">
            <v>K.P. Woven Pvt Ltd-Sales</v>
          </cell>
          <cell r="AB364" t="str">
            <v>24AAECK6307M1ZF</v>
          </cell>
        </row>
        <row r="365">
          <cell r="D365" t="str">
            <v>K.P. Woven Pvt Ltd-Sales</v>
          </cell>
          <cell r="AB365" t="str">
            <v>24AAECK6307M1ZF</v>
          </cell>
        </row>
        <row r="366">
          <cell r="D366" t="str">
            <v>K.P. Woven Pvt Ltd-Sales</v>
          </cell>
          <cell r="AB366" t="str">
            <v>24AAECK6307M1ZF</v>
          </cell>
        </row>
        <row r="367">
          <cell r="D367" t="str">
            <v>K.P. Woven Pvt Ltd-Sales</v>
          </cell>
          <cell r="AB367" t="str">
            <v>24AAECK6307M1ZF</v>
          </cell>
        </row>
        <row r="368">
          <cell r="D368" t="str">
            <v>Plastene Polyfilms Ltd-Sales</v>
          </cell>
          <cell r="AB368" t="str">
            <v>24AAFCP2956A1ZR</v>
          </cell>
        </row>
        <row r="369">
          <cell r="D369" t="str">
            <v>Plastene Polyfilms Ltd-Sales</v>
          </cell>
          <cell r="AB369" t="str">
            <v>24AAFCP2956A1ZR</v>
          </cell>
        </row>
        <row r="370">
          <cell r="D370" t="str">
            <v>Plastene Polyfilms Ltd-Sales</v>
          </cell>
          <cell r="AB370" t="str">
            <v>24AAFCP2956A1ZR</v>
          </cell>
        </row>
        <row r="371">
          <cell r="D371" t="str">
            <v>Plastene Polyfilms Ltd-Sales</v>
          </cell>
          <cell r="AB371" t="str">
            <v>24AAFCP2956A1ZR</v>
          </cell>
        </row>
        <row r="372">
          <cell r="D372" t="str">
            <v>Plastene Polyfilms Ltd-Sales</v>
          </cell>
          <cell r="AB372" t="str">
            <v>24AAFCP2956A1ZR</v>
          </cell>
        </row>
        <row r="373">
          <cell r="D373" t="str">
            <v>Plastene Polyfilms Ltd-Sales</v>
          </cell>
          <cell r="AB373" t="str">
            <v>24AAFCP2956A1ZR</v>
          </cell>
        </row>
        <row r="374">
          <cell r="D374" t="str">
            <v>Plastene Polyfilms Ltd-Sales</v>
          </cell>
          <cell r="AB374" t="str">
            <v>24AAFCP2956A1ZR</v>
          </cell>
        </row>
        <row r="375">
          <cell r="D375" t="str">
            <v>Plastene Polyfilms Ltd-Sales</v>
          </cell>
          <cell r="AB375" t="str">
            <v>24AAFCP2956A1ZR</v>
          </cell>
        </row>
        <row r="376">
          <cell r="D376" t="str">
            <v>Plastene Polyfilms Ltd-Sales</v>
          </cell>
          <cell r="AB376" t="str">
            <v>24AAFCP2956A1ZR</v>
          </cell>
        </row>
        <row r="377">
          <cell r="D377" t="str">
            <v>SO Bag</v>
          </cell>
          <cell r="AB377" t="str">
            <v>N.A.</v>
          </cell>
        </row>
        <row r="378">
          <cell r="D378" t="str">
            <v>K.P. Woven Pvt Ltd - Unit 3 -Sales</v>
          </cell>
          <cell r="AB378" t="str">
            <v>24AAECK6307M2ZE</v>
          </cell>
        </row>
        <row r="379">
          <cell r="D379" t="str">
            <v>K.P. Woven Pvt Ltd - Unit 3 -Sales</v>
          </cell>
          <cell r="AB379" t="str">
            <v>24AAECK6307M2ZE</v>
          </cell>
        </row>
        <row r="380">
          <cell r="D380" t="str">
            <v>K.P. Woven Pvt Ltd - Unit 3 -Sales</v>
          </cell>
          <cell r="AB380" t="str">
            <v>24AAECK6307M2ZE</v>
          </cell>
        </row>
        <row r="381">
          <cell r="D381" t="str">
            <v>K.P. Woven Pvt Ltd - Unit 3 -Sales</v>
          </cell>
          <cell r="AB381" t="str">
            <v>24AAECK6307M2ZE</v>
          </cell>
        </row>
        <row r="382">
          <cell r="D382" t="str">
            <v>K.P. Woven Pvt Ltd - Unit 3 -Sales</v>
          </cell>
          <cell r="AB382" t="str">
            <v>24AAECK6307M2ZE</v>
          </cell>
        </row>
        <row r="383">
          <cell r="D383" t="str">
            <v>K.P. Woven Pvt Ltd-Sales</v>
          </cell>
          <cell r="AB383" t="str">
            <v>24AAECK6307M1ZF</v>
          </cell>
        </row>
        <row r="384">
          <cell r="D384" t="str">
            <v>K.P. Woven Pvt Ltd-Sales</v>
          </cell>
          <cell r="AB384" t="str">
            <v>24AAECK6307M1ZF</v>
          </cell>
        </row>
        <row r="385">
          <cell r="D385" t="str">
            <v>K.P. Woven Pvt Ltd-Sales</v>
          </cell>
          <cell r="AB385" t="str">
            <v>24AAECK6307M1ZF</v>
          </cell>
        </row>
        <row r="386">
          <cell r="D386" t="str">
            <v>K.P. Woven Pvt Ltd-Sales</v>
          </cell>
          <cell r="AB386" t="str">
            <v>24AAECK6307M1ZF</v>
          </cell>
        </row>
        <row r="387">
          <cell r="D387" t="str">
            <v>K.P. Woven Pvt Ltd-Sales</v>
          </cell>
          <cell r="AB387" t="str">
            <v>24AAECK6307M1ZF</v>
          </cell>
        </row>
        <row r="388">
          <cell r="D388" t="str">
            <v>K.P. Woven Pvt Ltd-Sales</v>
          </cell>
          <cell r="AB388" t="str">
            <v>24AAECK6307M1ZF</v>
          </cell>
        </row>
        <row r="389">
          <cell r="D389" t="str">
            <v>K.P. Woven Pvt Ltd-Sales</v>
          </cell>
          <cell r="AB389" t="str">
            <v>24AAECK6307M1ZF</v>
          </cell>
        </row>
        <row r="390">
          <cell r="D390" t="str">
            <v>K.P. Woven Pvt Ltd-Sales</v>
          </cell>
          <cell r="AB390" t="str">
            <v>24AAECK6307M1ZF</v>
          </cell>
        </row>
        <row r="391">
          <cell r="D391" t="str">
            <v>Oswal Extrusion Ltd- KASEZ-Sales</v>
          </cell>
          <cell r="AB391" t="str">
            <v>24AAACO7290H4ZB</v>
          </cell>
        </row>
        <row r="392">
          <cell r="D392" t="str">
            <v>Plastene Polyfilms Ltd-Sales</v>
          </cell>
          <cell r="AB392" t="str">
            <v>24AAFCP2956A1ZR</v>
          </cell>
        </row>
        <row r="393">
          <cell r="D393" t="str">
            <v>Plastene Polyfilms Ltd-Sales</v>
          </cell>
          <cell r="AB393" t="str">
            <v>24AAFCP2956A1ZR</v>
          </cell>
        </row>
        <row r="394">
          <cell r="D394" t="str">
            <v>Plastene Polyfilms Ltd-Sales</v>
          </cell>
          <cell r="AB394" t="str">
            <v>24AAFCP2956A1ZR</v>
          </cell>
        </row>
        <row r="395">
          <cell r="D395" t="str">
            <v>Plastene Polyfilms Ltd-Sales</v>
          </cell>
          <cell r="AB395" t="str">
            <v>24AAFCP2956A1ZR</v>
          </cell>
        </row>
        <row r="396">
          <cell r="D396" t="str">
            <v>Plastene Polyfilms Ltd-Sales</v>
          </cell>
          <cell r="AB396" t="str">
            <v>24AAFCP2956A1ZR</v>
          </cell>
        </row>
        <row r="397">
          <cell r="D397" t="str">
            <v>Plastene Polyfilms Ltd-Sales</v>
          </cell>
          <cell r="AB397" t="str">
            <v>24AAFCP2956A1ZR</v>
          </cell>
        </row>
        <row r="398">
          <cell r="D398" t="str">
            <v>Plastene Polyfilms Ltd-Sales</v>
          </cell>
          <cell r="AB398" t="str">
            <v>24AAFCP2956A1ZR</v>
          </cell>
        </row>
        <row r="399">
          <cell r="D399" t="str">
            <v>Plastene Polyfilms Ltd-Sales</v>
          </cell>
          <cell r="AB399" t="str">
            <v>24AAFCP2956A1ZR</v>
          </cell>
        </row>
        <row r="400">
          <cell r="D400" t="str">
            <v>Plastene Polyfilms Ltd-Sales</v>
          </cell>
          <cell r="AB400" t="str">
            <v>24AAFCP2956A1ZR</v>
          </cell>
        </row>
        <row r="401">
          <cell r="D401" t="str">
            <v>Plastene Polyfilms Ltd-Sales</v>
          </cell>
          <cell r="AB401" t="str">
            <v>24AAFCP2956A1ZR</v>
          </cell>
        </row>
        <row r="402">
          <cell r="D402" t="str">
            <v>Plastene Polyfilms Ltd-Sales</v>
          </cell>
          <cell r="AB402" t="str">
            <v>24AAFCP2956A1ZR</v>
          </cell>
        </row>
        <row r="403">
          <cell r="D403" t="str">
            <v>K.P. Woven Pvt Ltd - Unit 3 -Sales</v>
          </cell>
          <cell r="AB403" t="str">
            <v>24AAECK6307M2ZE</v>
          </cell>
        </row>
        <row r="404">
          <cell r="D404" t="str">
            <v>K.P. Woven Pvt Ltd - Unit 3 -Sales</v>
          </cell>
          <cell r="AB404" t="str">
            <v>24AAECK6307M2ZE</v>
          </cell>
        </row>
        <row r="405">
          <cell r="D405" t="str">
            <v>K.P. Woven Pvt Ltd-Sales</v>
          </cell>
          <cell r="AB405" t="str">
            <v>24AAECK6307M1ZF</v>
          </cell>
        </row>
        <row r="406">
          <cell r="D406" t="str">
            <v>K.P. Woven Pvt Ltd-Sales</v>
          </cell>
          <cell r="AB406" t="str">
            <v>24AAECK6307M1ZF</v>
          </cell>
        </row>
        <row r="407">
          <cell r="D407" t="str">
            <v>K.P. Woven Pvt Ltd-Sales</v>
          </cell>
          <cell r="AB407" t="str">
            <v>24AAECK6307M1ZF</v>
          </cell>
        </row>
        <row r="408">
          <cell r="D408" t="str">
            <v>K.P. Woven Pvt Ltd-Sales</v>
          </cell>
          <cell r="AB408" t="str">
            <v>24AAECK6307M1ZF</v>
          </cell>
        </row>
        <row r="409">
          <cell r="D409" t="str">
            <v>Konndor Industries Limited</v>
          </cell>
          <cell r="AB409" t="str">
            <v>24AAACC7751R1Z7</v>
          </cell>
        </row>
        <row r="410">
          <cell r="D410" t="str">
            <v>Lionel Samson Packaging Co Pty Ltd.</v>
          </cell>
          <cell r="AB410" t="str">
            <v>N.A.</v>
          </cell>
        </row>
        <row r="411">
          <cell r="D411" t="str">
            <v>Lionel Samson Packaging Co Pty Ltd.</v>
          </cell>
          <cell r="AB411" t="str">
            <v>N.A.</v>
          </cell>
        </row>
        <row r="412">
          <cell r="D412" t="str">
            <v>Plastene Polyfilms Ltd-Sales</v>
          </cell>
          <cell r="AB412" t="str">
            <v>24AAFCP2956A1ZR</v>
          </cell>
        </row>
        <row r="413">
          <cell r="D413" t="str">
            <v>Plastene Polyfilms Ltd-Sales</v>
          </cell>
          <cell r="AB413" t="str">
            <v>24AAFCP2956A1ZR</v>
          </cell>
        </row>
        <row r="414">
          <cell r="D414" t="str">
            <v>Plastene Polyfilms Ltd-Sales</v>
          </cell>
          <cell r="AB414" t="str">
            <v>24AAFCP2956A1ZR</v>
          </cell>
        </row>
        <row r="415">
          <cell r="D415" t="str">
            <v>Plastene Polyfilms Ltd-Sales</v>
          </cell>
          <cell r="AB415" t="str">
            <v>24AAFCP2956A1ZR</v>
          </cell>
        </row>
        <row r="416">
          <cell r="D416" t="str">
            <v>Plastene Polyfilms Ltd-Sales</v>
          </cell>
          <cell r="AB416" t="str">
            <v>24AAFCP2956A1ZR</v>
          </cell>
        </row>
        <row r="417">
          <cell r="D417" t="str">
            <v>Plastene Polyfilms Ltd-Sales</v>
          </cell>
          <cell r="AB417" t="str">
            <v>24AAFCP2956A1ZR</v>
          </cell>
        </row>
        <row r="418">
          <cell r="D418" t="str">
            <v>Plastene Polyfilms Ltd-Sales</v>
          </cell>
          <cell r="AB418" t="str">
            <v>24AAFCP2956A1ZR</v>
          </cell>
        </row>
        <row r="419">
          <cell r="D419" t="str">
            <v>Plastene Polyfilms Ltd-Sales</v>
          </cell>
          <cell r="AB419" t="str">
            <v>24AAFCP2956A1ZR</v>
          </cell>
        </row>
        <row r="420">
          <cell r="D420" t="str">
            <v>Plastene Polyfilms Ltd-Sales</v>
          </cell>
          <cell r="AB420" t="str">
            <v>24AAFCP2956A1ZR</v>
          </cell>
        </row>
        <row r="421">
          <cell r="D421" t="str">
            <v>Plastene Polyfilms Ltd-Sales</v>
          </cell>
          <cell r="AB421" t="str">
            <v>24AAFCP2956A1ZR</v>
          </cell>
        </row>
        <row r="422">
          <cell r="D422" t="str">
            <v>Plastene Polyfilms Ltd-Sales</v>
          </cell>
          <cell r="AB422" t="str">
            <v>24AAFCP2956A1ZR</v>
          </cell>
        </row>
        <row r="423">
          <cell r="D423" t="str">
            <v>Plastene Polyfilms Ltd-Sales</v>
          </cell>
          <cell r="AB423" t="str">
            <v>24AAFCP2956A1ZR</v>
          </cell>
        </row>
        <row r="424">
          <cell r="D424" t="str">
            <v>20 Microns Limited</v>
          </cell>
          <cell r="AB424" t="str">
            <v>24AAACZ0580B1ZS</v>
          </cell>
        </row>
        <row r="425">
          <cell r="D425" t="str">
            <v>K.P. Woven Pvt Ltd - Unit 3 -Sales</v>
          </cell>
          <cell r="AB425" t="str">
            <v>24AAECK6307M2ZE</v>
          </cell>
        </row>
        <row r="426">
          <cell r="D426" t="str">
            <v>K.P. Woven Pvt Ltd - Unit 3 -Sales</v>
          </cell>
          <cell r="AB426" t="str">
            <v>24AAECK6307M2ZE</v>
          </cell>
        </row>
        <row r="427">
          <cell r="D427" t="str">
            <v>K.P. Woven Pvt Ltd - Unit 3 -Sales</v>
          </cell>
          <cell r="AB427" t="str">
            <v>24AAECK6307M2ZE</v>
          </cell>
        </row>
        <row r="428">
          <cell r="D428" t="str">
            <v>K.P. Woven Pvt Ltd-Sales</v>
          </cell>
          <cell r="AB428" t="str">
            <v>24AAECK6307M1ZF</v>
          </cell>
        </row>
        <row r="429">
          <cell r="D429" t="str">
            <v>K.P. Woven Pvt Ltd-Sales</v>
          </cell>
          <cell r="AB429" t="str">
            <v>24AAECK6307M1ZF</v>
          </cell>
        </row>
        <row r="430">
          <cell r="D430" t="str">
            <v>K.P. Woven Pvt Ltd-Sales</v>
          </cell>
          <cell r="AB430" t="str">
            <v>24AAECK6307M1ZF</v>
          </cell>
        </row>
        <row r="431">
          <cell r="D431" t="str">
            <v>K.P. Woven Pvt Ltd-Sales</v>
          </cell>
          <cell r="AB431" t="str">
            <v>24AAECK6307M1ZF</v>
          </cell>
        </row>
        <row r="432">
          <cell r="D432" t="str">
            <v>K.P. Woven Pvt Ltd-Sales</v>
          </cell>
          <cell r="AB432" t="str">
            <v>24AAECK6307M1ZF</v>
          </cell>
        </row>
        <row r="433">
          <cell r="D433" t="str">
            <v>K.P. Woven Pvt Ltd-Sales</v>
          </cell>
          <cell r="AB433" t="str">
            <v>24AAECK6307M1ZF</v>
          </cell>
        </row>
        <row r="434">
          <cell r="D434" t="str">
            <v>K.P. Woven Pvt Ltd-Sales</v>
          </cell>
          <cell r="AB434" t="str">
            <v>24AAECK6307M1ZF</v>
          </cell>
        </row>
        <row r="435">
          <cell r="D435" t="str">
            <v>K.P. Woven Pvt Ltd-Sales</v>
          </cell>
          <cell r="AB435" t="str">
            <v>24AAECK6307M1ZF</v>
          </cell>
        </row>
        <row r="436">
          <cell r="D436" t="str">
            <v>K.P. Woven Pvt Ltd-Sales</v>
          </cell>
          <cell r="AB436" t="str">
            <v>24AAECK6307M1ZF</v>
          </cell>
        </row>
        <row r="437">
          <cell r="D437" t="str">
            <v>K.P. Woven Pvt Ltd-Sales</v>
          </cell>
          <cell r="AB437" t="str">
            <v>24AAECK6307M1ZF</v>
          </cell>
        </row>
        <row r="438">
          <cell r="D438" t="str">
            <v>K.P. Woven Pvt Ltd-Sales</v>
          </cell>
          <cell r="AB438" t="str">
            <v>24AAECK6307M1ZF</v>
          </cell>
        </row>
        <row r="439">
          <cell r="D439" t="str">
            <v>Plastene Polyfilms Ltd-Sales</v>
          </cell>
          <cell r="AB439" t="str">
            <v>24AAFCP2956A1ZR</v>
          </cell>
        </row>
        <row r="440">
          <cell r="D440" t="str">
            <v>Plastene Polyfilms Ltd-Sales</v>
          </cell>
          <cell r="AB440" t="str">
            <v>24AAFCP2956A1ZR</v>
          </cell>
        </row>
        <row r="441">
          <cell r="D441" t="str">
            <v>Plastene Polyfilms Ltd-Sales</v>
          </cell>
          <cell r="AB441" t="str">
            <v>24AAFCP2956A1ZR</v>
          </cell>
        </row>
        <row r="442">
          <cell r="D442" t="str">
            <v>Plastene Polyfilms Ltd-Sales</v>
          </cell>
          <cell r="AB442" t="str">
            <v>24AAFCP2956A1ZR</v>
          </cell>
        </row>
        <row r="443">
          <cell r="D443" t="str">
            <v>Plastene Polyfilms Ltd-Sales</v>
          </cell>
          <cell r="AB443" t="str">
            <v>24AAFCP2956A1ZR</v>
          </cell>
        </row>
        <row r="444">
          <cell r="D444" t="str">
            <v>Plastene Polyfilms Ltd-Sales</v>
          </cell>
          <cell r="AB444" t="str">
            <v>24AAFCP2956A1ZR</v>
          </cell>
        </row>
        <row r="445">
          <cell r="D445" t="str">
            <v>Plastene Polyfilms Ltd-Sales</v>
          </cell>
          <cell r="AB445" t="str">
            <v>24AAFCP2956A1ZR</v>
          </cell>
        </row>
        <row r="446">
          <cell r="D446" t="str">
            <v>Plastene Polyfilms Ltd-Sales</v>
          </cell>
          <cell r="AB446" t="str">
            <v>24AAFCP2956A1ZR</v>
          </cell>
        </row>
        <row r="447">
          <cell r="D447" t="str">
            <v>Plastene Polyfilms Ltd-Sales</v>
          </cell>
          <cell r="AB447" t="str">
            <v>24AAFCP2956A1ZR</v>
          </cell>
        </row>
        <row r="448">
          <cell r="D448" t="str">
            <v>Plastene Polyfilms Ltd-Sales</v>
          </cell>
          <cell r="AB448" t="str">
            <v>24AAFCP2956A1ZR</v>
          </cell>
        </row>
        <row r="449">
          <cell r="D449" t="str">
            <v>Plastene Polyfilms Ltd-Sales</v>
          </cell>
          <cell r="AB449" t="str">
            <v>24AAFCP2956A1ZR</v>
          </cell>
        </row>
        <row r="450">
          <cell r="D450" t="str">
            <v>Plastene Polyfilms Ltd-Sales</v>
          </cell>
          <cell r="AB450" t="str">
            <v>24AAFCP2956A1ZR</v>
          </cell>
        </row>
        <row r="451">
          <cell r="D451" t="str">
            <v>Procon Pacific Llc</v>
          </cell>
          <cell r="AB451" t="str">
            <v>N.A.</v>
          </cell>
        </row>
        <row r="452">
          <cell r="D452" t="str">
            <v>K.P. Woven Pvt Ltd - Unit 3 -Sales</v>
          </cell>
          <cell r="AB452" t="str">
            <v>24AAECK6307M2ZE</v>
          </cell>
        </row>
        <row r="453">
          <cell r="D453" t="str">
            <v>K.P. Woven Pvt Ltd - Unit 3 -Sales</v>
          </cell>
          <cell r="AB453" t="str">
            <v>24AAECK6307M2ZE</v>
          </cell>
        </row>
        <row r="454">
          <cell r="D454" t="str">
            <v>K.P. Woven Pvt Ltd - Unit 3 -Sales</v>
          </cell>
          <cell r="AB454" t="str">
            <v>24AAECK6307M2ZE</v>
          </cell>
        </row>
        <row r="455">
          <cell r="D455" t="str">
            <v>K.P. Woven Pvt Ltd - Unit 3 -Sales</v>
          </cell>
          <cell r="AB455" t="str">
            <v>24AAECK6307M2ZE</v>
          </cell>
        </row>
        <row r="456">
          <cell r="D456" t="str">
            <v>K.P. Woven Pvt Ltd - Unit 3 -Sales</v>
          </cell>
          <cell r="AB456" t="str">
            <v>24AAECK6307M2ZE</v>
          </cell>
        </row>
        <row r="457">
          <cell r="D457" t="str">
            <v>K.P. Woven Pvt Ltd - Unit 3 -Sales</v>
          </cell>
          <cell r="AB457" t="str">
            <v>24AAECK6307M2ZE</v>
          </cell>
        </row>
        <row r="458">
          <cell r="D458" t="str">
            <v>K.P. Woven Pvt Ltd-Sales</v>
          </cell>
          <cell r="AB458" t="str">
            <v>24AAECK6307M1ZF</v>
          </cell>
        </row>
        <row r="459">
          <cell r="D459" t="str">
            <v>K.P. Woven Pvt Ltd-Sales</v>
          </cell>
          <cell r="AB459" t="str">
            <v>24AAECK6307M1ZF</v>
          </cell>
        </row>
        <row r="460">
          <cell r="D460" t="str">
            <v>K.P. Woven Pvt Ltd-Sales</v>
          </cell>
          <cell r="AB460" t="str">
            <v>24AAECK6307M1ZF</v>
          </cell>
        </row>
        <row r="461">
          <cell r="D461" t="str">
            <v>K.P. Woven Pvt Ltd-Sales</v>
          </cell>
          <cell r="AB461" t="str">
            <v>24AAECK6307M1ZF</v>
          </cell>
        </row>
        <row r="462">
          <cell r="D462" t="str">
            <v>K.P. Woven Pvt Ltd-Sales</v>
          </cell>
          <cell r="AB462" t="str">
            <v>24AAECK6307M1ZF</v>
          </cell>
        </row>
        <row r="463">
          <cell r="D463" t="str">
            <v>K.P. Woven Pvt Ltd-Sales</v>
          </cell>
          <cell r="AB463" t="str">
            <v>24AAECK6307M1ZF</v>
          </cell>
        </row>
        <row r="464">
          <cell r="D464" t="str">
            <v>K.P. Woven Pvt Ltd-Sales</v>
          </cell>
          <cell r="AB464" t="str">
            <v>24AAECK6307M1ZF</v>
          </cell>
        </row>
        <row r="465">
          <cell r="D465" t="str">
            <v>K.P. Woven Pvt Ltd-Sales</v>
          </cell>
          <cell r="AB465" t="str">
            <v>24AAECK6307M1ZF</v>
          </cell>
        </row>
        <row r="466">
          <cell r="D466" t="str">
            <v>K.P. Woven Pvt Ltd-Sales</v>
          </cell>
          <cell r="AB466" t="str">
            <v>24AAECK6307M1ZF</v>
          </cell>
        </row>
        <row r="467">
          <cell r="D467" t="str">
            <v>Plastene Polyfilms Ltd-Sales</v>
          </cell>
          <cell r="AB467" t="str">
            <v>24AAFCP2956A1ZR</v>
          </cell>
        </row>
        <row r="468">
          <cell r="D468" t="str">
            <v>Plastene Polyfilms Ltd-Sales</v>
          </cell>
          <cell r="AB468" t="str">
            <v>24AAFCP2956A1ZR</v>
          </cell>
        </row>
        <row r="469">
          <cell r="D469" t="str">
            <v>Plastene Polyfilms Ltd-Sales</v>
          </cell>
          <cell r="AB469" t="str">
            <v>24AAFCP2956A1ZR</v>
          </cell>
        </row>
        <row r="470">
          <cell r="D470" t="str">
            <v>Plastene Polyfilms Ltd-Sales</v>
          </cell>
          <cell r="AB470" t="str">
            <v>24AAFCP2956A1ZR</v>
          </cell>
        </row>
        <row r="471">
          <cell r="D471" t="str">
            <v>Plastene Polyfilms Ltd-Sales</v>
          </cell>
          <cell r="AB471" t="str">
            <v>24AAFCP2956A1ZR</v>
          </cell>
        </row>
        <row r="472">
          <cell r="D472" t="str">
            <v>Plastene Polyfilms Ltd-Sales</v>
          </cell>
          <cell r="AB472" t="str">
            <v>24AAFCP2956A1ZR</v>
          </cell>
        </row>
        <row r="473">
          <cell r="D473" t="str">
            <v>HCP Plastene Bulkpack Limited - Sales</v>
          </cell>
          <cell r="AB473" t="str">
            <v>24AABCG1282C2Z6</v>
          </cell>
        </row>
        <row r="474">
          <cell r="D474" t="str">
            <v>HCP Plastene Bulkpack Limited - Sales</v>
          </cell>
          <cell r="AB474" t="str">
            <v>24AABCG1282C2Z6</v>
          </cell>
        </row>
        <row r="475">
          <cell r="D475" t="str">
            <v>K.P. Woven Pvt Ltd - Unit 3 -Sales</v>
          </cell>
          <cell r="AB475" t="str">
            <v>24AAECK6307M2ZE</v>
          </cell>
        </row>
        <row r="476">
          <cell r="D476" t="str">
            <v>K.P. Woven Pvt Ltd - Unit 3 -Sales</v>
          </cell>
          <cell r="AB476" t="str">
            <v>24AAECK6307M2ZE</v>
          </cell>
        </row>
        <row r="477">
          <cell r="D477" t="str">
            <v>K.P. Woven Pvt Ltd - Unit 3 -Sales</v>
          </cell>
          <cell r="AB477" t="str">
            <v>24AAECK6307M2ZE</v>
          </cell>
        </row>
        <row r="478">
          <cell r="D478" t="str">
            <v>K.P. Woven Pvt Ltd - Unit 3 -Sales</v>
          </cell>
          <cell r="AB478" t="str">
            <v>24AAECK6307M2ZE</v>
          </cell>
        </row>
        <row r="479">
          <cell r="D479" t="str">
            <v>K.P. Woven Pvt Ltd - Unit 3 -Sales</v>
          </cell>
          <cell r="AB479" t="str">
            <v>24AAECK6307M2ZE</v>
          </cell>
        </row>
        <row r="480">
          <cell r="D480" t="str">
            <v>K.P. Woven Pvt Ltd - Unit 3 -Sales</v>
          </cell>
          <cell r="AB480" t="str">
            <v>24AAECK6307M2ZE</v>
          </cell>
        </row>
        <row r="481">
          <cell r="D481" t="str">
            <v>K.P. Woven Pvt Ltd - Unit 3 -Sales</v>
          </cell>
          <cell r="AB481" t="str">
            <v>24AAECK6307M2ZE</v>
          </cell>
        </row>
        <row r="482">
          <cell r="D482" t="str">
            <v>K.P. Woven Pvt Ltd - Unit 3 -Sales</v>
          </cell>
          <cell r="AB482" t="str">
            <v>24AAECK6307M2ZE</v>
          </cell>
        </row>
        <row r="483">
          <cell r="D483" t="str">
            <v>Plastene Polyfilms Ltd-Sales</v>
          </cell>
          <cell r="AB483" t="str">
            <v>24AAFCP2956A1ZR</v>
          </cell>
        </row>
        <row r="484">
          <cell r="D484" t="str">
            <v>Plastene Polyfilms Ltd-Sales</v>
          </cell>
          <cell r="AB484" t="str">
            <v>24AAFCP2956A1ZR</v>
          </cell>
        </row>
        <row r="485">
          <cell r="D485" t="str">
            <v>Plastene Polyfilms Ltd-Sales</v>
          </cell>
          <cell r="AB485" t="str">
            <v>24AAFCP2956A1ZR</v>
          </cell>
        </row>
        <row r="486">
          <cell r="D486" t="str">
            <v>Plastene Polyfilms Ltd-Sales</v>
          </cell>
          <cell r="AB486" t="str">
            <v>24AAFCP2956A1ZR</v>
          </cell>
        </row>
        <row r="487">
          <cell r="D487" t="str">
            <v>Plastene Polyfilms Ltd-Sales</v>
          </cell>
          <cell r="AB487" t="str">
            <v>24AAFCP2956A1ZR</v>
          </cell>
        </row>
        <row r="488">
          <cell r="D488" t="str">
            <v>Plastene Polyfilms Ltd-Sales</v>
          </cell>
          <cell r="AB488" t="str">
            <v>24AAFCP2956A1ZR</v>
          </cell>
        </row>
        <row r="489">
          <cell r="D489" t="str">
            <v>Plastene Polyfilms Ltd-Sales</v>
          </cell>
          <cell r="AB489" t="str">
            <v>24AAFCP2956A1ZR</v>
          </cell>
        </row>
        <row r="490">
          <cell r="D490" t="str">
            <v>Plastene Polyfilms Ltd-Sales</v>
          </cell>
          <cell r="AB490" t="str">
            <v>24AAFCP2956A1ZR</v>
          </cell>
        </row>
        <row r="491">
          <cell r="D491" t="str">
            <v>Plastene Polyfilms Ltd-Sales</v>
          </cell>
          <cell r="AB491" t="str">
            <v>24AAFCP2956A1ZR</v>
          </cell>
        </row>
        <row r="492">
          <cell r="D492" t="str">
            <v>Plastene Polyfilms Ltd-Sales</v>
          </cell>
          <cell r="AB492" t="str">
            <v>24AAFCP2956A1ZR</v>
          </cell>
        </row>
        <row r="493">
          <cell r="D493" t="str">
            <v>Rudra Trading Co.</v>
          </cell>
          <cell r="AB493" t="str">
            <v>27BCGPD5673M1Z7</v>
          </cell>
        </row>
        <row r="494">
          <cell r="D494" t="str">
            <v>K.P. Woven Pvt Ltd - Unit 3 -Sales</v>
          </cell>
          <cell r="AB494" t="str">
            <v>24AAECK6307M2ZE</v>
          </cell>
        </row>
        <row r="495">
          <cell r="D495" t="str">
            <v>K.P. Woven Pvt Ltd - Unit 3 -Sales</v>
          </cell>
          <cell r="AB495" t="str">
            <v>24AAECK6307M2ZE</v>
          </cell>
        </row>
        <row r="496">
          <cell r="D496" t="str">
            <v>K.P. Woven Pvt Ltd-Sales</v>
          </cell>
          <cell r="AB496" t="str">
            <v>24AAECK6307M1ZF</v>
          </cell>
        </row>
        <row r="497">
          <cell r="D497" t="str">
            <v>K.P. Woven Pvt Ltd-Sales</v>
          </cell>
          <cell r="AB497" t="str">
            <v>24AAECK6307M1ZF</v>
          </cell>
        </row>
        <row r="498">
          <cell r="D498" t="str">
            <v>K.P. Woven Pvt Ltd-Sales</v>
          </cell>
          <cell r="AB498" t="str">
            <v>24AAECK6307M1ZF</v>
          </cell>
        </row>
        <row r="499">
          <cell r="D499" t="str">
            <v>K.P. Woven Pvt Ltd-Sales</v>
          </cell>
          <cell r="AB499" t="str">
            <v>24AAECK6307M1ZF</v>
          </cell>
        </row>
        <row r="500">
          <cell r="D500" t="str">
            <v>Plastene Polyfilms Ltd-Sales</v>
          </cell>
          <cell r="AB500" t="str">
            <v>24AAFCP2956A1ZR</v>
          </cell>
        </row>
        <row r="501">
          <cell r="D501" t="str">
            <v>Plastene Polyfilms Ltd-Sales</v>
          </cell>
          <cell r="AB501" t="str">
            <v>24AAFCP2956A1ZR</v>
          </cell>
        </row>
        <row r="502">
          <cell r="D502" t="str">
            <v>Plastene Polyfilms Ltd-Sales</v>
          </cell>
          <cell r="AB502" t="str">
            <v>24AAFCP2956A1ZR</v>
          </cell>
        </row>
        <row r="503">
          <cell r="D503" t="str">
            <v>Plastene Polyfilms Ltd-Sales</v>
          </cell>
          <cell r="AB503" t="str">
            <v>24AAFCP2956A1ZR</v>
          </cell>
        </row>
        <row r="504">
          <cell r="D504" t="str">
            <v>Plastene Polyfilms Ltd-Sales</v>
          </cell>
          <cell r="AB504" t="str">
            <v>24AAFCP2956A1ZR</v>
          </cell>
        </row>
        <row r="505">
          <cell r="D505" t="str">
            <v>Plastene Polyfilms Ltd-Sales</v>
          </cell>
          <cell r="AB505" t="str">
            <v>24AAFCP2956A1ZR</v>
          </cell>
        </row>
        <row r="506">
          <cell r="D506" t="str">
            <v>Plastene Polyfilms Ltd-Sales</v>
          </cell>
          <cell r="AB506" t="str">
            <v>24AAFCP2956A1ZR</v>
          </cell>
        </row>
        <row r="507">
          <cell r="D507" t="str">
            <v>Plastene Polyfilms Ltd-Sales</v>
          </cell>
          <cell r="AB507" t="str">
            <v>24AAFCP2956A1ZR</v>
          </cell>
        </row>
        <row r="508">
          <cell r="D508" t="str">
            <v>20 Microns Limited</v>
          </cell>
          <cell r="AB508" t="str">
            <v>24AAACZ0580B1ZS</v>
          </cell>
        </row>
        <row r="509">
          <cell r="D509" t="str">
            <v>20 Microns Limited</v>
          </cell>
          <cell r="AB509" t="str">
            <v>24AAACZ0580B1ZS</v>
          </cell>
        </row>
        <row r="510">
          <cell r="D510" t="str">
            <v>HCP Plastene Bulkpack Limited - Sales</v>
          </cell>
          <cell r="AB510" t="str">
            <v>24AABCG1282C2Z6</v>
          </cell>
        </row>
        <row r="511">
          <cell r="D511" t="str">
            <v>HCP Plastene Bulkpack Limited - Sales</v>
          </cell>
          <cell r="AB511" t="str">
            <v>24AABCG1282C2Z6</v>
          </cell>
        </row>
        <row r="512">
          <cell r="D512" t="str">
            <v>HCP Plastene Bulkpack Limited - Sales</v>
          </cell>
          <cell r="AB512" t="str">
            <v>24AABCG1282C2Z6</v>
          </cell>
        </row>
        <row r="513">
          <cell r="D513" t="str">
            <v>K.P. Woven Pvt Ltd - Unit 3 -Sales</v>
          </cell>
          <cell r="AB513" t="str">
            <v>24AAECK6307M2ZE</v>
          </cell>
        </row>
        <row r="514">
          <cell r="D514" t="str">
            <v>K.P. Woven Pvt Ltd - Unit 3 -Sales</v>
          </cell>
          <cell r="AB514" t="str">
            <v>24AAECK6307M2ZE</v>
          </cell>
        </row>
        <row r="515">
          <cell r="D515" t="str">
            <v>K.P. Woven Pvt Ltd - Unit 3 -Sales</v>
          </cell>
          <cell r="AB515" t="str">
            <v>24AAECK6307M2ZE</v>
          </cell>
        </row>
        <row r="516">
          <cell r="D516" t="str">
            <v>K.P. Woven Pvt Ltd - Unit 3 -Sales</v>
          </cell>
          <cell r="AB516" t="str">
            <v>24AAECK6307M2ZE</v>
          </cell>
        </row>
        <row r="517">
          <cell r="D517" t="str">
            <v>K.P. Woven Pvt Ltd - Unit 3 -Sales</v>
          </cell>
          <cell r="AB517" t="str">
            <v>24AAECK6307M2ZE</v>
          </cell>
        </row>
        <row r="518">
          <cell r="D518" t="str">
            <v>K.P. Woven Pvt Ltd-Sales</v>
          </cell>
          <cell r="AB518" t="str">
            <v>24AAECK6307M1ZF</v>
          </cell>
        </row>
        <row r="519">
          <cell r="D519" t="str">
            <v>K.P. Woven Pvt Ltd-Sales</v>
          </cell>
          <cell r="AB519" t="str">
            <v>24AAECK6307M1ZF</v>
          </cell>
        </row>
        <row r="520">
          <cell r="D520" t="str">
            <v>K.P. Woven Pvt Ltd-Sales</v>
          </cell>
          <cell r="AB520" t="str">
            <v>24AAECK6307M1ZF</v>
          </cell>
        </row>
        <row r="521">
          <cell r="D521" t="str">
            <v>K.P. Woven Pvt Ltd-Sales</v>
          </cell>
          <cell r="AB521" t="str">
            <v>24AAECK6307M1ZF</v>
          </cell>
        </row>
        <row r="522">
          <cell r="D522" t="str">
            <v>K.P. Woven Pvt Ltd-Sales</v>
          </cell>
          <cell r="AB522" t="str">
            <v>24AAECK6307M1ZF</v>
          </cell>
        </row>
        <row r="523">
          <cell r="D523" t="str">
            <v>Plastene Polyfilms Ltd-Sales</v>
          </cell>
          <cell r="AB523" t="str">
            <v>24AAFCP2956A1ZR</v>
          </cell>
        </row>
        <row r="524">
          <cell r="D524" t="str">
            <v>Plastene Polyfilms Ltd-Sales</v>
          </cell>
          <cell r="AB524" t="str">
            <v>24AAFCP2956A1ZR</v>
          </cell>
        </row>
        <row r="525">
          <cell r="D525" t="str">
            <v>Plastene Polyfilms Ltd-Sales</v>
          </cell>
          <cell r="AB525" t="str">
            <v>24AAFCP2956A1ZR</v>
          </cell>
        </row>
        <row r="526">
          <cell r="D526" t="str">
            <v>Plastene Polyfilms Ltd-Sales</v>
          </cell>
          <cell r="AB526" t="str">
            <v>24AAFCP2956A1ZR</v>
          </cell>
        </row>
        <row r="527">
          <cell r="D527" t="str">
            <v>Plastene Polyfilms Ltd-Sales</v>
          </cell>
          <cell r="AB527" t="str">
            <v>24AAFCP2956A1ZR</v>
          </cell>
        </row>
        <row r="528">
          <cell r="D528" t="str">
            <v>Plastene Polyfilms Ltd-Sales</v>
          </cell>
          <cell r="AB528" t="str">
            <v>24AAFCP2956A1ZR</v>
          </cell>
        </row>
        <row r="529">
          <cell r="D529" t="str">
            <v>Plastene Polyfilms Ltd-Sales</v>
          </cell>
          <cell r="AB529" t="str">
            <v>24AAFCP2956A1ZR</v>
          </cell>
        </row>
        <row r="530">
          <cell r="D530" t="str">
            <v>Plastene Polyfilms Ltd-Sales</v>
          </cell>
          <cell r="AB530" t="str">
            <v>24AAFCP2956A1ZR</v>
          </cell>
        </row>
        <row r="531">
          <cell r="D531" t="str">
            <v>H Polesy &amp; Co Pty Ltd</v>
          </cell>
          <cell r="AB531" t="str">
            <v>N.A.</v>
          </cell>
        </row>
        <row r="532">
          <cell r="D532" t="str">
            <v>Jain Bulk Pack - Ahmedabad</v>
          </cell>
          <cell r="AB532" t="str">
            <v>24AFOPG7793M1ZO</v>
          </cell>
        </row>
        <row r="533">
          <cell r="D533" t="str">
            <v>Jain Bulk Pack - Ahmedabad</v>
          </cell>
          <cell r="AB533" t="str">
            <v>24AFOPG7793M1ZO</v>
          </cell>
        </row>
        <row r="534">
          <cell r="D534" t="str">
            <v>Juta A.S.</v>
          </cell>
          <cell r="AB534" t="str">
            <v>N.A.</v>
          </cell>
        </row>
        <row r="535">
          <cell r="D535" t="str">
            <v>K.P. Woven Pvt Ltd - Unit 3 -Sales</v>
          </cell>
          <cell r="AB535" t="str">
            <v>24AAECK6307M2ZE</v>
          </cell>
        </row>
        <row r="536">
          <cell r="D536" t="str">
            <v>K.P. Woven Pvt Ltd - Unit 3 -Sales</v>
          </cell>
          <cell r="AB536" t="str">
            <v>24AAECK6307M2ZE</v>
          </cell>
        </row>
        <row r="537">
          <cell r="D537" t="str">
            <v>K.P. Woven Pvt Ltd - Unit 3 -Sales</v>
          </cell>
          <cell r="AB537" t="str">
            <v>24AAECK6307M2ZE</v>
          </cell>
        </row>
        <row r="538">
          <cell r="D538" t="str">
            <v>K.P. Woven Pvt Ltd - Unit 3 -Sales</v>
          </cell>
          <cell r="AB538" t="str">
            <v>24AAECK6307M2ZE</v>
          </cell>
        </row>
        <row r="539">
          <cell r="D539" t="str">
            <v>K.P. Woven Pvt Ltd - Unit 3 -Sales</v>
          </cell>
          <cell r="AB539" t="str">
            <v>24AAECK6307M2ZE</v>
          </cell>
        </row>
        <row r="540">
          <cell r="D540" t="str">
            <v>K.P. Woven Pvt Ltd - Unit 3 -Sales</v>
          </cell>
          <cell r="AB540" t="str">
            <v>24AAECK6307M2ZE</v>
          </cell>
        </row>
        <row r="541">
          <cell r="D541" t="str">
            <v>K.P. Woven Pvt Ltd - Unit 3 -Sales</v>
          </cell>
          <cell r="AB541" t="str">
            <v>24AAECK6307M2ZE</v>
          </cell>
        </row>
        <row r="542">
          <cell r="D542" t="str">
            <v>K.P. Woven Pvt Ltd - Unit 3 -Sales</v>
          </cell>
          <cell r="AB542" t="str">
            <v>24AAECK6307M2ZE</v>
          </cell>
        </row>
        <row r="543">
          <cell r="D543" t="str">
            <v>K.P. Woven Pvt Ltd - Unit 3 -Sales</v>
          </cell>
          <cell r="AB543" t="str">
            <v>24AAECK6307M2ZE</v>
          </cell>
        </row>
        <row r="544">
          <cell r="D544" t="str">
            <v>Plastene Polyfilms Ltd-Sales</v>
          </cell>
          <cell r="AB544" t="str">
            <v>24AAFCP2956A1ZR</v>
          </cell>
        </row>
        <row r="545">
          <cell r="D545" t="str">
            <v>Plastene Polyfilms Ltd-Sales</v>
          </cell>
          <cell r="AB545" t="str">
            <v>24AAFCP2956A1ZR</v>
          </cell>
        </row>
        <row r="546">
          <cell r="D546" t="str">
            <v>Plastene Polyfilms Ltd-Sales</v>
          </cell>
          <cell r="AB546" t="str">
            <v>24AAFCP2956A1ZR</v>
          </cell>
        </row>
        <row r="547">
          <cell r="D547" t="str">
            <v>Procon Pacific Llc</v>
          </cell>
          <cell r="AB547" t="str">
            <v>N.A.</v>
          </cell>
        </row>
        <row r="548">
          <cell r="D548" t="str">
            <v>20 Microns Limited</v>
          </cell>
          <cell r="AB548" t="str">
            <v>24AAACZ0580B1ZS</v>
          </cell>
        </row>
        <row r="549">
          <cell r="D549" t="str">
            <v>Bluepack A/S</v>
          </cell>
          <cell r="AB549" t="str">
            <v>N.A.</v>
          </cell>
        </row>
        <row r="550">
          <cell r="D550" t="str">
            <v>HCP Plastene Bulkpack Limited - Sales</v>
          </cell>
          <cell r="AB550" t="str">
            <v>24AABCG1282C2Z6</v>
          </cell>
        </row>
        <row r="551">
          <cell r="D551" t="str">
            <v>HCP Plastene Bulkpack Limited - Sales</v>
          </cell>
          <cell r="AB551" t="str">
            <v>24AABCG1282C2Z6</v>
          </cell>
        </row>
        <row r="552">
          <cell r="D552" t="str">
            <v>HCP Plastene Bulkpack Limited - Sales</v>
          </cell>
          <cell r="AB552" t="str">
            <v>24AABCG1282C2Z6</v>
          </cell>
        </row>
        <row r="553">
          <cell r="D553" t="str">
            <v>K.P. Woven Pvt Ltd - Unit 3 -Sales</v>
          </cell>
          <cell r="AB553" t="str">
            <v>24AAECK6307M2ZE</v>
          </cell>
        </row>
        <row r="554">
          <cell r="D554" t="str">
            <v>K.P. Woven Pvt Ltd - Unit 3 -Sales</v>
          </cell>
          <cell r="AB554" t="str">
            <v>24AAECK6307M2ZE</v>
          </cell>
        </row>
        <row r="555">
          <cell r="D555" t="str">
            <v>K.P. Woven Pvt Ltd - Unit 3 -Sales</v>
          </cell>
          <cell r="AB555" t="str">
            <v>24AAECK6307M2ZE</v>
          </cell>
        </row>
        <row r="556">
          <cell r="D556" t="str">
            <v>K.P. Woven Pvt Ltd - Unit 3 -Sales</v>
          </cell>
          <cell r="AB556" t="str">
            <v>24AAECK6307M2ZE</v>
          </cell>
        </row>
        <row r="557">
          <cell r="D557" t="str">
            <v>K.P. Woven Pvt Ltd-Sales</v>
          </cell>
          <cell r="AB557" t="str">
            <v>24AAECK6307M1ZF</v>
          </cell>
        </row>
        <row r="558">
          <cell r="D558" t="str">
            <v>K.P. Woven Pvt Ltd-Sales</v>
          </cell>
          <cell r="AB558" t="str">
            <v>24AAECK6307M1ZF</v>
          </cell>
        </row>
        <row r="559">
          <cell r="D559" t="str">
            <v>K.P. Woven Pvt Ltd-Sales</v>
          </cell>
          <cell r="AB559" t="str">
            <v>24AAECK6307M1ZF</v>
          </cell>
        </row>
        <row r="560">
          <cell r="D560" t="str">
            <v>K.P. Woven Pvt Ltd-Sales</v>
          </cell>
          <cell r="AB560" t="str">
            <v>24AAECK6307M1ZF</v>
          </cell>
        </row>
        <row r="561">
          <cell r="D561" t="str">
            <v>K.P. Woven Pvt Ltd-Sales</v>
          </cell>
          <cell r="AB561" t="str">
            <v>24AAECK6307M1ZF</v>
          </cell>
        </row>
        <row r="562">
          <cell r="D562" t="str">
            <v>K.P. Woven Pvt Ltd-Sales</v>
          </cell>
          <cell r="AB562" t="str">
            <v>24AAECK6307M1ZF</v>
          </cell>
        </row>
        <row r="563">
          <cell r="D563" t="str">
            <v>K.P. Woven Pvt Ltd-Sales</v>
          </cell>
          <cell r="AB563" t="str">
            <v>24AAECK6307M1ZF</v>
          </cell>
        </row>
        <row r="564">
          <cell r="D564" t="str">
            <v>K.P. Woven Pvt Ltd-Sales</v>
          </cell>
          <cell r="AB564" t="str">
            <v>24AAECK6307M1ZF</v>
          </cell>
        </row>
        <row r="565">
          <cell r="D565" t="str">
            <v>Oliva Garden S.A.</v>
          </cell>
          <cell r="AB565" t="str">
            <v>N.A.</v>
          </cell>
        </row>
        <row r="566">
          <cell r="D566" t="str">
            <v>Oliva Garden S.A.</v>
          </cell>
          <cell r="AB566" t="str">
            <v>N.A.</v>
          </cell>
        </row>
        <row r="567">
          <cell r="D567" t="str">
            <v>Oliva Garden S.A.</v>
          </cell>
          <cell r="AB567" t="str">
            <v>N.A.</v>
          </cell>
        </row>
        <row r="568">
          <cell r="D568" t="str">
            <v>Plastene Polyfilms Ltd-Sales</v>
          </cell>
          <cell r="AB568" t="str">
            <v>24AAFCP2956A1ZR</v>
          </cell>
        </row>
        <row r="569">
          <cell r="D569" t="str">
            <v>Plastene Polyfilms Ltd-Sales</v>
          </cell>
          <cell r="AB569" t="str">
            <v>24AAFCP2956A1ZR</v>
          </cell>
        </row>
        <row r="570">
          <cell r="D570" t="str">
            <v>Plastene Polyfilms Ltd-Sales</v>
          </cell>
          <cell r="AB570" t="str">
            <v>24AAFCP2956A1ZR</v>
          </cell>
        </row>
        <row r="571">
          <cell r="D571" t="str">
            <v>Plastene Polyfilms Ltd-Sales</v>
          </cell>
          <cell r="AB571" t="str">
            <v>24AAFCP2956A1ZR</v>
          </cell>
        </row>
        <row r="572">
          <cell r="D572" t="str">
            <v>Plastene Polyfilms Ltd-Sales</v>
          </cell>
          <cell r="AB572" t="str">
            <v>24AAFCP2956A1ZR</v>
          </cell>
        </row>
        <row r="573">
          <cell r="D573" t="str">
            <v>Plastene Polyfilms Ltd-Sales</v>
          </cell>
          <cell r="AB573" t="str">
            <v>24AAFCP2956A1ZR</v>
          </cell>
        </row>
        <row r="574">
          <cell r="D574" t="str">
            <v>Plastene Polyfilms Ltd-Sales</v>
          </cell>
          <cell r="AB574" t="str">
            <v>24AAFCP2956A1ZR</v>
          </cell>
        </row>
        <row r="575">
          <cell r="D575" t="str">
            <v>Plastene Polyfilms Ltd-Sales</v>
          </cell>
          <cell r="AB575" t="str">
            <v>24AAFCP2956A1ZR</v>
          </cell>
        </row>
        <row r="576">
          <cell r="D576" t="str">
            <v>Procon Pacific Llc</v>
          </cell>
          <cell r="AB576" t="str">
            <v>N.A.</v>
          </cell>
        </row>
        <row r="577">
          <cell r="D577" t="str">
            <v>K.P. Woven Pvt Ltd - Unit 3 -Sales</v>
          </cell>
          <cell r="AB577" t="str">
            <v>24AAECK6307M2ZE</v>
          </cell>
        </row>
        <row r="578">
          <cell r="D578" t="str">
            <v>K.P. Woven Pvt Ltd - Unit 3 -Sales</v>
          </cell>
          <cell r="AB578" t="str">
            <v>24AAECK6307M2ZE</v>
          </cell>
        </row>
        <row r="579">
          <cell r="D579" t="str">
            <v>K.P. Woven Pvt Ltd - Unit 3 -Sales</v>
          </cell>
          <cell r="AB579" t="str">
            <v>24AAECK6307M2ZE</v>
          </cell>
        </row>
        <row r="580">
          <cell r="D580" t="str">
            <v>K.P. Woven Pvt Ltd - Unit 3 -Sales</v>
          </cell>
          <cell r="AB580" t="str">
            <v>24AAECK6307M2ZE</v>
          </cell>
        </row>
        <row r="581">
          <cell r="D581" t="str">
            <v>K.P. Woven Pvt Ltd - Unit 3 -Sales</v>
          </cell>
          <cell r="AB581" t="str">
            <v>24AAECK6307M2ZE</v>
          </cell>
        </row>
        <row r="582">
          <cell r="D582" t="str">
            <v>K.P. Woven Pvt Ltd-Sales</v>
          </cell>
          <cell r="AB582" t="str">
            <v>24AAECK6307M1ZF</v>
          </cell>
        </row>
        <row r="583">
          <cell r="D583" t="str">
            <v>K.P. Woven Pvt Ltd-Sales</v>
          </cell>
          <cell r="AB583" t="str">
            <v>24AAECK6307M1ZF</v>
          </cell>
        </row>
        <row r="584">
          <cell r="D584" t="str">
            <v>K.P. Woven Pvt Ltd-Sales</v>
          </cell>
          <cell r="AB584" t="str">
            <v>24AAECK6307M1ZF</v>
          </cell>
        </row>
        <row r="585">
          <cell r="D585" t="str">
            <v>K.P. Woven Pvt Ltd-Sales</v>
          </cell>
          <cell r="AB585" t="str">
            <v>24AAECK6307M1ZF</v>
          </cell>
        </row>
        <row r="586">
          <cell r="D586" t="str">
            <v>K.P. Woven Pvt Ltd-Sales</v>
          </cell>
          <cell r="AB586" t="str">
            <v>24AAECK6307M1ZF</v>
          </cell>
        </row>
        <row r="587">
          <cell r="D587" t="str">
            <v>K.P. Woven Pvt Ltd-Sales</v>
          </cell>
          <cell r="AB587" t="str">
            <v>24AAECK6307M1ZF</v>
          </cell>
        </row>
        <row r="588">
          <cell r="D588" t="str">
            <v>Plastene Polyfilms Ltd-Sales</v>
          </cell>
          <cell r="AB588" t="str">
            <v>24AAFCP2956A1ZR</v>
          </cell>
        </row>
        <row r="589">
          <cell r="D589" t="str">
            <v>Plastene Polyfilms Ltd-Sales</v>
          </cell>
          <cell r="AB589" t="str">
            <v>24AAFCP2956A1ZR</v>
          </cell>
        </row>
        <row r="590">
          <cell r="D590" t="str">
            <v>Plastene Polyfilms Ltd-Sales</v>
          </cell>
          <cell r="AB590" t="str">
            <v>24AAFCP2956A1ZR</v>
          </cell>
        </row>
        <row r="591">
          <cell r="D591" t="str">
            <v>Plastene Polyfilms Ltd-Sales</v>
          </cell>
          <cell r="AB591" t="str">
            <v>24AAFCP2956A1ZR</v>
          </cell>
        </row>
        <row r="592">
          <cell r="D592" t="str">
            <v>Plastene Polyfilms Ltd-Sales</v>
          </cell>
          <cell r="AB592" t="str">
            <v>24AAFCP2956A1ZR</v>
          </cell>
        </row>
        <row r="593">
          <cell r="D593" t="str">
            <v>Plastene Polyfilms Ltd-Sales</v>
          </cell>
          <cell r="AB593" t="str">
            <v>24AAFCP2956A1ZR</v>
          </cell>
        </row>
        <row r="594">
          <cell r="D594" t="str">
            <v>Fibco Plastic Industry Llc</v>
          </cell>
          <cell r="AB594" t="str">
            <v>N.A.</v>
          </cell>
        </row>
        <row r="595">
          <cell r="D595" t="str">
            <v>Fibco Plastic Industry Llc</v>
          </cell>
          <cell r="AB595" t="str">
            <v>N.A.</v>
          </cell>
        </row>
        <row r="596">
          <cell r="D596" t="str">
            <v>Fibco Plastic Industry Llc</v>
          </cell>
          <cell r="AB596" t="str">
            <v>N.A.</v>
          </cell>
        </row>
        <row r="597">
          <cell r="D597" t="str">
            <v>Fibco Plastic Industry Llc</v>
          </cell>
          <cell r="AB597" t="str">
            <v>N.A.</v>
          </cell>
        </row>
        <row r="598">
          <cell r="D598" t="str">
            <v>Jain Bulk Pack - Ahmedabad</v>
          </cell>
          <cell r="AB598" t="str">
            <v>24AFOPG7793M1ZO</v>
          </cell>
        </row>
        <row r="599">
          <cell r="D599" t="str">
            <v>Jain Bulk Pack - Ahmedabad</v>
          </cell>
          <cell r="AB599" t="str">
            <v>24AFOPG7793M1ZO</v>
          </cell>
        </row>
        <row r="600">
          <cell r="D600" t="str">
            <v>Jain Bulk Pack - Ahmedabad</v>
          </cell>
          <cell r="AB600" t="str">
            <v>24AFOPG7793M1ZO</v>
          </cell>
        </row>
        <row r="601">
          <cell r="D601" t="str">
            <v>Jain Bulk Pack - Ahmedabad</v>
          </cell>
          <cell r="AB601" t="str">
            <v>24AFOPG7793M1ZO</v>
          </cell>
        </row>
        <row r="602">
          <cell r="D602" t="str">
            <v>K.P. Woven Pvt Ltd - Unit 3 -Sales</v>
          </cell>
          <cell r="AB602" t="str">
            <v>24AAECK6307M2ZE</v>
          </cell>
        </row>
        <row r="603">
          <cell r="D603" t="str">
            <v>K.P. Woven Pvt Ltd - Unit 3 -Sales</v>
          </cell>
          <cell r="AB603" t="str">
            <v>24AAECK6307M2ZE</v>
          </cell>
        </row>
        <row r="604">
          <cell r="D604" t="str">
            <v>K.P. Woven Pvt Ltd - Unit 3 -Sales</v>
          </cell>
          <cell r="AB604" t="str">
            <v>24AAECK6307M2ZE</v>
          </cell>
        </row>
        <row r="605">
          <cell r="D605" t="str">
            <v>K.P. Woven Pvt Ltd - Unit 3 -Sales</v>
          </cell>
          <cell r="AB605" t="str">
            <v>24AAECK6307M2ZE</v>
          </cell>
        </row>
        <row r="606">
          <cell r="D606" t="str">
            <v>K.P. Woven Pvt Ltd - Unit 3 -Sales</v>
          </cell>
          <cell r="AB606" t="str">
            <v>24AAECK6307M2ZE</v>
          </cell>
        </row>
        <row r="607">
          <cell r="D607" t="str">
            <v>Oliva Garden S.A.</v>
          </cell>
          <cell r="AB607" t="str">
            <v>N.A.</v>
          </cell>
        </row>
        <row r="608">
          <cell r="D608" t="str">
            <v>Oswal Extrusion Ltd- KASEZ-Sales</v>
          </cell>
          <cell r="AB608" t="str">
            <v>24AAACO7290H4ZB</v>
          </cell>
        </row>
        <row r="609">
          <cell r="D609" t="str">
            <v>Oswal Extrusion Ltd- KASEZ-Sales</v>
          </cell>
          <cell r="AB609" t="str">
            <v>24AAACO7290H4ZB</v>
          </cell>
        </row>
        <row r="610">
          <cell r="D610" t="str">
            <v>Plastene Polyfilms Ltd-Sales</v>
          </cell>
          <cell r="AB610" t="str">
            <v>24AAFCP2956A1ZR</v>
          </cell>
        </row>
        <row r="611">
          <cell r="D611" t="str">
            <v>Plastene Polyfilms Ltd-Sales</v>
          </cell>
          <cell r="AB611" t="str">
            <v>24AAFCP2956A1ZR</v>
          </cell>
        </row>
        <row r="612">
          <cell r="D612" t="str">
            <v>Plastene Polyfilms Ltd-Sales</v>
          </cell>
          <cell r="AB612" t="str">
            <v>24AAFCP2956A1ZR</v>
          </cell>
        </row>
        <row r="613">
          <cell r="D613" t="str">
            <v>Plastene Polyfilms Ltd-Sales</v>
          </cell>
          <cell r="AB613" t="str">
            <v>24AAFCP2956A1ZR</v>
          </cell>
        </row>
        <row r="614">
          <cell r="D614" t="str">
            <v>Plastene Polyfilms Ltd-Sales</v>
          </cell>
          <cell r="AB614" t="str">
            <v>24AAFCP2956A1ZR</v>
          </cell>
        </row>
        <row r="615">
          <cell r="D615" t="str">
            <v>Plastene Polyfilms Ltd-Sales</v>
          </cell>
          <cell r="AB615" t="str">
            <v>24AAFCP2956A1ZR</v>
          </cell>
        </row>
        <row r="616">
          <cell r="D616" t="str">
            <v>Plastene Polyfilms Ltd-Sales</v>
          </cell>
          <cell r="AB616" t="str">
            <v>24AAFCP2956A1ZR</v>
          </cell>
        </row>
        <row r="617">
          <cell r="D617" t="str">
            <v>Procon Pacific Llc</v>
          </cell>
          <cell r="AB617" t="str">
            <v>N.A.</v>
          </cell>
        </row>
        <row r="618">
          <cell r="D618" t="str">
            <v>Rossi Imballaggi Srl</v>
          </cell>
          <cell r="AB618" t="str">
            <v>N.A.</v>
          </cell>
        </row>
        <row r="619">
          <cell r="D619" t="str">
            <v>HCP Plastene Bulkpack Limited - Sales</v>
          </cell>
          <cell r="AB619" t="str">
            <v>24AABCG1282C2Z6</v>
          </cell>
        </row>
        <row r="620">
          <cell r="D620" t="str">
            <v>HCP Plastene Bulkpack Limited - Sales</v>
          </cell>
          <cell r="AB620" t="str">
            <v>24AABCG1282C2Z6</v>
          </cell>
        </row>
        <row r="621">
          <cell r="D621" t="str">
            <v>K.P. Woven Pvt Ltd - Unit 3 -Sales</v>
          </cell>
          <cell r="AB621" t="str">
            <v>24AAECK6307M2ZE</v>
          </cell>
        </row>
        <row r="622">
          <cell r="D622" t="str">
            <v>K.P. Woven Pvt Ltd - Unit 3 -Sales</v>
          </cell>
          <cell r="AB622" t="str">
            <v>24AAECK6307M2ZE</v>
          </cell>
        </row>
        <row r="623">
          <cell r="D623" t="str">
            <v>K.P. Woven Pvt Ltd - Unit 3 -Sales</v>
          </cell>
          <cell r="AB623" t="str">
            <v>24AAECK6307M2ZE</v>
          </cell>
        </row>
        <row r="624">
          <cell r="D624" t="str">
            <v>K.P. Woven Pvt Ltd - Unit 3 -Sales</v>
          </cell>
          <cell r="AB624" t="str">
            <v>24AAECK6307M2ZE</v>
          </cell>
        </row>
        <row r="625">
          <cell r="D625" t="str">
            <v>K.P. Woven Pvt Ltd - Unit 3 -Sales</v>
          </cell>
          <cell r="AB625" t="str">
            <v>24AAECK6307M2ZE</v>
          </cell>
        </row>
        <row r="626">
          <cell r="D626" t="str">
            <v>K.P. Woven Pvt Ltd - Unit 3 -Sales</v>
          </cell>
          <cell r="AB626" t="str">
            <v>24AAECK6307M2ZE</v>
          </cell>
        </row>
        <row r="627">
          <cell r="D627" t="str">
            <v>K.P. Woven Pvt Ltd-Sales</v>
          </cell>
          <cell r="AB627" t="str">
            <v>24AAECK6307M1ZF</v>
          </cell>
        </row>
        <row r="628">
          <cell r="D628" t="str">
            <v>K.P. Woven Pvt Ltd-Sales</v>
          </cell>
          <cell r="AB628" t="str">
            <v>24AAECK6307M1ZF</v>
          </cell>
        </row>
        <row r="629">
          <cell r="D629" t="str">
            <v>K.P. Woven Pvt Ltd-Sales</v>
          </cell>
          <cell r="AB629" t="str">
            <v>24AAECK6307M1ZF</v>
          </cell>
        </row>
        <row r="630">
          <cell r="D630" t="str">
            <v>K.P. Woven Pvt Ltd-Sales</v>
          </cell>
          <cell r="AB630" t="str">
            <v>24AAECK6307M1ZF</v>
          </cell>
        </row>
        <row r="631">
          <cell r="D631" t="str">
            <v>K.P. Woven Pvt Ltd-Sales</v>
          </cell>
          <cell r="AB631" t="str">
            <v>24AAECK6307M1ZF</v>
          </cell>
        </row>
        <row r="632">
          <cell r="D632" t="str">
            <v>K.P. Woven Pvt Ltd-Sales</v>
          </cell>
          <cell r="AB632" t="str">
            <v>24AAECK6307M1ZF</v>
          </cell>
        </row>
        <row r="633">
          <cell r="D633" t="str">
            <v>K.P. Woven Pvt Ltd-Sales</v>
          </cell>
          <cell r="AB633" t="str">
            <v>24AAECK6307M1ZF</v>
          </cell>
        </row>
        <row r="634">
          <cell r="D634" t="str">
            <v>K.P. Woven Pvt Ltd-Sales</v>
          </cell>
          <cell r="AB634" t="str">
            <v>24AAECK6307M1ZF</v>
          </cell>
        </row>
        <row r="635">
          <cell r="D635" t="str">
            <v>K.P. Woven Pvt Ltd-Sales</v>
          </cell>
          <cell r="AB635" t="str">
            <v>24AAECK6307M1ZF</v>
          </cell>
        </row>
        <row r="636">
          <cell r="D636" t="str">
            <v>K.P. Woven Pvt Ltd-Sales</v>
          </cell>
          <cell r="AB636" t="str">
            <v>24AAECK6307M1ZF</v>
          </cell>
        </row>
        <row r="637">
          <cell r="D637" t="str">
            <v>K.P. Woven Pvt Ltd-Sales</v>
          </cell>
          <cell r="AB637" t="str">
            <v>24AAECK6307M1ZF</v>
          </cell>
        </row>
        <row r="638">
          <cell r="D638" t="str">
            <v>K.P. Woven Pvt Ltd-Sales</v>
          </cell>
          <cell r="AB638" t="str">
            <v>24AAECK6307M1ZF</v>
          </cell>
        </row>
        <row r="639">
          <cell r="D639" t="str">
            <v>K.P. Woven Pvt Ltd-Sales</v>
          </cell>
          <cell r="AB639" t="str">
            <v>24AAECK6307M1ZF</v>
          </cell>
        </row>
        <row r="640">
          <cell r="D640" t="str">
            <v>K.P. Woven Pvt Ltd-Sales</v>
          </cell>
          <cell r="AB640" t="str">
            <v>24AAECK6307M1ZF</v>
          </cell>
        </row>
        <row r="641">
          <cell r="D641" t="str">
            <v>K.P. Woven Pvt Ltd-Sales</v>
          </cell>
          <cell r="AB641" t="str">
            <v>24AAECK6307M1ZF</v>
          </cell>
        </row>
        <row r="642">
          <cell r="D642" t="str">
            <v>Plastene Polyfilms Ltd-Sales</v>
          </cell>
          <cell r="AB642" t="str">
            <v>24AAFCP2956A1ZR</v>
          </cell>
        </row>
        <row r="643">
          <cell r="D643" t="str">
            <v>Plastene Polyfilms Ltd-Sales</v>
          </cell>
          <cell r="AB643" t="str">
            <v>24AAFCP2956A1ZR</v>
          </cell>
        </row>
        <row r="644">
          <cell r="D644" t="str">
            <v>Plastene Polyfilms Ltd-Sales</v>
          </cell>
          <cell r="AB644" t="str">
            <v>24AAFCP2956A1ZR</v>
          </cell>
        </row>
        <row r="645">
          <cell r="D645" t="str">
            <v>Plastene Polyfilms Ltd-Sales</v>
          </cell>
          <cell r="AB645" t="str">
            <v>24AAFCP2956A1ZR</v>
          </cell>
        </row>
        <row r="646">
          <cell r="D646" t="str">
            <v>Plastene Polyfilms Ltd-Sales</v>
          </cell>
          <cell r="AB646" t="str">
            <v>24AAFCP2956A1ZR</v>
          </cell>
        </row>
        <row r="647">
          <cell r="D647" t="str">
            <v>Procon Pacific Llc</v>
          </cell>
          <cell r="AB647" t="str">
            <v>N.A.</v>
          </cell>
        </row>
        <row r="648">
          <cell r="D648" t="str">
            <v>K.P. Woven Pvt Ltd - Unit 3 -Sales</v>
          </cell>
          <cell r="AB648" t="str">
            <v>24AAECK6307M2ZE</v>
          </cell>
        </row>
        <row r="649">
          <cell r="D649" t="str">
            <v>K.P. Woven Pvt Ltd - Unit 3 -Sales</v>
          </cell>
          <cell r="AB649" t="str">
            <v>24AAECK6307M2ZE</v>
          </cell>
        </row>
        <row r="650">
          <cell r="D650" t="str">
            <v>K.P. Woven Pvt Ltd-Sales</v>
          </cell>
          <cell r="AB650" t="str">
            <v>24AAECK6307M1ZF</v>
          </cell>
        </row>
        <row r="651">
          <cell r="D651" t="str">
            <v>K.P. Woven Pvt Ltd-Sales</v>
          </cell>
          <cell r="AB651" t="str">
            <v>24AAECK6307M1ZF</v>
          </cell>
        </row>
        <row r="652">
          <cell r="D652" t="str">
            <v>K.P. Woven Pvt Ltd-Sales</v>
          </cell>
          <cell r="AB652" t="str">
            <v>24AAECK6307M1ZF</v>
          </cell>
        </row>
        <row r="653">
          <cell r="D653" t="str">
            <v>K.P. Woven Pvt Ltd-Sales</v>
          </cell>
          <cell r="AB653" t="str">
            <v>24AAECK6307M1ZF</v>
          </cell>
        </row>
        <row r="654">
          <cell r="D654" t="str">
            <v>K.P. Woven Pvt Ltd-Sales</v>
          </cell>
          <cell r="AB654" t="str">
            <v>24AAECK6307M1ZF</v>
          </cell>
        </row>
        <row r="655">
          <cell r="D655" t="str">
            <v>K.P. Woven Pvt Ltd-Sales</v>
          </cell>
          <cell r="AB655" t="str">
            <v>24AAECK6307M1ZF</v>
          </cell>
        </row>
        <row r="656">
          <cell r="D656" t="str">
            <v>K.P. Woven Pvt Ltd-Sales</v>
          </cell>
          <cell r="AB656" t="str">
            <v>24AAECK6307M1ZF</v>
          </cell>
        </row>
        <row r="657">
          <cell r="D657" t="str">
            <v>K.P. Woven Pvt Ltd-Sales</v>
          </cell>
          <cell r="AB657" t="str">
            <v>24AAECK6307M1ZF</v>
          </cell>
        </row>
        <row r="658">
          <cell r="D658" t="str">
            <v>Madi Sp. z.o.o.</v>
          </cell>
          <cell r="AB658" t="str">
            <v>N.A.</v>
          </cell>
        </row>
        <row r="659">
          <cell r="D659" t="str">
            <v>Plastene Polyfilms Ltd-Sales</v>
          </cell>
          <cell r="AB659" t="str">
            <v>24AAFCP2956A1ZR</v>
          </cell>
        </row>
        <row r="660">
          <cell r="D660" t="str">
            <v>Plastene Polyfilms Ltd-Sales</v>
          </cell>
          <cell r="AB660" t="str">
            <v>24AAFCP2956A1ZR</v>
          </cell>
        </row>
        <row r="661">
          <cell r="D661" t="str">
            <v>Plastene Polyfilms Ltd-Sales</v>
          </cell>
          <cell r="AB661" t="str">
            <v>24AAFCP2956A1ZR</v>
          </cell>
        </row>
        <row r="662">
          <cell r="D662" t="str">
            <v>Plastene Polyfilms Ltd-Sales</v>
          </cell>
          <cell r="AB662" t="str">
            <v>24AAFCP2956A1ZR</v>
          </cell>
        </row>
        <row r="663">
          <cell r="D663" t="str">
            <v>Plastene Polyfilms Ltd-Sales</v>
          </cell>
          <cell r="AB663" t="str">
            <v>24AAFCP2956A1ZR</v>
          </cell>
        </row>
        <row r="664">
          <cell r="D664" t="str">
            <v>Plastene Polyfilms Ltd-Sales</v>
          </cell>
          <cell r="AB664" t="str">
            <v>24AAFCP2956A1ZR</v>
          </cell>
        </row>
        <row r="665">
          <cell r="D665" t="str">
            <v>Plastene Polyfilms Ltd-Sales</v>
          </cell>
          <cell r="AB665" t="str">
            <v>24AAFCP2956A1ZR</v>
          </cell>
        </row>
        <row r="666">
          <cell r="D666" t="str">
            <v>Plastene Polyfilms Ltd-Sales</v>
          </cell>
          <cell r="AB666" t="str">
            <v>24AAFCP2956A1ZR</v>
          </cell>
        </row>
        <row r="667">
          <cell r="D667" t="str">
            <v>Procon Pacific Llc</v>
          </cell>
          <cell r="AB667" t="str">
            <v>N.A.</v>
          </cell>
        </row>
        <row r="668">
          <cell r="D668" t="str">
            <v>HCP Plastene Bulkpack Limited - Sales</v>
          </cell>
          <cell r="AB668" t="str">
            <v>24AABCG1282C2Z6</v>
          </cell>
        </row>
        <row r="669">
          <cell r="D669" t="str">
            <v>Jain Bulk Pack - Ahmedabad</v>
          </cell>
          <cell r="AB669" t="str">
            <v>24AFOPG7793M1ZO</v>
          </cell>
        </row>
        <row r="670">
          <cell r="D670" t="str">
            <v>K.P. Woven Pvt Ltd - Unit 3 -Sales</v>
          </cell>
          <cell r="AB670" t="str">
            <v>24AAECK6307M2ZE</v>
          </cell>
        </row>
        <row r="671">
          <cell r="D671" t="str">
            <v>K.P. Woven Pvt Ltd - Unit 3 -Sales</v>
          </cell>
          <cell r="AB671" t="str">
            <v>24AAECK6307M2ZE</v>
          </cell>
        </row>
        <row r="672">
          <cell r="D672" t="str">
            <v>K.P. Woven Pvt Ltd - Unit 3 -Sales</v>
          </cell>
          <cell r="AB672" t="str">
            <v>24AAECK6307M2ZE</v>
          </cell>
        </row>
        <row r="673">
          <cell r="D673" t="str">
            <v>K.P. Woven Pvt Ltd - Unit 3 -Sales</v>
          </cell>
          <cell r="AB673" t="str">
            <v>24AAECK6307M2ZE</v>
          </cell>
        </row>
        <row r="674">
          <cell r="D674" t="str">
            <v>K.P. Woven Pvt Ltd - Unit 3 -Sales</v>
          </cell>
          <cell r="AB674" t="str">
            <v>24AAECK6307M2ZE</v>
          </cell>
        </row>
        <row r="675">
          <cell r="D675" t="str">
            <v>K.P. Woven Pvt Ltd - Unit 3 -Sales</v>
          </cell>
          <cell r="AB675" t="str">
            <v>24AAECK6307M2ZE</v>
          </cell>
        </row>
        <row r="676">
          <cell r="D676" t="str">
            <v>K.P. Woven Pvt Ltd - Unit 3 -Sales</v>
          </cell>
          <cell r="AB676" t="str">
            <v>24AAECK6307M2ZE</v>
          </cell>
        </row>
        <row r="677">
          <cell r="D677" t="str">
            <v>K.P. Woven Pvt Ltd - Unit 3 -Sales</v>
          </cell>
          <cell r="AB677" t="str">
            <v>24AAECK6307M2ZE</v>
          </cell>
        </row>
        <row r="678">
          <cell r="D678" t="str">
            <v>K.P. Woven Pvt Ltd-Sales</v>
          </cell>
          <cell r="AB678" t="str">
            <v>24AAECK6307M1ZF</v>
          </cell>
        </row>
        <row r="679">
          <cell r="D679" t="str">
            <v>K.P. Woven Pvt Ltd-Sales</v>
          </cell>
          <cell r="AB679" t="str">
            <v>24AAECK6307M1ZF</v>
          </cell>
        </row>
        <row r="680">
          <cell r="D680" t="str">
            <v>K.P. Woven Pvt Ltd-Sales</v>
          </cell>
          <cell r="AB680" t="str">
            <v>24AAECK6307M1ZF</v>
          </cell>
        </row>
        <row r="681">
          <cell r="D681" t="str">
            <v>K.P. Woven Pvt Ltd-Sales</v>
          </cell>
          <cell r="AB681" t="str">
            <v>24AAECK6307M1ZF</v>
          </cell>
        </row>
        <row r="682">
          <cell r="D682" t="str">
            <v>K.P. Woven Pvt Ltd-Sales</v>
          </cell>
          <cell r="AB682" t="str">
            <v>24AAECK6307M1ZF</v>
          </cell>
        </row>
        <row r="683">
          <cell r="D683" t="str">
            <v>K.P. Woven Pvt Ltd-Sales</v>
          </cell>
          <cell r="AB683" t="str">
            <v>24AAECK6307M1ZF</v>
          </cell>
        </row>
        <row r="684">
          <cell r="D684" t="str">
            <v>K.P. Woven Pvt Ltd-Sales</v>
          </cell>
          <cell r="AB684" t="str">
            <v>24AAECK6307M1ZF</v>
          </cell>
        </row>
        <row r="685">
          <cell r="D685" t="str">
            <v>K.P. Woven Pvt Ltd-Sales</v>
          </cell>
          <cell r="AB685" t="str">
            <v>24AAECK6307M1ZF</v>
          </cell>
        </row>
        <row r="686">
          <cell r="D686" t="str">
            <v>PI Polyblendz Private Limited</v>
          </cell>
          <cell r="AB686" t="str">
            <v>24AAJCP0137B1Z0</v>
          </cell>
        </row>
        <row r="687">
          <cell r="D687" t="str">
            <v>Plastene Polyfilms Ltd-Sales</v>
          </cell>
          <cell r="AB687" t="str">
            <v>24AAFCP2956A1ZR</v>
          </cell>
        </row>
        <row r="688">
          <cell r="D688" t="str">
            <v>Plastene Polyfilms Ltd-Sales</v>
          </cell>
          <cell r="AB688" t="str">
            <v>24AAFCP2956A1ZR</v>
          </cell>
        </row>
        <row r="689">
          <cell r="D689" t="str">
            <v>Plastene Polyfilms Ltd-Sales</v>
          </cell>
          <cell r="AB689" t="str">
            <v>24AAFCP2956A1ZR</v>
          </cell>
        </row>
        <row r="690">
          <cell r="D690" t="str">
            <v>Plastene Polyfilms Ltd-Sales</v>
          </cell>
          <cell r="AB690" t="str">
            <v>24AAFCP2956A1ZR</v>
          </cell>
        </row>
        <row r="691">
          <cell r="D691" t="str">
            <v>Plastene Polyfilms Ltd-Sales</v>
          </cell>
          <cell r="AB691" t="str">
            <v>24AAFCP2956A1ZR</v>
          </cell>
        </row>
        <row r="692">
          <cell r="D692" t="str">
            <v>K.P. Woven Pvt Ltd - Unit 3 -Sales</v>
          </cell>
          <cell r="AB692" t="str">
            <v>24AAECK6307M2ZE</v>
          </cell>
        </row>
        <row r="693">
          <cell r="D693" t="str">
            <v>K.P. Woven Pvt Ltd - Unit 3 -Sales</v>
          </cell>
          <cell r="AB693" t="str">
            <v>24AAECK6307M2ZE</v>
          </cell>
        </row>
        <row r="694">
          <cell r="D694" t="str">
            <v>K.P. Woven Pvt Ltd - Unit 3 -Sales</v>
          </cell>
          <cell r="AB694" t="str">
            <v>24AAECK6307M2ZE</v>
          </cell>
        </row>
        <row r="695">
          <cell r="D695" t="str">
            <v>K.P. Woven Pvt Ltd-Sales</v>
          </cell>
          <cell r="AB695" t="str">
            <v>24AAECK6307M1ZF</v>
          </cell>
        </row>
        <row r="696">
          <cell r="D696" t="str">
            <v>K.P. Woven Pvt Ltd-Sales</v>
          </cell>
          <cell r="AB696" t="str">
            <v>24AAECK6307M1ZF</v>
          </cell>
        </row>
        <row r="697">
          <cell r="D697" t="str">
            <v>K.P. Woven Pvt Ltd-Sales</v>
          </cell>
          <cell r="AB697" t="str">
            <v>24AAECK6307M1ZF</v>
          </cell>
        </row>
        <row r="698">
          <cell r="D698" t="str">
            <v>K.P. Woven Pvt Ltd-Sales</v>
          </cell>
          <cell r="AB698" t="str">
            <v>24AAECK6307M1ZF</v>
          </cell>
        </row>
        <row r="699">
          <cell r="D699" t="str">
            <v>K.P. Woven Pvt Ltd-Sales</v>
          </cell>
          <cell r="AB699" t="str">
            <v>24AAECK6307M1ZF</v>
          </cell>
        </row>
        <row r="700">
          <cell r="D700" t="str">
            <v>K.P. Woven Pvt Ltd-Sales</v>
          </cell>
          <cell r="AB700" t="str">
            <v>24AAECK6307M1ZF</v>
          </cell>
        </row>
        <row r="701">
          <cell r="D701" t="str">
            <v>Plastene Polyfilms Ltd-Sales</v>
          </cell>
          <cell r="AB701" t="str">
            <v>24AAFCP2956A1ZR</v>
          </cell>
        </row>
        <row r="702">
          <cell r="D702" t="str">
            <v>Plastene Polyfilms Ltd-Sales</v>
          </cell>
          <cell r="AB702" t="str">
            <v>24AAFCP2956A1ZR</v>
          </cell>
        </row>
        <row r="703">
          <cell r="D703" t="str">
            <v>Plastene Polyfilms Ltd-Sales</v>
          </cell>
          <cell r="AB703" t="str">
            <v>24AAFCP2956A1ZR</v>
          </cell>
        </row>
        <row r="704">
          <cell r="D704" t="str">
            <v>Plastene Polyfilms Ltd-Sales</v>
          </cell>
          <cell r="AB704" t="str">
            <v>24AAFCP2956A1ZR</v>
          </cell>
        </row>
        <row r="705">
          <cell r="D705" t="str">
            <v>Plastene Polyfilms Ltd-Sales</v>
          </cell>
          <cell r="AB705" t="str">
            <v>24AAFCP2956A1ZR</v>
          </cell>
        </row>
        <row r="706">
          <cell r="D706" t="str">
            <v>Plastene Polyfilms Ltd-Sales</v>
          </cell>
          <cell r="AB706" t="str">
            <v>24AAFCP2956A1ZR</v>
          </cell>
        </row>
        <row r="707">
          <cell r="D707" t="str">
            <v>Plastene Polyfilms Ltd-Sales</v>
          </cell>
          <cell r="AB707" t="str">
            <v>24AAFCP2956A1ZR</v>
          </cell>
        </row>
        <row r="708">
          <cell r="D708" t="str">
            <v>K.P. Woven Pvt Ltd - Unit 3 -Sales</v>
          </cell>
          <cell r="AB708" t="str">
            <v>24AAECK6307M2ZE</v>
          </cell>
        </row>
        <row r="709">
          <cell r="D709" t="str">
            <v>K.P. Woven Pvt Ltd - Unit 3 -Sales</v>
          </cell>
          <cell r="AB709" t="str">
            <v>24AAECK6307M2ZE</v>
          </cell>
        </row>
        <row r="710">
          <cell r="D710" t="str">
            <v>K.P. Woven Pvt Ltd - Unit 3 -Sales</v>
          </cell>
          <cell r="AB710" t="str">
            <v>24AAECK6307M2ZE</v>
          </cell>
        </row>
        <row r="711">
          <cell r="D711" t="str">
            <v>K.P. Woven Pvt Ltd - Unit 3 -Sales</v>
          </cell>
          <cell r="AB711" t="str">
            <v>24AAECK6307M2ZE</v>
          </cell>
        </row>
        <row r="712">
          <cell r="D712" t="str">
            <v>K.P. Woven Pvt Ltd - Unit 3 -Sales</v>
          </cell>
          <cell r="AB712" t="str">
            <v>24AAECK6307M2ZE</v>
          </cell>
        </row>
        <row r="713">
          <cell r="D713" t="str">
            <v>K.P. Woven Pvt Ltd - Unit 3 -Sales</v>
          </cell>
          <cell r="AB713" t="str">
            <v>24AAECK6307M2ZE</v>
          </cell>
        </row>
        <row r="714">
          <cell r="D714" t="str">
            <v>K.P. Woven Pvt Ltd - Unit 3 -Sales</v>
          </cell>
          <cell r="AB714" t="str">
            <v>24AAECK6307M2ZE</v>
          </cell>
        </row>
        <row r="715">
          <cell r="D715" t="str">
            <v>K.P. Woven Pvt Ltd-Sales</v>
          </cell>
          <cell r="AB715" t="str">
            <v>24AAECK6307M1ZF</v>
          </cell>
        </row>
        <row r="716">
          <cell r="D716" t="str">
            <v>K.P. Woven Pvt Ltd-Sales</v>
          </cell>
          <cell r="AB716" t="str">
            <v>24AAECK6307M1ZF</v>
          </cell>
        </row>
        <row r="717">
          <cell r="D717" t="str">
            <v>K.P. Woven Pvt Ltd-Sales</v>
          </cell>
          <cell r="AB717" t="str">
            <v>24AAECK6307M1ZF</v>
          </cell>
        </row>
        <row r="718">
          <cell r="D718" t="str">
            <v>Lionel Samson Packaging Co Pty Ltd.</v>
          </cell>
          <cell r="AB718" t="str">
            <v>N.A.</v>
          </cell>
        </row>
        <row r="719">
          <cell r="D719" t="str">
            <v>Lionel Samson Packaging Co Pty Ltd.</v>
          </cell>
          <cell r="AB719" t="str">
            <v>N.A.</v>
          </cell>
        </row>
        <row r="720">
          <cell r="D720" t="str">
            <v>Murari Trading Private Limited</v>
          </cell>
          <cell r="AB720" t="str">
            <v>29AAECM2812R1ZZ</v>
          </cell>
        </row>
        <row r="721">
          <cell r="D721" t="str">
            <v>Plastene Polyfilms Ltd-Sales</v>
          </cell>
          <cell r="AB721" t="str">
            <v>24AAFCP2956A1ZR</v>
          </cell>
        </row>
        <row r="722">
          <cell r="D722" t="str">
            <v>Plastene Polyfilms Ltd-Sales</v>
          </cell>
          <cell r="AB722" t="str">
            <v>24AAFCP2956A1ZR</v>
          </cell>
        </row>
        <row r="723">
          <cell r="D723" t="str">
            <v>Plastene Polyfilms Ltd-Sales</v>
          </cell>
          <cell r="AB723" t="str">
            <v>24AAFCP2956A1ZR</v>
          </cell>
        </row>
        <row r="724">
          <cell r="D724" t="str">
            <v>Plastene Polyfilms Ltd-Sales</v>
          </cell>
          <cell r="AB724" t="str">
            <v>24AAFCP2956A1ZR</v>
          </cell>
        </row>
        <row r="725">
          <cell r="D725" t="str">
            <v>Plastene Polyfilms Ltd-Sales</v>
          </cell>
          <cell r="AB725" t="str">
            <v>24AAFCP2956A1ZR</v>
          </cell>
        </row>
        <row r="726">
          <cell r="D726" t="str">
            <v>Plastene Polyfilms Ltd-Sales</v>
          </cell>
          <cell r="AB726" t="str">
            <v>24AAFCP2956A1ZR</v>
          </cell>
        </row>
        <row r="727">
          <cell r="D727" t="str">
            <v>Plastene Polyfilms Ltd-Sales</v>
          </cell>
          <cell r="AB727" t="str">
            <v>24AAFCP2956A1ZR</v>
          </cell>
        </row>
        <row r="728">
          <cell r="D728" t="str">
            <v>Plastene Polyfilms Ltd-Sales</v>
          </cell>
          <cell r="AB728" t="str">
            <v>24AAFCP2956A1ZR</v>
          </cell>
        </row>
        <row r="729">
          <cell r="D729" t="str">
            <v>Plastene Polyfilms Ltd-Sales</v>
          </cell>
          <cell r="AB729" t="str">
            <v>24AAFCP2956A1ZR</v>
          </cell>
        </row>
        <row r="730">
          <cell r="D730" t="str">
            <v>Plastene Polyfilms Ltd-Sales</v>
          </cell>
          <cell r="AB730" t="str">
            <v>24AAFCP2956A1ZR</v>
          </cell>
        </row>
        <row r="731">
          <cell r="D731" t="str">
            <v>Plastene Polyfilms Ltd-Sales</v>
          </cell>
          <cell r="AB731" t="str">
            <v>24AAFCP2956A1ZR</v>
          </cell>
        </row>
        <row r="732">
          <cell r="D732" t="str">
            <v>Plastene Polyfilms Ltd-Sales</v>
          </cell>
          <cell r="AB732" t="str">
            <v>24AAFCP2956A1ZR</v>
          </cell>
        </row>
        <row r="733">
          <cell r="D733" t="str">
            <v>Fibco Plastic Industry Llc</v>
          </cell>
          <cell r="AB733" t="str">
            <v>N.A.</v>
          </cell>
        </row>
        <row r="734">
          <cell r="D734" t="str">
            <v>Fibco Plastic Industry Llc</v>
          </cell>
          <cell r="AB734" t="str">
            <v>N.A.</v>
          </cell>
        </row>
        <row r="735">
          <cell r="D735" t="str">
            <v>Fibco Plastic Industry Llc</v>
          </cell>
          <cell r="AB735" t="str">
            <v>N.A.</v>
          </cell>
        </row>
        <row r="736">
          <cell r="D736" t="str">
            <v>Fibco Plastic Industry Llc</v>
          </cell>
          <cell r="AB736" t="str">
            <v>N.A.</v>
          </cell>
        </row>
        <row r="737">
          <cell r="D737" t="str">
            <v>Fibco Plastic Industry Llc</v>
          </cell>
          <cell r="AB737" t="str">
            <v>N.A.</v>
          </cell>
        </row>
        <row r="738">
          <cell r="D738" t="str">
            <v>HCP Plastene Bulkpack Limited - Sales</v>
          </cell>
          <cell r="AB738" t="str">
            <v>24AABCG1282C2Z6</v>
          </cell>
        </row>
        <row r="739">
          <cell r="D739" t="str">
            <v>K.P. Woven Pvt Ltd - Unit 3 -Sales</v>
          </cell>
          <cell r="AB739" t="str">
            <v>24AAECK6307M2ZE</v>
          </cell>
        </row>
        <row r="740">
          <cell r="D740" t="str">
            <v>K.P. Woven Pvt Ltd - Unit 3 -Sales</v>
          </cell>
          <cell r="AB740" t="str">
            <v>24AAECK6307M2ZE</v>
          </cell>
        </row>
        <row r="741">
          <cell r="D741" t="str">
            <v>K.P. Woven Pvt Ltd - Unit 3 -Sales</v>
          </cell>
          <cell r="AB741" t="str">
            <v>24AAECK6307M2ZE</v>
          </cell>
        </row>
        <row r="742">
          <cell r="D742" t="str">
            <v>K.P. Woven Pvt Ltd - Unit 3 -Sales</v>
          </cell>
          <cell r="AB742" t="str">
            <v>24AAECK6307M2ZE</v>
          </cell>
        </row>
        <row r="743">
          <cell r="D743" t="str">
            <v>K.P. Woven Pvt Ltd - Unit 3 -Sales</v>
          </cell>
          <cell r="AB743" t="str">
            <v>24AAECK6307M2ZE</v>
          </cell>
        </row>
        <row r="744">
          <cell r="D744" t="str">
            <v>K.P. Woven Pvt Ltd-Sales</v>
          </cell>
          <cell r="AB744" t="str">
            <v>24AAECK6307M1ZF</v>
          </cell>
        </row>
        <row r="745">
          <cell r="D745" t="str">
            <v>K.P. Woven Pvt Ltd-Sales</v>
          </cell>
          <cell r="AB745" t="str">
            <v>24AAECK6307M1ZF</v>
          </cell>
        </row>
        <row r="746">
          <cell r="D746" t="str">
            <v>Murari Trading Private Limited</v>
          </cell>
          <cell r="AB746" t="str">
            <v>29AAECM2812R1ZZ</v>
          </cell>
        </row>
        <row r="747">
          <cell r="D747" t="str">
            <v>Plastene Polyfilms Ltd-Sales</v>
          </cell>
          <cell r="AB747" t="str">
            <v>24AAFCP2956A1ZR</v>
          </cell>
        </row>
        <row r="748">
          <cell r="D748" t="str">
            <v>Plastene Polyfilms Ltd-Sales</v>
          </cell>
          <cell r="AB748" t="str">
            <v>24AAFCP2956A1ZR</v>
          </cell>
        </row>
        <row r="749">
          <cell r="D749" t="str">
            <v>Plastene Polyfilms Ltd-Sales</v>
          </cell>
          <cell r="AB749" t="str">
            <v>24AAFCP2956A1ZR</v>
          </cell>
        </row>
        <row r="750">
          <cell r="D750" t="str">
            <v>Plastene Polyfilms Ltd-Sales</v>
          </cell>
          <cell r="AB750" t="str">
            <v>24AAFCP2956A1ZR</v>
          </cell>
        </row>
        <row r="751">
          <cell r="D751" t="str">
            <v>Plastene Polyfilms Ltd-Sales</v>
          </cell>
          <cell r="AB751" t="str">
            <v>24AAFCP2956A1ZR</v>
          </cell>
        </row>
        <row r="752">
          <cell r="D752" t="str">
            <v>Plastene Polyfilms Ltd-Sales</v>
          </cell>
          <cell r="AB752" t="str">
            <v>24AAFCP2956A1ZR</v>
          </cell>
        </row>
        <row r="753">
          <cell r="D753" t="str">
            <v>Plastene Polyfilms Ltd-Sales</v>
          </cell>
          <cell r="AB753" t="str">
            <v>24AAFCP2956A1ZR</v>
          </cell>
        </row>
        <row r="754">
          <cell r="D754" t="str">
            <v>Plastene Polyfilms Ltd-Sales</v>
          </cell>
          <cell r="AB754" t="str">
            <v>24AAFCP2956A1ZR</v>
          </cell>
        </row>
        <row r="755">
          <cell r="D755" t="str">
            <v>Plastene Polyfilms Ltd-Sales</v>
          </cell>
          <cell r="AB755" t="str">
            <v>24AAFCP2956A1ZR</v>
          </cell>
        </row>
        <row r="756">
          <cell r="D756" t="str">
            <v>Plastene Polyfilms Ltd-Sales</v>
          </cell>
          <cell r="AB756" t="str">
            <v>24AAFCP2956A1ZR</v>
          </cell>
        </row>
        <row r="757">
          <cell r="D757" t="str">
            <v>Plastene Polyfilms Ltd-Sales</v>
          </cell>
          <cell r="AB757" t="str">
            <v>24AAFCP2956A1ZR</v>
          </cell>
        </row>
        <row r="758">
          <cell r="D758" t="str">
            <v>Plastene Polyfilms Ltd-Sales</v>
          </cell>
          <cell r="AB758" t="str">
            <v>24AAFCP2956A1ZR</v>
          </cell>
        </row>
        <row r="759">
          <cell r="D759" t="str">
            <v>Plastene Polyfilms Ltd-Sales</v>
          </cell>
          <cell r="AB759" t="str">
            <v>24AAFCP2956A1ZR</v>
          </cell>
        </row>
        <row r="760">
          <cell r="D760" t="str">
            <v>Plastene Polyfilms Ltd-Sales</v>
          </cell>
          <cell r="AB760" t="str">
            <v>24AAFCP2956A1ZR</v>
          </cell>
        </row>
        <row r="761">
          <cell r="D761" t="str">
            <v>Plastene Polyfilms Ltd-Sales</v>
          </cell>
          <cell r="AB761" t="str">
            <v>24AAFCP2956A1ZR</v>
          </cell>
        </row>
        <row r="762">
          <cell r="D762" t="str">
            <v>Procon Pacific Llc</v>
          </cell>
          <cell r="AB762" t="str">
            <v>N.A.</v>
          </cell>
        </row>
        <row r="763">
          <cell r="D763" t="str">
            <v>HCP Plastene Bulkpack Limited - Sales</v>
          </cell>
          <cell r="AB763" t="str">
            <v>24AABCG1282C2Z6</v>
          </cell>
        </row>
        <row r="764">
          <cell r="D764" t="str">
            <v>Juta A.S.</v>
          </cell>
          <cell r="AB764" t="str">
            <v>N.A.</v>
          </cell>
        </row>
        <row r="765">
          <cell r="D765" t="str">
            <v>K.P. Woven Pvt Ltd - Unit 3 -Sales</v>
          </cell>
          <cell r="AB765" t="str">
            <v>24AAECK6307M2ZE</v>
          </cell>
        </row>
        <row r="766">
          <cell r="D766" t="str">
            <v>K.P. Woven Pvt Ltd - Unit 3 -Sales</v>
          </cell>
          <cell r="AB766" t="str">
            <v>24AAECK6307M2ZE</v>
          </cell>
        </row>
        <row r="767">
          <cell r="D767" t="str">
            <v>K.P. Woven Pvt Ltd - Unit 3 -Sales</v>
          </cell>
          <cell r="AB767" t="str">
            <v>24AAECK6307M2ZE</v>
          </cell>
        </row>
        <row r="768">
          <cell r="D768" t="str">
            <v>K.P. Woven Pvt Ltd-Sales</v>
          </cell>
          <cell r="AB768" t="str">
            <v>24AAECK6307M1ZF</v>
          </cell>
        </row>
        <row r="769">
          <cell r="D769" t="str">
            <v>K.P. Woven Pvt Ltd-Sales</v>
          </cell>
          <cell r="AB769" t="str">
            <v>24AAECK6307M1ZF</v>
          </cell>
        </row>
        <row r="770">
          <cell r="D770" t="str">
            <v>K.P. Woven Pvt Ltd-Sales</v>
          </cell>
          <cell r="AB770" t="str">
            <v>24AAECK6307M1ZF</v>
          </cell>
        </row>
        <row r="771">
          <cell r="D771" t="str">
            <v>K.P. Woven Pvt Ltd-Sales</v>
          </cell>
          <cell r="AB771" t="str">
            <v>24AAECK6307M1ZF</v>
          </cell>
        </row>
        <row r="772">
          <cell r="D772" t="str">
            <v>K.P. Woven Pvt Ltd-Sales</v>
          </cell>
          <cell r="AB772" t="str">
            <v>24AAECK6307M1ZF</v>
          </cell>
        </row>
        <row r="773">
          <cell r="D773" t="str">
            <v>K.P. Woven Pvt Ltd-Sales</v>
          </cell>
          <cell r="AB773" t="str">
            <v>24AAECK6307M1ZF</v>
          </cell>
        </row>
        <row r="774">
          <cell r="D774" t="str">
            <v>Oswal Extrusion Ltd- KASEZ-Sales</v>
          </cell>
          <cell r="AB774" t="str">
            <v>24AAACO7290H4ZB</v>
          </cell>
        </row>
        <row r="775">
          <cell r="D775" t="str">
            <v>Plastene Polyfilms Ltd-Sales</v>
          </cell>
          <cell r="AB775" t="str">
            <v>24AAFCP2956A1ZR</v>
          </cell>
        </row>
        <row r="776">
          <cell r="D776" t="str">
            <v>Plastene Polyfilms Ltd-Sales</v>
          </cell>
          <cell r="AB776" t="str">
            <v>24AAFCP2956A1ZR</v>
          </cell>
        </row>
        <row r="777">
          <cell r="D777" t="str">
            <v>Plastene Polyfilms Ltd-Sales</v>
          </cell>
          <cell r="AB777" t="str">
            <v>24AAFCP2956A1ZR</v>
          </cell>
        </row>
        <row r="778">
          <cell r="D778" t="str">
            <v>Plastene Polyfilms Ltd-Sales</v>
          </cell>
          <cell r="AB778" t="str">
            <v>24AAFCP2956A1ZR</v>
          </cell>
        </row>
        <row r="779">
          <cell r="D779" t="str">
            <v>Plastene Polyfilms Ltd-Sales</v>
          </cell>
          <cell r="AB779" t="str">
            <v>24AAFCP2956A1ZR</v>
          </cell>
        </row>
        <row r="780">
          <cell r="D780" t="str">
            <v>Plastene Polyfilms Ltd-Sales</v>
          </cell>
          <cell r="AB780" t="str">
            <v>24AAFCP2956A1ZR</v>
          </cell>
        </row>
        <row r="781">
          <cell r="D781" t="str">
            <v>Plastene Polyfilms Ltd-Sales</v>
          </cell>
          <cell r="AB781" t="str">
            <v>24AAFCP2956A1ZR</v>
          </cell>
        </row>
        <row r="782">
          <cell r="D782" t="str">
            <v>Plastene Polyfilms Ltd-Sales</v>
          </cell>
          <cell r="AB782" t="str">
            <v>24AAFCP2956A1ZR</v>
          </cell>
        </row>
        <row r="783">
          <cell r="D783" t="str">
            <v>Fibco Plastic Industry Llc</v>
          </cell>
          <cell r="AB783" t="str">
            <v>N.A.</v>
          </cell>
        </row>
        <row r="784">
          <cell r="D784" t="str">
            <v>K.P. Woven Pvt Ltd - Unit 3 -Sales</v>
          </cell>
          <cell r="AB784" t="str">
            <v>24AAECK6307M2ZE</v>
          </cell>
        </row>
        <row r="785">
          <cell r="D785" t="str">
            <v>K.P. Woven Pvt Ltd - Unit 3 -Sales</v>
          </cell>
          <cell r="AB785" t="str">
            <v>24AAECK6307M2ZE</v>
          </cell>
        </row>
        <row r="786">
          <cell r="D786" t="str">
            <v>K.P. Woven Pvt Ltd - Unit 3 -Sales</v>
          </cell>
          <cell r="AB786" t="str">
            <v>24AAECK6307M2ZE</v>
          </cell>
        </row>
        <row r="787">
          <cell r="D787" t="str">
            <v>K.P. Woven Pvt Ltd - Unit 3 -Sales</v>
          </cell>
          <cell r="AB787" t="str">
            <v>24AAECK6307M2ZE</v>
          </cell>
        </row>
        <row r="788">
          <cell r="D788" t="str">
            <v>K.P. Woven Pvt Ltd - Unit 3 -Sales</v>
          </cell>
          <cell r="AB788" t="str">
            <v>24AAECK6307M2ZE</v>
          </cell>
        </row>
        <row r="789">
          <cell r="D789" t="str">
            <v>K.P. Woven Pvt Ltd-Sales</v>
          </cell>
          <cell r="AB789" t="str">
            <v>24AAECK6307M1ZF</v>
          </cell>
        </row>
        <row r="790">
          <cell r="D790" t="str">
            <v>K.P. Woven Pvt Ltd-Sales</v>
          </cell>
          <cell r="AB790" t="str">
            <v>24AAECK6307M1ZF</v>
          </cell>
        </row>
        <row r="791">
          <cell r="D791" t="str">
            <v>K.P. Woven Pvt Ltd-Sales</v>
          </cell>
          <cell r="AB791" t="str">
            <v>24AAECK6307M1ZF</v>
          </cell>
        </row>
        <row r="792">
          <cell r="D792" t="str">
            <v>K.P. Woven Pvt Ltd-Sales</v>
          </cell>
          <cell r="AB792" t="str">
            <v>24AAECK6307M1ZF</v>
          </cell>
        </row>
        <row r="793">
          <cell r="D793" t="str">
            <v>K.P. Woven Pvt Ltd-Sales</v>
          </cell>
          <cell r="AB793" t="str">
            <v>24AAECK6307M1ZF</v>
          </cell>
        </row>
        <row r="794">
          <cell r="D794" t="str">
            <v>K.P. Woven Pvt Ltd-Sales</v>
          </cell>
          <cell r="AB794" t="str">
            <v>24AAECK6307M1ZF</v>
          </cell>
        </row>
        <row r="795">
          <cell r="D795" t="str">
            <v>K.P. Woven Pvt Ltd-Sales</v>
          </cell>
          <cell r="AB795" t="str">
            <v>24AAECK6307M1ZF</v>
          </cell>
        </row>
        <row r="796">
          <cell r="D796" t="str">
            <v>K.P. Woven Pvt Ltd-Sales</v>
          </cell>
          <cell r="AB796" t="str">
            <v>24AAECK6307M1ZF</v>
          </cell>
        </row>
        <row r="797">
          <cell r="D797" t="str">
            <v>K.P. Woven Pvt Ltd-Sales</v>
          </cell>
          <cell r="AB797" t="str">
            <v>24AAECK6307M1ZF</v>
          </cell>
        </row>
        <row r="798">
          <cell r="D798" t="str">
            <v>K.P. Woven Pvt Ltd-Sales</v>
          </cell>
          <cell r="AB798" t="str">
            <v>24AAECK6307M1ZF</v>
          </cell>
        </row>
        <row r="799">
          <cell r="D799" t="str">
            <v>Lionel Samson Packaging Co Pty Ltd.</v>
          </cell>
          <cell r="AB799" t="str">
            <v>N.A.</v>
          </cell>
        </row>
        <row r="800">
          <cell r="D800" t="str">
            <v>Plastene Polyfilms Ltd-Sales</v>
          </cell>
          <cell r="AB800" t="str">
            <v>24AAFCP2956A1ZR</v>
          </cell>
        </row>
        <row r="801">
          <cell r="D801" t="str">
            <v>Plastene Polyfilms Ltd-Sales</v>
          </cell>
          <cell r="AB801" t="str">
            <v>24AAFCP2956A1ZR</v>
          </cell>
        </row>
        <row r="802">
          <cell r="D802" t="str">
            <v>Plastene Polyfilms Ltd-Sales</v>
          </cell>
          <cell r="AB802" t="str">
            <v>24AAFCP2956A1ZR</v>
          </cell>
        </row>
        <row r="803">
          <cell r="D803" t="str">
            <v>Plastene Polyfilms Ltd-Sales</v>
          </cell>
          <cell r="AB803" t="str">
            <v>24AAFCP2956A1ZR</v>
          </cell>
        </row>
        <row r="804">
          <cell r="D804" t="str">
            <v>Plastene Polyfilms Ltd-Sales</v>
          </cell>
          <cell r="AB804" t="str">
            <v>24AAFCP2956A1ZR</v>
          </cell>
        </row>
        <row r="805">
          <cell r="D805" t="str">
            <v>Plastene Polyfilms Ltd-Sales</v>
          </cell>
          <cell r="AB805" t="str">
            <v>24AAFCP2956A1ZR</v>
          </cell>
        </row>
        <row r="806">
          <cell r="D806" t="str">
            <v>Plastene Polyfilms Ltd-Sales</v>
          </cell>
          <cell r="AB806" t="str">
            <v>24AAFCP2956A1ZR</v>
          </cell>
        </row>
        <row r="807">
          <cell r="D807" t="str">
            <v>Plastene Polyfilms Ltd-Sales</v>
          </cell>
          <cell r="AB807" t="str">
            <v>24AAFCP2956A1ZR</v>
          </cell>
        </row>
        <row r="808">
          <cell r="D808" t="str">
            <v>Plastene Polyfilms Ltd-Sales</v>
          </cell>
          <cell r="AB808" t="str">
            <v>24AAFCP2956A1ZR</v>
          </cell>
        </row>
        <row r="809">
          <cell r="D809" t="str">
            <v>Plastene Polyfilms Ltd-Sales</v>
          </cell>
          <cell r="AB809" t="str">
            <v>24AAFCP2956A1ZR</v>
          </cell>
        </row>
        <row r="810">
          <cell r="D810" t="str">
            <v>Plastene Polyfilms Ltd-Sales</v>
          </cell>
          <cell r="AB810" t="str">
            <v>24AAFCP2956A1ZR</v>
          </cell>
        </row>
        <row r="811">
          <cell r="D811" t="str">
            <v>HCP Plastene Bulkpack Limited - Sales</v>
          </cell>
          <cell r="AB811" t="str">
            <v>24AABCG1282C2Z6</v>
          </cell>
        </row>
        <row r="812">
          <cell r="D812" t="str">
            <v>HCP Plastene Bulkpack Limited - Sales</v>
          </cell>
          <cell r="AB812" t="str">
            <v>24AABCG1282C2Z6</v>
          </cell>
        </row>
        <row r="813">
          <cell r="D813" t="str">
            <v>HCP Plastene Bulkpack Limited - Sales</v>
          </cell>
          <cell r="AB813" t="str">
            <v>24AABCG1282C2Z6</v>
          </cell>
        </row>
        <row r="814">
          <cell r="D814" t="str">
            <v>HCP Plastene Bulkpack Limited - Sales</v>
          </cell>
          <cell r="AB814" t="str">
            <v>24AABCG1282C2Z6</v>
          </cell>
        </row>
        <row r="815">
          <cell r="D815" t="str">
            <v>HCP Plastene Bulkpack Limited - Sales</v>
          </cell>
          <cell r="AB815" t="str">
            <v>24AABCG1282C2Z6</v>
          </cell>
        </row>
        <row r="816">
          <cell r="D816" t="str">
            <v>HCP Plastene Bulkpack Limited - Sales</v>
          </cell>
          <cell r="AB816" t="str">
            <v>24AABCG1282C2Z6</v>
          </cell>
        </row>
        <row r="817">
          <cell r="D817" t="str">
            <v>HCP Plastene Bulkpack Limited - Sales</v>
          </cell>
          <cell r="AB817" t="str">
            <v>24AABCG1282C2Z6</v>
          </cell>
        </row>
        <row r="818">
          <cell r="D818" t="str">
            <v>K.P. Woven Pvt Ltd - Unit 3 -Sales</v>
          </cell>
          <cell r="AB818" t="str">
            <v>24AAECK6307M2ZE</v>
          </cell>
        </row>
        <row r="819">
          <cell r="D819" t="str">
            <v>Plastene Polyfilms Ltd-Sales</v>
          </cell>
          <cell r="AB819" t="str">
            <v>24AAFCP2956A1ZR</v>
          </cell>
        </row>
        <row r="820">
          <cell r="D820" t="str">
            <v>Plastene Polyfilms Ltd-Sales</v>
          </cell>
          <cell r="AB820" t="str">
            <v>24AAFCP2956A1ZR</v>
          </cell>
        </row>
        <row r="821">
          <cell r="D821" t="str">
            <v>Plastene Polyfilms Ltd-Sales</v>
          </cell>
          <cell r="AB821" t="str">
            <v>24AAFCP2956A1ZR</v>
          </cell>
        </row>
        <row r="822">
          <cell r="D822" t="str">
            <v>Plastene Polyfilms Ltd-Sales</v>
          </cell>
          <cell r="AB822" t="str">
            <v>24AAFCP2956A1ZR</v>
          </cell>
        </row>
        <row r="823">
          <cell r="D823" t="str">
            <v>Plastene Polyfilms Ltd-Sales</v>
          </cell>
          <cell r="AB823" t="str">
            <v>24AAFCP2956A1ZR</v>
          </cell>
        </row>
        <row r="824">
          <cell r="D824" t="str">
            <v>Plastene Polyfilms Ltd-Sales</v>
          </cell>
          <cell r="AB824" t="str">
            <v>24AAFCP2956A1ZR</v>
          </cell>
        </row>
        <row r="825">
          <cell r="D825" t="str">
            <v>Plastene Polyfilms Ltd-Sales</v>
          </cell>
          <cell r="AB825" t="str">
            <v>24AAFCP2956A1ZR</v>
          </cell>
        </row>
        <row r="826">
          <cell r="D826" t="str">
            <v>Plastene Polyfilms Ltd-Sales</v>
          </cell>
          <cell r="AB826" t="str">
            <v>24AAFCP2956A1ZR</v>
          </cell>
        </row>
        <row r="827">
          <cell r="D827" t="str">
            <v>Plastene Polyfilms Ltd-Sales</v>
          </cell>
          <cell r="AB827" t="str">
            <v>24AAFCP2956A1ZR</v>
          </cell>
        </row>
        <row r="828">
          <cell r="D828" t="str">
            <v>Plastene Polyfilms Ltd-Sales</v>
          </cell>
          <cell r="AB828" t="str">
            <v>24AAFCP2956A1ZR</v>
          </cell>
        </row>
        <row r="829">
          <cell r="D829" t="str">
            <v>20 Microns Limited</v>
          </cell>
          <cell r="AB829" t="str">
            <v>24AAACZ0580B1ZS</v>
          </cell>
        </row>
        <row r="830">
          <cell r="D830" t="str">
            <v>Acuver Engineering India Pvt.Ltd.</v>
          </cell>
          <cell r="AB830" t="str">
            <v>27AARCA5532H1ZG</v>
          </cell>
        </row>
        <row r="831">
          <cell r="D831" t="str">
            <v>Fibco Plastic Industry Llc</v>
          </cell>
          <cell r="AB831" t="str">
            <v>N.A.</v>
          </cell>
        </row>
        <row r="832">
          <cell r="D832" t="str">
            <v>Fibco Plastic Industry Llc</v>
          </cell>
          <cell r="AB832" t="str">
            <v>N.A.</v>
          </cell>
        </row>
        <row r="833">
          <cell r="D833" t="str">
            <v>Fibco Plastic Industry Llc</v>
          </cell>
          <cell r="AB833" t="str">
            <v>N.A.</v>
          </cell>
        </row>
        <row r="834">
          <cell r="D834" t="str">
            <v>K.P. Woven Pvt Ltd - Unit 3 -Sales</v>
          </cell>
          <cell r="AB834" t="str">
            <v>24AAECK6307M2ZE</v>
          </cell>
        </row>
        <row r="835">
          <cell r="D835" t="str">
            <v>K.P. Woven Pvt Ltd - Unit 3 -Sales</v>
          </cell>
          <cell r="AB835" t="str">
            <v>24AAECK6307M2ZE</v>
          </cell>
        </row>
        <row r="836">
          <cell r="D836" t="str">
            <v>K.P. Woven Pvt Ltd - Unit 3 -Sales</v>
          </cell>
          <cell r="AB836" t="str">
            <v>24AAECK6307M2ZE</v>
          </cell>
        </row>
        <row r="837">
          <cell r="D837" t="str">
            <v>K.P. Woven Pvt Ltd - Unit 3 -Sales</v>
          </cell>
          <cell r="AB837" t="str">
            <v>24AAECK6307M2ZE</v>
          </cell>
        </row>
        <row r="838">
          <cell r="D838" t="str">
            <v>K.P. Woven Pvt Ltd - Unit 3 -Sales</v>
          </cell>
          <cell r="AB838" t="str">
            <v>24AAECK6307M2ZE</v>
          </cell>
        </row>
        <row r="839">
          <cell r="D839" t="str">
            <v>K.P. Woven Pvt Ltd - Unit 3 -Sales</v>
          </cell>
          <cell r="AB839" t="str">
            <v>24AAECK6307M2ZE</v>
          </cell>
        </row>
        <row r="840">
          <cell r="D840" t="str">
            <v>K.P. Woven Pvt Ltd - Unit 3 -Sales</v>
          </cell>
          <cell r="AB840" t="str">
            <v>24AAECK6307M2ZE</v>
          </cell>
        </row>
        <row r="841">
          <cell r="D841" t="str">
            <v>K.P. Woven Pvt Ltd - Unit 3 -Sales</v>
          </cell>
          <cell r="AB841" t="str">
            <v>24AAECK6307M2ZE</v>
          </cell>
        </row>
        <row r="842">
          <cell r="D842" t="str">
            <v>K.P. Woven Pvt Ltd - Unit 3 -Sales</v>
          </cell>
          <cell r="AB842" t="str">
            <v>24AAECK6307M2ZE</v>
          </cell>
        </row>
        <row r="843">
          <cell r="D843" t="str">
            <v>K.P. Woven Pvt Ltd-Sales</v>
          </cell>
          <cell r="AB843" t="str">
            <v>24AAECK6307M1ZF</v>
          </cell>
        </row>
        <row r="844">
          <cell r="D844" t="str">
            <v>K.P. Woven Pvt Ltd-Sales</v>
          </cell>
          <cell r="AB844" t="str">
            <v>24AAECK6307M1ZF</v>
          </cell>
        </row>
        <row r="845">
          <cell r="D845" t="str">
            <v>K.P. Woven Pvt Ltd-Sales</v>
          </cell>
          <cell r="AB845" t="str">
            <v>24AAECK6307M1ZF</v>
          </cell>
        </row>
        <row r="846">
          <cell r="D846" t="str">
            <v>K.P. Woven Pvt Ltd-Sales</v>
          </cell>
          <cell r="AB846" t="str">
            <v>24AAECK6307M1ZF</v>
          </cell>
        </row>
        <row r="847">
          <cell r="D847" t="str">
            <v>K.P. Woven Pvt Ltd-Sales</v>
          </cell>
          <cell r="AB847" t="str">
            <v>24AAECK6307M1ZF</v>
          </cell>
        </row>
        <row r="848">
          <cell r="D848" t="str">
            <v>K.P. Woven Pvt Ltd-Sales</v>
          </cell>
          <cell r="AB848" t="str">
            <v>24AAECK6307M1ZF</v>
          </cell>
        </row>
        <row r="849">
          <cell r="D849" t="str">
            <v>K.P. Woven Pvt Ltd-Sales</v>
          </cell>
          <cell r="AB849" t="str">
            <v>24AAECK6307M1ZF</v>
          </cell>
        </row>
        <row r="850">
          <cell r="D850" t="str">
            <v>Plastene Polyfilms Ltd-Sales</v>
          </cell>
          <cell r="AB850" t="str">
            <v>24AAFCP2956A1ZR</v>
          </cell>
        </row>
        <row r="851">
          <cell r="D851" t="str">
            <v>Plastene Polyfilms Ltd-Sales</v>
          </cell>
          <cell r="AB851" t="str">
            <v>24AAFCP2956A1ZR</v>
          </cell>
        </row>
        <row r="852">
          <cell r="D852" t="str">
            <v>Plastene Polyfilms Ltd-Sales</v>
          </cell>
          <cell r="AB852" t="str">
            <v>24AAFCP2956A1ZR</v>
          </cell>
        </row>
        <row r="853">
          <cell r="D853" t="str">
            <v>Plastene Polyfilms Ltd-Sales</v>
          </cell>
          <cell r="AB853" t="str">
            <v>24AAFCP2956A1ZR</v>
          </cell>
        </row>
        <row r="854">
          <cell r="D854" t="str">
            <v>Plastene Polyfilms Ltd-Sales</v>
          </cell>
          <cell r="AB854" t="str">
            <v>24AAFCP2956A1ZR</v>
          </cell>
        </row>
        <row r="855">
          <cell r="D855" t="str">
            <v>Plastene Polyfilms Ltd-Sales</v>
          </cell>
          <cell r="AB855" t="str">
            <v>24AAFCP2956A1ZR</v>
          </cell>
        </row>
        <row r="856">
          <cell r="D856" t="str">
            <v>Plastene Polyfilms Ltd-Sales</v>
          </cell>
          <cell r="AB856" t="str">
            <v>24AAFCP2956A1ZR</v>
          </cell>
        </row>
        <row r="857">
          <cell r="D857" t="str">
            <v>Plastene Polyfilms Ltd-Sales</v>
          </cell>
          <cell r="AB857" t="str">
            <v>24AAFCP2956A1ZR</v>
          </cell>
        </row>
        <row r="858">
          <cell r="D858" t="str">
            <v>Plastene Polyfilms Ltd-Sales</v>
          </cell>
          <cell r="AB858" t="str">
            <v>24AAFCP2956A1ZR</v>
          </cell>
        </row>
        <row r="859">
          <cell r="D859" t="str">
            <v>Plastene Polyfilms Ltd-Sales</v>
          </cell>
          <cell r="AB859" t="str">
            <v>24AAFCP2956A1ZR</v>
          </cell>
        </row>
        <row r="860">
          <cell r="D860" t="str">
            <v>Plastene Polyfilms Ltd-Sales</v>
          </cell>
          <cell r="AB860" t="str">
            <v>24AAFCP2956A1ZR</v>
          </cell>
        </row>
        <row r="861">
          <cell r="D861" t="str">
            <v>20 Microns Limited</v>
          </cell>
          <cell r="AB861" t="str">
            <v>24AAACZ0580B1ZS</v>
          </cell>
        </row>
        <row r="862">
          <cell r="D862" t="str">
            <v>HCP Plastene Bulkpack Limited - Sales</v>
          </cell>
          <cell r="AB862" t="str">
            <v>24AABCG1282C2Z6</v>
          </cell>
        </row>
        <row r="863">
          <cell r="D863" t="str">
            <v>HCP Plastene Bulkpack Limited - Sales</v>
          </cell>
          <cell r="AB863" t="str">
            <v>24AABCG1282C2Z6</v>
          </cell>
        </row>
        <row r="864">
          <cell r="D864" t="str">
            <v>K.P. Woven Pvt Ltd - Unit 3 -Sales</v>
          </cell>
          <cell r="AB864" t="str">
            <v>24AAECK6307M2ZE</v>
          </cell>
        </row>
        <row r="865">
          <cell r="D865" t="str">
            <v>K.P. Woven Pvt Ltd - Unit 3 -Sales</v>
          </cell>
          <cell r="AB865" t="str">
            <v>24AAECK6307M2ZE</v>
          </cell>
        </row>
        <row r="866">
          <cell r="D866" t="str">
            <v>K.P. Woven Pvt Ltd - Unit 3 -Sales</v>
          </cell>
          <cell r="AB866" t="str">
            <v>24AAECK6307M2ZE</v>
          </cell>
        </row>
        <row r="867">
          <cell r="D867" t="str">
            <v>K.P. Woven Pvt Ltd - Unit 3 -Sales</v>
          </cell>
          <cell r="AB867" t="str">
            <v>24AAECK6307M2ZE</v>
          </cell>
        </row>
        <row r="868">
          <cell r="D868" t="str">
            <v>K.P. Woven Pvt Ltd - Unit 3 -Sales</v>
          </cell>
          <cell r="AB868" t="str">
            <v>24AAECK6307M2ZE</v>
          </cell>
        </row>
        <row r="869">
          <cell r="D869" t="str">
            <v>K.P. Woven Pvt Ltd - Unit 3 -Sales</v>
          </cell>
          <cell r="AB869" t="str">
            <v>24AAECK6307M2ZE</v>
          </cell>
        </row>
        <row r="870">
          <cell r="D870" t="str">
            <v>K.P. Woven Pvt Ltd-Sales</v>
          </cell>
          <cell r="AB870" t="str">
            <v>24AAECK6307M1ZF</v>
          </cell>
        </row>
        <row r="871">
          <cell r="D871" t="str">
            <v>K.P. Woven Pvt Ltd-Sales</v>
          </cell>
          <cell r="AB871" t="str">
            <v>24AAECK6307M1ZF</v>
          </cell>
        </row>
        <row r="872">
          <cell r="D872" t="str">
            <v>K.P. Woven Pvt Ltd-Sales</v>
          </cell>
          <cell r="AB872" t="str">
            <v>24AAECK6307M1ZF</v>
          </cell>
        </row>
        <row r="873">
          <cell r="D873" t="str">
            <v>K.P. Woven Pvt Ltd-Sales</v>
          </cell>
          <cell r="AB873" t="str">
            <v>24AAECK6307M1ZF</v>
          </cell>
        </row>
        <row r="874">
          <cell r="D874" t="str">
            <v>K.P. Woven Pvt Ltd-Sales</v>
          </cell>
          <cell r="AB874" t="str">
            <v>24AAECK6307M1ZF</v>
          </cell>
        </row>
        <row r="875">
          <cell r="D875" t="str">
            <v>K.P. Woven Pvt Ltd-Sales</v>
          </cell>
          <cell r="AB875" t="str">
            <v>24AAECK6307M1ZF</v>
          </cell>
        </row>
        <row r="876">
          <cell r="D876" t="str">
            <v>K.P. Woven Pvt Ltd-Sales</v>
          </cell>
          <cell r="AB876" t="str">
            <v>24AAECK6307M1ZF</v>
          </cell>
        </row>
        <row r="877">
          <cell r="D877" t="str">
            <v>K.P. Woven Pvt Ltd-Sales</v>
          </cell>
          <cell r="AB877" t="str">
            <v>24AAECK6307M1ZF</v>
          </cell>
        </row>
        <row r="878">
          <cell r="D878" t="str">
            <v>K.P. Woven Pvt Ltd-Sales</v>
          </cell>
          <cell r="AB878" t="str">
            <v>24AAECK6307M1ZF</v>
          </cell>
        </row>
        <row r="879">
          <cell r="D879" t="str">
            <v>K.P. Woven Pvt Ltd-Sales</v>
          </cell>
          <cell r="AB879" t="str">
            <v>24AAECK6307M1ZF</v>
          </cell>
        </row>
        <row r="880">
          <cell r="D880" t="str">
            <v>K.P. Woven Pvt Ltd-Sales</v>
          </cell>
          <cell r="AB880" t="str">
            <v>24AAECK6307M1ZF</v>
          </cell>
        </row>
        <row r="881">
          <cell r="D881" t="str">
            <v>K.P. Woven Pvt Ltd-Sales</v>
          </cell>
          <cell r="AB881" t="str">
            <v>24AAECK6307M1ZF</v>
          </cell>
        </row>
        <row r="882">
          <cell r="D882" t="str">
            <v>K.P. Woven Pvt Ltd - Unit 3 -Sales</v>
          </cell>
          <cell r="AB882" t="str">
            <v>24AAECK6307M2ZE</v>
          </cell>
        </row>
        <row r="883">
          <cell r="D883" t="str">
            <v>K.P. Woven Pvt Ltd - Unit 3 -Sales</v>
          </cell>
          <cell r="AB883" t="str">
            <v>24AAECK6307M2ZE</v>
          </cell>
        </row>
        <row r="884">
          <cell r="D884" t="str">
            <v>K.P. Woven Pvt Ltd-Sales</v>
          </cell>
          <cell r="AB884" t="str">
            <v>24AAECK6307M1ZF</v>
          </cell>
        </row>
        <row r="885">
          <cell r="D885" t="str">
            <v>K.P. Woven Pvt Ltd-Sales</v>
          </cell>
          <cell r="AB885" t="str">
            <v>24AAECK6307M1ZF</v>
          </cell>
        </row>
        <row r="886">
          <cell r="D886" t="str">
            <v>K.P. Woven Pvt Ltd-Sales</v>
          </cell>
          <cell r="AB886" t="str">
            <v>24AAECK6307M1ZF</v>
          </cell>
        </row>
        <row r="887">
          <cell r="D887" t="str">
            <v>K.P. Woven Pvt Ltd-Sales</v>
          </cell>
          <cell r="AB887" t="str">
            <v>24AAECK6307M1ZF</v>
          </cell>
        </row>
        <row r="888">
          <cell r="D888" t="str">
            <v>K.P. Woven Pvt Ltd-Sales</v>
          </cell>
          <cell r="AB888" t="str">
            <v>24AAECK6307M1ZF</v>
          </cell>
        </row>
        <row r="889">
          <cell r="D889" t="str">
            <v>K.P. Woven Pvt Ltd-Sales</v>
          </cell>
          <cell r="AB889" t="str">
            <v>24AAECK6307M1ZF</v>
          </cell>
        </row>
        <row r="890">
          <cell r="D890" t="str">
            <v>K.P. Woven Pvt Ltd-Sales</v>
          </cell>
          <cell r="AB890" t="str">
            <v>24AAECK6307M1ZF</v>
          </cell>
        </row>
        <row r="891">
          <cell r="D891" t="str">
            <v>Lionel Samson Packaging Co Pty Ltd.</v>
          </cell>
          <cell r="AB891" t="str">
            <v>N.A.</v>
          </cell>
        </row>
        <row r="892">
          <cell r="D892" t="str">
            <v>Plastene Polyfilms Ltd-Sales</v>
          </cell>
          <cell r="AB892" t="str">
            <v>24AAFCP2956A1ZR</v>
          </cell>
        </row>
        <row r="893">
          <cell r="D893" t="str">
            <v>Plastene Polyfilms Ltd-Sales</v>
          </cell>
          <cell r="AB893" t="str">
            <v>24AAFCP2956A1ZR</v>
          </cell>
        </row>
        <row r="894">
          <cell r="D894" t="str">
            <v>Plastene Polyfilms Ltd-Sales</v>
          </cell>
          <cell r="AB894" t="str">
            <v>24AAFCP2956A1ZR</v>
          </cell>
        </row>
        <row r="895">
          <cell r="D895" t="str">
            <v>Plastene Polyfilms Ltd-Sales</v>
          </cell>
          <cell r="AB895" t="str">
            <v>24AAFCP2956A1ZR</v>
          </cell>
        </row>
        <row r="896">
          <cell r="D896" t="str">
            <v>Plastene Polyfilms Ltd-Sales</v>
          </cell>
          <cell r="AB896" t="str">
            <v>24AAFCP2956A1ZR</v>
          </cell>
        </row>
        <row r="897">
          <cell r="D897" t="str">
            <v>Plastene Polyfilms Ltd-Sales</v>
          </cell>
          <cell r="AB897" t="str">
            <v>24AAFCP2956A1ZR</v>
          </cell>
        </row>
        <row r="898">
          <cell r="D898" t="str">
            <v>Plastene Polyfilms Ltd-Sales</v>
          </cell>
          <cell r="AB898" t="str">
            <v>24AAFCP2956A1ZR</v>
          </cell>
        </row>
        <row r="899">
          <cell r="D899" t="str">
            <v>Plastene Polyfilms Ltd-Sales</v>
          </cell>
          <cell r="AB899" t="str">
            <v>24AAFCP2956A1ZR</v>
          </cell>
        </row>
        <row r="900">
          <cell r="D900" t="str">
            <v>Plastene Polyfilms Ltd-Sales</v>
          </cell>
          <cell r="AB900" t="str">
            <v>24AAFCP2956A1ZR</v>
          </cell>
        </row>
        <row r="901">
          <cell r="D901" t="str">
            <v>Plastene Polyfilms Ltd-Sales</v>
          </cell>
          <cell r="AB901" t="str">
            <v>24AAFCP2956A1ZR</v>
          </cell>
        </row>
        <row r="902">
          <cell r="D902" t="str">
            <v>Industrial Bag Packaging</v>
          </cell>
          <cell r="AB902" t="str">
            <v>24AAHFI0591B1ZT</v>
          </cell>
        </row>
        <row r="903">
          <cell r="D903" t="str">
            <v>Jain Bulk Pack - Ahmedabad</v>
          </cell>
          <cell r="AB903" t="str">
            <v>24AFOPG7793M1ZO</v>
          </cell>
        </row>
        <row r="904">
          <cell r="D904" t="str">
            <v>K.P. Woven Pvt Ltd - Unit 3 -Sales</v>
          </cell>
          <cell r="AB904" t="str">
            <v>24AAECK6307M2ZE</v>
          </cell>
        </row>
        <row r="905">
          <cell r="D905" t="str">
            <v>K.P. Woven Pvt Ltd - Unit 3 -Sales</v>
          </cell>
          <cell r="AB905" t="str">
            <v>24AAECK6307M2ZE</v>
          </cell>
        </row>
        <row r="906">
          <cell r="D906" t="str">
            <v>K.P. Woven Pvt Ltd - Unit 3 -Sales</v>
          </cell>
          <cell r="AB906" t="str">
            <v>24AAECK6307M2ZE</v>
          </cell>
        </row>
        <row r="907">
          <cell r="D907" t="str">
            <v>K.P. Woven Pvt Ltd - Unit 3 -Sales</v>
          </cell>
          <cell r="AB907" t="str">
            <v>24AAECK6307M2ZE</v>
          </cell>
        </row>
        <row r="908">
          <cell r="D908" t="str">
            <v>K.P. Woven Pvt Ltd - Unit 3 -Sales</v>
          </cell>
          <cell r="AB908" t="str">
            <v>24AAECK6307M2ZE</v>
          </cell>
        </row>
        <row r="909">
          <cell r="D909" t="str">
            <v>K.P. Woven Pvt Ltd - Unit 3 -Sales</v>
          </cell>
          <cell r="AB909" t="str">
            <v>24AAECK6307M2ZE</v>
          </cell>
        </row>
        <row r="910">
          <cell r="D910" t="str">
            <v>K.P. Woven Pvt Ltd - Unit 3 -Sales</v>
          </cell>
          <cell r="AB910" t="str">
            <v>24AAECK6307M2ZE</v>
          </cell>
        </row>
        <row r="911">
          <cell r="D911" t="str">
            <v>K.P. Woven Pvt Ltd - Unit 3 -Sales</v>
          </cell>
          <cell r="AB911" t="str">
            <v>24AAECK6307M2ZE</v>
          </cell>
        </row>
        <row r="912">
          <cell r="D912" t="str">
            <v>K.P. Woven Pvt Ltd - Unit 3 -Sales</v>
          </cell>
          <cell r="AB912" t="str">
            <v>24AAECK6307M2ZE</v>
          </cell>
        </row>
        <row r="913">
          <cell r="D913" t="str">
            <v>K.P. Woven Pvt Ltd-Sales</v>
          </cell>
          <cell r="AB913" t="str">
            <v>24AAECK6307M1ZF</v>
          </cell>
        </row>
        <row r="914">
          <cell r="D914" t="str">
            <v>K.P. Woven Pvt Ltd-Sales</v>
          </cell>
          <cell r="AB914" t="str">
            <v>24AAECK6307M1ZF</v>
          </cell>
        </row>
        <row r="915">
          <cell r="D915" t="str">
            <v>K.P. Woven Pvt Ltd-Sales</v>
          </cell>
          <cell r="AB915" t="str">
            <v>24AAECK6307M1ZF</v>
          </cell>
        </row>
        <row r="916">
          <cell r="D916" t="str">
            <v>K.P. Woven Pvt Ltd-Sales</v>
          </cell>
          <cell r="AB916" t="str">
            <v>24AAECK6307M1ZF</v>
          </cell>
        </row>
        <row r="917">
          <cell r="D917" t="str">
            <v>K.P. Woven Pvt Ltd-Sales</v>
          </cell>
          <cell r="AB917" t="str">
            <v>24AAECK6307M1ZF</v>
          </cell>
        </row>
        <row r="918">
          <cell r="D918" t="str">
            <v>K.P. Woven Pvt Ltd-Sales</v>
          </cell>
          <cell r="AB918" t="str">
            <v>24AAECK6307M1ZF</v>
          </cell>
        </row>
        <row r="919">
          <cell r="D919" t="str">
            <v>Lionel Samson Packaging Co Pty Ltd.</v>
          </cell>
          <cell r="AB919" t="str">
            <v>N.A.</v>
          </cell>
        </row>
        <row r="920">
          <cell r="D920" t="str">
            <v>Lionel Samson Packaging Co Pty Ltd.</v>
          </cell>
          <cell r="AB920" t="str">
            <v>N.A.</v>
          </cell>
        </row>
        <row r="921">
          <cell r="D921" t="str">
            <v>Mikitos Ind E Com De Gen Alim Do Amazonas Ltda</v>
          </cell>
          <cell r="AB921" t="str">
            <v>N.A.</v>
          </cell>
        </row>
        <row r="922">
          <cell r="D922" t="str">
            <v>Plastene Polyfilms Ltd-Sales</v>
          </cell>
          <cell r="AB922" t="str">
            <v>24AAFCP2956A1ZR</v>
          </cell>
        </row>
        <row r="923">
          <cell r="D923" t="str">
            <v>Plastene Polyfilms Ltd-Sales</v>
          </cell>
          <cell r="AB923" t="str">
            <v>24AAFCP2956A1ZR</v>
          </cell>
        </row>
        <row r="924">
          <cell r="D924" t="str">
            <v>Plastene Polyfilms Ltd-Sales</v>
          </cell>
          <cell r="AB924" t="str">
            <v>24AAFCP2956A1ZR</v>
          </cell>
        </row>
        <row r="925">
          <cell r="D925" t="str">
            <v>Plastene Polyfilms Ltd-Sales</v>
          </cell>
          <cell r="AB925" t="str">
            <v>24AAFCP2956A1ZR</v>
          </cell>
        </row>
        <row r="926">
          <cell r="D926" t="str">
            <v>Plastene Polyfilms Ltd-Sales</v>
          </cell>
          <cell r="AB926" t="str">
            <v>24AAFCP2956A1ZR</v>
          </cell>
        </row>
        <row r="927">
          <cell r="D927" t="str">
            <v>Plastene Polyfilms Ltd-Sales</v>
          </cell>
          <cell r="AB927" t="str">
            <v>24AAFCP2956A1ZR</v>
          </cell>
        </row>
        <row r="928">
          <cell r="D928" t="str">
            <v>Plastene Polyfilms Ltd-Sales</v>
          </cell>
          <cell r="AB928" t="str">
            <v>24AAFCP2956A1ZR</v>
          </cell>
        </row>
        <row r="929">
          <cell r="D929" t="str">
            <v>Plastene Polyfilms Ltd-Sales</v>
          </cell>
          <cell r="AB929" t="str">
            <v>24AAFCP2956A1ZR</v>
          </cell>
        </row>
        <row r="930">
          <cell r="D930" t="str">
            <v>Plastene Polyfilms Ltd-Sales</v>
          </cell>
          <cell r="AB930" t="str">
            <v>24AAFCP2956A1ZR</v>
          </cell>
        </row>
        <row r="931">
          <cell r="D931" t="str">
            <v>Plastene Polyfilms Ltd-Sales</v>
          </cell>
          <cell r="AB931" t="str">
            <v>24AAFCP2956A1ZR</v>
          </cell>
        </row>
        <row r="932">
          <cell r="D932" t="str">
            <v>Plastene Polyfilms Ltd-Sales</v>
          </cell>
          <cell r="AB932" t="str">
            <v>24AAFCP2956A1ZR</v>
          </cell>
        </row>
        <row r="933">
          <cell r="D933" t="str">
            <v>Jain Bulk Pack - Ahmedabad</v>
          </cell>
          <cell r="AB933" t="str">
            <v>24AFOPG7793M1ZO</v>
          </cell>
        </row>
        <row r="934">
          <cell r="D934" t="str">
            <v>K.P. Woven Pvt Ltd - Unit 3 -Sales</v>
          </cell>
          <cell r="AB934" t="str">
            <v>24AAECK6307M2ZE</v>
          </cell>
        </row>
        <row r="935">
          <cell r="D935" t="str">
            <v>K.P. Woven Pvt Ltd - Unit 3 -Sales</v>
          </cell>
          <cell r="AB935" t="str">
            <v>24AAECK6307M2ZE</v>
          </cell>
        </row>
        <row r="936">
          <cell r="D936" t="str">
            <v>K.P. Woven Pvt Ltd - Unit 3 -Sales</v>
          </cell>
          <cell r="AB936" t="str">
            <v>24AAECK6307M2ZE</v>
          </cell>
        </row>
        <row r="937">
          <cell r="D937" t="str">
            <v>Plastene Polyfilms Ltd-Sales</v>
          </cell>
          <cell r="AB937" t="str">
            <v>24AAFCP2956A1ZR</v>
          </cell>
        </row>
        <row r="938">
          <cell r="D938" t="str">
            <v>Plastene Polyfilms Ltd-Sales</v>
          </cell>
          <cell r="AB938" t="str">
            <v>24AAFCP2956A1ZR</v>
          </cell>
        </row>
        <row r="939">
          <cell r="D939" t="str">
            <v>Plastene Polyfilms Ltd-Sales</v>
          </cell>
          <cell r="AB939" t="str">
            <v>24AAFCP2956A1ZR</v>
          </cell>
        </row>
        <row r="940">
          <cell r="D940" t="str">
            <v>Plastene Polyfilms Ltd-Sales</v>
          </cell>
          <cell r="AB940" t="str">
            <v>24AAFCP2956A1ZR</v>
          </cell>
        </row>
        <row r="941">
          <cell r="D941" t="str">
            <v>Plastene Polyfilms Ltd-Sales</v>
          </cell>
          <cell r="AB941" t="str">
            <v>24AAFCP2956A1ZR</v>
          </cell>
        </row>
        <row r="942">
          <cell r="D942" t="str">
            <v>Plastene Polyfilms Ltd-Sales</v>
          </cell>
          <cell r="AB942" t="str">
            <v>24AAFCP2956A1ZR</v>
          </cell>
        </row>
        <row r="943">
          <cell r="D943" t="str">
            <v>Plastene Polyfilms Ltd-Sales</v>
          </cell>
          <cell r="AB943" t="str">
            <v>24AAFCP2956A1ZR</v>
          </cell>
        </row>
        <row r="944">
          <cell r="D944" t="str">
            <v>Plastene Polyfilms Ltd-Sales</v>
          </cell>
          <cell r="AB944" t="str">
            <v>24AAFCP2956A1ZR</v>
          </cell>
        </row>
        <row r="945">
          <cell r="D945" t="str">
            <v>SO Bag</v>
          </cell>
          <cell r="AB945" t="str">
            <v>N.A.</v>
          </cell>
        </row>
        <row r="946">
          <cell r="D946" t="str">
            <v>HCP Plastene Bulkpack Limited - Sales</v>
          </cell>
          <cell r="AB946" t="str">
            <v>24AABCG1282C2Z6</v>
          </cell>
        </row>
        <row r="947">
          <cell r="D947" t="str">
            <v>K.P. Woven Pvt Ltd - Unit 3 -Sales</v>
          </cell>
          <cell r="AB947" t="str">
            <v>24AAECK6307M2ZE</v>
          </cell>
        </row>
        <row r="948">
          <cell r="D948" t="str">
            <v>K.P. Woven Pvt Ltd - Unit 3 -Sales</v>
          </cell>
          <cell r="AB948" t="str">
            <v>24AAECK6307M2ZE</v>
          </cell>
        </row>
        <row r="949">
          <cell r="D949" t="str">
            <v>K.P. Woven Pvt Ltd - Unit 3 -Sales</v>
          </cell>
          <cell r="AB949" t="str">
            <v>24AAECK6307M2ZE</v>
          </cell>
        </row>
        <row r="950">
          <cell r="D950" t="str">
            <v>K.P. Woven Pvt Ltd - Unit 3 -Sales</v>
          </cell>
          <cell r="AB950" t="str">
            <v>24AAECK6307M2ZE</v>
          </cell>
        </row>
        <row r="951">
          <cell r="D951" t="str">
            <v>K.P. Woven Pvt Ltd-Sales</v>
          </cell>
          <cell r="AB951" t="str">
            <v>24AAECK6307M1ZF</v>
          </cell>
        </row>
        <row r="952">
          <cell r="D952" t="str">
            <v>K.P. Woven Pvt Ltd-Sales</v>
          </cell>
          <cell r="AB952" t="str">
            <v>24AAECK6307M1ZF</v>
          </cell>
        </row>
        <row r="953">
          <cell r="D953" t="str">
            <v>K.P. Woven Pvt Ltd-Sales</v>
          </cell>
          <cell r="AB953" t="str">
            <v>24AAECK6307M1ZF</v>
          </cell>
        </row>
        <row r="954">
          <cell r="D954" t="str">
            <v>K.P. Woven Pvt Ltd-Sales</v>
          </cell>
          <cell r="AB954" t="str">
            <v>24AAECK6307M1ZF</v>
          </cell>
        </row>
        <row r="955">
          <cell r="D955" t="str">
            <v>K.P. Woven Pvt Ltd-Sales</v>
          </cell>
          <cell r="AB955" t="str">
            <v>24AAECK6307M1ZF</v>
          </cell>
        </row>
        <row r="956">
          <cell r="D956" t="str">
            <v>K.P. Woven Pvt Ltd-Sales</v>
          </cell>
          <cell r="AB956" t="str">
            <v>24AAECK6307M1ZF</v>
          </cell>
        </row>
        <row r="957">
          <cell r="D957" t="str">
            <v>K.P. Woven Pvt Ltd-Sales</v>
          </cell>
          <cell r="AB957" t="str">
            <v>24AAECK6307M1ZF</v>
          </cell>
        </row>
        <row r="958">
          <cell r="D958" t="str">
            <v>K.P. Woven Pvt Ltd-Sales</v>
          </cell>
          <cell r="AB958" t="str">
            <v>24AAECK6307M1ZF</v>
          </cell>
        </row>
        <row r="959">
          <cell r="D959" t="str">
            <v>K.P. Woven Pvt Ltd-Sales</v>
          </cell>
          <cell r="AB959" t="str">
            <v>24AAECK6307M1ZF</v>
          </cell>
        </row>
        <row r="960">
          <cell r="D960" t="str">
            <v>K.P. Woven Pvt Ltd-Sales</v>
          </cell>
          <cell r="AB960" t="str">
            <v>24AAECK6307M1ZF</v>
          </cell>
        </row>
        <row r="961">
          <cell r="D961" t="str">
            <v>K.P. Woven Pvt Ltd-Sales</v>
          </cell>
          <cell r="AB961" t="str">
            <v>24AAECK6307M1ZF</v>
          </cell>
        </row>
        <row r="962">
          <cell r="D962" t="str">
            <v>K.P. Woven Pvt Ltd-Sales</v>
          </cell>
          <cell r="AB962" t="str">
            <v>24AAECK6307M1ZF</v>
          </cell>
        </row>
        <row r="963">
          <cell r="D963" t="str">
            <v>K.P. Woven Pvt Ltd-Sales</v>
          </cell>
          <cell r="AB963" t="str">
            <v>24AAECK6307M1ZF</v>
          </cell>
        </row>
        <row r="964">
          <cell r="D964" t="str">
            <v>Plastene Polyfilms Ltd-Sales</v>
          </cell>
          <cell r="AB964" t="str">
            <v>24AAFCP2956A1ZR</v>
          </cell>
        </row>
        <row r="965">
          <cell r="D965" t="str">
            <v>Plastene Polyfilms Ltd-Sales</v>
          </cell>
          <cell r="AB965" t="str">
            <v>24AAFCP2956A1ZR</v>
          </cell>
        </row>
        <row r="966">
          <cell r="D966" t="str">
            <v>Plastene Polyfilms Ltd-Sales</v>
          </cell>
          <cell r="AB966" t="str">
            <v>24AAFCP2956A1ZR</v>
          </cell>
        </row>
        <row r="967">
          <cell r="D967" t="str">
            <v>Plastene Polyfilms Ltd-Sales</v>
          </cell>
          <cell r="AB967" t="str">
            <v>24AAFCP2956A1ZR</v>
          </cell>
        </row>
        <row r="968">
          <cell r="D968" t="str">
            <v>Plastene Polyfilms Ltd-Sales</v>
          </cell>
          <cell r="AB968" t="str">
            <v>24AAFCP2956A1ZR</v>
          </cell>
        </row>
        <row r="969">
          <cell r="D969" t="str">
            <v>Plastene Polyfilms Ltd-Sales</v>
          </cell>
          <cell r="AB969" t="str">
            <v>24AAFCP2956A1ZR</v>
          </cell>
        </row>
        <row r="970">
          <cell r="D970" t="str">
            <v>Plastene Polyfilms Ltd-Sales</v>
          </cell>
          <cell r="AB970" t="str">
            <v>24AAFCP2956A1ZR</v>
          </cell>
        </row>
        <row r="971">
          <cell r="D971" t="str">
            <v>Plastene Polyfilms Ltd-Sales</v>
          </cell>
          <cell r="AB971" t="str">
            <v>24AAFCP2956A1ZR</v>
          </cell>
        </row>
        <row r="972">
          <cell r="D972" t="str">
            <v>Bhudeva Polymers Private Ltd- Customer</v>
          </cell>
          <cell r="AB972" t="str">
            <v>29AAFCB0658P1Z5</v>
          </cell>
        </row>
        <row r="973">
          <cell r="D973" t="str">
            <v>Jain Bulk Pack - Ahmedabad</v>
          </cell>
          <cell r="AB973" t="str">
            <v>24AFOPG7793M1ZO</v>
          </cell>
        </row>
        <row r="974">
          <cell r="D974" t="str">
            <v>Jain Bulk Pack - Ahmedabad</v>
          </cell>
          <cell r="AB974" t="str">
            <v>24AFOPG7793M1ZO</v>
          </cell>
        </row>
        <row r="975">
          <cell r="D975" t="str">
            <v>Jain Bulk Pack - Ahmedabad</v>
          </cell>
          <cell r="AB975" t="str">
            <v>24AFOPG7793M1ZO</v>
          </cell>
        </row>
        <row r="976">
          <cell r="D976" t="str">
            <v>Jain Bulk Pack - Ahmedabad</v>
          </cell>
          <cell r="AB976" t="str">
            <v>24AFOPG7793M1ZO</v>
          </cell>
        </row>
        <row r="977">
          <cell r="D977" t="str">
            <v>K.P. Woven Pvt Ltd - Unit 3 -Sales</v>
          </cell>
          <cell r="AB977" t="str">
            <v>24AAECK6307M2ZE</v>
          </cell>
        </row>
        <row r="978">
          <cell r="D978" t="str">
            <v>K.P. Woven Pvt Ltd - Unit 3 -Sales</v>
          </cell>
          <cell r="AB978" t="str">
            <v>24AAECK6307M2ZE</v>
          </cell>
        </row>
        <row r="979">
          <cell r="D979" t="str">
            <v>K.P. Woven Pvt Ltd - Unit 3 -Sales</v>
          </cell>
          <cell r="AB979" t="str">
            <v>24AAECK6307M2ZE</v>
          </cell>
        </row>
        <row r="980">
          <cell r="D980" t="str">
            <v>K.P. Woven Pvt Ltd - Unit 3 -Sales</v>
          </cell>
          <cell r="AB980" t="str">
            <v>24AAECK6307M2ZE</v>
          </cell>
        </row>
        <row r="981">
          <cell r="D981" t="str">
            <v>K.P. Woven Pvt Ltd - Unit 3 -Sales</v>
          </cell>
          <cell r="AB981" t="str">
            <v>24AAECK6307M2ZE</v>
          </cell>
        </row>
        <row r="982">
          <cell r="D982" t="str">
            <v>K.P. Woven Pvt Ltd - Unit 3 -Sales</v>
          </cell>
          <cell r="AB982" t="str">
            <v>24AAECK6307M2ZE</v>
          </cell>
        </row>
        <row r="983">
          <cell r="D983" t="str">
            <v>K.P. Woven Pvt Ltd-Sales</v>
          </cell>
          <cell r="AB983" t="str">
            <v>24AAECK6307M1ZF</v>
          </cell>
        </row>
        <row r="984">
          <cell r="D984" t="str">
            <v>K.P. Woven Pvt Ltd-Sales</v>
          </cell>
          <cell r="AB984" t="str">
            <v>24AAECK6307M1ZF</v>
          </cell>
        </row>
        <row r="985">
          <cell r="D985" t="str">
            <v>K.P. Woven Pvt Ltd-Sales</v>
          </cell>
          <cell r="AB985" t="str">
            <v>24AAECK6307M1ZF</v>
          </cell>
        </row>
        <row r="986">
          <cell r="D986" t="str">
            <v>K.P. Woven Pvt Ltd-Sales</v>
          </cell>
          <cell r="AB986" t="str">
            <v>24AAECK6307M1ZF</v>
          </cell>
        </row>
        <row r="987">
          <cell r="D987" t="str">
            <v>K.P. Woven Pvt Ltd-Sales</v>
          </cell>
          <cell r="AB987" t="str">
            <v>24AAECK6307M1ZF</v>
          </cell>
        </row>
        <row r="988">
          <cell r="D988" t="str">
            <v>K.P. Woven Pvt Ltd-Sales</v>
          </cell>
          <cell r="AB988" t="str">
            <v>24AAECK6307M1ZF</v>
          </cell>
        </row>
        <row r="989">
          <cell r="D989" t="str">
            <v>K.P. Woven Pvt Ltd-Sales</v>
          </cell>
          <cell r="AB989" t="str">
            <v>24AAECK6307M1ZF</v>
          </cell>
        </row>
        <row r="990">
          <cell r="D990" t="str">
            <v>K.P. Woven Pvt Ltd-Sales</v>
          </cell>
          <cell r="AB990" t="str">
            <v>24AAECK6307M1ZF</v>
          </cell>
        </row>
        <row r="991">
          <cell r="D991" t="str">
            <v>K.P. Woven Pvt Ltd-Sales</v>
          </cell>
          <cell r="AB991" t="str">
            <v>24AAECK6307M1ZF</v>
          </cell>
        </row>
        <row r="992">
          <cell r="D992" t="str">
            <v>K.P. Woven Pvt Ltd-Sales</v>
          </cell>
          <cell r="AB992" t="str">
            <v>24AAECK6307M1ZF</v>
          </cell>
        </row>
        <row r="993">
          <cell r="D993" t="str">
            <v>PI Polyblendz Private Limited</v>
          </cell>
          <cell r="AB993" t="str">
            <v>24AAJCP0137B1Z0</v>
          </cell>
        </row>
        <row r="994">
          <cell r="D994" t="str">
            <v>Plastene Polyfilms Ltd-Sales</v>
          </cell>
          <cell r="AB994" t="str">
            <v>24AAFCP2956A1ZR</v>
          </cell>
        </row>
        <row r="995">
          <cell r="D995" t="str">
            <v>Plastene Polyfilms Ltd-Sales</v>
          </cell>
          <cell r="AB995" t="str">
            <v>24AAFCP2956A1ZR</v>
          </cell>
        </row>
        <row r="996">
          <cell r="D996" t="str">
            <v>Plastene Polyfilms Ltd-Sales</v>
          </cell>
          <cell r="AB996" t="str">
            <v>24AAFCP2956A1ZR</v>
          </cell>
        </row>
        <row r="997">
          <cell r="D997" t="str">
            <v>Plastene Polyfilms Ltd-Sales</v>
          </cell>
          <cell r="AB997" t="str">
            <v>24AAFCP2956A1ZR</v>
          </cell>
        </row>
        <row r="998">
          <cell r="D998" t="str">
            <v>Plastene Polyfilms Ltd-Sales</v>
          </cell>
          <cell r="AB998" t="str">
            <v>24AAFCP2956A1ZR</v>
          </cell>
        </row>
        <row r="999">
          <cell r="D999" t="str">
            <v>Plastene Polyfilms Ltd-Sales</v>
          </cell>
          <cell r="AB999" t="str">
            <v>24AAFCP2956A1ZR</v>
          </cell>
        </row>
        <row r="1000">
          <cell r="D1000" t="str">
            <v>Plastene Polyfilms Ltd-Sales</v>
          </cell>
          <cell r="AB1000" t="str">
            <v>24AAFCP2956A1ZR</v>
          </cell>
        </row>
        <row r="1001">
          <cell r="D1001" t="str">
            <v>Plastene Polyfilms Ltd-Sales</v>
          </cell>
          <cell r="AB1001" t="str">
            <v>24AAFCP2956A1ZR</v>
          </cell>
        </row>
        <row r="1002">
          <cell r="D1002" t="str">
            <v>Plastene Polyfilms Ltd-Sales</v>
          </cell>
          <cell r="AB1002" t="str">
            <v>24AAFCP2956A1ZR</v>
          </cell>
        </row>
        <row r="1003">
          <cell r="D1003" t="str">
            <v>Plastene Polyfilms Ltd-Sales</v>
          </cell>
          <cell r="AB1003" t="str">
            <v>24AAFCP2956A1ZR</v>
          </cell>
        </row>
        <row r="1004">
          <cell r="D1004" t="str">
            <v>Jain Bulk Pack - Ahmedabad</v>
          </cell>
          <cell r="AB1004" t="str">
            <v>24AFOPG7793M1ZO</v>
          </cell>
        </row>
        <row r="1005">
          <cell r="D1005" t="str">
            <v>K.P. Woven Pvt Ltd - Unit 3 -Sales</v>
          </cell>
          <cell r="AB1005" t="str">
            <v>24AAECK6307M2ZE</v>
          </cell>
        </row>
        <row r="1006">
          <cell r="D1006" t="str">
            <v>K.P. Woven Pvt Ltd - Unit 3 -Sales</v>
          </cell>
          <cell r="AB1006" t="str">
            <v>24AAECK6307M2ZE</v>
          </cell>
        </row>
        <row r="1007">
          <cell r="D1007" t="str">
            <v>K.P. Woven Pvt Ltd - Unit 3 -Sales</v>
          </cell>
          <cell r="AB1007" t="str">
            <v>24AAECK6307M2ZE</v>
          </cell>
        </row>
        <row r="1008">
          <cell r="D1008" t="str">
            <v>K.P. Woven Pvt Ltd - Unit 3 -Sales</v>
          </cell>
          <cell r="AB1008" t="str">
            <v>24AAECK6307M2ZE</v>
          </cell>
        </row>
        <row r="1009">
          <cell r="D1009" t="str">
            <v>K.P. Woven Pvt Ltd - Unit 3 -Sales</v>
          </cell>
          <cell r="AB1009" t="str">
            <v>24AAECK6307M2ZE</v>
          </cell>
        </row>
        <row r="1010">
          <cell r="D1010" t="str">
            <v>K.P. Woven Pvt Ltd - Unit 3 -Sales</v>
          </cell>
          <cell r="AB1010" t="str">
            <v>24AAECK6307M2ZE</v>
          </cell>
        </row>
        <row r="1011">
          <cell r="D1011" t="str">
            <v>K.P. Woven Pvt Ltd - Unit 3 -Sales</v>
          </cell>
          <cell r="AB1011" t="str">
            <v>24AAECK6307M2ZE</v>
          </cell>
        </row>
        <row r="1012">
          <cell r="D1012" t="str">
            <v>K.P. Woven Pvt Ltd - Unit 3 -Sales</v>
          </cell>
          <cell r="AB1012" t="str">
            <v>24AAECK6307M2ZE</v>
          </cell>
        </row>
        <row r="1013">
          <cell r="D1013" t="str">
            <v>K.P. Woven Pvt Ltd - Unit 3 -Sales</v>
          </cell>
          <cell r="AB1013" t="str">
            <v>24AAECK6307M2ZE</v>
          </cell>
        </row>
        <row r="1014">
          <cell r="D1014" t="str">
            <v>K.P. Woven Pvt Ltd - Unit 3 -Sales</v>
          </cell>
          <cell r="AB1014" t="str">
            <v>24AAECK6307M2ZE</v>
          </cell>
        </row>
        <row r="1015">
          <cell r="D1015" t="str">
            <v>K.P. Woven Pvt Ltd - Unit 3 -Sales</v>
          </cell>
          <cell r="AB1015" t="str">
            <v>24AAECK6307M2ZE</v>
          </cell>
        </row>
        <row r="1016">
          <cell r="D1016" t="str">
            <v>K.P. Woven Pvt Ltd-Sales</v>
          </cell>
          <cell r="AB1016" t="str">
            <v>24AAECK6307M1ZF</v>
          </cell>
        </row>
        <row r="1017">
          <cell r="D1017" t="str">
            <v>K.P. Woven Pvt Ltd-Sales</v>
          </cell>
          <cell r="AB1017" t="str">
            <v>24AAECK6307M1ZF</v>
          </cell>
        </row>
        <row r="1018">
          <cell r="D1018" t="str">
            <v>K.P. Woven Pvt Ltd-Sales</v>
          </cell>
          <cell r="AB1018" t="str">
            <v>24AAECK6307M1ZF</v>
          </cell>
        </row>
        <row r="1019">
          <cell r="D1019" t="str">
            <v>K.P. Woven Pvt Ltd-Sales</v>
          </cell>
          <cell r="AB1019" t="str">
            <v>24AAECK6307M1ZF</v>
          </cell>
        </row>
        <row r="1020">
          <cell r="D1020" t="str">
            <v>K.P. Woven Pvt Ltd-Sales</v>
          </cell>
          <cell r="AB1020" t="str">
            <v>24AAECK6307M1ZF</v>
          </cell>
        </row>
        <row r="1021">
          <cell r="D1021" t="str">
            <v>Plastene Polyfilms Ltd-Sales</v>
          </cell>
          <cell r="AB1021" t="str">
            <v>24AAFCP2956A1ZR</v>
          </cell>
        </row>
        <row r="1022">
          <cell r="D1022" t="str">
            <v>Plastene Polyfilms Ltd-Sales</v>
          </cell>
          <cell r="AB1022" t="str">
            <v>24AAFCP2956A1ZR</v>
          </cell>
        </row>
        <row r="1023">
          <cell r="D1023" t="str">
            <v>Plastene Polyfilms Ltd-Sales</v>
          </cell>
          <cell r="AB1023" t="str">
            <v>24AAFCP2956A1ZR</v>
          </cell>
        </row>
        <row r="1024">
          <cell r="D1024" t="str">
            <v>Plastene Polyfilms Ltd-Sales</v>
          </cell>
          <cell r="AB1024" t="str">
            <v>24AAFCP2956A1ZR</v>
          </cell>
        </row>
        <row r="1025">
          <cell r="D1025" t="str">
            <v>Plastene Polyfilms Ltd-Sales</v>
          </cell>
          <cell r="AB1025" t="str">
            <v>24AAFCP2956A1ZR</v>
          </cell>
        </row>
        <row r="1026">
          <cell r="D1026" t="str">
            <v>Plastene Polyfilms Ltd-Sales</v>
          </cell>
          <cell r="AB1026" t="str">
            <v>24AAFCP2956A1ZR</v>
          </cell>
        </row>
        <row r="1027">
          <cell r="D1027" t="str">
            <v>Plastene Polyfilms Ltd-Sales</v>
          </cell>
          <cell r="AB1027" t="str">
            <v>24AAFCP2956A1ZR</v>
          </cell>
        </row>
        <row r="1028">
          <cell r="D1028" t="str">
            <v>Plastene Polyfilms Ltd-Sales</v>
          </cell>
          <cell r="AB1028" t="str">
            <v>24AAFCP2956A1ZR</v>
          </cell>
        </row>
        <row r="1029">
          <cell r="D1029" t="str">
            <v>K.P. Woven Pvt Ltd - Unit 3 -Sales</v>
          </cell>
          <cell r="AB1029" t="str">
            <v>24AAECK6307M2ZE</v>
          </cell>
        </row>
        <row r="1030">
          <cell r="D1030" t="str">
            <v>K.P. Woven Pvt Ltd - Unit 3 -Sales</v>
          </cell>
          <cell r="AB1030" t="str">
            <v>24AAECK6307M2ZE</v>
          </cell>
        </row>
        <row r="1031">
          <cell r="D1031" t="str">
            <v>K.P. Woven Pvt Ltd-Sales</v>
          </cell>
          <cell r="AB1031" t="str">
            <v>24AAECK6307M1ZF</v>
          </cell>
        </row>
        <row r="1032">
          <cell r="D1032" t="str">
            <v>K.P. Woven Pvt Ltd-Sales</v>
          </cell>
          <cell r="AB1032" t="str">
            <v>24AAECK6307M1ZF</v>
          </cell>
        </row>
        <row r="1033">
          <cell r="D1033" t="str">
            <v>K.P. Woven Pvt Ltd-Sales</v>
          </cell>
          <cell r="AB1033" t="str">
            <v>24AAECK6307M1ZF</v>
          </cell>
        </row>
        <row r="1034">
          <cell r="D1034" t="str">
            <v>K.P. Woven Pvt Ltd-Sales</v>
          </cell>
          <cell r="AB1034" t="str">
            <v>24AAECK6307M1ZF</v>
          </cell>
        </row>
        <row r="1035">
          <cell r="D1035" t="str">
            <v>K.P. Woven Pvt Ltd-Sales</v>
          </cell>
          <cell r="AB1035" t="str">
            <v>24AAECK6307M1ZF</v>
          </cell>
        </row>
        <row r="1036">
          <cell r="D1036" t="str">
            <v>K.P. Woven Pvt Ltd-Sales</v>
          </cell>
          <cell r="AB1036" t="str">
            <v>24AAECK6307M1ZF</v>
          </cell>
        </row>
        <row r="1037">
          <cell r="D1037" t="str">
            <v>Plastene Polyfilms Ltd-Sales</v>
          </cell>
          <cell r="AB1037" t="str">
            <v>24AAFCP2956A1ZR</v>
          </cell>
        </row>
        <row r="1038">
          <cell r="D1038" t="str">
            <v>Plastene Polyfilms Ltd-Sales</v>
          </cell>
          <cell r="AB1038" t="str">
            <v>24AAFCP2956A1ZR</v>
          </cell>
        </row>
        <row r="1039">
          <cell r="D1039" t="str">
            <v>Plastene Polyfilms Ltd-Sales</v>
          </cell>
          <cell r="AB1039" t="str">
            <v>24AAFCP2956A1ZR</v>
          </cell>
        </row>
        <row r="1040">
          <cell r="D1040" t="str">
            <v>Plastene Polyfilms Ltd-Sales</v>
          </cell>
          <cell r="AB1040" t="str">
            <v>24AAFCP2956A1ZR</v>
          </cell>
        </row>
        <row r="1041">
          <cell r="D1041" t="str">
            <v>Plastene Polyfilms Ltd-Sales</v>
          </cell>
          <cell r="AB1041" t="str">
            <v>24AAFCP2956A1ZR</v>
          </cell>
        </row>
        <row r="1042">
          <cell r="D1042" t="str">
            <v>Polypak Plastene Ltd</v>
          </cell>
          <cell r="AB1042" t="str">
            <v>N.A.</v>
          </cell>
        </row>
        <row r="1043">
          <cell r="D1043" t="str">
            <v>Procon Pacific Llc</v>
          </cell>
          <cell r="AB1043" t="str">
            <v>N.A.</v>
          </cell>
        </row>
        <row r="1044">
          <cell r="D1044" t="str">
            <v>Jain Bulk Pack - Ahmedabad</v>
          </cell>
          <cell r="AB1044" t="str">
            <v>24AFOPG7793M1ZO</v>
          </cell>
        </row>
        <row r="1045">
          <cell r="D1045" t="str">
            <v>K.P. Woven Pvt Ltd - Unit 3 -Sales</v>
          </cell>
          <cell r="AB1045" t="str">
            <v>24AAECK6307M2ZE</v>
          </cell>
        </row>
        <row r="1046">
          <cell r="D1046" t="str">
            <v>K.P. Woven Pvt Ltd - Unit 3 -Sales</v>
          </cell>
          <cell r="AB1046" t="str">
            <v>24AAECK6307M2ZE</v>
          </cell>
        </row>
        <row r="1047">
          <cell r="D1047" t="str">
            <v>K.P. Woven Pvt Ltd - Unit 3 -Sales</v>
          </cell>
          <cell r="AB1047" t="str">
            <v>24AAECK6307M2ZE</v>
          </cell>
        </row>
        <row r="1048">
          <cell r="D1048" t="str">
            <v>K.P. Woven Pvt Ltd - Unit 3 -Sales</v>
          </cell>
          <cell r="AB1048" t="str">
            <v>24AAECK6307M2ZE</v>
          </cell>
        </row>
        <row r="1049">
          <cell r="D1049" t="str">
            <v>K.P. Woven Pvt Ltd-Sales</v>
          </cell>
          <cell r="AB1049" t="str">
            <v>24AAECK6307M1ZF</v>
          </cell>
        </row>
        <row r="1050">
          <cell r="D1050" t="str">
            <v>K.P. Woven Pvt Ltd-Sales</v>
          </cell>
          <cell r="AB1050" t="str">
            <v>24AAECK6307M1ZF</v>
          </cell>
        </row>
        <row r="1051">
          <cell r="D1051" t="str">
            <v>K.P. Woven Pvt Ltd-Sales</v>
          </cell>
          <cell r="AB1051" t="str">
            <v>24AAECK6307M1ZF</v>
          </cell>
        </row>
        <row r="1052">
          <cell r="D1052" t="str">
            <v>K.P. Woven Pvt Ltd-Sales</v>
          </cell>
          <cell r="AB1052" t="str">
            <v>24AAECK6307M1ZF</v>
          </cell>
        </row>
        <row r="1053">
          <cell r="D1053" t="str">
            <v>K.P. Woven Pvt Ltd-Sales</v>
          </cell>
          <cell r="AB1053" t="str">
            <v>24AAECK6307M1ZF</v>
          </cell>
        </row>
        <row r="1054">
          <cell r="D1054" t="str">
            <v>K.P. Woven Pvt Ltd-Sales</v>
          </cell>
          <cell r="AB1054" t="str">
            <v>24AAECK6307M1ZF</v>
          </cell>
        </row>
        <row r="1055">
          <cell r="D1055" t="str">
            <v>K.P. Woven Pvt Ltd-Sales</v>
          </cell>
          <cell r="AB1055" t="str">
            <v>24AAECK6307M1ZF</v>
          </cell>
        </row>
        <row r="1056">
          <cell r="D1056" t="str">
            <v>K.P. Woven Pvt Ltd-Sales</v>
          </cell>
          <cell r="AB1056" t="str">
            <v>24AAECK6307M1ZF</v>
          </cell>
        </row>
        <row r="1057">
          <cell r="D1057" t="str">
            <v>K.P. Woven Pvt Ltd-Sales</v>
          </cell>
          <cell r="AB1057" t="str">
            <v>24AAECK6307M1ZF</v>
          </cell>
        </row>
        <row r="1058">
          <cell r="D1058" t="str">
            <v>K.P. Woven Pvt Ltd-Sales</v>
          </cell>
          <cell r="AB1058" t="str">
            <v>24AAECK6307M1ZF</v>
          </cell>
        </row>
        <row r="1059">
          <cell r="D1059" t="str">
            <v>Lionel Samson Packaging Co Pty Ltd.</v>
          </cell>
          <cell r="AB1059" t="str">
            <v>N.A.</v>
          </cell>
        </row>
        <row r="1060">
          <cell r="D1060" t="str">
            <v>Lionel Samson Packaging Co Pty Ltd.</v>
          </cell>
          <cell r="AB1060" t="str">
            <v>N.A.</v>
          </cell>
        </row>
        <row r="1061">
          <cell r="D1061" t="str">
            <v>Lionel Samson Packaging Co Pty Ltd.</v>
          </cell>
          <cell r="AB1061" t="str">
            <v>N.A.</v>
          </cell>
        </row>
        <row r="1062">
          <cell r="D1062" t="str">
            <v>Plastene Polyfilms Ltd-Sales</v>
          </cell>
          <cell r="AB1062" t="str">
            <v>24AAFCP2956A1ZR</v>
          </cell>
        </row>
        <row r="1063">
          <cell r="D1063" t="str">
            <v>Plastene Polyfilms Ltd-Sales</v>
          </cell>
          <cell r="AB1063" t="str">
            <v>24AAFCP2956A1ZR</v>
          </cell>
        </row>
        <row r="1064">
          <cell r="D1064" t="str">
            <v>Plastene Polyfilms Ltd-Sales</v>
          </cell>
          <cell r="AB1064" t="str">
            <v>24AAFCP2956A1ZR</v>
          </cell>
        </row>
        <row r="1065">
          <cell r="D1065" t="str">
            <v>Plastene Polyfilms Ltd-Sales</v>
          </cell>
          <cell r="AB1065" t="str">
            <v>24AAFCP2956A1ZR</v>
          </cell>
        </row>
        <row r="1066">
          <cell r="D1066" t="str">
            <v>Plastene Polyfilms Ltd-Sales</v>
          </cell>
          <cell r="AB1066" t="str">
            <v>24AAFCP2956A1ZR</v>
          </cell>
        </row>
        <row r="1067">
          <cell r="D1067" t="str">
            <v>Plastene Polyfilms Ltd-Sales</v>
          </cell>
          <cell r="AB1067" t="str">
            <v>24AAFCP2956A1ZR</v>
          </cell>
        </row>
        <row r="1068">
          <cell r="D1068" t="str">
            <v>Plastene Polyfilms Ltd-Sales</v>
          </cell>
          <cell r="AB1068" t="str">
            <v>24AAFCP2956A1ZR</v>
          </cell>
        </row>
        <row r="1069">
          <cell r="D1069" t="str">
            <v>Plastene Polyfilms Ltd-Sales</v>
          </cell>
          <cell r="AB1069" t="str">
            <v>24AAFCP2956A1ZR</v>
          </cell>
        </row>
        <row r="1070">
          <cell r="D1070" t="str">
            <v>Plastene Polyfilms Ltd-Sales</v>
          </cell>
          <cell r="AB1070" t="str">
            <v>24AAFCP2956A1ZR</v>
          </cell>
        </row>
        <row r="1071">
          <cell r="D1071" t="str">
            <v>Plastene Polyfilms Ltd-Sales</v>
          </cell>
          <cell r="AB1071" t="str">
            <v>24AAFCP2956A1ZR</v>
          </cell>
        </row>
        <row r="1072">
          <cell r="D1072" t="str">
            <v>Plastene Polyfilms Ltd-Sales</v>
          </cell>
          <cell r="AB1072" t="str">
            <v>24AAFCP2956A1ZR</v>
          </cell>
        </row>
        <row r="1073">
          <cell r="D1073" t="str">
            <v>Plastene Polyfilms Ltd-Sales</v>
          </cell>
          <cell r="AB1073" t="str">
            <v>24AAFCP2956A1ZR</v>
          </cell>
        </row>
        <row r="1074">
          <cell r="D1074" t="str">
            <v>Plastene Polyfilms Ltd-Sales</v>
          </cell>
          <cell r="AB1074" t="str">
            <v>24AAFCP2956A1ZR</v>
          </cell>
        </row>
        <row r="1075">
          <cell r="D1075" t="str">
            <v>Plastene Polyfilms Ltd-Sales</v>
          </cell>
          <cell r="AB1075" t="str">
            <v>24AAFCP2956A1ZR</v>
          </cell>
        </row>
        <row r="1076">
          <cell r="D1076" t="str">
            <v>HCP Plastene Bulkpack Limited - Sales</v>
          </cell>
          <cell r="AB1076" t="str">
            <v>24AABCG1282C2Z6</v>
          </cell>
        </row>
        <row r="1077">
          <cell r="D1077" t="str">
            <v>HCP Plastene Bulkpack Limited - Sales</v>
          </cell>
          <cell r="AB1077" t="str">
            <v>24AABCG1282C2Z6</v>
          </cell>
        </row>
        <row r="1078">
          <cell r="D1078" t="str">
            <v>Jain Bulk Pack - Ahmedabad</v>
          </cell>
          <cell r="AB1078" t="str">
            <v>24AFOPG7793M1ZO</v>
          </cell>
        </row>
        <row r="1079">
          <cell r="D1079" t="str">
            <v>Jain Bulk Pack - Sales</v>
          </cell>
          <cell r="AB1079" t="str">
            <v>24AFOPG7793M1ZO</v>
          </cell>
        </row>
        <row r="1080">
          <cell r="D1080" t="str">
            <v>K.P. Woven Pvt Ltd - Unit 3 -Sales</v>
          </cell>
          <cell r="AB1080" t="str">
            <v>24AAECK6307M2ZE</v>
          </cell>
        </row>
        <row r="1081">
          <cell r="D1081" t="str">
            <v>K.P. Woven Pvt Ltd - Unit 3 -Sales</v>
          </cell>
          <cell r="AB1081" t="str">
            <v>24AAECK6307M2ZE</v>
          </cell>
        </row>
        <row r="1082">
          <cell r="D1082" t="str">
            <v>K.P. Woven Pvt Ltd-Sales</v>
          </cell>
          <cell r="AB1082" t="str">
            <v>24AAECK6307M1ZF</v>
          </cell>
        </row>
        <row r="1083">
          <cell r="D1083" t="str">
            <v>K.P. Woven Pvt Ltd-Sales</v>
          </cell>
          <cell r="AB1083" t="str">
            <v>24AAECK6307M1ZF</v>
          </cell>
        </row>
        <row r="1084">
          <cell r="D1084" t="str">
            <v>K.P. Woven Pvt Ltd-Sales</v>
          </cell>
          <cell r="AB1084" t="str">
            <v>24AAECK6307M1ZF</v>
          </cell>
        </row>
        <row r="1085">
          <cell r="D1085" t="str">
            <v>K.P. Woven Pvt Ltd-Sales</v>
          </cell>
          <cell r="AB1085" t="str">
            <v>24AAECK6307M1ZF</v>
          </cell>
        </row>
        <row r="1086">
          <cell r="D1086" t="str">
            <v>K.P. Woven Pvt Ltd-Sales</v>
          </cell>
          <cell r="AB1086" t="str">
            <v>24AAECK6307M1ZF</v>
          </cell>
        </row>
        <row r="1087">
          <cell r="D1087" t="str">
            <v>Manyan Inc.</v>
          </cell>
          <cell r="AB1087" t="str">
            <v>N.A.</v>
          </cell>
        </row>
        <row r="1088">
          <cell r="D1088" t="str">
            <v>Plastene Polyfilms Ltd-Sales</v>
          </cell>
          <cell r="AB1088" t="str">
            <v>24AAFCP2956A1ZR</v>
          </cell>
        </row>
        <row r="1089">
          <cell r="D1089" t="str">
            <v>Jain Bulk Pack - Ahmedabad</v>
          </cell>
          <cell r="AB1089" t="str">
            <v>24AFOPG7793M1ZO</v>
          </cell>
        </row>
        <row r="1090">
          <cell r="D1090" t="str">
            <v>Jain Bulk Pack - Ahmedabad</v>
          </cell>
          <cell r="AB1090" t="str">
            <v>24AFOPG7793M1ZO</v>
          </cell>
        </row>
        <row r="1091">
          <cell r="D1091" t="str">
            <v>K.P. Woven Pvt Ltd - Unit 3 -Sales</v>
          </cell>
          <cell r="AB1091" t="str">
            <v>24AAECK6307M2ZE</v>
          </cell>
        </row>
        <row r="1092">
          <cell r="D1092" t="str">
            <v>K.P. Woven Pvt Ltd - Unit 3 -Sales</v>
          </cell>
          <cell r="AB1092" t="str">
            <v>24AAECK6307M2ZE</v>
          </cell>
        </row>
        <row r="1093">
          <cell r="D1093" t="str">
            <v>K.P. Woven Pvt Ltd - Unit 3 -Sales</v>
          </cell>
          <cell r="AB1093" t="str">
            <v>24AAECK6307M2ZE</v>
          </cell>
        </row>
        <row r="1094">
          <cell r="D1094" t="str">
            <v>K.P. Woven Pvt Ltd - Unit 3 -Sales</v>
          </cell>
          <cell r="AB1094" t="str">
            <v>24AAECK6307M2ZE</v>
          </cell>
        </row>
        <row r="1095">
          <cell r="D1095" t="str">
            <v>K.P. Woven Pvt Ltd-Sales</v>
          </cell>
          <cell r="AB1095" t="str">
            <v>24AAECK6307M1ZF</v>
          </cell>
        </row>
        <row r="1096">
          <cell r="D1096" t="str">
            <v>K.P. Woven Pvt Ltd-Sales</v>
          </cell>
          <cell r="AB1096" t="str">
            <v>24AAECK6307M1ZF</v>
          </cell>
        </row>
        <row r="1097">
          <cell r="D1097" t="str">
            <v>K.P. Woven Pvt Ltd-Sales</v>
          </cell>
          <cell r="AB1097" t="str">
            <v>24AAECK6307M1ZF</v>
          </cell>
        </row>
        <row r="1098">
          <cell r="D1098" t="str">
            <v>K.P. Woven Pvt Ltd-Sales</v>
          </cell>
          <cell r="AB1098" t="str">
            <v>24AAECK6307M1ZF</v>
          </cell>
        </row>
        <row r="1099">
          <cell r="D1099" t="str">
            <v>K.P. Woven Pvt Ltd-Sales</v>
          </cell>
          <cell r="AB1099" t="str">
            <v>24AAECK6307M1ZF</v>
          </cell>
        </row>
        <row r="1100">
          <cell r="D1100" t="str">
            <v>K.P. Woven Pvt Ltd-Sales</v>
          </cell>
          <cell r="AB1100" t="str">
            <v>24AAECK6307M1ZF</v>
          </cell>
        </row>
        <row r="1101">
          <cell r="D1101" t="str">
            <v>Plastene Polyfilms Ltd-Sales</v>
          </cell>
          <cell r="AB1101" t="str">
            <v>24AAFCP2956A1ZR</v>
          </cell>
        </row>
        <row r="1102">
          <cell r="D1102" t="str">
            <v>Plastene Polyfilms Ltd-Sales</v>
          </cell>
          <cell r="AB1102" t="str">
            <v>24AAFCP2956A1ZR</v>
          </cell>
        </row>
        <row r="1103">
          <cell r="D1103" t="str">
            <v>Dajusa 2002 S.L.</v>
          </cell>
          <cell r="AB1103" t="str">
            <v>N.A.</v>
          </cell>
        </row>
        <row r="1104">
          <cell r="D1104" t="str">
            <v>K.P. Woven Pvt Ltd-Sales</v>
          </cell>
          <cell r="AB1104" t="str">
            <v>24AAECK6307M1ZF</v>
          </cell>
        </row>
        <row r="1105">
          <cell r="D1105" t="str">
            <v>K.P. Woven Pvt Ltd-Sales</v>
          </cell>
          <cell r="AB1105" t="str">
            <v>24AAECK6307M1ZF</v>
          </cell>
        </row>
        <row r="1106">
          <cell r="D1106" t="str">
            <v>K.P. Woven Pvt Ltd-Sales</v>
          </cell>
          <cell r="AB1106" t="str">
            <v>24AAECK6307M1ZF</v>
          </cell>
        </row>
        <row r="1107">
          <cell r="D1107" t="str">
            <v>K.P. Woven Pvt Ltd-Sales</v>
          </cell>
          <cell r="AB1107" t="str">
            <v>24AAECK6307M1ZF</v>
          </cell>
        </row>
        <row r="1108">
          <cell r="D1108" t="str">
            <v>Plastene Polyfilms Ltd-Sales</v>
          </cell>
          <cell r="AB1108" t="str">
            <v>24AAFCP2956A1ZR</v>
          </cell>
        </row>
        <row r="1109">
          <cell r="D1109" t="str">
            <v>Plastene Polyfilms Ltd-Sales</v>
          </cell>
          <cell r="AB1109" t="str">
            <v>24AAFCP2956A1ZR</v>
          </cell>
        </row>
        <row r="1110">
          <cell r="D1110" t="str">
            <v>K.P. Woven Pvt Ltd - Unit 3 -Sales</v>
          </cell>
          <cell r="AB1110" t="str">
            <v>24AAECK6307M2ZE</v>
          </cell>
        </row>
        <row r="1111">
          <cell r="D1111" t="str">
            <v>K.P. Woven Pvt Ltd - Unit 3 -Sales</v>
          </cell>
          <cell r="AB1111" t="str">
            <v>24AAECK6307M2ZE</v>
          </cell>
        </row>
        <row r="1112">
          <cell r="D1112" t="str">
            <v>K.P. Woven Pvt Ltd - Unit 3 -Sales</v>
          </cell>
          <cell r="AB1112" t="str">
            <v>24AAECK6307M2ZE</v>
          </cell>
        </row>
        <row r="1113">
          <cell r="D1113" t="str">
            <v>K.P. Woven Pvt Ltd - Unit 3 -Sales</v>
          </cell>
          <cell r="AB1113" t="str">
            <v>24AAECK6307M2ZE</v>
          </cell>
        </row>
        <row r="1114">
          <cell r="D1114" t="str">
            <v>K.P. Woven Pvt Ltd - Unit 3 -Sales</v>
          </cell>
          <cell r="AB1114" t="str">
            <v>24AAECK6307M2ZE</v>
          </cell>
        </row>
        <row r="1115">
          <cell r="D1115" t="str">
            <v>K.P. Woven Pvt Ltd - Unit 3 -Sales</v>
          </cell>
          <cell r="AB1115" t="str">
            <v>24AAECK6307M2ZE</v>
          </cell>
        </row>
        <row r="1116">
          <cell r="D1116" t="str">
            <v>K.P. Woven Pvt Ltd-Sales</v>
          </cell>
          <cell r="AB1116" t="str">
            <v>24AAECK6307M1ZF</v>
          </cell>
        </row>
        <row r="1117">
          <cell r="D1117" t="str">
            <v>K.P. Woven Pvt Ltd-Sales</v>
          </cell>
          <cell r="AB1117" t="str">
            <v>24AAECK6307M1ZF</v>
          </cell>
        </row>
        <row r="1118">
          <cell r="D1118" t="str">
            <v>K.P. Woven Pvt Ltd-Sales</v>
          </cell>
          <cell r="AB1118" t="str">
            <v>24AAECK6307M1ZF</v>
          </cell>
        </row>
        <row r="1119">
          <cell r="D1119" t="str">
            <v>K.P. Woven Pvt Ltd-Sales</v>
          </cell>
          <cell r="AB1119" t="str">
            <v>24AAECK6307M1ZF</v>
          </cell>
        </row>
        <row r="1120">
          <cell r="D1120" t="str">
            <v>Mikitos Ind E Com De Gen Alim Do Amazonas Ltda</v>
          </cell>
          <cell r="AB1120" t="str">
            <v>N.A.</v>
          </cell>
        </row>
        <row r="1121">
          <cell r="D1121" t="str">
            <v>Plastene Polyfilms Ltd-Sales</v>
          </cell>
          <cell r="AB1121" t="str">
            <v>24AAFCP2956A1ZR</v>
          </cell>
        </row>
        <row r="1122">
          <cell r="D1122" t="str">
            <v>Fibco Plastic Industry Llc</v>
          </cell>
          <cell r="AB1122" t="str">
            <v>N.A.</v>
          </cell>
        </row>
        <row r="1123">
          <cell r="D1123" t="str">
            <v>Fibco Plastic Industry Llc</v>
          </cell>
          <cell r="AB1123" t="str">
            <v>N.A.</v>
          </cell>
        </row>
        <row r="1124">
          <cell r="D1124" t="str">
            <v>Fibco Plastic Industry Llc</v>
          </cell>
          <cell r="AB1124" t="str">
            <v>N.A.</v>
          </cell>
        </row>
        <row r="1125">
          <cell r="D1125" t="str">
            <v>Fibco Plastic Industry Llc</v>
          </cell>
          <cell r="AB1125" t="str">
            <v>N.A.</v>
          </cell>
        </row>
        <row r="1126">
          <cell r="D1126" t="str">
            <v>Fibco Plastic Industry Llc</v>
          </cell>
          <cell r="AB1126" t="str">
            <v>N.A.</v>
          </cell>
        </row>
        <row r="1127">
          <cell r="D1127" t="str">
            <v>Fibco Plastic Industry Llc</v>
          </cell>
          <cell r="AB1127" t="str">
            <v>N.A.</v>
          </cell>
        </row>
        <row r="1128">
          <cell r="D1128" t="str">
            <v>Fibco Plastic Industry Llc</v>
          </cell>
          <cell r="AB1128" t="str">
            <v>N.A.</v>
          </cell>
        </row>
        <row r="1129">
          <cell r="D1129" t="str">
            <v>Fibco Plastic Industry Llc</v>
          </cell>
          <cell r="AB1129" t="str">
            <v>N.A.</v>
          </cell>
        </row>
        <row r="1130">
          <cell r="D1130" t="str">
            <v>HCP Plastene Bulkpack Limited - Sales</v>
          </cell>
          <cell r="AB1130" t="str">
            <v>24AABCG1282C2Z6</v>
          </cell>
        </row>
        <row r="1131">
          <cell r="D1131" t="str">
            <v>HCP Plastene Bulkpack Limited - Sales</v>
          </cell>
          <cell r="AB1131" t="str">
            <v>24AABCG1282C2Z6</v>
          </cell>
        </row>
        <row r="1132">
          <cell r="D1132" t="str">
            <v>HCP Plastene Bulkpack Limited - Sales</v>
          </cell>
          <cell r="AB1132" t="str">
            <v>24AABCG1282C2Z6</v>
          </cell>
        </row>
        <row r="1133">
          <cell r="D1133" t="str">
            <v>Jain Bulk Pack - Ahmedabad</v>
          </cell>
          <cell r="AB1133" t="str">
            <v>24AFOPG7793M1ZO</v>
          </cell>
        </row>
        <row r="1134">
          <cell r="D1134" t="str">
            <v>Juta A.S.</v>
          </cell>
          <cell r="AB1134" t="str">
            <v>N.A.</v>
          </cell>
        </row>
        <row r="1135">
          <cell r="D1135" t="str">
            <v>K.P. Woven Pvt Ltd - Unit 3 -Sales</v>
          </cell>
          <cell r="AB1135" t="str">
            <v>24AAECK6307M2ZE</v>
          </cell>
        </row>
        <row r="1136">
          <cell r="D1136" t="str">
            <v>K.P. Woven Pvt Ltd - Unit 3 -Sales</v>
          </cell>
          <cell r="AB1136" t="str">
            <v>24AAECK6307M2ZE</v>
          </cell>
        </row>
        <row r="1137">
          <cell r="D1137" t="str">
            <v>K.P. Woven Pvt Ltd - Unit 3 -Sales</v>
          </cell>
          <cell r="AB1137" t="str">
            <v>24AAECK6307M2ZE</v>
          </cell>
        </row>
        <row r="1138">
          <cell r="D1138" t="str">
            <v>K.P. Woven Pvt Ltd - Unit 3 -Sales</v>
          </cell>
          <cell r="AB1138" t="str">
            <v>24AAECK6307M2ZE</v>
          </cell>
        </row>
        <row r="1139">
          <cell r="D1139" t="str">
            <v>K.P. Woven Pvt Ltd - Unit 3 -Sales</v>
          </cell>
          <cell r="AB1139" t="str">
            <v>24AAECK6307M2ZE</v>
          </cell>
        </row>
        <row r="1140">
          <cell r="D1140" t="str">
            <v>K.P. Woven Pvt Ltd - Unit 3 -Sales</v>
          </cell>
          <cell r="AB1140" t="str">
            <v>24AAECK6307M2ZE</v>
          </cell>
        </row>
        <row r="1141">
          <cell r="D1141" t="str">
            <v>K.P. Woven Pvt Ltd - Unit 3 -Sales</v>
          </cell>
          <cell r="AB1141" t="str">
            <v>24AAECK6307M2ZE</v>
          </cell>
        </row>
        <row r="1142">
          <cell r="D1142" t="str">
            <v>K.P. Woven Pvt Ltd-Sales</v>
          </cell>
          <cell r="AB1142" t="str">
            <v>24AAECK6307M1ZF</v>
          </cell>
        </row>
        <row r="1143">
          <cell r="D1143" t="str">
            <v>K.P. Woven Pvt Ltd-Sales</v>
          </cell>
          <cell r="AB1143" t="str">
            <v>24AAECK6307M1ZF</v>
          </cell>
        </row>
        <row r="1144">
          <cell r="D1144" t="str">
            <v>K.P. Woven Pvt Ltd-Sales</v>
          </cell>
          <cell r="AB1144" t="str">
            <v>24AAECK6307M1ZF</v>
          </cell>
        </row>
        <row r="1145">
          <cell r="D1145" t="str">
            <v>K.P. Woven Pvt Ltd-Sales</v>
          </cell>
          <cell r="AB1145" t="str">
            <v>24AAECK6307M1ZF</v>
          </cell>
        </row>
        <row r="1146">
          <cell r="D1146" t="str">
            <v>K.P. Woven Pvt Ltd-Sales</v>
          </cell>
          <cell r="AB1146" t="str">
            <v>24AAECK6307M1ZF</v>
          </cell>
        </row>
        <row r="1147">
          <cell r="D1147" t="str">
            <v>K.P. Woven Pvt Ltd-Sales</v>
          </cell>
          <cell r="AB1147" t="str">
            <v>24AAECK6307M1ZF</v>
          </cell>
        </row>
        <row r="1148">
          <cell r="D1148" t="str">
            <v>K.P. Woven Pvt Ltd-Sales</v>
          </cell>
          <cell r="AB1148" t="str">
            <v>24AAECK6307M1ZF</v>
          </cell>
        </row>
        <row r="1149">
          <cell r="D1149" t="str">
            <v>K.P. Woven Pvt Ltd-Sales</v>
          </cell>
          <cell r="AB1149" t="str">
            <v>24AAECK6307M1ZF</v>
          </cell>
        </row>
        <row r="1150">
          <cell r="D1150" t="str">
            <v>Plastene Polyfilms Ltd-Sales</v>
          </cell>
          <cell r="AB1150" t="str">
            <v>24AAFCP2956A1ZR</v>
          </cell>
        </row>
        <row r="1151">
          <cell r="D1151" t="str">
            <v>Plastene Polyfilms Ltd-Sales</v>
          </cell>
          <cell r="AB1151" t="str">
            <v>24AAFCP2956A1ZR</v>
          </cell>
        </row>
        <row r="1152">
          <cell r="D1152" t="str">
            <v>Plastene Polyfilms Ltd-Sales</v>
          </cell>
          <cell r="AB1152" t="str">
            <v>24AAFCP2956A1ZR</v>
          </cell>
        </row>
        <row r="1153">
          <cell r="D1153" t="str">
            <v>Plastene Polyfilms Ltd-Sales</v>
          </cell>
          <cell r="AB1153" t="str">
            <v>24AAFCP2956A1ZR</v>
          </cell>
        </row>
        <row r="1154">
          <cell r="D1154" t="str">
            <v>Plastene Polyfilms Ltd-Sales</v>
          </cell>
          <cell r="AB1154" t="str">
            <v>24AAFCP2956A1ZR</v>
          </cell>
        </row>
        <row r="1155">
          <cell r="D1155" t="str">
            <v>Plastene Polyfilms Ltd-Sales</v>
          </cell>
          <cell r="AB1155" t="str">
            <v>24AAFCP2956A1ZR</v>
          </cell>
        </row>
        <row r="1156">
          <cell r="D1156" t="str">
            <v>Juta A.S.</v>
          </cell>
          <cell r="AB1156" t="str">
            <v>N.A.</v>
          </cell>
        </row>
        <row r="1157">
          <cell r="D1157" t="str">
            <v>K.P. Woven Pvt Ltd-Sales</v>
          </cell>
          <cell r="AB1157" t="str">
            <v>24AAECK6307M1ZF</v>
          </cell>
        </row>
        <row r="1158">
          <cell r="D1158" t="str">
            <v>K.P. Woven Pvt Ltd-Sales</v>
          </cell>
          <cell r="AB1158" t="str">
            <v>24AAECK6307M1ZF</v>
          </cell>
        </row>
        <row r="1159">
          <cell r="D1159" t="str">
            <v>K.P. Woven Pvt Ltd-Sales</v>
          </cell>
          <cell r="AB1159" t="str">
            <v>24AAECK6307M1ZF</v>
          </cell>
        </row>
        <row r="1160">
          <cell r="D1160" t="str">
            <v>K.P. Woven Pvt Ltd-Sales</v>
          </cell>
          <cell r="AB1160" t="str">
            <v>24AAECK6307M1ZF</v>
          </cell>
        </row>
        <row r="1161">
          <cell r="D1161" t="str">
            <v>K.P. Woven Pvt Ltd-Sales</v>
          </cell>
          <cell r="AB1161" t="str">
            <v>24AAECK6307M1ZF</v>
          </cell>
        </row>
        <row r="1162">
          <cell r="D1162" t="str">
            <v>Orange Polypack</v>
          </cell>
          <cell r="AB1162" t="str">
            <v>24AAGFO6300F1ZP</v>
          </cell>
        </row>
        <row r="1163">
          <cell r="D1163" t="str">
            <v>Plastene Polyfilms Ltd-Sales</v>
          </cell>
          <cell r="AB1163" t="str">
            <v>24AAFCP2956A1ZR</v>
          </cell>
        </row>
        <row r="1164">
          <cell r="D1164" t="str">
            <v>Plastene Polyfilms Ltd-Sales</v>
          </cell>
          <cell r="AB1164" t="str">
            <v>24AAFCP2956A1ZR</v>
          </cell>
        </row>
        <row r="1165">
          <cell r="D1165" t="str">
            <v>Plastene Polyfilms Ltd-Sales</v>
          </cell>
          <cell r="AB1165" t="str">
            <v>24AAFCP2956A1ZR</v>
          </cell>
        </row>
        <row r="1166">
          <cell r="D1166" t="str">
            <v>Plastene Polyfilms Ltd-Sales</v>
          </cell>
          <cell r="AB1166" t="str">
            <v>24AAFCP2956A1ZR</v>
          </cell>
        </row>
        <row r="1167">
          <cell r="D1167" t="str">
            <v>Plastene Polyfilms Ltd-Sales</v>
          </cell>
          <cell r="AB1167" t="str">
            <v>24AAFCP2956A1ZR</v>
          </cell>
        </row>
        <row r="1168">
          <cell r="D1168" t="str">
            <v>Plastene Polyfilms Ltd-Sales</v>
          </cell>
          <cell r="AB1168" t="str">
            <v>24AAFCP2956A1ZR</v>
          </cell>
        </row>
        <row r="1169">
          <cell r="D1169" t="str">
            <v>Plastene Polyfilms Ltd-Sales</v>
          </cell>
          <cell r="AB1169" t="str">
            <v>24AAFCP2956A1ZR</v>
          </cell>
        </row>
        <row r="1170">
          <cell r="D1170" t="str">
            <v>Plastene Polyfilms Ltd-Sales</v>
          </cell>
          <cell r="AB1170" t="str">
            <v>24AAFCP2956A1ZR</v>
          </cell>
        </row>
        <row r="1171">
          <cell r="D1171" t="str">
            <v>Plastene Polyfilms Ltd-Sales</v>
          </cell>
          <cell r="AB1171" t="str">
            <v>24AAFCP2956A1ZR</v>
          </cell>
        </row>
        <row r="1172">
          <cell r="D1172" t="str">
            <v>Plastene Polyfilms Ltd-Sales</v>
          </cell>
          <cell r="AB1172" t="str">
            <v>24AAFCP2956A1ZR</v>
          </cell>
        </row>
        <row r="1173">
          <cell r="D1173" t="str">
            <v>Plastene Polyfilms Ltd-Sales</v>
          </cell>
          <cell r="AB1173" t="str">
            <v>24AAFCP2956A1ZR</v>
          </cell>
        </row>
        <row r="1174">
          <cell r="D1174" t="str">
            <v>Jain Bulk Pack - Ahmedabad</v>
          </cell>
          <cell r="AB1174" t="str">
            <v>24AFOPG7793M1ZO</v>
          </cell>
        </row>
        <row r="1175">
          <cell r="D1175" t="str">
            <v>Jain Bulk Pack - Ahmedabad</v>
          </cell>
          <cell r="AB1175" t="str">
            <v>24AFOPG7793M1ZO</v>
          </cell>
        </row>
        <row r="1176">
          <cell r="D1176" t="str">
            <v>K.P. Woven Pvt Ltd - Unit 3 -Sales</v>
          </cell>
          <cell r="AB1176" t="str">
            <v>24AAECK6307M2ZE</v>
          </cell>
        </row>
        <row r="1177">
          <cell r="D1177" t="str">
            <v>K.P. Woven Pvt Ltd - Unit 3 -Sales</v>
          </cell>
          <cell r="AB1177" t="str">
            <v>24AAECK6307M2ZE</v>
          </cell>
        </row>
        <row r="1178">
          <cell r="D1178" t="str">
            <v>K.P. Woven Pvt Ltd - Unit 3 -Sales</v>
          </cell>
          <cell r="AB1178" t="str">
            <v>24AAECK6307M2ZE</v>
          </cell>
        </row>
        <row r="1179">
          <cell r="D1179" t="str">
            <v>Plastene Polyfilms Ltd-Sales</v>
          </cell>
          <cell r="AB1179" t="str">
            <v>24AAFCP2956A1ZR</v>
          </cell>
        </row>
        <row r="1180">
          <cell r="D1180" t="str">
            <v>Plastene Polyfilms Ltd-Sales</v>
          </cell>
          <cell r="AB1180" t="str">
            <v>24AAFCP2956A1ZR</v>
          </cell>
        </row>
        <row r="1181">
          <cell r="D1181" t="str">
            <v>Plastene Polyfilms Ltd-Sales</v>
          </cell>
          <cell r="AB1181" t="str">
            <v>24AAFCP2956A1ZR</v>
          </cell>
        </row>
        <row r="1182">
          <cell r="D1182" t="str">
            <v>Plastene Polyfilms Ltd-Sales</v>
          </cell>
          <cell r="AB1182" t="str">
            <v>24AAFCP2956A1ZR</v>
          </cell>
        </row>
        <row r="1183">
          <cell r="D1183" t="str">
            <v>Plastene Polyfilms Ltd-Sales</v>
          </cell>
          <cell r="AB1183" t="str">
            <v>24AAFCP2956A1ZR</v>
          </cell>
        </row>
        <row r="1184">
          <cell r="D1184" t="str">
            <v>Plastene Polyfilms Ltd-Sales</v>
          </cell>
          <cell r="AB1184" t="str">
            <v>24AAFCP2956A1ZR</v>
          </cell>
        </row>
        <row r="1185">
          <cell r="D1185" t="str">
            <v>Plastene Polyfilms Ltd-Sales</v>
          </cell>
          <cell r="AB1185" t="str">
            <v>24AAFCP2956A1ZR</v>
          </cell>
        </row>
        <row r="1186">
          <cell r="D1186" t="str">
            <v>Plastene Polyfilms Ltd-Sales</v>
          </cell>
          <cell r="AB1186" t="str">
            <v>24AAFCP2956A1ZR</v>
          </cell>
        </row>
        <row r="1187">
          <cell r="D1187" t="str">
            <v>Plastene Polyfilms Ltd-Sales</v>
          </cell>
          <cell r="AB1187" t="str">
            <v>24AAFCP2956A1ZR</v>
          </cell>
        </row>
        <row r="1188">
          <cell r="D1188" t="str">
            <v>Plastene Polyfilms Ltd-Sales</v>
          </cell>
          <cell r="AB1188" t="str">
            <v>24AAFCP2956A1ZR</v>
          </cell>
        </row>
        <row r="1189">
          <cell r="D1189" t="str">
            <v>Plastene Polyfilms Ltd-Sales</v>
          </cell>
          <cell r="AB1189" t="str">
            <v>24AAFCP2956A1ZR</v>
          </cell>
        </row>
        <row r="1190">
          <cell r="D1190" t="str">
            <v>Jain Bulk Pack - Ahmedabad</v>
          </cell>
          <cell r="AB1190" t="str">
            <v>24AFOPG7793M1ZO</v>
          </cell>
        </row>
        <row r="1191">
          <cell r="D1191" t="str">
            <v>Jain Bulk Pack - Ahmedabad</v>
          </cell>
          <cell r="AB1191" t="str">
            <v>24AFOPG7793M1ZO</v>
          </cell>
        </row>
        <row r="1192">
          <cell r="D1192" t="str">
            <v>Jain Bulk Pack - Ahmedabad</v>
          </cell>
          <cell r="AB1192" t="str">
            <v>24AFOPG7793M1ZO</v>
          </cell>
        </row>
        <row r="1193">
          <cell r="D1193" t="str">
            <v>K.P. Woven Pvt Ltd - Unit 3 -Sales</v>
          </cell>
          <cell r="AB1193" t="str">
            <v>24AAECK6307M2ZE</v>
          </cell>
        </row>
        <row r="1194">
          <cell r="D1194" t="str">
            <v>K.P. Woven Pvt Ltd - Unit 3 -Sales</v>
          </cell>
          <cell r="AB1194" t="str">
            <v>24AAECK6307M2ZE</v>
          </cell>
        </row>
        <row r="1195">
          <cell r="D1195" t="str">
            <v>K.P. Woven Pvt Ltd - Unit 3 -Sales</v>
          </cell>
          <cell r="AB1195" t="str">
            <v>24AAECK6307M2ZE</v>
          </cell>
        </row>
        <row r="1196">
          <cell r="D1196" t="str">
            <v>K.P. Woven Pvt Ltd - Unit 3 -Sales</v>
          </cell>
          <cell r="AB1196" t="str">
            <v>24AAECK6307M2ZE</v>
          </cell>
        </row>
        <row r="1197">
          <cell r="D1197" t="str">
            <v>K.P. Woven Pvt Ltd - Unit 3 -Sales</v>
          </cell>
          <cell r="AB1197" t="str">
            <v>24AAECK6307M2ZE</v>
          </cell>
        </row>
        <row r="1198">
          <cell r="D1198" t="str">
            <v>K.P. Woven Pvt Ltd-Sales</v>
          </cell>
          <cell r="AB1198" t="str">
            <v>24AAECK6307M1ZF</v>
          </cell>
        </row>
        <row r="1199">
          <cell r="D1199" t="str">
            <v>K.P. Woven Pvt Ltd-Sales</v>
          </cell>
          <cell r="AB1199" t="str">
            <v>24AAECK6307M1ZF</v>
          </cell>
        </row>
        <row r="1200">
          <cell r="D1200" t="str">
            <v>K.P. Woven Pvt Ltd-Sales</v>
          </cell>
          <cell r="AB1200" t="str">
            <v>24AAECK6307M1ZF</v>
          </cell>
        </row>
        <row r="1201">
          <cell r="D1201" t="str">
            <v>K.P. Woven Pvt Ltd-Sales</v>
          </cell>
          <cell r="AB1201" t="str">
            <v>24AAECK6307M1ZF</v>
          </cell>
        </row>
        <row r="1202">
          <cell r="D1202" t="str">
            <v>K.P. Woven Pvt Ltd-Sales</v>
          </cell>
          <cell r="AB1202" t="str">
            <v>24AAECK6307M1ZF</v>
          </cell>
        </row>
        <row r="1203">
          <cell r="D1203" t="str">
            <v>Mercados Mundiales Import Export, S.A.U</v>
          </cell>
          <cell r="AB1203" t="str">
            <v>N.A.</v>
          </cell>
        </row>
        <row r="1204">
          <cell r="D1204" t="str">
            <v>Plastene Polyfilms Ltd-Sales</v>
          </cell>
          <cell r="AB1204" t="str">
            <v>24AAFCP2956A1ZR</v>
          </cell>
        </row>
        <row r="1205">
          <cell r="D1205" t="str">
            <v>Plastene Polyfilms Ltd-Sales</v>
          </cell>
          <cell r="AB1205" t="str">
            <v>24AAFCP2956A1ZR</v>
          </cell>
        </row>
        <row r="1206">
          <cell r="D1206" t="str">
            <v>Plastene Polyfilms Ltd-Sales</v>
          </cell>
          <cell r="AB1206" t="str">
            <v>24AAFCP2956A1ZR</v>
          </cell>
        </row>
        <row r="1207">
          <cell r="D1207" t="str">
            <v>Plastene Polyfilms Ltd-Sales</v>
          </cell>
          <cell r="AB1207" t="str">
            <v>24AAFCP2956A1ZR</v>
          </cell>
        </row>
        <row r="1208">
          <cell r="D1208" t="str">
            <v>Plastene Polyfilms Ltd-Sales</v>
          </cell>
          <cell r="AB1208" t="str">
            <v>24AAFCP2956A1ZR</v>
          </cell>
        </row>
        <row r="1209">
          <cell r="D1209" t="str">
            <v>Plastene Polyfilms Ltd-Sales</v>
          </cell>
          <cell r="AB1209" t="str">
            <v>24AAFCP2956A1ZR</v>
          </cell>
        </row>
        <row r="1210">
          <cell r="D1210" t="str">
            <v>Plastene Polyfilms Ltd-Sales</v>
          </cell>
          <cell r="AB1210" t="str">
            <v>24AAFCP2956A1ZR</v>
          </cell>
        </row>
        <row r="1211">
          <cell r="D1211" t="str">
            <v>Plastene Polyfilms Ltd-Sales</v>
          </cell>
          <cell r="AB1211" t="str">
            <v>24AAFCP2956A1ZR</v>
          </cell>
        </row>
        <row r="1212">
          <cell r="D1212" t="str">
            <v>Plastene Polyfilms Ltd-Sales</v>
          </cell>
          <cell r="AB1212" t="str">
            <v>24AAFCP2956A1ZR</v>
          </cell>
        </row>
        <row r="1213">
          <cell r="D1213" t="str">
            <v>Plastene Polyfilms Ltd-Sales</v>
          </cell>
          <cell r="AB1213" t="str">
            <v>24AAFCP2956A1ZR</v>
          </cell>
        </row>
        <row r="1214">
          <cell r="D1214" t="str">
            <v>Plastene Polyfilms Ltd-Sales</v>
          </cell>
          <cell r="AB1214" t="str">
            <v>24AAFCP2956A1ZR</v>
          </cell>
        </row>
        <row r="1215">
          <cell r="D1215" t="str">
            <v>HCP Plastene Bulkpack Limited - Sales</v>
          </cell>
          <cell r="AB1215" t="str">
            <v>24AABCG1282C2Z6</v>
          </cell>
        </row>
        <row r="1216">
          <cell r="D1216" t="str">
            <v>HCP Plastene Bulkpack Limited - Sales</v>
          </cell>
          <cell r="AB1216" t="str">
            <v>24AABCG1282C2Z6</v>
          </cell>
        </row>
        <row r="1217">
          <cell r="D1217" t="str">
            <v>K.P. Woven Pvt Ltd-Sales</v>
          </cell>
          <cell r="AB1217" t="str">
            <v>24AAECK6307M1ZF</v>
          </cell>
        </row>
        <row r="1218">
          <cell r="D1218" t="str">
            <v>K.P. Woven Pvt Ltd-Sales</v>
          </cell>
          <cell r="AB1218" t="str">
            <v>24AAECK6307M1ZF</v>
          </cell>
        </row>
        <row r="1219">
          <cell r="D1219" t="str">
            <v>K.P. Woven Pvt Ltd-Sales</v>
          </cell>
          <cell r="AB1219" t="str">
            <v>24AAECK6307M1ZF</v>
          </cell>
        </row>
        <row r="1220">
          <cell r="D1220" t="str">
            <v>K.P. Woven Pvt Ltd-Sales</v>
          </cell>
          <cell r="AB1220" t="str">
            <v>24AAECK6307M1ZF</v>
          </cell>
        </row>
        <row r="1221">
          <cell r="D1221" t="str">
            <v>K.P. Woven Pvt Ltd-Sales</v>
          </cell>
          <cell r="AB1221" t="str">
            <v>24AAECK6307M1ZF</v>
          </cell>
        </row>
        <row r="1222">
          <cell r="D1222" t="str">
            <v>K.P. Woven Pvt Ltd-Sales</v>
          </cell>
          <cell r="AB1222" t="str">
            <v>24AAECK6307M1ZF</v>
          </cell>
        </row>
        <row r="1223">
          <cell r="D1223" t="str">
            <v>Oswal Extrusion Ltd- KASEZ-Sales</v>
          </cell>
          <cell r="AB1223" t="str">
            <v>24AAACO7290H4ZB</v>
          </cell>
        </row>
        <row r="1224">
          <cell r="D1224" t="str">
            <v>Plastene Polyfilms Ltd-Sales</v>
          </cell>
          <cell r="AB1224" t="str">
            <v>24AAFCP2956A1ZR</v>
          </cell>
        </row>
        <row r="1225">
          <cell r="D1225" t="str">
            <v>Plastene Polyfilms Ltd-Sales</v>
          </cell>
          <cell r="AB1225" t="str">
            <v>24AAFCP2956A1ZR</v>
          </cell>
        </row>
        <row r="1226">
          <cell r="D1226" t="str">
            <v>Plastene Polyfilms Ltd-Sales</v>
          </cell>
          <cell r="AB1226" t="str">
            <v>24AAFCP2956A1ZR</v>
          </cell>
        </row>
        <row r="1227">
          <cell r="D1227" t="str">
            <v>Plastene Polyfilms Ltd-Sales</v>
          </cell>
          <cell r="AB1227" t="str">
            <v>24AAFCP2956A1ZR</v>
          </cell>
        </row>
        <row r="1228">
          <cell r="D1228" t="str">
            <v>Plastene Polyfilms Ltd-Sales</v>
          </cell>
          <cell r="AB1228" t="str">
            <v>24AAFCP2956A1ZR</v>
          </cell>
        </row>
        <row r="1229">
          <cell r="D1229" t="str">
            <v>Plastene Polyfilms Ltd-Sales</v>
          </cell>
          <cell r="AB1229" t="str">
            <v>24AAFCP2956A1ZR</v>
          </cell>
        </row>
        <row r="1230">
          <cell r="D1230" t="str">
            <v>Plastene Polyfilms Ltd-Sales</v>
          </cell>
          <cell r="AB1230" t="str">
            <v>24AAFCP2956A1ZR</v>
          </cell>
        </row>
        <row r="1231">
          <cell r="D1231" t="str">
            <v>Plastene Polyfilms Ltd-Sales</v>
          </cell>
          <cell r="AB1231" t="str">
            <v>24AAFCP2956A1ZR</v>
          </cell>
        </row>
        <row r="1232">
          <cell r="D1232" t="str">
            <v>Plastene Polyfilms Ltd-Sales</v>
          </cell>
          <cell r="AB1232" t="str">
            <v>24AAFCP2956A1ZR</v>
          </cell>
        </row>
        <row r="1233">
          <cell r="D1233" t="str">
            <v>Plastene Polyfilms Ltd-Sales</v>
          </cell>
          <cell r="AB1233" t="str">
            <v>24AAFCP2956A1ZR</v>
          </cell>
        </row>
        <row r="1234">
          <cell r="D1234" t="str">
            <v>Plastene Polyfilms Ltd-Sales</v>
          </cell>
          <cell r="AB1234" t="str">
            <v>24AAFCP2956A1ZR</v>
          </cell>
        </row>
        <row r="1235">
          <cell r="D1235" t="str">
            <v>HCP Plastene Bulkpack Limited - Sales</v>
          </cell>
          <cell r="AB1235" t="str">
            <v>24AABCG1282C2Z6</v>
          </cell>
        </row>
        <row r="1236">
          <cell r="D1236" t="str">
            <v>Jain Bulk Pack - Ahmedabad</v>
          </cell>
          <cell r="AB1236" t="str">
            <v>24AFOPG7793M1ZO</v>
          </cell>
        </row>
        <row r="1237">
          <cell r="D1237" t="str">
            <v>K.P. Woven Pvt Ltd-Sales</v>
          </cell>
          <cell r="AB1237" t="str">
            <v>24AAECK6307M1ZF</v>
          </cell>
        </row>
        <row r="1238">
          <cell r="D1238" t="str">
            <v>K.P. Woven Pvt Ltd-Sales</v>
          </cell>
          <cell r="AB1238" t="str">
            <v>24AAECK6307M1ZF</v>
          </cell>
        </row>
        <row r="1239">
          <cell r="D1239" t="str">
            <v>K.P. Woven Pvt Ltd-Sales</v>
          </cell>
          <cell r="AB1239" t="str">
            <v>24AAECK6307M1ZF</v>
          </cell>
        </row>
        <row r="1240">
          <cell r="D1240" t="str">
            <v>K.P. Woven Pvt Ltd-Sales</v>
          </cell>
          <cell r="AB1240" t="str">
            <v>24AAECK6307M1ZF</v>
          </cell>
        </row>
        <row r="1241">
          <cell r="D1241" t="str">
            <v>K.P. Woven Pvt Ltd-Sales</v>
          </cell>
          <cell r="AB1241" t="str">
            <v>24AAECK6307M1ZF</v>
          </cell>
        </row>
        <row r="1242">
          <cell r="D1242" t="str">
            <v>K.P. Woven Pvt Ltd-Sales</v>
          </cell>
          <cell r="AB1242" t="str">
            <v>24AAECK6307M1ZF</v>
          </cell>
        </row>
        <row r="1243">
          <cell r="D1243" t="str">
            <v>K.P. Woven Pvt Ltd-Sales</v>
          </cell>
          <cell r="AB1243" t="str">
            <v>24AAECK6307M1ZF</v>
          </cell>
        </row>
        <row r="1244">
          <cell r="D1244" t="str">
            <v>K.P. Woven Pvt Ltd-Sales</v>
          </cell>
          <cell r="AB1244" t="str">
            <v>24AAECK6307M1ZF</v>
          </cell>
        </row>
        <row r="1245">
          <cell r="D1245" t="str">
            <v>K.P. Woven Pvt Ltd-Sales</v>
          </cell>
          <cell r="AB1245" t="str">
            <v>24AAECK6307M1ZF</v>
          </cell>
        </row>
        <row r="1246">
          <cell r="D1246" t="str">
            <v>K.P. Woven Pvt Ltd-Sales</v>
          </cell>
          <cell r="AB1246" t="str">
            <v>24AAECK6307M1ZF</v>
          </cell>
        </row>
        <row r="1247">
          <cell r="D1247" t="str">
            <v>K.P. Woven Pvt Ltd-Sales</v>
          </cell>
          <cell r="AB1247" t="str">
            <v>24AAECK6307M1ZF</v>
          </cell>
        </row>
        <row r="1248">
          <cell r="D1248" t="str">
            <v>K.P. Woven Pvt Ltd-Sales</v>
          </cell>
          <cell r="AB1248" t="str">
            <v>24AAECK6307M1ZF</v>
          </cell>
        </row>
        <row r="1249">
          <cell r="D1249" t="str">
            <v>K.P. Woven Pvt Ltd-Sales</v>
          </cell>
          <cell r="AB1249" t="str">
            <v>24AAECK6307M1ZF</v>
          </cell>
        </row>
        <row r="1250">
          <cell r="D1250" t="str">
            <v>K.P. Woven Pvt Ltd-Sales</v>
          </cell>
          <cell r="AB1250" t="str">
            <v>24AAECK6307M1ZF</v>
          </cell>
        </row>
        <row r="1251">
          <cell r="D1251" t="str">
            <v>K.P. Woven Pvt Ltd-Sales</v>
          </cell>
          <cell r="AB1251" t="str">
            <v>24AAECK6307M1ZF</v>
          </cell>
        </row>
        <row r="1252">
          <cell r="D1252" t="str">
            <v>K.P. Woven Pvt Ltd-Sales</v>
          </cell>
          <cell r="AB1252" t="str">
            <v>24AAECK6307M1ZF</v>
          </cell>
        </row>
        <row r="1253">
          <cell r="D1253" t="str">
            <v>K.P. Woven Pvt Ltd-Sales</v>
          </cell>
          <cell r="AB1253" t="str">
            <v>24AAECK6307M1ZF</v>
          </cell>
        </row>
        <row r="1254">
          <cell r="D1254" t="str">
            <v>K.P. Woven Pvt Ltd-Sales</v>
          </cell>
          <cell r="AB1254" t="str">
            <v>24AAECK6307M1ZF</v>
          </cell>
        </row>
        <row r="1255">
          <cell r="D1255" t="str">
            <v>Plastene Polyfilms Ltd-Sales</v>
          </cell>
          <cell r="AB1255" t="str">
            <v>24AAFCP2956A1ZR</v>
          </cell>
        </row>
        <row r="1256">
          <cell r="D1256" t="str">
            <v>Plastene Polyfilms Ltd-Sales</v>
          </cell>
          <cell r="AB1256" t="str">
            <v>24AAFCP2956A1ZR</v>
          </cell>
        </row>
        <row r="1257">
          <cell r="D1257" t="str">
            <v>Plastene Polyfilms Ltd-Sales</v>
          </cell>
          <cell r="AB1257" t="str">
            <v>24AAFCP2956A1ZR</v>
          </cell>
        </row>
        <row r="1258">
          <cell r="D1258" t="str">
            <v>Plastene Polyfilms Ltd-Sales</v>
          </cell>
          <cell r="AB1258" t="str">
            <v>24AAFCP2956A1ZR</v>
          </cell>
        </row>
        <row r="1259">
          <cell r="D1259" t="str">
            <v>Plastene Polyfilms Ltd-Sales</v>
          </cell>
          <cell r="AB1259" t="str">
            <v>24AAFCP2956A1ZR</v>
          </cell>
        </row>
        <row r="1260">
          <cell r="D1260" t="str">
            <v>Plastene Polyfilms Ltd-Sales</v>
          </cell>
          <cell r="AB1260" t="str">
            <v>24AAFCP2956A1ZR</v>
          </cell>
        </row>
        <row r="1261">
          <cell r="D1261" t="str">
            <v>Plastene Polyfilms Ltd-Sales</v>
          </cell>
          <cell r="AB1261" t="str">
            <v>24AAFCP2956A1ZR</v>
          </cell>
        </row>
        <row r="1262">
          <cell r="D1262" t="str">
            <v>Plastene Polyfilms Ltd-Sales</v>
          </cell>
          <cell r="AB1262" t="str">
            <v>24AAFCP2956A1ZR</v>
          </cell>
        </row>
        <row r="1263">
          <cell r="D1263" t="str">
            <v>Plastene Polyfilms Ltd-Sales</v>
          </cell>
          <cell r="AB1263" t="str">
            <v>24AAFCP2956A1ZR</v>
          </cell>
        </row>
        <row r="1264">
          <cell r="D1264" t="str">
            <v>K.P. Woven Pvt Ltd - Unit 3 -Sales</v>
          </cell>
          <cell r="AB1264" t="str">
            <v>24AAECK6307M2ZE</v>
          </cell>
        </row>
        <row r="1265">
          <cell r="D1265" t="str">
            <v>K.P. Woven Pvt Ltd - Unit 3 -Sales</v>
          </cell>
          <cell r="AB1265" t="str">
            <v>24AAECK6307M2ZE</v>
          </cell>
        </row>
        <row r="1266">
          <cell r="D1266" t="str">
            <v>K.P. Woven Pvt Ltd - Unit 3 -Sales</v>
          </cell>
          <cell r="AB1266" t="str">
            <v>24AAECK6307M2ZE</v>
          </cell>
        </row>
        <row r="1267">
          <cell r="D1267" t="str">
            <v>K.P. Woven Pvt Ltd - Unit 3 -Sales</v>
          </cell>
          <cell r="AB1267" t="str">
            <v>24AAECK6307M2ZE</v>
          </cell>
        </row>
        <row r="1268">
          <cell r="D1268" t="str">
            <v>K.P. Woven Pvt Ltd - Unit 3 -Sales</v>
          </cell>
          <cell r="AB1268" t="str">
            <v>24AAECK6307M2ZE</v>
          </cell>
        </row>
        <row r="1269">
          <cell r="D1269" t="str">
            <v>K.P. Woven Pvt Ltd-Sales</v>
          </cell>
          <cell r="AB1269" t="str">
            <v>24AAECK6307M1ZF</v>
          </cell>
        </row>
        <row r="1270">
          <cell r="D1270" t="str">
            <v>K.P. Woven Pvt Ltd-Sales</v>
          </cell>
          <cell r="AB1270" t="str">
            <v>24AAECK6307M1ZF</v>
          </cell>
        </row>
        <row r="1271">
          <cell r="D1271" t="str">
            <v>K.P. Woven Pvt Ltd-Sales</v>
          </cell>
          <cell r="AB1271" t="str">
            <v>24AAECK6307M1ZF</v>
          </cell>
        </row>
        <row r="1272">
          <cell r="D1272" t="str">
            <v>K.P. Woven Pvt Ltd-Sales</v>
          </cell>
          <cell r="AB1272" t="str">
            <v>24AAECK6307M1ZF</v>
          </cell>
        </row>
        <row r="1273">
          <cell r="D1273" t="str">
            <v>K.P. Woven Pvt Ltd-Sales</v>
          </cell>
          <cell r="AB1273" t="str">
            <v>24AAECK6307M1ZF</v>
          </cell>
        </row>
        <row r="1274">
          <cell r="D1274" t="str">
            <v>K.P. Woven Pvt Ltd-Sales</v>
          </cell>
          <cell r="AB1274" t="str">
            <v>24AAECK6307M1ZF</v>
          </cell>
        </row>
        <row r="1275">
          <cell r="D1275" t="str">
            <v>Plastene Polyfilms Ltd-Sales</v>
          </cell>
          <cell r="AB1275" t="str">
            <v>24AAFCP2956A1ZR</v>
          </cell>
        </row>
        <row r="1276">
          <cell r="D1276" t="str">
            <v>Plastene Polyfilms Ltd-Sales</v>
          </cell>
          <cell r="AB1276" t="str">
            <v>24AAFCP2956A1ZR</v>
          </cell>
        </row>
        <row r="1277">
          <cell r="D1277" t="str">
            <v>Plastene Polyfilms Ltd-Sales</v>
          </cell>
          <cell r="AB1277" t="str">
            <v>24AAFCP2956A1ZR</v>
          </cell>
        </row>
        <row r="1278">
          <cell r="D1278" t="str">
            <v>Hcp Plastene Bulkpack Ltd (Unit Iv) - Sales</v>
          </cell>
          <cell r="AB1278" t="str">
            <v>24AABCG1282C2Z6</v>
          </cell>
        </row>
        <row r="1279">
          <cell r="D1279" t="str">
            <v>Hcp Plastene Bulkpack Ltd (Unit Iv) - Sales</v>
          </cell>
          <cell r="AB1279" t="str">
            <v>24AABCG1282C2Z6</v>
          </cell>
        </row>
        <row r="1280">
          <cell r="D1280" t="str">
            <v>Hcp Plastene Bulkpack Ltd (Unit Iv) - Sales</v>
          </cell>
          <cell r="AB1280" t="str">
            <v>24AABCG1282C2Z6</v>
          </cell>
        </row>
        <row r="1281">
          <cell r="D1281" t="str">
            <v>Hcp Plastene Bulkpack Ltd (Unit Iv) - Sales</v>
          </cell>
          <cell r="AB1281" t="str">
            <v>24AABCG1282C2Z6</v>
          </cell>
        </row>
        <row r="1282">
          <cell r="D1282" t="str">
            <v>Hcp Plastene Bulkpack Ltd (Unit Iv) - Sales</v>
          </cell>
          <cell r="AB1282" t="str">
            <v>24AABCG1282C2Z6</v>
          </cell>
        </row>
        <row r="1283">
          <cell r="D1283" t="str">
            <v>Hcp Plastene Bulkpack Ltd (Unit Iv) - Sales</v>
          </cell>
          <cell r="AB1283" t="str">
            <v>24AABCG1282C2Z6</v>
          </cell>
        </row>
        <row r="1284">
          <cell r="D1284" t="str">
            <v>Hcp Plastene Bulkpack Ltd (Unit Iv) - Sales</v>
          </cell>
          <cell r="AB1284" t="str">
            <v>24AABCG1282C2Z6</v>
          </cell>
        </row>
        <row r="1285">
          <cell r="D1285" t="str">
            <v>Hcp Plastene Bulkpack Ltd (Unit Iv) - Sales</v>
          </cell>
          <cell r="AB1285" t="str">
            <v>24AABCG1282C2Z6</v>
          </cell>
        </row>
        <row r="1286">
          <cell r="D1286" t="str">
            <v>Hcp Plastene Bulkpack Ltd (Unit Iv) - Sales</v>
          </cell>
          <cell r="AB1286" t="str">
            <v>24AABCG1282C2Z6</v>
          </cell>
        </row>
        <row r="1287">
          <cell r="D1287" t="str">
            <v>Hcp Plastene Bulkpack Ltd (Unit Iv) - Sales</v>
          </cell>
          <cell r="AB1287" t="str">
            <v>24AABCG1282C2Z6</v>
          </cell>
        </row>
        <row r="1288">
          <cell r="D1288" t="str">
            <v>Hcp Plastene Bulkpack Ltd (Unit Iv) - Sales</v>
          </cell>
          <cell r="AB1288" t="str">
            <v>24AABCG1282C2Z6</v>
          </cell>
        </row>
        <row r="1289">
          <cell r="D1289" t="str">
            <v>K.P. Woven Pvt Ltd - Unit 3 -Sales</v>
          </cell>
          <cell r="AB1289" t="str">
            <v>24AAECK6307M2ZE</v>
          </cell>
        </row>
        <row r="1290">
          <cell r="D1290" t="str">
            <v>K.P. Woven Pvt Ltd - Unit 3 -Sales</v>
          </cell>
          <cell r="AB1290" t="str">
            <v>24AAECK6307M2ZE</v>
          </cell>
        </row>
        <row r="1291">
          <cell r="D1291" t="str">
            <v>K.P. Woven Pvt Ltd-Sales</v>
          </cell>
          <cell r="AB1291" t="str">
            <v>24AAECK6307M1ZF</v>
          </cell>
        </row>
        <row r="1292">
          <cell r="D1292" t="str">
            <v>K.P. Woven Pvt Ltd-Sales</v>
          </cell>
          <cell r="AB1292" t="str">
            <v>24AAECK6307M1ZF</v>
          </cell>
        </row>
        <row r="1293">
          <cell r="D1293" t="str">
            <v>K.P. Woven Pvt Ltd-Sales</v>
          </cell>
          <cell r="AB1293" t="str">
            <v>24AAECK6307M1ZF</v>
          </cell>
        </row>
        <row r="1294">
          <cell r="D1294" t="str">
            <v>K.P. Woven Pvt Ltd-Sales</v>
          </cell>
          <cell r="AB1294" t="str">
            <v>24AAECK6307M1ZF</v>
          </cell>
        </row>
        <row r="1295">
          <cell r="D1295" t="str">
            <v>K.P. Woven Pvt Ltd-Sales</v>
          </cell>
          <cell r="AB1295" t="str">
            <v>24AAECK6307M1ZF</v>
          </cell>
        </row>
        <row r="1296">
          <cell r="D1296" t="str">
            <v>K.P. Woven Pvt Ltd-Sales</v>
          </cell>
          <cell r="AB1296" t="str">
            <v>24AAECK6307M1ZF</v>
          </cell>
        </row>
        <row r="1297">
          <cell r="D1297" t="str">
            <v>K.P. Woven Pvt Ltd-Sales</v>
          </cell>
          <cell r="AB1297" t="str">
            <v>24AAECK6307M1ZF</v>
          </cell>
        </row>
        <row r="1298">
          <cell r="D1298" t="str">
            <v>K.P. Woven Pvt Ltd-Sales</v>
          </cell>
          <cell r="AB1298" t="str">
            <v>24AAECK6307M1ZF</v>
          </cell>
        </row>
        <row r="1299">
          <cell r="D1299" t="str">
            <v>K.P. Woven Pvt Ltd-Sales</v>
          </cell>
          <cell r="AB1299" t="str">
            <v>24AAECK6307M1ZF</v>
          </cell>
        </row>
        <row r="1300">
          <cell r="D1300" t="str">
            <v>K.P. Woven Pvt Ltd-Sales</v>
          </cell>
          <cell r="AB1300" t="str">
            <v>24AAECK6307M1ZF</v>
          </cell>
        </row>
        <row r="1301">
          <cell r="D1301" t="str">
            <v>Plastene Polyfilms Ltd-Sales</v>
          </cell>
          <cell r="AB1301" t="str">
            <v>24AAFCP2956A1ZR</v>
          </cell>
        </row>
        <row r="1302">
          <cell r="D1302" t="str">
            <v>Plastene Polyfilms Ltd-Sales</v>
          </cell>
          <cell r="AB1302" t="str">
            <v>24AAFCP2956A1ZR</v>
          </cell>
        </row>
        <row r="1303">
          <cell r="D1303" t="str">
            <v>Plastene Polyfilms Ltd-Sales</v>
          </cell>
          <cell r="AB1303" t="str">
            <v>24AAFCP2956A1ZR</v>
          </cell>
        </row>
        <row r="1304">
          <cell r="D1304" t="str">
            <v>Plastene Polyfilms Ltd-Sales</v>
          </cell>
          <cell r="AB1304" t="str">
            <v>24AAFCP2956A1ZR</v>
          </cell>
        </row>
        <row r="1305">
          <cell r="D1305" t="str">
            <v>Plastene Polyfilms Ltd-Sales</v>
          </cell>
          <cell r="AB1305" t="str">
            <v>24AAFCP2956A1ZR</v>
          </cell>
        </row>
        <row r="1306">
          <cell r="D1306" t="str">
            <v>Plastene Polyfilms Ltd-Sales</v>
          </cell>
          <cell r="AB1306" t="str">
            <v>24AAFCP2956A1ZR</v>
          </cell>
        </row>
        <row r="1307">
          <cell r="D1307" t="str">
            <v>Plastene Polyfilms Ltd-Sales</v>
          </cell>
          <cell r="AB1307" t="str">
            <v>24AAFCP2956A1ZR</v>
          </cell>
        </row>
        <row r="1308">
          <cell r="D1308" t="str">
            <v>Plastene Polyfilms Ltd-Sales</v>
          </cell>
          <cell r="AB1308" t="str">
            <v>24AAFCP2956A1ZR</v>
          </cell>
        </row>
        <row r="1309">
          <cell r="D1309" t="str">
            <v>Hcp Plastene Bulkpack Ltd (Unit Iv) - Sales</v>
          </cell>
          <cell r="AB1309" t="str">
            <v>24AABCG1282C2Z6</v>
          </cell>
        </row>
        <row r="1310">
          <cell r="D1310" t="str">
            <v>Hcp Plastene Bulkpack Ltd (Unit Iv) - Sales</v>
          </cell>
          <cell r="AB1310" t="str">
            <v>24AABCG1282C2Z6</v>
          </cell>
        </row>
        <row r="1311">
          <cell r="D1311" t="str">
            <v>Hcp Plastene Bulkpack Ltd (Unit Iv) - Sales</v>
          </cell>
          <cell r="AB1311" t="str">
            <v>24AABCG1282C2Z6</v>
          </cell>
        </row>
        <row r="1312">
          <cell r="D1312" t="str">
            <v>Hcp Plastene Bulkpack Ltd (Unit Iv) - Sales</v>
          </cell>
          <cell r="AB1312" t="str">
            <v>24AABCG1282C2Z6</v>
          </cell>
        </row>
        <row r="1313">
          <cell r="D1313" t="str">
            <v>Hcp Plastene Bulkpack Ltd (Unit Iv) - Sales</v>
          </cell>
          <cell r="AB1313" t="str">
            <v>24AABCG1282C2Z6</v>
          </cell>
        </row>
        <row r="1314">
          <cell r="D1314" t="str">
            <v>Hcp Plastene Bulkpack Ltd (Unit Iv) - Sales</v>
          </cell>
          <cell r="AB1314" t="str">
            <v>24AABCG1282C2Z6</v>
          </cell>
        </row>
        <row r="1315">
          <cell r="D1315" t="str">
            <v>Hcp Plastene Bulkpack Ltd (Unit Iv) - Sales</v>
          </cell>
          <cell r="AB1315" t="str">
            <v>24AABCG1282C2Z6</v>
          </cell>
        </row>
        <row r="1316">
          <cell r="D1316" t="str">
            <v>K.P. Woven Pvt Ltd - Unit 3 -Sales</v>
          </cell>
          <cell r="AB1316" t="str">
            <v>24AAECK6307M2ZE</v>
          </cell>
        </row>
        <row r="1317">
          <cell r="D1317" t="str">
            <v>K.P. Woven Pvt Ltd - Unit 3 -Sales</v>
          </cell>
          <cell r="AB1317" t="str">
            <v>24AAECK6307M2ZE</v>
          </cell>
        </row>
        <row r="1318">
          <cell r="D1318" t="str">
            <v>K.P. Woven Pvt Ltd - Unit 3 -Sales</v>
          </cell>
          <cell r="AB1318" t="str">
            <v>24AAECK6307M2ZE</v>
          </cell>
        </row>
        <row r="1319">
          <cell r="D1319" t="str">
            <v>K.P. Woven Pvt Ltd - Unit 3 -Sales</v>
          </cell>
          <cell r="AB1319" t="str">
            <v>24AAECK6307M2ZE</v>
          </cell>
        </row>
        <row r="1320">
          <cell r="D1320" t="str">
            <v>K.P. Woven Pvt Ltd-Sales</v>
          </cell>
          <cell r="AB1320" t="str">
            <v>24AAECK6307M1ZF</v>
          </cell>
        </row>
        <row r="1321">
          <cell r="D1321" t="str">
            <v>K.P. Woven Pvt Ltd-Sales</v>
          </cell>
          <cell r="AB1321" t="str">
            <v>24AAECK6307M1ZF</v>
          </cell>
        </row>
        <row r="1322">
          <cell r="D1322" t="str">
            <v>K.P. Woven Pvt Ltd-Sales</v>
          </cell>
          <cell r="AB1322" t="str">
            <v>24AAECK6307M1ZF</v>
          </cell>
        </row>
        <row r="1323">
          <cell r="D1323" t="str">
            <v>K.P. Woven Pvt Ltd-Sales</v>
          </cell>
          <cell r="AB1323" t="str">
            <v>24AAECK6307M1ZF</v>
          </cell>
        </row>
        <row r="1324">
          <cell r="D1324" t="str">
            <v>K.P. Woven Pvt Ltd-Sales</v>
          </cell>
          <cell r="AB1324" t="str">
            <v>24AAECK6307M1ZF</v>
          </cell>
        </row>
        <row r="1325">
          <cell r="D1325" t="str">
            <v>Plastene Polyfilms Ltd-Sales</v>
          </cell>
          <cell r="AB1325" t="str">
            <v>24AAFCP2956A1ZR</v>
          </cell>
        </row>
        <row r="1326">
          <cell r="D1326" t="str">
            <v>Plastene Polyfilms Ltd-Sales</v>
          </cell>
          <cell r="AB1326" t="str">
            <v>24AAFCP2956A1ZR</v>
          </cell>
        </row>
        <row r="1327">
          <cell r="D1327" t="str">
            <v>Plastene Polyfilms Ltd-Sales</v>
          </cell>
          <cell r="AB1327" t="str">
            <v>24AAFCP2956A1ZR</v>
          </cell>
        </row>
        <row r="1328">
          <cell r="D1328" t="str">
            <v>Plastene Polyfilms Ltd-Sales</v>
          </cell>
          <cell r="AB1328" t="str">
            <v>24AAFCP2956A1ZR</v>
          </cell>
        </row>
        <row r="1329">
          <cell r="D1329" t="str">
            <v>Plastene Polyfilms Ltd-Sales</v>
          </cell>
          <cell r="AB1329" t="str">
            <v>24AAFCP2956A1ZR</v>
          </cell>
        </row>
        <row r="1330">
          <cell r="D1330" t="str">
            <v>Plastene Polyfilms Ltd-Sales</v>
          </cell>
          <cell r="AB1330" t="str">
            <v>24AAFCP2956A1ZR</v>
          </cell>
        </row>
        <row r="1331">
          <cell r="D1331" t="str">
            <v>Plastene Polyfilms Ltd-Sales</v>
          </cell>
          <cell r="AB1331" t="str">
            <v>24AAFCP2956A1ZR</v>
          </cell>
        </row>
        <row r="1332">
          <cell r="D1332" t="str">
            <v>Plastene Polyfilms Ltd-Sales</v>
          </cell>
          <cell r="AB1332" t="str">
            <v>24AAFCP2956A1ZR</v>
          </cell>
        </row>
        <row r="1333">
          <cell r="D1333" t="str">
            <v>Plastene Polyfilms Ltd-Sales</v>
          </cell>
          <cell r="AB1333" t="str">
            <v>24AAFCP2956A1ZR</v>
          </cell>
        </row>
        <row r="1334">
          <cell r="D1334" t="str">
            <v>FPS Flexibles UK Ltd</v>
          </cell>
          <cell r="AB1334" t="str">
            <v>N.A.</v>
          </cell>
        </row>
        <row r="1335">
          <cell r="D1335" t="str">
            <v>HCP Plastene Bulkpack Limited - Sales</v>
          </cell>
          <cell r="AB1335" t="str">
            <v>24AABCG1282C2Z6</v>
          </cell>
        </row>
        <row r="1336">
          <cell r="D1336" t="str">
            <v>HCP Plastene Bulkpack Limited - Sales</v>
          </cell>
          <cell r="AB1336" t="str">
            <v>24AABCG1282C2Z6</v>
          </cell>
        </row>
        <row r="1337">
          <cell r="D1337" t="str">
            <v>HCP Plastene Bulkpack Limited - Sales</v>
          </cell>
          <cell r="AB1337" t="str">
            <v>24AABCG1282C2Z6</v>
          </cell>
        </row>
        <row r="1338">
          <cell r="D1338" t="str">
            <v>HCP Plastene Bulkpack Limited - Sales</v>
          </cell>
          <cell r="AB1338" t="str">
            <v>24AABCG1282C2Z6</v>
          </cell>
        </row>
        <row r="1339">
          <cell r="D1339" t="str">
            <v>HCP Plastene Bulkpack Limited - Sales</v>
          </cell>
          <cell r="AB1339" t="str">
            <v>24AABCG1282C2Z6</v>
          </cell>
        </row>
        <row r="1340">
          <cell r="D1340" t="str">
            <v>HCP Plastene Bulkpack Limited - Sales</v>
          </cell>
          <cell r="AB1340" t="str">
            <v>24AABCG1282C2Z6</v>
          </cell>
        </row>
        <row r="1341">
          <cell r="D1341" t="str">
            <v>Hcp Plastene Bulkpack Ltd (Unit Iv) - Sales</v>
          </cell>
          <cell r="AB1341" t="str">
            <v>24AABCG1282C2Z6</v>
          </cell>
        </row>
        <row r="1342">
          <cell r="D1342" t="str">
            <v>Hcp Plastene Bulkpack Ltd (Unit Iv) - Sales</v>
          </cell>
          <cell r="AB1342" t="str">
            <v>24AABCG1282C2Z6</v>
          </cell>
        </row>
        <row r="1343">
          <cell r="D1343" t="str">
            <v>Hcp Plastene Bulkpack Ltd (Unit Iv) - Sales</v>
          </cell>
          <cell r="AB1343" t="str">
            <v>24AABCG1282C2Z6</v>
          </cell>
        </row>
        <row r="1344">
          <cell r="D1344" t="str">
            <v>Hcp Plastene Bulkpack Ltd (Unit Iv) - Sales</v>
          </cell>
          <cell r="AB1344" t="str">
            <v>24AABCG1282C2Z6</v>
          </cell>
        </row>
        <row r="1345">
          <cell r="D1345" t="str">
            <v>Hcp Plastene Bulkpack Ltd (Unit Iv) - Sales</v>
          </cell>
          <cell r="AB1345" t="str">
            <v>24AABCG1282C2Z6</v>
          </cell>
        </row>
        <row r="1346">
          <cell r="D1346" t="str">
            <v>Hcp Plastene Bulkpack Ltd (Unit Iv) - Sales</v>
          </cell>
          <cell r="AB1346" t="str">
            <v>24AABCG1282C2Z6</v>
          </cell>
        </row>
        <row r="1347">
          <cell r="D1347" t="str">
            <v>Hcp Plastene Bulkpack Ltd (Unit Iv) - Sales</v>
          </cell>
          <cell r="AB1347" t="str">
            <v>24AABCG1282C2Z6</v>
          </cell>
        </row>
        <row r="1348">
          <cell r="D1348" t="str">
            <v>K.P. Woven Pvt Ltd - Unit 3 -Sales</v>
          </cell>
          <cell r="AB1348" t="str">
            <v>24AAECK6307M2ZE</v>
          </cell>
        </row>
        <row r="1349">
          <cell r="D1349" t="str">
            <v>K.P. Woven Pvt Ltd - Unit 3 -Sales</v>
          </cell>
          <cell r="AB1349" t="str">
            <v>24AAECK6307M2ZE</v>
          </cell>
        </row>
        <row r="1350">
          <cell r="D1350" t="str">
            <v>K.P. Woven Pvt Ltd - Unit 3 -Sales</v>
          </cell>
          <cell r="AB1350" t="str">
            <v>24AAECK6307M2ZE</v>
          </cell>
        </row>
        <row r="1351">
          <cell r="D1351" t="str">
            <v>K.P. Woven Pvt Ltd - Unit 3 -Sales</v>
          </cell>
          <cell r="AB1351" t="str">
            <v>24AAECK6307M2ZE</v>
          </cell>
        </row>
        <row r="1352">
          <cell r="D1352" t="str">
            <v>K.P. Woven Pvt Ltd - Unit 3 -Sales</v>
          </cell>
          <cell r="AB1352" t="str">
            <v>24AAECK6307M2ZE</v>
          </cell>
        </row>
        <row r="1353">
          <cell r="D1353" t="str">
            <v>K.P. Woven Pvt Ltd-Sales</v>
          </cell>
          <cell r="AB1353" t="str">
            <v>24AAECK6307M1ZF</v>
          </cell>
        </row>
        <row r="1354">
          <cell r="D1354" t="str">
            <v>K.P. Woven Pvt Ltd-Sales</v>
          </cell>
          <cell r="AB1354" t="str">
            <v>24AAECK6307M1ZF</v>
          </cell>
        </row>
        <row r="1355">
          <cell r="D1355" t="str">
            <v>K.P. Woven Pvt Ltd-Sales</v>
          </cell>
          <cell r="AB1355" t="str">
            <v>24AAECK6307M1ZF</v>
          </cell>
        </row>
        <row r="1356">
          <cell r="D1356" t="str">
            <v>K.P. Woven Pvt Ltd-Sales</v>
          </cell>
          <cell r="AB1356" t="str">
            <v>24AAECK6307M1ZF</v>
          </cell>
        </row>
        <row r="1357">
          <cell r="D1357" t="str">
            <v>K.P. Woven Pvt Ltd-Sales</v>
          </cell>
          <cell r="AB1357" t="str">
            <v>24AAECK6307M1ZF</v>
          </cell>
        </row>
        <row r="1358">
          <cell r="D1358" t="str">
            <v>Madi Sp. z.o.o.</v>
          </cell>
          <cell r="AB1358" t="str">
            <v>N.A.</v>
          </cell>
        </row>
        <row r="1359">
          <cell r="D1359" t="str">
            <v>Madi Sp. z.o.o.</v>
          </cell>
          <cell r="AB1359" t="str">
            <v>N.A.</v>
          </cell>
        </row>
        <row r="1360">
          <cell r="D1360" t="str">
            <v>Plastene Polyfilms Ltd-Sales</v>
          </cell>
          <cell r="AB1360" t="str">
            <v>24AAFCP2956A1ZR</v>
          </cell>
        </row>
        <row r="1361">
          <cell r="D1361" t="str">
            <v>Plastene Polyfilms Ltd-Sales</v>
          </cell>
          <cell r="AB1361" t="str">
            <v>24AAFCP2956A1ZR</v>
          </cell>
        </row>
        <row r="1362">
          <cell r="D1362" t="str">
            <v>Plastene Polyfilms Ltd-Sales</v>
          </cell>
          <cell r="AB1362" t="str">
            <v>24AAFCP2956A1ZR</v>
          </cell>
        </row>
        <row r="1363">
          <cell r="D1363" t="str">
            <v>Plastene Polyfilms Ltd-Sales</v>
          </cell>
          <cell r="AB1363" t="str">
            <v>24AAFCP2956A1ZR</v>
          </cell>
        </row>
        <row r="1364">
          <cell r="D1364" t="str">
            <v>Plastene Polyfilms Ltd-Sales</v>
          </cell>
          <cell r="AB1364" t="str">
            <v>24AAFCP2956A1ZR</v>
          </cell>
        </row>
        <row r="1365">
          <cell r="D1365" t="str">
            <v>Plastene Polyfilms Ltd-Sales</v>
          </cell>
          <cell r="AB1365" t="str">
            <v>24AAFCP2956A1ZR</v>
          </cell>
        </row>
        <row r="1366">
          <cell r="D1366" t="str">
            <v>Plastene Polyfilms Ltd-Sales</v>
          </cell>
          <cell r="AB1366" t="str">
            <v>24AAFCP2956A1ZR</v>
          </cell>
        </row>
        <row r="1367">
          <cell r="D1367" t="str">
            <v>Plastene Polyfilms Ltd-Sales</v>
          </cell>
          <cell r="AB1367" t="str">
            <v>24AAFCP2956A1ZR</v>
          </cell>
        </row>
        <row r="1368">
          <cell r="D1368" t="str">
            <v>Plastene Polyfilms Ltd-Sales</v>
          </cell>
          <cell r="AB1368" t="str">
            <v>24AAFCP2956A1ZR</v>
          </cell>
        </row>
        <row r="1369">
          <cell r="D1369" t="str">
            <v>Plastene Polyfilms Ltd-Sales</v>
          </cell>
          <cell r="AB1369" t="str">
            <v>24AAFCP2956A1ZR</v>
          </cell>
        </row>
        <row r="1370">
          <cell r="D1370" t="str">
            <v>20 Microns Limited</v>
          </cell>
          <cell r="AB1370" t="str">
            <v>24AAACZ0580B1ZS</v>
          </cell>
        </row>
        <row r="1371">
          <cell r="D1371" t="str">
            <v>20 Microns Limited</v>
          </cell>
          <cell r="AB1371" t="str">
            <v>24AAACZ0580B1ZS</v>
          </cell>
        </row>
        <row r="1372">
          <cell r="D1372" t="str">
            <v>Durjaya Estates Private Limited</v>
          </cell>
          <cell r="AB1372" t="str">
            <v>27AAECD5015D1Z4</v>
          </cell>
        </row>
        <row r="1373">
          <cell r="D1373" t="str">
            <v>Hcp Plastene Bulkpack Ltd (Unit Iv) - Sales</v>
          </cell>
          <cell r="AB1373" t="str">
            <v>24AABCG1282C2Z6</v>
          </cell>
        </row>
        <row r="1374">
          <cell r="D1374" t="str">
            <v>Hcp Plastene Bulkpack Ltd (Unit Iv) - Sales</v>
          </cell>
          <cell r="AB1374" t="str">
            <v>24AABCG1282C2Z6</v>
          </cell>
        </row>
        <row r="1375">
          <cell r="D1375" t="str">
            <v>Hcp Plastene Bulkpack Ltd (Unit Iv) - Sales</v>
          </cell>
          <cell r="AB1375" t="str">
            <v>24AABCG1282C2Z6</v>
          </cell>
        </row>
        <row r="1376">
          <cell r="D1376" t="str">
            <v>Hcp Plastene Bulkpack Ltd (Unit Iv) - Sales</v>
          </cell>
          <cell r="AB1376" t="str">
            <v>24AABCG1282C2Z6</v>
          </cell>
        </row>
        <row r="1377">
          <cell r="D1377" t="str">
            <v>Hcp Plastene Bulkpack Ltd (Unit Iv) - Sales</v>
          </cell>
          <cell r="AB1377" t="str">
            <v>24AABCG1282C2Z6</v>
          </cell>
        </row>
        <row r="1378">
          <cell r="D1378" t="str">
            <v>Hcp Plastene Bulkpack Ltd (Unit Iv) - Sales</v>
          </cell>
          <cell r="AB1378" t="str">
            <v>24AABCG1282C2Z6</v>
          </cell>
        </row>
        <row r="1379">
          <cell r="D1379" t="str">
            <v>Hcp Plastene Bulkpack Ltd (Unit Iv) - Sales</v>
          </cell>
          <cell r="AB1379" t="str">
            <v>24AABCG1282C2Z6</v>
          </cell>
        </row>
        <row r="1380">
          <cell r="D1380" t="str">
            <v>Hcp Plastene Bulkpack Ltd (Unit Iv) - Sales</v>
          </cell>
          <cell r="AB1380" t="str">
            <v>24AABCG1282C2Z6</v>
          </cell>
        </row>
        <row r="1381">
          <cell r="D1381" t="str">
            <v>Hcp Plastene Bulkpack Ltd (Unit Iv) - Sales</v>
          </cell>
          <cell r="AB1381" t="str">
            <v>24AABCG1282C2Z6</v>
          </cell>
        </row>
        <row r="1382">
          <cell r="D1382" t="str">
            <v>Jain Bulk Pack - Ahmedabad</v>
          </cell>
          <cell r="AB1382" t="str">
            <v>24AFOPG7793M1ZO</v>
          </cell>
        </row>
        <row r="1383">
          <cell r="D1383" t="str">
            <v>Jain Bulk Pack - Ahmedabad</v>
          </cell>
          <cell r="AB1383" t="str">
            <v>24AFOPG7793M1ZO</v>
          </cell>
        </row>
        <row r="1384">
          <cell r="D1384" t="str">
            <v>Jain Bulk Pack - Ahmedabad</v>
          </cell>
          <cell r="AB1384" t="str">
            <v>24AFOPG7793M1ZO</v>
          </cell>
        </row>
        <row r="1385">
          <cell r="D1385" t="str">
            <v>Jain Bulk Pack - Ahmedabad</v>
          </cell>
          <cell r="AB1385" t="str">
            <v>24AFOPG7793M1ZO</v>
          </cell>
        </row>
        <row r="1386">
          <cell r="D1386" t="str">
            <v>Juta A.S.</v>
          </cell>
          <cell r="AB1386" t="str">
            <v>N.A.</v>
          </cell>
        </row>
        <row r="1387">
          <cell r="D1387" t="str">
            <v>K.P. Woven Pvt Ltd - Unit 3 -Sales</v>
          </cell>
          <cell r="AB1387" t="str">
            <v>24AAECK6307M2ZE</v>
          </cell>
        </row>
        <row r="1388">
          <cell r="D1388" t="str">
            <v>Plastene Polyfilms Ltd-Sales</v>
          </cell>
          <cell r="AB1388" t="str">
            <v>24AAFCP2956A1ZR</v>
          </cell>
        </row>
        <row r="1389">
          <cell r="D1389" t="str">
            <v>Plastene Polyfilms Ltd-Sales</v>
          </cell>
          <cell r="AB1389" t="str">
            <v>24AAFCP2956A1ZR</v>
          </cell>
        </row>
        <row r="1390">
          <cell r="D1390" t="str">
            <v>Plastene Polyfilms Ltd-Sales</v>
          </cell>
          <cell r="AB1390" t="str">
            <v>24AAFCP2956A1ZR</v>
          </cell>
        </row>
        <row r="1391">
          <cell r="D1391" t="str">
            <v>Plastene Polyfilms Ltd-Sales</v>
          </cell>
          <cell r="AB1391" t="str">
            <v>24AAFCP2956A1ZR</v>
          </cell>
        </row>
        <row r="1392">
          <cell r="D1392" t="str">
            <v>Plastene Polyfilms Ltd-Sales</v>
          </cell>
          <cell r="AB1392" t="str">
            <v>24AAFCP2956A1ZR</v>
          </cell>
        </row>
        <row r="1393">
          <cell r="D1393" t="str">
            <v>Plastene Polyfilms Ltd-Sales</v>
          </cell>
          <cell r="AB1393" t="str">
            <v>24AAFCP2956A1ZR</v>
          </cell>
        </row>
        <row r="1394">
          <cell r="D1394" t="str">
            <v>Plastene Polyfilms Ltd-Sales</v>
          </cell>
          <cell r="AB1394" t="str">
            <v>24AAFCP2956A1ZR</v>
          </cell>
        </row>
        <row r="1395">
          <cell r="D1395" t="str">
            <v>Plastene Polyfilms Ltd-Sales</v>
          </cell>
          <cell r="AB1395" t="str">
            <v>24AAFCP2956A1ZR</v>
          </cell>
        </row>
        <row r="1396">
          <cell r="D1396" t="str">
            <v>Plastene Polyfilms Ltd-Sales</v>
          </cell>
          <cell r="AB1396" t="str">
            <v>24AAFCP2956A1ZR</v>
          </cell>
        </row>
        <row r="1397">
          <cell r="D1397" t="str">
            <v>Plastene Polyfilms Ltd-Sales</v>
          </cell>
          <cell r="AB1397" t="str">
            <v>24AAFCP2956A1ZR</v>
          </cell>
        </row>
        <row r="1398">
          <cell r="D1398" t="str">
            <v>HCP Plastene Bulkpack Limited - Sales</v>
          </cell>
          <cell r="AB1398" t="str">
            <v>24AABCG1282C2Z6</v>
          </cell>
        </row>
        <row r="1399">
          <cell r="D1399" t="str">
            <v>HCP Plastene Bulkpack Limited - Sales</v>
          </cell>
          <cell r="AB1399" t="str">
            <v>24AABCG1282C2Z6</v>
          </cell>
        </row>
        <row r="1400">
          <cell r="D1400" t="str">
            <v>HCP Plastene Bulkpack Limited - Sales</v>
          </cell>
          <cell r="AB1400" t="str">
            <v>24AABCG1282C2Z6</v>
          </cell>
        </row>
        <row r="1401">
          <cell r="D1401" t="str">
            <v>Hcp Plastene Bulkpack Ltd (Unit Iv) - Sales</v>
          </cell>
          <cell r="AB1401" t="str">
            <v>24AABCG1282C2Z6</v>
          </cell>
        </row>
        <row r="1402">
          <cell r="D1402" t="str">
            <v>Hcp Plastene Bulkpack Ltd (Unit Iv) - Sales</v>
          </cell>
          <cell r="AB1402" t="str">
            <v>24AABCG1282C2Z6</v>
          </cell>
        </row>
        <row r="1403">
          <cell r="D1403" t="str">
            <v>Hcp Plastene Bulkpack Ltd (Unit Iv) - Sales</v>
          </cell>
          <cell r="AB1403" t="str">
            <v>24AABCG1282C2Z6</v>
          </cell>
        </row>
        <row r="1404">
          <cell r="D1404" t="str">
            <v>Hcp Plastene Bulkpack Ltd (Unit Iv) - Sales</v>
          </cell>
          <cell r="AB1404" t="str">
            <v>24AABCG1282C2Z6</v>
          </cell>
        </row>
        <row r="1405">
          <cell r="D1405" t="str">
            <v>Hcp Plastene Bulkpack Ltd (Unit Iv) - Sales</v>
          </cell>
          <cell r="AB1405" t="str">
            <v>24AABCG1282C2Z6</v>
          </cell>
        </row>
        <row r="1406">
          <cell r="D1406" t="str">
            <v>Hcp Plastene Bulkpack Ltd (Unit Iv) - Sales</v>
          </cell>
          <cell r="AB1406" t="str">
            <v>24AABCG1282C2Z6</v>
          </cell>
        </row>
        <row r="1407">
          <cell r="D1407" t="str">
            <v>Hcp Plastene Bulkpack Ltd (Unit Iv) - Sales</v>
          </cell>
          <cell r="AB1407" t="str">
            <v>24AABCG1282C2Z6</v>
          </cell>
        </row>
        <row r="1408">
          <cell r="D1408" t="str">
            <v>Hcp Plastene Bulkpack Ltd (Unit Iv) - Sales</v>
          </cell>
          <cell r="AB1408" t="str">
            <v>24AABCG1282C2Z6</v>
          </cell>
        </row>
        <row r="1409">
          <cell r="D1409" t="str">
            <v>Hcp Plastene Bulkpack Ltd (Unit Iv) - Sales</v>
          </cell>
          <cell r="AB1409" t="str">
            <v>24AABCG1282C2Z6</v>
          </cell>
        </row>
        <row r="1410">
          <cell r="D1410" t="str">
            <v>Jain Bulk Pack - Ahmedabad</v>
          </cell>
          <cell r="AB1410" t="str">
            <v>24AFOPG7793M1ZO</v>
          </cell>
        </row>
        <row r="1411">
          <cell r="D1411" t="str">
            <v>K.P. Woven Pvt Ltd - Unit 3 -Sales</v>
          </cell>
          <cell r="AB1411" t="str">
            <v>24AAECK6307M2ZE</v>
          </cell>
        </row>
        <row r="1412">
          <cell r="D1412" t="str">
            <v>K.P. Woven Pvt Ltd - Unit 3 -Sales</v>
          </cell>
          <cell r="AB1412" t="str">
            <v>24AAECK6307M2ZE</v>
          </cell>
        </row>
        <row r="1413">
          <cell r="D1413" t="str">
            <v>K.P. Woven Pvt Ltd - Unit 3 -Sales</v>
          </cell>
          <cell r="AB1413" t="str">
            <v>24AAECK6307M2ZE</v>
          </cell>
        </row>
        <row r="1414">
          <cell r="D1414" t="str">
            <v>LC Packaging Ireland Ltd</v>
          </cell>
          <cell r="AB1414" t="str">
            <v>N.A.</v>
          </cell>
        </row>
        <row r="1415">
          <cell r="D1415" t="str">
            <v>Lionel Samson Packaging Co Pty Ltd.</v>
          </cell>
          <cell r="AB1415" t="str">
            <v>N.A.</v>
          </cell>
        </row>
        <row r="1416">
          <cell r="D1416" t="str">
            <v>Lionel Samson Packaging Co Pty Ltd.</v>
          </cell>
          <cell r="AB1416" t="str">
            <v>N.A.</v>
          </cell>
        </row>
        <row r="1417">
          <cell r="D1417" t="str">
            <v>Plastene Polyfilms Ltd-Sales</v>
          </cell>
          <cell r="AB1417" t="str">
            <v>24AAFCP2956A1ZR</v>
          </cell>
        </row>
        <row r="1418">
          <cell r="D1418" t="str">
            <v>Plastene Polyfilms Ltd-Sales</v>
          </cell>
          <cell r="AB1418" t="str">
            <v>24AAFCP2956A1ZR</v>
          </cell>
        </row>
        <row r="1419">
          <cell r="D1419" t="str">
            <v>Plastene Polyfilms Ltd-Sales</v>
          </cell>
          <cell r="AB1419" t="str">
            <v>24AAFCP2956A1ZR</v>
          </cell>
        </row>
        <row r="1420">
          <cell r="D1420" t="str">
            <v>Plastene Polyfilms Ltd-Sales</v>
          </cell>
          <cell r="AB1420" t="str">
            <v>24AAFCP2956A1ZR</v>
          </cell>
        </row>
        <row r="1421">
          <cell r="D1421" t="str">
            <v>Plastene Polyfilms Ltd-Sales</v>
          </cell>
          <cell r="AB1421" t="str">
            <v>24AAFCP2956A1ZR</v>
          </cell>
        </row>
        <row r="1422">
          <cell r="D1422" t="str">
            <v>Plastene Polyfilms Ltd-Sales</v>
          </cell>
          <cell r="AB1422" t="str">
            <v>24AAFCP2956A1ZR</v>
          </cell>
        </row>
        <row r="1423">
          <cell r="D1423" t="str">
            <v>Plastene Polyfilms Ltd-Sales</v>
          </cell>
          <cell r="AB1423" t="str">
            <v>24AAFCP2956A1ZR</v>
          </cell>
        </row>
        <row r="1424">
          <cell r="D1424" t="str">
            <v>Plastene Polyfilms Ltd-Sales</v>
          </cell>
          <cell r="AB1424" t="str">
            <v>24AAFCP2956A1ZR</v>
          </cell>
        </row>
        <row r="1425">
          <cell r="D1425" t="str">
            <v>Plastene Polyfilms Ltd-Sales</v>
          </cell>
          <cell r="AB1425" t="str">
            <v>24AAFCP2956A1ZR</v>
          </cell>
        </row>
        <row r="1426">
          <cell r="D1426" t="str">
            <v>Fibco Plastic Industry Llc</v>
          </cell>
          <cell r="AB1426" t="str">
            <v>N.A.</v>
          </cell>
        </row>
        <row r="1427">
          <cell r="D1427" t="str">
            <v>Fibco Plastic Industry Llc</v>
          </cell>
          <cell r="AB1427" t="str">
            <v>N.A.</v>
          </cell>
        </row>
        <row r="1428">
          <cell r="D1428" t="str">
            <v>Fibco Plastic Industry Llc</v>
          </cell>
          <cell r="AB1428" t="str">
            <v>N.A.</v>
          </cell>
        </row>
        <row r="1429">
          <cell r="D1429" t="str">
            <v>Fibco Plastic Industry Llc</v>
          </cell>
          <cell r="AB1429" t="str">
            <v>N.A.</v>
          </cell>
        </row>
        <row r="1430">
          <cell r="D1430" t="str">
            <v>Fibco Plastic Industry Llc</v>
          </cell>
          <cell r="AB1430" t="str">
            <v>N.A.</v>
          </cell>
        </row>
        <row r="1431">
          <cell r="D1431" t="str">
            <v>HCP Plastene Bulkpack Limited - Sales</v>
          </cell>
          <cell r="AB1431" t="str">
            <v>24AABCG1282C2Z6</v>
          </cell>
        </row>
        <row r="1432">
          <cell r="D1432" t="str">
            <v>HCP Plastene Bulkpack Limited - Sales</v>
          </cell>
          <cell r="AB1432" t="str">
            <v>24AABCG1282C2Z6</v>
          </cell>
        </row>
        <row r="1433">
          <cell r="D1433" t="str">
            <v>Hcp Plastene Bulkpack Ltd (Unit Iv) - Sales</v>
          </cell>
          <cell r="AB1433" t="str">
            <v>24AABCG1282C2Z6</v>
          </cell>
        </row>
        <row r="1434">
          <cell r="D1434" t="str">
            <v>Hcp Plastene Bulkpack Ltd (Unit Iv) - Sales</v>
          </cell>
          <cell r="AB1434" t="str">
            <v>24AABCG1282C2Z6</v>
          </cell>
        </row>
        <row r="1435">
          <cell r="D1435" t="str">
            <v>Hcp Plastene Bulkpack Ltd (Unit Iv) - Sales</v>
          </cell>
          <cell r="AB1435" t="str">
            <v>24AABCG1282C2Z6</v>
          </cell>
        </row>
        <row r="1436">
          <cell r="D1436" t="str">
            <v>Hcp Plastene Bulkpack Ltd (Unit Iv) - Sales</v>
          </cell>
          <cell r="AB1436" t="str">
            <v>24AABCG1282C2Z6</v>
          </cell>
        </row>
        <row r="1437">
          <cell r="D1437" t="str">
            <v>Hcp Plastene Bulkpack Ltd (Unit Iv) - Sales</v>
          </cell>
          <cell r="AB1437" t="str">
            <v>24AABCG1282C2Z6</v>
          </cell>
        </row>
        <row r="1438">
          <cell r="D1438" t="str">
            <v>Hcp Plastene Bulkpack Ltd (Unit Iv) - Sales</v>
          </cell>
          <cell r="AB1438" t="str">
            <v>24AABCG1282C2Z6</v>
          </cell>
        </row>
        <row r="1439">
          <cell r="D1439" t="str">
            <v>Hcp Plastene Bulkpack Ltd (Unit Iv) - Sales</v>
          </cell>
          <cell r="AB1439" t="str">
            <v>24AABCG1282C2Z6</v>
          </cell>
        </row>
        <row r="1440">
          <cell r="D1440" t="str">
            <v>Hcp Plastene Bulkpack Ltd (Unit Iv) - Sales</v>
          </cell>
          <cell r="AB1440" t="str">
            <v>24AABCG1282C2Z6</v>
          </cell>
        </row>
        <row r="1441">
          <cell r="D1441" t="str">
            <v>Hcp Plastene Bulkpack Ltd (Unit Iv) - Sales</v>
          </cell>
          <cell r="AB1441" t="str">
            <v>24AABCG1282C2Z6</v>
          </cell>
        </row>
        <row r="1442">
          <cell r="D1442" t="str">
            <v>Hcp Plastene Bulkpack Ltd (Unit Iv) - Sales</v>
          </cell>
          <cell r="AB1442" t="str">
            <v>24AABCG1282C2Z6</v>
          </cell>
        </row>
        <row r="1443">
          <cell r="D1443" t="str">
            <v>Hcp Plastene Bulkpack Ltd (Unit Iv) - Sales</v>
          </cell>
          <cell r="AB1443" t="str">
            <v>24AABCG1282C2Z6</v>
          </cell>
        </row>
        <row r="1444">
          <cell r="D1444" t="str">
            <v>Hcp Plastene Bulkpack Ltd (Unit Iv) - Sales</v>
          </cell>
          <cell r="AB1444" t="str">
            <v>24AABCG1282C2Z6</v>
          </cell>
        </row>
        <row r="1445">
          <cell r="D1445" t="str">
            <v>Hcp Plastene Bulkpack Ltd (Unit Iv) - Sales</v>
          </cell>
          <cell r="AB1445" t="str">
            <v>24AABCG1282C2Z6</v>
          </cell>
        </row>
        <row r="1446">
          <cell r="D1446" t="str">
            <v>K.P. Woven Pvt Ltd-Sales</v>
          </cell>
          <cell r="AB1446" t="str">
            <v>24AAECK6307M1ZF</v>
          </cell>
        </row>
        <row r="1447">
          <cell r="D1447" t="str">
            <v>K.P. Woven Pvt Ltd-Sales</v>
          </cell>
          <cell r="AB1447" t="str">
            <v>24AAECK6307M1ZF</v>
          </cell>
        </row>
        <row r="1448">
          <cell r="D1448" t="str">
            <v>K.P. Woven Pvt Ltd-Sales</v>
          </cell>
          <cell r="AB1448" t="str">
            <v>24AAECK6307M1ZF</v>
          </cell>
        </row>
        <row r="1449">
          <cell r="D1449" t="str">
            <v>Plastene Polyfilms Ltd-Sales</v>
          </cell>
          <cell r="AB1449" t="str">
            <v>24AAFCP2956A1ZR</v>
          </cell>
        </row>
        <row r="1450">
          <cell r="D1450" t="str">
            <v>Plastene Polyfilms Ltd-Sales</v>
          </cell>
          <cell r="AB1450" t="str">
            <v>24AAFCP2956A1ZR</v>
          </cell>
        </row>
        <row r="1451">
          <cell r="D1451" t="str">
            <v>Plastene Polyfilms Ltd-Sales</v>
          </cell>
          <cell r="AB1451" t="str">
            <v>24AAFCP2956A1ZR</v>
          </cell>
        </row>
        <row r="1452">
          <cell r="D1452" t="str">
            <v>Plastene Polyfilms Ltd-Sales</v>
          </cell>
          <cell r="AB1452" t="str">
            <v>24AAFCP2956A1ZR</v>
          </cell>
        </row>
        <row r="1453">
          <cell r="D1453" t="str">
            <v>Plastene Polyfilms Ltd-Sales</v>
          </cell>
          <cell r="AB1453" t="str">
            <v>24AAFCP2956A1ZR</v>
          </cell>
        </row>
        <row r="1454">
          <cell r="D1454" t="str">
            <v>Plastene Polyfilms Ltd-Sales</v>
          </cell>
          <cell r="AB1454" t="str">
            <v>24AAFCP2956A1ZR</v>
          </cell>
        </row>
        <row r="1455">
          <cell r="D1455" t="str">
            <v>Plastene Polyfilms Ltd-Sales</v>
          </cell>
          <cell r="AB1455" t="str">
            <v>24AAFCP2956A1ZR</v>
          </cell>
        </row>
        <row r="1456">
          <cell r="D1456" t="str">
            <v>Plastene Polyfilms Ltd-Sales</v>
          </cell>
          <cell r="AB1456" t="str">
            <v>24AAFCP2956A1ZR</v>
          </cell>
        </row>
        <row r="1457">
          <cell r="D1457" t="str">
            <v>Plastene Polyfilms Ltd-Sales</v>
          </cell>
          <cell r="AB1457" t="str">
            <v>24AAFCP2956A1ZR</v>
          </cell>
        </row>
        <row r="1458">
          <cell r="D1458" t="str">
            <v>Rafia Industrial S.A.</v>
          </cell>
          <cell r="AB1458" t="str">
            <v>N.A.</v>
          </cell>
        </row>
        <row r="1459">
          <cell r="D1459" t="str">
            <v>Hcp Plastene Bulkpack Ltd (Unit Iv) - Sales</v>
          </cell>
          <cell r="AB1459" t="str">
            <v>24AABCG1282C2Z6</v>
          </cell>
        </row>
        <row r="1460">
          <cell r="D1460" t="str">
            <v>Hcp Plastene Bulkpack Ltd (Unit Iv) - Sales</v>
          </cell>
          <cell r="AB1460" t="str">
            <v>24AABCG1282C2Z6</v>
          </cell>
        </row>
        <row r="1461">
          <cell r="D1461" t="str">
            <v>Hcp Plastene Bulkpack Ltd (Unit Iv) - Sales</v>
          </cell>
          <cell r="AB1461" t="str">
            <v>24AABCG1282C2Z6</v>
          </cell>
        </row>
        <row r="1462">
          <cell r="D1462" t="str">
            <v>Hcp Plastene Bulkpack Ltd (Unit Iv) - Sales</v>
          </cell>
          <cell r="AB1462" t="str">
            <v>24AABCG1282C2Z6</v>
          </cell>
        </row>
        <row r="1463">
          <cell r="D1463" t="str">
            <v>Hcp Plastene Bulkpack Ltd (Unit Iv) - Sales</v>
          </cell>
          <cell r="AB1463" t="str">
            <v>24AABCG1282C2Z6</v>
          </cell>
        </row>
        <row r="1464">
          <cell r="D1464" t="str">
            <v>Hcp Plastene Bulkpack Ltd (Unit Iv) - Sales</v>
          </cell>
          <cell r="AB1464" t="str">
            <v>24AABCG1282C2Z6</v>
          </cell>
        </row>
        <row r="1465">
          <cell r="D1465" t="str">
            <v>Hcp Plastene Bulkpack Ltd (Unit Iv) - Sales</v>
          </cell>
          <cell r="AB1465" t="str">
            <v>24AABCG1282C2Z6</v>
          </cell>
        </row>
        <row r="1466">
          <cell r="D1466" t="str">
            <v>Hcp Plastene Bulkpack Ltd (Unit Iv) - Sales</v>
          </cell>
          <cell r="AB1466" t="str">
            <v>24AABCG1282C2Z6</v>
          </cell>
        </row>
        <row r="1467">
          <cell r="D1467" t="str">
            <v>Hcp Plastene Bulkpack Ltd (Unit Iv) - Sales</v>
          </cell>
          <cell r="AB1467" t="str">
            <v>24AABCG1282C2Z6</v>
          </cell>
        </row>
        <row r="1468">
          <cell r="D1468" t="str">
            <v>Hcp Plastene Bulkpack Ltd (Unit Iv) - Sales</v>
          </cell>
          <cell r="AB1468" t="str">
            <v>24AABCG1282C2Z6</v>
          </cell>
        </row>
        <row r="1469">
          <cell r="D1469" t="str">
            <v>Hcp Plastene Bulkpack Ltd (Unit Iv) - Sales</v>
          </cell>
          <cell r="AB1469" t="str">
            <v>24AABCG1282C2Z6</v>
          </cell>
        </row>
        <row r="1470">
          <cell r="D1470" t="str">
            <v>Hcp Plastene Bulkpack Ltd (Unit Iv) - Sales</v>
          </cell>
          <cell r="AB1470" t="str">
            <v>24AABCG1282C2Z6</v>
          </cell>
        </row>
        <row r="1471">
          <cell r="D1471" t="str">
            <v>Hcp Plastene Bulkpack Ltd (Unit Iv) - Sales</v>
          </cell>
          <cell r="AB1471" t="str">
            <v>24AABCG1282C2Z6</v>
          </cell>
        </row>
        <row r="1472">
          <cell r="D1472" t="str">
            <v>Jain Bulk Pack - Ahmedabad</v>
          </cell>
          <cell r="AB1472" t="str">
            <v>24AFOPG7793M1ZO</v>
          </cell>
        </row>
        <row r="1473">
          <cell r="D1473" t="str">
            <v>Jain Bulk Pack - Ahmedabad</v>
          </cell>
          <cell r="AB1473" t="str">
            <v>24AFOPG7793M1ZO</v>
          </cell>
        </row>
        <row r="1474">
          <cell r="D1474" t="str">
            <v>Jain Bulk Pack - Ahmedabad</v>
          </cell>
          <cell r="AB1474" t="str">
            <v>24AFOPG7793M1ZO</v>
          </cell>
        </row>
        <row r="1475">
          <cell r="D1475" t="str">
            <v>Jain Bulk Pack - Ahmedabad</v>
          </cell>
          <cell r="AB1475" t="str">
            <v>24AFOPG7793M1ZO</v>
          </cell>
        </row>
        <row r="1476">
          <cell r="D1476" t="str">
            <v>Jain Bulk Pack - Ahmedabad</v>
          </cell>
          <cell r="AB1476" t="str">
            <v>24AFOPG7793M1ZO</v>
          </cell>
        </row>
        <row r="1477">
          <cell r="D1477" t="str">
            <v>K.P. Woven Pvt Ltd - Unit 3 -Sales</v>
          </cell>
          <cell r="AB1477" t="str">
            <v>24AAECK6307M2ZE</v>
          </cell>
        </row>
        <row r="1478">
          <cell r="D1478" t="str">
            <v>K.P. Woven Pvt Ltd - Unit 3 -Sales</v>
          </cell>
          <cell r="AB1478" t="str">
            <v>24AAECK6307M2ZE</v>
          </cell>
        </row>
        <row r="1479">
          <cell r="D1479" t="str">
            <v>K.P. Woven Pvt Ltd - Unit 3 -Sales</v>
          </cell>
          <cell r="AB1479" t="str">
            <v>24AAECK6307M2ZE</v>
          </cell>
        </row>
        <row r="1480">
          <cell r="D1480" t="str">
            <v>K.P. Woven Pvt Ltd - Unit 3 -Sales</v>
          </cell>
          <cell r="AB1480" t="str">
            <v>24AAECK6307M2ZE</v>
          </cell>
        </row>
        <row r="1481">
          <cell r="D1481" t="str">
            <v>K.P. Woven Pvt Ltd - Unit 3 -Sales</v>
          </cell>
          <cell r="AB1481" t="str">
            <v>24AAECK6307M2ZE</v>
          </cell>
        </row>
        <row r="1482">
          <cell r="D1482" t="str">
            <v>K.P. Woven Pvt Ltd - Unit 3 -Sales</v>
          </cell>
          <cell r="AB1482" t="str">
            <v>24AAECK6307M2ZE</v>
          </cell>
        </row>
        <row r="1483">
          <cell r="D1483" t="str">
            <v>K.P. Woven Pvt Ltd - Unit 3 -Sales</v>
          </cell>
          <cell r="AB1483" t="str">
            <v>24AAECK6307M2ZE</v>
          </cell>
        </row>
        <row r="1484">
          <cell r="D1484" t="str">
            <v>K.P. Woven Pvt Ltd - Unit 3 -Sales</v>
          </cell>
          <cell r="AB1484" t="str">
            <v>24AAECK6307M2ZE</v>
          </cell>
        </row>
        <row r="1485">
          <cell r="D1485" t="str">
            <v>K.P. Woven Pvt Ltd - Unit 3 -Sales</v>
          </cell>
          <cell r="AB1485" t="str">
            <v>24AAECK6307M2ZE</v>
          </cell>
        </row>
        <row r="1486">
          <cell r="D1486" t="str">
            <v>K.P. Woven Pvt Ltd - Unit 3 -Sales</v>
          </cell>
          <cell r="AB1486" t="str">
            <v>24AAECK6307M2ZE</v>
          </cell>
        </row>
        <row r="1487">
          <cell r="D1487" t="str">
            <v>K.P. Woven Pvt Ltd - Unit 3 -Sales</v>
          </cell>
          <cell r="AB1487" t="str">
            <v>24AAECK6307M2ZE</v>
          </cell>
        </row>
        <row r="1488">
          <cell r="D1488" t="str">
            <v>K.P. Woven Pvt Ltd - Unit 3 -Sales</v>
          </cell>
          <cell r="AB1488" t="str">
            <v>24AAECK6307M2ZE</v>
          </cell>
        </row>
        <row r="1489">
          <cell r="D1489" t="str">
            <v>K.P. Woven Pvt Ltd-Sales</v>
          </cell>
          <cell r="AB1489" t="str">
            <v>24AAECK6307M1ZF</v>
          </cell>
        </row>
        <row r="1490">
          <cell r="D1490" t="str">
            <v>K.P. Woven Pvt Ltd-Sales</v>
          </cell>
          <cell r="AB1490" t="str">
            <v>24AAECK6307M1ZF</v>
          </cell>
        </row>
        <row r="1491">
          <cell r="D1491" t="str">
            <v>K.P. Woven Pvt Ltd-Sales</v>
          </cell>
          <cell r="AB1491" t="str">
            <v>24AAECK6307M1ZF</v>
          </cell>
        </row>
        <row r="1492">
          <cell r="D1492" t="str">
            <v>K.P. Woven Pvt Ltd-Sales</v>
          </cell>
          <cell r="AB1492" t="str">
            <v>24AAECK6307M1ZF</v>
          </cell>
        </row>
        <row r="1493">
          <cell r="D1493" t="str">
            <v>Lionel Samson Packaging Co Pty Ltd.</v>
          </cell>
          <cell r="AB1493" t="str">
            <v>N.A.</v>
          </cell>
        </row>
        <row r="1494">
          <cell r="D1494" t="str">
            <v>Plastene Polyfilms Ltd-Sales</v>
          </cell>
          <cell r="AB1494" t="str">
            <v>24AAFCP2956A1ZR</v>
          </cell>
        </row>
        <row r="1495">
          <cell r="D1495" t="str">
            <v>Plastene Polyfilms Ltd-Sales</v>
          </cell>
          <cell r="AB1495" t="str">
            <v>24AAFCP2956A1ZR</v>
          </cell>
        </row>
        <row r="1496">
          <cell r="D1496" t="str">
            <v>Plastene Polyfilms Ltd-Sales</v>
          </cell>
          <cell r="AB1496" t="str">
            <v>24AAFCP2956A1ZR</v>
          </cell>
        </row>
        <row r="1497">
          <cell r="D1497" t="str">
            <v>Plastene Polyfilms Ltd-Sales</v>
          </cell>
          <cell r="AB1497" t="str">
            <v>24AAFCP2956A1ZR</v>
          </cell>
        </row>
        <row r="1498">
          <cell r="D1498" t="str">
            <v>Plastene Polyfilms Ltd-Sales</v>
          </cell>
          <cell r="AB1498" t="str">
            <v>24AAFCP2956A1ZR</v>
          </cell>
        </row>
        <row r="1499">
          <cell r="D1499" t="str">
            <v>Plastene Polyfilms Ltd-Sales</v>
          </cell>
          <cell r="AB1499" t="str">
            <v>24AAFCP2956A1ZR</v>
          </cell>
        </row>
        <row r="1500">
          <cell r="D1500" t="str">
            <v>Plastene Polyfilms Ltd-Sales</v>
          </cell>
          <cell r="AB1500" t="str">
            <v>24AAFCP2956A1ZR</v>
          </cell>
        </row>
        <row r="1501">
          <cell r="D1501" t="str">
            <v>Plastene Polyfilms Ltd-Sales</v>
          </cell>
          <cell r="AB1501" t="str">
            <v>24AAFCP2956A1ZR</v>
          </cell>
        </row>
        <row r="1502">
          <cell r="D1502" t="str">
            <v>FPS Flexibles Chile Spa</v>
          </cell>
          <cell r="AB1502" t="str">
            <v>N.A.</v>
          </cell>
        </row>
        <row r="1503">
          <cell r="D1503" t="str">
            <v>FPS Flexibles Chile Spa</v>
          </cell>
          <cell r="AB1503" t="str">
            <v>N.A.</v>
          </cell>
        </row>
        <row r="1504">
          <cell r="D1504" t="str">
            <v>Hcp Plastene Bulkpack Ltd (Unit Iv) - Sales</v>
          </cell>
          <cell r="AB1504" t="str">
            <v>24AABCG1282C2Z6</v>
          </cell>
        </row>
        <row r="1505">
          <cell r="D1505" t="str">
            <v>Hcp Plastene Bulkpack Ltd (Unit Iv) - Sales</v>
          </cell>
          <cell r="AB1505" t="str">
            <v>24AABCG1282C2Z6</v>
          </cell>
        </row>
        <row r="1506">
          <cell r="D1506" t="str">
            <v>Hcp Plastene Bulkpack Ltd (Unit Iv) - Sales</v>
          </cell>
          <cell r="AB1506" t="str">
            <v>24AABCG1282C2Z6</v>
          </cell>
        </row>
        <row r="1507">
          <cell r="D1507" t="str">
            <v>Hcp Plastene Bulkpack Ltd (Unit Iv) - Sales</v>
          </cell>
          <cell r="AB1507" t="str">
            <v>24AABCG1282C2Z6</v>
          </cell>
        </row>
        <row r="1508">
          <cell r="D1508" t="str">
            <v>Hcp Plastene Bulkpack Ltd (Unit Iv) - Sales</v>
          </cell>
          <cell r="AB1508" t="str">
            <v>24AABCG1282C2Z6</v>
          </cell>
        </row>
        <row r="1509">
          <cell r="D1509" t="str">
            <v>Hcp Plastene Bulkpack Ltd (Unit Iv) - Sales</v>
          </cell>
          <cell r="AB1509" t="str">
            <v>24AABCG1282C2Z6</v>
          </cell>
        </row>
        <row r="1510">
          <cell r="D1510" t="str">
            <v>Hcp Plastene Bulkpack Ltd (Unit Iv) - Sales</v>
          </cell>
          <cell r="AB1510" t="str">
            <v>24AABCG1282C2Z6</v>
          </cell>
        </row>
        <row r="1511">
          <cell r="D1511" t="str">
            <v>Hcp Plastene Bulkpack Ltd (Unit Iv) - Sales</v>
          </cell>
          <cell r="AB1511" t="str">
            <v>24AABCG1282C2Z6</v>
          </cell>
        </row>
        <row r="1512">
          <cell r="D1512" t="str">
            <v>Hcp Plastene Bulkpack Ltd (Unit Iv) - Sales</v>
          </cell>
          <cell r="AB1512" t="str">
            <v>24AABCG1282C2Z6</v>
          </cell>
        </row>
        <row r="1513">
          <cell r="D1513" t="str">
            <v>Hcp Plastene Bulkpack Ltd (Unit Iv) - Sales</v>
          </cell>
          <cell r="AB1513" t="str">
            <v>24AABCG1282C2Z6</v>
          </cell>
        </row>
        <row r="1514">
          <cell r="D1514" t="str">
            <v>Hcp Plastene Bulkpack Ltd (Unit Iv) - Sales</v>
          </cell>
          <cell r="AB1514" t="str">
            <v>24AABCG1282C2Z6</v>
          </cell>
        </row>
        <row r="1515">
          <cell r="D1515" t="str">
            <v>Hcp Plastene Bulkpack Ltd (Unit Iv) - Sales</v>
          </cell>
          <cell r="AB1515" t="str">
            <v>24AABCG1282C2Z6</v>
          </cell>
        </row>
        <row r="1516">
          <cell r="D1516" t="str">
            <v>Hcp Plastene Bulkpack Ltd (Unit Iv) - Sales</v>
          </cell>
          <cell r="AB1516" t="str">
            <v>24AABCG1282C2Z6</v>
          </cell>
        </row>
        <row r="1517">
          <cell r="D1517" t="str">
            <v>K.P. Woven Pvt Ltd - Unit 3 -Sales</v>
          </cell>
          <cell r="AB1517" t="str">
            <v>24AAECK6307M2ZE</v>
          </cell>
        </row>
        <row r="1518">
          <cell r="D1518" t="str">
            <v>Plastene Polyfilms Ltd-Sales</v>
          </cell>
          <cell r="AB1518" t="str">
            <v>24AAFCP2956A1ZR</v>
          </cell>
        </row>
        <row r="1519">
          <cell r="D1519" t="str">
            <v>Plastene Polyfilms Ltd-Sales</v>
          </cell>
          <cell r="AB1519" t="str">
            <v>24AAFCP2956A1ZR</v>
          </cell>
        </row>
        <row r="1520">
          <cell r="D1520" t="str">
            <v>Plastene Polyfilms Ltd-Sales</v>
          </cell>
          <cell r="AB1520" t="str">
            <v>24AAFCP2956A1ZR</v>
          </cell>
        </row>
        <row r="1521">
          <cell r="D1521" t="str">
            <v>Plastene Polyfilms Ltd-Sales</v>
          </cell>
          <cell r="AB1521" t="str">
            <v>24AAFCP2956A1ZR</v>
          </cell>
        </row>
        <row r="1522">
          <cell r="D1522" t="str">
            <v>Plastene Polyfilms Ltd-Sales</v>
          </cell>
          <cell r="AB1522" t="str">
            <v>24AAFCP2956A1ZR</v>
          </cell>
        </row>
        <row r="1523">
          <cell r="D1523" t="str">
            <v>Plastene Polyfilms Ltd-Sales</v>
          </cell>
          <cell r="AB1523" t="str">
            <v>24AAFCP2956A1ZR</v>
          </cell>
        </row>
        <row r="1524">
          <cell r="D1524" t="str">
            <v>Plastene Polyfilms Ltd-Sales</v>
          </cell>
          <cell r="AB1524" t="str">
            <v>24AAFCP2956A1ZR</v>
          </cell>
        </row>
        <row r="1525">
          <cell r="D1525" t="str">
            <v>Plastene Polyfilms Ltd-Sales</v>
          </cell>
          <cell r="AB1525" t="str">
            <v>24AAFCP2956A1ZR</v>
          </cell>
        </row>
        <row r="1526">
          <cell r="D1526" t="str">
            <v>Plastene Polyfilms Ltd-Sales</v>
          </cell>
          <cell r="AB1526" t="str">
            <v>24AAFCP2956A1ZR</v>
          </cell>
        </row>
        <row r="1527">
          <cell r="D1527" t="str">
            <v>Plastene Polyfilms Ltd-Sales</v>
          </cell>
          <cell r="AB1527" t="str">
            <v>24AAFCP2956A1ZR</v>
          </cell>
        </row>
        <row r="1528">
          <cell r="D1528" t="str">
            <v>Plastene Polyfilms Ltd-Sales</v>
          </cell>
          <cell r="AB1528" t="str">
            <v>24AAFCP2956A1ZR</v>
          </cell>
        </row>
        <row r="1529">
          <cell r="D1529" t="str">
            <v>Plastene Polyfilms Ltd-Sales</v>
          </cell>
          <cell r="AB1529" t="str">
            <v>24AAFCP2956A1ZR</v>
          </cell>
        </row>
        <row r="1530">
          <cell r="D1530" t="str">
            <v>Plastene Polyfilms Ltd-Sales</v>
          </cell>
          <cell r="AB1530" t="str">
            <v>24AAFCP2956A1ZR</v>
          </cell>
        </row>
        <row r="1531">
          <cell r="D1531" t="str">
            <v>Frelun S.A.</v>
          </cell>
          <cell r="AB1531" t="str">
            <v>N.A.</v>
          </cell>
        </row>
        <row r="1532">
          <cell r="D1532" t="str">
            <v>H Polesy &amp; Co Pty Ltd</v>
          </cell>
          <cell r="AB1532" t="str">
            <v>N.A.</v>
          </cell>
        </row>
        <row r="1533">
          <cell r="D1533" t="str">
            <v>HCP Plastene Bulkpack Limited - Sales</v>
          </cell>
          <cell r="AB1533" t="str">
            <v>24AABCG1282C2Z6</v>
          </cell>
        </row>
        <row r="1534">
          <cell r="D1534" t="str">
            <v>HCP Plastene Bulkpack Limited - Sales</v>
          </cell>
          <cell r="AB1534" t="str">
            <v>24AABCG1282C2Z6</v>
          </cell>
        </row>
        <row r="1535">
          <cell r="D1535" t="str">
            <v>HCP Plastene Bulkpack Limited - Sales</v>
          </cell>
          <cell r="AB1535" t="str">
            <v>24AABCG1282C2Z6</v>
          </cell>
        </row>
        <row r="1536">
          <cell r="D1536" t="str">
            <v>HCP Plastene Bulkpack Limited - Sales</v>
          </cell>
          <cell r="AB1536" t="str">
            <v>24AABCG1282C2Z6</v>
          </cell>
        </row>
        <row r="1537">
          <cell r="D1537" t="str">
            <v>HCP Plastene Bulkpack Limited - Sales</v>
          </cell>
          <cell r="AB1537" t="str">
            <v>24AABCG1282C2Z6</v>
          </cell>
        </row>
        <row r="1538">
          <cell r="D1538" t="str">
            <v>HCP Plastene Bulkpack Limited - Sales</v>
          </cell>
          <cell r="AB1538" t="str">
            <v>24AABCG1282C2Z6</v>
          </cell>
        </row>
        <row r="1539">
          <cell r="D1539" t="str">
            <v>HCP Plastene Bulkpack Limited - Sales</v>
          </cell>
          <cell r="AB1539" t="str">
            <v>24AABCG1282C2Z6</v>
          </cell>
        </row>
        <row r="1540">
          <cell r="D1540" t="str">
            <v>Hcp Plastene Bulkpack Ltd (Unit Iv) - Sales</v>
          </cell>
          <cell r="AB1540" t="str">
            <v>24AABCG1282C2Z6</v>
          </cell>
        </row>
        <row r="1541">
          <cell r="D1541" t="str">
            <v>Hcp Plastene Bulkpack Ltd (Unit Iv) - Sales</v>
          </cell>
          <cell r="AB1541" t="str">
            <v>24AABCG1282C2Z6</v>
          </cell>
        </row>
        <row r="1542">
          <cell r="D1542" t="str">
            <v>Hcp Plastene Bulkpack Ltd (Unit Iv) - Sales</v>
          </cell>
          <cell r="AB1542" t="str">
            <v>24AABCG1282C2Z6</v>
          </cell>
        </row>
        <row r="1543">
          <cell r="D1543" t="str">
            <v>Hcp Plastene Bulkpack Ltd (Unit Iv) - Sales</v>
          </cell>
          <cell r="AB1543" t="str">
            <v>24AABCG1282C2Z6</v>
          </cell>
        </row>
        <row r="1544">
          <cell r="D1544" t="str">
            <v>Hcp Plastene Bulkpack Ltd (Unit Iv) - Sales</v>
          </cell>
          <cell r="AB1544" t="str">
            <v>24AABCG1282C2Z6</v>
          </cell>
        </row>
        <row r="1545">
          <cell r="D1545" t="str">
            <v>Hcp Plastene Bulkpack Ltd (Unit Iv) - Sales</v>
          </cell>
          <cell r="AB1545" t="str">
            <v>24AABCG1282C2Z6</v>
          </cell>
        </row>
        <row r="1546">
          <cell r="D1546" t="str">
            <v>Hcp Plastene Bulkpack Ltd (Unit Iv) - Sales</v>
          </cell>
          <cell r="AB1546" t="str">
            <v>24AABCG1282C2Z6</v>
          </cell>
        </row>
        <row r="1547">
          <cell r="D1547" t="str">
            <v>Hcp Plastene Bulkpack Ltd (Unit Iv) - Sales</v>
          </cell>
          <cell r="AB1547" t="str">
            <v>24AABCG1282C2Z6</v>
          </cell>
        </row>
        <row r="1548">
          <cell r="D1548" t="str">
            <v>Hcp Plastene Bulkpack Ltd (Unit Iv) - Sales</v>
          </cell>
          <cell r="AB1548" t="str">
            <v>24AABCG1282C2Z6</v>
          </cell>
        </row>
        <row r="1549">
          <cell r="D1549" t="str">
            <v>Hcp Plastene Bulkpack Ltd (Unit Iv) - Sales</v>
          </cell>
          <cell r="AB1549" t="str">
            <v>24AABCG1282C2Z6</v>
          </cell>
        </row>
        <row r="1550">
          <cell r="D1550" t="str">
            <v>Hcp Plastene Bulkpack Ltd (Unit Iv) - Sales</v>
          </cell>
          <cell r="AB1550" t="str">
            <v>24AABCG1282C2Z6</v>
          </cell>
        </row>
        <row r="1551">
          <cell r="D1551" t="str">
            <v>Hcp Plastene Bulkpack Ltd (Unit Iv) - Sales</v>
          </cell>
          <cell r="AB1551" t="str">
            <v>24AABCG1282C2Z6</v>
          </cell>
        </row>
        <row r="1552">
          <cell r="D1552" t="str">
            <v>Hcp Plastene Bulkpack Ltd (Unit Iv) - Sales</v>
          </cell>
          <cell r="AB1552" t="str">
            <v>24AABCG1282C2Z6</v>
          </cell>
        </row>
        <row r="1553">
          <cell r="D1553" t="str">
            <v>K.P. Woven Pvt Ltd - Unit 3 -Sales</v>
          </cell>
          <cell r="AB1553" t="str">
            <v>24AAECK6307M2ZE</v>
          </cell>
        </row>
        <row r="1554">
          <cell r="D1554" t="str">
            <v>K.P. Woven Pvt Ltd-Sales</v>
          </cell>
          <cell r="AB1554" t="str">
            <v>24AAECK6307M1ZF</v>
          </cell>
        </row>
        <row r="1555">
          <cell r="D1555" t="str">
            <v>K.P. Woven Pvt Ltd-Sales</v>
          </cell>
          <cell r="AB1555" t="str">
            <v>24AAECK6307M1ZF</v>
          </cell>
        </row>
        <row r="1556">
          <cell r="D1556" t="str">
            <v>K.P. Woven Pvt Ltd-Sales</v>
          </cell>
          <cell r="AB1556" t="str">
            <v>24AAECK6307M1ZF</v>
          </cell>
        </row>
        <row r="1557">
          <cell r="D1557" t="str">
            <v>K.P. Woven Pvt Ltd-Sales</v>
          </cell>
          <cell r="AB1557" t="str">
            <v>24AAECK6307M1ZF</v>
          </cell>
        </row>
        <row r="1558">
          <cell r="D1558" t="str">
            <v>K.P. Woven Pvt Ltd-Sales</v>
          </cell>
          <cell r="AB1558" t="str">
            <v>24AAECK6307M1ZF</v>
          </cell>
        </row>
        <row r="1559">
          <cell r="D1559" t="str">
            <v>K.P. Woven Pvt Ltd-Sales</v>
          </cell>
          <cell r="AB1559" t="str">
            <v>24AAECK6307M1ZF</v>
          </cell>
        </row>
        <row r="1560">
          <cell r="D1560" t="str">
            <v>K.P. Woven Pvt Ltd-Sales</v>
          </cell>
          <cell r="AB1560" t="str">
            <v>24AAECK6307M1ZF</v>
          </cell>
        </row>
        <row r="1561">
          <cell r="D1561" t="str">
            <v>K.P. Woven Pvt Ltd-Sales</v>
          </cell>
          <cell r="AB1561" t="str">
            <v>24AAECK6307M1ZF</v>
          </cell>
        </row>
        <row r="1562">
          <cell r="D1562" t="str">
            <v>K.P. Woven Pvt Ltd-Sales</v>
          </cell>
          <cell r="AB1562" t="str">
            <v>24AAECK6307M1ZF</v>
          </cell>
        </row>
        <row r="1563">
          <cell r="D1563" t="str">
            <v>K.P. Woven Pvt Ltd-Sales</v>
          </cell>
          <cell r="AB1563" t="str">
            <v>24AAECK6307M1ZF</v>
          </cell>
        </row>
        <row r="1564">
          <cell r="D1564" t="str">
            <v>K.P. Woven Pvt Ltd-Sales</v>
          </cell>
          <cell r="AB1564" t="str">
            <v>24AAECK6307M1ZF</v>
          </cell>
        </row>
        <row r="1565">
          <cell r="D1565" t="str">
            <v>Plastene Polyfilms Ltd-Sales</v>
          </cell>
          <cell r="AB1565" t="str">
            <v>24AAFCP2956A1ZR</v>
          </cell>
        </row>
        <row r="1566">
          <cell r="D1566" t="str">
            <v>Plastene Polyfilms Ltd-Sales</v>
          </cell>
          <cell r="AB1566" t="str">
            <v>24AAFCP2956A1ZR</v>
          </cell>
        </row>
        <row r="1567">
          <cell r="D1567" t="str">
            <v>Plastene Polyfilms Ltd-Sales</v>
          </cell>
          <cell r="AB1567" t="str">
            <v>24AAFCP2956A1ZR</v>
          </cell>
        </row>
        <row r="1568">
          <cell r="D1568" t="str">
            <v>Plastene Polyfilms Ltd-Sales</v>
          </cell>
          <cell r="AB1568" t="str">
            <v>24AAFCP2956A1ZR</v>
          </cell>
        </row>
        <row r="1569">
          <cell r="D1569" t="str">
            <v>Plastene Polyfilms Ltd-Sales</v>
          </cell>
          <cell r="AB1569" t="str">
            <v>24AAFCP2956A1ZR</v>
          </cell>
        </row>
        <row r="1570">
          <cell r="D1570" t="str">
            <v>Plastene Polyfilms Ltd-Sales</v>
          </cell>
          <cell r="AB1570" t="str">
            <v>24AAFCP2956A1ZR</v>
          </cell>
        </row>
        <row r="1571">
          <cell r="D1571" t="str">
            <v>Plastene Polyfilms Ltd-Sales</v>
          </cell>
          <cell r="AB1571" t="str">
            <v>24AAFCP2956A1ZR</v>
          </cell>
        </row>
        <row r="1572">
          <cell r="D1572" t="str">
            <v>Plastene Polyfilms Ltd-Sales</v>
          </cell>
          <cell r="AB1572" t="str">
            <v>24AAFCP2956A1ZR</v>
          </cell>
        </row>
        <row r="1573">
          <cell r="D1573" t="str">
            <v>Plastene Polyfilms Ltd-Sales</v>
          </cell>
          <cell r="AB1573" t="str">
            <v>24AAFCP2956A1ZR</v>
          </cell>
        </row>
        <row r="1574">
          <cell r="D1574" t="str">
            <v>Plastene Polyfilms Ltd-Sales</v>
          </cell>
          <cell r="AB1574" t="str">
            <v>24AAFCP2956A1ZR</v>
          </cell>
        </row>
        <row r="1575">
          <cell r="D1575" t="str">
            <v>Plastene Polyfilms Ltd-Sales</v>
          </cell>
          <cell r="AB1575" t="str">
            <v>24AAFCP2956A1ZR</v>
          </cell>
        </row>
        <row r="1576">
          <cell r="D1576" t="str">
            <v>Ravitaillement International Inc.</v>
          </cell>
          <cell r="AB1576" t="str">
            <v>N.A.</v>
          </cell>
        </row>
        <row r="1577">
          <cell r="D1577" t="str">
            <v>Ravitaillement International Inc.</v>
          </cell>
          <cell r="AB1577" t="str">
            <v>N.A.</v>
          </cell>
        </row>
        <row r="1578">
          <cell r="D1578" t="str">
            <v>Hcp Plastene Bulkpack Ltd (Unit Iv) - Sales</v>
          </cell>
          <cell r="AB1578" t="str">
            <v>24AABCG1282C2Z6</v>
          </cell>
        </row>
        <row r="1579">
          <cell r="D1579" t="str">
            <v>Hcp Plastene Bulkpack Ltd (Unit Iv) - Sales</v>
          </cell>
          <cell r="AB1579" t="str">
            <v>24AABCG1282C2Z6</v>
          </cell>
        </row>
        <row r="1580">
          <cell r="D1580" t="str">
            <v>Hcp Plastene Bulkpack Ltd (Unit Iv) - Sales</v>
          </cell>
          <cell r="AB1580" t="str">
            <v>24AABCG1282C2Z6</v>
          </cell>
        </row>
        <row r="1581">
          <cell r="D1581" t="str">
            <v>Hcp Plastene Bulkpack Ltd (Unit Iv) - Sales</v>
          </cell>
          <cell r="AB1581" t="str">
            <v>24AABCG1282C2Z6</v>
          </cell>
        </row>
        <row r="1582">
          <cell r="D1582" t="str">
            <v>Hcp Plastene Bulkpack Ltd (Unit Iv) - Sales</v>
          </cell>
          <cell r="AB1582" t="str">
            <v>24AABCG1282C2Z6</v>
          </cell>
        </row>
        <row r="1583">
          <cell r="D1583" t="str">
            <v>Hcp Plastene Bulkpack Ltd (Unit Iv) - Sales</v>
          </cell>
          <cell r="AB1583" t="str">
            <v>24AABCG1282C2Z6</v>
          </cell>
        </row>
        <row r="1584">
          <cell r="D1584" t="str">
            <v>Hcp Plastene Bulkpack Ltd (Unit Iv) - Sales</v>
          </cell>
          <cell r="AB1584" t="str">
            <v>24AABCG1282C2Z6</v>
          </cell>
        </row>
        <row r="1585">
          <cell r="D1585" t="str">
            <v>Hcp Plastene Bulkpack Ltd (Unit Iv) - Sales</v>
          </cell>
          <cell r="AB1585" t="str">
            <v>24AABCG1282C2Z6</v>
          </cell>
        </row>
        <row r="1586">
          <cell r="D1586" t="str">
            <v>Hcp Plastene Bulkpack Ltd (Unit Iv) - Sales</v>
          </cell>
          <cell r="AB1586" t="str">
            <v>24AABCG1282C2Z6</v>
          </cell>
        </row>
        <row r="1587">
          <cell r="D1587" t="str">
            <v>Hcp Plastene Bulkpack Ltd (Unit Iv) - Sales</v>
          </cell>
          <cell r="AB1587" t="str">
            <v>24AABCG1282C2Z6</v>
          </cell>
        </row>
        <row r="1588">
          <cell r="D1588" t="str">
            <v>Hcp Plastene Bulkpack Ltd (Unit Iv) - Sales</v>
          </cell>
          <cell r="AB1588" t="str">
            <v>24AABCG1282C2Z6</v>
          </cell>
        </row>
        <row r="1589">
          <cell r="D1589" t="str">
            <v>Jain Bulk Pack - Ahmedabad</v>
          </cell>
          <cell r="AB1589" t="str">
            <v>24AFOPG7793M1ZO</v>
          </cell>
        </row>
        <row r="1590">
          <cell r="D1590" t="str">
            <v>Jain Bulk Pack - Ahmedabad</v>
          </cell>
          <cell r="AB1590" t="str">
            <v>24AFOPG7793M1ZO</v>
          </cell>
        </row>
        <row r="1591">
          <cell r="D1591" t="str">
            <v>K.P. Woven Pvt Ltd - Unit 3 -Sales</v>
          </cell>
          <cell r="AB1591" t="str">
            <v>24AAECK6307M2ZE</v>
          </cell>
        </row>
        <row r="1592">
          <cell r="D1592" t="str">
            <v>K.P. Woven Pvt Ltd - Unit 3 -Sales</v>
          </cell>
          <cell r="AB1592" t="str">
            <v>24AAECK6307M2ZE</v>
          </cell>
        </row>
        <row r="1593">
          <cell r="D1593" t="str">
            <v>K.P. Woven Pvt Ltd - Unit 3 -Sales</v>
          </cell>
          <cell r="AB1593" t="str">
            <v>24AAECK6307M2ZE</v>
          </cell>
        </row>
        <row r="1594">
          <cell r="D1594" t="str">
            <v>K.P. Woven Pvt Ltd - Unit 3 -Sales</v>
          </cell>
          <cell r="AB1594" t="str">
            <v>24AAECK6307M2ZE</v>
          </cell>
        </row>
        <row r="1595">
          <cell r="D1595" t="str">
            <v>K.P. Woven Pvt Ltd - Unit 3 -Sales</v>
          </cell>
          <cell r="AB1595" t="str">
            <v>24AAECK6307M2ZE</v>
          </cell>
        </row>
        <row r="1596">
          <cell r="D1596" t="str">
            <v>K.P. Woven Pvt Ltd - Unit 3 -Sales</v>
          </cell>
          <cell r="AB1596" t="str">
            <v>24AAECK6307M2ZE</v>
          </cell>
        </row>
        <row r="1597">
          <cell r="D1597" t="str">
            <v>K.P. Woven Pvt Ltd - Unit 3 -Sales</v>
          </cell>
          <cell r="AB1597" t="str">
            <v>24AAECK6307M2ZE</v>
          </cell>
        </row>
        <row r="1598">
          <cell r="D1598" t="str">
            <v>K.P. Woven Pvt Ltd - Unit 3 -Sales</v>
          </cell>
          <cell r="AB1598" t="str">
            <v>24AAECK6307M2ZE</v>
          </cell>
        </row>
        <row r="1599">
          <cell r="D1599" t="str">
            <v>K.P. Woven Pvt Ltd - Unit 3 -Sales</v>
          </cell>
          <cell r="AB1599" t="str">
            <v>24AAECK6307M2ZE</v>
          </cell>
        </row>
        <row r="1600">
          <cell r="D1600" t="str">
            <v>K.P. Woven Pvt Ltd - Unit 3 -Sales</v>
          </cell>
          <cell r="AB1600" t="str">
            <v>24AAECK6307M2ZE</v>
          </cell>
        </row>
        <row r="1601">
          <cell r="D1601" t="str">
            <v>K.P. Woven Pvt Ltd-Sales</v>
          </cell>
          <cell r="AB1601" t="str">
            <v>24AAECK6307M1ZF</v>
          </cell>
        </row>
        <row r="1602">
          <cell r="D1602" t="str">
            <v>K.P. Woven Pvt Ltd-Sales</v>
          </cell>
          <cell r="AB1602" t="str">
            <v>24AAECK6307M1ZF</v>
          </cell>
        </row>
        <row r="1603">
          <cell r="D1603" t="str">
            <v>K.P. Woven Pvt Ltd-Sales</v>
          </cell>
          <cell r="AB1603" t="str">
            <v>24AAECK6307M1ZF</v>
          </cell>
        </row>
        <row r="1604">
          <cell r="D1604" t="str">
            <v>K.P. Woven Pvt Ltd-Sales</v>
          </cell>
          <cell r="AB1604" t="str">
            <v>24AAECK6307M1ZF</v>
          </cell>
        </row>
        <row r="1605">
          <cell r="D1605" t="str">
            <v>K.P. Woven Pvt Ltd-Sales</v>
          </cell>
          <cell r="AB1605" t="str">
            <v>24AAECK6307M1ZF</v>
          </cell>
        </row>
        <row r="1606">
          <cell r="D1606" t="str">
            <v>K.P. Woven Pvt Ltd-Sales</v>
          </cell>
          <cell r="AB1606" t="str">
            <v>24AAECK6307M1ZF</v>
          </cell>
        </row>
        <row r="1607">
          <cell r="D1607" t="str">
            <v>K.P. Woven Pvt Ltd-Sales</v>
          </cell>
          <cell r="AB1607" t="str">
            <v>24AAECK6307M1ZF</v>
          </cell>
        </row>
        <row r="1608">
          <cell r="D1608" t="str">
            <v>Plastene Polyfilms Ltd-Sales</v>
          </cell>
          <cell r="AB1608" t="str">
            <v>24AAFCP2956A1ZR</v>
          </cell>
        </row>
        <row r="1609">
          <cell r="D1609" t="str">
            <v>Plastene Polyfilms Ltd-Sales</v>
          </cell>
          <cell r="AB1609" t="str">
            <v>24AAFCP2956A1ZR</v>
          </cell>
        </row>
        <row r="1610">
          <cell r="D1610" t="str">
            <v>Plastene Polyfilms Ltd-Sales</v>
          </cell>
          <cell r="AB1610" t="str">
            <v>24AAFCP2956A1ZR</v>
          </cell>
        </row>
        <row r="1611">
          <cell r="D1611" t="str">
            <v>Plastene Polyfilms Ltd-Sales</v>
          </cell>
          <cell r="AB1611" t="str">
            <v>24AAFCP2956A1ZR</v>
          </cell>
        </row>
        <row r="1612">
          <cell r="D1612" t="str">
            <v>Plastene Polyfilms Ltd-Sales</v>
          </cell>
          <cell r="AB1612" t="str">
            <v>24AAFCP2956A1ZR</v>
          </cell>
        </row>
        <row r="1613">
          <cell r="D1613" t="str">
            <v>Plastene Polyfilms Ltd-Sales</v>
          </cell>
          <cell r="AB1613" t="str">
            <v>24AAFCP2956A1ZR</v>
          </cell>
        </row>
        <row r="1614">
          <cell r="D1614" t="str">
            <v>Plastene Polyfilms Ltd-Sales</v>
          </cell>
          <cell r="AB1614" t="str">
            <v>24AAFCP2956A1ZR</v>
          </cell>
        </row>
        <row r="1615">
          <cell r="D1615" t="str">
            <v>Plastene Polyfilms Ltd-Sales</v>
          </cell>
          <cell r="AB1615" t="str">
            <v>24AAFCP2956A1ZR</v>
          </cell>
        </row>
        <row r="1616">
          <cell r="D1616" t="str">
            <v>Plastene Polyfilms Ltd-Sales</v>
          </cell>
          <cell r="AB1616" t="str">
            <v>24AAFCP2956A1ZR</v>
          </cell>
        </row>
        <row r="1617">
          <cell r="D1617" t="str">
            <v>Hcp Plastene Bulkpack Ltd (Unit Iv) - Sales</v>
          </cell>
          <cell r="AB1617" t="str">
            <v>24AABCG1282C2Z6</v>
          </cell>
        </row>
        <row r="1618">
          <cell r="D1618" t="str">
            <v>Hcp Plastene Bulkpack Ltd (Unit Iv) - Sales</v>
          </cell>
          <cell r="AB1618" t="str">
            <v>24AABCG1282C2Z6</v>
          </cell>
        </row>
        <row r="1619">
          <cell r="D1619" t="str">
            <v>Hcp Plastene Bulkpack Ltd (Unit Iv) - Sales</v>
          </cell>
          <cell r="AB1619" t="str">
            <v>24AABCG1282C2Z6</v>
          </cell>
        </row>
        <row r="1620">
          <cell r="D1620" t="str">
            <v>Hcp Plastene Bulkpack Ltd (Unit Iv) - Sales</v>
          </cell>
          <cell r="AB1620" t="str">
            <v>24AABCG1282C2Z6</v>
          </cell>
        </row>
        <row r="1621">
          <cell r="D1621" t="str">
            <v>Hcp Plastene Bulkpack Ltd (Unit Iv) - Sales</v>
          </cell>
          <cell r="AB1621" t="str">
            <v>24AABCG1282C2Z6</v>
          </cell>
        </row>
        <row r="1622">
          <cell r="D1622" t="str">
            <v>Hcp Plastene Bulkpack Ltd (Unit Iv) - Sales</v>
          </cell>
          <cell r="AB1622" t="str">
            <v>24AABCG1282C2Z6</v>
          </cell>
        </row>
        <row r="1623">
          <cell r="D1623" t="str">
            <v>Hcp Plastene Bulkpack Ltd (Unit Iv) - Sales</v>
          </cell>
          <cell r="AB1623" t="str">
            <v>24AABCG1282C2Z6</v>
          </cell>
        </row>
        <row r="1624">
          <cell r="D1624" t="str">
            <v>Hcp Plastene Bulkpack Ltd (Unit Iv) - Sales</v>
          </cell>
          <cell r="AB1624" t="str">
            <v>24AABCG1282C2Z6</v>
          </cell>
        </row>
        <row r="1625">
          <cell r="D1625" t="str">
            <v>Hcp Plastene Bulkpack Ltd (Unit Iv) - Sales</v>
          </cell>
          <cell r="AB1625" t="str">
            <v>24AABCG1282C2Z6</v>
          </cell>
        </row>
        <row r="1626">
          <cell r="D1626" t="str">
            <v>Hcp Plastene Bulkpack Ltd (Unit Iv) - Sales</v>
          </cell>
          <cell r="AB1626" t="str">
            <v>24AABCG1282C2Z6</v>
          </cell>
        </row>
        <row r="1627">
          <cell r="D1627" t="str">
            <v>Hcp Plastene Bulkpack Ltd (Unit Iv) - Sales</v>
          </cell>
          <cell r="AB1627" t="str">
            <v>24AABCG1282C2Z6</v>
          </cell>
        </row>
        <row r="1628">
          <cell r="D1628" t="str">
            <v>Hcp Plastene Bulkpack Ltd (Unit Iv) - Sales</v>
          </cell>
          <cell r="AB1628" t="str">
            <v>24AABCG1282C2Z6</v>
          </cell>
        </row>
        <row r="1629">
          <cell r="D1629" t="str">
            <v>Hcp Plastene Bulkpack Ltd (Unit Iv) - Sales</v>
          </cell>
          <cell r="AB1629" t="str">
            <v>24AABCG1282C2Z6</v>
          </cell>
        </row>
        <row r="1630">
          <cell r="D1630" t="str">
            <v>Jain Bulk Pack - Ahmedabad</v>
          </cell>
          <cell r="AB1630" t="str">
            <v>24AFOPG7793M1ZO</v>
          </cell>
        </row>
        <row r="1631">
          <cell r="D1631" t="str">
            <v>K.P. Woven Pvt Ltd - Unit 3 -Sales</v>
          </cell>
          <cell r="AB1631" t="str">
            <v>24AAECK6307M2ZE</v>
          </cell>
        </row>
        <row r="1632">
          <cell r="D1632" t="str">
            <v>K.P. Woven Pvt Ltd - Unit 3 -Sales</v>
          </cell>
          <cell r="AB1632" t="str">
            <v>24AAECK6307M2ZE</v>
          </cell>
        </row>
        <row r="1633">
          <cell r="D1633" t="str">
            <v>K.P. Woven Pvt Ltd - Unit 3 -Sales</v>
          </cell>
          <cell r="AB1633" t="str">
            <v>24AAECK6307M2ZE</v>
          </cell>
        </row>
        <row r="1634">
          <cell r="D1634" t="str">
            <v>K.P. Woven Pvt Ltd-Sales</v>
          </cell>
          <cell r="AB1634" t="str">
            <v>24AAECK6307M1ZF</v>
          </cell>
        </row>
        <row r="1635">
          <cell r="D1635" t="str">
            <v>K.P. Woven Pvt Ltd-Sales</v>
          </cell>
          <cell r="AB1635" t="str">
            <v>24AAECK6307M1ZF</v>
          </cell>
        </row>
        <row r="1636">
          <cell r="D1636" t="str">
            <v>K.P. Woven Pvt Ltd-Sales</v>
          </cell>
          <cell r="AB1636" t="str">
            <v>24AAECK6307M1ZF</v>
          </cell>
        </row>
        <row r="1637">
          <cell r="D1637" t="str">
            <v>K.P. Woven Pvt Ltd-Sales</v>
          </cell>
          <cell r="AB1637" t="str">
            <v>24AAECK6307M1ZF</v>
          </cell>
        </row>
        <row r="1638">
          <cell r="D1638" t="str">
            <v>K.P. Woven Pvt Ltd-Sales</v>
          </cell>
          <cell r="AB1638" t="str">
            <v>24AAECK6307M1ZF</v>
          </cell>
        </row>
        <row r="1639">
          <cell r="D1639" t="str">
            <v>K.P. Woven Pvt Ltd-Sales</v>
          </cell>
          <cell r="AB1639" t="str">
            <v>24AAECK6307M1ZF</v>
          </cell>
        </row>
        <row r="1640">
          <cell r="D1640" t="str">
            <v>K.P. Woven Pvt Ltd-Sales</v>
          </cell>
          <cell r="AB1640" t="str">
            <v>24AAECK6307M1ZF</v>
          </cell>
        </row>
        <row r="1641">
          <cell r="D1641" t="str">
            <v>K.P. Woven Pvt Ltd-Sales</v>
          </cell>
          <cell r="AB1641" t="str">
            <v>24AAECK6307M1ZF</v>
          </cell>
        </row>
        <row r="1642">
          <cell r="D1642" t="str">
            <v>K.P. Woven Pvt Ltd-Sales</v>
          </cell>
          <cell r="AB1642" t="str">
            <v>24AAECK6307M1ZF</v>
          </cell>
        </row>
        <row r="1643">
          <cell r="D1643" t="str">
            <v>K.P. Woven Pvt Ltd-Sales</v>
          </cell>
          <cell r="AB1643" t="str">
            <v>24AAECK6307M1ZF</v>
          </cell>
        </row>
        <row r="1644">
          <cell r="D1644" t="str">
            <v>K.P. Woven Pvt Ltd-Sales</v>
          </cell>
          <cell r="AB1644" t="str">
            <v>24AAECK6307M1ZF</v>
          </cell>
        </row>
        <row r="1645">
          <cell r="D1645" t="str">
            <v>Plastene Polyfilms Ltd-Sales</v>
          </cell>
          <cell r="AB1645" t="str">
            <v>24AAFCP2956A1ZR</v>
          </cell>
        </row>
        <row r="1646">
          <cell r="D1646" t="str">
            <v>Plastene Polyfilms Ltd-Sales</v>
          </cell>
          <cell r="AB1646" t="str">
            <v>24AAFCP2956A1ZR</v>
          </cell>
        </row>
        <row r="1647">
          <cell r="D1647" t="str">
            <v>Plastene Polyfilms Ltd-Sales</v>
          </cell>
          <cell r="AB1647" t="str">
            <v>24AAFCP2956A1ZR</v>
          </cell>
        </row>
        <row r="1648">
          <cell r="D1648" t="str">
            <v>Plastene Polyfilms Ltd-Sales</v>
          </cell>
          <cell r="AB1648" t="str">
            <v>24AAFCP2956A1ZR</v>
          </cell>
        </row>
        <row r="1649">
          <cell r="D1649" t="str">
            <v>Plastene Polyfilms Ltd-Sales</v>
          </cell>
          <cell r="AB1649" t="str">
            <v>24AAFCP2956A1ZR</v>
          </cell>
        </row>
        <row r="1650">
          <cell r="D1650" t="str">
            <v>Plastene Polyfilms Ltd-Sales</v>
          </cell>
          <cell r="AB1650" t="str">
            <v>24AAFCP2956A1ZR</v>
          </cell>
        </row>
        <row r="1651">
          <cell r="D1651" t="str">
            <v>Plastene Polyfilms Ltd-Sales</v>
          </cell>
          <cell r="AB1651" t="str">
            <v>24AAFCP2956A1ZR</v>
          </cell>
        </row>
        <row r="1652">
          <cell r="D1652" t="str">
            <v>Plastene Polyfilms Ltd-Sales</v>
          </cell>
          <cell r="AB1652" t="str">
            <v>24AAFCP2956A1ZR</v>
          </cell>
        </row>
        <row r="1653">
          <cell r="D1653" t="str">
            <v>Plastene Polyfilms Ltd-Sales</v>
          </cell>
          <cell r="AB1653" t="str">
            <v>24AAFCP2956A1ZR</v>
          </cell>
        </row>
        <row r="1654">
          <cell r="D1654" t="str">
            <v>Plastene Polyfilms Ltd-Sales</v>
          </cell>
          <cell r="AB1654" t="str">
            <v>24AAFCP2956A1ZR</v>
          </cell>
        </row>
        <row r="1655">
          <cell r="D1655" t="str">
            <v>Hcp Plastene Bulkpack Ltd (Unit Iv) - Sales</v>
          </cell>
          <cell r="AB1655" t="str">
            <v>24AABCG1282C2Z6</v>
          </cell>
        </row>
        <row r="1656">
          <cell r="D1656" t="str">
            <v>Hcp Plastene Bulkpack Ltd (Unit Iv) - Sales</v>
          </cell>
          <cell r="AB1656" t="str">
            <v>24AABCG1282C2Z6</v>
          </cell>
        </row>
        <row r="1657">
          <cell r="D1657" t="str">
            <v>Hcp Plastene Bulkpack Ltd (Unit Iv) - Sales</v>
          </cell>
          <cell r="AB1657" t="str">
            <v>24AABCG1282C2Z6</v>
          </cell>
        </row>
        <row r="1658">
          <cell r="D1658" t="str">
            <v>Hcp Plastene Bulkpack Ltd (Unit Iv) - Sales</v>
          </cell>
          <cell r="AB1658" t="str">
            <v>24AABCG1282C2Z6</v>
          </cell>
        </row>
        <row r="1659">
          <cell r="D1659" t="str">
            <v>Hcp Plastene Bulkpack Ltd (Unit Iv) - Sales</v>
          </cell>
          <cell r="AB1659" t="str">
            <v>24AABCG1282C2Z6</v>
          </cell>
        </row>
        <row r="1660">
          <cell r="D1660" t="str">
            <v>Hcp Plastene Bulkpack Ltd (Unit Iv) - Sales</v>
          </cell>
          <cell r="AB1660" t="str">
            <v>24AABCG1282C2Z6</v>
          </cell>
        </row>
        <row r="1661">
          <cell r="D1661" t="str">
            <v>Hcp Plastene Bulkpack Ltd (Unit Iv) - Sales</v>
          </cell>
          <cell r="AB1661" t="str">
            <v>24AABCG1282C2Z6</v>
          </cell>
        </row>
        <row r="1662">
          <cell r="D1662" t="str">
            <v>Hcp Plastene Bulkpack Ltd (Unit Iv) - Sales</v>
          </cell>
          <cell r="AB1662" t="str">
            <v>24AABCG1282C2Z6</v>
          </cell>
        </row>
        <row r="1663">
          <cell r="D1663" t="str">
            <v>Hcp Plastene Bulkpack Ltd (Unit Iv) - Sales</v>
          </cell>
          <cell r="AB1663" t="str">
            <v>24AABCG1282C2Z6</v>
          </cell>
        </row>
        <row r="1664">
          <cell r="D1664" t="str">
            <v>Hcp Plastene Bulkpack Ltd (Unit Iv) - Sales</v>
          </cell>
          <cell r="AB1664" t="str">
            <v>24AABCG1282C2Z6</v>
          </cell>
        </row>
        <row r="1665">
          <cell r="D1665" t="str">
            <v>Hcp Plastene Bulkpack Ltd (Unit Iv) - Sales</v>
          </cell>
          <cell r="AB1665" t="str">
            <v>24AABCG1282C2Z6</v>
          </cell>
        </row>
        <row r="1666">
          <cell r="D1666" t="str">
            <v>Hcp Plastene Bulkpack Ltd (Unit Iv) - Sales</v>
          </cell>
          <cell r="AB1666" t="str">
            <v>24AABCG1282C2Z6</v>
          </cell>
        </row>
        <row r="1667">
          <cell r="D1667" t="str">
            <v>Hcp Plastene Bulkpack Ltd (Unit Iv) - Sales</v>
          </cell>
          <cell r="AB1667" t="str">
            <v>24AABCG1282C2Z6</v>
          </cell>
        </row>
        <row r="1668">
          <cell r="D1668" t="str">
            <v>Hcp Plastene Bulkpack Ltd (Unit Iv) - Sales</v>
          </cell>
          <cell r="AB1668" t="str">
            <v>24AABCG1282C2Z6</v>
          </cell>
        </row>
        <row r="1669">
          <cell r="D1669" t="str">
            <v>Hcp Plastene Bulkpack Ltd (Unit Iv) - Sales</v>
          </cell>
          <cell r="AB1669" t="str">
            <v>24AABCG1282C2Z6</v>
          </cell>
        </row>
        <row r="1670">
          <cell r="D1670" t="str">
            <v>Hcp Plastene Bulkpack Ltd (Unit Iv) - Sales</v>
          </cell>
          <cell r="AB1670" t="str">
            <v>24AABCG1282C2Z6</v>
          </cell>
        </row>
        <row r="1671">
          <cell r="D1671" t="str">
            <v>Hcp Plastene Bulkpack Ltd (Unit Iv) - Sales</v>
          </cell>
          <cell r="AB1671" t="str">
            <v>24AABCG1282C2Z6</v>
          </cell>
        </row>
        <row r="1672">
          <cell r="D1672" t="str">
            <v>Hcp Plastene Bulkpack Ltd (Unit Iv) - Sales</v>
          </cell>
          <cell r="AB1672" t="str">
            <v>24AABCG1282C2Z6</v>
          </cell>
        </row>
        <row r="1673">
          <cell r="D1673" t="str">
            <v>Hcp Plastene Bulkpack Ltd (Unit Iv) - Sales</v>
          </cell>
          <cell r="AB1673" t="str">
            <v>24AABCG1282C2Z6</v>
          </cell>
        </row>
        <row r="1674">
          <cell r="D1674" t="str">
            <v>Hcp Plastene Bulkpack Ltd (Unit Iv) - Sales</v>
          </cell>
          <cell r="AB1674" t="str">
            <v>24AABCG1282C2Z6</v>
          </cell>
        </row>
        <row r="1675">
          <cell r="D1675" t="str">
            <v>K.P. Woven Pvt Ltd - Unit 3 -Sales</v>
          </cell>
          <cell r="AB1675" t="str">
            <v>24AAECK6307M2ZE</v>
          </cell>
        </row>
        <row r="1676">
          <cell r="D1676" t="str">
            <v>K.P. Woven Pvt Ltd - Unit 3 -Sales</v>
          </cell>
          <cell r="AB1676" t="str">
            <v>24AAECK6307M2ZE</v>
          </cell>
        </row>
        <row r="1677">
          <cell r="D1677" t="str">
            <v>K.P. Woven Pvt Ltd - Unit 3 -Sales</v>
          </cell>
          <cell r="AB1677" t="str">
            <v>24AAECK6307M2ZE</v>
          </cell>
        </row>
        <row r="1678">
          <cell r="D1678" t="str">
            <v>K.P. Woven Pvt Ltd - Unit 3 -Sales</v>
          </cell>
          <cell r="AB1678" t="str">
            <v>24AAECK6307M2ZE</v>
          </cell>
        </row>
        <row r="1679">
          <cell r="D1679" t="str">
            <v>K.P. Woven Pvt Ltd-Sales</v>
          </cell>
          <cell r="AB1679" t="str">
            <v>24AAECK6307M1ZF</v>
          </cell>
        </row>
        <row r="1680">
          <cell r="D1680" t="str">
            <v>K.P. Woven Pvt Ltd-Sales</v>
          </cell>
          <cell r="AB1680" t="str">
            <v>24AAECK6307M1ZF</v>
          </cell>
        </row>
        <row r="1681">
          <cell r="D1681" t="str">
            <v>K.P. Woven Pvt Ltd-Sales</v>
          </cell>
          <cell r="AB1681" t="str">
            <v>24AAECK6307M1ZF</v>
          </cell>
        </row>
        <row r="1682">
          <cell r="D1682" t="str">
            <v>K.P. Woven Pvt Ltd-Sales</v>
          </cell>
          <cell r="AB1682" t="str">
            <v>24AAECK6307M1ZF</v>
          </cell>
        </row>
        <row r="1683">
          <cell r="D1683" t="str">
            <v>K.P. Woven Pvt Ltd-Sales</v>
          </cell>
          <cell r="AB1683" t="str">
            <v>24AAECK6307M1ZF</v>
          </cell>
        </row>
        <row r="1684">
          <cell r="D1684" t="str">
            <v>K.P. Woven Pvt Ltd-Sales</v>
          </cell>
          <cell r="AB1684" t="str">
            <v>24AAECK6307M1ZF</v>
          </cell>
        </row>
        <row r="1685">
          <cell r="D1685" t="str">
            <v>Oswal Extrusion Ltd- KASEZ-Sales</v>
          </cell>
          <cell r="AB1685" t="str">
            <v>24AAACO7290H4ZB</v>
          </cell>
        </row>
        <row r="1686">
          <cell r="D1686" t="str">
            <v>Plastene Polyfilms Ltd-Sales</v>
          </cell>
          <cell r="AB1686" t="str">
            <v>24AAFCP2956A1ZR</v>
          </cell>
        </row>
        <row r="1687">
          <cell r="D1687" t="str">
            <v>Plastene Polyfilms Ltd-Sales</v>
          </cell>
          <cell r="AB1687" t="str">
            <v>24AAFCP2956A1ZR</v>
          </cell>
        </row>
        <row r="1688">
          <cell r="D1688" t="str">
            <v>Plastene Polyfilms Ltd-Sales</v>
          </cell>
          <cell r="AB1688" t="str">
            <v>24AAFCP2956A1ZR</v>
          </cell>
        </row>
        <row r="1689">
          <cell r="D1689" t="str">
            <v>Plastene Polyfilms Ltd-Sales</v>
          </cell>
          <cell r="AB1689" t="str">
            <v>24AAFCP2956A1ZR</v>
          </cell>
        </row>
        <row r="1690">
          <cell r="D1690" t="str">
            <v>Plastene Polyfilms Ltd-Sales</v>
          </cell>
          <cell r="AB1690" t="str">
            <v>24AAFCP2956A1ZR</v>
          </cell>
        </row>
        <row r="1691">
          <cell r="D1691" t="str">
            <v>Plastene Polyfilms Ltd-Sales</v>
          </cell>
          <cell r="AB1691" t="str">
            <v>24AAFCP2956A1ZR</v>
          </cell>
        </row>
        <row r="1692">
          <cell r="D1692" t="str">
            <v>Plastene Polyfilms Ltd-Sales</v>
          </cell>
          <cell r="AB1692" t="str">
            <v>24AAFCP2956A1ZR</v>
          </cell>
        </row>
        <row r="1693">
          <cell r="D1693" t="str">
            <v>Plastene Polyfilms Ltd-Sales</v>
          </cell>
          <cell r="AB1693" t="str">
            <v>24AAFCP2956A1ZR</v>
          </cell>
        </row>
        <row r="1694">
          <cell r="D1694" t="str">
            <v>Plastene Polyfilms Ltd-Sales</v>
          </cell>
          <cell r="AB1694" t="str">
            <v>24AAFCP2956A1ZR</v>
          </cell>
        </row>
        <row r="1695">
          <cell r="D1695" t="str">
            <v>Plastene Polyfilms Ltd-Sales</v>
          </cell>
          <cell r="AB1695" t="str">
            <v>24AAFCP2956A1ZR</v>
          </cell>
        </row>
        <row r="1696">
          <cell r="D1696" t="str">
            <v>Plastene Polyfilms Ltd-Sales</v>
          </cell>
          <cell r="AB1696" t="str">
            <v>24AAFCP2956A1ZR</v>
          </cell>
        </row>
        <row r="1697">
          <cell r="D1697" t="str">
            <v>Plastene Polyfilms Ltd-Sales</v>
          </cell>
          <cell r="AB1697" t="str">
            <v>24AAFCP2956A1ZR</v>
          </cell>
        </row>
        <row r="1698">
          <cell r="D1698" t="str">
            <v>Plastene Polyfilms Ltd-Sales</v>
          </cell>
          <cell r="AB1698" t="str">
            <v>24AAFCP2956A1ZR</v>
          </cell>
        </row>
        <row r="1699">
          <cell r="D1699" t="str">
            <v>Fibco Plastic Industry Llc</v>
          </cell>
          <cell r="AB1699" t="str">
            <v>N.A.</v>
          </cell>
        </row>
        <row r="1700">
          <cell r="D1700" t="str">
            <v>Fibco Plastic Industry Llc</v>
          </cell>
          <cell r="AB1700" t="str">
            <v>N.A.</v>
          </cell>
        </row>
        <row r="1701">
          <cell r="D1701" t="str">
            <v>Fibco Plastic Industry Llc</v>
          </cell>
          <cell r="AB1701" t="str">
            <v>N.A.</v>
          </cell>
        </row>
        <row r="1702">
          <cell r="D1702" t="str">
            <v>Fibco Plastic Industry Llc</v>
          </cell>
          <cell r="AB1702" t="str">
            <v>N.A.</v>
          </cell>
        </row>
        <row r="1703">
          <cell r="D1703" t="str">
            <v>Hcp Plastene Bulkpack Ltd (Unit Iv) - Sales</v>
          </cell>
          <cell r="AB1703" t="str">
            <v>24AABCG1282C2Z6</v>
          </cell>
        </row>
        <row r="1704">
          <cell r="D1704" t="str">
            <v>Hcp Plastene Bulkpack Ltd (Unit Iv) - Sales</v>
          </cell>
          <cell r="AB1704" t="str">
            <v>24AABCG1282C2Z6</v>
          </cell>
        </row>
        <row r="1705">
          <cell r="D1705" t="str">
            <v>Hcp Plastene Bulkpack Ltd (Unit Iv) - Sales</v>
          </cell>
          <cell r="AB1705" t="str">
            <v>24AABCG1282C2Z6</v>
          </cell>
        </row>
        <row r="1706">
          <cell r="D1706" t="str">
            <v>Hcp Plastene Bulkpack Ltd (Unit Iv) - Sales</v>
          </cell>
          <cell r="AB1706" t="str">
            <v>24AABCG1282C2Z6</v>
          </cell>
        </row>
        <row r="1707">
          <cell r="D1707" t="str">
            <v>Hcp Plastene Bulkpack Ltd (Unit Iv) - Sales</v>
          </cell>
          <cell r="AB1707" t="str">
            <v>24AABCG1282C2Z6</v>
          </cell>
        </row>
        <row r="1708">
          <cell r="D1708" t="str">
            <v>Hcp Plastene Bulkpack Ltd (Unit Iv) - Sales</v>
          </cell>
          <cell r="AB1708" t="str">
            <v>24AABCG1282C2Z6</v>
          </cell>
        </row>
        <row r="1709">
          <cell r="D1709" t="str">
            <v>Hcp Plastene Bulkpack Ltd (Unit Iv) - Sales</v>
          </cell>
          <cell r="AB1709" t="str">
            <v>24AABCG1282C2Z6</v>
          </cell>
        </row>
        <row r="1710">
          <cell r="D1710" t="str">
            <v>Hcp Plastene Bulkpack Ltd (Unit Iv) - Sales</v>
          </cell>
          <cell r="AB1710" t="str">
            <v>24AABCG1282C2Z6</v>
          </cell>
        </row>
        <row r="1711">
          <cell r="D1711" t="str">
            <v>Hcp Plastene Bulkpack Ltd (Unit Iv) - Sales</v>
          </cell>
          <cell r="AB1711" t="str">
            <v>24AABCG1282C2Z6</v>
          </cell>
        </row>
        <row r="1712">
          <cell r="D1712" t="str">
            <v>Hcp Plastene Bulkpack Ltd (Unit Iv) - Sales</v>
          </cell>
          <cell r="AB1712" t="str">
            <v>24AABCG1282C2Z6</v>
          </cell>
        </row>
        <row r="1713">
          <cell r="D1713" t="str">
            <v>Plastene Polyfilms Ltd-Sales</v>
          </cell>
          <cell r="AB1713" t="str">
            <v>24AAFCP2956A1ZR</v>
          </cell>
        </row>
        <row r="1714">
          <cell r="D1714" t="str">
            <v>Plastene Polyfilms Ltd-Sales</v>
          </cell>
          <cell r="AB1714" t="str">
            <v>24AAFCP2956A1ZR</v>
          </cell>
        </row>
        <row r="1715">
          <cell r="D1715" t="str">
            <v>Plastene Polyfilms Ltd-Sales</v>
          </cell>
          <cell r="AB1715" t="str">
            <v>24AAFCP2956A1ZR</v>
          </cell>
        </row>
        <row r="1716">
          <cell r="D1716" t="str">
            <v>Plastene Polyfilms Ltd-Sales</v>
          </cell>
          <cell r="AB1716" t="str">
            <v>24AAFCP2956A1ZR</v>
          </cell>
        </row>
        <row r="1717">
          <cell r="D1717" t="str">
            <v>Plastene Polyfilms Ltd-Sales</v>
          </cell>
          <cell r="AB1717" t="str">
            <v>24AAFCP2956A1ZR</v>
          </cell>
        </row>
        <row r="1718">
          <cell r="D1718" t="str">
            <v>Plastene Polyfilms Ltd-Sales</v>
          </cell>
          <cell r="AB1718" t="str">
            <v>24AAFCP2956A1ZR</v>
          </cell>
        </row>
        <row r="1719">
          <cell r="D1719" t="str">
            <v>Hcp Plastene Bulkpack Ltd (Unit Iv) - Sales</v>
          </cell>
          <cell r="AB1719" t="str">
            <v>24AABCG1282C2Z6</v>
          </cell>
        </row>
        <row r="1720">
          <cell r="D1720" t="str">
            <v>Hcp Plastene Bulkpack Ltd (Unit Iv) - Sales</v>
          </cell>
          <cell r="AB1720" t="str">
            <v>24AABCG1282C2Z6</v>
          </cell>
        </row>
        <row r="1721">
          <cell r="D1721" t="str">
            <v>Hcp Plastene Bulkpack Ltd (Unit Iv) - Sales</v>
          </cell>
          <cell r="AB1721" t="str">
            <v>24AABCG1282C2Z6</v>
          </cell>
        </row>
        <row r="1722">
          <cell r="D1722" t="str">
            <v>Hcp Plastene Bulkpack Ltd (Unit Iv) - Sales</v>
          </cell>
          <cell r="AB1722" t="str">
            <v>24AABCG1282C2Z6</v>
          </cell>
        </row>
        <row r="1723">
          <cell r="D1723" t="str">
            <v>Hcp Plastene Bulkpack Ltd (Unit Iv) - Sales</v>
          </cell>
          <cell r="AB1723" t="str">
            <v>24AABCG1282C2Z6</v>
          </cell>
        </row>
        <row r="1724">
          <cell r="D1724" t="str">
            <v>Hcp Plastene Bulkpack Ltd (Unit Iv) - Sales</v>
          </cell>
          <cell r="AB1724" t="str">
            <v>24AABCG1282C2Z6</v>
          </cell>
        </row>
        <row r="1725">
          <cell r="D1725" t="str">
            <v>Hcp Plastene Bulkpack Ltd (Unit Iv) - Sales</v>
          </cell>
          <cell r="AB1725" t="str">
            <v>24AABCG1282C2Z6</v>
          </cell>
        </row>
        <row r="1726">
          <cell r="D1726" t="str">
            <v>Hcp Plastene Bulkpack Ltd (Unit Iv) - Sales</v>
          </cell>
          <cell r="AB1726" t="str">
            <v>24AABCG1282C2Z6</v>
          </cell>
        </row>
        <row r="1727">
          <cell r="D1727" t="str">
            <v>Hcp Plastene Bulkpack Ltd (Unit Iv) - Sales</v>
          </cell>
          <cell r="AB1727" t="str">
            <v>24AABCG1282C2Z6</v>
          </cell>
        </row>
        <row r="1728">
          <cell r="D1728" t="str">
            <v>Hcp Plastene Bulkpack Ltd (Unit Iv) - Sales</v>
          </cell>
          <cell r="AB1728" t="str">
            <v>24AABCG1282C2Z6</v>
          </cell>
        </row>
        <row r="1729">
          <cell r="D1729" t="str">
            <v>K.P. Woven Pvt Ltd-Sales</v>
          </cell>
          <cell r="AB1729" t="str">
            <v>24AAECK6307M1ZF</v>
          </cell>
        </row>
        <row r="1730">
          <cell r="D1730" t="str">
            <v>K.P. Woven Pvt Ltd-Sales</v>
          </cell>
          <cell r="AB1730" t="str">
            <v>24AAECK6307M1ZF</v>
          </cell>
        </row>
        <row r="1731">
          <cell r="D1731" t="str">
            <v>K.P. Woven Pvt Ltd-Sales</v>
          </cell>
          <cell r="AB1731" t="str">
            <v>24AAECK6307M1ZF</v>
          </cell>
        </row>
        <row r="1732">
          <cell r="D1732" t="str">
            <v>K.P. Woven Pvt Ltd-Sales</v>
          </cell>
          <cell r="AB1732" t="str">
            <v>24AAECK6307M1ZF</v>
          </cell>
        </row>
        <row r="1733">
          <cell r="D1733" t="str">
            <v>K.P. Woven Pvt Ltd-Sales</v>
          </cell>
          <cell r="AB1733" t="str">
            <v>24AAECK6307M1ZF</v>
          </cell>
        </row>
        <row r="1734">
          <cell r="D1734" t="str">
            <v>K.P. Woven Pvt Ltd-Sales</v>
          </cell>
          <cell r="AB1734" t="str">
            <v>24AAECK6307M1ZF</v>
          </cell>
        </row>
        <row r="1735">
          <cell r="D1735" t="str">
            <v>K.P. Woven Pvt Ltd-Sales</v>
          </cell>
          <cell r="AB1735" t="str">
            <v>24AAECK6307M1ZF</v>
          </cell>
        </row>
        <row r="1736">
          <cell r="D1736" t="str">
            <v>K.P. Woven Pvt Ltd-Sales</v>
          </cell>
          <cell r="AB1736" t="str">
            <v>24AAECK6307M1ZF</v>
          </cell>
        </row>
        <row r="1737">
          <cell r="D1737" t="str">
            <v>K.P. Woven Pvt Ltd-Sales</v>
          </cell>
          <cell r="AB1737" t="str">
            <v>24AAECK6307M1ZF</v>
          </cell>
        </row>
        <row r="1738">
          <cell r="D1738" t="str">
            <v>K.P. Woven Pvt Ltd-Sales</v>
          </cell>
          <cell r="AB1738" t="str">
            <v>24AAECK6307M1ZF</v>
          </cell>
        </row>
        <row r="1739">
          <cell r="D1739" t="str">
            <v>K.P. Woven Pvt Ltd-Sales</v>
          </cell>
          <cell r="AB1739" t="str">
            <v>24AAECK6307M1ZF</v>
          </cell>
        </row>
        <row r="1740">
          <cell r="D1740" t="str">
            <v>K.P. Woven Pvt Ltd-Sales</v>
          </cell>
          <cell r="AB1740" t="str">
            <v>24AAECK6307M1ZF</v>
          </cell>
        </row>
        <row r="1741">
          <cell r="D1741" t="str">
            <v>K.P. Woven Pvt Ltd-Sales</v>
          </cell>
          <cell r="AB1741" t="str">
            <v>24AAECK6307M1ZF</v>
          </cell>
        </row>
        <row r="1742">
          <cell r="D1742" t="str">
            <v>K.P. Woven Pvt Ltd-Sales</v>
          </cell>
          <cell r="AB1742" t="str">
            <v>24AAECK6307M1ZF</v>
          </cell>
        </row>
        <row r="1743">
          <cell r="D1743" t="str">
            <v>K.P. Woven Pvt Ltd-Sales</v>
          </cell>
          <cell r="AB1743" t="str">
            <v>24AAECK6307M1ZF</v>
          </cell>
        </row>
        <row r="1744">
          <cell r="D1744" t="str">
            <v>K.P. Woven Pvt Ltd-Sales</v>
          </cell>
          <cell r="AB1744" t="str">
            <v>24AAECK6307M1ZF</v>
          </cell>
        </row>
        <row r="1745">
          <cell r="D1745" t="str">
            <v>K.P. Woven Pvt Ltd-Sales</v>
          </cell>
          <cell r="AB1745" t="str">
            <v>24AAECK6307M1ZF</v>
          </cell>
        </row>
        <row r="1746">
          <cell r="D1746" t="str">
            <v>Plastene Polyfilms Ltd-Sales</v>
          </cell>
          <cell r="AB1746" t="str">
            <v>24AAFCP2956A1ZR</v>
          </cell>
        </row>
        <row r="1747">
          <cell r="D1747" t="str">
            <v>Plastene Polyfilms Ltd-Sales</v>
          </cell>
          <cell r="AB1747" t="str">
            <v>24AAFCP2956A1ZR</v>
          </cell>
        </row>
        <row r="1748">
          <cell r="D1748" t="str">
            <v>Plastene Polyfilms Ltd-Sales</v>
          </cell>
          <cell r="AB1748" t="str">
            <v>24AAFCP2956A1ZR</v>
          </cell>
        </row>
        <row r="1749">
          <cell r="D1749" t="str">
            <v>Plastene Polyfilms Ltd-Sales</v>
          </cell>
          <cell r="AB1749" t="str">
            <v>24AAFCP2956A1ZR</v>
          </cell>
        </row>
        <row r="1750">
          <cell r="D1750" t="str">
            <v>Plastene Polyfilms Ltd-Sales</v>
          </cell>
          <cell r="AB1750" t="str">
            <v>24AAFCP2956A1ZR</v>
          </cell>
        </row>
        <row r="1751">
          <cell r="D1751" t="str">
            <v>Plastene Polyfilms Ltd-Sales</v>
          </cell>
          <cell r="AB1751" t="str">
            <v>24AAFCP2956A1ZR</v>
          </cell>
        </row>
        <row r="1752">
          <cell r="D1752" t="str">
            <v>Plastene Polyfilms Ltd-Sales</v>
          </cell>
          <cell r="AB1752" t="str">
            <v>24AAFCP2956A1ZR</v>
          </cell>
        </row>
        <row r="1753">
          <cell r="D1753" t="str">
            <v>Plastene Polyfilms Ltd-Sales</v>
          </cell>
          <cell r="AB1753" t="str">
            <v>24AAFCP2956A1ZR</v>
          </cell>
        </row>
        <row r="1754">
          <cell r="D1754" t="str">
            <v>Plastene Polyfilms Ltd-Sales</v>
          </cell>
          <cell r="AB1754" t="str">
            <v>24AAFCP2956A1ZR</v>
          </cell>
        </row>
        <row r="1755">
          <cell r="D1755" t="str">
            <v>H Polesy &amp; Co Pty Ltd</v>
          </cell>
          <cell r="AB1755" t="str">
            <v>N.A.</v>
          </cell>
        </row>
        <row r="1756">
          <cell r="D1756" t="str">
            <v>Hcp Plastene Bulkpack Ltd (Unit Iv) - Sales</v>
          </cell>
          <cell r="AB1756" t="str">
            <v>24AABCG1282C2Z6</v>
          </cell>
        </row>
        <row r="1757">
          <cell r="D1757" t="str">
            <v>Hcp Plastene Bulkpack Ltd (Unit Iv) - Sales</v>
          </cell>
          <cell r="AB1757" t="str">
            <v>24AABCG1282C2Z6</v>
          </cell>
        </row>
        <row r="1758">
          <cell r="D1758" t="str">
            <v>Hcp Plastene Bulkpack Ltd (Unit Iv) - Sales</v>
          </cell>
          <cell r="AB1758" t="str">
            <v>24AABCG1282C2Z6</v>
          </cell>
        </row>
        <row r="1759">
          <cell r="D1759" t="str">
            <v>Hcp Plastene Bulkpack Ltd (Unit Iv) - Sales</v>
          </cell>
          <cell r="AB1759" t="str">
            <v>24AABCG1282C2Z6</v>
          </cell>
        </row>
        <row r="1760">
          <cell r="D1760" t="str">
            <v>Hcp Plastene Bulkpack Ltd (Unit Iv) - Sales</v>
          </cell>
          <cell r="AB1760" t="str">
            <v>24AABCG1282C2Z6</v>
          </cell>
        </row>
        <row r="1761">
          <cell r="D1761" t="str">
            <v>Hcp Plastene Bulkpack Ltd (Unit Iv) - Sales</v>
          </cell>
          <cell r="AB1761" t="str">
            <v>24AABCG1282C2Z6</v>
          </cell>
        </row>
        <row r="1762">
          <cell r="D1762" t="str">
            <v>Hcp Plastene Bulkpack Ltd (Unit Iv) - Sales</v>
          </cell>
          <cell r="AB1762" t="str">
            <v>24AABCG1282C2Z6</v>
          </cell>
        </row>
        <row r="1763">
          <cell r="D1763" t="str">
            <v>Hcp Plastene Bulkpack Ltd (Unit Iv) - Sales</v>
          </cell>
          <cell r="AB1763" t="str">
            <v>24AABCG1282C2Z6</v>
          </cell>
        </row>
        <row r="1764">
          <cell r="D1764" t="str">
            <v>Hcp Plastene Bulkpack Ltd (Unit Iv) - Sales</v>
          </cell>
          <cell r="AB1764" t="str">
            <v>24AABCG1282C2Z6</v>
          </cell>
        </row>
        <row r="1765">
          <cell r="D1765" t="str">
            <v>Hcp Plastene Bulkpack Ltd (Unit Iv) - Sales</v>
          </cell>
          <cell r="AB1765" t="str">
            <v>24AABCG1282C2Z6</v>
          </cell>
        </row>
        <row r="1766">
          <cell r="D1766" t="str">
            <v>Hcp Plastene Bulkpack Ltd (Unit Iv) - Sales</v>
          </cell>
          <cell r="AB1766" t="str">
            <v>24AABCG1282C2Z6</v>
          </cell>
        </row>
        <row r="1767">
          <cell r="D1767" t="str">
            <v>Hcp Plastene Bulkpack Ltd (Unit Iv) - Sales</v>
          </cell>
          <cell r="AB1767" t="str">
            <v>24AABCG1282C2Z6</v>
          </cell>
        </row>
        <row r="1768">
          <cell r="D1768" t="str">
            <v>Hcp Plastene Bulkpack Ltd (Unit Iv) - Sales</v>
          </cell>
          <cell r="AB1768" t="str">
            <v>24AABCG1282C2Z6</v>
          </cell>
        </row>
        <row r="1769">
          <cell r="D1769" t="str">
            <v>Hcp Plastene Bulkpack Ltd (Unit Iv) - Sales</v>
          </cell>
          <cell r="AB1769" t="str">
            <v>24AABCG1282C2Z6</v>
          </cell>
        </row>
        <row r="1770">
          <cell r="D1770" t="str">
            <v>Hcp Plastene Bulkpack Ltd (Unit Iv) - Sales</v>
          </cell>
          <cell r="AB1770" t="str">
            <v>24AABCG1282C2Z6</v>
          </cell>
        </row>
        <row r="1771">
          <cell r="D1771" t="str">
            <v>Jain Bulk Pack - Ahmedabad</v>
          </cell>
          <cell r="AB1771" t="str">
            <v>24AFOPG7793M1ZO</v>
          </cell>
        </row>
        <row r="1772">
          <cell r="D1772" t="str">
            <v>Jain Bulk Pack - Ahmedabad</v>
          </cell>
          <cell r="AB1772" t="str">
            <v>24AFOPG7793M1ZO</v>
          </cell>
        </row>
        <row r="1773">
          <cell r="D1773" t="str">
            <v>Jain Bulk Pack - Ahmedabad</v>
          </cell>
          <cell r="AB1773" t="str">
            <v>24AFOPG7793M1ZO</v>
          </cell>
        </row>
        <row r="1774">
          <cell r="D1774" t="str">
            <v>K.P. Woven Pvt Ltd - Unit 3 -Sales</v>
          </cell>
          <cell r="AB1774" t="str">
            <v>24AAECK6307M2ZE</v>
          </cell>
        </row>
        <row r="1775">
          <cell r="D1775" t="str">
            <v>K.P. Woven Pvt Ltd - Unit 3 -Sales</v>
          </cell>
          <cell r="AB1775" t="str">
            <v>24AAECK6307M2ZE</v>
          </cell>
        </row>
        <row r="1776">
          <cell r="D1776" t="str">
            <v>K.P. Woven Pvt Ltd - Unit 3 -Sales</v>
          </cell>
          <cell r="AB1776" t="str">
            <v>24AAECK6307M2ZE</v>
          </cell>
        </row>
        <row r="1777">
          <cell r="D1777" t="str">
            <v>K.P. Woven Pvt Ltd - Unit 3 -Sales</v>
          </cell>
          <cell r="AB1777" t="str">
            <v>24AAECK6307M2ZE</v>
          </cell>
        </row>
        <row r="1778">
          <cell r="D1778" t="str">
            <v>K.P. Woven Pvt Ltd - Unit 3 -Sales</v>
          </cell>
          <cell r="AB1778" t="str">
            <v>24AAECK6307M2ZE</v>
          </cell>
        </row>
        <row r="1779">
          <cell r="D1779" t="str">
            <v>K.P. Woven Pvt Ltd - Unit 3 -Sales</v>
          </cell>
          <cell r="AB1779" t="str">
            <v>24AAECK6307M2ZE</v>
          </cell>
        </row>
        <row r="1780">
          <cell r="D1780" t="str">
            <v>K.P. Woven Pvt Ltd - Unit 3 -Sales</v>
          </cell>
          <cell r="AB1780" t="str">
            <v>24AAECK6307M2ZE</v>
          </cell>
        </row>
        <row r="1781">
          <cell r="D1781" t="str">
            <v>K.P. Woven Pvt Ltd - Unit 3 -Sales</v>
          </cell>
          <cell r="AB1781" t="str">
            <v>24AAECK6307M2ZE</v>
          </cell>
        </row>
        <row r="1782">
          <cell r="D1782" t="str">
            <v>K.P. Woven Pvt Ltd - Unit 3 -Sales</v>
          </cell>
          <cell r="AB1782" t="str">
            <v>24AAECK6307M2ZE</v>
          </cell>
        </row>
        <row r="1783">
          <cell r="D1783" t="str">
            <v>K.P. Woven Pvt Ltd - Unit 3 -Sales</v>
          </cell>
          <cell r="AB1783" t="str">
            <v>24AAECK6307M2ZE</v>
          </cell>
        </row>
        <row r="1784">
          <cell r="D1784" t="str">
            <v>Plastene Polyfilms Ltd-Sales</v>
          </cell>
          <cell r="AB1784" t="str">
            <v>24AAFCP2956A1ZR</v>
          </cell>
        </row>
        <row r="1785">
          <cell r="D1785" t="str">
            <v>Plastene Polyfilms Ltd-Sales</v>
          </cell>
          <cell r="AB1785" t="str">
            <v>24AAFCP2956A1ZR</v>
          </cell>
        </row>
        <row r="1786">
          <cell r="D1786" t="str">
            <v>Plastene Polyfilms Ltd-Sales</v>
          </cell>
          <cell r="AB1786" t="str">
            <v>24AAFCP2956A1ZR</v>
          </cell>
        </row>
        <row r="1787">
          <cell r="D1787" t="str">
            <v>Plastene Polyfilms Ltd-Sales</v>
          </cell>
          <cell r="AB1787" t="str">
            <v>24AAFCP2956A1ZR</v>
          </cell>
        </row>
        <row r="1788">
          <cell r="D1788" t="str">
            <v>Plastene Polyfilms Ltd-Sales</v>
          </cell>
          <cell r="AB1788" t="str">
            <v>24AAFCP2956A1ZR</v>
          </cell>
        </row>
        <row r="1789">
          <cell r="D1789" t="str">
            <v>Hcp Plastene Bulkpack Ltd (Unit Iv) - Sales</v>
          </cell>
          <cell r="AB1789" t="str">
            <v>24AABCG1282C2Z6</v>
          </cell>
        </row>
        <row r="1790">
          <cell r="D1790" t="str">
            <v>Hcp Plastene Bulkpack Ltd (Unit Iv) - Sales</v>
          </cell>
          <cell r="AB1790" t="str">
            <v>24AABCG1282C2Z6</v>
          </cell>
        </row>
        <row r="1791">
          <cell r="D1791" t="str">
            <v>Hcp Plastene Bulkpack Ltd (Unit Iv) - Sales</v>
          </cell>
          <cell r="AB1791" t="str">
            <v>24AABCG1282C2Z6</v>
          </cell>
        </row>
        <row r="1792">
          <cell r="D1792" t="str">
            <v>Hcp Plastene Bulkpack Ltd (Unit Iv) - Sales</v>
          </cell>
          <cell r="AB1792" t="str">
            <v>24AABCG1282C2Z6</v>
          </cell>
        </row>
        <row r="1793">
          <cell r="D1793" t="str">
            <v>Hcp Plastene Bulkpack Ltd (Unit Iv) - Sales</v>
          </cell>
          <cell r="AB1793" t="str">
            <v>24AABCG1282C2Z6</v>
          </cell>
        </row>
        <row r="1794">
          <cell r="D1794" t="str">
            <v>Hcp Plastene Bulkpack Ltd (Unit Iv) - Sales</v>
          </cell>
          <cell r="AB1794" t="str">
            <v>24AABCG1282C2Z6</v>
          </cell>
        </row>
        <row r="1795">
          <cell r="D1795" t="str">
            <v>Hcp Plastene Bulkpack Ltd (Unit Iv) - Sales</v>
          </cell>
          <cell r="AB1795" t="str">
            <v>24AABCG1282C2Z6</v>
          </cell>
        </row>
        <row r="1796">
          <cell r="D1796" t="str">
            <v>Hcp Plastene Bulkpack Ltd (Unit Iv) - Sales</v>
          </cell>
          <cell r="AB1796" t="str">
            <v>24AABCG1282C2Z6</v>
          </cell>
        </row>
        <row r="1797">
          <cell r="D1797" t="str">
            <v>Hcp Plastene Bulkpack Ltd (Unit Iv) - Sales</v>
          </cell>
          <cell r="AB1797" t="str">
            <v>24AABCG1282C2Z6</v>
          </cell>
        </row>
        <row r="1798">
          <cell r="D1798" t="str">
            <v>Hcp Plastene Bulkpack Ltd (Unit Iv) - Sales</v>
          </cell>
          <cell r="AB1798" t="str">
            <v>24AABCG1282C2Z6</v>
          </cell>
        </row>
        <row r="1799">
          <cell r="D1799" t="str">
            <v>Hcp Plastene Bulkpack Ltd (Unit Iv) - Sales</v>
          </cell>
          <cell r="AB1799" t="str">
            <v>24AABCG1282C2Z6</v>
          </cell>
        </row>
        <row r="1800">
          <cell r="D1800" t="str">
            <v>Hcp Plastene Bulkpack Ltd (Unit Iv) - Sales</v>
          </cell>
          <cell r="AB1800" t="str">
            <v>24AABCG1282C2Z6</v>
          </cell>
        </row>
        <row r="1801">
          <cell r="D1801" t="str">
            <v>Hcp Plastene Bulkpack Ltd (Unit Iv) - Sales</v>
          </cell>
          <cell r="AB1801" t="str">
            <v>24AABCG1282C2Z6</v>
          </cell>
        </row>
        <row r="1802">
          <cell r="D1802" t="str">
            <v>Hcp Plastene Bulkpack Ltd (Unit Iv) - Sales</v>
          </cell>
          <cell r="AB1802" t="str">
            <v>24AABCG1282C2Z6</v>
          </cell>
        </row>
        <row r="1803">
          <cell r="D1803" t="str">
            <v>Hcp Plastene Bulkpack Ltd (Unit Iv) - Sales</v>
          </cell>
          <cell r="AB1803" t="str">
            <v>24AABCG1282C2Z6</v>
          </cell>
        </row>
        <row r="1804">
          <cell r="D1804" t="str">
            <v>Hcp Plastene Bulkpack Ltd (Unit Iv) - Sales</v>
          </cell>
          <cell r="AB1804" t="str">
            <v>24AABCG1282C2Z6</v>
          </cell>
        </row>
        <row r="1805">
          <cell r="D1805" t="str">
            <v>Juta A.S.</v>
          </cell>
          <cell r="AB1805" t="str">
            <v>N.A.</v>
          </cell>
        </row>
        <row r="1806">
          <cell r="D1806" t="str">
            <v>K.P. Woven Pvt Ltd-Sales</v>
          </cell>
          <cell r="AB1806" t="str">
            <v>24AAECK6307M1ZF</v>
          </cell>
        </row>
        <row r="1807">
          <cell r="D1807" t="str">
            <v>K.P. Woven Pvt Ltd-Sales</v>
          </cell>
          <cell r="AB1807" t="str">
            <v>24AAECK6307M1ZF</v>
          </cell>
        </row>
        <row r="1808">
          <cell r="D1808" t="str">
            <v>K.P. Woven Pvt Ltd-Sales</v>
          </cell>
          <cell r="AB1808" t="str">
            <v>24AAECK6307M1ZF</v>
          </cell>
        </row>
        <row r="1809">
          <cell r="D1809" t="str">
            <v>K.P. Woven Pvt Ltd-Sales</v>
          </cell>
          <cell r="AB1809" t="str">
            <v>24AAECK6307M1ZF</v>
          </cell>
        </row>
        <row r="1810">
          <cell r="D1810" t="str">
            <v>K.P. Woven Pvt Ltd-Sales</v>
          </cell>
          <cell r="AB1810" t="str">
            <v>24AAECK6307M1ZF</v>
          </cell>
        </row>
        <row r="1811">
          <cell r="D1811" t="str">
            <v>K.P. Woven Pvt Ltd-Sales</v>
          </cell>
          <cell r="AB1811" t="str">
            <v>24AAECK6307M1ZF</v>
          </cell>
        </row>
        <row r="1812">
          <cell r="D1812" t="str">
            <v>K.P. Woven Pvt Ltd-Sales</v>
          </cell>
          <cell r="AB1812" t="str">
            <v>24AAECK6307M1ZF</v>
          </cell>
        </row>
        <row r="1813">
          <cell r="D1813" t="str">
            <v>K.P. Woven Pvt Ltd-Sales</v>
          </cell>
          <cell r="AB1813" t="str">
            <v>24AAECK6307M1ZF</v>
          </cell>
        </row>
        <row r="1814">
          <cell r="D1814" t="str">
            <v>K.P. Woven Pvt Ltd-Sales</v>
          </cell>
          <cell r="AB1814" t="str">
            <v>24AAECK6307M1ZF</v>
          </cell>
        </row>
        <row r="1815">
          <cell r="D1815" t="str">
            <v>Mikitos Ind E Com De Gen Alim Do Amazonas Ltda</v>
          </cell>
          <cell r="AB1815" t="str">
            <v>N.A.</v>
          </cell>
        </row>
        <row r="1816">
          <cell r="D1816" t="str">
            <v>Plastene Polyfilms Ltd-Sales</v>
          </cell>
          <cell r="AB1816" t="str">
            <v>24AAFCP2956A1ZR</v>
          </cell>
        </row>
        <row r="1817">
          <cell r="D1817" t="str">
            <v>Plastene Polyfilms Ltd-Sales</v>
          </cell>
          <cell r="AB1817" t="str">
            <v>24AAFCP2956A1ZR</v>
          </cell>
        </row>
        <row r="1818">
          <cell r="D1818" t="str">
            <v>Plastene Polyfilms Ltd-Sales</v>
          </cell>
          <cell r="AB1818" t="str">
            <v>24AAFCP2956A1ZR</v>
          </cell>
        </row>
        <row r="1819">
          <cell r="D1819" t="str">
            <v>Plastene Polyfilms Ltd-Sales</v>
          </cell>
          <cell r="AB1819" t="str">
            <v>24AAFCP2956A1ZR</v>
          </cell>
        </row>
        <row r="1820">
          <cell r="D1820" t="str">
            <v>Plastene Polyfilms Ltd-Sales</v>
          </cell>
          <cell r="AB1820" t="str">
            <v>24AAFCP2956A1ZR</v>
          </cell>
        </row>
        <row r="1821">
          <cell r="D1821" t="str">
            <v>Plastene Polyfilms Ltd-Sales</v>
          </cell>
          <cell r="AB1821" t="str">
            <v>24AAFCP2956A1ZR</v>
          </cell>
        </row>
        <row r="1822">
          <cell r="D1822" t="str">
            <v>Plastene Polyfilms Ltd-Sales</v>
          </cell>
          <cell r="AB1822" t="str">
            <v>24AAFCP2956A1ZR</v>
          </cell>
        </row>
        <row r="1823">
          <cell r="D1823" t="str">
            <v>Plastene Polyfilms Ltd-Sales</v>
          </cell>
          <cell r="AB1823" t="str">
            <v>24AAFCP2956A1ZR</v>
          </cell>
        </row>
        <row r="1824">
          <cell r="D1824" t="str">
            <v>HCP Plastene Bulkpack Limited - Sales</v>
          </cell>
          <cell r="AB1824" t="str">
            <v>24AABCG1282C2Z6</v>
          </cell>
        </row>
        <row r="1825">
          <cell r="D1825" t="str">
            <v>Hcp Plastene Bulkpack Ltd (Unit Iv) - Sales</v>
          </cell>
          <cell r="AB1825" t="str">
            <v>24AABCG1282C2Z6</v>
          </cell>
        </row>
        <row r="1826">
          <cell r="D1826" t="str">
            <v>Hcp Plastene Bulkpack Ltd (Unit Iv) - Sales</v>
          </cell>
          <cell r="AB1826" t="str">
            <v>24AABCG1282C2Z6</v>
          </cell>
        </row>
        <row r="1827">
          <cell r="D1827" t="str">
            <v>Hcp Plastene Bulkpack Ltd (Unit Iv) - Sales</v>
          </cell>
          <cell r="AB1827" t="str">
            <v>24AABCG1282C2Z6</v>
          </cell>
        </row>
        <row r="1828">
          <cell r="D1828" t="str">
            <v>Hcp Plastene Bulkpack Ltd (Unit Iv) - Sales</v>
          </cell>
          <cell r="AB1828" t="str">
            <v>24AABCG1282C2Z6</v>
          </cell>
        </row>
        <row r="1829">
          <cell r="D1829" t="str">
            <v>Hcp Plastene Bulkpack Ltd (Unit Iv) - Sales</v>
          </cell>
          <cell r="AB1829" t="str">
            <v>24AABCG1282C2Z6</v>
          </cell>
        </row>
        <row r="1830">
          <cell r="D1830" t="str">
            <v>Hcp Plastene Bulkpack Ltd (Unit Iv) - Sales</v>
          </cell>
          <cell r="AB1830" t="str">
            <v>24AABCG1282C2Z6</v>
          </cell>
        </row>
        <row r="1831">
          <cell r="D1831" t="str">
            <v>Hcp Plastene Bulkpack Ltd (Unit Iv) - Sales</v>
          </cell>
          <cell r="AB1831" t="str">
            <v>24AABCG1282C2Z6</v>
          </cell>
        </row>
        <row r="1832">
          <cell r="D1832" t="str">
            <v>Hcp Plastene Bulkpack Ltd (Unit Iv) - Sales</v>
          </cell>
          <cell r="AB1832" t="str">
            <v>24AABCG1282C2Z6</v>
          </cell>
        </row>
        <row r="1833">
          <cell r="D1833" t="str">
            <v>Hcp Plastene Bulkpack Ltd (Unit Iv) - Sales</v>
          </cell>
          <cell r="AB1833" t="str">
            <v>24AABCG1282C2Z6</v>
          </cell>
        </row>
        <row r="1834">
          <cell r="D1834" t="str">
            <v>Hcp Plastene Bulkpack Ltd (Unit Iv) - Sales</v>
          </cell>
          <cell r="AB1834" t="str">
            <v>24AABCG1282C2Z6</v>
          </cell>
        </row>
        <row r="1835">
          <cell r="D1835" t="str">
            <v>K.P. Woven Pvt Ltd - Unit 3 -Sales</v>
          </cell>
          <cell r="AB1835" t="str">
            <v>24AAECK6307M2ZE</v>
          </cell>
        </row>
        <row r="1836">
          <cell r="D1836" t="str">
            <v>K.P. Woven Pvt Ltd - Unit 3 -Sales</v>
          </cell>
          <cell r="AB1836" t="str">
            <v>24AAECK6307M2ZE</v>
          </cell>
        </row>
        <row r="1837">
          <cell r="D1837" t="str">
            <v>K.P. Woven Pvt Ltd - Unit 3 -Sales</v>
          </cell>
          <cell r="AB1837" t="str">
            <v>24AAECK6307M2ZE</v>
          </cell>
        </row>
        <row r="1838">
          <cell r="D1838" t="str">
            <v>K.P. Woven Pvt Ltd - Unit 3 -Sales</v>
          </cell>
          <cell r="AB1838" t="str">
            <v>24AAECK6307M2ZE</v>
          </cell>
        </row>
        <row r="1839">
          <cell r="D1839" t="str">
            <v>K.P. Woven Pvt Ltd - Unit 3 -Sales</v>
          </cell>
          <cell r="AB1839" t="str">
            <v>24AAECK6307M2ZE</v>
          </cell>
        </row>
        <row r="1840">
          <cell r="D1840" t="str">
            <v>K.P. Woven Pvt Ltd-Sales</v>
          </cell>
          <cell r="AB1840" t="str">
            <v>24AAECK6307M1ZF</v>
          </cell>
        </row>
        <row r="1841">
          <cell r="D1841" t="str">
            <v>K.P. Woven Pvt Ltd-Sales</v>
          </cell>
          <cell r="AB1841" t="str">
            <v>24AAECK6307M1ZF</v>
          </cell>
        </row>
        <row r="1842">
          <cell r="D1842" t="str">
            <v>K.P. Woven Pvt Ltd-Sales</v>
          </cell>
          <cell r="AB1842" t="str">
            <v>24AAECK6307M1ZF</v>
          </cell>
        </row>
        <row r="1843">
          <cell r="D1843" t="str">
            <v>K.P. Woven Pvt Ltd-Sales</v>
          </cell>
          <cell r="AB1843" t="str">
            <v>24AAECK6307M1ZF</v>
          </cell>
        </row>
        <row r="1844">
          <cell r="D1844" t="str">
            <v>K.P. Woven Pvt Ltd-Sales</v>
          </cell>
          <cell r="AB1844" t="str">
            <v>24AAECK6307M1ZF</v>
          </cell>
        </row>
        <row r="1845">
          <cell r="D1845" t="str">
            <v>Plastene Polyfilms Ltd-Sales</v>
          </cell>
          <cell r="AB1845" t="str">
            <v>24AAFCP2956A1ZR</v>
          </cell>
        </row>
        <row r="1846">
          <cell r="D1846" t="str">
            <v>Hcp Plastene Bulkpack Ltd (Unit Iv) - Sales</v>
          </cell>
          <cell r="AB1846" t="str">
            <v>24AABCG1282C2Z6</v>
          </cell>
        </row>
        <row r="1847">
          <cell r="D1847" t="str">
            <v>Hcp Plastene Bulkpack Ltd (Unit Iv) - Sales</v>
          </cell>
          <cell r="AB1847" t="str">
            <v>24AABCG1282C2Z6</v>
          </cell>
        </row>
        <row r="1848">
          <cell r="D1848" t="str">
            <v>Hcp Plastene Bulkpack Ltd (Unit Iv) - Sales</v>
          </cell>
          <cell r="AB1848" t="str">
            <v>24AABCG1282C2Z6</v>
          </cell>
        </row>
        <row r="1849">
          <cell r="D1849" t="str">
            <v>Hcp Plastene Bulkpack Ltd (Unit Iv) - Sales</v>
          </cell>
          <cell r="AB1849" t="str">
            <v>24AABCG1282C2Z6</v>
          </cell>
        </row>
        <row r="1850">
          <cell r="D1850" t="str">
            <v>Hcp Plastene Bulkpack Ltd (Unit Iv) - Sales</v>
          </cell>
          <cell r="AB1850" t="str">
            <v>24AABCG1282C2Z6</v>
          </cell>
        </row>
        <row r="1851">
          <cell r="D1851" t="str">
            <v>Hcp Plastene Bulkpack Ltd (Unit Iv) - Sales</v>
          </cell>
          <cell r="AB1851" t="str">
            <v>24AABCG1282C2Z6</v>
          </cell>
        </row>
        <row r="1852">
          <cell r="D1852" t="str">
            <v>Hcp Plastene Bulkpack Ltd (Unit Iv) - Sales</v>
          </cell>
          <cell r="AB1852" t="str">
            <v>24AABCG1282C2Z6</v>
          </cell>
        </row>
        <row r="1853">
          <cell r="D1853" t="str">
            <v>Hcp Plastene Bulkpack Ltd (Unit Iv) - Sales</v>
          </cell>
          <cell r="AB1853" t="str">
            <v>24AABCG1282C2Z6</v>
          </cell>
        </row>
        <row r="1854">
          <cell r="D1854" t="str">
            <v>Hcp Plastene Bulkpack Ltd (Unit Iv) - Sales</v>
          </cell>
          <cell r="AB1854" t="str">
            <v>24AABCG1282C2Z6</v>
          </cell>
        </row>
        <row r="1855">
          <cell r="D1855" t="str">
            <v>Hcp Plastene Bulkpack Ltd (Unit Iv) - Sales</v>
          </cell>
          <cell r="AB1855" t="str">
            <v>24AABCG1282C2Z6</v>
          </cell>
        </row>
        <row r="1856">
          <cell r="D1856" t="str">
            <v>Hcp Plastene Bulkpack Ltd (Unit Iv) - Sales</v>
          </cell>
          <cell r="AB1856" t="str">
            <v>24AABCG1282C2Z6</v>
          </cell>
        </row>
        <row r="1857">
          <cell r="D1857" t="str">
            <v>Hcp Plastene Bulkpack Ltd (Unit Iv) - Sales</v>
          </cell>
          <cell r="AB1857" t="str">
            <v>24AABCG1282C2Z6</v>
          </cell>
        </row>
        <row r="1858">
          <cell r="D1858" t="str">
            <v>Hcp Plastene Bulkpack Ltd (Unit Iv) - Sales</v>
          </cell>
          <cell r="AB1858" t="str">
            <v>24AABCG1282C2Z6</v>
          </cell>
        </row>
        <row r="1859">
          <cell r="D1859" t="str">
            <v>Hcp Plastene Bulkpack Ltd (Unit Iv) - Sales</v>
          </cell>
          <cell r="AB1859" t="str">
            <v>24AABCG1282C2Z6</v>
          </cell>
        </row>
        <row r="1860">
          <cell r="D1860" t="str">
            <v>Juta A.S.</v>
          </cell>
          <cell r="AB1860" t="str">
            <v>N.A.</v>
          </cell>
        </row>
        <row r="1861">
          <cell r="D1861" t="str">
            <v>Juta A.S.</v>
          </cell>
          <cell r="AB1861" t="str">
            <v>N.A.</v>
          </cell>
        </row>
        <row r="1862">
          <cell r="D1862" t="str">
            <v>K.P. Woven Pvt Ltd - Unit 3 -Sales</v>
          </cell>
          <cell r="AB1862" t="str">
            <v>24AAECK6307M2ZE</v>
          </cell>
        </row>
        <row r="1863">
          <cell r="D1863" t="str">
            <v>K.P. Woven Pvt Ltd - Unit 3 -Sales</v>
          </cell>
          <cell r="AB1863" t="str">
            <v>24AAECK6307M2ZE</v>
          </cell>
        </row>
        <row r="1864">
          <cell r="D1864" t="str">
            <v>K.P. Woven Pvt Ltd - Unit 3 -Sales</v>
          </cell>
          <cell r="AB1864" t="str">
            <v>24AAECK6307M2ZE</v>
          </cell>
        </row>
        <row r="1865">
          <cell r="D1865" t="str">
            <v>K.P. Woven Pvt Ltd - Unit 3 -Sales</v>
          </cell>
          <cell r="AB1865" t="str">
            <v>24AAECK6307M2ZE</v>
          </cell>
        </row>
        <row r="1866">
          <cell r="D1866" t="str">
            <v>K.P. Woven Pvt Ltd - Unit 3 -Sales</v>
          </cell>
          <cell r="AB1866" t="str">
            <v>24AAECK6307M2ZE</v>
          </cell>
        </row>
        <row r="1867">
          <cell r="D1867" t="str">
            <v>K.P. Woven Pvt Ltd - Unit 3 -Sales</v>
          </cell>
          <cell r="AB1867" t="str">
            <v>24AAECK6307M2ZE</v>
          </cell>
        </row>
        <row r="1868">
          <cell r="D1868" t="str">
            <v>Oliva Garden S.A.</v>
          </cell>
          <cell r="AB1868" t="str">
            <v>N.A.</v>
          </cell>
        </row>
        <row r="1869">
          <cell r="D1869" t="str">
            <v>Oliva Garden S.A.</v>
          </cell>
          <cell r="AB1869" t="str">
            <v>N.A.</v>
          </cell>
        </row>
        <row r="1870">
          <cell r="D1870" t="str">
            <v>Oliva Garden S.A.</v>
          </cell>
          <cell r="AB1870" t="str">
            <v>N.A.</v>
          </cell>
        </row>
        <row r="1871">
          <cell r="D1871" t="str">
            <v>Plastene Polyfilms Ltd-Sales</v>
          </cell>
          <cell r="AB1871" t="str">
            <v>24AAFCP2956A1ZR</v>
          </cell>
        </row>
        <row r="1872">
          <cell r="D1872" t="str">
            <v>Plastene Polyfilms Ltd-Sales</v>
          </cell>
          <cell r="AB1872" t="str">
            <v>24AAFCP2956A1ZR</v>
          </cell>
        </row>
        <row r="1873">
          <cell r="D1873" t="str">
            <v>Plastene Polyfilms Ltd-Sales</v>
          </cell>
          <cell r="AB1873" t="str">
            <v>24AAFCP2956A1ZR</v>
          </cell>
        </row>
        <row r="1874">
          <cell r="D1874" t="str">
            <v>Plastene Polyfilms Ltd-Sales</v>
          </cell>
          <cell r="AB1874" t="str">
            <v>24AAFCP2956A1ZR</v>
          </cell>
        </row>
        <row r="1875">
          <cell r="D1875" t="str">
            <v>Plastene Polyfilms Ltd-Sales</v>
          </cell>
          <cell r="AB1875" t="str">
            <v>24AAFCP2956A1ZR</v>
          </cell>
        </row>
        <row r="1876">
          <cell r="D1876" t="str">
            <v>Plastene Polyfilms Ltd-Sales</v>
          </cell>
          <cell r="AB1876" t="str">
            <v>24AAFCP2956A1ZR</v>
          </cell>
        </row>
        <row r="1877">
          <cell r="D1877" t="str">
            <v>Plastene Polyfilms Ltd-Sales</v>
          </cell>
          <cell r="AB1877" t="str">
            <v>24AAFCP2956A1ZR</v>
          </cell>
        </row>
        <row r="1878">
          <cell r="D1878" t="str">
            <v>Plastene Polyfilms Ltd-Sales</v>
          </cell>
          <cell r="AB1878" t="str">
            <v>24AAFCP2956A1ZR</v>
          </cell>
        </row>
        <row r="1879">
          <cell r="D1879" t="str">
            <v>Plastene Polyfilms Ltd-Sales</v>
          </cell>
          <cell r="AB1879" t="str">
            <v>24AAFCP2956A1ZR</v>
          </cell>
        </row>
        <row r="1880">
          <cell r="D1880" t="str">
            <v>Plastene Polyfilms Ltd-Sales</v>
          </cell>
          <cell r="AB1880" t="str">
            <v>24AAFCP2956A1ZR</v>
          </cell>
        </row>
        <row r="1881">
          <cell r="D1881" t="str">
            <v>Plastene Polyfilms Ltd-Sales</v>
          </cell>
          <cell r="AB1881" t="str">
            <v>24AAFCP2956A1ZR</v>
          </cell>
        </row>
        <row r="1882">
          <cell r="D1882" t="str">
            <v>Plastene Polyfilms Ltd-Sales</v>
          </cell>
          <cell r="AB1882" t="str">
            <v>24AAFCP2956A1ZR</v>
          </cell>
        </row>
        <row r="1883">
          <cell r="D1883" t="str">
            <v>Plastene Polyfilms Ltd-Sales</v>
          </cell>
          <cell r="AB1883" t="str">
            <v>24AAFCP2956A1ZR</v>
          </cell>
        </row>
        <row r="1884">
          <cell r="D1884" t="str">
            <v>Fibco Plastic Industry Llc</v>
          </cell>
          <cell r="AB1884" t="str">
            <v>N.A.</v>
          </cell>
        </row>
        <row r="1885">
          <cell r="D1885" t="str">
            <v>Fibco Plastic Industry Llc</v>
          </cell>
          <cell r="AB1885" t="str">
            <v>N.A.</v>
          </cell>
        </row>
        <row r="1886">
          <cell r="D1886" t="str">
            <v>Fibco Plastic Industry Llc</v>
          </cell>
          <cell r="AB1886" t="str">
            <v>N.A.</v>
          </cell>
        </row>
        <row r="1887">
          <cell r="D1887" t="str">
            <v>Fibco Plastic Industry Llc</v>
          </cell>
          <cell r="AB1887" t="str">
            <v>N.A.</v>
          </cell>
        </row>
        <row r="1888">
          <cell r="D1888" t="str">
            <v>Hcp Plastene Bulkpack Ltd (Unit Iv) - Sales</v>
          </cell>
          <cell r="AB1888" t="str">
            <v>24AABCG1282C2Z6</v>
          </cell>
        </row>
        <row r="1889">
          <cell r="D1889" t="str">
            <v>Hcp Plastene Bulkpack Ltd (Unit Iv) - Sales</v>
          </cell>
          <cell r="AB1889" t="str">
            <v>24AABCG1282C2Z6</v>
          </cell>
        </row>
        <row r="1890">
          <cell r="D1890" t="str">
            <v>Hcp Plastene Bulkpack Ltd (Unit Iv) - Sales</v>
          </cell>
          <cell r="AB1890" t="str">
            <v>24AABCG1282C2Z6</v>
          </cell>
        </row>
        <row r="1891">
          <cell r="D1891" t="str">
            <v>Hcp Plastene Bulkpack Ltd (Unit Iv) - Sales</v>
          </cell>
          <cell r="AB1891" t="str">
            <v>24AABCG1282C2Z6</v>
          </cell>
        </row>
        <row r="1892">
          <cell r="D1892" t="str">
            <v>Hcp Plastene Bulkpack Ltd (Unit Iv) - Sales</v>
          </cell>
          <cell r="AB1892" t="str">
            <v>24AABCG1282C2Z6</v>
          </cell>
        </row>
        <row r="1893">
          <cell r="D1893" t="str">
            <v>Hcp Plastene Bulkpack Ltd (Unit Iv) - Sales</v>
          </cell>
          <cell r="AB1893" t="str">
            <v>24AABCG1282C2Z6</v>
          </cell>
        </row>
        <row r="1894">
          <cell r="D1894" t="str">
            <v>Hcp Plastene Bulkpack Ltd (Unit Iv) - Sales</v>
          </cell>
          <cell r="AB1894" t="str">
            <v>24AABCG1282C2Z6</v>
          </cell>
        </row>
        <row r="1895">
          <cell r="D1895" t="str">
            <v>Hcp Plastene Bulkpack Ltd (Unit Iv) - Sales</v>
          </cell>
          <cell r="AB1895" t="str">
            <v>24AABCG1282C2Z6</v>
          </cell>
        </row>
        <row r="1896">
          <cell r="D1896" t="str">
            <v>Hcp Plastene Bulkpack Ltd (Unit Iv) - Sales</v>
          </cell>
          <cell r="AB1896" t="str">
            <v>24AABCG1282C2Z6</v>
          </cell>
        </row>
        <row r="1897">
          <cell r="D1897" t="str">
            <v>Hcp Plastene Bulkpack Ltd (Unit Iv) - Sales</v>
          </cell>
          <cell r="AB1897" t="str">
            <v>24AABCG1282C2Z6</v>
          </cell>
        </row>
        <row r="1898">
          <cell r="D1898" t="str">
            <v>Hcp Plastene Bulkpack Ltd (Unit Iv) - Sales</v>
          </cell>
          <cell r="AB1898" t="str">
            <v>24AABCG1282C2Z6</v>
          </cell>
        </row>
        <row r="1899">
          <cell r="D1899" t="str">
            <v>Hcp Plastene Bulkpack Ltd (Unit Iv) - Sales</v>
          </cell>
          <cell r="AB1899" t="str">
            <v>24AABCG1282C2Z6</v>
          </cell>
        </row>
        <row r="1900">
          <cell r="D1900" t="str">
            <v>Hcp Plastene Bulkpack Ltd (Unit Iv) - Sales</v>
          </cell>
          <cell r="AB1900" t="str">
            <v>24AABCG1282C2Z6</v>
          </cell>
        </row>
        <row r="1901">
          <cell r="D1901" t="str">
            <v>Hcp Plastene Bulkpack Ltd (Unit Iv) - Sales</v>
          </cell>
          <cell r="AB1901" t="str">
            <v>24AABCG1282C2Z6</v>
          </cell>
        </row>
        <row r="1902">
          <cell r="D1902" t="str">
            <v>K.P. Woven Pvt Ltd - Unit 3 -Sales</v>
          </cell>
          <cell r="AB1902" t="str">
            <v>24AAECK6307M2ZE</v>
          </cell>
        </row>
        <row r="1903">
          <cell r="D1903" t="str">
            <v>K.P. Woven Pvt Ltd - Unit 3 -Sales</v>
          </cell>
          <cell r="AB1903" t="str">
            <v>24AAECK6307M2ZE</v>
          </cell>
        </row>
        <row r="1904">
          <cell r="D1904" t="str">
            <v>K.P. Woven Pvt Ltd - Unit 3 -Sales</v>
          </cell>
          <cell r="AB1904" t="str">
            <v>24AAECK6307M2ZE</v>
          </cell>
        </row>
        <row r="1905">
          <cell r="D1905" t="str">
            <v>K.P. Woven Pvt Ltd - Unit 3 -Sales</v>
          </cell>
          <cell r="AB1905" t="str">
            <v>24AAECK6307M2ZE</v>
          </cell>
        </row>
        <row r="1906">
          <cell r="D1906" t="str">
            <v>K.P. Woven Pvt Ltd - Unit 3 -Sales</v>
          </cell>
          <cell r="AB1906" t="str">
            <v>24AAECK6307M2ZE</v>
          </cell>
        </row>
        <row r="1907">
          <cell r="D1907" t="str">
            <v>K.P. Woven Pvt Ltd-Sales</v>
          </cell>
          <cell r="AB1907" t="str">
            <v>24AAECK6307M1ZF</v>
          </cell>
        </row>
        <row r="1908">
          <cell r="D1908" t="str">
            <v>K.P. Woven Pvt Ltd-Sales</v>
          </cell>
          <cell r="AB1908" t="str">
            <v>24AAECK6307M1ZF</v>
          </cell>
        </row>
        <row r="1909">
          <cell r="D1909" t="str">
            <v>K.P. Woven Pvt Ltd-Sales</v>
          </cell>
          <cell r="AB1909" t="str">
            <v>24AAECK6307M1ZF</v>
          </cell>
        </row>
        <row r="1910">
          <cell r="D1910" t="str">
            <v>K.P. Woven Pvt Ltd-Sales</v>
          </cell>
          <cell r="AB1910" t="str">
            <v>24AAECK6307M1ZF</v>
          </cell>
        </row>
        <row r="1911">
          <cell r="D1911" t="str">
            <v>K.P. Woven Pvt Ltd-Sales</v>
          </cell>
          <cell r="AB1911" t="str">
            <v>24AAECK6307M1ZF</v>
          </cell>
        </row>
        <row r="1912">
          <cell r="D1912" t="str">
            <v>K.P. Woven Pvt Ltd-Sales</v>
          </cell>
          <cell r="AB1912" t="str">
            <v>24AAECK6307M1ZF</v>
          </cell>
        </row>
        <row r="1913">
          <cell r="D1913" t="str">
            <v>K.P. Woven Pvt Ltd-Sales</v>
          </cell>
          <cell r="AB1913" t="str">
            <v>24AAECK6307M1ZF</v>
          </cell>
        </row>
        <row r="1914">
          <cell r="D1914" t="str">
            <v>K.P. Woven Pvt Ltd-Sales</v>
          </cell>
          <cell r="AB1914" t="str">
            <v>24AAECK6307M1ZF</v>
          </cell>
        </row>
        <row r="1915">
          <cell r="D1915" t="str">
            <v>K.P. Woven Pvt Ltd-Sales</v>
          </cell>
          <cell r="AB1915" t="str">
            <v>24AAECK6307M1ZF</v>
          </cell>
        </row>
        <row r="1916">
          <cell r="D1916" t="str">
            <v>K.P. Woven Pvt Ltd-Sales</v>
          </cell>
          <cell r="AB1916" t="str">
            <v>24AAECK6307M1ZF</v>
          </cell>
        </row>
        <row r="1917">
          <cell r="D1917" t="str">
            <v>K.P. Woven Pvt Ltd-Sales</v>
          </cell>
          <cell r="AB1917" t="str">
            <v>24AAECK6307M1ZF</v>
          </cell>
        </row>
        <row r="1918">
          <cell r="D1918" t="str">
            <v>K.P. Woven Pvt Ltd-Sales</v>
          </cell>
          <cell r="AB1918" t="str">
            <v>24AAECK6307M1ZF</v>
          </cell>
        </row>
        <row r="1919">
          <cell r="D1919" t="str">
            <v>K.P. Woven Pvt Ltd-Sales</v>
          </cell>
          <cell r="AB1919" t="str">
            <v>24AAECK6307M1ZF</v>
          </cell>
        </row>
        <row r="1920">
          <cell r="D1920" t="str">
            <v>K.P. Woven Pvt Ltd-Sales</v>
          </cell>
          <cell r="AB1920" t="str">
            <v>24AAECK6307M1ZF</v>
          </cell>
        </row>
        <row r="1921">
          <cell r="D1921" t="str">
            <v>K.P. Woven Pvt Ltd-Sales</v>
          </cell>
          <cell r="AB1921" t="str">
            <v>24AAECK6307M1ZF</v>
          </cell>
        </row>
        <row r="1922">
          <cell r="D1922" t="str">
            <v>K.P. Woven Pvt Ltd-Sales</v>
          </cell>
          <cell r="AB1922" t="str">
            <v>24AAECK6307M1ZF</v>
          </cell>
        </row>
        <row r="1923">
          <cell r="D1923" t="str">
            <v>K.P. Woven Pvt Ltd-Sales</v>
          </cell>
          <cell r="AB1923" t="str">
            <v>24AAECK6307M1ZF</v>
          </cell>
        </row>
        <row r="1924">
          <cell r="D1924" t="str">
            <v>K.P. Woven Pvt Ltd-Sales</v>
          </cell>
          <cell r="AB1924" t="str">
            <v>24AAECK6307M1ZF</v>
          </cell>
        </row>
        <row r="1925">
          <cell r="D1925" t="str">
            <v>Oswal Extrusion Ltd- KASEZ-Sales</v>
          </cell>
          <cell r="AB1925" t="str">
            <v>24AAACO7290H4ZB</v>
          </cell>
        </row>
        <row r="1926">
          <cell r="D1926" t="str">
            <v>Plastene Polyfilms Ltd-Sales</v>
          </cell>
          <cell r="AB1926" t="str">
            <v>24AAFCP2956A1ZR</v>
          </cell>
        </row>
        <row r="1927">
          <cell r="D1927" t="str">
            <v>Plastene Polyfilms Ltd-Sales</v>
          </cell>
          <cell r="AB1927" t="str">
            <v>24AAFCP2956A1ZR</v>
          </cell>
        </row>
        <row r="1928">
          <cell r="D1928" t="str">
            <v>Plastene Polyfilms Ltd-Sales</v>
          </cell>
          <cell r="AB1928" t="str">
            <v>24AAFCP2956A1ZR</v>
          </cell>
        </row>
        <row r="1929">
          <cell r="D1929" t="str">
            <v>Plastene Polyfilms Ltd-Sales</v>
          </cell>
          <cell r="AB1929" t="str">
            <v>24AAFCP2956A1ZR</v>
          </cell>
        </row>
        <row r="1930">
          <cell r="D1930" t="str">
            <v>Plastene Polyfilms Ltd-Sales</v>
          </cell>
          <cell r="AB1930" t="str">
            <v>24AAFCP2956A1ZR</v>
          </cell>
        </row>
        <row r="1931">
          <cell r="D1931" t="str">
            <v>Plastene Polyfilms Ltd-Sales</v>
          </cell>
          <cell r="AB1931" t="str">
            <v>24AAFCP2956A1ZR</v>
          </cell>
        </row>
        <row r="1932">
          <cell r="D1932" t="str">
            <v>Plastene Polyfilms Ltd-Sales</v>
          </cell>
          <cell r="AB1932" t="str">
            <v>24AAFCP2956A1ZR</v>
          </cell>
        </row>
        <row r="1933">
          <cell r="D1933" t="str">
            <v>Plastene Polyfilms Ltd-Sales</v>
          </cell>
          <cell r="AB1933" t="str">
            <v>24AAFCP2956A1ZR</v>
          </cell>
        </row>
        <row r="1934">
          <cell r="D1934" t="str">
            <v>Plastene Polyfilms Ltd-Sales</v>
          </cell>
          <cell r="AB1934" t="str">
            <v>24AAFCP2956A1ZR</v>
          </cell>
        </row>
        <row r="1935">
          <cell r="D1935" t="str">
            <v>Plastene Polyfilms Ltd-Sales</v>
          </cell>
          <cell r="AB1935" t="str">
            <v>24AAFCP2956A1ZR</v>
          </cell>
        </row>
        <row r="1936">
          <cell r="D1936" t="str">
            <v>Hcp Plastene Bulkpack Ltd (Unit Iv) - Sales</v>
          </cell>
          <cell r="AB1936" t="str">
            <v>24AABCG1282C2Z6</v>
          </cell>
        </row>
        <row r="1937">
          <cell r="D1937" t="str">
            <v>Hcp Plastene Bulkpack Ltd (Unit Iv) - Sales</v>
          </cell>
          <cell r="AB1937" t="str">
            <v>24AABCG1282C2Z6</v>
          </cell>
        </row>
        <row r="1938">
          <cell r="D1938" t="str">
            <v>Hcp Plastene Bulkpack Ltd (Unit Iv) - Sales</v>
          </cell>
          <cell r="AB1938" t="str">
            <v>24AABCG1282C2Z6</v>
          </cell>
        </row>
        <row r="1939">
          <cell r="D1939" t="str">
            <v>Hcp Plastene Bulkpack Ltd (Unit Iv) - Sales</v>
          </cell>
          <cell r="AB1939" t="str">
            <v>24AABCG1282C2Z6</v>
          </cell>
        </row>
        <row r="1940">
          <cell r="D1940" t="str">
            <v>Hcp Plastene Bulkpack Ltd (Unit Iv) - Sales</v>
          </cell>
          <cell r="AB1940" t="str">
            <v>24AABCG1282C2Z6</v>
          </cell>
        </row>
        <row r="1941">
          <cell r="D1941" t="str">
            <v>Hcp Plastene Bulkpack Ltd (Unit Iv) - Sales</v>
          </cell>
          <cell r="AB1941" t="str">
            <v>24AABCG1282C2Z6</v>
          </cell>
        </row>
        <row r="1942">
          <cell r="D1942" t="str">
            <v>Hcp Plastene Bulkpack Ltd (Unit Iv) - Sales</v>
          </cell>
          <cell r="AB1942" t="str">
            <v>24AABCG1282C2Z6</v>
          </cell>
        </row>
        <row r="1943">
          <cell r="D1943" t="str">
            <v>Hcp Plastene Bulkpack Ltd (Unit Iv) - Sales</v>
          </cell>
          <cell r="AB1943" t="str">
            <v>24AABCG1282C2Z6</v>
          </cell>
        </row>
        <row r="1944">
          <cell r="D1944" t="str">
            <v>Hcp Plastene Bulkpack Ltd (Unit Iv) - Sales</v>
          </cell>
          <cell r="AB1944" t="str">
            <v>24AABCG1282C2Z6</v>
          </cell>
        </row>
        <row r="1945">
          <cell r="D1945" t="str">
            <v>Hcp Plastene Bulkpack Ltd (Unit Iv) - Sales</v>
          </cell>
          <cell r="AB1945" t="str">
            <v>24AABCG1282C2Z6</v>
          </cell>
        </row>
        <row r="1946">
          <cell r="D1946" t="str">
            <v>Hcp Plastene Bulkpack Ltd (Unit Iv) - Sales</v>
          </cell>
          <cell r="AB1946" t="str">
            <v>24AABCG1282C2Z6</v>
          </cell>
        </row>
        <row r="1947">
          <cell r="D1947" t="str">
            <v>Hcp Plastene Bulkpack Ltd (Unit Iv) - Sales</v>
          </cell>
          <cell r="AB1947" t="str">
            <v>24AABCG1282C2Z6</v>
          </cell>
        </row>
        <row r="1948">
          <cell r="D1948" t="str">
            <v>Narayandas Murlidhar</v>
          </cell>
          <cell r="AB1948" t="str">
            <v>08AAJFN2559G1Z2</v>
          </cell>
        </row>
        <row r="1949">
          <cell r="D1949" t="str">
            <v>Narayandas Murlidhar</v>
          </cell>
          <cell r="AB1949" t="str">
            <v>08AAJFN2559G1Z2</v>
          </cell>
        </row>
        <row r="1950">
          <cell r="D1950" t="str">
            <v>Plastene Polyfilms Ltd-Sales</v>
          </cell>
          <cell r="AB1950" t="str">
            <v>24AAFCP2956A1ZR</v>
          </cell>
        </row>
        <row r="1951">
          <cell r="D1951" t="str">
            <v>Plastene Polyfilms Ltd-Sales</v>
          </cell>
          <cell r="AB1951" t="str">
            <v>24AAFCP2956A1ZR</v>
          </cell>
        </row>
        <row r="1952">
          <cell r="D1952" t="str">
            <v>Plastene Polyfilms Ltd-Sales</v>
          </cell>
          <cell r="AB1952" t="str">
            <v>24AAFCP2956A1ZR</v>
          </cell>
        </row>
        <row r="1953">
          <cell r="D1953" t="str">
            <v>Plastene Polyfilms Ltd-Sales</v>
          </cell>
          <cell r="AB1953" t="str">
            <v>24AAFCP2956A1ZR</v>
          </cell>
        </row>
        <row r="1954">
          <cell r="D1954" t="str">
            <v>Plastene Polyfilms Ltd-Sales</v>
          </cell>
          <cell r="AB1954" t="str">
            <v>24AAFCP2956A1ZR</v>
          </cell>
        </row>
        <row r="1955">
          <cell r="D1955" t="str">
            <v>Plastene Polyfilms Ltd-Sales</v>
          </cell>
          <cell r="AB1955" t="str">
            <v>24AAFCP2956A1ZR</v>
          </cell>
        </row>
        <row r="1956">
          <cell r="D1956" t="str">
            <v>Plastene Polyfilms Ltd-Sales</v>
          </cell>
          <cell r="AB1956" t="str">
            <v>24AAFCP2956A1ZR</v>
          </cell>
        </row>
        <row r="1957">
          <cell r="D1957" t="str">
            <v>Plastene Polyfilms Ltd-Sales</v>
          </cell>
          <cell r="AB1957" t="str">
            <v>24AAFCP2956A1ZR</v>
          </cell>
        </row>
        <row r="1958">
          <cell r="D1958" t="str">
            <v>Plastochem - F.Z.C.</v>
          </cell>
          <cell r="AB1958" t="str">
            <v>N.A.</v>
          </cell>
        </row>
        <row r="1959">
          <cell r="D1959" t="str">
            <v>Plastochem - F.Z.C.</v>
          </cell>
          <cell r="AB1959" t="str">
            <v>N.A.</v>
          </cell>
        </row>
        <row r="1960">
          <cell r="D1960" t="str">
            <v>Plastochem - F.Z.C.</v>
          </cell>
          <cell r="AB1960" t="str">
            <v>N.A.</v>
          </cell>
        </row>
        <row r="1961">
          <cell r="D1961" t="str">
            <v>Rafia Industrial S.A.</v>
          </cell>
          <cell r="AB1961" t="str">
            <v>N.A.</v>
          </cell>
        </row>
        <row r="1962">
          <cell r="D1962" t="str">
            <v>Hcp Plastene Bulkpack Ltd (Unit Iv) - Sales</v>
          </cell>
          <cell r="AB1962" t="str">
            <v>24AABCG1282C2Z6</v>
          </cell>
        </row>
        <row r="1963">
          <cell r="D1963" t="str">
            <v>Hcp Plastene Bulkpack Ltd (Unit Iv) - Sales</v>
          </cell>
          <cell r="AB1963" t="str">
            <v>24AABCG1282C2Z6</v>
          </cell>
        </row>
        <row r="1964">
          <cell r="D1964" t="str">
            <v>Hcp Plastene Bulkpack Ltd (Unit Iv) - Sales</v>
          </cell>
          <cell r="AB1964" t="str">
            <v>24AABCG1282C2Z6</v>
          </cell>
        </row>
        <row r="1965">
          <cell r="D1965" t="str">
            <v>Hcp Plastene Bulkpack Ltd (Unit Iv) - Sales</v>
          </cell>
          <cell r="AB1965" t="str">
            <v>24AABCG1282C2Z6</v>
          </cell>
        </row>
        <row r="1966">
          <cell r="D1966" t="str">
            <v>Hcp Plastene Bulkpack Ltd (Unit Iv) - Sales</v>
          </cell>
          <cell r="AB1966" t="str">
            <v>24AABCG1282C2Z6</v>
          </cell>
        </row>
        <row r="1967">
          <cell r="D1967" t="str">
            <v>Hcp Plastene Bulkpack Ltd (Unit Iv) - Sales</v>
          </cell>
          <cell r="AB1967" t="str">
            <v>24AABCG1282C2Z6</v>
          </cell>
        </row>
        <row r="1968">
          <cell r="D1968" t="str">
            <v>Hcp Plastene Bulkpack Ltd (Unit Iv) - Sales</v>
          </cell>
          <cell r="AB1968" t="str">
            <v>24AABCG1282C2Z6</v>
          </cell>
        </row>
        <row r="1969">
          <cell r="D1969" t="str">
            <v>Hcp Plastene Bulkpack Ltd (Unit Iv) - Sales</v>
          </cell>
          <cell r="AB1969" t="str">
            <v>24AABCG1282C2Z6</v>
          </cell>
        </row>
        <row r="1970">
          <cell r="D1970" t="str">
            <v>Hcp Plastene Bulkpack Ltd (Unit Iv) - Sales</v>
          </cell>
          <cell r="AB1970" t="str">
            <v>24AABCG1282C2Z6</v>
          </cell>
        </row>
        <row r="1971">
          <cell r="D1971" t="str">
            <v>Hcp Plastene Bulkpack Ltd (Unit Iv) - Sales</v>
          </cell>
          <cell r="AB1971" t="str">
            <v>24AABCG1282C2Z6</v>
          </cell>
        </row>
        <row r="1972">
          <cell r="D1972" t="str">
            <v>Hcp Plastene Bulkpack Ltd (Unit Iv) - Sales</v>
          </cell>
          <cell r="AB1972" t="str">
            <v>24AABCG1282C2Z6</v>
          </cell>
        </row>
        <row r="1973">
          <cell r="D1973" t="str">
            <v>Hcp Plastene Bulkpack Ltd (Unit Iv) - Sales</v>
          </cell>
          <cell r="AB1973" t="str">
            <v>24AABCG1282C2Z6</v>
          </cell>
        </row>
        <row r="1974">
          <cell r="D1974" t="str">
            <v>Hcp Plastene Bulkpack Ltd (Unit Iv) - Sales</v>
          </cell>
          <cell r="AB1974" t="str">
            <v>24AABCG1282C2Z6</v>
          </cell>
        </row>
        <row r="1975">
          <cell r="D1975" t="str">
            <v>Hcp Plastene Bulkpack Ltd (Unit Iv) - Sales</v>
          </cell>
          <cell r="AB1975" t="str">
            <v>24AABCG1282C2Z6</v>
          </cell>
        </row>
        <row r="1976">
          <cell r="D1976" t="str">
            <v>Hcp Plastene Bulkpack Ltd (Unit Iv) - Sales</v>
          </cell>
          <cell r="AB1976" t="str">
            <v>24AABCG1282C2Z6</v>
          </cell>
        </row>
        <row r="1977">
          <cell r="D1977" t="str">
            <v>Hcp Plastene Bulkpack Ltd (Unit Iv) - Sales</v>
          </cell>
          <cell r="AB1977" t="str">
            <v>24AABCG1282C2Z6</v>
          </cell>
        </row>
        <row r="1978">
          <cell r="D1978" t="str">
            <v>K.P. Woven Pvt Ltd - Unit 3 -Sales</v>
          </cell>
          <cell r="AB1978" t="str">
            <v>24AAECK6307M2ZE</v>
          </cell>
        </row>
        <row r="1979">
          <cell r="D1979" t="str">
            <v>K.P. Woven Pvt Ltd - Unit 3 -Sales</v>
          </cell>
          <cell r="AB1979" t="str">
            <v>24AAECK6307M2ZE</v>
          </cell>
        </row>
        <row r="1980">
          <cell r="D1980" t="str">
            <v>K.P. Woven Pvt Ltd - Unit 3 -Sales</v>
          </cell>
          <cell r="AB1980" t="str">
            <v>24AAECK6307M2ZE</v>
          </cell>
        </row>
        <row r="1981">
          <cell r="D1981" t="str">
            <v>K.P. Woven Pvt Ltd-Sales</v>
          </cell>
          <cell r="AB1981" t="str">
            <v>24AAECK6307M1ZF</v>
          </cell>
        </row>
        <row r="1982">
          <cell r="D1982" t="str">
            <v>K.P. Woven Pvt Ltd-Sales</v>
          </cell>
          <cell r="AB1982" t="str">
            <v>24AAECK6307M1ZF</v>
          </cell>
        </row>
        <row r="1983">
          <cell r="D1983" t="str">
            <v>K.P. Woven Pvt Ltd-Sales</v>
          </cell>
          <cell r="AB1983" t="str">
            <v>24AAECK6307M1ZF</v>
          </cell>
        </row>
        <row r="1984">
          <cell r="D1984" t="str">
            <v>K.P. Woven Pvt Ltd-Sales</v>
          </cell>
          <cell r="AB1984" t="str">
            <v>24AAECK6307M1ZF</v>
          </cell>
        </row>
        <row r="1985">
          <cell r="D1985" t="str">
            <v>K.P. Woven Pvt Ltd-Sales</v>
          </cell>
          <cell r="AB1985" t="str">
            <v>24AAECK6307M1ZF</v>
          </cell>
        </row>
        <row r="1986">
          <cell r="D1986" t="str">
            <v>K.P. Woven Pvt Ltd-Sales</v>
          </cell>
          <cell r="AB1986" t="str">
            <v>24AAECK6307M1ZF</v>
          </cell>
        </row>
        <row r="1987">
          <cell r="D1987" t="str">
            <v>K.P. Woven Pvt Ltd-Sales</v>
          </cell>
          <cell r="AB1987" t="str">
            <v>24AAECK6307M1ZF</v>
          </cell>
        </row>
        <row r="1988">
          <cell r="D1988" t="str">
            <v>K.P. Woven Pvt Ltd-Sales</v>
          </cell>
          <cell r="AB1988" t="str">
            <v>24AAECK6307M1ZF</v>
          </cell>
        </row>
        <row r="1989">
          <cell r="D1989" t="str">
            <v>K.P. Woven Pvt Ltd-Sales</v>
          </cell>
          <cell r="AB1989" t="str">
            <v>24AAECK6307M1ZF</v>
          </cell>
        </row>
        <row r="1990">
          <cell r="D1990" t="str">
            <v>K.P. Woven Pvt Ltd-Sales</v>
          </cell>
          <cell r="AB1990" t="str">
            <v>24AAECK6307M1ZF</v>
          </cell>
        </row>
        <row r="1991">
          <cell r="D1991" t="str">
            <v>K.P. Woven Pvt Ltd-Sales</v>
          </cell>
          <cell r="AB1991" t="str">
            <v>24AAECK6307M1ZF</v>
          </cell>
        </row>
        <row r="1992">
          <cell r="D1992" t="str">
            <v>K.P. Woven Pvt Ltd-Sales</v>
          </cell>
          <cell r="AB1992" t="str">
            <v>24AAECK6307M1ZF</v>
          </cell>
        </row>
        <row r="1993">
          <cell r="D1993" t="str">
            <v>Plastene Polyfilms Ltd-Sales</v>
          </cell>
          <cell r="AB1993" t="str">
            <v>24AAFCP2956A1ZR</v>
          </cell>
        </row>
        <row r="1994">
          <cell r="D1994" t="str">
            <v>Plastene Polyfilms Ltd-Sales</v>
          </cell>
          <cell r="AB1994" t="str">
            <v>24AAFCP2956A1ZR</v>
          </cell>
        </row>
        <row r="1995">
          <cell r="D1995" t="str">
            <v>Plastene Polyfilms Ltd-Sales</v>
          </cell>
          <cell r="AB1995" t="str">
            <v>24AAFCP2956A1ZR</v>
          </cell>
        </row>
        <row r="1996">
          <cell r="D1996" t="str">
            <v>Plastene Polyfilms Ltd-Sales</v>
          </cell>
          <cell r="AB1996" t="str">
            <v>24AAFCP2956A1ZR</v>
          </cell>
        </row>
        <row r="1997">
          <cell r="D1997" t="str">
            <v>Plastene Polyfilms Ltd-Sales</v>
          </cell>
          <cell r="AB1997" t="str">
            <v>24AAFCP2956A1ZR</v>
          </cell>
        </row>
        <row r="1998">
          <cell r="D1998" t="str">
            <v>Plastene Polyfilms Ltd-Sales</v>
          </cell>
          <cell r="AB1998" t="str">
            <v>24AAFCP2956A1ZR</v>
          </cell>
        </row>
        <row r="1999">
          <cell r="D1999" t="str">
            <v>Plastene Polyfilms Ltd-Sales</v>
          </cell>
          <cell r="AB1999" t="str">
            <v>24AAFCP2956A1ZR</v>
          </cell>
        </row>
        <row r="2000">
          <cell r="D2000" t="str">
            <v>Plastene Polyfilms Ltd-Sales</v>
          </cell>
          <cell r="AB2000" t="str">
            <v>24AAFCP2956A1ZR</v>
          </cell>
        </row>
        <row r="2001">
          <cell r="D2001" t="str">
            <v>Plastene Polyfilms Ltd-Sales</v>
          </cell>
          <cell r="AB2001" t="str">
            <v>24AAFCP2956A1ZR</v>
          </cell>
        </row>
        <row r="2002">
          <cell r="D2002" t="str">
            <v>Plastene Polyfilms Ltd-Sales</v>
          </cell>
          <cell r="AB2002" t="str">
            <v>24AAFCP2956A1ZR</v>
          </cell>
        </row>
        <row r="2003">
          <cell r="D2003" t="str">
            <v>Hcp Plastene Bulkpack Ltd (Unit Iv) - Sales</v>
          </cell>
          <cell r="AB2003" t="str">
            <v>24AABCG1282C2Z6</v>
          </cell>
        </row>
        <row r="2004">
          <cell r="D2004" t="str">
            <v>Hcp Plastene Bulkpack Ltd (Unit Iv) - Sales</v>
          </cell>
          <cell r="AB2004" t="str">
            <v>24AABCG1282C2Z6</v>
          </cell>
        </row>
        <row r="2005">
          <cell r="D2005" t="str">
            <v>Hcp Plastene Bulkpack Ltd (Unit Iv) - Sales</v>
          </cell>
          <cell r="AB2005" t="str">
            <v>24AABCG1282C2Z6</v>
          </cell>
        </row>
        <row r="2006">
          <cell r="D2006" t="str">
            <v>Hcp Plastene Bulkpack Ltd (Unit Iv) - Sales</v>
          </cell>
          <cell r="AB2006" t="str">
            <v>24AABCG1282C2Z6</v>
          </cell>
        </row>
        <row r="2007">
          <cell r="D2007" t="str">
            <v>Hcp Plastene Bulkpack Ltd (Unit Iv) - Sales</v>
          </cell>
          <cell r="AB2007" t="str">
            <v>24AABCG1282C2Z6</v>
          </cell>
        </row>
        <row r="2008">
          <cell r="D2008" t="str">
            <v>Hcp Plastene Bulkpack Ltd (Unit Iv) - Sales</v>
          </cell>
          <cell r="AB2008" t="str">
            <v>24AABCG1282C2Z6</v>
          </cell>
        </row>
        <row r="2009">
          <cell r="D2009" t="str">
            <v>Hcp Plastene Bulkpack Ltd (Unit Iv) - Sales</v>
          </cell>
          <cell r="AB2009" t="str">
            <v>24AABCG1282C2Z6</v>
          </cell>
        </row>
        <row r="2010">
          <cell r="D2010" t="str">
            <v>Hcp Plastene Bulkpack Ltd (Unit Iv) - Sales</v>
          </cell>
          <cell r="AB2010" t="str">
            <v>24AABCG1282C2Z6</v>
          </cell>
        </row>
        <row r="2011">
          <cell r="D2011" t="str">
            <v>Hcp Plastene Bulkpack Ltd (Unit Iv) - Sales</v>
          </cell>
          <cell r="AB2011" t="str">
            <v>24AABCG1282C2Z6</v>
          </cell>
        </row>
        <row r="2012">
          <cell r="D2012" t="str">
            <v>Hcp Plastene Bulkpack Ltd (Unit Iv) - Sales</v>
          </cell>
          <cell r="AB2012" t="str">
            <v>24AABCG1282C2Z6</v>
          </cell>
        </row>
        <row r="2013">
          <cell r="D2013" t="str">
            <v>Hcp Plastene Bulkpack Ltd (Unit Iv) - Sales</v>
          </cell>
          <cell r="AB2013" t="str">
            <v>24AABCG1282C2Z6</v>
          </cell>
        </row>
        <row r="2014">
          <cell r="D2014" t="str">
            <v>Hcp Plastene Bulkpack Ltd (Unit Iv) - Sales</v>
          </cell>
          <cell r="AB2014" t="str">
            <v>24AABCG1282C2Z6</v>
          </cell>
        </row>
        <row r="2015">
          <cell r="D2015" t="str">
            <v>Hcp Plastene Bulkpack Ltd (Unit Iv) - Sales</v>
          </cell>
          <cell r="AB2015" t="str">
            <v>24AABCG1282C2Z6</v>
          </cell>
        </row>
        <row r="2016">
          <cell r="D2016" t="str">
            <v>Hcp Plastene Bulkpack Ltd (Unit Iv) - Sales</v>
          </cell>
          <cell r="AB2016" t="str">
            <v>24AABCG1282C2Z6</v>
          </cell>
        </row>
        <row r="2017">
          <cell r="D2017" t="str">
            <v>Hcp Plastene Bulkpack Ltd (Unit Iv) - Sales</v>
          </cell>
          <cell r="AB2017" t="str">
            <v>24AABCG1282C2Z6</v>
          </cell>
        </row>
        <row r="2018">
          <cell r="D2018" t="str">
            <v>Hcp Plastene Bulkpack Ltd (Unit Iv) - Sales</v>
          </cell>
          <cell r="AB2018" t="str">
            <v>24AABCG1282C2Z6</v>
          </cell>
        </row>
        <row r="2019">
          <cell r="D2019" t="str">
            <v>Hcp Plastene Bulkpack Ltd (Unit Iv) - Sales</v>
          </cell>
          <cell r="AB2019" t="str">
            <v>24AABCG1282C2Z6</v>
          </cell>
        </row>
        <row r="2020">
          <cell r="D2020" t="str">
            <v>K.P. Woven Pvt Ltd - Unit 3 -Sales</v>
          </cell>
          <cell r="AB2020" t="str">
            <v>24AAECK6307M2ZE</v>
          </cell>
        </row>
        <row r="2021">
          <cell r="D2021" t="str">
            <v>K.P. Woven Pvt Ltd - Unit 3 -Sales</v>
          </cell>
          <cell r="AB2021" t="str">
            <v>24AAECK6307M2ZE</v>
          </cell>
        </row>
        <row r="2022">
          <cell r="D2022" t="str">
            <v>K.P. Woven Pvt Ltd - Unit 3 -Sales</v>
          </cell>
          <cell r="AB2022" t="str">
            <v>24AAECK6307M2ZE</v>
          </cell>
        </row>
        <row r="2023">
          <cell r="D2023" t="str">
            <v>K.P. Woven Pvt Ltd - Unit 3 -Sales</v>
          </cell>
          <cell r="AB2023" t="str">
            <v>24AAECK6307M2ZE</v>
          </cell>
        </row>
        <row r="2024">
          <cell r="D2024" t="str">
            <v>K.P. Woven Pvt Ltd - Unit 3 -Sales</v>
          </cell>
          <cell r="AB2024" t="str">
            <v>24AAECK6307M2ZE</v>
          </cell>
        </row>
        <row r="2025">
          <cell r="D2025" t="str">
            <v>K.P. Woven Pvt Ltd - Unit 3 -Sales</v>
          </cell>
          <cell r="AB2025" t="str">
            <v>24AAECK6307M2ZE</v>
          </cell>
        </row>
        <row r="2026">
          <cell r="D2026" t="str">
            <v>K.P. Woven Pvt Ltd - Unit 3 -Sales</v>
          </cell>
          <cell r="AB2026" t="str">
            <v>24AAECK6307M2ZE</v>
          </cell>
        </row>
        <row r="2027">
          <cell r="D2027" t="str">
            <v>K.P. Woven Pvt Ltd - Unit 3 -Sales</v>
          </cell>
          <cell r="AB2027" t="str">
            <v>24AAECK6307M2ZE</v>
          </cell>
        </row>
        <row r="2028">
          <cell r="D2028" t="str">
            <v>K.P. Woven Pvt Ltd - Unit 3 -Sales</v>
          </cell>
          <cell r="AB2028" t="str">
            <v>24AAECK6307M2ZE</v>
          </cell>
        </row>
        <row r="2029">
          <cell r="D2029" t="str">
            <v>K.P. Woven Pvt Ltd-Sales</v>
          </cell>
          <cell r="AB2029" t="str">
            <v>24AAECK6307M1ZF</v>
          </cell>
        </row>
        <row r="2030">
          <cell r="D2030" t="str">
            <v>K.P. Woven Pvt Ltd-Sales</v>
          </cell>
          <cell r="AB2030" t="str">
            <v>24AAECK6307M1ZF</v>
          </cell>
        </row>
        <row r="2031">
          <cell r="D2031" t="str">
            <v>K.P. Woven Pvt Ltd-Sales</v>
          </cell>
          <cell r="AB2031" t="str">
            <v>24AAECK6307M1ZF</v>
          </cell>
        </row>
        <row r="2032">
          <cell r="D2032" t="str">
            <v>K.P. Woven Pvt Ltd-Sales</v>
          </cell>
          <cell r="AB2032" t="str">
            <v>24AAECK6307M1ZF</v>
          </cell>
        </row>
        <row r="2033">
          <cell r="D2033" t="str">
            <v>Plastene Polyfilms Ltd-Sales</v>
          </cell>
          <cell r="AB2033" t="str">
            <v>24AAFCP2956A1ZR</v>
          </cell>
        </row>
        <row r="2034">
          <cell r="D2034" t="str">
            <v>Plastene Polyfilms Ltd-Sales</v>
          </cell>
          <cell r="AB2034" t="str">
            <v>24AAFCP2956A1ZR</v>
          </cell>
        </row>
        <row r="2035">
          <cell r="D2035" t="str">
            <v>Plastene Polyfilms Ltd-Sales</v>
          </cell>
          <cell r="AB2035" t="str">
            <v>24AAFCP2956A1ZR</v>
          </cell>
        </row>
        <row r="2036">
          <cell r="D2036" t="str">
            <v>Plastene Polyfilms Ltd-Sales</v>
          </cell>
          <cell r="AB2036" t="str">
            <v>24AAFCP2956A1ZR</v>
          </cell>
        </row>
        <row r="2037">
          <cell r="D2037" t="str">
            <v>Plastene Polyfilms Ltd-Sales</v>
          </cell>
          <cell r="AB2037" t="str">
            <v>24AAFCP2956A1ZR</v>
          </cell>
        </row>
        <row r="2038">
          <cell r="D2038" t="str">
            <v>Plastene Polyfilms Ltd-Sales</v>
          </cell>
          <cell r="AB2038" t="str">
            <v>24AAFCP2956A1ZR</v>
          </cell>
        </row>
        <row r="2039">
          <cell r="D2039" t="str">
            <v>Plastene Polyfilms Ltd-Sales</v>
          </cell>
          <cell r="AB2039" t="str">
            <v>24AAFCP2956A1ZR</v>
          </cell>
        </row>
        <row r="2040">
          <cell r="D2040" t="str">
            <v>Plastene Polyfilms Ltd-Sales</v>
          </cell>
          <cell r="AB2040" t="str">
            <v>24AAFCP2956A1ZR</v>
          </cell>
        </row>
        <row r="2041">
          <cell r="D2041" t="str">
            <v>Plastene Polyfilms Ltd-Sales</v>
          </cell>
          <cell r="AB2041" t="str">
            <v>24AAFCP2956A1ZR</v>
          </cell>
        </row>
        <row r="2042">
          <cell r="D2042" t="str">
            <v>Plastene Polyfilms Ltd-Sales</v>
          </cell>
          <cell r="AB2042" t="str">
            <v>24AAFCP2956A1ZR</v>
          </cell>
        </row>
        <row r="2043">
          <cell r="D2043" t="str">
            <v>Plastene Polyfilms Ltd-Sales</v>
          </cell>
          <cell r="AB2043" t="str">
            <v>24AAFCP2956A1ZR</v>
          </cell>
        </row>
        <row r="2044">
          <cell r="D2044" t="str">
            <v>Plastene Polyfilms Ltd-Sales</v>
          </cell>
          <cell r="AB2044" t="str">
            <v>24AAFCP2956A1ZR</v>
          </cell>
        </row>
        <row r="2045">
          <cell r="D2045" t="str">
            <v>Plastene Polyfilms Ltd-Sales</v>
          </cell>
          <cell r="AB2045" t="str">
            <v>24AAFCP2956A1ZR</v>
          </cell>
        </row>
        <row r="2046">
          <cell r="D2046" t="str">
            <v>Plastene Polyfilms Ltd-Sales</v>
          </cell>
          <cell r="AB2046" t="str">
            <v>24AAFCP2956A1ZR</v>
          </cell>
        </row>
        <row r="2047">
          <cell r="D2047" t="str">
            <v>Plastene Polyfilms Ltd-Sales</v>
          </cell>
          <cell r="AB2047" t="str">
            <v>24AAFCP2956A1ZR</v>
          </cell>
        </row>
        <row r="2048">
          <cell r="D2048" t="str">
            <v>Plastene Polyfilms Ltd-Sales</v>
          </cell>
          <cell r="AB2048" t="str">
            <v>24AAFCP2956A1ZR</v>
          </cell>
        </row>
        <row r="2049">
          <cell r="D2049" t="str">
            <v>Plastene Polyfilms Ltd-Sales</v>
          </cell>
          <cell r="AB2049" t="str">
            <v>24AAFCP2956A1ZR</v>
          </cell>
        </row>
        <row r="2050">
          <cell r="D2050" t="str">
            <v>Plastene Polyfilms Ltd-Sales</v>
          </cell>
          <cell r="AB2050" t="str">
            <v>24AAFCP2956A1ZR</v>
          </cell>
        </row>
        <row r="2051">
          <cell r="D2051" t="str">
            <v>Plastene Polyfilms Ltd-Sales</v>
          </cell>
          <cell r="AB2051" t="str">
            <v>24AAFCP2956A1ZR</v>
          </cell>
        </row>
        <row r="2052">
          <cell r="D2052" t="str">
            <v>Plastene Polyfilms Ltd-Sales</v>
          </cell>
          <cell r="AB2052" t="str">
            <v>24AAFCP2956A1ZR</v>
          </cell>
        </row>
        <row r="2053">
          <cell r="D2053" t="str">
            <v>H Polesy &amp; Co Pty Ltd</v>
          </cell>
          <cell r="AB2053" t="str">
            <v>N.A.</v>
          </cell>
        </row>
        <row r="2054">
          <cell r="D2054" t="str">
            <v>Hcp Plastene Bulkpack Ltd (Unit Iv) - Sales</v>
          </cell>
          <cell r="AB2054" t="str">
            <v>24AABCG1282C2Z6</v>
          </cell>
        </row>
        <row r="2055">
          <cell r="D2055" t="str">
            <v>Hcp Plastene Bulkpack Ltd (Unit Iv) - Sales</v>
          </cell>
          <cell r="AB2055" t="str">
            <v>24AABCG1282C2Z6</v>
          </cell>
        </row>
        <row r="2056">
          <cell r="D2056" t="str">
            <v>Hcp Plastene Bulkpack Ltd (Unit Iv) - Sales</v>
          </cell>
          <cell r="AB2056" t="str">
            <v>24AABCG1282C2Z6</v>
          </cell>
        </row>
        <row r="2057">
          <cell r="D2057" t="str">
            <v>Hcp Plastene Bulkpack Ltd (Unit Iv) - Sales</v>
          </cell>
          <cell r="AB2057" t="str">
            <v>24AABCG1282C2Z6</v>
          </cell>
        </row>
        <row r="2058">
          <cell r="D2058" t="str">
            <v>Hcp Plastene Bulkpack Ltd (Unit Iv) - Sales</v>
          </cell>
          <cell r="AB2058" t="str">
            <v>24AABCG1282C2Z6</v>
          </cell>
        </row>
        <row r="2059">
          <cell r="D2059" t="str">
            <v>Hcp Plastene Bulkpack Ltd (Unit Iv) - Sales</v>
          </cell>
          <cell r="AB2059" t="str">
            <v>24AABCG1282C2Z6</v>
          </cell>
        </row>
        <row r="2060">
          <cell r="D2060" t="str">
            <v>Hcp Plastene Bulkpack Ltd (Unit Iv) - Sales</v>
          </cell>
          <cell r="AB2060" t="str">
            <v>24AABCG1282C2Z6</v>
          </cell>
        </row>
        <row r="2061">
          <cell r="D2061" t="str">
            <v>Hcp Plastene Bulkpack Ltd (Unit Iv) - Sales</v>
          </cell>
          <cell r="AB2061" t="str">
            <v>24AABCG1282C2Z6</v>
          </cell>
        </row>
        <row r="2062">
          <cell r="D2062" t="str">
            <v>Hcp Plastene Bulkpack Ltd (Unit Iv) - Sales</v>
          </cell>
          <cell r="AB2062" t="str">
            <v>24AABCG1282C2Z6</v>
          </cell>
        </row>
        <row r="2063">
          <cell r="D2063" t="str">
            <v>Hcp Plastene Bulkpack Ltd (Unit Iv) - Sales</v>
          </cell>
          <cell r="AB2063" t="str">
            <v>24AABCG1282C2Z6</v>
          </cell>
        </row>
        <row r="2064">
          <cell r="D2064" t="str">
            <v>Hcp Plastene Bulkpack Ltd (Unit Iv) - Sales</v>
          </cell>
          <cell r="AB2064" t="str">
            <v>24AABCG1282C2Z6</v>
          </cell>
        </row>
        <row r="2065">
          <cell r="D2065" t="str">
            <v>Hcp Plastene Bulkpack Ltd (Unit Iv) - Sales</v>
          </cell>
          <cell r="AB2065" t="str">
            <v>24AABCG1282C2Z6</v>
          </cell>
        </row>
        <row r="2066">
          <cell r="D2066" t="str">
            <v>Hcp Plastene Bulkpack Ltd (Unit Iv) - Sales</v>
          </cell>
          <cell r="AB2066" t="str">
            <v>24AABCG1282C2Z6</v>
          </cell>
        </row>
        <row r="2067">
          <cell r="D2067" t="str">
            <v>Hcp Plastene Bulkpack Ltd (Unit Iv) - Sales</v>
          </cell>
          <cell r="AB2067" t="str">
            <v>24AABCG1282C2Z6</v>
          </cell>
        </row>
        <row r="2068">
          <cell r="D2068" t="str">
            <v>Hcp Plastene Bulkpack Ltd (Unit Iv) - Sales</v>
          </cell>
          <cell r="AB2068" t="str">
            <v>24AABCG1282C2Z6</v>
          </cell>
        </row>
        <row r="2069">
          <cell r="D2069" t="str">
            <v>Hcp Plastene Bulkpack Ltd (Unit Iv) - Sales</v>
          </cell>
          <cell r="AB2069" t="str">
            <v>24AABCG1282C2Z6</v>
          </cell>
        </row>
        <row r="2070">
          <cell r="D2070" t="str">
            <v>Hcp Plastene Bulkpack Ltd (Unit Iv) - Sales</v>
          </cell>
          <cell r="AB2070" t="str">
            <v>24AABCG1282C2Z6</v>
          </cell>
        </row>
        <row r="2071">
          <cell r="D2071" t="str">
            <v>Hcp Plastene Bulkpack Ltd (Unit Iv) - Sales</v>
          </cell>
          <cell r="AB2071" t="str">
            <v>24AABCG1282C2Z6</v>
          </cell>
        </row>
        <row r="2072">
          <cell r="D2072" t="str">
            <v>Jain Bulk Pack - Ahmedabad</v>
          </cell>
          <cell r="AB2072" t="str">
            <v>24AFOPG7793M1ZO</v>
          </cell>
        </row>
        <row r="2073">
          <cell r="D2073" t="str">
            <v>Juta A.S.</v>
          </cell>
          <cell r="AB2073" t="str">
            <v>N.A.</v>
          </cell>
        </row>
        <row r="2074">
          <cell r="D2074" t="str">
            <v>K.P. Woven Pvt Ltd - Unit 3 -Sales</v>
          </cell>
          <cell r="AB2074" t="str">
            <v>24AAECK6307M2ZE</v>
          </cell>
        </row>
        <row r="2075">
          <cell r="D2075" t="str">
            <v>K.P. Woven Pvt Ltd-Sales</v>
          </cell>
          <cell r="AB2075" t="str">
            <v>24AAECK6307M1ZF</v>
          </cell>
        </row>
        <row r="2076">
          <cell r="D2076" t="str">
            <v>K.P. Woven Pvt Ltd-Sales</v>
          </cell>
          <cell r="AB2076" t="str">
            <v>24AAECK6307M1ZF</v>
          </cell>
        </row>
        <row r="2077">
          <cell r="D2077" t="str">
            <v>K.P. Woven Pvt Ltd-Sales</v>
          </cell>
          <cell r="AB2077" t="str">
            <v>24AAECK6307M1ZF</v>
          </cell>
        </row>
        <row r="2078">
          <cell r="D2078" t="str">
            <v>K.P. Woven Pvt Ltd-Sales</v>
          </cell>
          <cell r="AB2078" t="str">
            <v>24AAECK6307M1ZF</v>
          </cell>
        </row>
        <row r="2079">
          <cell r="D2079" t="str">
            <v>K.P. Woven Pvt Ltd-Sales</v>
          </cell>
          <cell r="AB2079" t="str">
            <v>24AAECK6307M1ZF</v>
          </cell>
        </row>
        <row r="2080">
          <cell r="D2080" t="str">
            <v>K.P. Woven Pvt Ltd-Sales</v>
          </cell>
          <cell r="AB2080" t="str">
            <v>24AAECK6307M1ZF</v>
          </cell>
        </row>
        <row r="2081">
          <cell r="D2081" t="str">
            <v>K.P. Woven Pvt Ltd-Sales</v>
          </cell>
          <cell r="AB2081" t="str">
            <v>24AAECK6307M1ZF</v>
          </cell>
        </row>
        <row r="2082">
          <cell r="D2082" t="str">
            <v>Plastene Polyfilms Ltd-Sales</v>
          </cell>
          <cell r="AB2082" t="str">
            <v>24AAFCP2956A1ZR</v>
          </cell>
        </row>
        <row r="2083">
          <cell r="D2083" t="str">
            <v>Plastene Polyfilms Ltd-Sales</v>
          </cell>
          <cell r="AB2083" t="str">
            <v>24AAFCP2956A1ZR</v>
          </cell>
        </row>
        <row r="2084">
          <cell r="D2084" t="str">
            <v>Plastene Polyfilms Ltd-Sales</v>
          </cell>
          <cell r="AB2084" t="str">
            <v>24AAFCP2956A1ZR</v>
          </cell>
        </row>
        <row r="2085">
          <cell r="D2085" t="str">
            <v>Plastene Polyfilms Ltd-Sales</v>
          </cell>
          <cell r="AB2085" t="str">
            <v>24AAFCP2956A1ZR</v>
          </cell>
        </row>
        <row r="2086">
          <cell r="D2086" t="str">
            <v>Plastene Polyfilms Ltd-Sales</v>
          </cell>
          <cell r="AB2086" t="str">
            <v>24AAFCP2956A1ZR</v>
          </cell>
        </row>
        <row r="2087">
          <cell r="D2087" t="str">
            <v>Plastene Polyfilms Ltd-Sales</v>
          </cell>
          <cell r="AB2087" t="str">
            <v>24AAFCP2956A1ZR</v>
          </cell>
        </row>
        <row r="2088">
          <cell r="D2088" t="str">
            <v>Plastene Polyfilms Ltd-Sales</v>
          </cell>
          <cell r="AB2088" t="str">
            <v>24AAFCP2956A1ZR</v>
          </cell>
        </row>
        <row r="2089">
          <cell r="D2089" t="str">
            <v>Plastene Polyfilms Ltd-Sales</v>
          </cell>
          <cell r="AB2089" t="str">
            <v>24AAFCP2956A1ZR</v>
          </cell>
        </row>
        <row r="2090">
          <cell r="D2090" t="str">
            <v>Hcp Plastene Bulkpack Ltd (Unit Iv) - Sales</v>
          </cell>
          <cell r="AB2090" t="str">
            <v>24AABCG1282C2Z6</v>
          </cell>
        </row>
        <row r="2091">
          <cell r="D2091" t="str">
            <v>Hcp Plastene Bulkpack Ltd (Unit Iv) - Sales</v>
          </cell>
          <cell r="AB2091" t="str">
            <v>24AABCG1282C2Z6</v>
          </cell>
        </row>
        <row r="2092">
          <cell r="D2092" t="str">
            <v>Hcp Plastene Bulkpack Ltd (Unit Iv) - Sales</v>
          </cell>
          <cell r="AB2092" t="str">
            <v>24AABCG1282C2Z6</v>
          </cell>
        </row>
        <row r="2093">
          <cell r="D2093" t="str">
            <v>Hcp Plastene Bulkpack Ltd (Unit Iv) - Sales</v>
          </cell>
          <cell r="AB2093" t="str">
            <v>24AABCG1282C2Z6</v>
          </cell>
        </row>
        <row r="2094">
          <cell r="D2094" t="str">
            <v>Hcp Plastene Bulkpack Ltd (Unit Iv) - Sales</v>
          </cell>
          <cell r="AB2094" t="str">
            <v>24AABCG1282C2Z6</v>
          </cell>
        </row>
        <row r="2095">
          <cell r="D2095" t="str">
            <v>Hcp Plastene Bulkpack Ltd (Unit Iv) - Sales</v>
          </cell>
          <cell r="AB2095" t="str">
            <v>24AABCG1282C2Z6</v>
          </cell>
        </row>
        <row r="2096">
          <cell r="D2096" t="str">
            <v>Hcp Plastene Bulkpack Ltd (Unit Iv) - Sales</v>
          </cell>
          <cell r="AB2096" t="str">
            <v>24AABCG1282C2Z6</v>
          </cell>
        </row>
        <row r="2097">
          <cell r="D2097" t="str">
            <v>Hcp Plastene Bulkpack Ltd (Unit Iv) - Sales</v>
          </cell>
          <cell r="AB2097" t="str">
            <v>24AABCG1282C2Z6</v>
          </cell>
        </row>
        <row r="2098">
          <cell r="D2098" t="str">
            <v>Hcp Plastene Bulkpack Ltd (Unit Iv) - Sales</v>
          </cell>
          <cell r="AB2098" t="str">
            <v>24AABCG1282C2Z6</v>
          </cell>
        </row>
        <row r="2099">
          <cell r="D2099" t="str">
            <v>Hcp Plastene Bulkpack Ltd (Unit Iv) - Sales</v>
          </cell>
          <cell r="AB2099" t="str">
            <v>24AABCG1282C2Z6</v>
          </cell>
        </row>
        <row r="2100">
          <cell r="D2100" t="str">
            <v>Hcp Plastene Bulkpack Ltd (Unit Iv) - Sales</v>
          </cell>
          <cell r="AB2100" t="str">
            <v>24AABCG1282C2Z6</v>
          </cell>
        </row>
        <row r="2101">
          <cell r="D2101" t="str">
            <v>Hcp Plastene Bulkpack Ltd (Unit Iv) - Sales</v>
          </cell>
          <cell r="AB2101" t="str">
            <v>24AABCG1282C2Z6</v>
          </cell>
        </row>
        <row r="2102">
          <cell r="D2102" t="str">
            <v>Hcp Plastene Bulkpack Ltd (Unit Iv) - Sales</v>
          </cell>
          <cell r="AB2102" t="str">
            <v>24AABCG1282C2Z6</v>
          </cell>
        </row>
        <row r="2103">
          <cell r="D2103" t="str">
            <v>Hcp Plastene Bulkpack Ltd (Unit Iv) - Sales</v>
          </cell>
          <cell r="AB2103" t="str">
            <v>24AABCG1282C2Z6</v>
          </cell>
        </row>
        <row r="2104">
          <cell r="D2104" t="str">
            <v>K.P. Woven Pvt Ltd - Unit 3 -Sales</v>
          </cell>
          <cell r="AB2104" t="str">
            <v>24AAECK6307M2ZE</v>
          </cell>
        </row>
        <row r="2105">
          <cell r="D2105" t="str">
            <v>K.P. Woven Pvt Ltd - Unit 3 -Sales</v>
          </cell>
          <cell r="AB2105" t="str">
            <v>24AAECK6307M2ZE</v>
          </cell>
        </row>
        <row r="2106">
          <cell r="D2106" t="str">
            <v>K.P. Woven Pvt Ltd - Unit 3 -Sales</v>
          </cell>
          <cell r="AB2106" t="str">
            <v>24AAECK6307M2ZE</v>
          </cell>
        </row>
        <row r="2107">
          <cell r="D2107" t="str">
            <v>K.P. Woven Pvt Ltd - Unit 3 -Sales</v>
          </cell>
          <cell r="AB2107" t="str">
            <v>24AAECK6307M2ZE</v>
          </cell>
        </row>
        <row r="2108">
          <cell r="D2108" t="str">
            <v>K.P. Woven Pvt Ltd-Sales</v>
          </cell>
          <cell r="AB2108" t="str">
            <v>24AAECK6307M1ZF</v>
          </cell>
        </row>
        <row r="2109">
          <cell r="D2109" t="str">
            <v>K.P. Woven Pvt Ltd-Sales</v>
          </cell>
          <cell r="AB2109" t="str">
            <v>24AAECK6307M1ZF</v>
          </cell>
        </row>
        <row r="2110">
          <cell r="D2110" t="str">
            <v>K.P. Woven Pvt Ltd-Sales</v>
          </cell>
          <cell r="AB2110" t="str">
            <v>24AAECK6307M1ZF</v>
          </cell>
        </row>
        <row r="2111">
          <cell r="D2111" t="str">
            <v>K.P. Woven Pvt Ltd-Sales</v>
          </cell>
          <cell r="AB2111" t="str">
            <v>24AAECK6307M1ZF</v>
          </cell>
        </row>
        <row r="2112">
          <cell r="D2112" t="str">
            <v>K.P. Woven Pvt Ltd-Sales</v>
          </cell>
          <cell r="AB2112" t="str">
            <v>24AAECK6307M1ZF</v>
          </cell>
        </row>
        <row r="2113">
          <cell r="D2113" t="str">
            <v>K.P. Woven Pvt Ltd-Sales</v>
          </cell>
          <cell r="AB2113" t="str">
            <v>24AAECK6307M1ZF</v>
          </cell>
        </row>
        <row r="2114">
          <cell r="D2114" t="str">
            <v>K.P. Woven Pvt Ltd-Sales</v>
          </cell>
          <cell r="AB2114" t="str">
            <v>24AAECK6307M1ZF</v>
          </cell>
        </row>
        <row r="2115">
          <cell r="D2115" t="str">
            <v>Plastene Polyfilms Ltd-Sales</v>
          </cell>
          <cell r="AB2115" t="str">
            <v>24AAFCP2956A1ZR</v>
          </cell>
        </row>
        <row r="2116">
          <cell r="D2116" t="str">
            <v>Plastene Polyfilms Ltd-Sales</v>
          </cell>
          <cell r="AB2116" t="str">
            <v>24AAFCP2956A1ZR</v>
          </cell>
        </row>
        <row r="2117">
          <cell r="D2117" t="str">
            <v>Plastene Polyfilms Ltd-Sales</v>
          </cell>
          <cell r="AB2117" t="str">
            <v>24AAFCP2956A1ZR</v>
          </cell>
        </row>
        <row r="2118">
          <cell r="D2118" t="str">
            <v>Plastene Polyfilms Ltd-Sales</v>
          </cell>
          <cell r="AB2118" t="str">
            <v>24AAFCP2956A1ZR</v>
          </cell>
        </row>
        <row r="2119">
          <cell r="D2119" t="str">
            <v>Plastene Polyfilms Ltd-Sales</v>
          </cell>
          <cell r="AB2119" t="str">
            <v>24AAFCP2956A1ZR</v>
          </cell>
        </row>
        <row r="2120">
          <cell r="D2120" t="str">
            <v>Plastene Polyfilms Ltd-Sales</v>
          </cell>
          <cell r="AB2120" t="str">
            <v>24AAFCP2956A1ZR</v>
          </cell>
        </row>
        <row r="2121">
          <cell r="D2121" t="str">
            <v>Plastene Polyfilms Ltd-Sales</v>
          </cell>
          <cell r="AB2121" t="str">
            <v>24AAFCP2956A1ZR</v>
          </cell>
        </row>
        <row r="2122">
          <cell r="D2122" t="str">
            <v>Plastene Polyfilms Ltd-Sales</v>
          </cell>
          <cell r="AB2122" t="str">
            <v>24AAFCP2956A1ZR</v>
          </cell>
        </row>
        <row r="2123">
          <cell r="D2123" t="str">
            <v>Plastene Polyfilms Ltd-Sales</v>
          </cell>
          <cell r="AB2123" t="str">
            <v>24AAFCP2956A1ZR</v>
          </cell>
        </row>
        <row r="2124">
          <cell r="D2124" t="str">
            <v>Plastene Polyfilms Ltd-Sales</v>
          </cell>
          <cell r="AB2124" t="str">
            <v>24AAFCP2956A1ZR</v>
          </cell>
        </row>
        <row r="2125">
          <cell r="D2125" t="str">
            <v>Plastene Polyfilms Ltd-Sales</v>
          </cell>
          <cell r="AB2125" t="str">
            <v>24AAFCP2956A1ZR</v>
          </cell>
        </row>
        <row r="2126">
          <cell r="D2126" t="str">
            <v>Plastene Polyfilms Ltd-Sales</v>
          </cell>
          <cell r="AB2126" t="str">
            <v>24AAFCP2956A1ZR</v>
          </cell>
        </row>
        <row r="2127">
          <cell r="D2127" t="str">
            <v>Rafia Industrial S.A.</v>
          </cell>
          <cell r="AB2127" t="str">
            <v>N.A.</v>
          </cell>
        </row>
        <row r="2128">
          <cell r="D2128" t="str">
            <v>Hcp Plastene Bulkpack Ltd (Unit Iv) - Sales</v>
          </cell>
          <cell r="AB2128" t="str">
            <v>24AABCG1282C2Z6</v>
          </cell>
        </row>
        <row r="2129">
          <cell r="D2129" t="str">
            <v>Hcp Plastene Bulkpack Ltd (Unit Iv) - Sales</v>
          </cell>
          <cell r="AB2129" t="str">
            <v>24AABCG1282C2Z6</v>
          </cell>
        </row>
        <row r="2130">
          <cell r="D2130" t="str">
            <v>Hcp Plastene Bulkpack Ltd (Unit Iv) - Sales</v>
          </cell>
          <cell r="AB2130" t="str">
            <v>24AABCG1282C2Z6</v>
          </cell>
        </row>
        <row r="2131">
          <cell r="D2131" t="str">
            <v>Hcp Plastene Bulkpack Ltd (Unit Iv) - Sales</v>
          </cell>
          <cell r="AB2131" t="str">
            <v>24AABCG1282C2Z6</v>
          </cell>
        </row>
        <row r="2132">
          <cell r="D2132" t="str">
            <v>Hcp Plastene Bulkpack Ltd (Unit Iv) - Sales</v>
          </cell>
          <cell r="AB2132" t="str">
            <v>24AABCG1282C2Z6</v>
          </cell>
        </row>
        <row r="2133">
          <cell r="D2133" t="str">
            <v>Hcp Plastene Bulkpack Ltd (Unit Iv) - Sales</v>
          </cell>
          <cell r="AB2133" t="str">
            <v>24AABCG1282C2Z6</v>
          </cell>
        </row>
        <row r="2134">
          <cell r="D2134" t="str">
            <v>Hcp Plastene Bulkpack Ltd (Unit Iv) - Sales</v>
          </cell>
          <cell r="AB2134" t="str">
            <v>24AABCG1282C2Z6</v>
          </cell>
        </row>
        <row r="2135">
          <cell r="D2135" t="str">
            <v>Hcp Plastene Bulkpack Ltd (Unit Iv) - Sales</v>
          </cell>
          <cell r="AB2135" t="str">
            <v>24AABCG1282C2Z6</v>
          </cell>
        </row>
        <row r="2136">
          <cell r="D2136" t="str">
            <v>Hcp Plastene Bulkpack Ltd (Unit Iv) - Sales</v>
          </cell>
          <cell r="AB2136" t="str">
            <v>24AABCG1282C2Z6</v>
          </cell>
        </row>
        <row r="2137">
          <cell r="D2137" t="str">
            <v>Hcp Plastene Bulkpack Ltd (Unit Iv) - Sales</v>
          </cell>
          <cell r="AB2137" t="str">
            <v>24AABCG1282C2Z6</v>
          </cell>
        </row>
        <row r="2138">
          <cell r="D2138" t="str">
            <v>Hcp Plastene Bulkpack Ltd (Unit Iv) - Sales</v>
          </cell>
          <cell r="AB2138" t="str">
            <v>24AABCG1282C2Z6</v>
          </cell>
        </row>
        <row r="2139">
          <cell r="D2139" t="str">
            <v>Hcp Plastene Bulkpack Ltd (Unit Iv) - Sales</v>
          </cell>
          <cell r="AB2139" t="str">
            <v>24AABCG1282C2Z6</v>
          </cell>
        </row>
        <row r="2140">
          <cell r="D2140" t="str">
            <v>Hcp Plastene Bulkpack Ltd (Unit Iv) - Sales</v>
          </cell>
          <cell r="AB2140" t="str">
            <v>24AABCG1282C2Z6</v>
          </cell>
        </row>
        <row r="2141">
          <cell r="D2141" t="str">
            <v>Hcp Plastene Bulkpack Ltd (Unit Iv) - Sales</v>
          </cell>
          <cell r="AB2141" t="str">
            <v>24AABCG1282C2Z6</v>
          </cell>
        </row>
        <row r="2142">
          <cell r="D2142" t="str">
            <v>Hcp Plastene Bulkpack Ltd (Unit Iv) - Sales</v>
          </cell>
          <cell r="AB2142" t="str">
            <v>24AABCG1282C2Z6</v>
          </cell>
        </row>
        <row r="2143">
          <cell r="D2143" t="str">
            <v>Hcp Plastene Bulkpack Ltd (Unit Iv) - Sales</v>
          </cell>
          <cell r="AB2143" t="str">
            <v>24AABCG1282C2Z6</v>
          </cell>
        </row>
        <row r="2144">
          <cell r="D2144" t="str">
            <v>Hcp Plastene Bulkpack Ltd (Unit Iv) - Sales</v>
          </cell>
          <cell r="AB2144" t="str">
            <v>24AABCG1282C2Z6</v>
          </cell>
        </row>
        <row r="2145">
          <cell r="D2145" t="str">
            <v>Jain Bulk Pack - Ahmedabad</v>
          </cell>
          <cell r="AB2145" t="str">
            <v>24AFOPG7793M1ZO</v>
          </cell>
        </row>
        <row r="2146">
          <cell r="D2146" t="str">
            <v>Jain Bulk Pack - Ahmedabad</v>
          </cell>
          <cell r="AB2146" t="str">
            <v>24AFOPG7793M1ZO</v>
          </cell>
        </row>
        <row r="2147">
          <cell r="D2147" t="str">
            <v>K.P. Woven Pvt Ltd - Unit 3 -Sales</v>
          </cell>
          <cell r="AB2147" t="str">
            <v>24AAECK6307M2ZE</v>
          </cell>
        </row>
        <row r="2148">
          <cell r="D2148" t="str">
            <v>K.P. Woven Pvt Ltd - Unit 3 -Sales</v>
          </cell>
          <cell r="AB2148" t="str">
            <v>24AAECK6307M2ZE</v>
          </cell>
        </row>
        <row r="2149">
          <cell r="D2149" t="str">
            <v>K.P. Woven Pvt Ltd - Unit 3 -Sales</v>
          </cell>
          <cell r="AB2149" t="str">
            <v>24AAECK6307M2ZE</v>
          </cell>
        </row>
        <row r="2150">
          <cell r="D2150" t="str">
            <v>K.P. Woven Pvt Ltd - Unit 3 -Sales</v>
          </cell>
          <cell r="AB2150" t="str">
            <v>24AAECK6307M2ZE</v>
          </cell>
        </row>
        <row r="2151">
          <cell r="D2151" t="str">
            <v>K.P. Woven Pvt Ltd - Unit 3 -Sales</v>
          </cell>
          <cell r="AB2151" t="str">
            <v>24AAECK6307M2ZE</v>
          </cell>
        </row>
        <row r="2152">
          <cell r="D2152" t="str">
            <v>K.P. Woven Pvt Ltd - Unit 3 -Sales</v>
          </cell>
          <cell r="AB2152" t="str">
            <v>24AAECK6307M2ZE</v>
          </cell>
        </row>
        <row r="2153">
          <cell r="D2153" t="str">
            <v>K.P. Woven Pvt Ltd - Unit 3 -Sales</v>
          </cell>
          <cell r="AB2153" t="str">
            <v>24AAECK6307M2ZE</v>
          </cell>
        </row>
        <row r="2154">
          <cell r="D2154" t="str">
            <v>K.P. Woven Pvt Ltd-Sales</v>
          </cell>
          <cell r="AB2154" t="str">
            <v>24AAECK6307M1ZF</v>
          </cell>
        </row>
        <row r="2155">
          <cell r="D2155" t="str">
            <v>K.P. Woven Pvt Ltd-Sales</v>
          </cell>
          <cell r="AB2155" t="str">
            <v>24AAECK6307M1ZF</v>
          </cell>
        </row>
        <row r="2156">
          <cell r="D2156" t="str">
            <v>K.P. Woven Pvt Ltd-Sales</v>
          </cell>
          <cell r="AB2156" t="str">
            <v>24AAECK6307M1ZF</v>
          </cell>
        </row>
        <row r="2157">
          <cell r="D2157" t="str">
            <v>K.P. Woven Pvt Ltd-Sales</v>
          </cell>
          <cell r="AB2157" t="str">
            <v>24AAECK6307M1ZF</v>
          </cell>
        </row>
        <row r="2158">
          <cell r="D2158" t="str">
            <v>K.P. Woven Pvt Ltd-Sales</v>
          </cell>
          <cell r="AB2158" t="str">
            <v>24AAECK6307M1ZF</v>
          </cell>
        </row>
        <row r="2159">
          <cell r="D2159" t="str">
            <v>K.P. Woven Pvt Ltd-Sales</v>
          </cell>
          <cell r="AB2159" t="str">
            <v>24AAECK6307M1ZF</v>
          </cell>
        </row>
        <row r="2160">
          <cell r="D2160" t="str">
            <v>K.P. Woven Pvt Ltd-Sales</v>
          </cell>
          <cell r="AB2160" t="str">
            <v>24AAECK6307M1ZF</v>
          </cell>
        </row>
        <row r="2161">
          <cell r="D2161" t="str">
            <v>Plastene Polyfilms Ltd-Sales</v>
          </cell>
          <cell r="AB2161" t="str">
            <v>24AAFCP2956A1ZR</v>
          </cell>
        </row>
        <row r="2162">
          <cell r="D2162" t="str">
            <v>Plastene Polyfilms Ltd-Sales</v>
          </cell>
          <cell r="AB2162" t="str">
            <v>24AAFCP2956A1ZR</v>
          </cell>
        </row>
        <row r="2163">
          <cell r="D2163" t="str">
            <v>Plastene Polyfilms Ltd-Sales</v>
          </cell>
          <cell r="AB2163" t="str">
            <v>24AAFCP2956A1ZR</v>
          </cell>
        </row>
        <row r="2164">
          <cell r="D2164" t="str">
            <v>Plastene Polyfilms Ltd-Sales</v>
          </cell>
          <cell r="AB2164" t="str">
            <v>24AAFCP2956A1ZR</v>
          </cell>
        </row>
        <row r="2165">
          <cell r="D2165" t="str">
            <v>Plastene Polyfilms Ltd-Sales</v>
          </cell>
          <cell r="AB2165" t="str">
            <v>24AAFCP2956A1ZR</v>
          </cell>
        </row>
        <row r="2166">
          <cell r="D2166" t="str">
            <v>Plastene Polyfilms Ltd-Sales</v>
          </cell>
          <cell r="AB2166" t="str">
            <v>24AAFCP2956A1ZR</v>
          </cell>
        </row>
        <row r="2167">
          <cell r="D2167" t="str">
            <v>Plastene Polyfilms Ltd-Sales</v>
          </cell>
          <cell r="AB2167" t="str">
            <v>24AAFCP2956A1ZR</v>
          </cell>
        </row>
        <row r="2168">
          <cell r="D2168" t="str">
            <v>HCP Plastene Bulkpack Limited - Sales</v>
          </cell>
          <cell r="AB2168" t="str">
            <v>24AABCG1282C2Z6</v>
          </cell>
        </row>
        <row r="2169">
          <cell r="D2169" t="str">
            <v>HCP Plastene Bulkpack Limited - Sales</v>
          </cell>
          <cell r="AB2169" t="str">
            <v>24AABCG1282C2Z6</v>
          </cell>
        </row>
        <row r="2170">
          <cell r="D2170" t="str">
            <v>HCP Plastene Bulkpack Limited - Sales</v>
          </cell>
          <cell r="AB2170" t="str">
            <v>24AABCG1282C2Z6</v>
          </cell>
        </row>
        <row r="2171">
          <cell r="D2171" t="str">
            <v>HCP Plastene Bulkpack Limited - Sales</v>
          </cell>
          <cell r="AB2171" t="str">
            <v>24AABCG1282C2Z6</v>
          </cell>
        </row>
        <row r="2172">
          <cell r="D2172" t="str">
            <v>HCP Plastene Bulkpack Limited - Sales</v>
          </cell>
          <cell r="AB2172" t="str">
            <v>24AABCG1282C2Z6</v>
          </cell>
        </row>
        <row r="2173">
          <cell r="D2173" t="str">
            <v>HCP Plastene Bulkpack Limited - Sales</v>
          </cell>
          <cell r="AB2173" t="str">
            <v>24AABCG1282C2Z6</v>
          </cell>
        </row>
        <row r="2174">
          <cell r="D2174" t="str">
            <v>HCP Plastene Bulkpack Limited - Sales</v>
          </cell>
          <cell r="AB2174" t="str">
            <v>24AABCG1282C2Z6</v>
          </cell>
        </row>
        <row r="2175">
          <cell r="D2175" t="str">
            <v>HCP Plastene Bulkpack Limited - Sales</v>
          </cell>
          <cell r="AB2175" t="str">
            <v>24AABCG1282C2Z6</v>
          </cell>
        </row>
        <row r="2176">
          <cell r="D2176" t="str">
            <v>HCP Plastene Bulkpack Limited - Sales</v>
          </cell>
          <cell r="AB2176" t="str">
            <v>24AABCG1282C2Z6</v>
          </cell>
        </row>
        <row r="2177">
          <cell r="D2177" t="str">
            <v>HCP Plastene Bulkpack Limited - Sales</v>
          </cell>
          <cell r="AB2177" t="str">
            <v>24AABCG1282C2Z6</v>
          </cell>
        </row>
        <row r="2178">
          <cell r="D2178" t="str">
            <v>HCP Plastene Bulkpack Limited - Sales</v>
          </cell>
          <cell r="AB2178" t="str">
            <v>24AABCG1282C2Z6</v>
          </cell>
        </row>
        <row r="2179">
          <cell r="D2179" t="str">
            <v>HCP Plastene Bulkpack Limited - Sales</v>
          </cell>
          <cell r="AB2179" t="str">
            <v>24AABCG1282C2Z6</v>
          </cell>
        </row>
        <row r="2180">
          <cell r="D2180" t="str">
            <v>Hcp Plastene Bulkpack Ltd (Unit Iv) - Sales</v>
          </cell>
          <cell r="AB2180" t="str">
            <v>24AABCG1282C2Z6</v>
          </cell>
        </row>
        <row r="2181">
          <cell r="D2181" t="str">
            <v>Hcp Plastene Bulkpack Ltd (Unit Iv) - Sales</v>
          </cell>
          <cell r="AB2181" t="str">
            <v>24AABCG1282C2Z6</v>
          </cell>
        </row>
        <row r="2182">
          <cell r="D2182" t="str">
            <v>Hcp Plastene Bulkpack Ltd (Unit Iv) - Sales</v>
          </cell>
          <cell r="AB2182" t="str">
            <v>24AABCG1282C2Z6</v>
          </cell>
        </row>
        <row r="2183">
          <cell r="D2183" t="str">
            <v>Hcp Plastene Bulkpack Ltd (Unit Iv) - Sales</v>
          </cell>
          <cell r="AB2183" t="str">
            <v>24AABCG1282C2Z6</v>
          </cell>
        </row>
        <row r="2184">
          <cell r="D2184" t="str">
            <v>Hcp Plastene Bulkpack Ltd (Unit Iv) - Sales</v>
          </cell>
          <cell r="AB2184" t="str">
            <v>24AABCG1282C2Z6</v>
          </cell>
        </row>
        <row r="2185">
          <cell r="D2185" t="str">
            <v>Hcp Plastene Bulkpack Ltd (Unit Iv) - Sales</v>
          </cell>
          <cell r="AB2185" t="str">
            <v>24AABCG1282C2Z6</v>
          </cell>
        </row>
        <row r="2186">
          <cell r="D2186" t="str">
            <v>Hcp Plastene Bulkpack Ltd (Unit Iv) - Sales</v>
          </cell>
          <cell r="AB2186" t="str">
            <v>24AABCG1282C2Z6</v>
          </cell>
        </row>
        <row r="2187">
          <cell r="D2187" t="str">
            <v>Hcp Plastene Bulkpack Ltd (Unit Iv) - Sales</v>
          </cell>
          <cell r="AB2187" t="str">
            <v>24AABCG1282C2Z6</v>
          </cell>
        </row>
        <row r="2188">
          <cell r="D2188" t="str">
            <v>Hcp Plastene Bulkpack Ltd (Unit Iv) - Sales</v>
          </cell>
          <cell r="AB2188" t="str">
            <v>24AABCG1282C2Z6</v>
          </cell>
        </row>
        <row r="2189">
          <cell r="D2189" t="str">
            <v>Hcp Plastene Bulkpack Ltd (Unit Iv) - Sales</v>
          </cell>
          <cell r="AB2189" t="str">
            <v>24AABCG1282C2Z6</v>
          </cell>
        </row>
        <row r="2190">
          <cell r="D2190" t="str">
            <v>Hcp Plastene Bulkpack Ltd (Unit Iv) - Sales</v>
          </cell>
          <cell r="AB2190" t="str">
            <v>24AABCG1282C2Z6</v>
          </cell>
        </row>
        <row r="2191">
          <cell r="D2191" t="str">
            <v>Hcp Plastene Bulkpack Ltd (Unit Iv) - Sales</v>
          </cell>
          <cell r="AB2191" t="str">
            <v>24AABCG1282C2Z6</v>
          </cell>
        </row>
        <row r="2192">
          <cell r="D2192" t="str">
            <v>Hcp Plastene Bulkpack Ltd (Unit Iv) - Sales</v>
          </cell>
          <cell r="AB2192" t="str">
            <v>24AABCG1282C2Z6</v>
          </cell>
        </row>
        <row r="2193">
          <cell r="D2193" t="str">
            <v>Hcp Plastene Bulkpack Ltd (Unit Iv) - Sales</v>
          </cell>
          <cell r="AB2193" t="str">
            <v>24AABCG1282C2Z6</v>
          </cell>
        </row>
        <row r="2194">
          <cell r="D2194" t="str">
            <v>Hcp Plastene Bulkpack Ltd (Unit Iv) - Sales</v>
          </cell>
          <cell r="AB2194" t="str">
            <v>24AABCG1282C2Z6</v>
          </cell>
        </row>
        <row r="2195">
          <cell r="D2195" t="str">
            <v>Hcp Plastene Bulkpack Ltd (Unit Iv) - Sales</v>
          </cell>
          <cell r="AB2195" t="str">
            <v>24AABCG1282C2Z6</v>
          </cell>
        </row>
        <row r="2196">
          <cell r="D2196" t="str">
            <v>Jain Bulk Pack - Ahmedabad</v>
          </cell>
          <cell r="AB2196" t="str">
            <v>24AFOPG7793M1ZO</v>
          </cell>
        </row>
        <row r="2197">
          <cell r="D2197" t="str">
            <v>K.P. Woven Pvt Ltd-Sales</v>
          </cell>
          <cell r="AB2197" t="str">
            <v>24AAECK6307M1ZF</v>
          </cell>
        </row>
        <row r="2198">
          <cell r="D2198" t="str">
            <v>K.P. Woven Pvt Ltd-Sales</v>
          </cell>
          <cell r="AB2198" t="str">
            <v>24AAECK6307M1ZF</v>
          </cell>
        </row>
        <row r="2199">
          <cell r="D2199" t="str">
            <v>K.P. Woven Pvt Ltd-Sales</v>
          </cell>
          <cell r="AB2199" t="str">
            <v>24AAECK6307M1ZF</v>
          </cell>
        </row>
        <row r="2200">
          <cell r="D2200" t="str">
            <v>K.P. Woven Pvt Ltd-Sales</v>
          </cell>
          <cell r="AB2200" t="str">
            <v>24AAECK6307M1ZF</v>
          </cell>
        </row>
        <row r="2201">
          <cell r="D2201" t="str">
            <v>K.P. Woven Pvt Ltd-Sales</v>
          </cell>
          <cell r="AB2201" t="str">
            <v>24AAECK6307M1ZF</v>
          </cell>
        </row>
        <row r="2202">
          <cell r="D2202" t="str">
            <v>K.P. Woven Pvt Ltd-Sales</v>
          </cell>
          <cell r="AB2202" t="str">
            <v>24AAECK6307M1ZF</v>
          </cell>
        </row>
        <row r="2203">
          <cell r="D2203" t="str">
            <v>Nij Plastics- Sale</v>
          </cell>
          <cell r="AB2203" t="str">
            <v>24ABJPC0735G1Z6</v>
          </cell>
        </row>
        <row r="2204">
          <cell r="D2204" t="str">
            <v>Plastene Polyfilms Ltd-Sales</v>
          </cell>
          <cell r="AB2204" t="str">
            <v>24AAFCP2956A1ZR</v>
          </cell>
        </row>
        <row r="2205">
          <cell r="D2205" t="str">
            <v>Plastene Polyfilms Ltd-Sales</v>
          </cell>
          <cell r="AB2205" t="str">
            <v>24AAFCP2956A1ZR</v>
          </cell>
        </row>
        <row r="2206">
          <cell r="D2206" t="str">
            <v>Plastene Polyfilms Ltd-Sales</v>
          </cell>
          <cell r="AB2206" t="str">
            <v>24AAFCP2956A1ZR</v>
          </cell>
        </row>
        <row r="2207">
          <cell r="D2207" t="str">
            <v>Plastene Polyfilms Ltd-Sales</v>
          </cell>
          <cell r="AB2207" t="str">
            <v>24AAFCP2956A1ZR</v>
          </cell>
        </row>
        <row r="2208">
          <cell r="D2208" t="str">
            <v>Plastene Polyfilms Ltd-Sales</v>
          </cell>
          <cell r="AB2208" t="str">
            <v>24AAFCP2956A1ZR</v>
          </cell>
        </row>
        <row r="2209">
          <cell r="D2209" t="str">
            <v>Plastene Polyfilms Ltd-Sales</v>
          </cell>
          <cell r="AB2209" t="str">
            <v>24AAFCP2956A1ZR</v>
          </cell>
        </row>
        <row r="2210">
          <cell r="D2210" t="str">
            <v>Plastene Polyfilms Ltd-Sales</v>
          </cell>
          <cell r="AB2210" t="str">
            <v>24AAFCP2956A1ZR</v>
          </cell>
        </row>
        <row r="2211">
          <cell r="D2211" t="str">
            <v>Plastene Polyfilms Ltd-Sales</v>
          </cell>
          <cell r="AB2211" t="str">
            <v>24AAFCP2956A1ZR</v>
          </cell>
        </row>
        <row r="2212">
          <cell r="D2212" t="str">
            <v>Rudra Trading Co.</v>
          </cell>
          <cell r="AB2212" t="str">
            <v>27BCGPD5673M1Z7</v>
          </cell>
        </row>
        <row r="2213">
          <cell r="D2213" t="str">
            <v>SO Bag</v>
          </cell>
          <cell r="AB2213" t="str">
            <v>N.A.</v>
          </cell>
        </row>
        <row r="2214">
          <cell r="D2214" t="str">
            <v xml:space="preserve">Town &amp; Country Aggregates </v>
          </cell>
          <cell r="AB2214" t="str">
            <v>N.A.</v>
          </cell>
        </row>
        <row r="2215">
          <cell r="D2215" t="str">
            <v>Hcp Plastene Bulkpack Ltd (Unit Iv) - Sales</v>
          </cell>
          <cell r="AB2215" t="str">
            <v>24AABCG1282C2Z6</v>
          </cell>
        </row>
        <row r="2216">
          <cell r="D2216" t="str">
            <v>Hcp Plastene Bulkpack Ltd (Unit Iv) - Sales</v>
          </cell>
          <cell r="AB2216" t="str">
            <v>24AABCG1282C2Z6</v>
          </cell>
        </row>
        <row r="2217">
          <cell r="D2217" t="str">
            <v>Hcp Plastene Bulkpack Ltd (Unit Iv) - Sales</v>
          </cell>
          <cell r="AB2217" t="str">
            <v>24AABCG1282C2Z6</v>
          </cell>
        </row>
        <row r="2218">
          <cell r="D2218" t="str">
            <v>Hcp Plastene Bulkpack Ltd (Unit Iv) - Sales</v>
          </cell>
          <cell r="AB2218" t="str">
            <v>24AABCG1282C2Z6</v>
          </cell>
        </row>
        <row r="2219">
          <cell r="D2219" t="str">
            <v>Hcp Plastene Bulkpack Ltd (Unit Iv) - Sales</v>
          </cell>
          <cell r="AB2219" t="str">
            <v>24AABCG1282C2Z6</v>
          </cell>
        </row>
        <row r="2220">
          <cell r="D2220" t="str">
            <v>Hcp Plastene Bulkpack Ltd (Unit Iv) - Sales</v>
          </cell>
          <cell r="AB2220" t="str">
            <v>24AABCG1282C2Z6</v>
          </cell>
        </row>
        <row r="2221">
          <cell r="D2221" t="str">
            <v>Hcp Plastene Bulkpack Ltd (Unit Iv) - Sales</v>
          </cell>
          <cell r="AB2221" t="str">
            <v>24AABCG1282C2Z6</v>
          </cell>
        </row>
        <row r="2222">
          <cell r="D2222" t="str">
            <v>Hcp Plastene Bulkpack Ltd (Unit Iv) - Sales</v>
          </cell>
          <cell r="AB2222" t="str">
            <v>24AABCG1282C2Z6</v>
          </cell>
        </row>
        <row r="2223">
          <cell r="D2223" t="str">
            <v>Hcp Plastene Bulkpack Ltd (Unit Iv) - Sales</v>
          </cell>
          <cell r="AB2223" t="str">
            <v>24AABCG1282C2Z6</v>
          </cell>
        </row>
        <row r="2224">
          <cell r="D2224" t="str">
            <v>Hcp Plastene Bulkpack Ltd (Unit Iv) - Sales</v>
          </cell>
          <cell r="AB2224" t="str">
            <v>24AABCG1282C2Z6</v>
          </cell>
        </row>
        <row r="2225">
          <cell r="D2225" t="str">
            <v>Hcp Plastene Bulkpack Ltd (Unit Iv) - Sales</v>
          </cell>
          <cell r="AB2225" t="str">
            <v>24AABCG1282C2Z6</v>
          </cell>
        </row>
        <row r="2226">
          <cell r="D2226" t="str">
            <v>Hcp Plastene Bulkpack Ltd (Unit Iv) - Sales</v>
          </cell>
          <cell r="AB2226" t="str">
            <v>24AABCG1282C2Z6</v>
          </cell>
        </row>
        <row r="2227">
          <cell r="D2227" t="str">
            <v>Hcp Plastene Bulkpack Ltd (Unit Iv) - Sales</v>
          </cell>
          <cell r="AB2227" t="str">
            <v>24AABCG1282C2Z6</v>
          </cell>
        </row>
        <row r="2228">
          <cell r="D2228" t="str">
            <v>Hcp Plastene Bulkpack Ltd (Unit Iv) - Sales</v>
          </cell>
          <cell r="AB2228" t="str">
            <v>24AABCG1282C2Z6</v>
          </cell>
        </row>
        <row r="2229">
          <cell r="D2229" t="str">
            <v>Hcp Plastene Bulkpack Ltd (Unit Iv) - Sales</v>
          </cell>
          <cell r="AB2229" t="str">
            <v>24AABCG1282C2Z6</v>
          </cell>
        </row>
        <row r="2230">
          <cell r="D2230" t="str">
            <v>Multi Negoce</v>
          </cell>
          <cell r="AB2230" t="str">
            <v>N.A.</v>
          </cell>
        </row>
        <row r="2231">
          <cell r="D2231" t="str">
            <v>Plastene Polyfilms Ltd-Sales</v>
          </cell>
          <cell r="AB2231" t="str">
            <v>24AAFCP2956A1ZR</v>
          </cell>
        </row>
        <row r="2232">
          <cell r="D2232" t="str">
            <v>Plastene Polyfilms Ltd-Sales</v>
          </cell>
          <cell r="AB2232" t="str">
            <v>24AAFCP2956A1ZR</v>
          </cell>
        </row>
        <row r="2233">
          <cell r="D2233" t="str">
            <v>Plastene Polyfilms Ltd-Sales</v>
          </cell>
          <cell r="AB2233" t="str">
            <v>24AAFCP2956A1ZR</v>
          </cell>
        </row>
        <row r="2234">
          <cell r="D2234" t="str">
            <v>Plastene Polyfilms Ltd-Sales</v>
          </cell>
          <cell r="AB2234" t="str">
            <v>24AAFCP2956A1ZR</v>
          </cell>
        </row>
        <row r="2235">
          <cell r="D2235" t="str">
            <v>Plastene Polyfilms Ltd-Sales</v>
          </cell>
          <cell r="AB2235" t="str">
            <v>24AAFCP2956A1ZR</v>
          </cell>
        </row>
        <row r="2236">
          <cell r="D2236" t="str">
            <v>Plastene Polyfilms Ltd-Sales</v>
          </cell>
          <cell r="AB2236" t="str">
            <v>24AAFCP2956A1ZR</v>
          </cell>
        </row>
        <row r="2237">
          <cell r="D2237" t="str">
            <v>Plastene Polyfilms Ltd-Sales</v>
          </cell>
          <cell r="AB2237" t="str">
            <v>24AAFCP2956A1ZR</v>
          </cell>
        </row>
        <row r="2238">
          <cell r="D2238" t="str">
            <v>Plastene Polyfilms Ltd-Sales</v>
          </cell>
          <cell r="AB2238" t="str">
            <v>24AAFCP2956A1ZR</v>
          </cell>
        </row>
        <row r="2239">
          <cell r="D2239" t="str">
            <v>Plastene Polyfilms Ltd-Sales</v>
          </cell>
          <cell r="AB2239" t="str">
            <v>24AAFCP2956A1ZR</v>
          </cell>
        </row>
        <row r="2240">
          <cell r="D2240" t="str">
            <v>Plastene Polyfilms Ltd-Sales</v>
          </cell>
          <cell r="AB2240" t="str">
            <v>24AAFCP2956A1ZR</v>
          </cell>
        </row>
        <row r="2241">
          <cell r="D2241" t="str">
            <v>Hcp Plastene Bulkpack Ltd (Unit Iv) - Sales</v>
          </cell>
          <cell r="AB2241" t="str">
            <v>24AABCG1282C2Z6</v>
          </cell>
        </row>
        <row r="2242">
          <cell r="D2242" t="str">
            <v>Hcp Plastene Bulkpack Ltd (Unit Iv) - Sales</v>
          </cell>
          <cell r="AB2242" t="str">
            <v>24AABCG1282C2Z6</v>
          </cell>
        </row>
        <row r="2243">
          <cell r="D2243" t="str">
            <v>Hcp Plastene Bulkpack Ltd (Unit Iv) - Sales</v>
          </cell>
          <cell r="AB2243" t="str">
            <v>24AABCG1282C2Z6</v>
          </cell>
        </row>
        <row r="2244">
          <cell r="D2244" t="str">
            <v>Hcp Plastene Bulkpack Ltd (Unit Iv) - Sales</v>
          </cell>
          <cell r="AB2244" t="str">
            <v>24AABCG1282C2Z6</v>
          </cell>
        </row>
        <row r="2245">
          <cell r="D2245" t="str">
            <v>Hcp Plastene Bulkpack Ltd (Unit Iv) - Sales</v>
          </cell>
          <cell r="AB2245" t="str">
            <v>24AABCG1282C2Z6</v>
          </cell>
        </row>
        <row r="2246">
          <cell r="D2246" t="str">
            <v>Hcp Plastene Bulkpack Ltd (Unit Iv) - Sales</v>
          </cell>
          <cell r="AB2246" t="str">
            <v>24AABCG1282C2Z6</v>
          </cell>
        </row>
        <row r="2247">
          <cell r="D2247" t="str">
            <v>Hcp Plastene Bulkpack Ltd (Unit Iv) - Sales</v>
          </cell>
          <cell r="AB2247" t="str">
            <v>24AABCG1282C2Z6</v>
          </cell>
        </row>
        <row r="2248">
          <cell r="D2248" t="str">
            <v>Hcp Plastene Bulkpack Ltd (Unit Iv) - Sales</v>
          </cell>
          <cell r="AB2248" t="str">
            <v>24AABCG1282C2Z6</v>
          </cell>
        </row>
        <row r="2249">
          <cell r="D2249" t="str">
            <v>Hcp Plastene Bulkpack Ltd (Unit Iv) - Sales</v>
          </cell>
          <cell r="AB2249" t="str">
            <v>24AABCG1282C2Z6</v>
          </cell>
        </row>
        <row r="2250">
          <cell r="D2250" t="str">
            <v>Hcp Plastene Bulkpack Ltd (Unit Iv) - Sales</v>
          </cell>
          <cell r="AB2250" t="str">
            <v>24AABCG1282C2Z6</v>
          </cell>
        </row>
        <row r="2251">
          <cell r="D2251" t="str">
            <v>Hcp Plastene Bulkpack Ltd (Unit Iv) - Sales</v>
          </cell>
          <cell r="AB2251" t="str">
            <v>24AABCG1282C2Z6</v>
          </cell>
        </row>
        <row r="2252">
          <cell r="D2252" t="str">
            <v>Hcp Plastene Bulkpack Ltd (Unit Iv) - Sales</v>
          </cell>
          <cell r="AB2252" t="str">
            <v>24AABCG1282C2Z6</v>
          </cell>
        </row>
        <row r="2253">
          <cell r="D2253" t="str">
            <v>Hcp Plastene Bulkpack Ltd (Unit Iv) - Sales</v>
          </cell>
          <cell r="AB2253" t="str">
            <v>24AABCG1282C2Z6</v>
          </cell>
        </row>
        <row r="2254">
          <cell r="D2254" t="str">
            <v>Jain Bulk Pack - Ahmedabad</v>
          </cell>
          <cell r="AB2254" t="str">
            <v>24AFOPG7793M1ZO</v>
          </cell>
        </row>
        <row r="2255">
          <cell r="D2255" t="str">
            <v>Jain Bulk Pack - Ahmedabad</v>
          </cell>
          <cell r="AB2255" t="str">
            <v>24AFOPG7793M1ZO</v>
          </cell>
        </row>
        <row r="2256">
          <cell r="D2256" t="str">
            <v>Jain Bulk Pack - Ahmedabad</v>
          </cell>
          <cell r="AB2256" t="str">
            <v>24AFOPG7793M1ZO</v>
          </cell>
        </row>
        <row r="2257">
          <cell r="D2257" t="str">
            <v>Jain Bulk Pack - Ahmedabad</v>
          </cell>
          <cell r="AB2257" t="str">
            <v>24AFOPG7793M1ZO</v>
          </cell>
        </row>
        <row r="2258">
          <cell r="D2258" t="str">
            <v>K.P. Woven Pvt Ltd - Unit 3 -Sales</v>
          </cell>
          <cell r="AB2258" t="str">
            <v>24AAECK6307M2ZE</v>
          </cell>
        </row>
        <row r="2259">
          <cell r="D2259" t="str">
            <v>K.P. Woven Pvt Ltd - Unit 3 -Sales</v>
          </cell>
          <cell r="AB2259" t="str">
            <v>24AAECK6307M2ZE</v>
          </cell>
        </row>
        <row r="2260">
          <cell r="D2260" t="str">
            <v>K.P. Woven Pvt Ltd - Unit 3 -Sales</v>
          </cell>
          <cell r="AB2260" t="str">
            <v>24AAECK6307M2ZE</v>
          </cell>
        </row>
        <row r="2261">
          <cell r="D2261" t="str">
            <v>K.P. Woven Pvt Ltd - Unit 3 -Sales</v>
          </cell>
          <cell r="AB2261" t="str">
            <v>24AAECK6307M2ZE</v>
          </cell>
        </row>
        <row r="2262">
          <cell r="D2262" t="str">
            <v>K.P. Woven Pvt Ltd-Sales</v>
          </cell>
          <cell r="AB2262" t="str">
            <v>24AAECK6307M1ZF</v>
          </cell>
        </row>
        <row r="2263">
          <cell r="D2263" t="str">
            <v>K.P. Woven Pvt Ltd-Sales</v>
          </cell>
          <cell r="AB2263" t="str">
            <v>24AAECK6307M1ZF</v>
          </cell>
        </row>
        <row r="2264">
          <cell r="D2264" t="str">
            <v>K.P. Woven Pvt Ltd-Sales</v>
          </cell>
          <cell r="AB2264" t="str">
            <v>24AAECK6307M1ZF</v>
          </cell>
        </row>
        <row r="2265">
          <cell r="D2265" t="str">
            <v>K.P. Woven Pvt Ltd-Sales</v>
          </cell>
          <cell r="AB2265" t="str">
            <v>24AAECK6307M1ZF</v>
          </cell>
        </row>
        <row r="2266">
          <cell r="D2266" t="str">
            <v>K.P. Woven Pvt Ltd-Sales</v>
          </cell>
          <cell r="AB2266" t="str">
            <v>24AAECK6307M1ZF</v>
          </cell>
        </row>
        <row r="2267">
          <cell r="D2267" t="str">
            <v>K.P. Woven Pvt Ltd-Sales</v>
          </cell>
          <cell r="AB2267" t="str">
            <v>24AAECK6307M1ZF</v>
          </cell>
        </row>
        <row r="2268">
          <cell r="D2268" t="str">
            <v>K.P. Woven Pvt Ltd-Sales</v>
          </cell>
          <cell r="AB2268" t="str">
            <v>24AAECK6307M1ZF</v>
          </cell>
        </row>
        <row r="2269">
          <cell r="D2269" t="str">
            <v>K.P. Woven Pvt Ltd-Sales</v>
          </cell>
          <cell r="AB2269" t="str">
            <v>24AAECK6307M1ZF</v>
          </cell>
        </row>
        <row r="2270">
          <cell r="D2270" t="str">
            <v>K.P. Woven Pvt Ltd-Sales</v>
          </cell>
          <cell r="AB2270" t="str">
            <v>24AAECK6307M1ZF</v>
          </cell>
        </row>
        <row r="2271">
          <cell r="D2271" t="str">
            <v>Oswal Extrusion Ltd- KASEZ-Sales</v>
          </cell>
          <cell r="AB2271" t="str">
            <v>24AAACO7290H4ZB</v>
          </cell>
        </row>
        <row r="2272">
          <cell r="D2272" t="str">
            <v>Plastene Polyfilms Ltd-Sales</v>
          </cell>
          <cell r="AB2272" t="str">
            <v>24AAFCP2956A1ZR</v>
          </cell>
        </row>
        <row r="2273">
          <cell r="D2273" t="str">
            <v>Plastene Polyfilms Ltd-Sales</v>
          </cell>
          <cell r="AB2273" t="str">
            <v>24AAFCP2956A1ZR</v>
          </cell>
        </row>
        <row r="2274">
          <cell r="D2274" t="str">
            <v>D S Global</v>
          </cell>
          <cell r="AB2274" t="str">
            <v>05AAXFD4233D1ZJ</v>
          </cell>
        </row>
        <row r="2275">
          <cell r="D2275" t="str">
            <v>Hcp Plastene Bulkpack Ltd (Unit Iv) - Sales</v>
          </cell>
          <cell r="AB2275" t="str">
            <v>24AABCG1282C2Z6</v>
          </cell>
        </row>
        <row r="2276">
          <cell r="D2276" t="str">
            <v>Hcp Plastene Bulkpack Ltd (Unit Iv) - Sales</v>
          </cell>
          <cell r="AB2276" t="str">
            <v>24AABCG1282C2Z6</v>
          </cell>
        </row>
        <row r="2277">
          <cell r="D2277" t="str">
            <v>Hcp Plastene Bulkpack Ltd (Unit Iv) - Sales</v>
          </cell>
          <cell r="AB2277" t="str">
            <v>24AABCG1282C2Z6</v>
          </cell>
        </row>
        <row r="2278">
          <cell r="D2278" t="str">
            <v>Hcp Plastene Bulkpack Ltd (Unit Iv) - Sales</v>
          </cell>
          <cell r="AB2278" t="str">
            <v>24AABCG1282C2Z6</v>
          </cell>
        </row>
        <row r="2279">
          <cell r="D2279" t="str">
            <v>Hcp Plastene Bulkpack Ltd (Unit Iv) - Sales</v>
          </cell>
          <cell r="AB2279" t="str">
            <v>24AABCG1282C2Z6</v>
          </cell>
        </row>
        <row r="2280">
          <cell r="D2280" t="str">
            <v>Hcp Plastene Bulkpack Ltd (Unit Iv) - Sales</v>
          </cell>
          <cell r="AB2280" t="str">
            <v>24AABCG1282C2Z6</v>
          </cell>
        </row>
        <row r="2281">
          <cell r="D2281" t="str">
            <v>Hcp Plastene Bulkpack Ltd (Unit Iv) - Sales</v>
          </cell>
          <cell r="AB2281" t="str">
            <v>24AABCG1282C2Z6</v>
          </cell>
        </row>
        <row r="2282">
          <cell r="D2282" t="str">
            <v>Hcp Plastene Bulkpack Ltd (Unit Iv) - Sales</v>
          </cell>
          <cell r="AB2282" t="str">
            <v>24AABCG1282C2Z6</v>
          </cell>
        </row>
        <row r="2283">
          <cell r="D2283" t="str">
            <v>Hcp Plastene Bulkpack Ltd (Unit Iv) - Sales</v>
          </cell>
          <cell r="AB2283" t="str">
            <v>24AABCG1282C2Z6</v>
          </cell>
        </row>
        <row r="2284">
          <cell r="D2284" t="str">
            <v>Hcp Plastene Bulkpack Ltd (Unit Iv) - Sales</v>
          </cell>
          <cell r="AB2284" t="str">
            <v>24AABCG1282C2Z6</v>
          </cell>
        </row>
        <row r="2285">
          <cell r="D2285" t="str">
            <v>Hcp Plastene Bulkpack Ltd (Unit Iv) - Sales</v>
          </cell>
          <cell r="AB2285" t="str">
            <v>24AABCG1282C2Z6</v>
          </cell>
        </row>
        <row r="2286">
          <cell r="D2286" t="str">
            <v>Hcp Plastene Bulkpack Ltd (Unit Iv) - Sales</v>
          </cell>
          <cell r="AB2286" t="str">
            <v>24AABCG1282C2Z6</v>
          </cell>
        </row>
        <row r="2287">
          <cell r="D2287" t="str">
            <v>K.P. Woven Pvt Ltd - Unit 3 -Sales</v>
          </cell>
          <cell r="AB2287" t="str">
            <v>24AAECK6307M2ZE</v>
          </cell>
        </row>
        <row r="2288">
          <cell r="D2288" t="str">
            <v>K.P. Woven Pvt Ltd - Unit 3 -Sales</v>
          </cell>
          <cell r="AB2288" t="str">
            <v>24AAECK6307M2ZE</v>
          </cell>
        </row>
        <row r="2289">
          <cell r="D2289" t="str">
            <v>K.P. Woven Pvt Ltd - Unit 3 -Sales</v>
          </cell>
          <cell r="AB2289" t="str">
            <v>24AAECK6307M2ZE</v>
          </cell>
        </row>
        <row r="2290">
          <cell r="D2290" t="str">
            <v>K.P. Woven Pvt Ltd - Unit 3 -Sales</v>
          </cell>
          <cell r="AB2290" t="str">
            <v>24AAECK6307M2ZE</v>
          </cell>
        </row>
        <row r="2291">
          <cell r="D2291" t="str">
            <v>K.P. Woven Pvt Ltd - Unit 3 -Sales</v>
          </cell>
          <cell r="AB2291" t="str">
            <v>24AAECK6307M2ZE</v>
          </cell>
        </row>
        <row r="2292">
          <cell r="D2292" t="str">
            <v>K.P. Woven Pvt Ltd - Unit 3 -Sales</v>
          </cell>
          <cell r="AB2292" t="str">
            <v>24AAECK6307M2ZE</v>
          </cell>
        </row>
        <row r="2293">
          <cell r="D2293" t="str">
            <v>K.P. Woven Pvt Ltd - Unit 3 -Sales</v>
          </cell>
          <cell r="AB2293" t="str">
            <v>24AAECK6307M2ZE</v>
          </cell>
        </row>
        <row r="2294">
          <cell r="D2294" t="str">
            <v>K.P. Woven Pvt Ltd - Unit 3 -Sales</v>
          </cell>
          <cell r="AB2294" t="str">
            <v>24AAECK6307M2ZE</v>
          </cell>
        </row>
        <row r="2295">
          <cell r="D2295" t="str">
            <v>K.P. Woven Pvt Ltd - Unit 3 -Sales</v>
          </cell>
          <cell r="AB2295" t="str">
            <v>24AAECK6307M2ZE</v>
          </cell>
        </row>
        <row r="2296">
          <cell r="D2296" t="str">
            <v>K.P. Woven Pvt Ltd - Unit 3 -Sales</v>
          </cell>
          <cell r="AB2296" t="str">
            <v>24AAECK6307M2ZE</v>
          </cell>
        </row>
        <row r="2297">
          <cell r="D2297" t="str">
            <v>K.P. Woven Pvt Ltd - Unit 3 -Sales</v>
          </cell>
          <cell r="AB2297" t="str">
            <v>24AAECK6307M2ZE</v>
          </cell>
        </row>
        <row r="2298">
          <cell r="D2298" t="str">
            <v>K.P. Woven Pvt Ltd - Unit 3 -Sales</v>
          </cell>
          <cell r="AB2298" t="str">
            <v>24AAECK6307M2ZE</v>
          </cell>
        </row>
        <row r="2299">
          <cell r="D2299" t="str">
            <v>K.P. Woven Pvt Ltd - Unit 3 -Sales</v>
          </cell>
          <cell r="AB2299" t="str">
            <v>24AAECK6307M2ZE</v>
          </cell>
        </row>
        <row r="2300">
          <cell r="D2300" t="str">
            <v>K.P. Woven Pvt Ltd-Sales</v>
          </cell>
          <cell r="AB2300" t="str">
            <v>24AAECK6307M1ZF</v>
          </cell>
        </row>
        <row r="2301">
          <cell r="D2301" t="str">
            <v>K.P. Woven Pvt Ltd-Sales</v>
          </cell>
          <cell r="AB2301" t="str">
            <v>24AAECK6307M1ZF</v>
          </cell>
        </row>
        <row r="2302">
          <cell r="D2302" t="str">
            <v>K.P. Woven Pvt Ltd-Sales</v>
          </cell>
          <cell r="AB2302" t="str">
            <v>24AAECK6307M1ZF</v>
          </cell>
        </row>
        <row r="2303">
          <cell r="D2303" t="str">
            <v>K.P. Woven Pvt Ltd-Sales</v>
          </cell>
          <cell r="AB2303" t="str">
            <v>24AAECK6307M1ZF</v>
          </cell>
        </row>
        <row r="2304">
          <cell r="D2304" t="str">
            <v>Plastene Polyfilms Ltd-Sales</v>
          </cell>
          <cell r="AB2304" t="str">
            <v>24AAFCP2956A1ZR</v>
          </cell>
        </row>
        <row r="2305">
          <cell r="D2305" t="str">
            <v>Plastene Polyfilms Ltd-Sales</v>
          </cell>
          <cell r="AB2305" t="str">
            <v>24AAFCP2956A1ZR</v>
          </cell>
        </row>
        <row r="2306">
          <cell r="D2306" t="str">
            <v>Plastene Polyfilms Ltd-Sales</v>
          </cell>
          <cell r="AB2306" t="str">
            <v>24AAFCP2956A1ZR</v>
          </cell>
        </row>
        <row r="2307">
          <cell r="D2307" t="str">
            <v>Plastene Polyfilms Ltd-Sales</v>
          </cell>
          <cell r="AB2307" t="str">
            <v>24AAFCP2956A1ZR</v>
          </cell>
        </row>
        <row r="2308">
          <cell r="D2308" t="str">
            <v>Plastene Polyfilms Ltd-Sales</v>
          </cell>
          <cell r="AB2308" t="str">
            <v>24AAFCP2956A1ZR</v>
          </cell>
        </row>
        <row r="2309">
          <cell r="D2309" t="str">
            <v>Plastene Polyfilms Ltd-Sales</v>
          </cell>
          <cell r="AB2309" t="str">
            <v>24AAFCP2956A1ZR</v>
          </cell>
        </row>
        <row r="2310">
          <cell r="D2310" t="str">
            <v>Plastene Polyfilms Ltd-Sales</v>
          </cell>
          <cell r="AB2310" t="str">
            <v>24AAFCP2956A1ZR</v>
          </cell>
        </row>
        <row r="2311">
          <cell r="D2311" t="str">
            <v>Plastene Polyfilms Ltd-Sales</v>
          </cell>
          <cell r="AB2311" t="str">
            <v>24AAFCP2956A1ZR</v>
          </cell>
        </row>
        <row r="2312">
          <cell r="D2312" t="str">
            <v>Plastene Polyfilms Ltd-Sales</v>
          </cell>
          <cell r="AB2312" t="str">
            <v>24AAFCP2956A1ZR</v>
          </cell>
        </row>
        <row r="2313">
          <cell r="D2313" t="str">
            <v>Plastene Polyfilms Ltd-Sales</v>
          </cell>
          <cell r="AB2313" t="str">
            <v>24AAFCP2956A1ZR</v>
          </cell>
        </row>
        <row r="2314">
          <cell r="D2314" t="str">
            <v>Plastene Polyfilms Ltd-Sales</v>
          </cell>
          <cell r="AB2314" t="str">
            <v>24AAFCP2956A1ZR</v>
          </cell>
        </row>
        <row r="2315">
          <cell r="D2315" t="str">
            <v>Plastene Polyfilms Ltd-Sales</v>
          </cell>
          <cell r="AB2315" t="str">
            <v>24AAFCP2956A1ZR</v>
          </cell>
        </row>
        <row r="2316">
          <cell r="D2316" t="str">
            <v>Plastene Polyfilms Ltd-Sales</v>
          </cell>
          <cell r="AB2316" t="str">
            <v>24AAFCP2956A1ZR</v>
          </cell>
        </row>
        <row r="2317">
          <cell r="D2317" t="str">
            <v>Plastene Polyfilms Ltd-Sales</v>
          </cell>
          <cell r="AB2317" t="str">
            <v>24AAFCP2956A1ZR</v>
          </cell>
        </row>
        <row r="2318">
          <cell r="D2318" t="str">
            <v>Procon Pacific Llc</v>
          </cell>
          <cell r="AB2318" t="str">
            <v>N.A.</v>
          </cell>
        </row>
        <row r="2319">
          <cell r="D2319" t="str">
            <v>Comercial Pra Cafe Ltda - Manaus</v>
          </cell>
          <cell r="AB2319" t="str">
            <v>N.A.</v>
          </cell>
        </row>
        <row r="2320">
          <cell r="D2320" t="str">
            <v>Hcp Plastene Bulkpack Ltd (Unit Iv) - Sales</v>
          </cell>
          <cell r="AB2320" t="str">
            <v>24AABCG1282C2Z6</v>
          </cell>
        </row>
        <row r="2321">
          <cell r="D2321" t="str">
            <v>Hcp Plastene Bulkpack Ltd (Unit Iv) - Sales</v>
          </cell>
          <cell r="AB2321" t="str">
            <v>24AABCG1282C2Z6</v>
          </cell>
        </row>
        <row r="2322">
          <cell r="D2322" t="str">
            <v>Hcp Plastene Bulkpack Ltd (Unit Iv) - Sales</v>
          </cell>
          <cell r="AB2322" t="str">
            <v>24AABCG1282C2Z6</v>
          </cell>
        </row>
        <row r="2323">
          <cell r="D2323" t="str">
            <v>Hcp Plastene Bulkpack Ltd (Unit Iv) - Sales</v>
          </cell>
          <cell r="AB2323" t="str">
            <v>24AABCG1282C2Z6</v>
          </cell>
        </row>
        <row r="2324">
          <cell r="D2324" t="str">
            <v>Hcp Plastene Bulkpack Ltd (Unit Iv) - Sales</v>
          </cell>
          <cell r="AB2324" t="str">
            <v>24AABCG1282C2Z6</v>
          </cell>
        </row>
        <row r="2325">
          <cell r="D2325" t="str">
            <v>Hcp Plastene Bulkpack Ltd (Unit Iv) - Sales</v>
          </cell>
          <cell r="AB2325" t="str">
            <v>24AABCG1282C2Z6</v>
          </cell>
        </row>
        <row r="2326">
          <cell r="D2326" t="str">
            <v>Hcp Plastene Bulkpack Ltd (Unit Iv) - Sales</v>
          </cell>
          <cell r="AB2326" t="str">
            <v>24AABCG1282C2Z6</v>
          </cell>
        </row>
        <row r="2327">
          <cell r="D2327" t="str">
            <v>Hcp Plastene Bulkpack Ltd (Unit Iv) - Sales</v>
          </cell>
          <cell r="AB2327" t="str">
            <v>24AABCG1282C2Z6</v>
          </cell>
        </row>
        <row r="2328">
          <cell r="D2328" t="str">
            <v>Hcp Plastene Bulkpack Ltd (Unit Iv) - Sales</v>
          </cell>
          <cell r="AB2328" t="str">
            <v>24AABCG1282C2Z6</v>
          </cell>
        </row>
        <row r="2329">
          <cell r="D2329" t="str">
            <v>Hcp Plastene Bulkpack Ltd (Unit Iv) - Sales</v>
          </cell>
          <cell r="AB2329" t="str">
            <v>24AABCG1282C2Z6</v>
          </cell>
        </row>
        <row r="2330">
          <cell r="D2330" t="str">
            <v>Hcp Plastene Bulkpack Ltd (Unit Iv) - Sales</v>
          </cell>
          <cell r="AB2330" t="str">
            <v>24AABCG1282C2Z6</v>
          </cell>
        </row>
        <row r="2331">
          <cell r="D2331" t="str">
            <v>Hcp Plastene Bulkpack Ltd (Unit Iv) - Sales</v>
          </cell>
          <cell r="AB2331" t="str">
            <v>24AABCG1282C2Z6</v>
          </cell>
        </row>
        <row r="2332">
          <cell r="D2332" t="str">
            <v>Hcp Plastene Bulkpack Ltd (Unit Iv) - Sales</v>
          </cell>
          <cell r="AB2332" t="str">
            <v>24AABCG1282C2Z6</v>
          </cell>
        </row>
        <row r="2333">
          <cell r="D2333" t="str">
            <v>Hcp Plastene Bulkpack Ltd (Unit Iv) - Sales</v>
          </cell>
          <cell r="AB2333" t="str">
            <v>24AABCG1282C2Z6</v>
          </cell>
        </row>
        <row r="2334">
          <cell r="D2334" t="str">
            <v>Hcp Plastene Bulkpack Ltd (Unit Iv) - Sales</v>
          </cell>
          <cell r="AB2334" t="str">
            <v>24AABCG1282C2Z6</v>
          </cell>
        </row>
        <row r="2335">
          <cell r="D2335" t="str">
            <v>Jain Bulk Pack - Ahmedabad</v>
          </cell>
          <cell r="AB2335" t="str">
            <v>24AFOPG7793M1ZO</v>
          </cell>
        </row>
        <row r="2336">
          <cell r="D2336" t="str">
            <v>Jain Bulk Pack - Ahmedabad</v>
          </cell>
          <cell r="AB2336" t="str">
            <v>24AFOPG7793M1ZO</v>
          </cell>
        </row>
        <row r="2337">
          <cell r="D2337" t="str">
            <v>Jain Bulk Pack - Ahmedabad</v>
          </cell>
          <cell r="AB2337" t="str">
            <v>24AFOPG7793M1ZO</v>
          </cell>
        </row>
        <row r="2338">
          <cell r="D2338" t="str">
            <v>Jain Bulk Pack - Ahmedabad</v>
          </cell>
          <cell r="AB2338" t="str">
            <v>24AFOPG7793M1ZO</v>
          </cell>
        </row>
        <row r="2339">
          <cell r="D2339" t="str">
            <v>Jain Bulk Pack - Ahmedabad</v>
          </cell>
          <cell r="AB2339" t="str">
            <v>24AFOPG7793M1ZO</v>
          </cell>
        </row>
        <row r="2340">
          <cell r="D2340" t="str">
            <v>Jain Bulk Pack - Ahmedabad</v>
          </cell>
          <cell r="AB2340" t="str">
            <v>24AFOPG7793M1ZO</v>
          </cell>
        </row>
        <row r="2341">
          <cell r="D2341" t="str">
            <v>Jain Bulk Pack - Ahmedabad</v>
          </cell>
          <cell r="AB2341" t="str">
            <v>24AFOPG7793M1ZO</v>
          </cell>
        </row>
        <row r="2342">
          <cell r="D2342" t="str">
            <v>K.P. Woven Pvt Ltd - Unit 3 -Sales</v>
          </cell>
          <cell r="AB2342" t="str">
            <v>24AAECK6307M2ZE</v>
          </cell>
        </row>
        <row r="2343">
          <cell r="D2343" t="str">
            <v>K.P. Woven Pvt Ltd - Unit 3 -Sales</v>
          </cell>
          <cell r="AB2343" t="str">
            <v>24AAECK6307M2ZE</v>
          </cell>
        </row>
        <row r="2344">
          <cell r="D2344" t="str">
            <v>K.P. Woven Pvt Ltd-Sales</v>
          </cell>
          <cell r="AB2344" t="str">
            <v>24AAECK6307M1ZF</v>
          </cell>
        </row>
        <row r="2345">
          <cell r="D2345" t="str">
            <v>K.P. Woven Pvt Ltd-Sales</v>
          </cell>
          <cell r="AB2345" t="str">
            <v>24AAECK6307M1ZF</v>
          </cell>
        </row>
        <row r="2346">
          <cell r="D2346" t="str">
            <v>K.P. Woven Pvt Ltd-Sales</v>
          </cell>
          <cell r="AB2346" t="str">
            <v>24AAECK6307M1ZF</v>
          </cell>
        </row>
        <row r="2347">
          <cell r="D2347" t="str">
            <v>K.P. Woven Pvt Ltd-Sales</v>
          </cell>
          <cell r="AB2347" t="str">
            <v>24AAECK6307M1ZF</v>
          </cell>
        </row>
        <row r="2348">
          <cell r="D2348" t="str">
            <v>K.P. Woven Pvt Ltd-Sales</v>
          </cell>
          <cell r="AB2348" t="str">
            <v>24AAECK6307M1ZF</v>
          </cell>
        </row>
        <row r="2349">
          <cell r="D2349" t="str">
            <v>K.P. Woven Pvt Ltd-Sales</v>
          </cell>
          <cell r="AB2349" t="str">
            <v>24AAECK6307M1ZF</v>
          </cell>
        </row>
        <row r="2350">
          <cell r="D2350" t="str">
            <v>K.P. Woven Pvt Ltd-Sales</v>
          </cell>
          <cell r="AB2350" t="str">
            <v>24AAECK6307M1ZF</v>
          </cell>
        </row>
        <row r="2351">
          <cell r="D2351" t="str">
            <v>K.P. Woven Pvt Ltd-Sales</v>
          </cell>
          <cell r="AB2351" t="str">
            <v>24AAECK6307M1ZF</v>
          </cell>
        </row>
        <row r="2352">
          <cell r="D2352" t="str">
            <v>Plastene Polyfilms Ltd-Sales</v>
          </cell>
          <cell r="AB2352" t="str">
            <v>24AAFCP2956A1ZR</v>
          </cell>
        </row>
        <row r="2353">
          <cell r="D2353" t="str">
            <v>Plastene Polyfilms Ltd-Sales</v>
          </cell>
          <cell r="AB2353" t="str">
            <v>24AAFCP2956A1ZR</v>
          </cell>
        </row>
        <row r="2354">
          <cell r="D2354" t="str">
            <v>Plastene Polyfilms Ltd-Sales</v>
          </cell>
          <cell r="AB2354" t="str">
            <v>24AAFCP2956A1ZR</v>
          </cell>
        </row>
        <row r="2355">
          <cell r="D2355" t="str">
            <v>Plastene Polyfilms Ltd-Sales</v>
          </cell>
          <cell r="AB2355" t="str">
            <v>24AAFCP2956A1ZR</v>
          </cell>
        </row>
        <row r="2356">
          <cell r="D2356" t="str">
            <v>Plastene Polyfilms Ltd-Sales</v>
          </cell>
          <cell r="AB2356" t="str">
            <v>24AAFCP2956A1ZR</v>
          </cell>
        </row>
        <row r="2357">
          <cell r="D2357" t="str">
            <v>Plastene Polyfilms Ltd-Sales</v>
          </cell>
          <cell r="AB2357" t="str">
            <v>24AAFCP2956A1ZR</v>
          </cell>
        </row>
        <row r="2358">
          <cell r="D2358" t="str">
            <v>Plastene Polyfilms Ltd-Sales</v>
          </cell>
          <cell r="AB2358" t="str">
            <v>24AAFCP2956A1ZR</v>
          </cell>
        </row>
        <row r="2359">
          <cell r="D2359" t="str">
            <v>Plastene Polyfilms Ltd-Sales</v>
          </cell>
          <cell r="AB2359" t="str">
            <v>24AAFCP2956A1ZR</v>
          </cell>
        </row>
        <row r="2360">
          <cell r="D2360" t="str">
            <v>Plastene Polyfilms Ltd-Sales</v>
          </cell>
          <cell r="AB2360" t="str">
            <v>24AAFCP2956A1ZR</v>
          </cell>
        </row>
        <row r="2361">
          <cell r="D2361" t="str">
            <v>Qpac Packaging LLP</v>
          </cell>
          <cell r="AB2361" t="str">
            <v>N.A.</v>
          </cell>
        </row>
        <row r="2362">
          <cell r="D2362" t="str">
            <v>AMAN CONSTRUCTION</v>
          </cell>
          <cell r="AB2362" t="str">
            <v>24AAVFA5540N2ZY</v>
          </cell>
        </row>
        <row r="2363">
          <cell r="D2363" t="str">
            <v>Fibco Plastic Industry Llc</v>
          </cell>
          <cell r="AB2363" t="str">
            <v>N.A.</v>
          </cell>
        </row>
        <row r="2364">
          <cell r="D2364" t="str">
            <v>Fibco Plastic Industry Llc</v>
          </cell>
          <cell r="AB2364" t="str">
            <v>N.A.</v>
          </cell>
        </row>
        <row r="2365">
          <cell r="D2365" t="str">
            <v>Fibco Plastic Industry Llc</v>
          </cell>
          <cell r="AB2365" t="str">
            <v>N.A.</v>
          </cell>
        </row>
        <row r="2366">
          <cell r="D2366" t="str">
            <v>Fibco Plastic Industry Llc</v>
          </cell>
          <cell r="AB2366" t="str">
            <v>N.A.</v>
          </cell>
        </row>
        <row r="2367">
          <cell r="D2367" t="str">
            <v>Fibco Plastic Industry Llc</v>
          </cell>
          <cell r="AB2367" t="str">
            <v>N.A.</v>
          </cell>
        </row>
        <row r="2368">
          <cell r="D2368" t="str">
            <v>Hcp Plastene Bulkpack Ltd (Unit Iv) - Sales</v>
          </cell>
          <cell r="AB2368" t="str">
            <v>24AABCG1282C2Z6</v>
          </cell>
        </row>
        <row r="2369">
          <cell r="D2369" t="str">
            <v>Hcp Plastene Bulkpack Ltd (Unit Iv) - Sales</v>
          </cell>
          <cell r="AB2369" t="str">
            <v>24AABCG1282C2Z6</v>
          </cell>
        </row>
        <row r="2370">
          <cell r="D2370" t="str">
            <v>Hcp Plastene Bulkpack Ltd (Unit Iv) - Sales</v>
          </cell>
          <cell r="AB2370" t="str">
            <v>24AABCG1282C2Z6</v>
          </cell>
        </row>
        <row r="2371">
          <cell r="D2371" t="str">
            <v>Hcp Plastene Bulkpack Ltd (Unit Iv) - Sales</v>
          </cell>
          <cell r="AB2371" t="str">
            <v>24AABCG1282C2Z6</v>
          </cell>
        </row>
        <row r="2372">
          <cell r="D2372" t="str">
            <v>Hcp Plastene Bulkpack Ltd (Unit Iv) - Sales</v>
          </cell>
          <cell r="AB2372" t="str">
            <v>24AABCG1282C2Z6</v>
          </cell>
        </row>
        <row r="2373">
          <cell r="D2373" t="str">
            <v>Hcp Plastene Bulkpack Ltd (Unit Iv) - Sales</v>
          </cell>
          <cell r="AB2373" t="str">
            <v>24AABCG1282C2Z6</v>
          </cell>
        </row>
        <row r="2374">
          <cell r="D2374" t="str">
            <v>Hcp Plastene Bulkpack Ltd (Unit Iv) - Sales</v>
          </cell>
          <cell r="AB2374" t="str">
            <v>24AABCG1282C2Z6</v>
          </cell>
        </row>
        <row r="2375">
          <cell r="D2375" t="str">
            <v>Hcp Plastene Bulkpack Ltd (Unit Iv) - Sales</v>
          </cell>
          <cell r="AB2375" t="str">
            <v>24AABCG1282C2Z6</v>
          </cell>
        </row>
        <row r="2376">
          <cell r="D2376" t="str">
            <v>Hcp Plastene Bulkpack Ltd (Unit Iv) - Sales</v>
          </cell>
          <cell r="AB2376" t="str">
            <v>24AABCG1282C2Z6</v>
          </cell>
        </row>
        <row r="2377">
          <cell r="D2377" t="str">
            <v>Jain Bulk Pack - Ahmedabad</v>
          </cell>
          <cell r="AB2377" t="str">
            <v>24AFOPG7793M1ZO</v>
          </cell>
        </row>
        <row r="2378">
          <cell r="D2378" t="str">
            <v>Jain Bulk Pack - Ahmedabad</v>
          </cell>
          <cell r="AB2378" t="str">
            <v>24AFOPG7793M1ZO</v>
          </cell>
        </row>
        <row r="2379">
          <cell r="D2379" t="str">
            <v>Jain Bulk Pack - Ahmedabad</v>
          </cell>
          <cell r="AB2379" t="str">
            <v>24AFOPG7793M1ZO</v>
          </cell>
        </row>
        <row r="2380">
          <cell r="D2380" t="str">
            <v>Jain Bulk Pack - Ahmedabad</v>
          </cell>
          <cell r="AB2380" t="str">
            <v>24AFOPG7793M1ZO</v>
          </cell>
        </row>
        <row r="2381">
          <cell r="D2381" t="str">
            <v>Jain Bulk Pack - Ahmedabad</v>
          </cell>
          <cell r="AB2381" t="str">
            <v>24AFOPG7793M1ZO</v>
          </cell>
        </row>
        <row r="2382">
          <cell r="D2382" t="str">
            <v>Jain Bulk Pack - Ahmedabad</v>
          </cell>
          <cell r="AB2382" t="str">
            <v>24AFOPG7793M1ZO</v>
          </cell>
        </row>
        <row r="2383">
          <cell r="D2383" t="str">
            <v>Jain Bulk Pack - Ahmedabad</v>
          </cell>
          <cell r="AB2383" t="str">
            <v>24AFOPG7793M1ZO</v>
          </cell>
        </row>
        <row r="2384">
          <cell r="D2384" t="str">
            <v>Labdhi Plastic</v>
          </cell>
          <cell r="AB2384" t="str">
            <v>24ANZPS6925Q2ZN</v>
          </cell>
        </row>
        <row r="2385">
          <cell r="D2385" t="str">
            <v>Plastene Polyfilms Ltd-Sales</v>
          </cell>
          <cell r="AB2385" t="str">
            <v>24AAFCP2956A1ZR</v>
          </cell>
        </row>
        <row r="2386">
          <cell r="D2386" t="str">
            <v>Plastene Polyfilms Ltd-Sales</v>
          </cell>
          <cell r="AB2386" t="str">
            <v>24AAFCP2956A1ZR</v>
          </cell>
        </row>
        <row r="2387">
          <cell r="D2387" t="str">
            <v>Plastene Polyfilms Ltd-Sales</v>
          </cell>
          <cell r="AB2387" t="str">
            <v>24AAFCP2956A1ZR</v>
          </cell>
        </row>
        <row r="2388">
          <cell r="D2388" t="str">
            <v>Plastene Polyfilms Ltd-Sales</v>
          </cell>
          <cell r="AB2388" t="str">
            <v>24AAFCP2956A1ZR</v>
          </cell>
        </row>
        <row r="2389">
          <cell r="D2389" t="str">
            <v>Plastene Polyfilms Ltd-Sales</v>
          </cell>
          <cell r="AB2389" t="str">
            <v>24AAFCP2956A1ZR</v>
          </cell>
        </row>
        <row r="2390">
          <cell r="D2390" t="str">
            <v>Plastene Polyfilms Ltd-Sales</v>
          </cell>
          <cell r="AB2390" t="str">
            <v>24AAFCP2956A1ZR</v>
          </cell>
        </row>
        <row r="2391">
          <cell r="D2391" t="str">
            <v>Plastene Polyfilms Ltd-Sales</v>
          </cell>
          <cell r="AB2391" t="str">
            <v>24AAFCP2956A1ZR</v>
          </cell>
        </row>
        <row r="2392">
          <cell r="D2392" t="str">
            <v>Plastene Polyfilms Ltd-Sales</v>
          </cell>
          <cell r="AB2392" t="str">
            <v>24AAFCP2956A1ZR</v>
          </cell>
        </row>
        <row r="2393">
          <cell r="D2393" t="str">
            <v>Fibco Plastic Industry Llc</v>
          </cell>
          <cell r="AB2393" t="str">
            <v>N.A.</v>
          </cell>
        </row>
        <row r="2394">
          <cell r="D2394" t="str">
            <v>Fibco Plastic Industry Llc</v>
          </cell>
          <cell r="AB2394" t="str">
            <v>N.A.</v>
          </cell>
        </row>
        <row r="2395">
          <cell r="D2395" t="str">
            <v>Fibco Plastic Industry Llc</v>
          </cell>
          <cell r="AB2395" t="str">
            <v>N.A.</v>
          </cell>
        </row>
        <row r="2396">
          <cell r="D2396" t="str">
            <v>Fibco Plastic Industry Llc</v>
          </cell>
          <cell r="AB2396" t="str">
            <v>N.A.</v>
          </cell>
        </row>
        <row r="2397">
          <cell r="D2397" t="str">
            <v>Fibco Plastic Industry Llc</v>
          </cell>
          <cell r="AB2397" t="str">
            <v>N.A.</v>
          </cell>
        </row>
        <row r="2398">
          <cell r="D2398" t="str">
            <v>Hcp Plastene Bulkpack Ltd (Unit Iv) - Sales</v>
          </cell>
          <cell r="AB2398" t="str">
            <v>24AABCG1282C2Z6</v>
          </cell>
        </row>
        <row r="2399">
          <cell r="D2399" t="str">
            <v>Hcp Plastene Bulkpack Ltd (Unit Iv) - Sales</v>
          </cell>
          <cell r="AB2399" t="str">
            <v>24AABCG1282C2Z6</v>
          </cell>
        </row>
        <row r="2400">
          <cell r="D2400" t="str">
            <v>Hcp Plastene Bulkpack Ltd (Unit Iv) - Sales</v>
          </cell>
          <cell r="AB2400" t="str">
            <v>24AABCG1282C2Z6</v>
          </cell>
        </row>
        <row r="2401">
          <cell r="D2401" t="str">
            <v>Hcp Plastene Bulkpack Ltd (Unit Iv) - Sales</v>
          </cell>
          <cell r="AB2401" t="str">
            <v>24AABCG1282C2Z6</v>
          </cell>
        </row>
        <row r="2402">
          <cell r="D2402" t="str">
            <v>Hcp Plastene Bulkpack Ltd (Unit Iv) - Sales</v>
          </cell>
          <cell r="AB2402" t="str">
            <v>24AABCG1282C2Z6</v>
          </cell>
        </row>
        <row r="2403">
          <cell r="D2403" t="str">
            <v>Hcp Plastene Bulkpack Ltd (Unit Iv) - Sales</v>
          </cell>
          <cell r="AB2403" t="str">
            <v>24AABCG1282C2Z6</v>
          </cell>
        </row>
        <row r="2404">
          <cell r="D2404" t="str">
            <v>Hcp Plastene Bulkpack Ltd (Unit Iv) - Sales</v>
          </cell>
          <cell r="AB2404" t="str">
            <v>24AABCG1282C2Z6</v>
          </cell>
        </row>
        <row r="2405">
          <cell r="D2405" t="str">
            <v>Hcp Plastene Bulkpack Ltd (Unit Iv) - Sales</v>
          </cell>
          <cell r="AB2405" t="str">
            <v>24AABCG1282C2Z6</v>
          </cell>
        </row>
        <row r="2406">
          <cell r="D2406" t="str">
            <v>Hcp Plastene Bulkpack Ltd (Unit Iv) - Sales</v>
          </cell>
          <cell r="AB2406" t="str">
            <v>24AABCG1282C2Z6</v>
          </cell>
        </row>
        <row r="2407">
          <cell r="D2407" t="str">
            <v>Hcp Plastene Bulkpack Ltd (Unit Iv) - Sales</v>
          </cell>
          <cell r="AB2407" t="str">
            <v>24AABCG1282C2Z6</v>
          </cell>
        </row>
        <row r="2408">
          <cell r="D2408" t="str">
            <v>Hcp Plastene Bulkpack Ltd (Unit Iv) - Sales</v>
          </cell>
          <cell r="AB2408" t="str">
            <v>24AABCG1282C2Z6</v>
          </cell>
        </row>
        <row r="2409">
          <cell r="D2409" t="str">
            <v>Hcp Plastene Bulkpack Ltd (Unit Iv) - Sales</v>
          </cell>
          <cell r="AB2409" t="str">
            <v>24AABCG1282C2Z6</v>
          </cell>
        </row>
        <row r="2410">
          <cell r="D2410" t="str">
            <v>Hcp Plastene Bulkpack Ltd (Unit Iv) - Sales</v>
          </cell>
          <cell r="AB2410" t="str">
            <v>24AABCG1282C2Z6</v>
          </cell>
        </row>
        <row r="2411">
          <cell r="D2411" t="str">
            <v>Hcp Plastene Bulkpack Ltd (Unit Iv) - Sales</v>
          </cell>
          <cell r="AB2411" t="str">
            <v>24AABCG1282C2Z6</v>
          </cell>
        </row>
        <row r="2412">
          <cell r="D2412" t="str">
            <v>Hcp Plastene Bulkpack Ltd (Unit Iv) - Sales</v>
          </cell>
          <cell r="AB2412" t="str">
            <v>24AABCG1282C2Z6</v>
          </cell>
        </row>
        <row r="2413">
          <cell r="D2413" t="str">
            <v>Hcp Plastene Bulkpack Ltd (Unit Iv) - Sales</v>
          </cell>
          <cell r="AB2413" t="str">
            <v>24AABCG1282C2Z6</v>
          </cell>
        </row>
        <row r="2414">
          <cell r="D2414" t="str">
            <v>K.P. Woven Pvt Ltd - Unit 3 -Sales</v>
          </cell>
          <cell r="AB2414" t="str">
            <v>24AAECK6307M2ZE</v>
          </cell>
        </row>
        <row r="2415">
          <cell r="D2415" t="str">
            <v>K.P. Woven Pvt Ltd - Unit 3 -Sales</v>
          </cell>
          <cell r="AB2415" t="str">
            <v>24AAECK6307M2ZE</v>
          </cell>
        </row>
        <row r="2416">
          <cell r="D2416" t="str">
            <v>K.P. Woven Pvt Ltd-Sales</v>
          </cell>
          <cell r="AB2416" t="str">
            <v>24AAECK6307M1ZF</v>
          </cell>
        </row>
        <row r="2417">
          <cell r="D2417" t="str">
            <v>K.P. Woven Pvt Ltd-Sales</v>
          </cell>
          <cell r="AB2417" t="str">
            <v>24AAECK6307M1ZF</v>
          </cell>
        </row>
        <row r="2418">
          <cell r="D2418" t="str">
            <v>K.P. Woven Pvt Ltd-Sales</v>
          </cell>
          <cell r="AB2418" t="str">
            <v>24AAECK6307M1ZF</v>
          </cell>
        </row>
        <row r="2419">
          <cell r="D2419" t="str">
            <v>K.P. Woven Pvt Ltd-Sales</v>
          </cell>
          <cell r="AB2419" t="str">
            <v>24AAECK6307M1ZF</v>
          </cell>
        </row>
        <row r="2420">
          <cell r="D2420" t="str">
            <v>K.P. Woven Pvt Ltd-Sales</v>
          </cell>
          <cell r="AB2420" t="str">
            <v>24AAECK6307M1ZF</v>
          </cell>
        </row>
        <row r="2421">
          <cell r="D2421" t="str">
            <v>K.P. Woven Pvt Ltd-Sales</v>
          </cell>
          <cell r="AB2421" t="str">
            <v>24AAECK6307M1ZF</v>
          </cell>
        </row>
        <row r="2422">
          <cell r="D2422" t="str">
            <v>K.P. Woven Pvt Ltd-Sales</v>
          </cell>
          <cell r="AB2422" t="str">
            <v>24AAECK6307M1ZF</v>
          </cell>
        </row>
        <row r="2423">
          <cell r="D2423" t="str">
            <v>K.P. Woven Pvt Ltd-Sales</v>
          </cell>
          <cell r="AB2423" t="str">
            <v>24AAECK6307M1ZF</v>
          </cell>
        </row>
        <row r="2424">
          <cell r="D2424" t="str">
            <v>K.P. Woven Pvt Ltd-Sales</v>
          </cell>
          <cell r="AB2424" t="str">
            <v>24AAECK6307M1ZF</v>
          </cell>
        </row>
        <row r="2425">
          <cell r="D2425" t="str">
            <v>K.P. Woven Pvt Ltd-Sales</v>
          </cell>
          <cell r="AB2425" t="str">
            <v>24AAECK6307M1ZF</v>
          </cell>
        </row>
        <row r="2426">
          <cell r="D2426" t="str">
            <v>K.P. Woven Pvt Ltd-Sales</v>
          </cell>
          <cell r="AB2426" t="str">
            <v>24AAECK6307M1ZF</v>
          </cell>
        </row>
        <row r="2427">
          <cell r="D2427" t="str">
            <v>K.P. Woven Pvt Ltd-Sales</v>
          </cell>
          <cell r="AB2427" t="str">
            <v>24AAECK6307M1ZF</v>
          </cell>
        </row>
        <row r="2428">
          <cell r="D2428" t="str">
            <v>K.P. Woven Pvt Ltd-Sales</v>
          </cell>
          <cell r="AB2428" t="str">
            <v>24AAECK6307M1ZF</v>
          </cell>
        </row>
        <row r="2429">
          <cell r="D2429" t="str">
            <v>K.P. Woven Pvt Ltd-Sales</v>
          </cell>
          <cell r="AB2429" t="str">
            <v>24AAECK6307M1ZF</v>
          </cell>
        </row>
        <row r="2430">
          <cell r="D2430" t="str">
            <v>M D PLASTIC</v>
          </cell>
          <cell r="AB2430" t="str">
            <v>06ABJFM5382K1ZT</v>
          </cell>
        </row>
        <row r="2431">
          <cell r="D2431" t="str">
            <v>Plastene Polyfilms Ltd-Sales</v>
          </cell>
          <cell r="AB2431" t="str">
            <v>24AAFCP2956A1ZR</v>
          </cell>
        </row>
        <row r="2432">
          <cell r="D2432" t="str">
            <v>Plastene Polyfilms Ltd-Sales</v>
          </cell>
          <cell r="AB2432" t="str">
            <v>24AAFCP2956A1ZR</v>
          </cell>
        </row>
        <row r="2433">
          <cell r="D2433" t="str">
            <v>Plastene Polyfilms Ltd-Sales</v>
          </cell>
          <cell r="AB2433" t="str">
            <v>24AAFCP2956A1ZR</v>
          </cell>
        </row>
        <row r="2434">
          <cell r="D2434" t="str">
            <v>Plastene Polyfilms Ltd-Sales</v>
          </cell>
          <cell r="AB2434" t="str">
            <v>24AAFCP2956A1ZR</v>
          </cell>
        </row>
        <row r="2435">
          <cell r="D2435" t="str">
            <v>Plastene Polyfilms Ltd-Sales</v>
          </cell>
          <cell r="AB2435" t="str">
            <v>24AAFCP2956A1ZR</v>
          </cell>
        </row>
        <row r="2436">
          <cell r="D2436" t="str">
            <v>Plastene Polyfilms Ltd-Sales</v>
          </cell>
          <cell r="AB2436" t="str">
            <v>24AAFCP2956A1ZR</v>
          </cell>
        </row>
        <row r="2437">
          <cell r="D2437" t="str">
            <v>Plastene Polyfilms Ltd-Sales</v>
          </cell>
          <cell r="AB2437" t="str">
            <v>24AAFCP2956A1ZR</v>
          </cell>
        </row>
        <row r="2438">
          <cell r="D2438" t="str">
            <v>Plastene Polyfilms Ltd-Sales</v>
          </cell>
          <cell r="AB2438" t="str">
            <v>24AAFCP2956A1ZR</v>
          </cell>
        </row>
        <row r="2439">
          <cell r="D2439" t="str">
            <v>Frelun S.A.</v>
          </cell>
          <cell r="AB2439" t="str">
            <v>N.A.</v>
          </cell>
        </row>
        <row r="2440">
          <cell r="D2440" t="str">
            <v>Hcp Plastene Bulkpack Ltd (Unit Iv) - Sales</v>
          </cell>
          <cell r="AB2440" t="str">
            <v>24AABCG1282C2Z6</v>
          </cell>
        </row>
        <row r="2441">
          <cell r="D2441" t="str">
            <v>Hcp Plastene Bulkpack Ltd (Unit Iv) - Sales</v>
          </cell>
          <cell r="AB2441" t="str">
            <v>24AABCG1282C2Z6</v>
          </cell>
        </row>
        <row r="2442">
          <cell r="D2442" t="str">
            <v>Hcp Plastene Bulkpack Ltd (Unit Iv) - Sales</v>
          </cell>
          <cell r="AB2442" t="str">
            <v>24AABCG1282C2Z6</v>
          </cell>
        </row>
        <row r="2443">
          <cell r="D2443" t="str">
            <v>Hcp Plastene Bulkpack Ltd (Unit Iv) - Sales</v>
          </cell>
          <cell r="AB2443" t="str">
            <v>24AABCG1282C2Z6</v>
          </cell>
        </row>
        <row r="2444">
          <cell r="D2444" t="str">
            <v>Hcp Plastene Bulkpack Ltd (Unit Iv) - Sales</v>
          </cell>
          <cell r="AB2444" t="str">
            <v>24AABCG1282C2Z6</v>
          </cell>
        </row>
        <row r="2445">
          <cell r="D2445" t="str">
            <v>Hcp Plastene Bulkpack Ltd (Unit Iv) - Sales</v>
          </cell>
          <cell r="AB2445" t="str">
            <v>24AABCG1282C2Z6</v>
          </cell>
        </row>
        <row r="2446">
          <cell r="D2446" t="str">
            <v>Hcp Plastene Bulkpack Ltd (Unit Iv) - Sales</v>
          </cell>
          <cell r="AB2446" t="str">
            <v>24AABCG1282C2Z6</v>
          </cell>
        </row>
        <row r="2447">
          <cell r="D2447" t="str">
            <v>Hcp Plastene Bulkpack Ltd (Unit Iv) - Sales</v>
          </cell>
          <cell r="AB2447" t="str">
            <v>24AABCG1282C2Z6</v>
          </cell>
        </row>
        <row r="2448">
          <cell r="D2448" t="str">
            <v>Hcp Plastene Bulkpack Ltd (Unit Iv) - Sales</v>
          </cell>
          <cell r="AB2448" t="str">
            <v>24AABCG1282C2Z6</v>
          </cell>
        </row>
        <row r="2449">
          <cell r="D2449" t="str">
            <v>Hcp Plastene Bulkpack Ltd (Unit Iv) - Sales</v>
          </cell>
          <cell r="AB2449" t="str">
            <v>24AABCG1282C2Z6</v>
          </cell>
        </row>
        <row r="2450">
          <cell r="D2450" t="str">
            <v>Juta A.S.</v>
          </cell>
          <cell r="AB2450" t="str">
            <v>N.A.</v>
          </cell>
        </row>
        <row r="2451">
          <cell r="D2451" t="str">
            <v>K.P. Woven Pvt Ltd - Unit 3 -Sales</v>
          </cell>
          <cell r="AB2451" t="str">
            <v>24AAECK6307M2ZE</v>
          </cell>
        </row>
        <row r="2452">
          <cell r="D2452" t="str">
            <v>K.P. Woven Pvt Ltd - Unit 3 -Sales</v>
          </cell>
          <cell r="AB2452" t="str">
            <v>24AAECK6307M2ZE</v>
          </cell>
        </row>
        <row r="2453">
          <cell r="D2453" t="str">
            <v>K.P. Woven Pvt Ltd - Unit 3 -Sales</v>
          </cell>
          <cell r="AB2453" t="str">
            <v>24AAECK6307M2ZE</v>
          </cell>
        </row>
        <row r="2454">
          <cell r="D2454" t="str">
            <v>K.P. Woven Pvt Ltd - Unit 3 -Sales</v>
          </cell>
          <cell r="AB2454" t="str">
            <v>24AAECK6307M2ZE</v>
          </cell>
        </row>
        <row r="2455">
          <cell r="D2455" t="str">
            <v>K.P. Woven Pvt Ltd-Sales</v>
          </cell>
          <cell r="AB2455" t="str">
            <v>24AAECK6307M1ZF</v>
          </cell>
        </row>
        <row r="2456">
          <cell r="D2456" t="str">
            <v>K.P. Woven Pvt Ltd-Sales</v>
          </cell>
          <cell r="AB2456" t="str">
            <v>24AAECK6307M1ZF</v>
          </cell>
        </row>
        <row r="2457">
          <cell r="D2457" t="str">
            <v>K.P. Woven Pvt Ltd-Sales</v>
          </cell>
          <cell r="AB2457" t="str">
            <v>24AAECK6307M1ZF</v>
          </cell>
        </row>
        <row r="2458">
          <cell r="D2458" t="str">
            <v>K.P. Woven Pvt Ltd-Sales</v>
          </cell>
          <cell r="AB2458" t="str">
            <v>24AAECK6307M1ZF</v>
          </cell>
        </row>
        <row r="2459">
          <cell r="D2459" t="str">
            <v>K.P. Woven Pvt Ltd-Sales</v>
          </cell>
          <cell r="AB2459" t="str">
            <v>24AAECK6307M1ZF</v>
          </cell>
        </row>
        <row r="2460">
          <cell r="D2460" t="str">
            <v>Plastene Polyfilms Ltd-Sales</v>
          </cell>
          <cell r="AB2460" t="str">
            <v>24AAFCP2956A1ZR</v>
          </cell>
        </row>
        <row r="2461">
          <cell r="D2461" t="str">
            <v>Plastene Polyfilms Ltd-Sales</v>
          </cell>
          <cell r="AB2461" t="str">
            <v>24AAFCP2956A1ZR</v>
          </cell>
        </row>
        <row r="2462">
          <cell r="D2462" t="str">
            <v>Plastene Polyfilms Ltd-Sales</v>
          </cell>
          <cell r="AB2462" t="str">
            <v>24AAFCP2956A1ZR</v>
          </cell>
        </row>
        <row r="2463">
          <cell r="D2463" t="str">
            <v>Plastene Polyfilms Ltd-Sales</v>
          </cell>
          <cell r="AB2463" t="str">
            <v>24AAFCP2956A1ZR</v>
          </cell>
        </row>
        <row r="2464">
          <cell r="D2464" t="str">
            <v>Plastene Polyfilms Ltd-Sales</v>
          </cell>
          <cell r="AB2464" t="str">
            <v>24AAFCP2956A1ZR</v>
          </cell>
        </row>
        <row r="2465">
          <cell r="D2465" t="str">
            <v>Plastene Polyfilms Ltd-Sales</v>
          </cell>
          <cell r="AB2465" t="str">
            <v>24AAFCP2956A1ZR</v>
          </cell>
        </row>
        <row r="2466">
          <cell r="D2466" t="str">
            <v>Polypak Plastene Ltd</v>
          </cell>
          <cell r="AB2466" t="str">
            <v>N.A.</v>
          </cell>
        </row>
        <row r="2467">
          <cell r="D2467" t="str">
            <v>Rafia Industrial S.A.</v>
          </cell>
          <cell r="AB2467" t="str">
            <v>N.A.</v>
          </cell>
        </row>
        <row r="2468">
          <cell r="D2468" t="str">
            <v>Ravitaillement International Inc.</v>
          </cell>
          <cell r="AB2468" t="str">
            <v>N.A.</v>
          </cell>
        </row>
        <row r="2469">
          <cell r="D2469" t="str">
            <v>Ravitaillement International Inc.</v>
          </cell>
          <cell r="AB2469" t="str">
            <v>N.A.</v>
          </cell>
        </row>
        <row r="2470">
          <cell r="D2470" t="str">
            <v>Fibco Plastic Industry Llc</v>
          </cell>
          <cell r="AB2470" t="str">
            <v>N.A.</v>
          </cell>
        </row>
        <row r="2471">
          <cell r="D2471" t="str">
            <v>Fibco Plastic Industry Llc</v>
          </cell>
          <cell r="AB2471" t="str">
            <v>N.A.</v>
          </cell>
        </row>
        <row r="2472">
          <cell r="D2472" t="str">
            <v>Fibco Plastic Industry Llc</v>
          </cell>
          <cell r="AB2472" t="str">
            <v>N.A.</v>
          </cell>
        </row>
        <row r="2473">
          <cell r="D2473" t="str">
            <v>Fibco Plastic Industry Llc</v>
          </cell>
          <cell r="AB2473" t="str">
            <v>N.A.</v>
          </cell>
        </row>
        <row r="2474">
          <cell r="D2474" t="str">
            <v>Hcp Plastene Bulkpack Ltd (Unit Iv) - Sales</v>
          </cell>
          <cell r="AB2474" t="str">
            <v>24AABCG1282C2Z6</v>
          </cell>
        </row>
        <row r="2475">
          <cell r="D2475" t="str">
            <v>Hcp Plastene Bulkpack Ltd (Unit Iv) - Sales</v>
          </cell>
          <cell r="AB2475" t="str">
            <v>24AABCG1282C2Z6</v>
          </cell>
        </row>
        <row r="2476">
          <cell r="D2476" t="str">
            <v>Hcp Plastene Bulkpack Ltd (Unit Iv) - Sales</v>
          </cell>
          <cell r="AB2476" t="str">
            <v>24AABCG1282C2Z6</v>
          </cell>
        </row>
        <row r="2477">
          <cell r="D2477" t="str">
            <v>Hcp Plastene Bulkpack Ltd (Unit Iv) - Sales</v>
          </cell>
          <cell r="AB2477" t="str">
            <v>24AABCG1282C2Z6</v>
          </cell>
        </row>
        <row r="2478">
          <cell r="D2478" t="str">
            <v>Hcp Plastene Bulkpack Ltd (Unit Iv) - Sales</v>
          </cell>
          <cell r="AB2478" t="str">
            <v>24AABCG1282C2Z6</v>
          </cell>
        </row>
        <row r="2479">
          <cell r="D2479" t="str">
            <v>Hcp Plastene Bulkpack Ltd (Unit Iv) - Sales</v>
          </cell>
          <cell r="AB2479" t="str">
            <v>24AABCG1282C2Z6</v>
          </cell>
        </row>
        <row r="2480">
          <cell r="D2480" t="str">
            <v>Hcp Plastene Bulkpack Ltd (Unit Iv) - Sales</v>
          </cell>
          <cell r="AB2480" t="str">
            <v>24AABCG1282C2Z6</v>
          </cell>
        </row>
        <row r="2481">
          <cell r="D2481" t="str">
            <v>Hcp Plastene Bulkpack Ltd (Unit Iv) - Sales</v>
          </cell>
          <cell r="AB2481" t="str">
            <v>24AABCG1282C2Z6</v>
          </cell>
        </row>
        <row r="2482">
          <cell r="D2482" t="str">
            <v>Hcp Plastene Bulkpack Ltd (Unit Iv) - Sales</v>
          </cell>
          <cell r="AB2482" t="str">
            <v>24AABCG1282C2Z6</v>
          </cell>
        </row>
        <row r="2483">
          <cell r="D2483" t="str">
            <v>Hcp Plastene Bulkpack Ltd (Unit Iv) - Sales</v>
          </cell>
          <cell r="AB2483" t="str">
            <v>24AABCG1282C2Z6</v>
          </cell>
        </row>
        <row r="2484">
          <cell r="D2484" t="str">
            <v>Plastene Polyfilms Ltd-Sales</v>
          </cell>
          <cell r="AB2484" t="str">
            <v>24AAFCP2956A1ZR</v>
          </cell>
        </row>
        <row r="2485">
          <cell r="D2485" t="str">
            <v>Plastene Polyfilms Ltd-Sales</v>
          </cell>
          <cell r="AB2485" t="str">
            <v>24AAFCP2956A1ZR</v>
          </cell>
        </row>
        <row r="2486">
          <cell r="D2486" t="str">
            <v>Plastene Polyfilms Ltd-Sales</v>
          </cell>
          <cell r="AB2486" t="str">
            <v>24AAFCP2956A1ZR</v>
          </cell>
        </row>
        <row r="2487">
          <cell r="D2487" t="str">
            <v>Plastene Polyfilms Ltd-Sales</v>
          </cell>
          <cell r="AB2487" t="str">
            <v>24AAFCP2956A1ZR</v>
          </cell>
        </row>
        <row r="2488">
          <cell r="D2488" t="str">
            <v>Plastene Polyfilms Ltd-Sales</v>
          </cell>
          <cell r="AB2488" t="str">
            <v>24AAFCP2956A1ZR</v>
          </cell>
        </row>
        <row r="2489">
          <cell r="D2489" t="str">
            <v>Plastene Polyfilms Ltd-Sales</v>
          </cell>
          <cell r="AB2489" t="str">
            <v>24AAFCP2956A1ZR</v>
          </cell>
        </row>
        <row r="2490">
          <cell r="D2490" t="str">
            <v>Plastene Polyfilms Ltd-Sales</v>
          </cell>
          <cell r="AB2490" t="str">
            <v>24AAFCP2956A1ZR</v>
          </cell>
        </row>
        <row r="2491">
          <cell r="D2491" t="str">
            <v>Plastene Polyfilms Ltd-Sales</v>
          </cell>
          <cell r="AB2491" t="str">
            <v>24AAFCP2956A1ZR</v>
          </cell>
        </row>
        <row r="2492">
          <cell r="D2492" t="str">
            <v>Plastene Polyfilms Ltd-Sales</v>
          </cell>
          <cell r="AB2492" t="str">
            <v>24AAFCP2956A1ZR</v>
          </cell>
        </row>
        <row r="2493">
          <cell r="D2493" t="str">
            <v>HCP Plastene Bulkpack Limited - Sales</v>
          </cell>
          <cell r="AB2493" t="str">
            <v>24AABCG1282C2Z6</v>
          </cell>
        </row>
        <row r="2494">
          <cell r="D2494" t="str">
            <v>HCP Plastene Bulkpack Limited - Sales</v>
          </cell>
          <cell r="AB2494" t="str">
            <v>24AABCG1282C2Z6</v>
          </cell>
        </row>
        <row r="2495">
          <cell r="D2495" t="str">
            <v>Hcp Plastene Bulkpack Ltd (Unit Iv) - Sales</v>
          </cell>
          <cell r="AB2495" t="str">
            <v>24AABCG1282C2Z6</v>
          </cell>
        </row>
        <row r="2496">
          <cell r="D2496" t="str">
            <v>Hcp Plastene Bulkpack Ltd (Unit Iv) - Sales</v>
          </cell>
          <cell r="AB2496" t="str">
            <v>24AABCG1282C2Z6</v>
          </cell>
        </row>
        <row r="2497">
          <cell r="D2497" t="str">
            <v>Hcp Plastene Bulkpack Ltd (Unit Iv) - Sales</v>
          </cell>
          <cell r="AB2497" t="str">
            <v>24AABCG1282C2Z6</v>
          </cell>
        </row>
        <row r="2498">
          <cell r="D2498" t="str">
            <v>Hcp Plastene Bulkpack Ltd (Unit Iv) - Sales</v>
          </cell>
          <cell r="AB2498" t="str">
            <v>24AABCG1282C2Z6</v>
          </cell>
        </row>
        <row r="2499">
          <cell r="D2499" t="str">
            <v>Hcp Plastene Bulkpack Ltd (Unit Iv) - Sales</v>
          </cell>
          <cell r="AB2499" t="str">
            <v>24AABCG1282C2Z6</v>
          </cell>
        </row>
        <row r="2500">
          <cell r="D2500" t="str">
            <v>Hcp Plastene Bulkpack Ltd (Unit Iv) - Sales</v>
          </cell>
          <cell r="AB2500" t="str">
            <v>24AABCG1282C2Z6</v>
          </cell>
        </row>
        <row r="2501">
          <cell r="D2501" t="str">
            <v>Hcp Plastene Bulkpack Ltd (Unit Iv) - Sales</v>
          </cell>
          <cell r="AB2501" t="str">
            <v>24AABCG1282C2Z6</v>
          </cell>
        </row>
        <row r="2502">
          <cell r="D2502" t="str">
            <v>Hcp Plastene Bulkpack Ltd (Unit Iv) - Sales</v>
          </cell>
          <cell r="AB2502" t="str">
            <v>24AABCG1282C2Z6</v>
          </cell>
        </row>
        <row r="2503">
          <cell r="D2503" t="str">
            <v>Hcp Plastene Bulkpack Ltd (Unit Iv) - Sales</v>
          </cell>
          <cell r="AB2503" t="str">
            <v>24AABCG1282C2Z6</v>
          </cell>
        </row>
        <row r="2504">
          <cell r="D2504" t="str">
            <v>Hcp Plastene Bulkpack Ltd (Unit Iv) - Sales</v>
          </cell>
          <cell r="AB2504" t="str">
            <v>24AABCG1282C2Z6</v>
          </cell>
        </row>
        <row r="2505">
          <cell r="D2505" t="str">
            <v>Hcp Plastene Bulkpack Ltd (Unit Iv) - Sales</v>
          </cell>
          <cell r="AB2505" t="str">
            <v>24AABCG1282C2Z6</v>
          </cell>
        </row>
        <row r="2506">
          <cell r="D2506" t="str">
            <v>Hcp Plastene Bulkpack Ltd (Unit Iv) - Sales</v>
          </cell>
          <cell r="AB2506" t="str">
            <v>24AABCG1282C2Z6</v>
          </cell>
        </row>
        <row r="2507">
          <cell r="D2507" t="str">
            <v>K.P. Woven Pvt Ltd - Unit 3 -Sales</v>
          </cell>
          <cell r="AB2507" t="str">
            <v>24AAECK6307M2ZE</v>
          </cell>
        </row>
        <row r="2508">
          <cell r="D2508" t="str">
            <v>K.P. Woven Pvt Ltd - Unit 3 -Sales</v>
          </cell>
          <cell r="AB2508" t="str">
            <v>24AAECK6307M2ZE</v>
          </cell>
        </row>
        <row r="2509">
          <cell r="D2509" t="str">
            <v>K.P. Woven Pvt Ltd - Unit 3 -Sales</v>
          </cell>
          <cell r="AB2509" t="str">
            <v>24AAECK6307M2ZE</v>
          </cell>
        </row>
        <row r="2510">
          <cell r="D2510" t="str">
            <v>K.P. Woven Pvt Ltd - Unit 3 -Sales</v>
          </cell>
          <cell r="AB2510" t="str">
            <v>24AAECK6307M2ZE</v>
          </cell>
        </row>
        <row r="2511">
          <cell r="D2511" t="str">
            <v>K.P. Woven Pvt Ltd - Unit 3 -Sales</v>
          </cell>
          <cell r="AB2511" t="str">
            <v>24AAECK6307M2ZE</v>
          </cell>
        </row>
        <row r="2512">
          <cell r="D2512" t="str">
            <v>K.P. Woven Pvt Ltd - Unit 3 -Sales</v>
          </cell>
          <cell r="AB2512" t="str">
            <v>24AAECK6307M2ZE</v>
          </cell>
        </row>
        <row r="2513">
          <cell r="D2513" t="str">
            <v>K.P. Woven Pvt Ltd-Sales</v>
          </cell>
          <cell r="AB2513" t="str">
            <v>24AAECK6307M1ZF</v>
          </cell>
        </row>
        <row r="2514">
          <cell r="D2514" t="str">
            <v>K.P. Woven Pvt Ltd-Sales</v>
          </cell>
          <cell r="AB2514" t="str">
            <v>24AAECK6307M1ZF</v>
          </cell>
        </row>
        <row r="2515">
          <cell r="D2515" t="str">
            <v>K.P. Woven Pvt Ltd-Sales</v>
          </cell>
          <cell r="AB2515" t="str">
            <v>24AAECK6307M1ZF</v>
          </cell>
        </row>
        <row r="2516">
          <cell r="D2516" t="str">
            <v>K.P. Woven Pvt Ltd-Sales</v>
          </cell>
          <cell r="AB2516" t="str">
            <v>24AAECK6307M1ZF</v>
          </cell>
        </row>
        <row r="2517">
          <cell r="D2517" t="str">
            <v>K.P. Woven Pvt Ltd-Sales</v>
          </cell>
          <cell r="AB2517" t="str">
            <v>24AAECK6307M1ZF</v>
          </cell>
        </row>
        <row r="2518">
          <cell r="D2518" t="str">
            <v>K.P. Woven Pvt Ltd-Sales</v>
          </cell>
          <cell r="AB2518" t="str">
            <v>24AAECK6307M1ZF</v>
          </cell>
        </row>
        <row r="2519">
          <cell r="D2519" t="str">
            <v>Plastene Polyfilms Ltd-Sales</v>
          </cell>
          <cell r="AB2519" t="str">
            <v>24AAFCP2956A1ZR</v>
          </cell>
        </row>
        <row r="2520">
          <cell r="D2520" t="str">
            <v>Plastene Polyfilms Ltd-Sales</v>
          </cell>
          <cell r="AB2520" t="str">
            <v>24AAFCP2956A1ZR</v>
          </cell>
        </row>
        <row r="2521">
          <cell r="D2521" t="str">
            <v>Plastene Polyfilms Ltd-Sales</v>
          </cell>
          <cell r="AB2521" t="str">
            <v>24AAFCP2956A1ZR</v>
          </cell>
        </row>
        <row r="2522">
          <cell r="D2522" t="str">
            <v>Plastene Polyfilms Ltd-Sales</v>
          </cell>
          <cell r="AB2522" t="str">
            <v>24AAFCP2956A1ZR</v>
          </cell>
        </row>
        <row r="2523">
          <cell r="D2523" t="str">
            <v>Plastene Polyfilms Ltd-Sales</v>
          </cell>
          <cell r="AB2523" t="str">
            <v>24AAFCP2956A1ZR</v>
          </cell>
        </row>
        <row r="2524">
          <cell r="D2524" t="str">
            <v>Plastene Polyfilms Ltd-Sales</v>
          </cell>
          <cell r="AB2524" t="str">
            <v>24AAFCP2956A1ZR</v>
          </cell>
        </row>
        <row r="2525">
          <cell r="D2525" t="str">
            <v>Plastene Polyfilms Ltd-Sales</v>
          </cell>
          <cell r="AB2525" t="str">
            <v>24AAFCP2956A1ZR</v>
          </cell>
        </row>
        <row r="2526">
          <cell r="D2526" t="str">
            <v>Plastene Polyfilms Ltd-Sales</v>
          </cell>
          <cell r="AB2526" t="str">
            <v>24AAFCP2956A1ZR</v>
          </cell>
        </row>
        <row r="2527">
          <cell r="D2527" t="str">
            <v>Plastene Polyfilms Ltd-Sales</v>
          </cell>
          <cell r="AB2527" t="str">
            <v>24AAFCP2956A1ZR</v>
          </cell>
        </row>
        <row r="2528">
          <cell r="D2528" t="str">
            <v>Aayush Plastic</v>
          </cell>
          <cell r="AB2528" t="str">
            <v>24AIGPD1030P1ZK</v>
          </cell>
        </row>
        <row r="2529">
          <cell r="D2529" t="str">
            <v>FPS Flexibles Irelands Ltd</v>
          </cell>
          <cell r="AB2529" t="str">
            <v>N.A.</v>
          </cell>
        </row>
        <row r="2530">
          <cell r="D2530" t="str">
            <v>FPS Flexibles Irelands Ltd</v>
          </cell>
          <cell r="AB2530" t="str">
            <v>N.A.</v>
          </cell>
        </row>
        <row r="2531">
          <cell r="D2531" t="str">
            <v>HCP Plastene Bulkpack Limited - Sales</v>
          </cell>
          <cell r="AB2531" t="str">
            <v>24AABCG1282C2Z6</v>
          </cell>
        </row>
        <row r="2532">
          <cell r="D2532" t="str">
            <v>HCP Plastene Bulkpack Limited - Sales</v>
          </cell>
          <cell r="AB2532" t="str">
            <v>24AABCG1282C2Z6</v>
          </cell>
        </row>
        <row r="2533">
          <cell r="D2533" t="str">
            <v>Hcp Plastene Bulkpack Ltd (Unit Iv) - Sales</v>
          </cell>
          <cell r="AB2533" t="str">
            <v>24AABCG1282C2Z6</v>
          </cell>
        </row>
        <row r="2534">
          <cell r="D2534" t="str">
            <v>Hcp Plastene Bulkpack Ltd (Unit Iv) - Sales</v>
          </cell>
          <cell r="AB2534" t="str">
            <v>24AABCG1282C2Z6</v>
          </cell>
        </row>
        <row r="2535">
          <cell r="D2535" t="str">
            <v>Hcp Plastene Bulkpack Ltd (Unit Iv) - Sales</v>
          </cell>
          <cell r="AB2535" t="str">
            <v>24AABCG1282C2Z6</v>
          </cell>
        </row>
        <row r="2536">
          <cell r="D2536" t="str">
            <v>Hcp Plastene Bulkpack Ltd (Unit Iv) - Sales</v>
          </cell>
          <cell r="AB2536" t="str">
            <v>24AABCG1282C2Z6</v>
          </cell>
        </row>
        <row r="2537">
          <cell r="D2537" t="str">
            <v>Hcp Plastene Bulkpack Ltd (Unit Iv) - Sales</v>
          </cell>
          <cell r="AB2537" t="str">
            <v>24AABCG1282C2Z6</v>
          </cell>
        </row>
        <row r="2538">
          <cell r="D2538" t="str">
            <v>Hcp Plastene Bulkpack Ltd (Unit Iv) - Sales</v>
          </cell>
          <cell r="AB2538" t="str">
            <v>24AABCG1282C2Z6</v>
          </cell>
        </row>
        <row r="2539">
          <cell r="D2539" t="str">
            <v>Hcp Plastene Bulkpack Ltd (Unit Iv) - Sales</v>
          </cell>
          <cell r="AB2539" t="str">
            <v>24AABCG1282C2Z6</v>
          </cell>
        </row>
        <row r="2540">
          <cell r="D2540" t="str">
            <v>Hcp Plastene Bulkpack Ltd (Unit Iv) - Sales</v>
          </cell>
          <cell r="AB2540" t="str">
            <v>24AABCG1282C2Z6</v>
          </cell>
        </row>
        <row r="2541">
          <cell r="D2541" t="str">
            <v>Hcp Plastene Bulkpack Ltd (Unit Iv) - Sales</v>
          </cell>
          <cell r="AB2541" t="str">
            <v>24AABCG1282C2Z6</v>
          </cell>
        </row>
        <row r="2542">
          <cell r="D2542" t="str">
            <v>Hcp Plastene Bulkpack Ltd (Unit Iv) - Sales</v>
          </cell>
          <cell r="AB2542" t="str">
            <v>24AABCG1282C2Z6</v>
          </cell>
        </row>
        <row r="2543">
          <cell r="D2543" t="str">
            <v>Hcp Plastene Bulkpack Ltd (Unit Iv) - Sales</v>
          </cell>
          <cell r="AB2543" t="str">
            <v>24AABCG1282C2Z6</v>
          </cell>
        </row>
        <row r="2544">
          <cell r="D2544" t="str">
            <v>Hcp Plastene Bulkpack Ltd (Unit Iv) - Sales</v>
          </cell>
          <cell r="AB2544" t="str">
            <v>24AABCG1282C2Z6</v>
          </cell>
        </row>
        <row r="2545">
          <cell r="D2545" t="str">
            <v>Hcp Plastene Bulkpack Ltd (Unit Iv) - Sales</v>
          </cell>
          <cell r="AB2545" t="str">
            <v>24AABCG1282C2Z6</v>
          </cell>
        </row>
        <row r="2546">
          <cell r="D2546" t="str">
            <v>Hcp Plastene Bulkpack Ltd (Unit Iv) - Sales</v>
          </cell>
          <cell r="AB2546" t="str">
            <v>24AABCG1282C2Z6</v>
          </cell>
        </row>
        <row r="2547">
          <cell r="D2547" t="str">
            <v>Juta A.S.</v>
          </cell>
          <cell r="AB2547" t="str">
            <v>N.A.</v>
          </cell>
        </row>
        <row r="2548">
          <cell r="D2548" t="str">
            <v>K.P. Woven Pvt Ltd - Unit 3 -Sales</v>
          </cell>
          <cell r="AB2548" t="str">
            <v>24AAECK6307M2ZE</v>
          </cell>
        </row>
        <row r="2549">
          <cell r="D2549" t="str">
            <v>K.P. Woven Pvt Ltd - Unit 3 -Sales</v>
          </cell>
          <cell r="AB2549" t="str">
            <v>24AAECK6307M2ZE</v>
          </cell>
        </row>
        <row r="2550">
          <cell r="D2550" t="str">
            <v>K.P. Woven Pvt Ltd-Sales</v>
          </cell>
          <cell r="AB2550" t="str">
            <v>24AAECK6307M1ZF</v>
          </cell>
        </row>
        <row r="2551">
          <cell r="D2551" t="str">
            <v>K.P. Woven Pvt Ltd-Sales</v>
          </cell>
          <cell r="AB2551" t="str">
            <v>24AAECK6307M1ZF</v>
          </cell>
        </row>
        <row r="2552">
          <cell r="D2552" t="str">
            <v>K.P. Woven Pvt Ltd-Sales</v>
          </cell>
          <cell r="AB2552" t="str">
            <v>24AAECK6307M1ZF</v>
          </cell>
        </row>
        <row r="2553">
          <cell r="D2553" t="str">
            <v>K.P. Woven Pvt Ltd-Sales</v>
          </cell>
          <cell r="AB2553" t="str">
            <v>24AAECK6307M1ZF</v>
          </cell>
        </row>
        <row r="2554">
          <cell r="D2554" t="str">
            <v>K.P. Woven Pvt Ltd-Sales</v>
          </cell>
          <cell r="AB2554" t="str">
            <v>24AAECK6307M1ZF</v>
          </cell>
        </row>
        <row r="2555">
          <cell r="D2555" t="str">
            <v>K.P. Woven Pvt Ltd-Sales</v>
          </cell>
          <cell r="AB2555" t="str">
            <v>24AAECK6307M1ZF</v>
          </cell>
        </row>
        <row r="2556">
          <cell r="D2556" t="str">
            <v>K.P. Woven Pvt Ltd-Sales</v>
          </cell>
          <cell r="AB2556" t="str">
            <v>24AAECK6307M1ZF</v>
          </cell>
        </row>
        <row r="2557">
          <cell r="D2557" t="str">
            <v>K.P. Woven Pvt Ltd-Sales</v>
          </cell>
          <cell r="AB2557" t="str">
            <v>24AAECK6307M1ZF</v>
          </cell>
        </row>
        <row r="2558">
          <cell r="D2558" t="str">
            <v>K.P. Woven Pvt Ltd-Sales</v>
          </cell>
          <cell r="AB2558" t="str">
            <v>24AAECK6307M1ZF</v>
          </cell>
        </row>
        <row r="2559">
          <cell r="D2559" t="str">
            <v>K.P. Woven Pvt Ltd-Sales</v>
          </cell>
          <cell r="AB2559" t="str">
            <v>24AAECK6307M1ZF</v>
          </cell>
        </row>
        <row r="2560">
          <cell r="D2560" t="str">
            <v>K.P. Woven Pvt Ltd-Sales</v>
          </cell>
          <cell r="AB2560" t="str">
            <v>24AAECK6307M1ZF</v>
          </cell>
        </row>
        <row r="2561">
          <cell r="D2561" t="str">
            <v>K.P. Woven Pvt Ltd-Sales</v>
          </cell>
          <cell r="AB2561" t="str">
            <v>24AAECK6307M1ZF</v>
          </cell>
        </row>
        <row r="2562">
          <cell r="D2562" t="str">
            <v>K.P. Woven Pvt Ltd-Sales</v>
          </cell>
          <cell r="AB2562" t="str">
            <v>24AAECK6307M1ZF</v>
          </cell>
        </row>
        <row r="2563">
          <cell r="D2563" t="str">
            <v>LC Packaging Belgium NV</v>
          </cell>
          <cell r="AB2563" t="str">
            <v>N.A.</v>
          </cell>
        </row>
        <row r="2564">
          <cell r="D2564" t="str">
            <v>Plastene Polyfilms Ltd-Sales</v>
          </cell>
          <cell r="AB2564" t="str">
            <v>24AAFCP2956A1ZR</v>
          </cell>
        </row>
        <row r="2565">
          <cell r="D2565" t="str">
            <v>Plastene Polyfilms Ltd-Sales</v>
          </cell>
          <cell r="AB2565" t="str">
            <v>24AAFCP2956A1ZR</v>
          </cell>
        </row>
        <row r="2566">
          <cell r="D2566" t="str">
            <v>Plastene Polyfilms Ltd-Sales</v>
          </cell>
          <cell r="AB2566" t="str">
            <v>24AAFCP2956A1ZR</v>
          </cell>
        </row>
        <row r="2567">
          <cell r="D2567" t="str">
            <v>Plastene Polyfilms Ltd-Sales</v>
          </cell>
          <cell r="AB2567" t="str">
            <v>24AAFCP2956A1ZR</v>
          </cell>
        </row>
        <row r="2568">
          <cell r="D2568" t="str">
            <v>Plastene Polyfilms Ltd-Sales</v>
          </cell>
          <cell r="AB2568" t="str">
            <v>24AAFCP2956A1ZR</v>
          </cell>
        </row>
        <row r="2569">
          <cell r="D2569" t="str">
            <v>Plastene Polyfilms Ltd-Sales</v>
          </cell>
          <cell r="AB2569" t="str">
            <v>24AAFCP2956A1ZR</v>
          </cell>
        </row>
        <row r="2570">
          <cell r="D2570" t="str">
            <v>Rafia Industrial S.A.</v>
          </cell>
          <cell r="AB2570" t="str">
            <v>N.A.</v>
          </cell>
        </row>
        <row r="2571">
          <cell r="D2571" t="str">
            <v>Hcp Plastene Bulkpack Ltd (Unit Iv) - Sales</v>
          </cell>
          <cell r="AB2571" t="str">
            <v>24AABCG1282C2Z6</v>
          </cell>
        </row>
        <row r="2572">
          <cell r="D2572" t="str">
            <v>Hcp Plastene Bulkpack Ltd (Unit Iv) - Sales</v>
          </cell>
          <cell r="AB2572" t="str">
            <v>24AABCG1282C2Z6</v>
          </cell>
        </row>
        <row r="2573">
          <cell r="D2573" t="str">
            <v>Hcp Plastene Bulkpack Ltd (Unit Iv) - Sales</v>
          </cell>
          <cell r="AB2573" t="str">
            <v>24AABCG1282C2Z6</v>
          </cell>
        </row>
        <row r="2574">
          <cell r="D2574" t="str">
            <v>Hcp Plastene Bulkpack Ltd (Unit Iv) - Sales</v>
          </cell>
          <cell r="AB2574" t="str">
            <v>24AABCG1282C2Z6</v>
          </cell>
        </row>
        <row r="2575">
          <cell r="D2575" t="str">
            <v>Hcp Plastene Bulkpack Ltd (Unit Iv) - Sales</v>
          </cell>
          <cell r="AB2575" t="str">
            <v>24AABCG1282C2Z6</v>
          </cell>
        </row>
        <row r="2576">
          <cell r="D2576" t="str">
            <v>Hcp Plastene Bulkpack Ltd (Unit Iv) - Sales</v>
          </cell>
          <cell r="AB2576" t="str">
            <v>24AABCG1282C2Z6</v>
          </cell>
        </row>
        <row r="2577">
          <cell r="D2577" t="str">
            <v>Hcp Plastene Bulkpack Ltd (Unit Iv) - Sales</v>
          </cell>
          <cell r="AB2577" t="str">
            <v>24AABCG1282C2Z6</v>
          </cell>
        </row>
        <row r="2578">
          <cell r="D2578" t="str">
            <v>Hcp Plastene Bulkpack Ltd (Unit Iv) - Sales</v>
          </cell>
          <cell r="AB2578" t="str">
            <v>24AABCG1282C2Z6</v>
          </cell>
        </row>
        <row r="2579">
          <cell r="D2579" t="str">
            <v>Hcp Plastene Bulkpack Ltd (Unit Iv) - Sales</v>
          </cell>
          <cell r="AB2579" t="str">
            <v>24AABCG1282C2Z6</v>
          </cell>
        </row>
        <row r="2580">
          <cell r="D2580" t="str">
            <v>K.P. Woven Pvt Ltd - Unit 3 -Sales</v>
          </cell>
          <cell r="AB2580" t="str">
            <v>24AAECK6307M2ZE</v>
          </cell>
        </row>
        <row r="2581">
          <cell r="D2581" t="str">
            <v>K.P. Woven Pvt Ltd - Unit 3 -Sales</v>
          </cell>
          <cell r="AB2581" t="str">
            <v>24AAECK6307M2ZE</v>
          </cell>
        </row>
        <row r="2582">
          <cell r="D2582" t="str">
            <v>K.P. Woven Pvt Ltd - Unit 3 -Sales</v>
          </cell>
          <cell r="AB2582" t="str">
            <v>24AAECK6307M2ZE</v>
          </cell>
        </row>
        <row r="2583">
          <cell r="D2583" t="str">
            <v>K.P. Woven Pvt Ltd - Unit 3 -Sales</v>
          </cell>
          <cell r="AB2583" t="str">
            <v>24AAECK6307M2ZE</v>
          </cell>
        </row>
        <row r="2584">
          <cell r="D2584" t="str">
            <v>K.P. Woven Pvt Ltd - Unit 3 -Sales</v>
          </cell>
          <cell r="AB2584" t="str">
            <v>24AAECK6307M2ZE</v>
          </cell>
        </row>
        <row r="2585">
          <cell r="D2585" t="str">
            <v>K.P. Woven Pvt Ltd - Unit 3 -Sales</v>
          </cell>
          <cell r="AB2585" t="str">
            <v>24AAECK6307M2ZE</v>
          </cell>
        </row>
        <row r="2586">
          <cell r="D2586" t="str">
            <v>K.P. Woven Pvt Ltd - Unit 3 -Sales</v>
          </cell>
          <cell r="AB2586" t="str">
            <v>24AAECK6307M2ZE</v>
          </cell>
        </row>
        <row r="2587">
          <cell r="D2587" t="str">
            <v>K.P. Woven Pvt Ltd - Unit 3 -Sales</v>
          </cell>
          <cell r="AB2587" t="str">
            <v>24AAECK6307M2ZE</v>
          </cell>
        </row>
        <row r="2588">
          <cell r="D2588" t="str">
            <v>Madi Sp. z.o.o.</v>
          </cell>
          <cell r="AB2588" t="str">
            <v>N.A.</v>
          </cell>
        </row>
        <row r="2589">
          <cell r="D2589" t="str">
            <v>Madi Sp. z.o.o.</v>
          </cell>
          <cell r="AB2589" t="str">
            <v>N.A.</v>
          </cell>
        </row>
        <row r="2590">
          <cell r="D2590" t="str">
            <v>Oswal Extrusion Ltd- KASEZ-Sales</v>
          </cell>
          <cell r="AB2590" t="str">
            <v>24AAACO7290H4ZB</v>
          </cell>
        </row>
        <row r="2591">
          <cell r="D2591" t="str">
            <v>Plastene Polyfilms Ltd-Sales</v>
          </cell>
          <cell r="AB2591" t="str">
            <v>24AAFCP2956A1ZR</v>
          </cell>
        </row>
        <row r="2592">
          <cell r="D2592" t="str">
            <v>Plastene Polyfilms Ltd-Sales</v>
          </cell>
          <cell r="AB2592" t="str">
            <v>24AAFCP2956A1ZR</v>
          </cell>
        </row>
        <row r="2593">
          <cell r="D2593" t="str">
            <v>Plastene Polyfilms Ltd-Sales</v>
          </cell>
          <cell r="AB2593" t="str">
            <v>24AAFCP2956A1ZR</v>
          </cell>
        </row>
        <row r="2594">
          <cell r="D2594" t="str">
            <v>Plastene Polyfilms Ltd-Sales</v>
          </cell>
          <cell r="AB2594" t="str">
            <v>24AAFCP2956A1ZR</v>
          </cell>
        </row>
        <row r="2595">
          <cell r="D2595" t="str">
            <v>Plastene Polyfilms Ltd-Sales</v>
          </cell>
          <cell r="AB2595" t="str">
            <v>24AAFCP2956A1ZR</v>
          </cell>
        </row>
        <row r="2596">
          <cell r="D2596" t="str">
            <v>Plastene Polyfilms Ltd-Sales</v>
          </cell>
          <cell r="AB2596" t="str">
            <v>24AAFCP2956A1ZR</v>
          </cell>
        </row>
        <row r="2597">
          <cell r="D2597" t="str">
            <v>Plastene Polyfilms Ltd-Sales</v>
          </cell>
          <cell r="AB2597" t="str">
            <v>24AAFCP2956A1ZR</v>
          </cell>
        </row>
        <row r="2598">
          <cell r="D2598" t="str">
            <v>Plastene Polyfilms Ltd-Sales</v>
          </cell>
          <cell r="AB2598" t="str">
            <v>24AAFCP2956A1ZR</v>
          </cell>
        </row>
        <row r="2599">
          <cell r="D2599" t="str">
            <v>Plastene Polyfilms Ltd-Sales</v>
          </cell>
          <cell r="AB2599" t="str">
            <v>24AAFCP2956A1ZR</v>
          </cell>
        </row>
        <row r="2600">
          <cell r="D2600" t="str">
            <v>H Polesy &amp; Co Pty Ltd</v>
          </cell>
          <cell r="AB2600" t="str">
            <v>N.A.</v>
          </cell>
        </row>
        <row r="2601">
          <cell r="D2601" t="str">
            <v>HCP Plastene Bulkpack Limited - Sales</v>
          </cell>
          <cell r="AB2601" t="str">
            <v>24AABCG1282C2Z6</v>
          </cell>
        </row>
        <row r="2602">
          <cell r="D2602" t="str">
            <v>HCP Plastene Bulkpack Limited - Sales</v>
          </cell>
          <cell r="AB2602" t="str">
            <v>24AABCG1282C2Z6</v>
          </cell>
        </row>
        <row r="2603">
          <cell r="D2603" t="str">
            <v>HCP Plastene Bulkpack Limited - Sales</v>
          </cell>
          <cell r="AB2603" t="str">
            <v>24AABCG1282C2Z6</v>
          </cell>
        </row>
        <row r="2604">
          <cell r="D2604" t="str">
            <v>HCP Plastene Bulkpack Limited - Sales</v>
          </cell>
          <cell r="AB2604" t="str">
            <v>24AABCG1282C2Z6</v>
          </cell>
        </row>
        <row r="2605">
          <cell r="D2605" t="str">
            <v>HCP Plastene Bulkpack Limited - Sales</v>
          </cell>
          <cell r="AB2605" t="str">
            <v>24AABCG1282C2Z6</v>
          </cell>
        </row>
        <row r="2606">
          <cell r="D2606" t="str">
            <v>Hcp Plastene Bulkpack Ltd (Unit Iv) - Sales</v>
          </cell>
          <cell r="AB2606" t="str">
            <v>24AABCG1282C2Z6</v>
          </cell>
        </row>
        <row r="2607">
          <cell r="D2607" t="str">
            <v>Hcp Plastene Bulkpack Ltd (Unit Iv) - Sales</v>
          </cell>
          <cell r="AB2607" t="str">
            <v>24AABCG1282C2Z6</v>
          </cell>
        </row>
        <row r="2608">
          <cell r="D2608" t="str">
            <v>Hcp Plastene Bulkpack Ltd (Unit Iv) - Sales</v>
          </cell>
          <cell r="AB2608" t="str">
            <v>24AABCG1282C2Z6</v>
          </cell>
        </row>
        <row r="2609">
          <cell r="D2609" t="str">
            <v>Hcp Plastene Bulkpack Ltd (Unit Iv) - Sales</v>
          </cell>
          <cell r="AB2609" t="str">
            <v>24AABCG1282C2Z6</v>
          </cell>
        </row>
        <row r="2610">
          <cell r="D2610" t="str">
            <v>Hcp Plastene Bulkpack Ltd (Unit Iv) - Sales</v>
          </cell>
          <cell r="AB2610" t="str">
            <v>24AABCG1282C2Z6</v>
          </cell>
        </row>
        <row r="2611">
          <cell r="D2611" t="str">
            <v>Hcp Plastene Bulkpack Ltd (Unit Iv) - Sales</v>
          </cell>
          <cell r="AB2611" t="str">
            <v>24AABCG1282C2Z6</v>
          </cell>
        </row>
        <row r="2612">
          <cell r="D2612" t="str">
            <v>Hcp Plastene Bulkpack Ltd (Unit Iv) - Sales</v>
          </cell>
          <cell r="AB2612" t="str">
            <v>24AABCG1282C2Z6</v>
          </cell>
        </row>
        <row r="2613">
          <cell r="D2613" t="str">
            <v>Hcp Plastene Bulkpack Ltd (Unit Iv) - Sales</v>
          </cell>
          <cell r="AB2613" t="str">
            <v>24AABCG1282C2Z6</v>
          </cell>
        </row>
        <row r="2614">
          <cell r="D2614" t="str">
            <v>Hcp Plastene Bulkpack Ltd (Unit Iv) - Sales</v>
          </cell>
          <cell r="AB2614" t="str">
            <v>24AABCG1282C2Z6</v>
          </cell>
        </row>
        <row r="2615">
          <cell r="D2615" t="str">
            <v>Hcp Plastene Bulkpack Ltd (Unit Iv) - Sales</v>
          </cell>
          <cell r="AB2615" t="str">
            <v>24AABCG1282C2Z6</v>
          </cell>
        </row>
        <row r="2616">
          <cell r="D2616" t="str">
            <v>Hcp Plastene Bulkpack Ltd (Unit Iv) - Sales</v>
          </cell>
          <cell r="AB2616" t="str">
            <v>24AABCG1282C2Z6</v>
          </cell>
        </row>
        <row r="2617">
          <cell r="D2617" t="str">
            <v>Hcp Plastene Bulkpack Ltd (Unit Iv) - Sales</v>
          </cell>
          <cell r="AB2617" t="str">
            <v>24AABCG1282C2Z6</v>
          </cell>
        </row>
        <row r="2618">
          <cell r="D2618" t="str">
            <v>Hcp Plastene Bulkpack Ltd (Unit Iv) - Sales</v>
          </cell>
          <cell r="AB2618" t="str">
            <v>24AABCG1282C2Z6</v>
          </cell>
        </row>
        <row r="2619">
          <cell r="D2619" t="str">
            <v>K.P. Woven Pvt Ltd - Unit 3 -Sales</v>
          </cell>
          <cell r="AB2619" t="str">
            <v>24AAECK6307M2ZE</v>
          </cell>
        </row>
        <row r="2620">
          <cell r="D2620" t="str">
            <v>K.P. Woven Pvt Ltd - Unit 3 -Sales</v>
          </cell>
          <cell r="AB2620" t="str">
            <v>24AAECK6307M2ZE</v>
          </cell>
        </row>
        <row r="2621">
          <cell r="D2621" t="str">
            <v>K.P. Woven Pvt Ltd - Unit 3 -Sales</v>
          </cell>
          <cell r="AB2621" t="str">
            <v>24AAECK6307M2ZE</v>
          </cell>
        </row>
        <row r="2622">
          <cell r="D2622" t="str">
            <v>K.P. Woven Pvt Ltd - Unit 3 -Sales</v>
          </cell>
          <cell r="AB2622" t="str">
            <v>24AAECK6307M2ZE</v>
          </cell>
        </row>
        <row r="2623">
          <cell r="D2623" t="str">
            <v>K.P. Woven Pvt Ltd - Unit 3 -Sales</v>
          </cell>
          <cell r="AB2623" t="str">
            <v>24AAECK6307M2ZE</v>
          </cell>
        </row>
        <row r="2624">
          <cell r="D2624" t="str">
            <v>K.P. Woven Pvt Ltd - Unit 3 -Sales</v>
          </cell>
          <cell r="AB2624" t="str">
            <v>24AAECK6307M2ZE</v>
          </cell>
        </row>
        <row r="2625">
          <cell r="D2625" t="str">
            <v>K.P. Woven Pvt Ltd - Unit 3 -Sales</v>
          </cell>
          <cell r="AB2625" t="str">
            <v>24AAECK6307M2ZE</v>
          </cell>
        </row>
        <row r="2626">
          <cell r="D2626" t="str">
            <v>K.P. Woven Pvt Ltd - Unit 3 -Sales</v>
          </cell>
          <cell r="AB2626" t="str">
            <v>24AAECK6307M2ZE</v>
          </cell>
        </row>
        <row r="2627">
          <cell r="D2627" t="str">
            <v>K.P. Woven Pvt Ltd - Unit 3 -Sales</v>
          </cell>
          <cell r="AB2627" t="str">
            <v>24AAECK6307M2ZE</v>
          </cell>
        </row>
        <row r="2628">
          <cell r="D2628" t="str">
            <v>K.P. Woven Pvt Ltd-Sales</v>
          </cell>
          <cell r="AB2628" t="str">
            <v>24AAECK6307M1ZF</v>
          </cell>
        </row>
        <row r="2629">
          <cell r="D2629" t="str">
            <v>K.P. Woven Pvt Ltd-Sales</v>
          </cell>
          <cell r="AB2629" t="str">
            <v>24AAECK6307M1ZF</v>
          </cell>
        </row>
        <row r="2630">
          <cell r="D2630" t="str">
            <v>K.P. Woven Pvt Ltd-Sales</v>
          </cell>
          <cell r="AB2630" t="str">
            <v>24AAECK6307M1ZF</v>
          </cell>
        </row>
        <row r="2631">
          <cell r="D2631" t="str">
            <v>K.P. Woven Pvt Ltd-Sales</v>
          </cell>
          <cell r="AB2631" t="str">
            <v>24AAECK6307M1ZF</v>
          </cell>
        </row>
        <row r="2632">
          <cell r="D2632" t="str">
            <v>K.P. Woven Pvt Ltd-Sales</v>
          </cell>
          <cell r="AB2632" t="str">
            <v>24AAECK6307M1ZF</v>
          </cell>
        </row>
        <row r="2633">
          <cell r="D2633" t="str">
            <v>K.P. Woven Pvt Ltd-Sales</v>
          </cell>
          <cell r="AB2633" t="str">
            <v>24AAECK6307M1ZF</v>
          </cell>
        </row>
        <row r="2634">
          <cell r="D2634" t="str">
            <v>K.P. Woven Pvt Ltd-Sales</v>
          </cell>
          <cell r="AB2634" t="str">
            <v>24AAECK6307M1ZF</v>
          </cell>
        </row>
        <row r="2635">
          <cell r="D2635" t="str">
            <v>K.P. Woven Pvt Ltd-Sales</v>
          </cell>
          <cell r="AB2635" t="str">
            <v>24AAECK6307M1ZF</v>
          </cell>
        </row>
        <row r="2636">
          <cell r="D2636" t="str">
            <v>Plastene Polyfilms Ltd-Sales</v>
          </cell>
          <cell r="AB2636" t="str">
            <v>24AAFCP2956A1ZR</v>
          </cell>
        </row>
        <row r="2637">
          <cell r="D2637" t="str">
            <v>Plastene Polyfilms Ltd-Sales</v>
          </cell>
          <cell r="AB2637" t="str">
            <v>24AAFCP2956A1ZR</v>
          </cell>
        </row>
        <row r="2638">
          <cell r="D2638" t="str">
            <v>Plastene Polyfilms Ltd-Sales</v>
          </cell>
          <cell r="AB2638" t="str">
            <v>24AAFCP2956A1ZR</v>
          </cell>
        </row>
        <row r="2639">
          <cell r="D2639" t="str">
            <v>Plastene Polyfilms Ltd-Sales</v>
          </cell>
          <cell r="AB2639" t="str">
            <v>24AAFCP2956A1ZR</v>
          </cell>
        </row>
        <row r="2640">
          <cell r="D2640" t="str">
            <v>Plastene Polyfilms Ltd-Sales</v>
          </cell>
          <cell r="AB2640" t="str">
            <v>24AAFCP2956A1ZR</v>
          </cell>
        </row>
        <row r="2641">
          <cell r="D2641" t="str">
            <v>Plastene Polyfilms Ltd-Sales</v>
          </cell>
          <cell r="AB2641" t="str">
            <v>24AAFCP2956A1ZR</v>
          </cell>
        </row>
        <row r="2642">
          <cell r="D2642" t="str">
            <v>Fibco Plastic Industry Llc</v>
          </cell>
          <cell r="AB2642" t="str">
            <v>N.A.</v>
          </cell>
        </row>
        <row r="2643">
          <cell r="D2643" t="str">
            <v>Fibco Plastic Industry Llc</v>
          </cell>
          <cell r="AB2643" t="str">
            <v>N.A.</v>
          </cell>
        </row>
        <row r="2644">
          <cell r="D2644" t="str">
            <v>Fibco Plastic Industry Llc</v>
          </cell>
          <cell r="AB2644" t="str">
            <v>N.A.</v>
          </cell>
        </row>
        <row r="2645">
          <cell r="D2645" t="str">
            <v>Fibco Plastic Industry Llc</v>
          </cell>
          <cell r="AB2645" t="str">
            <v>N.A.</v>
          </cell>
        </row>
        <row r="2646">
          <cell r="D2646" t="str">
            <v>Fibco Plastic Industry Llc</v>
          </cell>
          <cell r="AB2646" t="str">
            <v>N.A.</v>
          </cell>
        </row>
        <row r="2647">
          <cell r="D2647" t="str">
            <v>Fibco Plastic Industry Llc</v>
          </cell>
          <cell r="AB2647" t="str">
            <v>N.A.</v>
          </cell>
        </row>
        <row r="2648">
          <cell r="D2648" t="str">
            <v>Fibco Plastic Industry Llc</v>
          </cell>
          <cell r="AB2648" t="str">
            <v>N.A.</v>
          </cell>
        </row>
        <row r="2649">
          <cell r="D2649" t="str">
            <v>HCP Plastene Bulkpack Limited - Sales</v>
          </cell>
          <cell r="AB2649" t="str">
            <v>24AABCG1282C2Z6</v>
          </cell>
        </row>
        <row r="2650">
          <cell r="D2650" t="str">
            <v>HCP Plastene Bulkpack Limited - Sales</v>
          </cell>
          <cell r="AB2650" t="str">
            <v>24AABCG1282C2Z6</v>
          </cell>
        </row>
        <row r="2651">
          <cell r="D2651" t="str">
            <v>HCP Plastene Bulkpack Limited - Sales</v>
          </cell>
          <cell r="AB2651" t="str">
            <v>24AABCG1282C2Z6</v>
          </cell>
        </row>
        <row r="2652">
          <cell r="D2652" t="str">
            <v>Hcp Plastene Bulkpack Ltd (Unit Iv) - Sales</v>
          </cell>
          <cell r="AB2652" t="str">
            <v>24AABCG1282C2Z6</v>
          </cell>
        </row>
        <row r="2653">
          <cell r="D2653" t="str">
            <v>Hcp Plastene Bulkpack Ltd (Unit Iv) - Sales</v>
          </cell>
          <cell r="AB2653" t="str">
            <v>24AABCG1282C2Z6</v>
          </cell>
        </row>
        <row r="2654">
          <cell r="D2654" t="str">
            <v>Hcp Plastene Bulkpack Ltd (Unit Iv) - Sales</v>
          </cell>
          <cell r="AB2654" t="str">
            <v>24AABCG1282C2Z6</v>
          </cell>
        </row>
        <row r="2655">
          <cell r="D2655" t="str">
            <v>Hcp Plastene Bulkpack Ltd (Unit Iv) - Sales</v>
          </cell>
          <cell r="AB2655" t="str">
            <v>24AABCG1282C2Z6</v>
          </cell>
        </row>
        <row r="2656">
          <cell r="D2656" t="str">
            <v>Hcp Plastene Bulkpack Ltd (Unit Iv) - Sales</v>
          </cell>
          <cell r="AB2656" t="str">
            <v>24AABCG1282C2Z6</v>
          </cell>
        </row>
        <row r="2657">
          <cell r="D2657" t="str">
            <v>Hcp Plastene Bulkpack Ltd (Unit Iv) - Sales</v>
          </cell>
          <cell r="AB2657" t="str">
            <v>24AABCG1282C2Z6</v>
          </cell>
        </row>
        <row r="2658">
          <cell r="D2658" t="str">
            <v>Hcp Plastene Bulkpack Ltd (Unit Iv) - Sales</v>
          </cell>
          <cell r="AB2658" t="str">
            <v>24AABCG1282C2Z6</v>
          </cell>
        </row>
        <row r="2659">
          <cell r="D2659" t="str">
            <v>Hcp Plastene Bulkpack Ltd (Unit Iv) - Sales</v>
          </cell>
          <cell r="AB2659" t="str">
            <v>24AABCG1282C2Z6</v>
          </cell>
        </row>
        <row r="2660">
          <cell r="D2660" t="str">
            <v>Hcp Plastene Bulkpack Ltd (Unit Iv) - Sales</v>
          </cell>
          <cell r="AB2660" t="str">
            <v>24AABCG1282C2Z6</v>
          </cell>
        </row>
        <row r="2661">
          <cell r="D2661" t="str">
            <v>Hcp Plastene Bulkpack Ltd (Unit Iv) - Sales</v>
          </cell>
          <cell r="AB2661" t="str">
            <v>24AABCG1282C2Z6</v>
          </cell>
        </row>
        <row r="2662">
          <cell r="D2662" t="str">
            <v>Hcp Plastene Bulkpack Ltd (Unit Iv) - Sales</v>
          </cell>
          <cell r="AB2662" t="str">
            <v>24AABCG1282C2Z6</v>
          </cell>
        </row>
        <row r="2663">
          <cell r="D2663" t="str">
            <v>Hcp Plastene Bulkpack Ltd (Unit Iv) - Sales</v>
          </cell>
          <cell r="AB2663" t="str">
            <v>24AABCG1282C2Z6</v>
          </cell>
        </row>
        <row r="2664">
          <cell r="D2664" t="str">
            <v>K.P. Woven Pvt Ltd - Unit 3 -Sales</v>
          </cell>
          <cell r="AB2664" t="str">
            <v>24AAECK6307M2ZE</v>
          </cell>
        </row>
        <row r="2665">
          <cell r="D2665" t="str">
            <v>K.P. Woven Pvt Ltd - Unit 3 -Sales</v>
          </cell>
          <cell r="AB2665" t="str">
            <v>24AAECK6307M2ZE</v>
          </cell>
        </row>
        <row r="2666">
          <cell r="D2666" t="str">
            <v>K.P. Woven Pvt Ltd - Unit 3 -Sales</v>
          </cell>
          <cell r="AB2666" t="str">
            <v>24AAECK6307M2ZE</v>
          </cell>
        </row>
        <row r="2667">
          <cell r="D2667" t="str">
            <v>K.P. Woven Pvt Ltd - Unit 3 -Sales</v>
          </cell>
          <cell r="AB2667" t="str">
            <v>24AAECK6307M2ZE</v>
          </cell>
        </row>
        <row r="2668">
          <cell r="D2668" t="str">
            <v>K.P. Woven Pvt Ltd - Unit 3 -Sales</v>
          </cell>
          <cell r="AB2668" t="str">
            <v>24AAECK6307M2ZE</v>
          </cell>
        </row>
        <row r="2669">
          <cell r="D2669" t="str">
            <v>Plastene Polyfilms Ltd-Sales</v>
          </cell>
          <cell r="AB2669" t="str">
            <v>24AAFCP2956A1ZR</v>
          </cell>
        </row>
        <row r="2670">
          <cell r="D2670" t="str">
            <v>Plastene Polyfilms Ltd-Sales</v>
          </cell>
          <cell r="AB2670" t="str">
            <v>24AAFCP2956A1ZR</v>
          </cell>
        </row>
        <row r="2671">
          <cell r="D2671" t="str">
            <v>Plastene Polyfilms Ltd-Sales</v>
          </cell>
          <cell r="AB2671" t="str">
            <v>24AAFCP2956A1ZR</v>
          </cell>
        </row>
        <row r="2672">
          <cell r="D2672" t="str">
            <v>Plastene Polyfilms Ltd-Sales</v>
          </cell>
          <cell r="AB2672" t="str">
            <v>24AAFCP2956A1ZR</v>
          </cell>
        </row>
        <row r="2673">
          <cell r="D2673" t="str">
            <v>Plastene Polyfilms Ltd-Sales</v>
          </cell>
          <cell r="AB2673" t="str">
            <v>24AAFCP2956A1ZR</v>
          </cell>
        </row>
        <row r="2674">
          <cell r="D2674" t="str">
            <v>Plastene Polyfilms Ltd-Sales</v>
          </cell>
          <cell r="AB2674" t="str">
            <v>24AAFCP2956A1ZR</v>
          </cell>
        </row>
        <row r="2675">
          <cell r="D2675" t="str">
            <v>Plastene Polyfilms Ltd-Sales</v>
          </cell>
          <cell r="AB2675" t="str">
            <v>24AAFCP2956A1ZR</v>
          </cell>
        </row>
        <row r="2676">
          <cell r="D2676" t="str">
            <v>Plastene Polyfilms Ltd-Sales</v>
          </cell>
          <cell r="AB2676" t="str">
            <v>24AAFCP2956A1ZR</v>
          </cell>
        </row>
        <row r="2677">
          <cell r="D2677" t="str">
            <v>Plastene Polyfilms Ltd-Sales</v>
          </cell>
          <cell r="AB2677" t="str">
            <v>24AAFCP2956A1ZR</v>
          </cell>
        </row>
        <row r="2678">
          <cell r="D2678" t="str">
            <v>Plastene Polyfilms Ltd-Sales</v>
          </cell>
          <cell r="AB2678" t="str">
            <v>24AAFCP2956A1ZR</v>
          </cell>
        </row>
        <row r="2679">
          <cell r="D2679" t="str">
            <v>Plastene Polyfilms Ltd-Sales</v>
          </cell>
          <cell r="AB2679" t="str">
            <v>24AAFCP2956A1ZR</v>
          </cell>
        </row>
        <row r="2680">
          <cell r="D2680" t="str">
            <v>Plastene Polyfilms Ltd-Sales</v>
          </cell>
          <cell r="AB2680" t="str">
            <v>24AAFCP2956A1ZR</v>
          </cell>
        </row>
        <row r="2681">
          <cell r="D2681" t="str">
            <v>Rafia Industrial S.A.</v>
          </cell>
          <cell r="AB2681" t="str">
            <v>N.A.</v>
          </cell>
        </row>
        <row r="2682">
          <cell r="D2682" t="str">
            <v>Hcp Plastene Bulkpack Ltd (Unit Iv) - Sales</v>
          </cell>
          <cell r="AB2682" t="str">
            <v>24AABCG1282C2Z6</v>
          </cell>
        </row>
        <row r="2683">
          <cell r="D2683" t="str">
            <v>Hcp Plastene Bulkpack Ltd (Unit Iv) - Sales</v>
          </cell>
          <cell r="AB2683" t="str">
            <v>24AABCG1282C2Z6</v>
          </cell>
        </row>
        <row r="2684">
          <cell r="D2684" t="str">
            <v>Hcp Plastene Bulkpack Ltd (Unit Iv) - Sales</v>
          </cell>
          <cell r="AB2684" t="str">
            <v>24AABCG1282C2Z6</v>
          </cell>
        </row>
        <row r="2685">
          <cell r="D2685" t="str">
            <v>Hcp Plastene Bulkpack Ltd (Unit Iv) - Sales</v>
          </cell>
          <cell r="AB2685" t="str">
            <v>24AABCG1282C2Z6</v>
          </cell>
        </row>
        <row r="2686">
          <cell r="D2686" t="str">
            <v>Hcp Plastene Bulkpack Ltd (Unit Iv) - Sales</v>
          </cell>
          <cell r="AB2686" t="str">
            <v>24AABCG1282C2Z6</v>
          </cell>
        </row>
        <row r="2687">
          <cell r="D2687" t="str">
            <v>Hcp Plastene Bulkpack Ltd (Unit Iv) - Sales</v>
          </cell>
          <cell r="AB2687" t="str">
            <v>24AABCG1282C2Z6</v>
          </cell>
        </row>
        <row r="2688">
          <cell r="D2688" t="str">
            <v>Hcp Plastene Bulkpack Ltd (Unit Iv) - Sales</v>
          </cell>
          <cell r="AB2688" t="str">
            <v>24AABCG1282C2Z6</v>
          </cell>
        </row>
        <row r="2689">
          <cell r="D2689" t="str">
            <v>Hcp Plastene Bulkpack Ltd (Unit Iv) - Sales</v>
          </cell>
          <cell r="AB2689" t="str">
            <v>24AABCG1282C2Z6</v>
          </cell>
        </row>
        <row r="2690">
          <cell r="D2690" t="str">
            <v>Hcp Plastene Bulkpack Ltd (Unit Iv) - Sales</v>
          </cell>
          <cell r="AB2690" t="str">
            <v>24AABCG1282C2Z6</v>
          </cell>
        </row>
        <row r="2691">
          <cell r="D2691" t="str">
            <v>Hcp Plastene Bulkpack Ltd (Unit Iv) - Sales</v>
          </cell>
          <cell r="AB2691" t="str">
            <v>24AABCG1282C2Z6</v>
          </cell>
        </row>
        <row r="2692">
          <cell r="D2692" t="str">
            <v>Hcp Plastene Bulkpack Ltd (Unit Iv) - Sales</v>
          </cell>
          <cell r="AB2692" t="str">
            <v>24AABCG1282C2Z6</v>
          </cell>
        </row>
        <row r="2693">
          <cell r="D2693" t="str">
            <v>Hcp Plastene Bulkpack Ltd (Unit Iv) - Sales</v>
          </cell>
          <cell r="AB2693" t="str">
            <v>24AABCG1282C2Z6</v>
          </cell>
        </row>
        <row r="2694">
          <cell r="D2694" t="str">
            <v>Hcp Plastene Bulkpack Ltd (Unit Iv) - Sales</v>
          </cell>
          <cell r="AB2694" t="str">
            <v>24AABCG1282C2Z6</v>
          </cell>
        </row>
        <row r="2695">
          <cell r="D2695" t="str">
            <v>Hcp Plastene Bulkpack Ltd (Unit Iv) - Sales</v>
          </cell>
          <cell r="AB2695" t="str">
            <v>24AABCG1282C2Z6</v>
          </cell>
        </row>
        <row r="2696">
          <cell r="D2696" t="str">
            <v>Hcp Plastene Bulkpack Ltd (Unit Iv) - Sales</v>
          </cell>
          <cell r="AB2696" t="str">
            <v>24AABCG1282C2Z6</v>
          </cell>
        </row>
        <row r="2697">
          <cell r="D2697" t="str">
            <v>K.P. Woven Pvt Ltd - Unit 3 -Sales</v>
          </cell>
          <cell r="AB2697" t="str">
            <v>24AAECK6307M2ZE</v>
          </cell>
        </row>
        <row r="2698">
          <cell r="D2698" t="str">
            <v>K.P. Woven Pvt Ltd - Unit 3 -Sales</v>
          </cell>
          <cell r="AB2698" t="str">
            <v>24AAECK6307M2ZE</v>
          </cell>
        </row>
        <row r="2699">
          <cell r="D2699" t="str">
            <v>K.P. Woven Pvt Ltd - Unit 3 -Sales</v>
          </cell>
          <cell r="AB2699" t="str">
            <v>24AAECK6307M2ZE</v>
          </cell>
        </row>
        <row r="2700">
          <cell r="D2700" t="str">
            <v>K.P. Woven Pvt Ltd - Unit 3 -Sales</v>
          </cell>
          <cell r="AB2700" t="str">
            <v>24AAECK6307M2ZE</v>
          </cell>
        </row>
        <row r="2701">
          <cell r="D2701" t="str">
            <v>K.P. Woven Pvt Ltd-Sales</v>
          </cell>
          <cell r="AB2701" t="str">
            <v>24AAECK6307M1ZF</v>
          </cell>
        </row>
        <row r="2702">
          <cell r="D2702" t="str">
            <v>K.P. Woven Pvt Ltd-Sales</v>
          </cell>
          <cell r="AB2702" t="str">
            <v>24AAECK6307M1ZF</v>
          </cell>
        </row>
        <row r="2703">
          <cell r="D2703" t="str">
            <v>K.P. Woven Pvt Ltd-Sales</v>
          </cell>
          <cell r="AB2703" t="str">
            <v>24AAECK6307M1ZF</v>
          </cell>
        </row>
        <row r="2704">
          <cell r="D2704" t="str">
            <v>K.P. Woven Pvt Ltd-Sales</v>
          </cell>
          <cell r="AB2704" t="str">
            <v>24AAECK6307M1ZF</v>
          </cell>
        </row>
        <row r="2705">
          <cell r="D2705" t="str">
            <v>K.P. Woven Pvt Ltd-Sales</v>
          </cell>
          <cell r="AB2705" t="str">
            <v>24AAECK6307M1ZF</v>
          </cell>
        </row>
        <row r="2706">
          <cell r="D2706" t="str">
            <v>K.P. Woven Pvt Ltd-Sales</v>
          </cell>
          <cell r="AB2706" t="str">
            <v>24AAECK6307M1ZF</v>
          </cell>
        </row>
        <row r="2707">
          <cell r="D2707" t="str">
            <v>K.P. Woven Pvt Ltd-Sales</v>
          </cell>
          <cell r="AB2707" t="str">
            <v>24AAECK6307M1ZF</v>
          </cell>
        </row>
        <row r="2708">
          <cell r="D2708" t="str">
            <v>Plastene Polyfilms Ltd-Sales</v>
          </cell>
          <cell r="AB2708" t="str">
            <v>24AAFCP2956A1ZR</v>
          </cell>
        </row>
        <row r="2709">
          <cell r="D2709" t="str">
            <v>Plastene Polyfilms Ltd-Sales</v>
          </cell>
          <cell r="AB2709" t="str">
            <v>24AAFCP2956A1ZR</v>
          </cell>
        </row>
        <row r="2710">
          <cell r="D2710" t="str">
            <v>Plastene Polyfilms Ltd-Sales</v>
          </cell>
          <cell r="AB2710" t="str">
            <v>24AAFCP2956A1ZR</v>
          </cell>
        </row>
        <row r="2711">
          <cell r="D2711" t="str">
            <v>Plastene Polyfilms Ltd-Sales</v>
          </cell>
          <cell r="AB2711" t="str">
            <v>24AAFCP2956A1ZR</v>
          </cell>
        </row>
        <row r="2712">
          <cell r="D2712" t="str">
            <v>Plastene Polyfilms Ltd-Sales</v>
          </cell>
          <cell r="AB2712" t="str">
            <v>24AAFCP2956A1ZR</v>
          </cell>
        </row>
        <row r="2713">
          <cell r="D2713" t="str">
            <v>Plastene Polyfilms Ltd-Sales</v>
          </cell>
          <cell r="AB2713" t="str">
            <v>24AAFCP2956A1ZR</v>
          </cell>
        </row>
        <row r="2714">
          <cell r="D2714" t="str">
            <v>Plastene Polyfilms Ltd-Sales</v>
          </cell>
          <cell r="AB2714" t="str">
            <v>24AAFCP2956A1ZR</v>
          </cell>
        </row>
        <row r="2715">
          <cell r="D2715" t="str">
            <v>Plastene Polyfilms Ltd-Sales</v>
          </cell>
          <cell r="AB2715" t="str">
            <v>24AAFCP2956A1ZR</v>
          </cell>
        </row>
        <row r="2716">
          <cell r="D2716" t="str">
            <v>Plastene Polyfilms Ltd-Sales</v>
          </cell>
          <cell r="AB2716" t="str">
            <v>24AAFCP2956A1ZR</v>
          </cell>
        </row>
        <row r="2717">
          <cell r="D2717" t="str">
            <v>Plastene Polyfilms Ltd-Sales</v>
          </cell>
          <cell r="AB2717" t="str">
            <v>24AAFCP2956A1ZR</v>
          </cell>
        </row>
        <row r="2718">
          <cell r="D2718" t="str">
            <v>Plastene Polyfilms Ltd-Sales</v>
          </cell>
          <cell r="AB2718" t="str">
            <v>24AAFCP2956A1ZR</v>
          </cell>
        </row>
        <row r="2719">
          <cell r="D2719" t="str">
            <v>Qpac Ltd</v>
          </cell>
          <cell r="AB2719" t="str">
            <v>N.A.</v>
          </cell>
        </row>
        <row r="2720">
          <cell r="D2720" t="str">
            <v>Hcp Plastene Bulkpack Ltd (Unit Iv) - Sales</v>
          </cell>
          <cell r="AB2720" t="str">
            <v>24AABCG1282C2Z6</v>
          </cell>
        </row>
        <row r="2721">
          <cell r="D2721" t="str">
            <v>Hcp Plastene Bulkpack Ltd (Unit Iv) - Sales</v>
          </cell>
          <cell r="AB2721" t="str">
            <v>24AABCG1282C2Z6</v>
          </cell>
        </row>
        <row r="2722">
          <cell r="D2722" t="str">
            <v>Hcp Plastene Bulkpack Ltd (Unit Iv) - Sales</v>
          </cell>
          <cell r="AB2722" t="str">
            <v>24AABCG1282C2Z6</v>
          </cell>
        </row>
        <row r="2723">
          <cell r="D2723" t="str">
            <v>Hcp Plastene Bulkpack Ltd (Unit Iv) - Sales</v>
          </cell>
          <cell r="AB2723" t="str">
            <v>24AABCG1282C2Z6</v>
          </cell>
        </row>
        <row r="2724">
          <cell r="D2724" t="str">
            <v>Hcp Plastene Bulkpack Ltd (Unit Iv) - Sales</v>
          </cell>
          <cell r="AB2724" t="str">
            <v>24AABCG1282C2Z6</v>
          </cell>
        </row>
        <row r="2725">
          <cell r="D2725" t="str">
            <v>Hcp Plastene Bulkpack Ltd (Unit Iv) - Sales</v>
          </cell>
          <cell r="AB2725" t="str">
            <v>24AABCG1282C2Z6</v>
          </cell>
        </row>
        <row r="2726">
          <cell r="D2726" t="str">
            <v>Hcp Plastene Bulkpack Ltd (Unit Iv) - Sales</v>
          </cell>
          <cell r="AB2726" t="str">
            <v>24AABCG1282C2Z6</v>
          </cell>
        </row>
        <row r="2727">
          <cell r="D2727" t="str">
            <v>Hcp Plastene Bulkpack Ltd (Unit Iv) - Sales</v>
          </cell>
          <cell r="AB2727" t="str">
            <v>24AABCG1282C2Z6</v>
          </cell>
        </row>
        <row r="2728">
          <cell r="D2728" t="str">
            <v>Hcp Plastene Bulkpack Ltd (Unit Iv) - Sales</v>
          </cell>
          <cell r="AB2728" t="str">
            <v>24AABCG1282C2Z6</v>
          </cell>
        </row>
        <row r="2729">
          <cell r="D2729" t="str">
            <v>Hcp Plastene Bulkpack Ltd (Unit Iv) - Sales</v>
          </cell>
          <cell r="AB2729" t="str">
            <v>24AABCG1282C2Z6</v>
          </cell>
        </row>
        <row r="2730">
          <cell r="D2730" t="str">
            <v>Hcp Plastene Bulkpack Ltd (Unit Iv) - Sales</v>
          </cell>
          <cell r="AB2730" t="str">
            <v>24AABCG1282C2Z6</v>
          </cell>
        </row>
        <row r="2731">
          <cell r="D2731" t="str">
            <v>Hcp Plastene Bulkpack Ltd (Unit Iv) - Sales</v>
          </cell>
          <cell r="AB2731" t="str">
            <v>24AABCG1282C2Z6</v>
          </cell>
        </row>
        <row r="2732">
          <cell r="D2732" t="str">
            <v>Hcp Plastene Bulkpack Ltd (Unit Iv) - Sales</v>
          </cell>
          <cell r="AB2732" t="str">
            <v>24AABCG1282C2Z6</v>
          </cell>
        </row>
        <row r="2733">
          <cell r="D2733" t="str">
            <v>Jain Bulk Pack - Ahmedabad</v>
          </cell>
          <cell r="AB2733" t="str">
            <v>24AFOPG7793M1ZO</v>
          </cell>
        </row>
        <row r="2734">
          <cell r="D2734" t="str">
            <v>Jain Bulk Pack - Ahmedabad</v>
          </cell>
          <cell r="AB2734" t="str">
            <v>24AFOPG7793M1ZO</v>
          </cell>
        </row>
        <row r="2735">
          <cell r="D2735" t="str">
            <v>Jain Bulk Pack - Ahmedabad</v>
          </cell>
          <cell r="AB2735" t="str">
            <v>24AFOPG7793M1ZO</v>
          </cell>
        </row>
        <row r="2736">
          <cell r="D2736" t="str">
            <v>Jain Bulk Pack - Ahmedabad</v>
          </cell>
          <cell r="AB2736" t="str">
            <v>24AFOPG7793M1ZO</v>
          </cell>
        </row>
        <row r="2737">
          <cell r="D2737" t="str">
            <v>K.P. Woven Pvt Ltd-Sales</v>
          </cell>
          <cell r="AB2737" t="str">
            <v>24AAECK6307M1ZF</v>
          </cell>
        </row>
        <row r="2738">
          <cell r="D2738" t="str">
            <v>Plastene Polyfilms Ltd-Sales</v>
          </cell>
          <cell r="AB2738" t="str">
            <v>24AAFCP2956A1ZR</v>
          </cell>
        </row>
        <row r="2739">
          <cell r="D2739" t="str">
            <v>Plastene Polyfilms Ltd-Sales</v>
          </cell>
          <cell r="AB2739" t="str">
            <v>24AAFCP2956A1ZR</v>
          </cell>
        </row>
        <row r="2740">
          <cell r="D2740" t="str">
            <v>Plastene Polyfilms Ltd-Sales</v>
          </cell>
          <cell r="AB2740" t="str">
            <v>24AAFCP2956A1ZR</v>
          </cell>
        </row>
        <row r="2741">
          <cell r="D2741" t="str">
            <v>Plastene Polyfilms Ltd-Sales</v>
          </cell>
          <cell r="AB2741" t="str">
            <v>24AAFCP2956A1ZR</v>
          </cell>
        </row>
        <row r="2742">
          <cell r="D2742" t="str">
            <v>Plastene Polyfilms Ltd-Sales</v>
          </cell>
          <cell r="AB2742" t="str">
            <v>24AAFCP2956A1ZR</v>
          </cell>
        </row>
        <row r="2743">
          <cell r="D2743" t="str">
            <v>Plastene Polyfilms Ltd-Sales</v>
          </cell>
          <cell r="AB2743" t="str">
            <v>24AAFCP2956A1ZR</v>
          </cell>
        </row>
        <row r="2744">
          <cell r="D2744" t="str">
            <v>Plastene Polyfilms Ltd-Sales</v>
          </cell>
          <cell r="AB2744" t="str">
            <v>24AAFCP2956A1ZR</v>
          </cell>
        </row>
        <row r="2745">
          <cell r="D2745" t="str">
            <v>Plastene Polyfilms Ltd-Sales</v>
          </cell>
          <cell r="AB2745" t="str">
            <v>24AAFCP2956A1ZR</v>
          </cell>
        </row>
        <row r="2746">
          <cell r="D2746" t="str">
            <v>Plastene Polyfilms Ltd-Sales</v>
          </cell>
          <cell r="AB2746" t="str">
            <v>24AAFCP2956A1ZR</v>
          </cell>
        </row>
        <row r="2747">
          <cell r="D2747" t="str">
            <v>Deepak Overseas</v>
          </cell>
          <cell r="AB2747" t="str">
            <v>24AGUPS7962F1ZO</v>
          </cell>
        </row>
        <row r="2748">
          <cell r="D2748" t="str">
            <v>HCP Plastene Bulkpack Limited - Sales</v>
          </cell>
          <cell r="AB2748" t="str">
            <v>24AABCG1282C2Z6</v>
          </cell>
        </row>
        <row r="2749">
          <cell r="D2749" t="str">
            <v>Hcp Plastene Bulkpack Ltd (Unit Iv) - Sales</v>
          </cell>
          <cell r="AB2749" t="str">
            <v>24AABCG1282C2Z6</v>
          </cell>
        </row>
        <row r="2750">
          <cell r="D2750" t="str">
            <v>Hcp Plastene Bulkpack Ltd (Unit Iv) - Sales</v>
          </cell>
          <cell r="AB2750" t="str">
            <v>24AABCG1282C2Z6</v>
          </cell>
        </row>
        <row r="2751">
          <cell r="D2751" t="str">
            <v>Hcp Plastene Bulkpack Ltd (Unit Iv) - Sales</v>
          </cell>
          <cell r="AB2751" t="str">
            <v>24AABCG1282C2Z6</v>
          </cell>
        </row>
        <row r="2752">
          <cell r="D2752" t="str">
            <v>Hcp Plastene Bulkpack Ltd (Unit Iv) - Sales</v>
          </cell>
          <cell r="AB2752" t="str">
            <v>24AABCG1282C2Z6</v>
          </cell>
        </row>
        <row r="2753">
          <cell r="D2753" t="str">
            <v>Hcp Plastene Bulkpack Ltd (Unit Iv) - Sales</v>
          </cell>
          <cell r="AB2753" t="str">
            <v>24AABCG1282C2Z6</v>
          </cell>
        </row>
        <row r="2754">
          <cell r="D2754" t="str">
            <v>Hcp Plastene Bulkpack Ltd (Unit Iv) - Sales</v>
          </cell>
          <cell r="AB2754" t="str">
            <v>24AABCG1282C2Z6</v>
          </cell>
        </row>
        <row r="2755">
          <cell r="D2755" t="str">
            <v>Hcp Plastene Bulkpack Ltd (Unit Iv) - Sales</v>
          </cell>
          <cell r="AB2755" t="str">
            <v>24AABCG1282C2Z6</v>
          </cell>
        </row>
        <row r="2756">
          <cell r="D2756" t="str">
            <v>Hcp Plastene Bulkpack Ltd (Unit Iv) - Sales</v>
          </cell>
          <cell r="AB2756" t="str">
            <v>24AABCG1282C2Z6</v>
          </cell>
        </row>
        <row r="2757">
          <cell r="D2757" t="str">
            <v>Hcp Plastene Bulkpack Ltd (Unit Iv) - Sales</v>
          </cell>
          <cell r="AB2757" t="str">
            <v>24AABCG1282C2Z6</v>
          </cell>
        </row>
        <row r="2758">
          <cell r="D2758" t="str">
            <v>Hcp Plastene Bulkpack Ltd (Unit Iv) - Sales</v>
          </cell>
          <cell r="AB2758" t="str">
            <v>24AABCG1282C2Z6</v>
          </cell>
        </row>
        <row r="2759">
          <cell r="D2759" t="str">
            <v>Hcp Plastene Bulkpack Ltd (Unit Iv) - Sales</v>
          </cell>
          <cell r="AB2759" t="str">
            <v>24AABCG1282C2Z6</v>
          </cell>
        </row>
        <row r="2760">
          <cell r="D2760" t="str">
            <v>Hcp Plastene Bulkpack Ltd (Unit Iv) - Sales</v>
          </cell>
          <cell r="AB2760" t="str">
            <v>24AABCG1282C2Z6</v>
          </cell>
        </row>
        <row r="2761">
          <cell r="D2761" t="str">
            <v>K.P. Woven Pvt Ltd - Unit 3 -Sales</v>
          </cell>
          <cell r="AB2761" t="str">
            <v>24AAECK6307M2ZE</v>
          </cell>
        </row>
        <row r="2762">
          <cell r="D2762" t="str">
            <v>K.P. Woven Pvt Ltd - Unit 3 -Sales</v>
          </cell>
          <cell r="AB2762" t="str">
            <v>24AAECK6307M2ZE</v>
          </cell>
        </row>
        <row r="2763">
          <cell r="D2763" t="str">
            <v>K.P. Woven Pvt Ltd - Unit 3 -Sales</v>
          </cell>
          <cell r="AB2763" t="str">
            <v>24AAECK6307M2ZE</v>
          </cell>
        </row>
        <row r="2764">
          <cell r="D2764" t="str">
            <v>K.P. Woven Pvt Ltd - Unit 3 -Sales</v>
          </cell>
          <cell r="AB2764" t="str">
            <v>24AAECK6307M2ZE</v>
          </cell>
        </row>
        <row r="2765">
          <cell r="D2765" t="str">
            <v>K.P. Woven Pvt Ltd-Sales</v>
          </cell>
          <cell r="AB2765" t="str">
            <v>24AAECK6307M1ZF</v>
          </cell>
        </row>
        <row r="2766">
          <cell r="D2766" t="str">
            <v>K.P. Woven Pvt Ltd-Sales</v>
          </cell>
          <cell r="AB2766" t="str">
            <v>24AAECK6307M1ZF</v>
          </cell>
        </row>
        <row r="2767">
          <cell r="D2767" t="str">
            <v>K.P. Woven Pvt Ltd-Sales</v>
          </cell>
          <cell r="AB2767" t="str">
            <v>24AAECK6307M1ZF</v>
          </cell>
        </row>
        <row r="2768">
          <cell r="D2768" t="str">
            <v>K.P. Woven Pvt Ltd-Sales</v>
          </cell>
          <cell r="AB2768" t="str">
            <v>24AAECK6307M1ZF</v>
          </cell>
        </row>
        <row r="2769">
          <cell r="D2769" t="str">
            <v>K.P. Woven Pvt Ltd-Sales</v>
          </cell>
          <cell r="AB2769" t="str">
            <v>24AAECK6307M1ZF</v>
          </cell>
        </row>
        <row r="2770">
          <cell r="D2770" t="str">
            <v>K.P. Woven Pvt Ltd-Sales</v>
          </cell>
          <cell r="AB2770" t="str">
            <v>24AAECK6307M1ZF</v>
          </cell>
        </row>
        <row r="2771">
          <cell r="D2771" t="str">
            <v>K.P. Woven Pvt Ltd-Sales</v>
          </cell>
          <cell r="AB2771" t="str">
            <v>24AAECK6307M1ZF</v>
          </cell>
        </row>
        <row r="2772">
          <cell r="D2772" t="str">
            <v>Oswal Extrusion Ltd- KASEZ-Sales</v>
          </cell>
          <cell r="AB2772" t="str">
            <v>24AAACO7290H4ZB</v>
          </cell>
        </row>
        <row r="2773">
          <cell r="D2773" t="str">
            <v>Plastene Polyfilms Ltd-Sales</v>
          </cell>
          <cell r="AB2773" t="str">
            <v>24AAFCP2956A1ZR</v>
          </cell>
        </row>
        <row r="2774">
          <cell r="D2774" t="str">
            <v>Plastene Polyfilms Ltd-Sales</v>
          </cell>
          <cell r="AB2774" t="str">
            <v>24AAFCP2956A1ZR</v>
          </cell>
        </row>
        <row r="2775">
          <cell r="D2775" t="str">
            <v>Plastene Polyfilms Ltd-Sales</v>
          </cell>
          <cell r="AB2775" t="str">
            <v>24AAFCP2956A1ZR</v>
          </cell>
        </row>
        <row r="2776">
          <cell r="D2776" t="str">
            <v>Plastene Polyfilms Ltd-Sales</v>
          </cell>
          <cell r="AB2776" t="str">
            <v>24AAFCP2956A1ZR</v>
          </cell>
        </row>
        <row r="2777">
          <cell r="D2777" t="str">
            <v>Plastene Polyfilms Ltd-Sales</v>
          </cell>
          <cell r="AB2777" t="str">
            <v>24AAFCP2956A1ZR</v>
          </cell>
        </row>
        <row r="2778">
          <cell r="D2778" t="str">
            <v>Plastene Polyfilms Ltd-Sales</v>
          </cell>
          <cell r="AB2778" t="str">
            <v>24AAFCP2956A1ZR</v>
          </cell>
        </row>
        <row r="2779">
          <cell r="D2779" t="str">
            <v>Plastene Polyfilms Ltd-Sales</v>
          </cell>
          <cell r="AB2779" t="str">
            <v>24AAFCP2956A1ZR</v>
          </cell>
        </row>
        <row r="2780">
          <cell r="D2780" t="str">
            <v>Plastene Polyfilms Ltd-Sales</v>
          </cell>
          <cell r="AB2780" t="str">
            <v>24AAFCP2956A1ZR</v>
          </cell>
        </row>
        <row r="2781">
          <cell r="D2781" t="str">
            <v>Plastene Polyfilms Ltd-Sales</v>
          </cell>
          <cell r="AB2781" t="str">
            <v>24AAFCP2956A1ZR</v>
          </cell>
        </row>
        <row r="2782">
          <cell r="D2782" t="str">
            <v>Plastene Polyfilms Ltd-Sales</v>
          </cell>
          <cell r="AB2782" t="str">
            <v>24AAFCP2956A1ZR</v>
          </cell>
        </row>
        <row r="2783">
          <cell r="D2783" t="str">
            <v>Plastene Polyfilms Ltd-Sales</v>
          </cell>
          <cell r="AB2783" t="str">
            <v>24AAFCP2956A1ZR</v>
          </cell>
        </row>
        <row r="2784">
          <cell r="D2784" t="str">
            <v>Plastene Polyfilms Ltd-Sales</v>
          </cell>
          <cell r="AB2784" t="str">
            <v>24AAFCP2956A1ZR</v>
          </cell>
        </row>
        <row r="2785">
          <cell r="D2785" t="str">
            <v>Hcp Plastene Bulkpack Ltd (Unit Iv) - Sales</v>
          </cell>
          <cell r="AB2785" t="str">
            <v>24AABCG1282C2Z6</v>
          </cell>
        </row>
        <row r="2786">
          <cell r="D2786" t="str">
            <v>Hcp Plastene Bulkpack Ltd (Unit Iv) - Sales</v>
          </cell>
          <cell r="AB2786" t="str">
            <v>24AABCG1282C2Z6</v>
          </cell>
        </row>
        <row r="2787">
          <cell r="D2787" t="str">
            <v>Hcp Plastene Bulkpack Ltd (Unit Iv) - Sales</v>
          </cell>
          <cell r="AB2787" t="str">
            <v>24AABCG1282C2Z6</v>
          </cell>
        </row>
        <row r="2788">
          <cell r="D2788" t="str">
            <v>Hcp Plastene Bulkpack Ltd (Unit Iv) - Sales</v>
          </cell>
          <cell r="AB2788" t="str">
            <v>24AABCG1282C2Z6</v>
          </cell>
        </row>
        <row r="2789">
          <cell r="D2789" t="str">
            <v>Hcp Plastene Bulkpack Ltd (Unit Iv) - Sales</v>
          </cell>
          <cell r="AB2789" t="str">
            <v>24AABCG1282C2Z6</v>
          </cell>
        </row>
        <row r="2790">
          <cell r="D2790" t="str">
            <v>Hcp Plastene Bulkpack Ltd (Unit Iv) - Sales</v>
          </cell>
          <cell r="AB2790" t="str">
            <v>24AABCG1282C2Z6</v>
          </cell>
        </row>
        <row r="2791">
          <cell r="D2791" t="str">
            <v>Hcp Plastene Bulkpack Ltd (Unit Iv) - Sales</v>
          </cell>
          <cell r="AB2791" t="str">
            <v>24AABCG1282C2Z6</v>
          </cell>
        </row>
        <row r="2792">
          <cell r="D2792" t="str">
            <v>Hcp Plastene Bulkpack Ltd (Unit Iv) - Sales</v>
          </cell>
          <cell r="AB2792" t="str">
            <v>24AABCG1282C2Z6</v>
          </cell>
        </row>
        <row r="2793">
          <cell r="D2793" t="str">
            <v>Hcp Plastene Bulkpack Ltd (Unit Iv) - Sales</v>
          </cell>
          <cell r="AB2793" t="str">
            <v>24AABCG1282C2Z6</v>
          </cell>
        </row>
        <row r="2794">
          <cell r="D2794" t="str">
            <v>Hcp Plastene Bulkpack Ltd (Unit Iv) - Sales</v>
          </cell>
          <cell r="AB2794" t="str">
            <v>24AABCG1282C2Z6</v>
          </cell>
        </row>
        <row r="2795">
          <cell r="D2795" t="str">
            <v>Hcp Plastene Bulkpack Ltd (Unit Iv) - Sales</v>
          </cell>
          <cell r="AB2795" t="str">
            <v>24AABCG1282C2Z6</v>
          </cell>
        </row>
        <row r="2796">
          <cell r="D2796" t="str">
            <v>Hcp Plastene Bulkpack Ltd (Unit Iv) - Sales</v>
          </cell>
          <cell r="AB2796" t="str">
            <v>24AABCG1282C2Z6</v>
          </cell>
        </row>
        <row r="2797">
          <cell r="D2797" t="str">
            <v>K.P. Woven Pvt Ltd - Unit 3 -Sales</v>
          </cell>
          <cell r="AB2797" t="str">
            <v>24AAECK6307M2ZE</v>
          </cell>
        </row>
        <row r="2798">
          <cell r="D2798" t="str">
            <v>K.P. Woven Pvt Ltd - Unit 3 -Sales</v>
          </cell>
          <cell r="AB2798" t="str">
            <v>24AAECK6307M2ZE</v>
          </cell>
        </row>
        <row r="2799">
          <cell r="D2799" t="str">
            <v>K.P. Woven Pvt Ltd-Sales</v>
          </cell>
          <cell r="AB2799" t="str">
            <v>24AAECK6307M1ZF</v>
          </cell>
        </row>
        <row r="2800">
          <cell r="D2800" t="str">
            <v>K.P. Woven Pvt Ltd-Sales</v>
          </cell>
          <cell r="AB2800" t="str">
            <v>24AAECK6307M1ZF</v>
          </cell>
        </row>
        <row r="2801">
          <cell r="D2801" t="str">
            <v>K.P. Woven Pvt Ltd-Sales</v>
          </cell>
          <cell r="AB2801" t="str">
            <v>24AAECK6307M1ZF</v>
          </cell>
        </row>
        <row r="2802">
          <cell r="D2802" t="str">
            <v>K.P. Woven Pvt Ltd-Sales</v>
          </cell>
          <cell r="AB2802" t="str">
            <v>24AAECK6307M1ZF</v>
          </cell>
        </row>
        <row r="2803">
          <cell r="D2803" t="str">
            <v>K.P. Woven Pvt Ltd-Sales</v>
          </cell>
          <cell r="AB2803" t="str">
            <v>24AAECK6307M1ZF</v>
          </cell>
        </row>
        <row r="2804">
          <cell r="D2804" t="str">
            <v>K.P. Woven Pvt Ltd-Sales</v>
          </cell>
          <cell r="AB2804" t="str">
            <v>24AAECK6307M1ZF</v>
          </cell>
        </row>
        <row r="2805">
          <cell r="D2805" t="str">
            <v>K.P. Woven Pvt Ltd-Sales</v>
          </cell>
          <cell r="AB2805" t="str">
            <v>24AAECK6307M1ZF</v>
          </cell>
        </row>
        <row r="2806">
          <cell r="D2806" t="str">
            <v>K.P. Woven Pvt Ltd-Sales</v>
          </cell>
          <cell r="AB2806" t="str">
            <v>24AAECK6307M1ZF</v>
          </cell>
        </row>
        <row r="2807">
          <cell r="D2807" t="str">
            <v>K.P. Woven Pvt Ltd-Sales</v>
          </cell>
          <cell r="AB2807" t="str">
            <v>24AAECK6307M1ZF</v>
          </cell>
        </row>
        <row r="2808">
          <cell r="D2808" t="str">
            <v>K.P. Woven Pvt Ltd-Sales</v>
          </cell>
          <cell r="AB2808" t="str">
            <v>24AAECK6307M1ZF</v>
          </cell>
        </row>
        <row r="2809">
          <cell r="D2809" t="str">
            <v>K.P. Woven Pvt Ltd-Sales</v>
          </cell>
          <cell r="AB2809" t="str">
            <v>24AAECK6307M1ZF</v>
          </cell>
        </row>
        <row r="2810">
          <cell r="D2810" t="str">
            <v>K.P. Woven Pvt Ltd-Sales</v>
          </cell>
          <cell r="AB2810" t="str">
            <v>24AAECK6307M1ZF</v>
          </cell>
        </row>
        <row r="2811">
          <cell r="D2811" t="str">
            <v>K.P. Woven Pvt Ltd-Sales</v>
          </cell>
          <cell r="AB2811" t="str">
            <v>24AAECK6307M1ZF</v>
          </cell>
        </row>
        <row r="2812">
          <cell r="D2812" t="str">
            <v>K.P. Woven Pvt Ltd-Sales</v>
          </cell>
          <cell r="AB2812" t="str">
            <v>24AAECK6307M1ZF</v>
          </cell>
        </row>
        <row r="2813">
          <cell r="D2813" t="str">
            <v>K.P. Woven Pvt Ltd-Sales</v>
          </cell>
          <cell r="AB2813" t="str">
            <v>24AAECK6307M1ZF</v>
          </cell>
        </row>
        <row r="2814">
          <cell r="D2814" t="str">
            <v>Plastene Polyfilms Ltd-Sales</v>
          </cell>
          <cell r="AB2814" t="str">
            <v>24AAFCP2956A1ZR</v>
          </cell>
        </row>
        <row r="2815">
          <cell r="D2815" t="str">
            <v>Plastene Polyfilms Ltd-Sales</v>
          </cell>
          <cell r="AB2815" t="str">
            <v>24AAFCP2956A1ZR</v>
          </cell>
        </row>
        <row r="2816">
          <cell r="D2816" t="str">
            <v>Plastene Polyfilms Ltd-Sales</v>
          </cell>
          <cell r="AB2816" t="str">
            <v>24AAFCP2956A1ZR</v>
          </cell>
        </row>
        <row r="2817">
          <cell r="D2817" t="str">
            <v>Plastene Polyfilms Ltd-Sales</v>
          </cell>
          <cell r="AB2817" t="str">
            <v>24AAFCP2956A1ZR</v>
          </cell>
        </row>
        <row r="2818">
          <cell r="D2818" t="str">
            <v>Plastene Polyfilms Ltd-Sales</v>
          </cell>
          <cell r="AB2818" t="str">
            <v>24AAFCP2956A1ZR</v>
          </cell>
        </row>
        <row r="2819">
          <cell r="D2819" t="str">
            <v>Plastene Polyfilms Ltd-Sales</v>
          </cell>
          <cell r="AB2819" t="str">
            <v>24AAFCP2956A1ZR</v>
          </cell>
        </row>
        <row r="2820">
          <cell r="D2820" t="str">
            <v>Plastene Polyfilms Ltd-Sales</v>
          </cell>
          <cell r="AB2820" t="str">
            <v>24AAFCP2956A1ZR</v>
          </cell>
        </row>
        <row r="2821">
          <cell r="D2821" t="str">
            <v>Plastene Polyfilms Ltd-Sales</v>
          </cell>
          <cell r="AB2821" t="str">
            <v>24AAFCP2956A1ZR</v>
          </cell>
        </row>
        <row r="2822">
          <cell r="D2822" t="str">
            <v>Rafia Industrial S.A.</v>
          </cell>
          <cell r="AB2822" t="str">
            <v>N.A.</v>
          </cell>
        </row>
        <row r="2823">
          <cell r="D2823" t="str">
            <v>Comercial Pra Cafe Ltda - Manaus</v>
          </cell>
          <cell r="AB2823" t="str">
            <v>N.A.</v>
          </cell>
        </row>
        <row r="2824">
          <cell r="D2824" t="str">
            <v>Hcp Plastene Bulkpack Ltd (Unit Iv) - Sales</v>
          </cell>
          <cell r="AB2824" t="str">
            <v>24AABCG1282C2Z6</v>
          </cell>
        </row>
        <row r="2825">
          <cell r="D2825" t="str">
            <v>Hcp Plastene Bulkpack Ltd (Unit Iv) - Sales</v>
          </cell>
          <cell r="AB2825" t="str">
            <v>24AABCG1282C2Z6</v>
          </cell>
        </row>
        <row r="2826">
          <cell r="D2826" t="str">
            <v>Hcp Plastene Bulkpack Ltd (Unit Iv) - Sales</v>
          </cell>
          <cell r="AB2826" t="str">
            <v>24AABCG1282C2Z6</v>
          </cell>
        </row>
        <row r="2827">
          <cell r="D2827" t="str">
            <v>Hcp Plastene Bulkpack Ltd (Unit Iv) - Sales</v>
          </cell>
          <cell r="AB2827" t="str">
            <v>24AABCG1282C2Z6</v>
          </cell>
        </row>
        <row r="2828">
          <cell r="D2828" t="str">
            <v>Hcp Plastene Bulkpack Ltd (Unit Iv) - Sales</v>
          </cell>
          <cell r="AB2828" t="str">
            <v>24AABCG1282C2Z6</v>
          </cell>
        </row>
        <row r="2829">
          <cell r="D2829" t="str">
            <v>Hcp Plastene Bulkpack Ltd (Unit Iv) - Sales</v>
          </cell>
          <cell r="AB2829" t="str">
            <v>24AABCG1282C2Z6</v>
          </cell>
        </row>
        <row r="2830">
          <cell r="D2830" t="str">
            <v>Hcp Plastene Bulkpack Ltd (Unit Iv) - Sales</v>
          </cell>
          <cell r="AB2830" t="str">
            <v>24AABCG1282C2Z6</v>
          </cell>
        </row>
        <row r="2831">
          <cell r="D2831" t="str">
            <v>Hcp Plastene Bulkpack Ltd (Unit Iv) - Sales</v>
          </cell>
          <cell r="AB2831" t="str">
            <v>24AABCG1282C2Z6</v>
          </cell>
        </row>
        <row r="2832">
          <cell r="D2832" t="str">
            <v>Hcp Plastene Bulkpack Ltd (Unit Iv) - Sales</v>
          </cell>
          <cell r="AB2832" t="str">
            <v>24AABCG1282C2Z6</v>
          </cell>
        </row>
        <row r="2833">
          <cell r="D2833" t="str">
            <v>Hcp Plastene Bulkpack Ltd (Unit Iv) - Sales</v>
          </cell>
          <cell r="AB2833" t="str">
            <v>24AABCG1282C2Z6</v>
          </cell>
        </row>
        <row r="2834">
          <cell r="D2834" t="str">
            <v>Hcp Plastene Bulkpack Ltd (Unit Iv) - Sales</v>
          </cell>
          <cell r="AB2834" t="str">
            <v>24AABCG1282C2Z6</v>
          </cell>
        </row>
        <row r="2835">
          <cell r="D2835" t="str">
            <v>Juta A.S.</v>
          </cell>
          <cell r="AB2835" t="str">
            <v>N.A.</v>
          </cell>
        </row>
        <row r="2836">
          <cell r="D2836" t="str">
            <v>K.P. Woven Pvt Ltd - Unit 3 -Sales</v>
          </cell>
          <cell r="AB2836" t="str">
            <v>24AAECK6307M2ZE</v>
          </cell>
        </row>
        <row r="2837">
          <cell r="D2837" t="str">
            <v>Plastene Polyfilms Ltd-Sales</v>
          </cell>
          <cell r="AB2837" t="str">
            <v>24AAFCP2956A1ZR</v>
          </cell>
        </row>
        <row r="2838">
          <cell r="D2838" t="str">
            <v>Plastene Polyfilms Ltd-Sales</v>
          </cell>
          <cell r="AB2838" t="str">
            <v>24AAFCP2956A1ZR</v>
          </cell>
        </row>
        <row r="2839">
          <cell r="D2839" t="str">
            <v>Plastene Polyfilms Ltd-Sales</v>
          </cell>
          <cell r="AB2839" t="str">
            <v>24AAFCP2956A1ZR</v>
          </cell>
        </row>
        <row r="2840">
          <cell r="D2840" t="str">
            <v>Plastene Polyfilms Ltd-Sales</v>
          </cell>
          <cell r="AB2840" t="str">
            <v>24AAFCP2956A1ZR</v>
          </cell>
        </row>
        <row r="2841">
          <cell r="D2841" t="str">
            <v>Plastene Polyfilms Ltd-Sales</v>
          </cell>
          <cell r="AB2841" t="str">
            <v>24AAFCP2956A1ZR</v>
          </cell>
        </row>
        <row r="2842">
          <cell r="D2842" t="str">
            <v>Plastene Polyfilms Ltd-Sales</v>
          </cell>
          <cell r="AB2842" t="str">
            <v>24AAFCP2956A1ZR</v>
          </cell>
        </row>
        <row r="2843">
          <cell r="D2843" t="str">
            <v>Plastene Polyfilms Ltd-Sales</v>
          </cell>
          <cell r="AB2843" t="str">
            <v>24AAFCP2956A1ZR</v>
          </cell>
        </row>
        <row r="2844">
          <cell r="D2844" t="str">
            <v>Plastene Polyfilms Ltd-Sales</v>
          </cell>
          <cell r="AB2844" t="str">
            <v>24AAFCP2956A1ZR</v>
          </cell>
        </row>
        <row r="2845">
          <cell r="D2845" t="str">
            <v>Plastene Polyfilms Ltd-Sales</v>
          </cell>
          <cell r="AB2845" t="str">
            <v>24AAFCP2956A1ZR</v>
          </cell>
        </row>
        <row r="2846">
          <cell r="D2846" t="str">
            <v>Deepak Overseas</v>
          </cell>
          <cell r="AB2846" t="str">
            <v>24AGUPS7962F1ZO</v>
          </cell>
        </row>
        <row r="2847">
          <cell r="D2847" t="str">
            <v>Deepak Overseas</v>
          </cell>
          <cell r="AB2847" t="str">
            <v>24AGUPS7962F1ZO</v>
          </cell>
        </row>
        <row r="2848">
          <cell r="D2848" t="str">
            <v>Deepak Overseas</v>
          </cell>
          <cell r="AB2848" t="str">
            <v>24AGUPS7962F1ZO</v>
          </cell>
        </row>
        <row r="2849">
          <cell r="D2849" t="str">
            <v>Hcp Plastene Bulkpack Ltd (Unit Iv) - Sales</v>
          </cell>
          <cell r="AB2849" t="str">
            <v>24AABCG1282C2Z6</v>
          </cell>
        </row>
        <row r="2850">
          <cell r="D2850" t="str">
            <v>Hcp Plastene Bulkpack Ltd (Unit Iv) - Sales</v>
          </cell>
          <cell r="AB2850" t="str">
            <v>24AABCG1282C2Z6</v>
          </cell>
        </row>
        <row r="2851">
          <cell r="D2851" t="str">
            <v>Hcp Plastene Bulkpack Ltd (Unit Iv) - Sales</v>
          </cell>
          <cell r="AB2851" t="str">
            <v>24AABCG1282C2Z6</v>
          </cell>
        </row>
        <row r="2852">
          <cell r="D2852" t="str">
            <v>Hcp Plastene Bulkpack Ltd (Unit Iv) - Sales</v>
          </cell>
          <cell r="AB2852" t="str">
            <v>24AABCG1282C2Z6</v>
          </cell>
        </row>
        <row r="2853">
          <cell r="D2853" t="str">
            <v>Hcp Plastene Bulkpack Ltd (Unit Iv) - Sales</v>
          </cell>
          <cell r="AB2853" t="str">
            <v>24AABCG1282C2Z6</v>
          </cell>
        </row>
        <row r="2854">
          <cell r="D2854" t="str">
            <v>Hcp Plastene Bulkpack Ltd (Unit Iv) - Sales</v>
          </cell>
          <cell r="AB2854" t="str">
            <v>24AABCG1282C2Z6</v>
          </cell>
        </row>
        <row r="2855">
          <cell r="D2855" t="str">
            <v>Hcp Plastene Bulkpack Ltd (Unit Iv) - Sales</v>
          </cell>
          <cell r="AB2855" t="str">
            <v>24AABCG1282C2Z6</v>
          </cell>
        </row>
        <row r="2856">
          <cell r="D2856" t="str">
            <v>Hcp Plastene Bulkpack Ltd (Unit Iv) - Sales</v>
          </cell>
          <cell r="AB2856" t="str">
            <v>24AABCG1282C2Z6</v>
          </cell>
        </row>
        <row r="2857">
          <cell r="D2857" t="str">
            <v>Hcp Plastene Bulkpack Ltd (Unit Iv) - Sales</v>
          </cell>
          <cell r="AB2857" t="str">
            <v>24AABCG1282C2Z6</v>
          </cell>
        </row>
        <row r="2858">
          <cell r="D2858" t="str">
            <v>Hcp Plastene Bulkpack Ltd (Unit Iv) - Sales</v>
          </cell>
          <cell r="AB2858" t="str">
            <v>24AABCG1282C2Z6</v>
          </cell>
        </row>
        <row r="2859">
          <cell r="D2859" t="str">
            <v>Hcp Plastene Bulkpack Ltd (Unit Iv) - Sales</v>
          </cell>
          <cell r="AB2859" t="str">
            <v>24AABCG1282C2Z6</v>
          </cell>
        </row>
        <row r="2860">
          <cell r="D2860" t="str">
            <v>Hcp Plastene Bulkpack Ltd (Unit Iv) - Sales</v>
          </cell>
          <cell r="AB2860" t="str">
            <v>24AABCG1282C2Z6</v>
          </cell>
        </row>
        <row r="2861">
          <cell r="D2861" t="str">
            <v>Hcp Plastene Bulkpack Ltd (Unit Iv) - Sales</v>
          </cell>
          <cell r="AB2861" t="str">
            <v>24AABCG1282C2Z6</v>
          </cell>
        </row>
        <row r="2862">
          <cell r="D2862" t="str">
            <v>Hcp Plastene Bulkpack Ltd (Unit Iv) - Sales</v>
          </cell>
          <cell r="AB2862" t="str">
            <v>24AABCG1282C2Z6</v>
          </cell>
        </row>
        <row r="2863">
          <cell r="D2863" t="str">
            <v>K.P. Woven Pvt Ltd - Unit 3 -Sales</v>
          </cell>
          <cell r="AB2863" t="str">
            <v>24AAECK6307M2ZE</v>
          </cell>
        </row>
        <row r="2864">
          <cell r="D2864" t="str">
            <v>K.P. Woven Pvt Ltd - Unit 3 -Sales</v>
          </cell>
          <cell r="AB2864" t="str">
            <v>24AAECK6307M2ZE</v>
          </cell>
        </row>
        <row r="2865">
          <cell r="D2865" t="str">
            <v>K.P. Woven Pvt Ltd - Unit 3 -Sales</v>
          </cell>
          <cell r="AB2865" t="str">
            <v>24AAECK6307M2ZE</v>
          </cell>
        </row>
        <row r="2866">
          <cell r="D2866" t="str">
            <v>K.P. Woven Pvt Ltd - Unit 3 -Sales</v>
          </cell>
          <cell r="AB2866" t="str">
            <v>24AAECK6307M2ZE</v>
          </cell>
        </row>
        <row r="2867">
          <cell r="D2867" t="str">
            <v>K.P. Woven Pvt Ltd - Unit 3 -Sales</v>
          </cell>
          <cell r="AB2867" t="str">
            <v>24AAECK6307M2ZE</v>
          </cell>
        </row>
        <row r="2868">
          <cell r="D2868" t="str">
            <v>Plastene Polyfilms Ltd-Sales</v>
          </cell>
          <cell r="AB2868" t="str">
            <v>24AAFCP2956A1ZR</v>
          </cell>
        </row>
        <row r="2869">
          <cell r="D2869" t="str">
            <v>Plastene Polyfilms Ltd-Sales</v>
          </cell>
          <cell r="AB2869" t="str">
            <v>24AAFCP2956A1ZR</v>
          </cell>
        </row>
        <row r="2870">
          <cell r="D2870" t="str">
            <v>Plastene Polyfilms Ltd-Sales</v>
          </cell>
          <cell r="AB2870" t="str">
            <v>24AAFCP2956A1ZR</v>
          </cell>
        </row>
        <row r="2871">
          <cell r="D2871" t="str">
            <v>Plastene Polyfilms Ltd-Sales</v>
          </cell>
          <cell r="AB2871" t="str">
            <v>24AAFCP2956A1ZR</v>
          </cell>
        </row>
        <row r="2872">
          <cell r="D2872" t="str">
            <v>Plastene Polyfilms Ltd-Sales</v>
          </cell>
          <cell r="AB2872" t="str">
            <v>24AAFCP2956A1ZR</v>
          </cell>
        </row>
        <row r="2873">
          <cell r="D2873" t="str">
            <v>Plastene Polyfilms Ltd-Sales</v>
          </cell>
          <cell r="AB2873" t="str">
            <v>24AAFCP2956A1ZR</v>
          </cell>
        </row>
        <row r="2874">
          <cell r="D2874" t="str">
            <v>Plastene Polyfilms Ltd-Sales</v>
          </cell>
          <cell r="AB2874" t="str">
            <v>24AAFCP2956A1ZR</v>
          </cell>
        </row>
        <row r="2875">
          <cell r="D2875" t="str">
            <v>Plastene Polyfilms Ltd-Sales</v>
          </cell>
          <cell r="AB2875" t="str">
            <v>24AAFCP2956A1ZR</v>
          </cell>
        </row>
        <row r="2876">
          <cell r="D2876" t="str">
            <v>Plastene Polyfilms Ltd-Sales</v>
          </cell>
          <cell r="AB2876" t="str">
            <v>24AAFCP2956A1ZR</v>
          </cell>
        </row>
        <row r="2877">
          <cell r="D2877" t="str">
            <v>Plastene Polyfilms Ltd-Sales</v>
          </cell>
          <cell r="AB2877" t="str">
            <v>24AAFCP2956A1ZR</v>
          </cell>
        </row>
        <row r="2878">
          <cell r="D2878" t="str">
            <v>Plastene Polyfilms Ltd-Sales</v>
          </cell>
          <cell r="AB2878" t="str">
            <v>24AAFCP2956A1ZR</v>
          </cell>
        </row>
        <row r="2879">
          <cell r="D2879" t="str">
            <v>Plastene Polyfilms Ltd-Sales</v>
          </cell>
          <cell r="AB2879" t="str">
            <v>24AAFCP2956A1ZR</v>
          </cell>
        </row>
        <row r="2880">
          <cell r="D2880" t="str">
            <v>Rafia Industrial S.A.</v>
          </cell>
          <cell r="AB2880" t="str">
            <v>N.A.</v>
          </cell>
        </row>
        <row r="2881">
          <cell r="D2881" t="str">
            <v>Hcp Plastene Bulkpack Ltd (Unit Iv) - Sales</v>
          </cell>
          <cell r="AB2881" t="str">
            <v>24AABCG1282C2Z6</v>
          </cell>
        </row>
        <row r="2882">
          <cell r="D2882" t="str">
            <v>Hcp Plastene Bulkpack Ltd (Unit Iv) - Sales</v>
          </cell>
          <cell r="AB2882" t="str">
            <v>24AABCG1282C2Z6</v>
          </cell>
        </row>
        <row r="2883">
          <cell r="D2883" t="str">
            <v>Hcp Plastene Bulkpack Ltd (Unit Iv) - Sales</v>
          </cell>
          <cell r="AB2883" t="str">
            <v>24AABCG1282C2Z6</v>
          </cell>
        </row>
        <row r="2884">
          <cell r="D2884" t="str">
            <v>Hcp Plastene Bulkpack Ltd (Unit Iv) - Sales</v>
          </cell>
          <cell r="AB2884" t="str">
            <v>24AABCG1282C2Z6</v>
          </cell>
        </row>
        <row r="2885">
          <cell r="D2885" t="str">
            <v>Hcp Plastene Bulkpack Ltd (Unit Iv) - Sales</v>
          </cell>
          <cell r="AB2885" t="str">
            <v>24AABCG1282C2Z6</v>
          </cell>
        </row>
        <row r="2886">
          <cell r="D2886" t="str">
            <v>Hcp Plastene Bulkpack Ltd (Unit Iv) - Sales</v>
          </cell>
          <cell r="AB2886" t="str">
            <v>24AABCG1282C2Z6</v>
          </cell>
        </row>
        <row r="2887">
          <cell r="D2887" t="str">
            <v>Hcp Plastene Bulkpack Ltd (Unit Iv) - Sales</v>
          </cell>
          <cell r="AB2887" t="str">
            <v>24AABCG1282C2Z6</v>
          </cell>
        </row>
        <row r="2888">
          <cell r="D2888" t="str">
            <v>Hcp Plastene Bulkpack Ltd (Unit Iv) - Sales</v>
          </cell>
          <cell r="AB2888" t="str">
            <v>24AABCG1282C2Z6</v>
          </cell>
        </row>
        <row r="2889">
          <cell r="D2889" t="str">
            <v>Hcp Plastene Bulkpack Ltd (Unit Iv) - Sales</v>
          </cell>
          <cell r="AB2889" t="str">
            <v>24AABCG1282C2Z6</v>
          </cell>
        </row>
        <row r="2890">
          <cell r="D2890" t="str">
            <v>Hcp Plastene Bulkpack Ltd (Unit Iv) - Sales</v>
          </cell>
          <cell r="AB2890" t="str">
            <v>24AABCG1282C2Z6</v>
          </cell>
        </row>
        <row r="2891">
          <cell r="D2891" t="str">
            <v>Hcp Plastene Bulkpack Ltd (Unit Iv) - Sales</v>
          </cell>
          <cell r="AB2891" t="str">
            <v>24AABCG1282C2Z6</v>
          </cell>
        </row>
        <row r="2892">
          <cell r="D2892" t="str">
            <v>Hcp Plastene Bulkpack Ltd (Unit Iv) - Sales</v>
          </cell>
          <cell r="AB2892" t="str">
            <v>24AABCG1282C2Z6</v>
          </cell>
        </row>
        <row r="2893">
          <cell r="D2893" t="str">
            <v>Hcp Plastene Bulkpack Ltd (Unit Iv) - Sales</v>
          </cell>
          <cell r="AB2893" t="str">
            <v>24AABCG1282C2Z6</v>
          </cell>
        </row>
        <row r="2894">
          <cell r="D2894" t="str">
            <v>Jain Bulk Pack - Ahmedabad</v>
          </cell>
          <cell r="AB2894" t="str">
            <v>24AFOPG7793M1ZO</v>
          </cell>
        </row>
        <row r="2895">
          <cell r="D2895" t="str">
            <v>Jain Bulk Pack - Ahmedabad</v>
          </cell>
          <cell r="AB2895" t="str">
            <v>24AFOPG7793M1ZO</v>
          </cell>
        </row>
        <row r="2896">
          <cell r="D2896" t="str">
            <v>K.P. Woven Pvt Ltd - Unit 3 -Sales</v>
          </cell>
          <cell r="AB2896" t="str">
            <v>24AAECK6307M2ZE</v>
          </cell>
        </row>
        <row r="2897">
          <cell r="D2897" t="str">
            <v>K.P. Woven Pvt Ltd - Unit 3 -Sales</v>
          </cell>
          <cell r="AB2897" t="str">
            <v>24AAECK6307M2ZE</v>
          </cell>
        </row>
        <row r="2898">
          <cell r="D2898" t="str">
            <v>K.P. Woven Pvt Ltd - Unit 3 -Sales</v>
          </cell>
          <cell r="AB2898" t="str">
            <v>24AAECK6307M2ZE</v>
          </cell>
        </row>
        <row r="2899">
          <cell r="D2899" t="str">
            <v>K.P. Woven Pvt Ltd - Unit 3 -Sales</v>
          </cell>
          <cell r="AB2899" t="str">
            <v>24AAECK6307M2ZE</v>
          </cell>
        </row>
        <row r="2900">
          <cell r="D2900" t="str">
            <v>Lionel Samson Packaging Co Pty Ltd.</v>
          </cell>
          <cell r="AB2900" t="str">
            <v>N.A.</v>
          </cell>
        </row>
        <row r="2901">
          <cell r="D2901" t="str">
            <v>Plastene Polyfilms Ltd-Sales</v>
          </cell>
          <cell r="AB2901" t="str">
            <v>24AAFCP2956A1ZR</v>
          </cell>
        </row>
        <row r="2902">
          <cell r="D2902" t="str">
            <v>Plastene Polyfilms Ltd-Sales</v>
          </cell>
          <cell r="AB2902" t="str">
            <v>24AAFCP2956A1ZR</v>
          </cell>
        </row>
        <row r="2903">
          <cell r="D2903" t="str">
            <v>Plastene Polyfilms Ltd-Sales</v>
          </cell>
          <cell r="AB2903" t="str">
            <v>24AAFCP2956A1ZR</v>
          </cell>
        </row>
        <row r="2904">
          <cell r="D2904" t="str">
            <v>Plastene Polyfilms Ltd-Sales</v>
          </cell>
          <cell r="AB2904" t="str">
            <v>24AAFCP2956A1ZR</v>
          </cell>
        </row>
        <row r="2905">
          <cell r="D2905" t="str">
            <v>Plastene Polyfilms Ltd-Sales</v>
          </cell>
          <cell r="AB2905" t="str">
            <v>24AAFCP2956A1ZR</v>
          </cell>
        </row>
        <row r="2906">
          <cell r="D2906" t="str">
            <v>Plastene Polyfilms Ltd-Sales</v>
          </cell>
          <cell r="AB2906" t="str">
            <v>24AAFCP2956A1ZR</v>
          </cell>
        </row>
        <row r="2907">
          <cell r="D2907" t="str">
            <v>Plastene Polyfilms Ltd-Sales</v>
          </cell>
          <cell r="AB2907" t="str">
            <v>24AAFCP2956A1ZR</v>
          </cell>
        </row>
        <row r="2908">
          <cell r="D2908" t="str">
            <v>Plastene Polyfilms Ltd-Sales</v>
          </cell>
          <cell r="AB2908" t="str">
            <v>24AAFCP2956A1ZR</v>
          </cell>
        </row>
        <row r="2909">
          <cell r="D2909" t="str">
            <v>Plastene Polyfilms Ltd-Sales</v>
          </cell>
          <cell r="AB2909" t="str">
            <v>24AAFCP2956A1ZR</v>
          </cell>
        </row>
        <row r="2910">
          <cell r="D2910" t="str">
            <v>Plastene Polyfilms Ltd-Sales</v>
          </cell>
          <cell r="AB2910" t="str">
            <v>24AAFCP2956A1ZR</v>
          </cell>
        </row>
        <row r="2911">
          <cell r="D2911" t="str">
            <v>20 Microns Limited</v>
          </cell>
          <cell r="AB2911" t="str">
            <v>24AAACZ0580B1ZS</v>
          </cell>
        </row>
        <row r="2912">
          <cell r="D2912" t="str">
            <v>HCP Plastene Bulkpack Limited - Sales</v>
          </cell>
          <cell r="AB2912" t="str">
            <v>24AABCG1282C2Z6</v>
          </cell>
        </row>
        <row r="2913">
          <cell r="D2913" t="str">
            <v>HCP Plastene Bulkpack Limited - Sales</v>
          </cell>
          <cell r="AB2913" t="str">
            <v>24AABCG1282C2Z6</v>
          </cell>
        </row>
        <row r="2914">
          <cell r="D2914" t="str">
            <v>Hcp Plastene Bulkpack Ltd (Unit Iv) - Sales</v>
          </cell>
          <cell r="AB2914" t="str">
            <v>24AABCG1282C2Z6</v>
          </cell>
        </row>
        <row r="2915">
          <cell r="D2915" t="str">
            <v>Hcp Plastene Bulkpack Ltd (Unit Iv) - Sales</v>
          </cell>
          <cell r="AB2915" t="str">
            <v>24AABCG1282C2Z6</v>
          </cell>
        </row>
        <row r="2916">
          <cell r="D2916" t="str">
            <v>Hcp Plastene Bulkpack Ltd (Unit Iv) - Sales</v>
          </cell>
          <cell r="AB2916" t="str">
            <v>24AABCG1282C2Z6</v>
          </cell>
        </row>
        <row r="2917">
          <cell r="D2917" t="str">
            <v>Hcp Plastene Bulkpack Ltd (Unit Iv) - Sales</v>
          </cell>
          <cell r="AB2917" t="str">
            <v>24AABCG1282C2Z6</v>
          </cell>
        </row>
        <row r="2918">
          <cell r="D2918" t="str">
            <v>Hcp Plastene Bulkpack Ltd (Unit Iv) - Sales</v>
          </cell>
          <cell r="AB2918" t="str">
            <v>24AABCG1282C2Z6</v>
          </cell>
        </row>
        <row r="2919">
          <cell r="D2919" t="str">
            <v>Hcp Plastene Bulkpack Ltd (Unit Iv) - Sales</v>
          </cell>
          <cell r="AB2919" t="str">
            <v>24AABCG1282C2Z6</v>
          </cell>
        </row>
        <row r="2920">
          <cell r="D2920" t="str">
            <v>Hcp Plastene Bulkpack Ltd (Unit Iv) - Sales</v>
          </cell>
          <cell r="AB2920" t="str">
            <v>24AABCG1282C2Z6</v>
          </cell>
        </row>
        <row r="2921">
          <cell r="D2921" t="str">
            <v>Hcp Plastene Bulkpack Ltd (Unit Iv) - Sales</v>
          </cell>
          <cell r="AB2921" t="str">
            <v>24AABCG1282C2Z6</v>
          </cell>
        </row>
        <row r="2922">
          <cell r="D2922" t="str">
            <v>Hcp Plastene Bulkpack Ltd (Unit Iv) - Sales</v>
          </cell>
          <cell r="AB2922" t="str">
            <v>24AABCG1282C2Z6</v>
          </cell>
        </row>
        <row r="2923">
          <cell r="D2923" t="str">
            <v>Hcp Plastene Bulkpack Ltd (Unit Iv) - Sales</v>
          </cell>
          <cell r="AB2923" t="str">
            <v>24AABCG1282C2Z6</v>
          </cell>
        </row>
        <row r="2924">
          <cell r="D2924" t="str">
            <v>Hcp Plastene Bulkpack Ltd (Unit Iv) - Sales</v>
          </cell>
          <cell r="AB2924" t="str">
            <v>24AABCG1282C2Z6</v>
          </cell>
        </row>
        <row r="2925">
          <cell r="D2925" t="str">
            <v>Hcp Plastene Bulkpack Ltd (Unit Iv) - Sales</v>
          </cell>
          <cell r="AB2925" t="str">
            <v>24AABCG1282C2Z6</v>
          </cell>
        </row>
        <row r="2926">
          <cell r="D2926" t="str">
            <v>K.P. Woven Pvt Ltd-Sales</v>
          </cell>
          <cell r="AB2926" t="str">
            <v>24AAECK6307M1ZF</v>
          </cell>
        </row>
        <row r="2927">
          <cell r="D2927" t="str">
            <v>K.P. Woven Pvt Ltd-Sales</v>
          </cell>
          <cell r="AB2927" t="str">
            <v>24AAECK6307M1ZF</v>
          </cell>
        </row>
        <row r="2928">
          <cell r="D2928" t="str">
            <v>K.P. Woven Pvt Ltd-Sales</v>
          </cell>
          <cell r="AB2928" t="str">
            <v>24AAECK6307M1ZF</v>
          </cell>
        </row>
        <row r="2929">
          <cell r="D2929" t="str">
            <v>K.P. Woven Pvt Ltd-Sales</v>
          </cell>
          <cell r="AB2929" t="str">
            <v>24AAECK6307M1ZF</v>
          </cell>
        </row>
        <row r="2930">
          <cell r="D2930" t="str">
            <v>K.P. Woven Pvt Ltd-Sales</v>
          </cell>
          <cell r="AB2930" t="str">
            <v>24AAECK6307M1ZF</v>
          </cell>
        </row>
        <row r="2931">
          <cell r="D2931" t="str">
            <v>K.P. Woven Pvt Ltd-Sales</v>
          </cell>
          <cell r="AB2931" t="str">
            <v>24AAECK6307M1ZF</v>
          </cell>
        </row>
        <row r="2932">
          <cell r="D2932" t="str">
            <v>M D PLASTIC</v>
          </cell>
          <cell r="AB2932" t="str">
            <v>06ABJFM5382K1ZT</v>
          </cell>
        </row>
        <row r="2933">
          <cell r="D2933" t="str">
            <v>Mercados Mundiales Import Export, S.A.U</v>
          </cell>
          <cell r="AB2933" t="str">
            <v>N.A.</v>
          </cell>
        </row>
        <row r="2934">
          <cell r="D2934" t="str">
            <v>Plastene Polyfilms Ltd-Sales</v>
          </cell>
          <cell r="AB2934" t="str">
            <v>24AAFCP2956A1ZR</v>
          </cell>
        </row>
        <row r="2935">
          <cell r="D2935" t="str">
            <v>Plastene Polyfilms Ltd-Sales</v>
          </cell>
          <cell r="AB2935" t="str">
            <v>24AAFCP2956A1ZR</v>
          </cell>
        </row>
        <row r="2936">
          <cell r="D2936" t="str">
            <v>Plastene Polyfilms Ltd-Sales</v>
          </cell>
          <cell r="AB2936" t="str">
            <v>24AAFCP2956A1ZR</v>
          </cell>
        </row>
        <row r="2937">
          <cell r="D2937" t="str">
            <v>Plastene Polyfilms Ltd-Sales</v>
          </cell>
          <cell r="AB2937" t="str">
            <v>24AAFCP2956A1ZR</v>
          </cell>
        </row>
        <row r="2938">
          <cell r="D2938" t="str">
            <v>Plastene Polyfilms Ltd-Sales</v>
          </cell>
          <cell r="AB2938" t="str">
            <v>24AAFCP2956A1ZR</v>
          </cell>
        </row>
        <row r="2939">
          <cell r="D2939" t="str">
            <v>Plastene Polyfilms Ltd-Sales</v>
          </cell>
          <cell r="AB2939" t="str">
            <v>24AAFCP2956A1ZR</v>
          </cell>
        </row>
        <row r="2940">
          <cell r="D2940" t="str">
            <v>Plastene Polyfilms Ltd-Sales</v>
          </cell>
          <cell r="AB2940" t="str">
            <v>24AAFCP2956A1ZR</v>
          </cell>
        </row>
        <row r="2941">
          <cell r="D2941" t="str">
            <v>Plastene Polyfilms Ltd-Sales</v>
          </cell>
          <cell r="AB2941" t="str">
            <v>24AAFCP2956A1ZR</v>
          </cell>
        </row>
        <row r="2942">
          <cell r="D2942" t="str">
            <v>Plastene Polyfilms Ltd-Sales</v>
          </cell>
          <cell r="AB2942" t="str">
            <v>24AAFCP2956A1ZR</v>
          </cell>
        </row>
        <row r="2943">
          <cell r="D2943" t="str">
            <v>Plastene Polyfilms Ltd-Sales</v>
          </cell>
          <cell r="AB2943" t="str">
            <v>24AAFCP2956A1ZR</v>
          </cell>
        </row>
        <row r="2944">
          <cell r="D2944" t="str">
            <v>Plastene Polyfilms Ltd-Sales</v>
          </cell>
          <cell r="AB2944" t="str">
            <v>24AAFCP2956A1ZR</v>
          </cell>
        </row>
        <row r="2945">
          <cell r="D2945" t="str">
            <v>Hcp Plastene Bulkpack Ltd (Unit Iv) - Sales</v>
          </cell>
          <cell r="AB2945" t="str">
            <v>24AABCG1282C2Z6</v>
          </cell>
        </row>
        <row r="2946">
          <cell r="D2946" t="str">
            <v>Hcp Plastene Bulkpack Ltd (Unit Iv) - Sales</v>
          </cell>
          <cell r="AB2946" t="str">
            <v>24AABCG1282C2Z6</v>
          </cell>
        </row>
        <row r="2947">
          <cell r="D2947" t="str">
            <v>Hcp Plastene Bulkpack Ltd (Unit Iv) - Sales</v>
          </cell>
          <cell r="AB2947" t="str">
            <v>24AABCG1282C2Z6</v>
          </cell>
        </row>
        <row r="2948">
          <cell r="D2948" t="str">
            <v>Hcp Plastene Bulkpack Ltd (Unit Iv) - Sales</v>
          </cell>
          <cell r="AB2948" t="str">
            <v>24AABCG1282C2Z6</v>
          </cell>
        </row>
        <row r="2949">
          <cell r="D2949" t="str">
            <v>Hcp Plastene Bulkpack Ltd (Unit Iv) - Sales</v>
          </cell>
          <cell r="AB2949" t="str">
            <v>24AABCG1282C2Z6</v>
          </cell>
        </row>
        <row r="2950">
          <cell r="D2950" t="str">
            <v>Hcp Plastene Bulkpack Ltd (Unit Iv) - Sales</v>
          </cell>
          <cell r="AB2950" t="str">
            <v>24AABCG1282C2Z6</v>
          </cell>
        </row>
        <row r="2951">
          <cell r="D2951" t="str">
            <v>Hcp Plastene Bulkpack Ltd (Unit Iv) - Sales</v>
          </cell>
          <cell r="AB2951" t="str">
            <v>24AABCG1282C2Z6</v>
          </cell>
        </row>
        <row r="2952">
          <cell r="D2952" t="str">
            <v>Hcp Plastene Bulkpack Ltd (Unit Iv) - Sales</v>
          </cell>
          <cell r="AB2952" t="str">
            <v>24AABCG1282C2Z6</v>
          </cell>
        </row>
        <row r="2953">
          <cell r="D2953" t="str">
            <v>Hcp Plastene Bulkpack Ltd (Unit Iv) - Sales</v>
          </cell>
          <cell r="AB2953" t="str">
            <v>24AABCG1282C2Z6</v>
          </cell>
        </row>
        <row r="2954">
          <cell r="D2954" t="str">
            <v>Hcp Plastene Bulkpack Ltd (Unit Iv) - Sales</v>
          </cell>
          <cell r="AB2954" t="str">
            <v>24AABCG1282C2Z6</v>
          </cell>
        </row>
        <row r="2955">
          <cell r="D2955" t="str">
            <v>Hcp Plastene Bulkpack Ltd (Unit Iv) - Sales</v>
          </cell>
          <cell r="AB2955" t="str">
            <v>24AABCG1282C2Z6</v>
          </cell>
        </row>
        <row r="2956">
          <cell r="D2956" t="str">
            <v>Hcp Plastene Bulkpack Ltd (Unit Iv) - Sales</v>
          </cell>
          <cell r="AB2956" t="str">
            <v>24AABCG1282C2Z6</v>
          </cell>
        </row>
        <row r="2957">
          <cell r="D2957" t="str">
            <v>Hcp Plastene Bulkpack Ltd (Unit Iv) - Sales</v>
          </cell>
          <cell r="AB2957" t="str">
            <v>24AABCG1282C2Z6</v>
          </cell>
        </row>
        <row r="2958">
          <cell r="D2958" t="str">
            <v>K.P. Woven Pvt Ltd-Sales</v>
          </cell>
          <cell r="AB2958" t="str">
            <v>24AAECK6307M1ZF</v>
          </cell>
        </row>
        <row r="2959">
          <cell r="D2959" t="str">
            <v>K.P. Woven Pvt Ltd-Sales</v>
          </cell>
          <cell r="AB2959" t="str">
            <v>24AAECK6307M1ZF</v>
          </cell>
        </row>
        <row r="2960">
          <cell r="D2960" t="str">
            <v>K.P. Woven Pvt Ltd-Sales</v>
          </cell>
          <cell r="AB2960" t="str">
            <v>24AAECK6307M1ZF</v>
          </cell>
        </row>
        <row r="2961">
          <cell r="D2961" t="str">
            <v>K.P. Woven Pvt Ltd-Sales</v>
          </cell>
          <cell r="AB2961" t="str">
            <v>24AAECK6307M1ZF</v>
          </cell>
        </row>
        <row r="2962">
          <cell r="D2962" t="str">
            <v>K.P. Woven Pvt Ltd-Sales</v>
          </cell>
          <cell r="AB2962" t="str">
            <v>24AAECK6307M1ZF</v>
          </cell>
        </row>
        <row r="2963">
          <cell r="D2963" t="str">
            <v>K.P. Woven Pvt Ltd-Sales</v>
          </cell>
          <cell r="AB2963" t="str">
            <v>24AAECK6307M1ZF</v>
          </cell>
        </row>
        <row r="2964">
          <cell r="D2964" t="str">
            <v>K.P. Woven Pvt Ltd-Sales</v>
          </cell>
          <cell r="AB2964" t="str">
            <v>24AAECK6307M1ZF</v>
          </cell>
        </row>
        <row r="2965">
          <cell r="D2965" t="str">
            <v>Plastene Polyfilms Ltd-Sales</v>
          </cell>
          <cell r="AB2965" t="str">
            <v>24AAFCP2956A1ZR</v>
          </cell>
        </row>
        <row r="2966">
          <cell r="D2966" t="str">
            <v>Plastene Polyfilms Ltd-Sales</v>
          </cell>
          <cell r="AB2966" t="str">
            <v>24AAFCP2956A1ZR</v>
          </cell>
        </row>
        <row r="2967">
          <cell r="D2967" t="str">
            <v>Plastene Polyfilms Ltd-Sales</v>
          </cell>
          <cell r="AB2967" t="str">
            <v>24AAFCP2956A1ZR</v>
          </cell>
        </row>
        <row r="2968">
          <cell r="D2968" t="str">
            <v>Plastene Polyfilms Ltd-Sales</v>
          </cell>
          <cell r="AB2968" t="str">
            <v>24AAFCP2956A1ZR</v>
          </cell>
        </row>
        <row r="2969">
          <cell r="D2969" t="str">
            <v>Plastene Polyfilms Ltd-Sales</v>
          </cell>
          <cell r="AB2969" t="str">
            <v>24AAFCP2956A1ZR</v>
          </cell>
        </row>
        <row r="2970">
          <cell r="D2970" t="str">
            <v>Plastene Polyfilms Ltd-Sales</v>
          </cell>
          <cell r="AB2970" t="str">
            <v>24AAFCP2956A1ZR</v>
          </cell>
        </row>
        <row r="2971">
          <cell r="D2971" t="str">
            <v>Plastene Polyfilms Ltd-Sales</v>
          </cell>
          <cell r="AB2971" t="str">
            <v>24AAFCP2956A1ZR</v>
          </cell>
        </row>
        <row r="2972">
          <cell r="D2972" t="str">
            <v>Plastene Polyfilms Ltd-Sales</v>
          </cell>
          <cell r="AB2972" t="str">
            <v>24AAFCP2956A1ZR</v>
          </cell>
        </row>
        <row r="2973">
          <cell r="D2973" t="str">
            <v>Plastene Polyfilms Ltd-Sales</v>
          </cell>
          <cell r="AB2973" t="str">
            <v>24AAFCP2956A1ZR</v>
          </cell>
        </row>
        <row r="2974">
          <cell r="D2974" t="str">
            <v>SO Bag</v>
          </cell>
          <cell r="AB2974" t="str">
            <v>N.A.</v>
          </cell>
        </row>
        <row r="2975">
          <cell r="D2975" t="str">
            <v>SO Bag</v>
          </cell>
          <cell r="AB2975" t="str">
            <v>N.A.</v>
          </cell>
        </row>
        <row r="2976">
          <cell r="D2976" t="str">
            <v>Hcp Plastene Bulkpack Ltd (Unit Iv) - Sales</v>
          </cell>
          <cell r="AB2976" t="str">
            <v>24AABCG1282C2Z6</v>
          </cell>
        </row>
        <row r="2977">
          <cell r="D2977" t="str">
            <v>Hcp Plastene Bulkpack Ltd (Unit Iv) - Sales</v>
          </cell>
          <cell r="AB2977" t="str">
            <v>24AABCG1282C2Z6</v>
          </cell>
        </row>
        <row r="2978">
          <cell r="D2978" t="str">
            <v>Hcp Plastene Bulkpack Ltd (Unit Iv) - Sales</v>
          </cell>
          <cell r="AB2978" t="str">
            <v>24AABCG1282C2Z6</v>
          </cell>
        </row>
        <row r="2979">
          <cell r="D2979" t="str">
            <v>Hcp Plastene Bulkpack Ltd (Unit Iv) - Sales</v>
          </cell>
          <cell r="AB2979" t="str">
            <v>24AABCG1282C2Z6</v>
          </cell>
        </row>
        <row r="2980">
          <cell r="D2980" t="str">
            <v>Hcp Plastene Bulkpack Ltd (Unit Iv) - Sales</v>
          </cell>
          <cell r="AB2980" t="str">
            <v>24AABCG1282C2Z6</v>
          </cell>
        </row>
        <row r="2981">
          <cell r="D2981" t="str">
            <v>Hcp Plastene Bulkpack Ltd (Unit Iv) - Sales</v>
          </cell>
          <cell r="AB2981" t="str">
            <v>24AABCG1282C2Z6</v>
          </cell>
        </row>
        <row r="2982">
          <cell r="D2982" t="str">
            <v>Hcp Plastene Bulkpack Ltd (Unit Iv) - Sales</v>
          </cell>
          <cell r="AB2982" t="str">
            <v>24AABCG1282C2Z6</v>
          </cell>
        </row>
        <row r="2983">
          <cell r="D2983" t="str">
            <v>Hcp Plastene Bulkpack Ltd (Unit Iv) - Sales</v>
          </cell>
          <cell r="AB2983" t="str">
            <v>24AABCG1282C2Z6</v>
          </cell>
        </row>
        <row r="2984">
          <cell r="D2984" t="str">
            <v>Hcp Plastene Bulkpack Ltd (Unit Iv) - Sales</v>
          </cell>
          <cell r="AB2984" t="str">
            <v>24AABCG1282C2Z6</v>
          </cell>
        </row>
        <row r="2985">
          <cell r="D2985" t="str">
            <v>Hcp Plastene Bulkpack Ltd (Unit Iv) - Sales</v>
          </cell>
          <cell r="AB2985" t="str">
            <v>24AABCG1282C2Z6</v>
          </cell>
        </row>
        <row r="2986">
          <cell r="D2986" t="str">
            <v>Hcp Plastene Bulkpack Ltd (Unit Iv) - Sales</v>
          </cell>
          <cell r="AB2986" t="str">
            <v>24AABCG1282C2Z6</v>
          </cell>
        </row>
        <row r="2987">
          <cell r="D2987" t="str">
            <v>Hcp Plastene Bulkpack Ltd (Unit Iv) - Sales</v>
          </cell>
          <cell r="AB2987" t="str">
            <v>24AABCG1282C2Z6</v>
          </cell>
        </row>
        <row r="2988">
          <cell r="D2988" t="str">
            <v>Hcp Plastene Bulkpack Ltd (Unit Iv) - Sales</v>
          </cell>
          <cell r="AB2988" t="str">
            <v>24AABCG1282C2Z6</v>
          </cell>
        </row>
        <row r="2989">
          <cell r="D2989" t="str">
            <v>Hcp Plastene Bulkpack Ltd (Unit Iv) - Sales</v>
          </cell>
          <cell r="AB2989" t="str">
            <v>24AABCG1282C2Z6</v>
          </cell>
        </row>
        <row r="2990">
          <cell r="D2990" t="str">
            <v>Hcp Plastene Bulkpack Ltd (Unit Iv) - Sales</v>
          </cell>
          <cell r="AB2990" t="str">
            <v>24AABCG1282C2Z6</v>
          </cell>
        </row>
        <row r="2991">
          <cell r="D2991" t="str">
            <v>Hcp Plastene Bulkpack Ltd (Unit Iv) - Sales</v>
          </cell>
          <cell r="AB2991" t="str">
            <v>24AABCG1282C2Z6</v>
          </cell>
        </row>
        <row r="2992">
          <cell r="D2992" t="str">
            <v>Hcp Plastene Bulkpack Ltd (Unit Iv) - Sales</v>
          </cell>
          <cell r="AB2992" t="str">
            <v>24AABCG1282C2Z6</v>
          </cell>
        </row>
        <row r="2993">
          <cell r="D2993" t="str">
            <v>Jain Bulk Pack - Ahmedabad</v>
          </cell>
          <cell r="AB2993" t="str">
            <v>24AFOPG7793M1ZO</v>
          </cell>
        </row>
        <row r="2994">
          <cell r="D2994" t="str">
            <v>K.P. Woven Pvt Ltd - Unit 3 -Sales</v>
          </cell>
          <cell r="AB2994" t="str">
            <v>24AAECK6307M2ZE</v>
          </cell>
        </row>
        <row r="2995">
          <cell r="D2995" t="str">
            <v>K.P. Woven Pvt Ltd - Unit 3 -Sales</v>
          </cell>
          <cell r="AB2995" t="str">
            <v>24AAECK6307M2ZE</v>
          </cell>
        </row>
        <row r="2996">
          <cell r="D2996" t="str">
            <v>K.P. Woven Pvt Ltd - Unit 3 -Sales</v>
          </cell>
          <cell r="AB2996" t="str">
            <v>24AAECK6307M2ZE</v>
          </cell>
        </row>
        <row r="2997">
          <cell r="D2997" t="str">
            <v>K.P. Woven Pvt Ltd - Unit 3 -Sales</v>
          </cell>
          <cell r="AB2997" t="str">
            <v>24AAECK6307M2ZE</v>
          </cell>
        </row>
        <row r="2998">
          <cell r="D2998" t="str">
            <v>K.P. Woven Pvt Ltd - Unit 3 -Sales</v>
          </cell>
          <cell r="AB2998" t="str">
            <v>24AAECK6307M2ZE</v>
          </cell>
        </row>
        <row r="2999">
          <cell r="D2999" t="str">
            <v>K.P. Woven Pvt Ltd - Unit 3 -Sales</v>
          </cell>
          <cell r="AB2999" t="str">
            <v>24AAECK6307M2ZE</v>
          </cell>
        </row>
        <row r="3000">
          <cell r="D3000" t="str">
            <v>K.P. Woven Pvt Ltd - Unit 3 -Sales</v>
          </cell>
          <cell r="AB3000" t="str">
            <v>24AAECK6307M2ZE</v>
          </cell>
        </row>
        <row r="3001">
          <cell r="D3001" t="str">
            <v>Plastene Polyfilms Ltd-Sales</v>
          </cell>
          <cell r="AB3001" t="str">
            <v>24AAFCP2956A1ZR</v>
          </cell>
        </row>
        <row r="3002">
          <cell r="D3002" t="str">
            <v>Plastene Polyfilms Ltd-Sales</v>
          </cell>
          <cell r="AB3002" t="str">
            <v>24AAFCP2956A1ZR</v>
          </cell>
        </row>
        <row r="3003">
          <cell r="D3003" t="str">
            <v>Plastene Polyfilms Ltd-Sales</v>
          </cell>
          <cell r="AB3003" t="str">
            <v>24AAFCP2956A1ZR</v>
          </cell>
        </row>
        <row r="3004">
          <cell r="D3004" t="str">
            <v>Plastene Polyfilms Ltd-Sales</v>
          </cell>
          <cell r="AB3004" t="str">
            <v>24AAFCP2956A1ZR</v>
          </cell>
        </row>
        <row r="3005">
          <cell r="D3005" t="str">
            <v>Plastene Polyfilms Ltd-Sales</v>
          </cell>
          <cell r="AB3005" t="str">
            <v>24AAFCP2956A1ZR</v>
          </cell>
        </row>
        <row r="3006">
          <cell r="D3006" t="str">
            <v>Plastene Polyfilms Ltd-Sales</v>
          </cell>
          <cell r="AB3006" t="str">
            <v>24AAFCP2956A1ZR</v>
          </cell>
        </row>
        <row r="3007">
          <cell r="D3007" t="str">
            <v>Plastene Polyfilms Ltd-Sales</v>
          </cell>
          <cell r="AB3007" t="str">
            <v>24AAFCP2956A1ZR</v>
          </cell>
        </row>
        <row r="3008">
          <cell r="D3008" t="str">
            <v>Plastene Polyfilms Ltd-Sales</v>
          </cell>
          <cell r="AB3008" t="str">
            <v>24AAFCP2956A1ZR</v>
          </cell>
        </row>
        <row r="3009">
          <cell r="D3009" t="str">
            <v>Plastene Polyfilms Ltd-Sales</v>
          </cell>
          <cell r="AB3009" t="str">
            <v>24AAFCP2956A1ZR</v>
          </cell>
        </row>
        <row r="3010">
          <cell r="D3010" t="str">
            <v>Plastene Polyfilms Ltd-Sales</v>
          </cell>
          <cell r="AB3010" t="str">
            <v>24AAFCP2956A1ZR</v>
          </cell>
        </row>
        <row r="3011">
          <cell r="D3011" t="str">
            <v>Rafia Industrial S.A.</v>
          </cell>
          <cell r="AB3011" t="str">
            <v>N.A.</v>
          </cell>
        </row>
        <row r="3012">
          <cell r="D3012" t="str">
            <v>Rudra Trading Co.</v>
          </cell>
          <cell r="AB3012" t="str">
            <v>27BCGPD5673M1Z7</v>
          </cell>
        </row>
        <row r="3013">
          <cell r="D3013" t="str">
            <v>Hcp Plastene Bulkpack Ltd (Unit Iv) - Sales</v>
          </cell>
          <cell r="AB3013" t="str">
            <v>24AABCG1282C2Z6</v>
          </cell>
        </row>
        <row r="3014">
          <cell r="D3014" t="str">
            <v>Hcp Plastene Bulkpack Ltd (Unit Iv) - Sales</v>
          </cell>
          <cell r="AB3014" t="str">
            <v>24AABCG1282C2Z6</v>
          </cell>
        </row>
        <row r="3015">
          <cell r="D3015" t="str">
            <v>Hcp Plastene Bulkpack Ltd (Unit Iv) - Sales</v>
          </cell>
          <cell r="AB3015" t="str">
            <v>24AABCG1282C2Z6</v>
          </cell>
        </row>
        <row r="3016">
          <cell r="D3016" t="str">
            <v>Hcp Plastene Bulkpack Ltd (Unit Iv) - Sales</v>
          </cell>
          <cell r="AB3016" t="str">
            <v>24AABCG1282C2Z6</v>
          </cell>
        </row>
        <row r="3017">
          <cell r="D3017" t="str">
            <v>Hcp Plastene Bulkpack Ltd (Unit Iv) - Sales</v>
          </cell>
          <cell r="AB3017" t="str">
            <v>24AABCG1282C2Z6</v>
          </cell>
        </row>
        <row r="3018">
          <cell r="D3018" t="str">
            <v>Hcp Plastene Bulkpack Ltd (Unit Iv) - Sales</v>
          </cell>
          <cell r="AB3018" t="str">
            <v>24AABCG1282C2Z6</v>
          </cell>
        </row>
        <row r="3019">
          <cell r="D3019" t="str">
            <v>Hcp Plastene Bulkpack Ltd (Unit Iv) - Sales</v>
          </cell>
          <cell r="AB3019" t="str">
            <v>24AABCG1282C2Z6</v>
          </cell>
        </row>
        <row r="3020">
          <cell r="D3020" t="str">
            <v>Hcp Plastene Bulkpack Ltd (Unit Iv) - Sales</v>
          </cell>
          <cell r="AB3020" t="str">
            <v>24AABCG1282C2Z6</v>
          </cell>
        </row>
        <row r="3021">
          <cell r="D3021" t="str">
            <v>Hcp Plastene Bulkpack Ltd (Unit Iv) - Sales</v>
          </cell>
          <cell r="AB3021" t="str">
            <v>24AABCG1282C2Z6</v>
          </cell>
        </row>
        <row r="3022">
          <cell r="D3022" t="str">
            <v>Hcp Plastene Bulkpack Ltd (Unit Iv) - Sales</v>
          </cell>
          <cell r="AB3022" t="str">
            <v>24AABCG1282C2Z6</v>
          </cell>
        </row>
        <row r="3023">
          <cell r="D3023" t="str">
            <v>Hcp Plastene Bulkpack Ltd (Unit Iv) - Sales</v>
          </cell>
          <cell r="AB3023" t="str">
            <v>24AABCG1282C2Z6</v>
          </cell>
        </row>
        <row r="3024">
          <cell r="D3024" t="str">
            <v>Hcp Plastene Bulkpack Ltd (Unit Iv) - Sales</v>
          </cell>
          <cell r="AB3024" t="str">
            <v>24AABCG1282C2Z6</v>
          </cell>
        </row>
        <row r="3025">
          <cell r="D3025" t="str">
            <v>Jain Bulk Pack - Ahmedabad</v>
          </cell>
          <cell r="AB3025" t="str">
            <v>24AFOPG7793M1ZO</v>
          </cell>
        </row>
        <row r="3026">
          <cell r="D3026" t="str">
            <v>K.P. Woven Pvt Ltd - Unit 3 -Sales</v>
          </cell>
          <cell r="AB3026" t="str">
            <v>24AAECK6307M2ZE</v>
          </cell>
        </row>
        <row r="3027">
          <cell r="D3027" t="str">
            <v>K.P. Woven Pvt Ltd-Sales</v>
          </cell>
          <cell r="AB3027" t="str">
            <v>24AAECK6307M1ZF</v>
          </cell>
        </row>
        <row r="3028">
          <cell r="D3028" t="str">
            <v>K.P. Woven Pvt Ltd-Sales</v>
          </cell>
          <cell r="AB3028" t="str">
            <v>24AAECK6307M1ZF</v>
          </cell>
        </row>
        <row r="3029">
          <cell r="D3029" t="str">
            <v>K.P. Woven Pvt Ltd-Sales</v>
          </cell>
          <cell r="AB3029" t="str">
            <v>24AAECK6307M1ZF</v>
          </cell>
        </row>
        <row r="3030">
          <cell r="D3030" t="str">
            <v>K.P. Woven Pvt Ltd-Sales</v>
          </cell>
          <cell r="AB3030" t="str">
            <v>24AAECK6307M1ZF</v>
          </cell>
        </row>
        <row r="3031">
          <cell r="D3031" t="str">
            <v>K.P. Woven Pvt Ltd-Sales</v>
          </cell>
          <cell r="AB3031" t="str">
            <v>24AAECK6307M1ZF</v>
          </cell>
        </row>
        <row r="3032">
          <cell r="D3032" t="str">
            <v>K.P. Woven Pvt Ltd-Sales</v>
          </cell>
          <cell r="AB3032" t="str">
            <v>24AAECK6307M1ZF</v>
          </cell>
        </row>
        <row r="3033">
          <cell r="D3033" t="str">
            <v>K.P. Woven Pvt Ltd-Sales</v>
          </cell>
          <cell r="AB3033" t="str">
            <v>24AAECK6307M1ZF</v>
          </cell>
        </row>
        <row r="3034">
          <cell r="D3034" t="str">
            <v>Plastene Polyfilms Ltd-Sales</v>
          </cell>
          <cell r="AB3034" t="str">
            <v>24AAFCP2956A1ZR</v>
          </cell>
        </row>
        <row r="3035">
          <cell r="D3035" t="str">
            <v>Plastene Polyfilms Ltd-Sales</v>
          </cell>
          <cell r="AB3035" t="str">
            <v>24AAFCP2956A1ZR</v>
          </cell>
        </row>
        <row r="3036">
          <cell r="D3036" t="str">
            <v>Plastene Polyfilms Ltd-Sales</v>
          </cell>
          <cell r="AB3036" t="str">
            <v>24AAFCP2956A1ZR</v>
          </cell>
        </row>
        <row r="3037">
          <cell r="D3037" t="str">
            <v>Plastene Polyfilms Ltd-Sales</v>
          </cell>
          <cell r="AB3037" t="str">
            <v>24AAFCP2956A1ZR</v>
          </cell>
        </row>
        <row r="3038">
          <cell r="D3038" t="str">
            <v>Qpac Ltd</v>
          </cell>
          <cell r="AB3038" t="str">
            <v>N.A.</v>
          </cell>
        </row>
        <row r="3039">
          <cell r="D3039" t="str">
            <v>Hcp Plastene Bulkpack Ltd (Unit Iv) - Sales</v>
          </cell>
          <cell r="AB3039" t="str">
            <v>24AABCG1282C2Z6</v>
          </cell>
        </row>
        <row r="3040">
          <cell r="D3040" t="str">
            <v>Hcp Plastene Bulkpack Ltd (Unit Iv) - Sales</v>
          </cell>
          <cell r="AB3040" t="str">
            <v>24AABCG1282C2Z6</v>
          </cell>
        </row>
        <row r="3041">
          <cell r="D3041" t="str">
            <v>Hcp Plastene Bulkpack Ltd (Unit Iv) - Sales</v>
          </cell>
          <cell r="AB3041" t="str">
            <v>24AABCG1282C2Z6</v>
          </cell>
        </row>
        <row r="3042">
          <cell r="D3042" t="str">
            <v>Hcp Plastene Bulkpack Ltd (Unit Iv) - Sales</v>
          </cell>
          <cell r="AB3042" t="str">
            <v>24AABCG1282C2Z6</v>
          </cell>
        </row>
        <row r="3043">
          <cell r="D3043" t="str">
            <v>Hcp Plastene Bulkpack Ltd (Unit Iv) - Sales</v>
          </cell>
          <cell r="AB3043" t="str">
            <v>24AABCG1282C2Z6</v>
          </cell>
        </row>
        <row r="3044">
          <cell r="D3044" t="str">
            <v>Hcp Plastene Bulkpack Ltd (Unit Iv) - Sales</v>
          </cell>
          <cell r="AB3044" t="str">
            <v>24AABCG1282C2Z6</v>
          </cell>
        </row>
        <row r="3045">
          <cell r="D3045" t="str">
            <v>Hcp Plastene Bulkpack Ltd (Unit Iv) - Sales</v>
          </cell>
          <cell r="AB3045" t="str">
            <v>24AABCG1282C2Z6</v>
          </cell>
        </row>
        <row r="3046">
          <cell r="D3046" t="str">
            <v>Hcp Plastene Bulkpack Ltd (Unit Iv) - Sales</v>
          </cell>
          <cell r="AB3046" t="str">
            <v>24AABCG1282C2Z6</v>
          </cell>
        </row>
        <row r="3047">
          <cell r="D3047" t="str">
            <v>Hcp Plastene Bulkpack Ltd (Unit Iv) - Sales</v>
          </cell>
          <cell r="AB3047" t="str">
            <v>24AABCG1282C2Z6</v>
          </cell>
        </row>
        <row r="3048">
          <cell r="D3048" t="str">
            <v>Hcp Plastene Bulkpack Ltd (Unit Iv) - Sales</v>
          </cell>
          <cell r="AB3048" t="str">
            <v>24AABCG1282C2Z6</v>
          </cell>
        </row>
        <row r="3049">
          <cell r="D3049" t="str">
            <v>Hcp Plastene Bulkpack Ltd (Unit Iv) - Sales</v>
          </cell>
          <cell r="AB3049" t="str">
            <v>24AABCG1282C2Z6</v>
          </cell>
        </row>
        <row r="3050">
          <cell r="D3050" t="str">
            <v>Hcp Plastene Bulkpack Ltd (Unit Iv) - Sales</v>
          </cell>
          <cell r="AB3050" t="str">
            <v>24AABCG1282C2Z6</v>
          </cell>
        </row>
        <row r="3051">
          <cell r="D3051" t="str">
            <v>K.P. Woven Pvt Ltd - Unit 3 -Sales</v>
          </cell>
          <cell r="AB3051" t="str">
            <v>24AAECK6307M2ZE</v>
          </cell>
        </row>
        <row r="3052">
          <cell r="D3052" t="str">
            <v>K.P. Woven Pvt Ltd - Unit 3 -Sales</v>
          </cell>
          <cell r="AB3052" t="str">
            <v>24AAECK6307M2ZE</v>
          </cell>
        </row>
        <row r="3053">
          <cell r="D3053" t="str">
            <v>K.P. Woven Pvt Ltd - Unit 3 -Sales</v>
          </cell>
          <cell r="AB3053" t="str">
            <v>24AAECK6307M2ZE</v>
          </cell>
        </row>
        <row r="3054">
          <cell r="D3054" t="str">
            <v>Plastene Polyfilms Ltd-Sales</v>
          </cell>
          <cell r="AB3054" t="str">
            <v>24AAFCP2956A1ZR</v>
          </cell>
        </row>
        <row r="3055">
          <cell r="D3055" t="str">
            <v>Plastene Polyfilms Ltd-Sales</v>
          </cell>
          <cell r="AB3055" t="str">
            <v>24AAFCP2956A1ZR</v>
          </cell>
        </row>
        <row r="3056">
          <cell r="D3056" t="str">
            <v>Plastene Polyfilms Ltd-Sales</v>
          </cell>
          <cell r="AB3056" t="str">
            <v>24AAFCP2956A1ZR</v>
          </cell>
        </row>
        <row r="3057">
          <cell r="D3057" t="str">
            <v>Plastene Polyfilms Ltd-Sales</v>
          </cell>
          <cell r="AB3057" t="str">
            <v>24AAFCP2956A1ZR</v>
          </cell>
        </row>
        <row r="3058">
          <cell r="D3058" t="str">
            <v>Plastene Polyfilms Ltd-Sales</v>
          </cell>
          <cell r="AB3058" t="str">
            <v>24AAFCP2956A1ZR</v>
          </cell>
        </row>
        <row r="3059">
          <cell r="D3059" t="str">
            <v>Plastene Polyfilms Ltd-Sales</v>
          </cell>
          <cell r="AB3059" t="str">
            <v>24AAFCP2956A1ZR</v>
          </cell>
        </row>
        <row r="3060">
          <cell r="D3060" t="str">
            <v>Plastene Polyfilms Ltd-Sales</v>
          </cell>
          <cell r="AB3060" t="str">
            <v>24AAFCP2956A1ZR</v>
          </cell>
        </row>
        <row r="3061">
          <cell r="D3061" t="str">
            <v>Plastene Polyfilms Ltd-Sales</v>
          </cell>
          <cell r="AB3061" t="str">
            <v>24AAFCP2956A1ZR</v>
          </cell>
        </row>
        <row r="3062">
          <cell r="D3062" t="str">
            <v>Plastene Polyfilms Ltd-Sales</v>
          </cell>
          <cell r="AB3062" t="str">
            <v>24AAFCP2956A1ZR</v>
          </cell>
        </row>
        <row r="3063">
          <cell r="D3063" t="str">
            <v>Plastene Polyfilms Ltd-Sales</v>
          </cell>
          <cell r="AB3063" t="str">
            <v>24AAFCP2956A1ZR</v>
          </cell>
        </row>
        <row r="3064">
          <cell r="D3064" t="str">
            <v>Plastene Polyfilms Ltd-Sales</v>
          </cell>
          <cell r="AB3064" t="str">
            <v>24AAFCP2956A1ZR</v>
          </cell>
        </row>
        <row r="3065">
          <cell r="D3065" t="str">
            <v>HCP Plastene Bulkpack Limited - Sales</v>
          </cell>
          <cell r="AB3065" t="str">
            <v>24AABCG1282C2Z6</v>
          </cell>
        </row>
        <row r="3066">
          <cell r="D3066" t="str">
            <v>HCP Plastene Bulkpack Limited - Sales</v>
          </cell>
          <cell r="AB3066" t="str">
            <v>24AABCG1282C2Z6</v>
          </cell>
        </row>
        <row r="3067">
          <cell r="D3067" t="str">
            <v>HCP Plastene Bulkpack Limited - Sales</v>
          </cell>
          <cell r="AB3067" t="str">
            <v>24AABCG1282C2Z6</v>
          </cell>
        </row>
        <row r="3068">
          <cell r="D3068" t="str">
            <v>Hcp Plastene Bulkpack Ltd (Unit Iv) - Sales</v>
          </cell>
          <cell r="AB3068" t="str">
            <v>24AABCG1282C2Z6</v>
          </cell>
        </row>
        <row r="3069">
          <cell r="D3069" t="str">
            <v>Hcp Plastene Bulkpack Ltd (Unit Iv) - Sales</v>
          </cell>
          <cell r="AB3069" t="str">
            <v>24AABCG1282C2Z6</v>
          </cell>
        </row>
        <row r="3070">
          <cell r="D3070" t="str">
            <v>Hcp Plastene Bulkpack Ltd (Unit Iv) - Sales</v>
          </cell>
          <cell r="AB3070" t="str">
            <v>24AABCG1282C2Z6</v>
          </cell>
        </row>
        <row r="3071">
          <cell r="D3071" t="str">
            <v>Hcp Plastene Bulkpack Ltd (Unit Iv) - Sales</v>
          </cell>
          <cell r="AB3071" t="str">
            <v>24AABCG1282C2Z6</v>
          </cell>
        </row>
        <row r="3072">
          <cell r="D3072" t="str">
            <v>Hcp Plastene Bulkpack Ltd (Unit Iv) - Sales</v>
          </cell>
          <cell r="AB3072" t="str">
            <v>24AABCG1282C2Z6</v>
          </cell>
        </row>
        <row r="3073">
          <cell r="D3073" t="str">
            <v>Hcp Plastene Bulkpack Ltd (Unit Iv) - Sales</v>
          </cell>
          <cell r="AB3073" t="str">
            <v>24AABCG1282C2Z6</v>
          </cell>
        </row>
        <row r="3074">
          <cell r="D3074" t="str">
            <v>Hcp Plastene Bulkpack Ltd (Unit Iv) - Sales</v>
          </cell>
          <cell r="AB3074" t="str">
            <v>24AABCG1282C2Z6</v>
          </cell>
        </row>
        <row r="3075">
          <cell r="D3075" t="str">
            <v>Hcp Plastene Bulkpack Ltd (Unit Iv) - Sales</v>
          </cell>
          <cell r="AB3075" t="str">
            <v>24AABCG1282C2Z6</v>
          </cell>
        </row>
        <row r="3076">
          <cell r="D3076" t="str">
            <v>Hcp Plastene Bulkpack Ltd (Unit Iv) - Sales</v>
          </cell>
          <cell r="AB3076" t="str">
            <v>24AABCG1282C2Z6</v>
          </cell>
        </row>
        <row r="3077">
          <cell r="D3077" t="str">
            <v>Hcp Plastene Bulkpack Ltd (Unit Iv) - Sales</v>
          </cell>
          <cell r="AB3077" t="str">
            <v>24AABCG1282C2Z6</v>
          </cell>
        </row>
        <row r="3078">
          <cell r="D3078" t="str">
            <v>Hcp Plastene Bulkpack Ltd (Unit Iv) - Sales</v>
          </cell>
          <cell r="AB3078" t="str">
            <v>24AABCG1282C2Z6</v>
          </cell>
        </row>
        <row r="3079">
          <cell r="D3079" t="str">
            <v>K.P. Woven Pvt Ltd-Sales</v>
          </cell>
          <cell r="AB3079" t="str">
            <v>24AAECK6307M1ZF</v>
          </cell>
        </row>
        <row r="3080">
          <cell r="D3080" t="str">
            <v>K.P. Woven Pvt Ltd-Sales</v>
          </cell>
          <cell r="AB3080" t="str">
            <v>24AAECK6307M1ZF</v>
          </cell>
        </row>
        <row r="3081">
          <cell r="D3081" t="str">
            <v>K.P. Woven Pvt Ltd-Sales</v>
          </cell>
          <cell r="AB3081" t="str">
            <v>24AAECK6307M1ZF</v>
          </cell>
        </row>
        <row r="3082">
          <cell r="D3082" t="str">
            <v>K.P. Woven Pvt Ltd-Sales</v>
          </cell>
          <cell r="AB3082" t="str">
            <v>24AAECK6307M1ZF</v>
          </cell>
        </row>
        <row r="3083">
          <cell r="D3083" t="str">
            <v>K.P. Woven Pvt Ltd-Sales</v>
          </cell>
          <cell r="AB3083" t="str">
            <v>24AAECK6307M1ZF</v>
          </cell>
        </row>
        <row r="3084">
          <cell r="D3084" t="str">
            <v>PI Polyblendz Private Limited</v>
          </cell>
          <cell r="AB3084" t="str">
            <v>24AAJCP0137B1Z0</v>
          </cell>
        </row>
        <row r="3085">
          <cell r="D3085" t="str">
            <v>Plastene Polyfilms Ltd-Sales</v>
          </cell>
          <cell r="AB3085" t="str">
            <v>24AAFCP2956A1ZR</v>
          </cell>
        </row>
        <row r="3086">
          <cell r="D3086" t="str">
            <v>Plastene Polyfilms Ltd-Sales</v>
          </cell>
          <cell r="AB3086" t="str">
            <v>24AAFCP2956A1ZR</v>
          </cell>
        </row>
        <row r="3087">
          <cell r="D3087" t="str">
            <v>Plastene Polyfilms Ltd-Sales</v>
          </cell>
          <cell r="AB3087" t="str">
            <v>24AAFCP2956A1ZR</v>
          </cell>
        </row>
        <row r="3088">
          <cell r="D3088" t="str">
            <v>Rafia Industrial S.A.</v>
          </cell>
          <cell r="AB3088" t="str">
            <v>N.A.</v>
          </cell>
        </row>
        <row r="3089">
          <cell r="D3089" t="str">
            <v>Hcp Plastene Bulkpack Ltd (Unit Iv) - Sales</v>
          </cell>
          <cell r="AB3089" t="str">
            <v>24AABCG1282C2Z6</v>
          </cell>
        </row>
        <row r="3090">
          <cell r="D3090" t="str">
            <v>Hcp Plastene Bulkpack Ltd (Unit Iv) - Sales</v>
          </cell>
          <cell r="AB3090" t="str">
            <v>24AABCG1282C2Z6</v>
          </cell>
        </row>
        <row r="3091">
          <cell r="D3091" t="str">
            <v>Hcp Plastene Bulkpack Ltd (Unit Iv) - Sales</v>
          </cell>
          <cell r="AB3091" t="str">
            <v>24AABCG1282C2Z6</v>
          </cell>
        </row>
        <row r="3092">
          <cell r="D3092" t="str">
            <v>Hcp Plastene Bulkpack Ltd (Unit Iv) - Sales</v>
          </cell>
          <cell r="AB3092" t="str">
            <v>24AABCG1282C2Z6</v>
          </cell>
        </row>
        <row r="3093">
          <cell r="D3093" t="str">
            <v>Hcp Plastene Bulkpack Ltd (Unit Iv) - Sales</v>
          </cell>
          <cell r="AB3093" t="str">
            <v>24AABCG1282C2Z6</v>
          </cell>
        </row>
        <row r="3094">
          <cell r="D3094" t="str">
            <v>Hcp Plastene Bulkpack Ltd (Unit Iv) - Sales</v>
          </cell>
          <cell r="AB3094" t="str">
            <v>24AABCG1282C2Z6</v>
          </cell>
        </row>
        <row r="3095">
          <cell r="D3095" t="str">
            <v>Hcp Plastene Bulkpack Ltd (Unit Iv) - Sales</v>
          </cell>
          <cell r="AB3095" t="str">
            <v>24AABCG1282C2Z6</v>
          </cell>
        </row>
        <row r="3096">
          <cell r="D3096" t="str">
            <v>Hcp Plastene Bulkpack Ltd (Unit Iv) - Sales</v>
          </cell>
          <cell r="AB3096" t="str">
            <v>24AABCG1282C2Z6</v>
          </cell>
        </row>
        <row r="3097">
          <cell r="D3097" t="str">
            <v>Hcp Plastene Bulkpack Ltd (Unit Iv) - Sales</v>
          </cell>
          <cell r="AB3097" t="str">
            <v>24AABCG1282C2Z6</v>
          </cell>
        </row>
        <row r="3098">
          <cell r="D3098" t="str">
            <v>Hcp Plastene Bulkpack Ltd (Unit Iv) - Sales</v>
          </cell>
          <cell r="AB3098" t="str">
            <v>24AABCG1282C2Z6</v>
          </cell>
        </row>
        <row r="3099">
          <cell r="D3099" t="str">
            <v>Hcp Plastene Bulkpack Ltd (Unit Iv) - Sales</v>
          </cell>
          <cell r="AB3099" t="str">
            <v>24AABCG1282C2Z6</v>
          </cell>
        </row>
        <row r="3100">
          <cell r="D3100" t="str">
            <v>Hcp Plastene Bulkpack Ltd (Unit Iv) - Sales</v>
          </cell>
          <cell r="AB3100" t="str">
            <v>24AABCG1282C2Z6</v>
          </cell>
        </row>
        <row r="3101">
          <cell r="D3101" t="str">
            <v>Hcp Plastene Bulkpack Ltd (Unit Iv) - Sales</v>
          </cell>
          <cell r="AB3101" t="str">
            <v>24AABCG1282C2Z6</v>
          </cell>
        </row>
        <row r="3102">
          <cell r="D3102" t="str">
            <v>Hcp Plastene Bulkpack Ltd (Unit Iv) - Sales</v>
          </cell>
          <cell r="AB3102" t="str">
            <v>24AABCG1282C2Z6</v>
          </cell>
        </row>
        <row r="3103">
          <cell r="D3103" t="str">
            <v>K.P. Woven Pvt Ltd - Unit 3 -Sales</v>
          </cell>
          <cell r="AB3103" t="str">
            <v>24AAECK6307M2ZE</v>
          </cell>
        </row>
        <row r="3104">
          <cell r="D3104" t="str">
            <v>K.P. Woven Pvt Ltd - Unit 3 -Sales</v>
          </cell>
          <cell r="AB3104" t="str">
            <v>24AAECK6307M2ZE</v>
          </cell>
        </row>
        <row r="3105">
          <cell r="D3105" t="str">
            <v>K.P. Woven Pvt Ltd - Unit 3 -Sales</v>
          </cell>
          <cell r="AB3105" t="str">
            <v>24AAECK6307M2ZE</v>
          </cell>
        </row>
        <row r="3106">
          <cell r="D3106" t="str">
            <v>K.P. Woven Pvt Ltd - Unit 3 -Sales</v>
          </cell>
          <cell r="AB3106" t="str">
            <v>24AAECK6307M2ZE</v>
          </cell>
        </row>
        <row r="3107">
          <cell r="D3107" t="str">
            <v>Mercados Mundiales Import Export, S.A.U</v>
          </cell>
          <cell r="AB3107" t="str">
            <v>N.A.</v>
          </cell>
        </row>
        <row r="3108">
          <cell r="D3108" t="str">
            <v>Plastene Polyfilms Ltd-Sales</v>
          </cell>
          <cell r="AB3108" t="str">
            <v>24AAFCP2956A1ZR</v>
          </cell>
        </row>
        <row r="3109">
          <cell r="D3109" t="str">
            <v>Plastene Polyfilms Ltd-Sales</v>
          </cell>
          <cell r="AB3109" t="str">
            <v>24AAFCP2956A1ZR</v>
          </cell>
        </row>
        <row r="3110">
          <cell r="D3110" t="str">
            <v>Plastene Polyfilms Ltd-Sales</v>
          </cell>
          <cell r="AB3110" t="str">
            <v>24AAFCP2956A1ZR</v>
          </cell>
        </row>
        <row r="3111">
          <cell r="D3111" t="str">
            <v>Plastene Polyfilms Ltd-Sales</v>
          </cell>
          <cell r="AB3111" t="str">
            <v>24AAFCP2956A1ZR</v>
          </cell>
        </row>
        <row r="3112">
          <cell r="D3112" t="str">
            <v>Plastene Polyfilms Ltd-Sales</v>
          </cell>
          <cell r="AB3112" t="str">
            <v>24AAFCP2956A1ZR</v>
          </cell>
        </row>
        <row r="3113">
          <cell r="D3113" t="str">
            <v>Plastene Polyfilms Ltd-Sales</v>
          </cell>
          <cell r="AB3113" t="str">
            <v>24AAFCP2956A1ZR</v>
          </cell>
        </row>
        <row r="3114">
          <cell r="D3114" t="str">
            <v>Rafia Industrial S.A.</v>
          </cell>
          <cell r="AB3114" t="str">
            <v>N.A.</v>
          </cell>
        </row>
        <row r="3115">
          <cell r="D3115" t="str">
            <v>ELS Sacs Voladors, S.L.U</v>
          </cell>
          <cell r="AB3115" t="str">
            <v>N.A.</v>
          </cell>
        </row>
        <row r="3116">
          <cell r="D3116" t="str">
            <v>ELS Sacs Voladors, S.L.U</v>
          </cell>
          <cell r="AB3116" t="str">
            <v>N.A.</v>
          </cell>
        </row>
        <row r="3117">
          <cell r="D3117" t="str">
            <v>Hcp Plastene Bulkpack Ltd (Unit Iv) - Sales</v>
          </cell>
          <cell r="AB3117" t="str">
            <v>24AABCG1282C2Z6</v>
          </cell>
        </row>
        <row r="3118">
          <cell r="D3118" t="str">
            <v>Hcp Plastene Bulkpack Ltd (Unit Iv) - Sales</v>
          </cell>
          <cell r="AB3118" t="str">
            <v>24AABCG1282C2Z6</v>
          </cell>
        </row>
        <row r="3119">
          <cell r="D3119" t="str">
            <v>Hcp Plastene Bulkpack Ltd (Unit Iv) - Sales</v>
          </cell>
          <cell r="AB3119" t="str">
            <v>24AABCG1282C2Z6</v>
          </cell>
        </row>
        <row r="3120">
          <cell r="D3120" t="str">
            <v>Hcp Plastene Bulkpack Ltd (Unit Iv) - Sales</v>
          </cell>
          <cell r="AB3120" t="str">
            <v>24AABCG1282C2Z6</v>
          </cell>
        </row>
        <row r="3121">
          <cell r="D3121" t="str">
            <v>Hcp Plastene Bulkpack Ltd (Unit Iv) - Sales</v>
          </cell>
          <cell r="AB3121" t="str">
            <v>24AABCG1282C2Z6</v>
          </cell>
        </row>
        <row r="3122">
          <cell r="D3122" t="str">
            <v>Hcp Plastene Bulkpack Ltd (Unit Iv) - Sales</v>
          </cell>
          <cell r="AB3122" t="str">
            <v>24AABCG1282C2Z6</v>
          </cell>
        </row>
        <row r="3123">
          <cell r="D3123" t="str">
            <v>Hcp Plastene Bulkpack Ltd (Unit Iv) - Sales</v>
          </cell>
          <cell r="AB3123" t="str">
            <v>24AABCG1282C2Z6</v>
          </cell>
        </row>
        <row r="3124">
          <cell r="D3124" t="str">
            <v>Hcp Plastene Bulkpack Ltd (Unit Iv) - Sales</v>
          </cell>
          <cell r="AB3124" t="str">
            <v>24AABCG1282C2Z6</v>
          </cell>
        </row>
        <row r="3125">
          <cell r="D3125" t="str">
            <v>Hcp Plastene Bulkpack Ltd (Unit Iv) - Sales</v>
          </cell>
          <cell r="AB3125" t="str">
            <v>24AABCG1282C2Z6</v>
          </cell>
        </row>
        <row r="3126">
          <cell r="D3126" t="str">
            <v>Hcp Plastene Bulkpack Ltd (Unit Iv) - Sales</v>
          </cell>
          <cell r="AB3126" t="str">
            <v>24AABCG1282C2Z6</v>
          </cell>
        </row>
        <row r="3127">
          <cell r="D3127" t="str">
            <v>Hcp Plastene Bulkpack Ltd (Unit Iv) - Sales</v>
          </cell>
          <cell r="AB3127" t="str">
            <v>24AABCG1282C2Z6</v>
          </cell>
        </row>
        <row r="3128">
          <cell r="D3128" t="str">
            <v>Hcp Plastene Bulkpack Ltd (Unit Iv) - Sales</v>
          </cell>
          <cell r="AB3128" t="str">
            <v>24AABCG1282C2Z6</v>
          </cell>
        </row>
        <row r="3129">
          <cell r="D3129" t="str">
            <v>K.P. Woven Pvt Ltd - Unit 3 -Sales</v>
          </cell>
          <cell r="AB3129" t="str">
            <v>24AAECK6307M2ZE</v>
          </cell>
        </row>
        <row r="3130">
          <cell r="D3130" t="str">
            <v>K.P. Woven Pvt Ltd - Unit 3 -Sales</v>
          </cell>
          <cell r="AB3130" t="str">
            <v>24AAECK6307M2ZE</v>
          </cell>
        </row>
        <row r="3131">
          <cell r="D3131" t="str">
            <v>K.P. Woven Pvt Ltd - Unit 3 -Sales</v>
          </cell>
          <cell r="AB3131" t="str">
            <v>24AAECK6307M2ZE</v>
          </cell>
        </row>
        <row r="3132">
          <cell r="D3132" t="str">
            <v>M D PLASTIC</v>
          </cell>
          <cell r="AB3132" t="str">
            <v>06ABJFM5382K1ZT</v>
          </cell>
        </row>
        <row r="3133">
          <cell r="D3133" t="str">
            <v>Plastene Polyfilms Ltd-Sales</v>
          </cell>
          <cell r="AB3133" t="str">
            <v>24AAFCP2956A1ZR</v>
          </cell>
        </row>
        <row r="3134">
          <cell r="D3134" t="str">
            <v>Plastene Polyfilms Ltd-Sales</v>
          </cell>
          <cell r="AB3134" t="str">
            <v>24AAFCP2956A1ZR</v>
          </cell>
        </row>
        <row r="3135">
          <cell r="D3135" t="str">
            <v>Plastene Polyfilms Ltd-Sales</v>
          </cell>
          <cell r="AB3135" t="str">
            <v>24AAFCP2956A1ZR</v>
          </cell>
        </row>
        <row r="3136">
          <cell r="D3136" t="str">
            <v>Plastene Polyfilms Ltd-Sales</v>
          </cell>
          <cell r="AB3136" t="str">
            <v>24AAFCP2956A1ZR</v>
          </cell>
        </row>
        <row r="3137">
          <cell r="D3137" t="str">
            <v>Plastene Polyfilms Ltd-Sales</v>
          </cell>
          <cell r="AB3137" t="str">
            <v>24AAFCP2956A1ZR</v>
          </cell>
        </row>
        <row r="3138">
          <cell r="D3138" t="str">
            <v>Plastene Polyfilms Ltd-Sales</v>
          </cell>
          <cell r="AB3138" t="str">
            <v>24AAFCP2956A1ZR</v>
          </cell>
        </row>
        <row r="3139">
          <cell r="D3139" t="str">
            <v>Plastene Polyfilms Ltd-Sales</v>
          </cell>
          <cell r="AB3139" t="str">
            <v>24AAFCP2956A1ZR</v>
          </cell>
        </row>
        <row r="3140">
          <cell r="D3140" t="str">
            <v>Plastene Polyfilms Ltd-Sales</v>
          </cell>
          <cell r="AB3140" t="str">
            <v>24AAFCP2956A1ZR</v>
          </cell>
        </row>
        <row r="3141">
          <cell r="D3141" t="str">
            <v>Plastene Polyfilms Ltd-Sales</v>
          </cell>
          <cell r="AB3141" t="str">
            <v>24AAFCP2956A1ZR</v>
          </cell>
        </row>
        <row r="3142">
          <cell r="D3142" t="str">
            <v>Plastene Polyfilms Ltd-Sales</v>
          </cell>
          <cell r="AB3142" t="str">
            <v>24AAFCP2956A1ZR</v>
          </cell>
        </row>
        <row r="3143">
          <cell r="D3143" t="str">
            <v>Plastene Polyfilms Ltd-Sales</v>
          </cell>
          <cell r="AB3143" t="str">
            <v>24AAFCP2956A1ZR</v>
          </cell>
        </row>
        <row r="3144">
          <cell r="D3144" t="str">
            <v>Plastene Polyfilms Ltd-Sales</v>
          </cell>
          <cell r="AB3144" t="str">
            <v>24AAFCP2956A1ZR</v>
          </cell>
        </row>
        <row r="3145">
          <cell r="D3145" t="str">
            <v>HCP Plastene Bulkpack Limited - Sales</v>
          </cell>
          <cell r="AB3145" t="str">
            <v>24AABCG1282C2Z6</v>
          </cell>
        </row>
        <row r="3146">
          <cell r="D3146" t="str">
            <v>Hcp Plastene Bulkpack Ltd (Unit Iv) - Sales</v>
          </cell>
          <cell r="AB3146" t="str">
            <v>24AABCG1282C2Z6</v>
          </cell>
        </row>
        <row r="3147">
          <cell r="D3147" t="str">
            <v>Hcp Plastene Bulkpack Ltd (Unit Iv) - Sales</v>
          </cell>
          <cell r="AB3147" t="str">
            <v>24AABCG1282C2Z6</v>
          </cell>
        </row>
        <row r="3148">
          <cell r="D3148" t="str">
            <v>Hcp Plastene Bulkpack Ltd (Unit Iv) - Sales</v>
          </cell>
          <cell r="AB3148" t="str">
            <v>24AABCG1282C2Z6</v>
          </cell>
        </row>
        <row r="3149">
          <cell r="D3149" t="str">
            <v>Hcp Plastene Bulkpack Ltd (Unit Iv) - Sales</v>
          </cell>
          <cell r="AB3149" t="str">
            <v>24AABCG1282C2Z6</v>
          </cell>
        </row>
        <row r="3150">
          <cell r="D3150" t="str">
            <v>Hcp Plastene Bulkpack Ltd (Unit Iv) - Sales</v>
          </cell>
          <cell r="AB3150" t="str">
            <v>24AABCG1282C2Z6</v>
          </cell>
        </row>
        <row r="3151">
          <cell r="D3151" t="str">
            <v>Hcp Plastene Bulkpack Ltd (Unit Iv) - Sales</v>
          </cell>
          <cell r="AB3151" t="str">
            <v>24AABCG1282C2Z6</v>
          </cell>
        </row>
        <row r="3152">
          <cell r="D3152" t="str">
            <v>Hcp Plastene Bulkpack Ltd (Unit Iv) - Sales</v>
          </cell>
          <cell r="AB3152" t="str">
            <v>24AABCG1282C2Z6</v>
          </cell>
        </row>
        <row r="3153">
          <cell r="D3153" t="str">
            <v>Hcp Plastene Bulkpack Ltd (Unit Iv) - Sales</v>
          </cell>
          <cell r="AB3153" t="str">
            <v>24AABCG1282C2Z6</v>
          </cell>
        </row>
        <row r="3154">
          <cell r="D3154" t="str">
            <v>Hcp Plastene Bulkpack Ltd (Unit Iv) - Sales</v>
          </cell>
          <cell r="AB3154" t="str">
            <v>24AABCG1282C2Z6</v>
          </cell>
        </row>
        <row r="3155">
          <cell r="D3155" t="str">
            <v>Hcp Plastene Bulkpack Ltd (Unit Iv) - Sales</v>
          </cell>
          <cell r="AB3155" t="str">
            <v>24AABCG1282C2Z6</v>
          </cell>
        </row>
        <row r="3156">
          <cell r="D3156" t="str">
            <v>Hcp Plastene Bulkpack Ltd (Unit Iv) - Sales</v>
          </cell>
          <cell r="AB3156" t="str">
            <v>24AABCG1282C2Z6</v>
          </cell>
        </row>
        <row r="3157">
          <cell r="D3157" t="str">
            <v>K.P. Woven Pvt Ltd - Unit 3 -Sales</v>
          </cell>
          <cell r="AB3157" t="str">
            <v>24AAECK6307M2ZE</v>
          </cell>
        </row>
        <row r="3158">
          <cell r="D3158" t="str">
            <v>K.P. Woven Pvt Ltd-Sales</v>
          </cell>
          <cell r="AB3158" t="str">
            <v>24AAECK6307M1ZF</v>
          </cell>
        </row>
        <row r="3159">
          <cell r="D3159" t="str">
            <v>K.P. Woven Pvt Ltd-Sales</v>
          </cell>
          <cell r="AB3159" t="str">
            <v>24AAECK6307M1ZF</v>
          </cell>
        </row>
        <row r="3160">
          <cell r="D3160" t="str">
            <v>K.P. Woven Pvt Ltd-Sales</v>
          </cell>
          <cell r="AB3160" t="str">
            <v>24AAECK6307M1ZF</v>
          </cell>
        </row>
        <row r="3161">
          <cell r="D3161" t="str">
            <v>K.P. Woven Pvt Ltd-Sales</v>
          </cell>
          <cell r="AB3161" t="str">
            <v>24AAECK6307M1ZF</v>
          </cell>
        </row>
        <row r="3162">
          <cell r="D3162" t="str">
            <v>K.P. Woven Pvt Ltd-Sales</v>
          </cell>
          <cell r="AB3162" t="str">
            <v>24AAECK6307M1ZF</v>
          </cell>
        </row>
        <row r="3163">
          <cell r="D3163" t="str">
            <v>K.P. Woven Pvt Ltd-Sales</v>
          </cell>
          <cell r="AB3163" t="str">
            <v>24AAECK6307M1ZF</v>
          </cell>
        </row>
        <row r="3164">
          <cell r="D3164" t="str">
            <v>K.P. Woven Pvt Ltd-Sales</v>
          </cell>
          <cell r="AB3164" t="str">
            <v>24AAECK6307M1ZF</v>
          </cell>
        </row>
        <row r="3165">
          <cell r="D3165" t="str">
            <v>K.P. Woven Pvt Ltd-Sales</v>
          </cell>
          <cell r="AB3165" t="str">
            <v>24AAECK6307M1ZF</v>
          </cell>
        </row>
        <row r="3166">
          <cell r="D3166" t="str">
            <v>K.P. Woven Pvt Ltd-Sales</v>
          </cell>
          <cell r="AB3166" t="str">
            <v>24AAECK6307M1ZF</v>
          </cell>
        </row>
        <row r="3167">
          <cell r="D3167" t="str">
            <v>K.P. Woven Pvt Ltd-Sales</v>
          </cell>
          <cell r="AB3167" t="str">
            <v>24AAECK6307M1ZF</v>
          </cell>
        </row>
        <row r="3168">
          <cell r="D3168" t="str">
            <v>K.P. Woven Pvt Ltd-Sales</v>
          </cell>
          <cell r="AB3168" t="str">
            <v>24AAECK6307M1ZF</v>
          </cell>
        </row>
        <row r="3169">
          <cell r="D3169" t="str">
            <v>Plastene Polyfilms Ltd-Sales</v>
          </cell>
          <cell r="AB3169" t="str">
            <v>24AAFCP2956A1ZR</v>
          </cell>
        </row>
        <row r="3170">
          <cell r="D3170" t="str">
            <v>Plastene Polyfilms Ltd-Sales</v>
          </cell>
          <cell r="AB3170" t="str">
            <v>24AAFCP2956A1ZR</v>
          </cell>
        </row>
        <row r="3171">
          <cell r="D3171" t="str">
            <v>Plastene Polyfilms Ltd-Sales</v>
          </cell>
          <cell r="AB3171" t="str">
            <v>24AAFCP2956A1ZR</v>
          </cell>
        </row>
        <row r="3172">
          <cell r="D3172" t="str">
            <v>Plastene Polyfilms Ltd-Sales</v>
          </cell>
          <cell r="AB3172" t="str">
            <v>24AAFCP2956A1ZR</v>
          </cell>
        </row>
        <row r="3173">
          <cell r="D3173" t="str">
            <v>Plastene Polyfilms Ltd-Sales</v>
          </cell>
          <cell r="AB3173" t="str">
            <v>24AAFCP2956A1ZR</v>
          </cell>
        </row>
        <row r="3174">
          <cell r="D3174" t="str">
            <v>Plastene Polyfilms Ltd-Sales</v>
          </cell>
          <cell r="AB3174" t="str">
            <v>24AAFCP2956A1ZR</v>
          </cell>
        </row>
        <row r="3175">
          <cell r="D3175" t="str">
            <v>Plastene Polyfilms Ltd-Sales</v>
          </cell>
          <cell r="AB3175" t="str">
            <v>24AAFCP2956A1ZR</v>
          </cell>
        </row>
        <row r="3176">
          <cell r="D3176" t="str">
            <v>H Polesy &amp; Co Pty Ltd</v>
          </cell>
          <cell r="AB3176" t="str">
            <v>N.A.</v>
          </cell>
        </row>
        <row r="3177">
          <cell r="D3177" t="str">
            <v>Hcp Plastene Bulkpack Ltd (Unit Iv) - Sales</v>
          </cell>
          <cell r="AB3177" t="str">
            <v>24AABCG1282C2Z6</v>
          </cell>
        </row>
        <row r="3178">
          <cell r="D3178" t="str">
            <v>Hcp Plastene Bulkpack Ltd (Unit Iv) - Sales</v>
          </cell>
          <cell r="AB3178" t="str">
            <v>24AABCG1282C2Z6</v>
          </cell>
        </row>
        <row r="3179">
          <cell r="D3179" t="str">
            <v>Hcp Plastene Bulkpack Ltd (Unit Iv) - Sales</v>
          </cell>
          <cell r="AB3179" t="str">
            <v>24AABCG1282C2Z6</v>
          </cell>
        </row>
        <row r="3180">
          <cell r="D3180" t="str">
            <v>Hcp Plastene Bulkpack Ltd (Unit Iv) - Sales</v>
          </cell>
          <cell r="AB3180" t="str">
            <v>24AABCG1282C2Z6</v>
          </cell>
        </row>
        <row r="3181">
          <cell r="D3181" t="str">
            <v>Hcp Plastene Bulkpack Ltd (Unit Iv) - Sales</v>
          </cell>
          <cell r="AB3181" t="str">
            <v>24AABCG1282C2Z6</v>
          </cell>
        </row>
        <row r="3182">
          <cell r="D3182" t="str">
            <v>Hcp Plastene Bulkpack Ltd (Unit Iv) - Sales</v>
          </cell>
          <cell r="AB3182" t="str">
            <v>24AABCG1282C2Z6</v>
          </cell>
        </row>
        <row r="3183">
          <cell r="D3183" t="str">
            <v>Hcp Plastene Bulkpack Ltd (Unit Iv) - Sales</v>
          </cell>
          <cell r="AB3183" t="str">
            <v>24AABCG1282C2Z6</v>
          </cell>
        </row>
        <row r="3184">
          <cell r="D3184" t="str">
            <v>Hcp Plastene Bulkpack Ltd (Unit Iv) - Sales</v>
          </cell>
          <cell r="AB3184" t="str">
            <v>24AABCG1282C2Z6</v>
          </cell>
        </row>
        <row r="3185">
          <cell r="D3185" t="str">
            <v>Hcp Plastene Bulkpack Ltd (Unit Iv) - Sales</v>
          </cell>
          <cell r="AB3185" t="str">
            <v>24AABCG1282C2Z6</v>
          </cell>
        </row>
        <row r="3186">
          <cell r="D3186" t="str">
            <v>Hcp Plastene Bulkpack Ltd (Unit Iv) - Sales</v>
          </cell>
          <cell r="AB3186" t="str">
            <v>24AABCG1282C2Z6</v>
          </cell>
        </row>
        <row r="3187">
          <cell r="D3187" t="str">
            <v>Hcp Plastene Bulkpack Ltd (Unit Iv) - Sales</v>
          </cell>
          <cell r="AB3187" t="str">
            <v>24AABCG1282C2Z6</v>
          </cell>
        </row>
        <row r="3188">
          <cell r="D3188" t="str">
            <v>Hcp Plastene Bulkpack Ltd (Unit Iv) - Sales</v>
          </cell>
          <cell r="AB3188" t="str">
            <v>24AABCG1282C2Z6</v>
          </cell>
        </row>
        <row r="3189">
          <cell r="D3189" t="str">
            <v>Hcp Plastene Bulkpack Ltd (Unit Iv) - Sales</v>
          </cell>
          <cell r="AB3189" t="str">
            <v>24AABCG1282C2Z6</v>
          </cell>
        </row>
        <row r="3190">
          <cell r="D3190" t="str">
            <v>Hcp Plastene Bulkpack Ltd (Unit Iv) - Sales</v>
          </cell>
          <cell r="AB3190" t="str">
            <v>24AABCG1282C2Z6</v>
          </cell>
        </row>
        <row r="3191">
          <cell r="D3191" t="str">
            <v>K.P. Woven Pvt Ltd - Unit 3 -Sales</v>
          </cell>
          <cell r="AB3191" t="str">
            <v>24AAECK6307M2ZE</v>
          </cell>
        </row>
        <row r="3192">
          <cell r="D3192" t="str">
            <v>K.P. Woven Pvt Ltd - Unit 3 -Sales</v>
          </cell>
          <cell r="AB3192" t="str">
            <v>24AAECK6307M2ZE</v>
          </cell>
        </row>
        <row r="3193">
          <cell r="D3193" t="str">
            <v>Manyan Inc.</v>
          </cell>
          <cell r="AB3193" t="str">
            <v>N.A.</v>
          </cell>
        </row>
        <row r="3194">
          <cell r="D3194" t="str">
            <v>Plastene Polyfilms Ltd-Sales</v>
          </cell>
          <cell r="AB3194" t="str">
            <v>24AAFCP2956A1ZR</v>
          </cell>
        </row>
        <row r="3195">
          <cell r="D3195" t="str">
            <v>Plastene Polyfilms Ltd-Sales</v>
          </cell>
          <cell r="AB3195" t="str">
            <v>24AAFCP2956A1ZR</v>
          </cell>
        </row>
        <row r="3196">
          <cell r="D3196" t="str">
            <v>Plastene Polyfilms Ltd-Sales</v>
          </cell>
          <cell r="AB3196" t="str">
            <v>24AAFCP2956A1ZR</v>
          </cell>
        </row>
        <row r="3197">
          <cell r="D3197" t="str">
            <v>Plastene Polyfilms Ltd-Sales</v>
          </cell>
          <cell r="AB3197" t="str">
            <v>24AAFCP2956A1ZR</v>
          </cell>
        </row>
        <row r="3198">
          <cell r="D3198" t="str">
            <v>Plastene Polyfilms Ltd-Sales</v>
          </cell>
          <cell r="AB3198" t="str">
            <v>24AAFCP2956A1ZR</v>
          </cell>
        </row>
        <row r="3199">
          <cell r="D3199" t="str">
            <v>Plastene Polyfilms Ltd-Sales</v>
          </cell>
          <cell r="AB3199" t="str">
            <v>24AAFCP2956A1ZR</v>
          </cell>
        </row>
        <row r="3200">
          <cell r="D3200" t="str">
            <v>Plastene Polyfilms Ltd-Sales</v>
          </cell>
          <cell r="AB3200" t="str">
            <v>24AAFCP2956A1ZR</v>
          </cell>
        </row>
        <row r="3201">
          <cell r="D3201" t="str">
            <v>Plastene Polyfilms Ltd-Sales</v>
          </cell>
          <cell r="AB3201" t="str">
            <v>24AAFCP2956A1ZR</v>
          </cell>
        </row>
        <row r="3202">
          <cell r="D3202" t="str">
            <v>Plastene Polyfilms Ltd-Sales</v>
          </cell>
          <cell r="AB3202" t="str">
            <v>24AAFCP2956A1ZR</v>
          </cell>
        </row>
        <row r="3203">
          <cell r="D3203" t="str">
            <v>Rossi Imballaggi Srl</v>
          </cell>
          <cell r="AB3203" t="str">
            <v>N.A.</v>
          </cell>
        </row>
        <row r="3204">
          <cell r="D3204" t="str">
            <v>Hcp Plastene Bulkpack Ltd (Unit Iv) - Sales</v>
          </cell>
          <cell r="AB3204" t="str">
            <v>24AABCG1282C2Z6</v>
          </cell>
        </row>
        <row r="3205">
          <cell r="D3205" t="str">
            <v>Hcp Plastene Bulkpack Ltd (Unit Iv) - Sales</v>
          </cell>
          <cell r="AB3205" t="str">
            <v>24AABCG1282C2Z6</v>
          </cell>
        </row>
        <row r="3206">
          <cell r="D3206" t="str">
            <v>Hcp Plastene Bulkpack Ltd (Unit Iv) - Sales</v>
          </cell>
          <cell r="AB3206" t="str">
            <v>24AABCG1282C2Z6</v>
          </cell>
        </row>
        <row r="3207">
          <cell r="D3207" t="str">
            <v>Hcp Plastene Bulkpack Ltd (Unit Iv) - Sales</v>
          </cell>
          <cell r="AB3207" t="str">
            <v>24AABCG1282C2Z6</v>
          </cell>
        </row>
        <row r="3208">
          <cell r="D3208" t="str">
            <v>Hcp Plastene Bulkpack Ltd (Unit Iv) - Sales</v>
          </cell>
          <cell r="AB3208" t="str">
            <v>24AABCG1282C2Z6</v>
          </cell>
        </row>
        <row r="3209">
          <cell r="D3209" t="str">
            <v>Hcp Plastene Bulkpack Ltd (Unit Iv) - Sales</v>
          </cell>
          <cell r="AB3209" t="str">
            <v>24AABCG1282C2Z6</v>
          </cell>
        </row>
        <row r="3210">
          <cell r="D3210" t="str">
            <v>Hcp Plastene Bulkpack Ltd (Unit Iv) - Sales</v>
          </cell>
          <cell r="AB3210" t="str">
            <v>24AABCG1282C2Z6</v>
          </cell>
        </row>
        <row r="3211">
          <cell r="D3211" t="str">
            <v>Hcp Plastene Bulkpack Ltd (Unit Iv) - Sales</v>
          </cell>
          <cell r="AB3211" t="str">
            <v>24AABCG1282C2Z6</v>
          </cell>
        </row>
        <row r="3212">
          <cell r="D3212" t="str">
            <v>Hcp Plastene Bulkpack Ltd (Unit Iv) - Sales</v>
          </cell>
          <cell r="AB3212" t="str">
            <v>24AABCG1282C2Z6</v>
          </cell>
        </row>
        <row r="3213">
          <cell r="D3213" t="str">
            <v>Hcp Plastene Bulkpack Ltd (Unit Iv) - Sales</v>
          </cell>
          <cell r="AB3213" t="str">
            <v>24AABCG1282C2Z6</v>
          </cell>
        </row>
        <row r="3214">
          <cell r="D3214" t="str">
            <v>Hcp Plastene Bulkpack Ltd (Unit Iv) - Sales</v>
          </cell>
          <cell r="AB3214" t="str">
            <v>24AABCG1282C2Z6</v>
          </cell>
        </row>
        <row r="3215">
          <cell r="D3215" t="str">
            <v>Hcp Plastene Bulkpack Ltd (Unit Iv) - Sales</v>
          </cell>
          <cell r="AB3215" t="str">
            <v>24AABCG1282C2Z6</v>
          </cell>
        </row>
        <row r="3216">
          <cell r="D3216" t="str">
            <v>K.P. Woven Pvt Ltd - Unit 3 -Sales</v>
          </cell>
          <cell r="AB3216" t="str">
            <v>24AAECK6307M2ZE</v>
          </cell>
        </row>
        <row r="3217">
          <cell r="D3217" t="str">
            <v>K.P. Woven Pvt Ltd - Unit 3 -Sales</v>
          </cell>
          <cell r="AB3217" t="str">
            <v>24AAECK6307M2ZE</v>
          </cell>
        </row>
        <row r="3218">
          <cell r="D3218" t="str">
            <v>K.P. Woven Pvt Ltd - Unit 3 -Sales</v>
          </cell>
          <cell r="AB3218" t="str">
            <v>24AAECK6307M2ZE</v>
          </cell>
        </row>
        <row r="3219">
          <cell r="D3219" t="str">
            <v>K.P. Woven Pvt Ltd - Unit 3 -Sales</v>
          </cell>
          <cell r="AB3219" t="str">
            <v>24AAECK6307M2ZE</v>
          </cell>
        </row>
        <row r="3220">
          <cell r="D3220" t="str">
            <v>K.P. Woven Pvt Ltd - Unit 3 -Sales</v>
          </cell>
          <cell r="AB3220" t="str">
            <v>24AAECK6307M2ZE</v>
          </cell>
        </row>
        <row r="3221">
          <cell r="D3221" t="str">
            <v>K.P. Woven Pvt Ltd - Unit 3 -Sales</v>
          </cell>
          <cell r="AB3221" t="str">
            <v>24AAECK6307M2ZE</v>
          </cell>
        </row>
        <row r="3222">
          <cell r="D3222" t="str">
            <v>K.P. Woven Pvt Ltd - Unit 3 -Sales</v>
          </cell>
          <cell r="AB3222" t="str">
            <v>24AAECK6307M2ZE</v>
          </cell>
        </row>
        <row r="3223">
          <cell r="D3223" t="str">
            <v>K.P. Woven Pvt Ltd-Sales</v>
          </cell>
          <cell r="AB3223" t="str">
            <v>24AAECK6307M1ZF</v>
          </cell>
        </row>
        <row r="3224">
          <cell r="D3224" t="str">
            <v>K.P. Woven Pvt Ltd-Sales</v>
          </cell>
          <cell r="AB3224" t="str">
            <v>24AAECK6307M1ZF</v>
          </cell>
        </row>
        <row r="3225">
          <cell r="D3225" t="str">
            <v>K.P. Woven Pvt Ltd-Sales</v>
          </cell>
          <cell r="AB3225" t="str">
            <v>24AAECK6307M1ZF</v>
          </cell>
        </row>
        <row r="3226">
          <cell r="D3226" t="str">
            <v>K.P. Woven Pvt Ltd-Sales</v>
          </cell>
          <cell r="AB3226" t="str">
            <v>24AAECK6307M1ZF</v>
          </cell>
        </row>
        <row r="3227">
          <cell r="D3227" t="str">
            <v>K.P. Woven Pvt Ltd-Sales</v>
          </cell>
          <cell r="AB3227" t="str">
            <v>24AAECK6307M1ZF</v>
          </cell>
        </row>
        <row r="3228">
          <cell r="D3228" t="str">
            <v>K.P. Woven Pvt Ltd-Sales</v>
          </cell>
          <cell r="AB3228" t="str">
            <v>24AAECK6307M1ZF</v>
          </cell>
        </row>
        <row r="3229">
          <cell r="D3229" t="str">
            <v>K.P. Woven Pvt Ltd-Sales</v>
          </cell>
          <cell r="AB3229" t="str">
            <v>24AAECK6307M1ZF</v>
          </cell>
        </row>
        <row r="3230">
          <cell r="D3230" t="str">
            <v>Plastene Polyfilms Ltd-Sales</v>
          </cell>
          <cell r="AB3230" t="str">
            <v>24AAFCP2956A1ZR</v>
          </cell>
        </row>
        <row r="3231">
          <cell r="D3231" t="str">
            <v>Plastene Polyfilms Ltd-Sales</v>
          </cell>
          <cell r="AB3231" t="str">
            <v>24AAFCP2956A1ZR</v>
          </cell>
        </row>
        <row r="3232">
          <cell r="D3232" t="str">
            <v>Plastene Polyfilms Ltd-Sales</v>
          </cell>
          <cell r="AB3232" t="str">
            <v>24AAFCP2956A1ZR</v>
          </cell>
        </row>
        <row r="3233">
          <cell r="D3233" t="str">
            <v>Plastene Polyfilms Ltd-Sales</v>
          </cell>
          <cell r="AB3233" t="str">
            <v>24AAFCP2956A1ZR</v>
          </cell>
        </row>
        <row r="3234">
          <cell r="D3234" t="str">
            <v>Plastene Polyfilms Ltd-Sales</v>
          </cell>
          <cell r="AB3234" t="str">
            <v>24AAFCP2956A1ZR</v>
          </cell>
        </row>
        <row r="3235">
          <cell r="D3235" t="str">
            <v>Plastene Polyfilms Ltd-Sales</v>
          </cell>
          <cell r="AB3235" t="str">
            <v>24AAFCP2956A1ZR</v>
          </cell>
        </row>
        <row r="3236">
          <cell r="D3236" t="str">
            <v>Plastene Polyfilms Ltd-Sales</v>
          </cell>
          <cell r="AB3236" t="str">
            <v>24AAFCP2956A1ZR</v>
          </cell>
        </row>
        <row r="3237">
          <cell r="D3237" t="str">
            <v>Plastene Polyfilms Ltd-Sales</v>
          </cell>
          <cell r="AB3237" t="str">
            <v>24AAFCP2956A1ZR</v>
          </cell>
        </row>
        <row r="3238">
          <cell r="D3238" t="str">
            <v>Plastene Polyfilms Ltd-Sales</v>
          </cell>
          <cell r="AB3238" t="str">
            <v>24AAFCP2956A1ZR</v>
          </cell>
        </row>
        <row r="3239">
          <cell r="D3239" t="str">
            <v>Plastene Polyfilms Ltd-Sales</v>
          </cell>
          <cell r="AB3239" t="str">
            <v>24AAFCP2956A1ZR</v>
          </cell>
        </row>
        <row r="3240">
          <cell r="D3240" t="str">
            <v>Plastene Polyfilms Ltd-Sales</v>
          </cell>
          <cell r="AB3240" t="str">
            <v>24AAFCP2956A1ZR</v>
          </cell>
        </row>
        <row r="3241">
          <cell r="D3241" t="str">
            <v>Comercial Pra Cafe Ltda - Manaus</v>
          </cell>
          <cell r="AB3241" t="str">
            <v>N.A.</v>
          </cell>
        </row>
        <row r="3242">
          <cell r="D3242" t="str">
            <v>Hcp Plastene Bulkpack Ltd (Unit Iv) - Sales</v>
          </cell>
          <cell r="AB3242" t="str">
            <v>24AABCG1282C2Z6</v>
          </cell>
        </row>
        <row r="3243">
          <cell r="D3243" t="str">
            <v>Hcp Plastene Bulkpack Ltd (Unit Iv) - Sales</v>
          </cell>
          <cell r="AB3243" t="str">
            <v>24AABCG1282C2Z6</v>
          </cell>
        </row>
        <row r="3244">
          <cell r="D3244" t="str">
            <v>Hcp Plastene Bulkpack Ltd (Unit Iv) - Sales</v>
          </cell>
          <cell r="AB3244" t="str">
            <v>24AABCG1282C2Z6</v>
          </cell>
        </row>
        <row r="3245">
          <cell r="D3245" t="str">
            <v>Hcp Plastene Bulkpack Ltd (Unit Iv) - Sales</v>
          </cell>
          <cell r="AB3245" t="str">
            <v>24AABCG1282C2Z6</v>
          </cell>
        </row>
        <row r="3246">
          <cell r="D3246" t="str">
            <v>Hcp Plastene Bulkpack Ltd (Unit Iv) - Sales</v>
          </cell>
          <cell r="AB3246" t="str">
            <v>24AABCG1282C2Z6</v>
          </cell>
        </row>
        <row r="3247">
          <cell r="D3247" t="str">
            <v>Hcp Plastene Bulkpack Ltd (Unit Iv) - Sales</v>
          </cell>
          <cell r="AB3247" t="str">
            <v>24AABCG1282C2Z6</v>
          </cell>
        </row>
        <row r="3248">
          <cell r="D3248" t="str">
            <v>Hcp Plastene Bulkpack Ltd (Unit Iv) - Sales</v>
          </cell>
          <cell r="AB3248" t="str">
            <v>24AABCG1282C2Z6</v>
          </cell>
        </row>
        <row r="3249">
          <cell r="D3249" t="str">
            <v>Hcp Plastene Bulkpack Ltd (Unit Iv) - Sales</v>
          </cell>
          <cell r="AB3249" t="str">
            <v>24AABCG1282C2Z6</v>
          </cell>
        </row>
        <row r="3250">
          <cell r="D3250" t="str">
            <v>Hcp Plastene Bulkpack Ltd (Unit Iv) - Sales</v>
          </cell>
          <cell r="AB3250" t="str">
            <v>24AABCG1282C2Z6</v>
          </cell>
        </row>
        <row r="3251">
          <cell r="D3251" t="str">
            <v>Hcp Plastene Bulkpack Ltd (Unit Iv) - Sales</v>
          </cell>
          <cell r="AB3251" t="str">
            <v>24AABCG1282C2Z6</v>
          </cell>
        </row>
        <row r="3252">
          <cell r="D3252" t="str">
            <v>Hcp Plastene Bulkpack Ltd (Unit Iv) - Sales</v>
          </cell>
          <cell r="AB3252" t="str">
            <v>24AABCG1282C2Z6</v>
          </cell>
        </row>
        <row r="3253">
          <cell r="D3253" t="str">
            <v>K.P. Woven Pvt Ltd - Unit 3 -Sales</v>
          </cell>
          <cell r="AB3253" t="str">
            <v>24AAECK6307M2ZE</v>
          </cell>
        </row>
        <row r="3254">
          <cell r="D3254" t="str">
            <v>K.P. Woven Pvt Ltd - Unit 3 -Sales</v>
          </cell>
          <cell r="AB3254" t="str">
            <v>24AAECK6307M2ZE</v>
          </cell>
        </row>
        <row r="3255">
          <cell r="D3255" t="str">
            <v>K.P. Woven Pvt Ltd - Unit 3 -Sales</v>
          </cell>
          <cell r="AB3255" t="str">
            <v>24AAECK6307M2ZE</v>
          </cell>
        </row>
        <row r="3256">
          <cell r="D3256" t="str">
            <v>K.P. Woven Pvt Ltd - Unit 3 -Sales</v>
          </cell>
          <cell r="AB3256" t="str">
            <v>24AAECK6307M2ZE</v>
          </cell>
        </row>
        <row r="3257">
          <cell r="D3257" t="str">
            <v>K.P. Woven Pvt Ltd - Unit 3 -Sales</v>
          </cell>
          <cell r="AB3257" t="str">
            <v>24AAECK6307M2ZE</v>
          </cell>
        </row>
        <row r="3258">
          <cell r="D3258" t="str">
            <v>K.P. Woven Pvt Ltd - Unit 3 -Sales</v>
          </cell>
          <cell r="AB3258" t="str">
            <v>24AAECK6307M2ZE</v>
          </cell>
        </row>
        <row r="3259">
          <cell r="D3259" t="str">
            <v>K.P. Woven Pvt Ltd-Sales</v>
          </cell>
          <cell r="AB3259" t="str">
            <v>24AAECK6307M1ZF</v>
          </cell>
        </row>
        <row r="3260">
          <cell r="D3260" t="str">
            <v>K.P. Woven Pvt Ltd-Sales</v>
          </cell>
          <cell r="AB3260" t="str">
            <v>24AAECK6307M1ZF</v>
          </cell>
        </row>
        <row r="3261">
          <cell r="D3261" t="str">
            <v>K.P. Woven Pvt Ltd-Sales</v>
          </cell>
          <cell r="AB3261" t="str">
            <v>24AAECK6307M1ZF</v>
          </cell>
        </row>
        <row r="3262">
          <cell r="D3262" t="str">
            <v>K.P. Woven Pvt Ltd-Sales</v>
          </cell>
          <cell r="AB3262" t="str">
            <v>24AAECK6307M1ZF</v>
          </cell>
        </row>
        <row r="3263">
          <cell r="D3263" t="str">
            <v>K.P. Woven Pvt Ltd-Sales</v>
          </cell>
          <cell r="AB3263" t="str">
            <v>24AAECK6307M1ZF</v>
          </cell>
        </row>
        <row r="3264">
          <cell r="D3264" t="str">
            <v>K.P. Woven Pvt Ltd-Sales</v>
          </cell>
          <cell r="AB3264" t="str">
            <v>24AAECK6307M1ZF</v>
          </cell>
        </row>
        <row r="3265">
          <cell r="D3265" t="str">
            <v>K.P. Woven Pvt Ltd-Sales</v>
          </cell>
          <cell r="AB3265" t="str">
            <v>24AAECK6307M1ZF</v>
          </cell>
        </row>
        <row r="3266">
          <cell r="D3266" t="str">
            <v>K.P. Woven Pvt Ltd-Sales</v>
          </cell>
          <cell r="AB3266" t="str">
            <v>24AAECK6307M1ZF</v>
          </cell>
        </row>
        <row r="3267">
          <cell r="D3267" t="str">
            <v>K.P. Woven Pvt Ltd-Sales</v>
          </cell>
          <cell r="AB3267" t="str">
            <v>24AAECK6307M1ZF</v>
          </cell>
        </row>
        <row r="3268">
          <cell r="D3268" t="str">
            <v>K.P. Woven Pvt Ltd-Sales</v>
          </cell>
          <cell r="AB3268" t="str">
            <v>24AAECK6307M1ZF</v>
          </cell>
        </row>
        <row r="3269">
          <cell r="D3269" t="str">
            <v>Plastene Polyfilms Ltd-Sales</v>
          </cell>
          <cell r="AB3269" t="str">
            <v>24AAFCP2956A1ZR</v>
          </cell>
        </row>
        <row r="3270">
          <cell r="D3270" t="str">
            <v>Plastene Polyfilms Ltd-Sales</v>
          </cell>
          <cell r="AB3270" t="str">
            <v>24AAFCP2956A1ZR</v>
          </cell>
        </row>
        <row r="3271">
          <cell r="D3271" t="str">
            <v>Plastene Polyfilms Ltd-Sales</v>
          </cell>
          <cell r="AB3271" t="str">
            <v>24AAFCP2956A1ZR</v>
          </cell>
        </row>
        <row r="3272">
          <cell r="D3272" t="str">
            <v>Plastene Polyfilms Ltd-Sales</v>
          </cell>
          <cell r="AB3272" t="str">
            <v>24AAFCP2956A1ZR</v>
          </cell>
        </row>
        <row r="3273">
          <cell r="D3273" t="str">
            <v>Plastene Polyfilms Ltd-Sales</v>
          </cell>
          <cell r="AB3273" t="str">
            <v>24AAFCP2956A1ZR</v>
          </cell>
        </row>
        <row r="3274">
          <cell r="D3274" t="str">
            <v>Plastene Polyfilms Ltd-Sales</v>
          </cell>
          <cell r="AB3274" t="str">
            <v>24AAFCP2956A1ZR</v>
          </cell>
        </row>
        <row r="3275">
          <cell r="D3275" t="str">
            <v xml:space="preserve">Town &amp; Country (Northern) Limited </v>
          </cell>
          <cell r="AB3275" t="str">
            <v>N.A.</v>
          </cell>
        </row>
        <row r="3276">
          <cell r="D3276" t="str">
            <v>Hcp Plastene Bulkpack Ltd (Unit Iv) - Sales</v>
          </cell>
          <cell r="AB3276" t="str">
            <v>24AABCG1282C2Z6</v>
          </cell>
        </row>
        <row r="3277">
          <cell r="D3277" t="str">
            <v>Hcp Plastene Bulkpack Ltd (Unit Iv) - Sales</v>
          </cell>
          <cell r="AB3277" t="str">
            <v>24AABCG1282C2Z6</v>
          </cell>
        </row>
        <row r="3278">
          <cell r="D3278" t="str">
            <v>Hcp Plastene Bulkpack Ltd (Unit Iv) - Sales</v>
          </cell>
          <cell r="AB3278" t="str">
            <v>24AABCG1282C2Z6</v>
          </cell>
        </row>
        <row r="3279">
          <cell r="D3279" t="str">
            <v>Hcp Plastene Bulkpack Ltd (Unit Iv) - Sales</v>
          </cell>
          <cell r="AB3279" t="str">
            <v>24AABCG1282C2Z6</v>
          </cell>
        </row>
        <row r="3280">
          <cell r="D3280" t="str">
            <v>Hcp Plastene Bulkpack Ltd (Unit Iv) - Sales</v>
          </cell>
          <cell r="AB3280" t="str">
            <v>24AABCG1282C2Z6</v>
          </cell>
        </row>
        <row r="3281">
          <cell r="D3281" t="str">
            <v>Hcp Plastene Bulkpack Ltd (Unit Iv) - Sales</v>
          </cell>
          <cell r="AB3281" t="str">
            <v>24AABCG1282C2Z6</v>
          </cell>
        </row>
        <row r="3282">
          <cell r="D3282" t="str">
            <v>Hcp Plastene Bulkpack Ltd (Unit Iv) - Sales</v>
          </cell>
          <cell r="AB3282" t="str">
            <v>24AABCG1282C2Z6</v>
          </cell>
        </row>
        <row r="3283">
          <cell r="D3283" t="str">
            <v>Hcp Plastene Bulkpack Ltd (Unit Iv) - Sales</v>
          </cell>
          <cell r="AB3283" t="str">
            <v>24AABCG1282C2Z6</v>
          </cell>
        </row>
        <row r="3284">
          <cell r="D3284" t="str">
            <v>Hcp Plastene Bulkpack Ltd (Unit Iv) - Sales</v>
          </cell>
          <cell r="AB3284" t="str">
            <v>24AABCG1282C2Z6</v>
          </cell>
        </row>
        <row r="3285">
          <cell r="D3285" t="str">
            <v>Hcp Plastene Bulkpack Ltd (Unit Iv) - Sales</v>
          </cell>
          <cell r="AB3285" t="str">
            <v>24AABCG1282C2Z6</v>
          </cell>
        </row>
        <row r="3286">
          <cell r="D3286" t="str">
            <v>Hcp Plastene Bulkpack Ltd (Unit Iv) - Sales</v>
          </cell>
          <cell r="AB3286" t="str">
            <v>24AABCG1282C2Z6</v>
          </cell>
        </row>
        <row r="3287">
          <cell r="D3287" t="str">
            <v>Hcp Plastene Bulkpack Ltd (Unit Iv) - Sales</v>
          </cell>
          <cell r="AB3287" t="str">
            <v>24AABCG1282C2Z6</v>
          </cell>
        </row>
        <row r="3288">
          <cell r="D3288" t="str">
            <v>Hcp Plastene Bulkpack Ltd (Unit Iv) - Sales</v>
          </cell>
          <cell r="AB3288" t="str">
            <v>24AABCG1282C2Z6</v>
          </cell>
        </row>
        <row r="3289">
          <cell r="D3289" t="str">
            <v>Hcp Plastene Bulkpack Ltd (Unit Iv) - Sales</v>
          </cell>
          <cell r="AB3289" t="str">
            <v>24AABCG1282C2Z6</v>
          </cell>
        </row>
        <row r="3290">
          <cell r="D3290" t="str">
            <v>Jain Bulk Pack - Ahmedabad</v>
          </cell>
          <cell r="AB3290" t="str">
            <v>24AFOPG7793M1ZO</v>
          </cell>
        </row>
        <row r="3291">
          <cell r="D3291" t="str">
            <v>Jain Bulk Pack - Ahmedabad</v>
          </cell>
          <cell r="AB3291" t="str">
            <v>24AFOPG7793M1ZO</v>
          </cell>
        </row>
        <row r="3292">
          <cell r="D3292" t="str">
            <v>Jain Bulk Pack - Ahmedabad</v>
          </cell>
          <cell r="AB3292" t="str">
            <v>24AFOPG7793M1ZO</v>
          </cell>
        </row>
        <row r="3293">
          <cell r="D3293" t="str">
            <v>Plastene Polyfilms Ltd-Sales</v>
          </cell>
          <cell r="AB3293" t="str">
            <v>24AAFCP2956A1ZR</v>
          </cell>
        </row>
        <row r="3294">
          <cell r="D3294" t="str">
            <v>Plastene Polyfilms Ltd-Sales</v>
          </cell>
          <cell r="AB3294" t="str">
            <v>24AAFCP2956A1ZR</v>
          </cell>
        </row>
        <row r="3295">
          <cell r="D3295" t="str">
            <v>Plastene Polyfilms Ltd-Sales</v>
          </cell>
          <cell r="AB3295" t="str">
            <v>24AAFCP2956A1ZR</v>
          </cell>
        </row>
        <row r="3296">
          <cell r="D3296" t="str">
            <v>Plastene Polyfilms Ltd-Sales</v>
          </cell>
          <cell r="AB3296" t="str">
            <v>24AAFCP2956A1ZR</v>
          </cell>
        </row>
        <row r="3297">
          <cell r="D3297" t="str">
            <v>Plastene Polyfilms Ltd-Sales</v>
          </cell>
          <cell r="AB3297" t="str">
            <v>24AAFCP2956A1ZR</v>
          </cell>
        </row>
        <row r="3298">
          <cell r="D3298" t="str">
            <v>Plastene Polyfilms Ltd-Sales</v>
          </cell>
          <cell r="AB3298" t="str">
            <v>24AAFCP2956A1ZR</v>
          </cell>
        </row>
        <row r="3299">
          <cell r="D3299" t="str">
            <v>Fibco Plastic Industry Llc</v>
          </cell>
          <cell r="AB3299" t="str">
            <v>N.A.</v>
          </cell>
        </row>
        <row r="3300">
          <cell r="D3300" t="str">
            <v>Fibco Plastic Industry Llc</v>
          </cell>
          <cell r="AB3300" t="str">
            <v>N.A.</v>
          </cell>
        </row>
        <row r="3301">
          <cell r="D3301" t="str">
            <v>Fibco Plastic Industry Llc</v>
          </cell>
          <cell r="AB3301" t="str">
            <v>N.A.</v>
          </cell>
        </row>
        <row r="3302">
          <cell r="D3302" t="str">
            <v>Fibco Plastic Industry Llc</v>
          </cell>
          <cell r="AB3302" t="str">
            <v>N.A.</v>
          </cell>
        </row>
        <row r="3303">
          <cell r="D3303" t="str">
            <v>Fibco Plastic Industry Llc</v>
          </cell>
          <cell r="AB3303" t="str">
            <v>N.A.</v>
          </cell>
        </row>
        <row r="3304">
          <cell r="D3304" t="str">
            <v>Fibco Plastic Industry Llc</v>
          </cell>
          <cell r="AB3304" t="str">
            <v>N.A.</v>
          </cell>
        </row>
        <row r="3305">
          <cell r="D3305" t="str">
            <v>Fibco Plastic Industry Llc</v>
          </cell>
          <cell r="AB3305" t="str">
            <v>N.A.</v>
          </cell>
        </row>
        <row r="3306">
          <cell r="D3306" t="str">
            <v>Hcp Plastene Bulkpack Ltd (Unit Iv) - Sales</v>
          </cell>
          <cell r="AB3306" t="str">
            <v>24AABCG1282C2Z6</v>
          </cell>
        </row>
        <row r="3307">
          <cell r="D3307" t="str">
            <v>Hcp Plastene Bulkpack Ltd (Unit Iv) - Sales</v>
          </cell>
          <cell r="AB3307" t="str">
            <v>24AABCG1282C2Z6</v>
          </cell>
        </row>
        <row r="3308">
          <cell r="D3308" t="str">
            <v>Hcp Plastene Bulkpack Ltd (Unit Iv) - Sales</v>
          </cell>
          <cell r="AB3308" t="str">
            <v>24AABCG1282C2Z6</v>
          </cell>
        </row>
        <row r="3309">
          <cell r="D3309" t="str">
            <v>Hcp Plastene Bulkpack Ltd (Unit Iv) - Sales</v>
          </cell>
          <cell r="AB3309" t="str">
            <v>24AABCG1282C2Z6</v>
          </cell>
        </row>
        <row r="3310">
          <cell r="D3310" t="str">
            <v>Hcp Plastene Bulkpack Ltd (Unit Iv) - Sales</v>
          </cell>
          <cell r="AB3310" t="str">
            <v>24AABCG1282C2Z6</v>
          </cell>
        </row>
        <row r="3311">
          <cell r="D3311" t="str">
            <v>Hcp Plastene Bulkpack Ltd (Unit Iv) - Sales</v>
          </cell>
          <cell r="AB3311" t="str">
            <v>24AABCG1282C2Z6</v>
          </cell>
        </row>
        <row r="3312">
          <cell r="D3312" t="str">
            <v>Hcp Plastene Bulkpack Ltd (Unit Iv) - Sales</v>
          </cell>
          <cell r="AB3312" t="str">
            <v>24AABCG1282C2Z6</v>
          </cell>
        </row>
        <row r="3313">
          <cell r="D3313" t="str">
            <v>Hcp Plastene Bulkpack Ltd (Unit Iv) - Sales</v>
          </cell>
          <cell r="AB3313" t="str">
            <v>24AABCG1282C2Z6</v>
          </cell>
        </row>
        <row r="3314">
          <cell r="D3314" t="str">
            <v>Hcp Plastene Bulkpack Ltd (Unit Iv) - Sales</v>
          </cell>
          <cell r="AB3314" t="str">
            <v>24AABCG1282C2Z6</v>
          </cell>
        </row>
        <row r="3315">
          <cell r="D3315" t="str">
            <v>Hcp Plastene Bulkpack Ltd (Unit Iv) - Sales</v>
          </cell>
          <cell r="AB3315" t="str">
            <v>24AABCG1282C2Z6</v>
          </cell>
        </row>
        <row r="3316">
          <cell r="D3316" t="str">
            <v>Hcp Plastene Bulkpack Ltd (Unit Iv) - Sales</v>
          </cell>
          <cell r="AB3316" t="str">
            <v>24AABCG1282C2Z6</v>
          </cell>
        </row>
        <row r="3317">
          <cell r="D3317" t="str">
            <v>Jain Bulk Pack - Ahmedabad</v>
          </cell>
          <cell r="AB3317" t="str">
            <v>24AFOPG7793M1ZO</v>
          </cell>
        </row>
        <row r="3318">
          <cell r="D3318" t="str">
            <v>Mercados Mundiales Import Export, S.A.U</v>
          </cell>
          <cell r="AB3318" t="str">
            <v>N.A.</v>
          </cell>
        </row>
        <row r="3319">
          <cell r="D3319" t="str">
            <v>Plastene Polyfilms Ltd-Sales</v>
          </cell>
          <cell r="AB3319" t="str">
            <v>24AAFCP2956A1ZR</v>
          </cell>
        </row>
        <row r="3320">
          <cell r="D3320" t="str">
            <v>Plastene Polyfilms Ltd-Sales</v>
          </cell>
          <cell r="AB3320" t="str">
            <v>24AAFCP2956A1ZR</v>
          </cell>
        </row>
        <row r="3321">
          <cell r="D3321" t="str">
            <v>Plastene Polyfilms Ltd-Sales</v>
          </cell>
          <cell r="AB3321" t="str">
            <v>24AAFCP2956A1ZR</v>
          </cell>
        </row>
        <row r="3322">
          <cell r="D3322" t="str">
            <v>Plastene Polyfilms Ltd-Sales</v>
          </cell>
          <cell r="AB3322" t="str">
            <v>24AAFCP2956A1ZR</v>
          </cell>
        </row>
        <row r="3323">
          <cell r="D3323" t="str">
            <v>Plastene Polyfilms Ltd-Sales</v>
          </cell>
          <cell r="AB3323" t="str">
            <v>24AAFCP2956A1ZR</v>
          </cell>
        </row>
        <row r="3324">
          <cell r="D3324" t="str">
            <v>Plastene Polyfilms Ltd-Sales</v>
          </cell>
          <cell r="AB3324" t="str">
            <v>24AAFCP2956A1ZR</v>
          </cell>
        </row>
        <row r="3325">
          <cell r="D3325" t="str">
            <v>Plastene Polyfilms Ltd-Sales</v>
          </cell>
          <cell r="AB3325" t="str">
            <v>24AAFCP2956A1ZR</v>
          </cell>
        </row>
        <row r="3326">
          <cell r="D3326" t="str">
            <v>Plastene Polyfilms Ltd-Sales</v>
          </cell>
          <cell r="AB3326" t="str">
            <v>24AAFCP2956A1ZR</v>
          </cell>
        </row>
        <row r="3327">
          <cell r="D3327" t="str">
            <v>Qpac Ltd</v>
          </cell>
          <cell r="AB3327" t="str">
            <v>N.A.</v>
          </cell>
        </row>
        <row r="3328">
          <cell r="D3328" t="str">
            <v>Rafia Industrial S.A.</v>
          </cell>
          <cell r="AB3328" t="str">
            <v>N.A.</v>
          </cell>
        </row>
        <row r="3329">
          <cell r="D3329" t="str">
            <v>Deepak Overseas</v>
          </cell>
          <cell r="AB3329" t="str">
            <v>24AGUPS7962F1ZO</v>
          </cell>
        </row>
        <row r="3330">
          <cell r="D3330" t="str">
            <v>Deepak Overseas</v>
          </cell>
          <cell r="AB3330" t="str">
            <v>24AGUPS7962F1ZO</v>
          </cell>
        </row>
        <row r="3331">
          <cell r="D3331" t="str">
            <v>Deepak Overseas</v>
          </cell>
          <cell r="AB3331" t="str">
            <v>24AGUPS7962F1ZO</v>
          </cell>
        </row>
        <row r="3332">
          <cell r="D3332" t="str">
            <v>Deepak Overseas</v>
          </cell>
          <cell r="AB3332" t="str">
            <v>24AGUPS7962F1ZO</v>
          </cell>
        </row>
        <row r="3333">
          <cell r="D3333" t="str">
            <v>HCP Plastene Bulkpack Limited - Sales</v>
          </cell>
          <cell r="AB3333" t="str">
            <v>24AABCG1282C2Z6</v>
          </cell>
        </row>
        <row r="3334">
          <cell r="D3334" t="str">
            <v>Hcp Plastene Bulkpack Ltd (Unit Iv) - Sales</v>
          </cell>
          <cell r="AB3334" t="str">
            <v>24AABCG1282C2Z6</v>
          </cell>
        </row>
        <row r="3335">
          <cell r="D3335" t="str">
            <v>Hcp Plastene Bulkpack Ltd (Unit Iv) - Sales</v>
          </cell>
          <cell r="AB3335" t="str">
            <v>24AABCG1282C2Z6</v>
          </cell>
        </row>
        <row r="3336">
          <cell r="D3336" t="str">
            <v>Hcp Plastene Bulkpack Ltd (Unit Iv) - Sales</v>
          </cell>
          <cell r="AB3336" t="str">
            <v>24AABCG1282C2Z6</v>
          </cell>
        </row>
        <row r="3337">
          <cell r="D3337" t="str">
            <v>Hcp Plastene Bulkpack Ltd (Unit Iv) - Sales</v>
          </cell>
          <cell r="AB3337" t="str">
            <v>24AABCG1282C2Z6</v>
          </cell>
        </row>
        <row r="3338">
          <cell r="D3338" t="str">
            <v>Hcp Plastene Bulkpack Ltd (Unit Iv) - Sales</v>
          </cell>
          <cell r="AB3338" t="str">
            <v>24AABCG1282C2Z6</v>
          </cell>
        </row>
        <row r="3339">
          <cell r="D3339" t="str">
            <v>Hcp Plastene Bulkpack Ltd (Unit Iv) - Sales</v>
          </cell>
          <cell r="AB3339" t="str">
            <v>24AABCG1282C2Z6</v>
          </cell>
        </row>
        <row r="3340">
          <cell r="D3340" t="str">
            <v>Hcp Plastene Bulkpack Ltd (Unit Iv) - Sales</v>
          </cell>
          <cell r="AB3340" t="str">
            <v>24AABCG1282C2Z6</v>
          </cell>
        </row>
        <row r="3341">
          <cell r="D3341" t="str">
            <v>Hcp Plastene Bulkpack Ltd (Unit Iv) - Sales</v>
          </cell>
          <cell r="AB3341" t="str">
            <v>24AABCG1282C2Z6</v>
          </cell>
        </row>
        <row r="3342">
          <cell r="D3342" t="str">
            <v>Hcp Plastene Bulkpack Ltd (Unit Iv) - Sales</v>
          </cell>
          <cell r="AB3342" t="str">
            <v>24AABCG1282C2Z6</v>
          </cell>
        </row>
        <row r="3343">
          <cell r="D3343" t="str">
            <v>Hcp Plastene Bulkpack Ltd (Unit Iv) - Sales</v>
          </cell>
          <cell r="AB3343" t="str">
            <v>24AABCG1282C2Z6</v>
          </cell>
        </row>
        <row r="3344">
          <cell r="D3344" t="str">
            <v>Hcp Plastene Bulkpack Ltd (Unit Iv) - Sales</v>
          </cell>
          <cell r="AB3344" t="str">
            <v>24AABCG1282C2Z6</v>
          </cell>
        </row>
        <row r="3345">
          <cell r="D3345" t="str">
            <v>Hcp Plastene Bulkpack Ltd (Unit Iv) - Sales</v>
          </cell>
          <cell r="AB3345" t="str">
            <v>24AABCG1282C2Z6</v>
          </cell>
        </row>
        <row r="3346">
          <cell r="D3346" t="str">
            <v>Hcp Plastene Bulkpack Ltd (Unit Iv) - Sales</v>
          </cell>
          <cell r="AB3346" t="str">
            <v>24AABCG1282C2Z6</v>
          </cell>
        </row>
        <row r="3347">
          <cell r="D3347" t="str">
            <v>Jain Bulk Pack - Ahmedabad</v>
          </cell>
          <cell r="AB3347" t="str">
            <v>24AFOPG7793M1ZO</v>
          </cell>
        </row>
        <row r="3348">
          <cell r="D3348" t="str">
            <v>K.P. Woven Pvt Ltd - Unit 3 -Sales</v>
          </cell>
          <cell r="AB3348" t="str">
            <v>24AAECK6307M2ZE</v>
          </cell>
        </row>
        <row r="3349">
          <cell r="D3349" t="str">
            <v>K.P. Woven Pvt Ltd - Unit 3 -Sales</v>
          </cell>
          <cell r="AB3349" t="str">
            <v>24AAECK6307M2ZE</v>
          </cell>
        </row>
        <row r="3350">
          <cell r="D3350" t="str">
            <v>K.P. Woven Pvt Ltd - Unit 3 -Sales</v>
          </cell>
          <cell r="AB3350" t="str">
            <v>24AAECK6307M2ZE</v>
          </cell>
        </row>
        <row r="3351">
          <cell r="D3351" t="str">
            <v>K.P. Woven Pvt Ltd - Unit 3 -Sales</v>
          </cell>
          <cell r="AB3351" t="str">
            <v>24AAECK6307M2ZE</v>
          </cell>
        </row>
        <row r="3352">
          <cell r="D3352" t="str">
            <v>K.P. Woven Pvt Ltd - Unit 3 -Sales</v>
          </cell>
          <cell r="AB3352" t="str">
            <v>24AAECK6307M2ZE</v>
          </cell>
        </row>
        <row r="3353">
          <cell r="D3353" t="str">
            <v>K.P. Woven Pvt Ltd - Unit 3 -Sales</v>
          </cell>
          <cell r="AB3353" t="str">
            <v>24AAECK6307M2ZE</v>
          </cell>
        </row>
        <row r="3354">
          <cell r="D3354" t="str">
            <v>K.P. Woven Pvt Ltd-Sales</v>
          </cell>
          <cell r="AB3354" t="str">
            <v>24AAECK6307M1ZF</v>
          </cell>
        </row>
        <row r="3355">
          <cell r="D3355" t="str">
            <v>K.P. Woven Pvt Ltd-Sales</v>
          </cell>
          <cell r="AB3355" t="str">
            <v>24AAECK6307M1ZF</v>
          </cell>
        </row>
        <row r="3356">
          <cell r="D3356" t="str">
            <v>Oswal Extrusion Ltd- KASEZ-Sales</v>
          </cell>
          <cell r="AB3356" t="str">
            <v>24AAACO7290H4ZB</v>
          </cell>
        </row>
        <row r="3357">
          <cell r="D3357" t="str">
            <v>Oswal Extrusion Ltd- KASEZ-Sales</v>
          </cell>
          <cell r="AB3357" t="str">
            <v>24AAACO7290H4ZB</v>
          </cell>
        </row>
        <row r="3358">
          <cell r="D3358" t="str">
            <v>Plastene Polyfilms Ltd-Sales</v>
          </cell>
          <cell r="AB3358" t="str">
            <v>24AAFCP2956A1ZR</v>
          </cell>
        </row>
        <row r="3359">
          <cell r="D3359" t="str">
            <v>Plastene Polyfilms Ltd-Sales</v>
          </cell>
          <cell r="AB3359" t="str">
            <v>24AAFCP2956A1ZR</v>
          </cell>
        </row>
        <row r="3360">
          <cell r="D3360" t="str">
            <v>Plastene Polyfilms Ltd-Sales</v>
          </cell>
          <cell r="AB3360" t="str">
            <v>24AAFCP2956A1ZR</v>
          </cell>
        </row>
        <row r="3361">
          <cell r="D3361" t="str">
            <v>Plastene Polyfilms Ltd-Sales</v>
          </cell>
          <cell r="AB3361" t="str">
            <v>24AAFCP2956A1ZR</v>
          </cell>
        </row>
        <row r="3362">
          <cell r="D3362" t="str">
            <v>Plastene Polyfilms Ltd-Sales</v>
          </cell>
          <cell r="AB3362" t="str">
            <v>24AAFCP2956A1ZR</v>
          </cell>
        </row>
        <row r="3363">
          <cell r="D3363" t="str">
            <v>Plastene Polyfilms Ltd-Sales</v>
          </cell>
          <cell r="AB3363" t="str">
            <v>24AAFCP2956A1ZR</v>
          </cell>
        </row>
        <row r="3364">
          <cell r="D3364" t="str">
            <v>Plastene Polyfilms Ltd-Sales</v>
          </cell>
          <cell r="AB3364" t="str">
            <v>24AAFCP2956A1ZR</v>
          </cell>
        </row>
        <row r="3365">
          <cell r="D3365" t="str">
            <v>Plastene Polyfilms Ltd-Sales</v>
          </cell>
          <cell r="AB3365" t="str">
            <v>24AAFCP2956A1ZR</v>
          </cell>
        </row>
        <row r="3366">
          <cell r="D3366" t="str">
            <v>Plastene Polyfilms Ltd-Sales</v>
          </cell>
          <cell r="AB3366" t="str">
            <v>24AAFCP2956A1ZR</v>
          </cell>
        </row>
        <row r="3367">
          <cell r="D3367" t="str">
            <v>Rafia Industrial S.A.</v>
          </cell>
          <cell r="AB3367" t="str">
            <v>N.A.</v>
          </cell>
        </row>
        <row r="3368">
          <cell r="D3368" t="str">
            <v>Fibco Plastic Industry Llc</v>
          </cell>
          <cell r="AB3368" t="str">
            <v>N.A.</v>
          </cell>
        </row>
        <row r="3369">
          <cell r="D3369" t="str">
            <v>K.P. Woven Pvt Ltd-Sales</v>
          </cell>
          <cell r="AB3369" t="str">
            <v>24AAECK6307M1ZF</v>
          </cell>
        </row>
        <row r="3370">
          <cell r="D3370" t="str">
            <v>Siddheshwar Enterprise - Sales</v>
          </cell>
          <cell r="AB3370" t="str">
            <v>24EYVPK2667E1Z0</v>
          </cell>
        </row>
        <row r="3371">
          <cell r="D3371" t="str">
            <v>Siddheshwar Enterprise - Sales</v>
          </cell>
          <cell r="AB3371" t="str">
            <v>24EYVPK2667E1Z0</v>
          </cell>
        </row>
        <row r="3372">
          <cell r="D3372" t="str">
            <v>Technopac Gmbh</v>
          </cell>
          <cell r="AB3372" t="str">
            <v>N.A.</v>
          </cell>
        </row>
        <row r="3373">
          <cell r="D3373" t="str">
            <v>K.P. Woven Pvt Ltd-Sales</v>
          </cell>
          <cell r="AB3373" t="str">
            <v>24AAECK6307M1ZF</v>
          </cell>
        </row>
        <row r="3374">
          <cell r="D3374" t="str">
            <v>Rfbl Flexi Pack Limited</v>
          </cell>
          <cell r="AB3374" t="str">
            <v>24AAJCS2339C1ZN</v>
          </cell>
        </row>
        <row r="3375">
          <cell r="D3375" t="str">
            <v>Rfbl Flexi Pack Limited</v>
          </cell>
          <cell r="AB3375" t="str">
            <v>24AAJCS2339C1ZN</v>
          </cell>
        </row>
        <row r="3376">
          <cell r="D3376" t="str">
            <v>Rfbl Flexi Pack Limited</v>
          </cell>
          <cell r="AB3376" t="str">
            <v>24AAJCS2339C1ZN</v>
          </cell>
        </row>
        <row r="3377">
          <cell r="D3377" t="str">
            <v>Rfbl Flexi Pack Limited</v>
          </cell>
          <cell r="AB3377" t="str">
            <v>24AAJCS2339C1ZN</v>
          </cell>
        </row>
        <row r="3378">
          <cell r="D3378" t="str">
            <v>Rfbl Flexi Pack Limited</v>
          </cell>
          <cell r="AB3378" t="str">
            <v>24AAJCS2339C1ZN</v>
          </cell>
        </row>
        <row r="3379">
          <cell r="D3379" t="str">
            <v>Rfbl Flexi Pack Limited</v>
          </cell>
          <cell r="AB3379" t="str">
            <v>24AAJCS2339C1ZN</v>
          </cell>
        </row>
        <row r="3380">
          <cell r="D3380" t="str">
            <v>Bulkliner Logistics Pvt Ltd-Kerala</v>
          </cell>
          <cell r="AB3380" t="str">
            <v>32AAGCG9239G1ZK</v>
          </cell>
        </row>
        <row r="3381">
          <cell r="D3381" t="str">
            <v>HCP Plastene Bulkpack Limited - Sales</v>
          </cell>
          <cell r="AB3381" t="str">
            <v>24AABCG1282C2Z6</v>
          </cell>
        </row>
        <row r="3382">
          <cell r="D3382" t="str">
            <v>Plastene Polyfilms Ltd-Sales</v>
          </cell>
          <cell r="AB3382" t="str">
            <v>24AAFCP2956A1ZR</v>
          </cell>
        </row>
        <row r="3383">
          <cell r="D3383" t="str">
            <v>Cesur Usa, Llc</v>
          </cell>
          <cell r="AB3383" t="str">
            <v>N.A.</v>
          </cell>
        </row>
        <row r="3384">
          <cell r="D3384" t="str">
            <v>Coromandel International Ltd-Sarigam</v>
          </cell>
          <cell r="AB3384" t="str">
            <v>24AAACC7852K1ZJ</v>
          </cell>
        </row>
        <row r="3385">
          <cell r="D3385" t="str">
            <v>HCP Plastene Bulkpack Limited - Sales</v>
          </cell>
          <cell r="AB3385" t="str">
            <v>24AABCG1282C2Z6</v>
          </cell>
        </row>
        <row r="3386">
          <cell r="D3386" t="str">
            <v>K.P. Woven Pvt Ltd-Sales</v>
          </cell>
          <cell r="AB3386" t="str">
            <v>24AAECK6307M1ZF</v>
          </cell>
        </row>
        <row r="3387">
          <cell r="D3387" t="str">
            <v>Rfbl Flexi Pack Limited</v>
          </cell>
          <cell r="AB3387" t="str">
            <v>24AAJCS2339C1ZN</v>
          </cell>
        </row>
        <row r="3388">
          <cell r="D3388" t="str">
            <v>Rfbl Flexi Pack Limited</v>
          </cell>
          <cell r="AB3388" t="str">
            <v>24AAJCS2339C1ZN</v>
          </cell>
        </row>
        <row r="3389">
          <cell r="D3389" t="str">
            <v>Rfbl Flexi Pack Limited</v>
          </cell>
          <cell r="AB3389" t="str">
            <v>24AAJCS2339C1ZN</v>
          </cell>
        </row>
        <row r="3390">
          <cell r="D3390" t="str">
            <v>Rfbl Flexi Pack Limited</v>
          </cell>
          <cell r="AB3390" t="str">
            <v>24AAJCS2339C1ZN</v>
          </cell>
        </row>
        <row r="3391">
          <cell r="D3391" t="str">
            <v>Rfbl Flexi Pack Limited</v>
          </cell>
          <cell r="AB3391" t="str">
            <v>24AAJCS2339C1ZN</v>
          </cell>
        </row>
        <row r="3392">
          <cell r="D3392" t="str">
            <v>Sunglow Colorants Corporation</v>
          </cell>
          <cell r="AB3392" t="str">
            <v>24ACOFS2351J1ZX</v>
          </cell>
        </row>
        <row r="3393">
          <cell r="D3393" t="str">
            <v>Swayam Poly Plast Pvt Ltd</v>
          </cell>
          <cell r="AB3393" t="str">
            <v>24AAHCP1316J1ZM</v>
          </cell>
        </row>
        <row r="3394">
          <cell r="D3394" t="str">
            <v>Fibco Plastic Industry Llc</v>
          </cell>
          <cell r="AB3394" t="str">
            <v>N.A.</v>
          </cell>
        </row>
        <row r="3395">
          <cell r="D3395" t="str">
            <v>Fibco Plastic Industry Llc</v>
          </cell>
          <cell r="AB3395" t="str">
            <v>N.A.</v>
          </cell>
        </row>
        <row r="3396">
          <cell r="D3396" t="str">
            <v>Olega S A</v>
          </cell>
          <cell r="AB3396" t="str">
            <v>N.A.</v>
          </cell>
        </row>
        <row r="3397">
          <cell r="D3397" t="str">
            <v>PI Polyblendz Private Limited</v>
          </cell>
          <cell r="AB3397" t="str">
            <v>24AAJCP0137B1Z0</v>
          </cell>
        </row>
        <row r="3398">
          <cell r="D3398" t="str">
            <v>Superform Chemistries Limited Jhagadia- PL85</v>
          </cell>
          <cell r="AB3398" t="str">
            <v>24AADCU0994M1ZX</v>
          </cell>
        </row>
        <row r="3399">
          <cell r="D3399" t="str">
            <v>K.P. Woven Pvt Ltd - Unit 3 -Sales</v>
          </cell>
          <cell r="AB3399" t="str">
            <v>24AAECK6307M2ZE</v>
          </cell>
        </row>
        <row r="3400">
          <cell r="D3400" t="str">
            <v>K.P. Woven Pvt Ltd - Unit 3 -Sales</v>
          </cell>
          <cell r="AB3400" t="str">
            <v>24AAECK6307M2ZE</v>
          </cell>
        </row>
        <row r="3401">
          <cell r="D3401" t="str">
            <v>K.P. Woven Pvt Ltd - Unit 3 -Sales</v>
          </cell>
          <cell r="AB3401" t="str">
            <v>24AAECK6307M2ZE</v>
          </cell>
        </row>
        <row r="3402">
          <cell r="D3402" t="str">
            <v>K.P. Woven Pvt Ltd - Unit 3 -Sales</v>
          </cell>
          <cell r="AB3402" t="str">
            <v>24AAECK6307M2ZE</v>
          </cell>
        </row>
        <row r="3403">
          <cell r="D3403" t="str">
            <v>K.P. Woven Pvt Ltd-Sales</v>
          </cell>
          <cell r="AB3403" t="str">
            <v>24AAECK6307M1ZF</v>
          </cell>
        </row>
        <row r="3404">
          <cell r="D3404" t="str">
            <v>K.P. Woven Pvt Ltd-Sales</v>
          </cell>
          <cell r="AB3404" t="str">
            <v>24AAECK6307M1ZF</v>
          </cell>
        </row>
        <row r="3405">
          <cell r="D3405" t="str">
            <v>Plastene Polyfilms Ltd-Sales</v>
          </cell>
          <cell r="AB3405" t="str">
            <v>24AAFCP2956A1ZR</v>
          </cell>
        </row>
        <row r="3406">
          <cell r="D3406" t="str">
            <v>Plastene Polyfilms Ltd-Sales</v>
          </cell>
          <cell r="AB3406" t="str">
            <v>24AAFCP2956A1ZR</v>
          </cell>
        </row>
        <row r="3407">
          <cell r="D3407" t="str">
            <v>Rfbl Flexi Pack Limited</v>
          </cell>
          <cell r="AB3407" t="str">
            <v>24AAJCS2339C1ZN</v>
          </cell>
        </row>
        <row r="3408">
          <cell r="D3408" t="str">
            <v>Rfbl Flexi Pack Limited</v>
          </cell>
          <cell r="AB3408" t="str">
            <v>24AAJCS2339C1ZN</v>
          </cell>
        </row>
        <row r="3409">
          <cell r="D3409" t="str">
            <v>Rfbl Flexi Pack Limited</v>
          </cell>
          <cell r="AB3409" t="str">
            <v>24AAJCS2339C1ZN</v>
          </cell>
        </row>
        <row r="3410">
          <cell r="D3410" t="str">
            <v>Rfbl Flexi Pack Limited</v>
          </cell>
          <cell r="AB3410" t="str">
            <v>24AAJCS2339C1ZN</v>
          </cell>
        </row>
        <row r="3411">
          <cell r="D3411" t="str">
            <v>Rfbl Flexi Pack Limited</v>
          </cell>
          <cell r="AB3411" t="str">
            <v>24AAJCS2339C1ZN</v>
          </cell>
        </row>
        <row r="3412">
          <cell r="D3412" t="str">
            <v>Rfbl Flexi Pack Limited</v>
          </cell>
          <cell r="AB3412" t="str">
            <v>24AAJCS2339C1ZN</v>
          </cell>
        </row>
        <row r="3413">
          <cell r="D3413" t="str">
            <v>HCP Plastene Bulkpack Limited - Sales</v>
          </cell>
          <cell r="AB3413" t="str">
            <v>24AABCG1282C2Z6</v>
          </cell>
        </row>
        <row r="3414">
          <cell r="D3414" t="str">
            <v>K.P. Woven Pvt Ltd - Unit 3 -Sales</v>
          </cell>
          <cell r="AB3414" t="str">
            <v>24AAECK6307M2ZE</v>
          </cell>
        </row>
        <row r="3415">
          <cell r="D3415" t="str">
            <v>K.P. Woven Pvt Ltd-Sales</v>
          </cell>
          <cell r="AB3415" t="str">
            <v>24AAECK6307M1ZF</v>
          </cell>
        </row>
        <row r="3416">
          <cell r="D3416" t="str">
            <v>Plastene Polyfilms Ltd-Sales</v>
          </cell>
          <cell r="AB3416" t="str">
            <v>24AAFCP2956A1ZR</v>
          </cell>
        </row>
        <row r="3417">
          <cell r="D3417" t="str">
            <v>Plastene Polyfilms Ltd-Sales</v>
          </cell>
          <cell r="AB3417" t="str">
            <v>24AAFCP2956A1ZR</v>
          </cell>
        </row>
        <row r="3418">
          <cell r="D3418" t="str">
            <v>Plastene Polyfilms Ltd-Sales</v>
          </cell>
          <cell r="AB3418" t="str">
            <v>24AAFCP2956A1ZR</v>
          </cell>
        </row>
        <row r="3419">
          <cell r="D3419" t="str">
            <v>Rfbl Flexi Pack Limited</v>
          </cell>
          <cell r="AB3419" t="str">
            <v>24AAJCS2339C1ZN</v>
          </cell>
        </row>
        <row r="3420">
          <cell r="D3420" t="str">
            <v>K.P. Woven Pvt Ltd-Sales</v>
          </cell>
          <cell r="AB3420" t="str">
            <v>24AAECK6307M1ZF</v>
          </cell>
        </row>
        <row r="3421">
          <cell r="D3421" t="str">
            <v>Rafia Industrial S.A.</v>
          </cell>
          <cell r="AB3421" t="str">
            <v>N.A.</v>
          </cell>
        </row>
        <row r="3422">
          <cell r="D3422" t="str">
            <v>Rfbl Flexi Pack Limited</v>
          </cell>
          <cell r="AB3422" t="str">
            <v>24AAJCS2339C1ZN</v>
          </cell>
        </row>
        <row r="3423">
          <cell r="D3423" t="str">
            <v>Rfbl Flexi Pack Limited</v>
          </cell>
          <cell r="AB3423" t="str">
            <v>24AAJCS2339C1ZN</v>
          </cell>
        </row>
        <row r="3424">
          <cell r="D3424" t="str">
            <v>Rfbl Flexi Pack Limited</v>
          </cell>
          <cell r="AB3424" t="str">
            <v>24AAJCS2339C1ZN</v>
          </cell>
        </row>
        <row r="3425">
          <cell r="D3425" t="str">
            <v>Rfbl Flexi Pack Limited</v>
          </cell>
          <cell r="AB3425" t="str">
            <v>24AAJCS2339C1ZN</v>
          </cell>
        </row>
        <row r="3426">
          <cell r="D3426" t="str">
            <v>Rfbl Flexi Pack Limited</v>
          </cell>
          <cell r="AB3426" t="str">
            <v>24AAJCS2339C1ZN</v>
          </cell>
        </row>
        <row r="3427">
          <cell r="D3427" t="str">
            <v>Auroma Geotex Pvt Ltd - Sales</v>
          </cell>
          <cell r="AB3427" t="str">
            <v>24AATCA2618Q1Z4</v>
          </cell>
        </row>
        <row r="3428">
          <cell r="D3428" t="str">
            <v>K.P. Woven Pvt Ltd - Unit 3 -Sales</v>
          </cell>
          <cell r="AB3428" t="str">
            <v>24AAECK6307M2ZE</v>
          </cell>
        </row>
        <row r="3429">
          <cell r="D3429" t="str">
            <v>K.P. Woven Pvt Ltd - Unit 3 -Sales</v>
          </cell>
          <cell r="AB3429" t="str">
            <v>24AAECK6307M2ZE</v>
          </cell>
        </row>
        <row r="3430">
          <cell r="D3430" t="str">
            <v>K.P. Woven Pvt Ltd-Sales</v>
          </cell>
          <cell r="AB3430" t="str">
            <v>24AAECK6307M1ZF</v>
          </cell>
        </row>
        <row r="3431">
          <cell r="D3431" t="str">
            <v>Plastene Polyfilms Ltd-Sales</v>
          </cell>
          <cell r="AB3431" t="str">
            <v>24AAFCP2956A1ZR</v>
          </cell>
        </row>
        <row r="3432">
          <cell r="D3432" t="str">
            <v>Plastene Polyfilms Ltd-Sales</v>
          </cell>
          <cell r="AB3432" t="str">
            <v>24AAFCP2956A1ZR</v>
          </cell>
        </row>
        <row r="3433">
          <cell r="D3433" t="str">
            <v>Plastene Polyfilms Ltd-Sales</v>
          </cell>
          <cell r="AB3433" t="str">
            <v>24AAFCP2956A1ZR</v>
          </cell>
        </row>
        <row r="3434">
          <cell r="D3434" t="str">
            <v>Plastene Polyfilms Ltd-Sales</v>
          </cell>
          <cell r="AB3434" t="str">
            <v>24AAFCP2956A1ZR</v>
          </cell>
        </row>
        <row r="3435">
          <cell r="D3435" t="str">
            <v>Plastene Polyfilms Ltd-Sales</v>
          </cell>
          <cell r="AB3435" t="str">
            <v>24AAFCP2956A1ZR</v>
          </cell>
        </row>
        <row r="3436">
          <cell r="D3436" t="str">
            <v>Plastene Polyfilms Ltd-Sales</v>
          </cell>
          <cell r="AB3436" t="str">
            <v>24AAFCP2956A1ZR</v>
          </cell>
        </row>
        <row r="3437">
          <cell r="D3437" t="str">
            <v>Plastene Polyfilms Ltd-Sales</v>
          </cell>
          <cell r="AB3437" t="str">
            <v>24AAFCP2956A1ZR</v>
          </cell>
        </row>
        <row r="3438">
          <cell r="D3438" t="str">
            <v>Rataan Fabtex Private Limited - Unit 2</v>
          </cell>
          <cell r="AB3438" t="str">
            <v>24AAGCR7475P1ZL</v>
          </cell>
        </row>
        <row r="3439">
          <cell r="D3439" t="str">
            <v>Rfbl Flexi Pack Limited</v>
          </cell>
          <cell r="AB3439" t="str">
            <v>24AAJCS2339C1ZN</v>
          </cell>
        </row>
        <row r="3440">
          <cell r="D3440" t="str">
            <v>Rfbl Flexi Pack Limited</v>
          </cell>
          <cell r="AB3440" t="str">
            <v>24AAJCS2339C1ZN</v>
          </cell>
        </row>
        <row r="3441">
          <cell r="D3441" t="str">
            <v>Rfbl Flexi Pack Limited</v>
          </cell>
          <cell r="AB3441" t="str">
            <v>24AAJCS2339C1ZN</v>
          </cell>
        </row>
        <row r="3442">
          <cell r="D3442" t="str">
            <v>Rfbl Flexi Pack Limited</v>
          </cell>
          <cell r="AB3442" t="str">
            <v>24AAJCS2339C1ZN</v>
          </cell>
        </row>
        <row r="3443">
          <cell r="D3443" t="str">
            <v>Rfbl Flexi Pack Limited</v>
          </cell>
          <cell r="AB3443" t="str">
            <v>24AAJCS2339C1ZN</v>
          </cell>
        </row>
        <row r="3444">
          <cell r="D3444" t="str">
            <v>Rfbl Flexi Pack Limited</v>
          </cell>
          <cell r="AB3444" t="str">
            <v>24AAJCS2339C1ZN</v>
          </cell>
        </row>
        <row r="3445">
          <cell r="D3445" t="str">
            <v>Rfbl Flexi Pack Limited</v>
          </cell>
          <cell r="AB3445" t="str">
            <v>24AAJCS2339C1ZN</v>
          </cell>
        </row>
        <row r="3446">
          <cell r="D3446" t="str">
            <v>Surendra Kumar &amp; Sons</v>
          </cell>
          <cell r="AB3446" t="str">
            <v>09AFJPG3579G2Z5</v>
          </cell>
        </row>
        <row r="3447">
          <cell r="D3447" t="str">
            <v>Surendra Kumar &amp; Sons</v>
          </cell>
          <cell r="AB3447" t="str">
            <v>09AFJPG3579G2Z5</v>
          </cell>
        </row>
        <row r="3448">
          <cell r="D3448" t="str">
            <v>Surendra Kumar &amp; Sons</v>
          </cell>
          <cell r="AB3448" t="str">
            <v>09AFJPG3579G2Z5</v>
          </cell>
        </row>
        <row r="3449">
          <cell r="D3449" t="str">
            <v>Surendra Kumar &amp; Sons</v>
          </cell>
          <cell r="AB3449" t="str">
            <v>09AFJPG3579G2Z5</v>
          </cell>
        </row>
        <row r="3450">
          <cell r="D3450" t="str">
            <v>Coromandel International Ltd (Dahej)</v>
          </cell>
          <cell r="AB3450" t="str">
            <v>24AAACC7852K2ZI</v>
          </cell>
        </row>
        <row r="3451">
          <cell r="D3451" t="str">
            <v>K.P. Woven Pvt Ltd - Unit 3 -Sales</v>
          </cell>
          <cell r="AB3451" t="str">
            <v>24AAECK6307M2ZE</v>
          </cell>
        </row>
        <row r="3452">
          <cell r="D3452" t="str">
            <v>Plastene Polyfilms Ltd-Sales</v>
          </cell>
          <cell r="AB3452" t="str">
            <v>24AAFCP2956A1ZR</v>
          </cell>
        </row>
        <row r="3453">
          <cell r="D3453" t="str">
            <v>Plastene Polyfilms Ltd-Sales</v>
          </cell>
          <cell r="AB3453" t="str">
            <v>24AAFCP2956A1ZR</v>
          </cell>
        </row>
        <row r="3454">
          <cell r="D3454" t="str">
            <v>Plastene Polyfilms Ltd-Sales</v>
          </cell>
          <cell r="AB3454" t="str">
            <v>24AAFCP2956A1ZR</v>
          </cell>
        </row>
        <row r="3455">
          <cell r="D3455" t="str">
            <v>Plastene Polyfilms Ltd-Sales</v>
          </cell>
          <cell r="AB3455" t="str">
            <v>24AAFCP2956A1ZR</v>
          </cell>
        </row>
        <row r="3456">
          <cell r="D3456" t="str">
            <v>Plastene Polyfilms Ltd-Sales</v>
          </cell>
          <cell r="AB3456" t="str">
            <v>24AAFCP2956A1ZR</v>
          </cell>
        </row>
        <row r="3457">
          <cell r="D3457" t="str">
            <v>K.P. Woven Pvt Ltd-Sales</v>
          </cell>
          <cell r="AB3457" t="str">
            <v>24AAECK6307M1ZF</v>
          </cell>
        </row>
        <row r="3458">
          <cell r="D3458" t="str">
            <v>Oliva Garden S.A.</v>
          </cell>
          <cell r="AB3458" t="str">
            <v>N.A.</v>
          </cell>
        </row>
        <row r="3459">
          <cell r="D3459" t="str">
            <v>Oliva Garden S.A.</v>
          </cell>
          <cell r="AB3459" t="str">
            <v>N.A.</v>
          </cell>
        </row>
        <row r="3460">
          <cell r="D3460" t="str">
            <v>Oliva Garden S.A.</v>
          </cell>
          <cell r="AB3460" t="str">
            <v>N.A.</v>
          </cell>
        </row>
        <row r="3461">
          <cell r="D3461" t="str">
            <v>HCP Plastene Bulkpack Limited - Sales</v>
          </cell>
          <cell r="AB3461" t="str">
            <v>24AABCG1282C2Z6</v>
          </cell>
        </row>
        <row r="3462">
          <cell r="D3462" t="str">
            <v>HCP Plastene Bulkpack Limited - Sales</v>
          </cell>
          <cell r="AB3462" t="str">
            <v>24AABCG1282C2Z6</v>
          </cell>
        </row>
        <row r="3463">
          <cell r="D3463" t="str">
            <v>HCP Plastene Bulkpack Limited - Sales</v>
          </cell>
          <cell r="AB3463" t="str">
            <v>24AABCG1282C2Z6</v>
          </cell>
        </row>
        <row r="3464">
          <cell r="D3464" t="str">
            <v>HCP Plastene Bulkpack Limited - Sales</v>
          </cell>
          <cell r="AB3464" t="str">
            <v>24AABCG1282C2Z6</v>
          </cell>
        </row>
        <row r="3465">
          <cell r="D3465" t="str">
            <v>HCP Plastene Bulkpack Limited - Sales</v>
          </cell>
          <cell r="AB3465" t="str">
            <v>24AABCG1282C2Z6</v>
          </cell>
        </row>
        <row r="3466">
          <cell r="D3466" t="str">
            <v>HCP Plastene Bulkpack Limited - Sales</v>
          </cell>
          <cell r="AB3466" t="str">
            <v>24AABCG1282C2Z6</v>
          </cell>
        </row>
        <row r="3467">
          <cell r="D3467" t="str">
            <v>HCP Plastene Bulkpack Limited - Sales</v>
          </cell>
          <cell r="AB3467" t="str">
            <v>24AABCG1282C2Z6</v>
          </cell>
        </row>
        <row r="3468">
          <cell r="D3468" t="str">
            <v>HCP Plastene Bulkpack Limited - Sales</v>
          </cell>
          <cell r="AB3468" t="str">
            <v>24AABCG1282C2Z6</v>
          </cell>
        </row>
        <row r="3469">
          <cell r="D3469" t="str">
            <v>HCP Plastene Bulkpack Limited - Sales</v>
          </cell>
          <cell r="AB3469" t="str">
            <v>24AABCG1282C2Z6</v>
          </cell>
        </row>
        <row r="3470">
          <cell r="D3470" t="str">
            <v>HCP Plastene Bulkpack Limited - Sales</v>
          </cell>
          <cell r="AB3470" t="str">
            <v>24AABCG1282C2Z6</v>
          </cell>
        </row>
        <row r="3471">
          <cell r="D3471" t="str">
            <v>HCP Plastene Bulkpack Limited - Sales</v>
          </cell>
          <cell r="AB3471" t="str">
            <v>24AABCG1282C2Z6</v>
          </cell>
        </row>
        <row r="3472">
          <cell r="D3472" t="str">
            <v>HCP Plastene Bulkpack Limited - Sales</v>
          </cell>
          <cell r="AB3472" t="str">
            <v>24AABCG1282C2Z6</v>
          </cell>
        </row>
        <row r="3473">
          <cell r="D3473" t="str">
            <v>Plastene Polyfilms Ltd-Sales</v>
          </cell>
          <cell r="AB3473" t="str">
            <v>24AAFCP2956A1ZR</v>
          </cell>
        </row>
        <row r="3474">
          <cell r="D3474" t="str">
            <v>Plastene Polyfilms Ltd-Sales</v>
          </cell>
          <cell r="AB3474" t="str">
            <v>24AAFCP2956A1ZR</v>
          </cell>
        </row>
        <row r="3475">
          <cell r="D3475" t="str">
            <v>Plastene Polyfilms Ltd-Sales</v>
          </cell>
          <cell r="AB3475" t="str">
            <v>24AAFCP2956A1ZR</v>
          </cell>
        </row>
        <row r="3476">
          <cell r="D3476" t="str">
            <v>Plastene Polyfilms Ltd-Sales</v>
          </cell>
          <cell r="AB3476" t="str">
            <v>24AAFCP2956A1ZR</v>
          </cell>
        </row>
        <row r="3477">
          <cell r="D3477" t="str">
            <v>Plastene Polyfilms Ltd-Sales</v>
          </cell>
          <cell r="AB3477" t="str">
            <v>24AAFCP2956A1ZR</v>
          </cell>
        </row>
        <row r="3478">
          <cell r="D3478" t="str">
            <v>Plastene Polyfilms Ltd-Sales</v>
          </cell>
          <cell r="AB3478" t="str">
            <v>24AAFCP2956A1ZR</v>
          </cell>
        </row>
        <row r="3479">
          <cell r="D3479" t="str">
            <v>Plastene Polyfilms Ltd-Sales</v>
          </cell>
          <cell r="AB3479" t="str">
            <v>24AAFCP2956A1ZR</v>
          </cell>
        </row>
        <row r="3480">
          <cell r="D3480" t="str">
            <v>Technopac Gmbh</v>
          </cell>
          <cell r="AB3480" t="str">
            <v>N.A.</v>
          </cell>
        </row>
        <row r="3481">
          <cell r="D3481" t="str">
            <v>HCP Plastene Bulkpack Limited - Sales</v>
          </cell>
          <cell r="AB3481" t="str">
            <v>24AABCG1282C2Z6</v>
          </cell>
        </row>
        <row r="3482">
          <cell r="D3482" t="str">
            <v>HCP Plastene Bulkpack Limited - Sales</v>
          </cell>
          <cell r="AB3482" t="str">
            <v>24AABCG1282C2Z6</v>
          </cell>
        </row>
        <row r="3483">
          <cell r="D3483" t="str">
            <v>HCP Plastene Bulkpack Limited - Sales</v>
          </cell>
          <cell r="AB3483" t="str">
            <v>24AABCG1282C2Z6</v>
          </cell>
        </row>
        <row r="3484">
          <cell r="D3484" t="str">
            <v>HCP Plastene Bulkpack Limited - Sales</v>
          </cell>
          <cell r="AB3484" t="str">
            <v>24AABCG1282C2Z6</v>
          </cell>
        </row>
        <row r="3485">
          <cell r="D3485" t="str">
            <v>HCP Plastene Bulkpack Limited - Sales</v>
          </cell>
          <cell r="AB3485" t="str">
            <v>24AABCG1282C2Z6</v>
          </cell>
        </row>
        <row r="3486">
          <cell r="D3486" t="str">
            <v>K.P. Woven Pvt Ltd - Unit 3 -Sales</v>
          </cell>
          <cell r="AB3486" t="str">
            <v>24AAECK6307M2ZE</v>
          </cell>
        </row>
        <row r="3487">
          <cell r="D3487" t="str">
            <v>K.P. Woven Pvt Ltd-Sales</v>
          </cell>
          <cell r="AB3487" t="str">
            <v>24AAECK6307M1ZF</v>
          </cell>
        </row>
        <row r="3488">
          <cell r="D3488" t="str">
            <v>Plastene Polyfilms Ltd-Sales</v>
          </cell>
          <cell r="AB3488" t="str">
            <v>24AAFCP2956A1ZR</v>
          </cell>
        </row>
        <row r="3489">
          <cell r="D3489" t="str">
            <v>Cesur Usa, Llc</v>
          </cell>
          <cell r="AB3489" t="str">
            <v>N.A.</v>
          </cell>
        </row>
        <row r="3490">
          <cell r="D3490" t="str">
            <v>Cesur Usa, Llc</v>
          </cell>
          <cell r="AB3490" t="str">
            <v>N.A.</v>
          </cell>
        </row>
        <row r="3491">
          <cell r="D3491" t="str">
            <v>Fibco Plastic Industry Llc</v>
          </cell>
          <cell r="AB3491" t="str">
            <v>N.A.</v>
          </cell>
        </row>
        <row r="3492">
          <cell r="D3492" t="str">
            <v>Fibco Plastic Industry Llc</v>
          </cell>
          <cell r="AB3492" t="str">
            <v>N.A.</v>
          </cell>
        </row>
        <row r="3493">
          <cell r="D3493" t="str">
            <v>Fibco Plastic Industry Llc</v>
          </cell>
          <cell r="AB3493" t="str">
            <v>N.A.</v>
          </cell>
        </row>
        <row r="3494">
          <cell r="D3494" t="str">
            <v>Fibco Plastic Industry Llc</v>
          </cell>
          <cell r="AB3494" t="str">
            <v>N.A.</v>
          </cell>
        </row>
        <row r="3495">
          <cell r="D3495" t="str">
            <v>K.P. Woven Pvt Ltd - Unit 3 -Sales</v>
          </cell>
          <cell r="AB3495" t="str">
            <v>24AAECK6307M2ZE</v>
          </cell>
        </row>
        <row r="3496">
          <cell r="D3496" t="str">
            <v>Technopac Gmbh</v>
          </cell>
          <cell r="AB3496" t="str">
            <v>N.A.</v>
          </cell>
        </row>
        <row r="3497">
          <cell r="D3497" t="str">
            <v>Cesur Latam Sac</v>
          </cell>
          <cell r="AB3497" t="str">
            <v>N.A.</v>
          </cell>
        </row>
        <row r="3498">
          <cell r="D3498" t="str">
            <v>K.P. Woven Pvt Ltd - Unit 3 -Sales</v>
          </cell>
          <cell r="AB3498" t="str">
            <v>24AAECK6307M2ZE</v>
          </cell>
        </row>
        <row r="3499">
          <cell r="D3499" t="str">
            <v>K.P. Woven Pvt Ltd-Sales</v>
          </cell>
          <cell r="AB3499" t="str">
            <v>24AAECK6307M1ZF</v>
          </cell>
        </row>
        <row r="3500">
          <cell r="D3500" t="str">
            <v>Rafia Industrial S.A.</v>
          </cell>
          <cell r="AB3500" t="str">
            <v>N.A.</v>
          </cell>
        </row>
        <row r="3501">
          <cell r="D3501" t="str">
            <v>Rfbl Flexi Pack Limited</v>
          </cell>
          <cell r="AB3501" t="str">
            <v>24AAJCS2339C1ZN</v>
          </cell>
        </row>
        <row r="3502">
          <cell r="D3502" t="str">
            <v>Rfbl Flexi Pack Limited</v>
          </cell>
          <cell r="AB3502" t="str">
            <v>24AAJCS2339C1ZN</v>
          </cell>
        </row>
        <row r="3503">
          <cell r="D3503" t="str">
            <v>Rfbl Flexi Pack Limited</v>
          </cell>
          <cell r="AB3503" t="str">
            <v>24AAJCS2339C1ZN</v>
          </cell>
        </row>
        <row r="3504">
          <cell r="D3504" t="str">
            <v>Rfbl Flexi Pack Limited</v>
          </cell>
          <cell r="AB3504" t="str">
            <v>24AAJCS2339C1ZN</v>
          </cell>
        </row>
        <row r="3505">
          <cell r="D3505" t="str">
            <v>Rfbl Flexi Pack Limited</v>
          </cell>
          <cell r="AB3505" t="str">
            <v>24AAJCS2339C1ZN</v>
          </cell>
        </row>
        <row r="3506">
          <cell r="D3506" t="str">
            <v>Rfbl Flexi Pack Limited</v>
          </cell>
          <cell r="AB3506" t="str">
            <v>24AAJCS2339C1ZN</v>
          </cell>
        </row>
        <row r="3507">
          <cell r="D3507" t="str">
            <v>Asahi Songwon Colors Ltd.- Sales</v>
          </cell>
          <cell r="AB3507" t="str">
            <v>24AAACA9713D1Z4</v>
          </cell>
        </row>
        <row r="3508">
          <cell r="D3508" t="str">
            <v>Asahi Songwon Colors Ltd.- Sales</v>
          </cell>
          <cell r="AB3508" t="str">
            <v>24AAACA9713D1Z4</v>
          </cell>
        </row>
        <row r="3509">
          <cell r="D3509" t="str">
            <v>HCP Plastene Bulkpack Limited - Sales</v>
          </cell>
          <cell r="AB3509" t="str">
            <v>24AABCG1282C2Z6</v>
          </cell>
        </row>
        <row r="3510">
          <cell r="D3510" t="str">
            <v>HCP Plastene Bulkpack Limited - Sales</v>
          </cell>
          <cell r="AB3510" t="str">
            <v>24AABCG1282C2Z6</v>
          </cell>
        </row>
        <row r="3511">
          <cell r="D3511" t="str">
            <v>K.P. Woven Pvt Ltd - Unit 3 -Sales</v>
          </cell>
          <cell r="AB3511" t="str">
            <v>24AAECK6307M2ZE</v>
          </cell>
        </row>
        <row r="3512">
          <cell r="D3512" t="str">
            <v>Rfbl Flexi Pack Limited</v>
          </cell>
          <cell r="AB3512" t="str">
            <v>24AAJCS2339C1ZN</v>
          </cell>
        </row>
        <row r="3513">
          <cell r="D3513" t="str">
            <v>Rfbl Flexi Pack Limited</v>
          </cell>
          <cell r="AB3513" t="str">
            <v>24AAJCS2339C1ZN</v>
          </cell>
        </row>
        <row r="3514">
          <cell r="D3514" t="str">
            <v>K.P. Woven Pvt Ltd - Unit 3 -Sales</v>
          </cell>
          <cell r="AB3514" t="str">
            <v>24AAECK6307M2ZE</v>
          </cell>
        </row>
        <row r="3515">
          <cell r="D3515" t="str">
            <v>K.P. Woven Pvt Ltd - Unit 3 -Sales</v>
          </cell>
          <cell r="AB3515" t="str">
            <v>24AAECK6307M2ZE</v>
          </cell>
        </row>
        <row r="3516">
          <cell r="D3516" t="str">
            <v>K.P. Woven Pvt Ltd - Unit 3 -Sales</v>
          </cell>
          <cell r="AB3516" t="str">
            <v>24AAECK6307M2ZE</v>
          </cell>
        </row>
        <row r="3517">
          <cell r="D3517" t="str">
            <v>K.P. Woven Pvt Ltd - Unit 3 -Sales</v>
          </cell>
          <cell r="AB3517" t="str">
            <v>24AAECK6307M2ZE</v>
          </cell>
        </row>
        <row r="3518">
          <cell r="D3518" t="str">
            <v>K.P. Woven Pvt Ltd-Sales</v>
          </cell>
          <cell r="AB3518" t="str">
            <v>24AAECK6307M1ZF</v>
          </cell>
        </row>
        <row r="3519">
          <cell r="D3519" t="str">
            <v>Plastene Polyfilms Ltd-Sales</v>
          </cell>
          <cell r="AB3519" t="str">
            <v>24AAFCP2956A1ZR</v>
          </cell>
        </row>
        <row r="3520">
          <cell r="D3520" t="str">
            <v>Plastene Polyfilms Ltd-Sales</v>
          </cell>
          <cell r="AB3520" t="str">
            <v>24AAFCP2956A1ZR</v>
          </cell>
        </row>
        <row r="3521">
          <cell r="D3521" t="str">
            <v>K.P. Woven Pvt Ltd-Sales</v>
          </cell>
          <cell r="AB3521" t="str">
            <v>24AAECK6307M1ZF</v>
          </cell>
        </row>
        <row r="3522">
          <cell r="D3522" t="str">
            <v>K.P. Woven Pvt Ltd-Sales</v>
          </cell>
          <cell r="AB3522" t="str">
            <v>24AAECK6307M1ZF</v>
          </cell>
        </row>
        <row r="3523">
          <cell r="D3523" t="str">
            <v>Plastene Polyfilms Ltd-Sales</v>
          </cell>
          <cell r="AB3523" t="str">
            <v>24AAFCP2956A1ZR</v>
          </cell>
        </row>
        <row r="3524">
          <cell r="D3524" t="str">
            <v>Plastene Polyfilms Ltd-Sales</v>
          </cell>
          <cell r="AB3524" t="str">
            <v>24AAFCP2956A1ZR</v>
          </cell>
        </row>
        <row r="3525">
          <cell r="D3525" t="str">
            <v>Plastene Polyfilms Ltd-Sales</v>
          </cell>
          <cell r="AB3525" t="str">
            <v>24AAFCP2956A1ZR</v>
          </cell>
        </row>
        <row r="3526">
          <cell r="D3526" t="str">
            <v>Plastene Polyfilms Ltd-Sales</v>
          </cell>
          <cell r="AB3526" t="str">
            <v>24AAFCP2956A1ZR</v>
          </cell>
        </row>
        <row r="3527">
          <cell r="D3527" t="str">
            <v>Plastene Polyfilms Ltd-Sales</v>
          </cell>
          <cell r="AB3527" t="str">
            <v>24AAFCP2956A1ZR</v>
          </cell>
        </row>
        <row r="3528">
          <cell r="D3528" t="str">
            <v>Plastene Polyfilms Ltd-Sales</v>
          </cell>
          <cell r="AB3528" t="str">
            <v>24AAFCP2956A1ZR</v>
          </cell>
        </row>
        <row r="3529">
          <cell r="D3529" t="str">
            <v>Plastene Polyfilms Ltd-Sales</v>
          </cell>
          <cell r="AB3529" t="str">
            <v>24AAFCP2956A1ZR</v>
          </cell>
        </row>
        <row r="3530">
          <cell r="D3530" t="str">
            <v>Rfbl Flexi Pack Limited</v>
          </cell>
          <cell r="AB3530" t="str">
            <v>24AAJCS2339C1ZN</v>
          </cell>
        </row>
        <row r="3531">
          <cell r="D3531" t="str">
            <v>Rfbl Flexi Pack Limited</v>
          </cell>
          <cell r="AB3531" t="str">
            <v>24AAJCS2339C1ZN</v>
          </cell>
        </row>
        <row r="3532">
          <cell r="D3532" t="str">
            <v>Rfbl Flexi Pack Limited</v>
          </cell>
          <cell r="AB3532" t="str">
            <v>24AAJCS2339C1ZN</v>
          </cell>
        </row>
        <row r="3533">
          <cell r="D3533" t="str">
            <v>Rfbl Flexi Pack Limited</v>
          </cell>
          <cell r="AB3533" t="str">
            <v>24AAJCS2339C1ZN</v>
          </cell>
        </row>
        <row r="3534">
          <cell r="D3534" t="str">
            <v>Rfbl Flexi Pack Limited</v>
          </cell>
          <cell r="AB3534" t="str">
            <v>24AAJCS2339C1ZN</v>
          </cell>
        </row>
        <row r="3535">
          <cell r="D3535" t="str">
            <v>K.P. Woven Pvt Ltd-Sales</v>
          </cell>
          <cell r="AB3535" t="str">
            <v>24AAECK6307M1ZF</v>
          </cell>
        </row>
        <row r="3536">
          <cell r="D3536" t="str">
            <v>Modus Granum LLC</v>
          </cell>
          <cell r="AB3536" t="str">
            <v>N.A.</v>
          </cell>
        </row>
        <row r="3537">
          <cell r="D3537" t="str">
            <v>Olega S A</v>
          </cell>
          <cell r="AB3537" t="str">
            <v>N.A.</v>
          </cell>
        </row>
        <row r="3538">
          <cell r="D3538" t="str">
            <v>Plastene Polyfilms Ltd-Sales</v>
          </cell>
          <cell r="AB3538" t="str">
            <v>24AAFCP2956A1ZR</v>
          </cell>
        </row>
        <row r="3539">
          <cell r="D3539" t="str">
            <v>HCP Plastene Bulkpack Limited - Sales</v>
          </cell>
          <cell r="AB3539" t="str">
            <v>24AABCG1282C2Z6</v>
          </cell>
        </row>
        <row r="3540">
          <cell r="D3540" t="str">
            <v>K.P. Woven Pvt Ltd-Sales</v>
          </cell>
          <cell r="AB3540" t="str">
            <v>24AAECK6307M1ZF</v>
          </cell>
        </row>
        <row r="3541">
          <cell r="D3541" t="str">
            <v>K.P. Woven Pvt Ltd-Sales</v>
          </cell>
          <cell r="AB3541" t="str">
            <v>24AAECK6307M1ZF</v>
          </cell>
        </row>
        <row r="3542">
          <cell r="D3542" t="str">
            <v>Plastene Polyfilms Ltd-Sales</v>
          </cell>
          <cell r="AB3542" t="str">
            <v>24AAFCP2956A1ZR</v>
          </cell>
        </row>
        <row r="3543">
          <cell r="D3543" t="str">
            <v>Plastene Polyfilms Ltd-Sales</v>
          </cell>
          <cell r="AB3543" t="str">
            <v>24AAFCP2956A1ZR</v>
          </cell>
        </row>
        <row r="3544">
          <cell r="D3544" t="str">
            <v>Plastene Polyfilms Ltd-Sales</v>
          </cell>
          <cell r="AB3544" t="str">
            <v>24AAFCP2956A1ZR</v>
          </cell>
        </row>
        <row r="3545">
          <cell r="D3545" t="str">
            <v>K.P. Woven Pvt Ltd-Sales</v>
          </cell>
          <cell r="AB3545" t="str">
            <v>24AAECK6307M1ZF</v>
          </cell>
        </row>
        <row r="3546">
          <cell r="D3546" t="str">
            <v>Rfbl Flexi Pack Limited</v>
          </cell>
          <cell r="AB3546" t="str">
            <v>24AAJCS2339C1ZN</v>
          </cell>
        </row>
        <row r="3547">
          <cell r="D3547" t="str">
            <v>Rfbl Flexi Pack Limited</v>
          </cell>
          <cell r="AB3547" t="str">
            <v>24AAJCS2339C1ZN</v>
          </cell>
        </row>
        <row r="3548">
          <cell r="D3548" t="str">
            <v>Rfbl Flexi Pack Limited</v>
          </cell>
          <cell r="AB3548" t="str">
            <v>24AAJCS2339C1ZN</v>
          </cell>
        </row>
        <row r="3549">
          <cell r="D3549" t="str">
            <v>Rfbl Flexi Pack Limited</v>
          </cell>
          <cell r="AB3549" t="str">
            <v>24AAJCS2339C1ZN</v>
          </cell>
        </row>
        <row r="3550">
          <cell r="D3550" t="str">
            <v>Rfbl Flexi Pack Limited</v>
          </cell>
          <cell r="AB3550" t="str">
            <v>24AAJCS2339C1ZN</v>
          </cell>
        </row>
        <row r="3551">
          <cell r="D3551" t="str">
            <v>Cesur Latam Sac</v>
          </cell>
          <cell r="AB3551" t="str">
            <v>N.A.</v>
          </cell>
        </row>
        <row r="3552">
          <cell r="D3552" t="str">
            <v>HCP Plastene Bulkpack Limited - Sales</v>
          </cell>
          <cell r="AB3552" t="str">
            <v>24AABCG1282C2Z6</v>
          </cell>
        </row>
        <row r="3553">
          <cell r="D3553" t="str">
            <v>Mehjal Adhesive Tapes Pvt. Ltd. - Sales</v>
          </cell>
          <cell r="AB3553" t="str">
            <v>24AAICM7843C1ZJ</v>
          </cell>
        </row>
        <row r="3554">
          <cell r="D3554" t="str">
            <v>Mehjal Adhesive Tapes Pvt. Ltd. - Sales</v>
          </cell>
          <cell r="AB3554" t="str">
            <v>24AAICM7843C1ZJ</v>
          </cell>
        </row>
        <row r="3555">
          <cell r="D3555" t="str">
            <v>Plastene Polyfilms Ltd-Sales</v>
          </cell>
          <cell r="AB3555" t="str">
            <v>24AAFCP2956A1ZR</v>
          </cell>
        </row>
        <row r="3556">
          <cell r="D3556" t="str">
            <v>Plastene Polyfilms Ltd-Sales</v>
          </cell>
          <cell r="AB3556" t="str">
            <v>24AAFCP2956A1ZR</v>
          </cell>
        </row>
        <row r="3557">
          <cell r="D3557" t="str">
            <v>Plastene Polyfilms Ltd-Sales</v>
          </cell>
          <cell r="AB3557" t="str">
            <v>24AAFCP2956A1ZR</v>
          </cell>
        </row>
        <row r="3558">
          <cell r="D3558" t="str">
            <v>Plastene Polyfilms Ltd-Sales</v>
          </cell>
          <cell r="AB3558" t="str">
            <v>24AAFCP2956A1ZR</v>
          </cell>
        </row>
        <row r="3559">
          <cell r="D3559" t="str">
            <v>Technopac Austria Gmbh</v>
          </cell>
          <cell r="AB3559" t="str">
            <v>N.A.</v>
          </cell>
        </row>
        <row r="3560">
          <cell r="D3560" t="str">
            <v>Hidden Gold LLC</v>
          </cell>
          <cell r="AB3560" t="str">
            <v>N.A.</v>
          </cell>
        </row>
        <row r="3561">
          <cell r="D3561" t="str">
            <v>Juta A.S.</v>
          </cell>
          <cell r="AB3561" t="str">
            <v>N.A.</v>
          </cell>
        </row>
        <row r="3562">
          <cell r="D3562" t="str">
            <v>K.P. Woven Pvt Ltd - Unit 3 -Sales</v>
          </cell>
          <cell r="AB3562" t="str">
            <v>24AAECK6307M2ZE</v>
          </cell>
        </row>
        <row r="3563">
          <cell r="D3563" t="str">
            <v>K.P. Woven Pvt Ltd - Unit 3 -Sales</v>
          </cell>
          <cell r="AB3563" t="str">
            <v>24AAECK6307M2ZE</v>
          </cell>
        </row>
        <row r="3564">
          <cell r="D3564" t="str">
            <v>K.P. Woven Pvt Ltd-Sales</v>
          </cell>
          <cell r="AB3564" t="str">
            <v>24AAECK6307M1ZF</v>
          </cell>
        </row>
        <row r="3565">
          <cell r="D3565" t="str">
            <v>Plastene Polyfilms Ltd-Sales</v>
          </cell>
          <cell r="AB3565" t="str">
            <v>24AAFCP2956A1ZR</v>
          </cell>
        </row>
        <row r="3566">
          <cell r="D3566" t="str">
            <v>Rfbl Flexi Pack Limited</v>
          </cell>
          <cell r="AB3566" t="str">
            <v>24AAJCS2339C1ZN</v>
          </cell>
        </row>
        <row r="3567">
          <cell r="D3567" t="str">
            <v>Rfbl Flexi Pack Limited</v>
          </cell>
          <cell r="AB3567" t="str">
            <v>24AAJCS2339C1ZN</v>
          </cell>
        </row>
        <row r="3568">
          <cell r="D3568" t="str">
            <v>Rfbl Flexi Pack Limited</v>
          </cell>
          <cell r="AB3568" t="str">
            <v>24AAJCS2339C1ZN</v>
          </cell>
        </row>
        <row r="3569">
          <cell r="D3569" t="str">
            <v>Technopac Gmbh</v>
          </cell>
          <cell r="AB3569" t="str">
            <v>N.A.</v>
          </cell>
        </row>
        <row r="3570">
          <cell r="D3570" t="str">
            <v>K.P. Woven Pvt Ltd - Unit 3 -Sales</v>
          </cell>
          <cell r="AB3570" t="str">
            <v>24AAECK6307M2ZE</v>
          </cell>
        </row>
        <row r="3571">
          <cell r="D3571" t="str">
            <v>K.P. Woven Pvt Ltd-Sales</v>
          </cell>
          <cell r="AB3571" t="str">
            <v>24AAECK6307M1ZF</v>
          </cell>
        </row>
        <row r="3572">
          <cell r="D3572" t="str">
            <v>Nikhil Packagers</v>
          </cell>
          <cell r="AB3572" t="str">
            <v>09APZPG7653R1ZJ</v>
          </cell>
        </row>
        <row r="3573">
          <cell r="D3573" t="str">
            <v>Nikhil Packagers</v>
          </cell>
          <cell r="AB3573" t="str">
            <v>09APZPG7653R1ZJ</v>
          </cell>
        </row>
        <row r="3574">
          <cell r="D3574" t="str">
            <v>Nikhil Packagers</v>
          </cell>
          <cell r="AB3574" t="str">
            <v>09APZPG7653R1ZJ</v>
          </cell>
        </row>
        <row r="3575">
          <cell r="D3575" t="str">
            <v>Nikhil Packagers</v>
          </cell>
          <cell r="AB3575" t="str">
            <v>09APZPG7653R1ZJ</v>
          </cell>
        </row>
        <row r="3576">
          <cell r="D3576" t="str">
            <v>Rfbl Flexi Pack Limited</v>
          </cell>
          <cell r="AB3576" t="str">
            <v>24AAJCS2339C1ZN</v>
          </cell>
        </row>
        <row r="3577">
          <cell r="D3577" t="str">
            <v>Rfbl Flexi Pack Limited</v>
          </cell>
          <cell r="AB3577" t="str">
            <v>24AAJCS2339C1ZN</v>
          </cell>
        </row>
        <row r="3578">
          <cell r="D3578" t="str">
            <v>Rfbl Flexi Pack Limited</v>
          </cell>
          <cell r="AB3578" t="str">
            <v>24AAJCS2339C1ZN</v>
          </cell>
        </row>
        <row r="3579">
          <cell r="D3579" t="str">
            <v>Rfbl Flexi Pack Limited</v>
          </cell>
          <cell r="AB3579" t="str">
            <v>24AAJCS2339C1ZN</v>
          </cell>
        </row>
        <row r="3580">
          <cell r="D3580" t="str">
            <v>Fibco Plastic Industry Llc</v>
          </cell>
          <cell r="AB3580" t="str">
            <v>N.A.</v>
          </cell>
        </row>
        <row r="3581">
          <cell r="D3581" t="str">
            <v>HCP Plastene Bulkpack Limited - Sales</v>
          </cell>
          <cell r="AB3581" t="str">
            <v>24AABCG1282C2Z6</v>
          </cell>
        </row>
        <row r="3582">
          <cell r="D3582" t="str">
            <v>HCP Plastene Bulkpack Limited - Sales</v>
          </cell>
          <cell r="AB3582" t="str">
            <v>24AABCG1282C2Z6</v>
          </cell>
        </row>
        <row r="3583">
          <cell r="D3583" t="str">
            <v>HCP Plastene Bulkpack Limited - Sales</v>
          </cell>
          <cell r="AB3583" t="str">
            <v>24AABCG1282C2Z6</v>
          </cell>
        </row>
        <row r="3584">
          <cell r="D3584" t="str">
            <v>HCP Plastene Bulkpack Limited - Sales</v>
          </cell>
          <cell r="AB3584" t="str">
            <v>24AABCG1282C2Z6</v>
          </cell>
        </row>
        <row r="3585">
          <cell r="D3585" t="str">
            <v>HCP Plastene Bulkpack Limited - Sales</v>
          </cell>
          <cell r="AB3585" t="str">
            <v>24AABCG1282C2Z6</v>
          </cell>
        </row>
        <row r="3586">
          <cell r="D3586" t="str">
            <v>HCP Plastene Bulkpack Limited - Sales</v>
          </cell>
          <cell r="AB3586" t="str">
            <v>24AABCG1282C2Z6</v>
          </cell>
        </row>
        <row r="3587">
          <cell r="D3587" t="str">
            <v>HCP Plastene Bulkpack Limited - Sales</v>
          </cell>
          <cell r="AB3587" t="str">
            <v>24AABCG1282C2Z6</v>
          </cell>
        </row>
        <row r="3588">
          <cell r="D3588" t="str">
            <v>Plastene Polyfilms Ltd-Sales</v>
          </cell>
          <cell r="AB3588" t="str">
            <v>24AAFCP2956A1ZR</v>
          </cell>
        </row>
        <row r="3589">
          <cell r="D3589" t="str">
            <v>Plastene Polyfilms Ltd-Sales</v>
          </cell>
          <cell r="AB3589" t="str">
            <v>24AAFCP2956A1ZR</v>
          </cell>
        </row>
        <row r="3590">
          <cell r="D3590" t="str">
            <v>Plastene Polyfilms Ltd-Sales</v>
          </cell>
          <cell r="AB3590" t="str">
            <v>24AAFCP2956A1ZR</v>
          </cell>
        </row>
        <row r="3591">
          <cell r="D3591" t="str">
            <v>Plastene Polyfilms Ltd-Sales</v>
          </cell>
          <cell r="AB3591" t="str">
            <v>24AAFCP2956A1ZR</v>
          </cell>
        </row>
        <row r="3592">
          <cell r="D3592" t="str">
            <v>Technopac Austria Gmbh</v>
          </cell>
          <cell r="AB3592" t="str">
            <v>N.A.</v>
          </cell>
        </row>
        <row r="3593">
          <cell r="D3593" t="str">
            <v>HCP Plastene Bulkpack Limited - Sales</v>
          </cell>
          <cell r="AB3593" t="str">
            <v>24AABCG1282C2Z6</v>
          </cell>
        </row>
        <row r="3594">
          <cell r="D3594" t="str">
            <v>HCP Plastene Bulkpack Limited - Sales</v>
          </cell>
          <cell r="AB3594" t="str">
            <v>24AABCG1282C2Z6</v>
          </cell>
        </row>
        <row r="3595">
          <cell r="D3595" t="str">
            <v>K.P. Woven Pvt Ltd-Sales</v>
          </cell>
          <cell r="AB3595" t="str">
            <v>24AAECK6307M1ZF</v>
          </cell>
        </row>
        <row r="3596">
          <cell r="D3596" t="str">
            <v>Mehjal Adhesive Tapes Pvt. Ltd. - Sales</v>
          </cell>
          <cell r="AB3596" t="str">
            <v>24AAICM7843C1ZJ</v>
          </cell>
        </row>
        <row r="3597">
          <cell r="D3597" t="str">
            <v>Mehjal Adhesive Tapes Pvt. Ltd. - Sales</v>
          </cell>
          <cell r="AB3597" t="str">
            <v>24AAICM7843C1ZJ</v>
          </cell>
        </row>
        <row r="3598">
          <cell r="D3598" t="str">
            <v>Rfbl Flexi Pack Limited</v>
          </cell>
          <cell r="AB3598" t="str">
            <v>24AAJCS2339C1ZN</v>
          </cell>
        </row>
        <row r="3599">
          <cell r="D3599" t="str">
            <v>Rfbl Flexi Pack Limited</v>
          </cell>
          <cell r="AB3599" t="str">
            <v>24AAJCS2339C1ZN</v>
          </cell>
        </row>
        <row r="3600">
          <cell r="D3600" t="str">
            <v>Rfbl Flexi Pack Limited</v>
          </cell>
          <cell r="AB3600" t="str">
            <v>24AAJCS2339C1ZN</v>
          </cell>
        </row>
        <row r="3601">
          <cell r="D3601" t="str">
            <v>Rfbl Flexi Pack Limited</v>
          </cell>
          <cell r="AB3601" t="str">
            <v>24AAJCS2339C1ZN</v>
          </cell>
        </row>
        <row r="3602">
          <cell r="D3602" t="str">
            <v>Rfbl Flexi Pack Limited</v>
          </cell>
          <cell r="AB3602" t="str">
            <v>24AAJCS2339C1ZN</v>
          </cell>
        </row>
        <row r="3603">
          <cell r="D3603" t="str">
            <v>K.P. Woven Pvt Ltd - Unit 3 -Sales</v>
          </cell>
          <cell r="AB3603" t="str">
            <v>24AAECK6307M2ZE</v>
          </cell>
        </row>
        <row r="3604">
          <cell r="D3604" t="str">
            <v>K.P. Woven Pvt Ltd - Unit 3 -Sales</v>
          </cell>
          <cell r="AB3604" t="str">
            <v>24AAECK6307M2ZE</v>
          </cell>
        </row>
        <row r="3605">
          <cell r="D3605" t="str">
            <v>Superform Chemistries Limited Jhagadia- PL85</v>
          </cell>
          <cell r="AB3605" t="str">
            <v>24AADCU0994M1ZX</v>
          </cell>
        </row>
        <row r="3606">
          <cell r="D3606" t="str">
            <v>Auroma Geotex Pvt Ltd - Sales</v>
          </cell>
          <cell r="AB3606" t="str">
            <v>24AATCA2618Q1Z4</v>
          </cell>
        </row>
        <row r="3607">
          <cell r="D3607" t="str">
            <v>Coromandel International Ltd-Sarigam</v>
          </cell>
          <cell r="AB3607" t="str">
            <v>24AAACC7852K1ZJ</v>
          </cell>
        </row>
        <row r="3608">
          <cell r="D3608" t="str">
            <v>HCP Plastene Bulkpack Limited - Sales</v>
          </cell>
          <cell r="AB3608" t="str">
            <v>24AABCG1282C2Z6</v>
          </cell>
        </row>
        <row r="3609">
          <cell r="D3609" t="str">
            <v>K.P. Woven Pvt Ltd - Unit 3 -Sales</v>
          </cell>
          <cell r="AB3609" t="str">
            <v>24AAECK6307M2ZE</v>
          </cell>
        </row>
        <row r="3610">
          <cell r="D3610" t="str">
            <v>K.P. Woven Pvt Ltd - Unit 3 -Sales</v>
          </cell>
          <cell r="AB3610" t="str">
            <v>24AAECK6307M2ZE</v>
          </cell>
        </row>
        <row r="3611">
          <cell r="D3611" t="str">
            <v>K.P. Woven Pvt Ltd-Sales</v>
          </cell>
          <cell r="AB3611" t="str">
            <v>24AAECK6307M1ZF</v>
          </cell>
        </row>
        <row r="3612">
          <cell r="D3612" t="str">
            <v>K.P. Woven Pvt Ltd-Sales</v>
          </cell>
          <cell r="AB3612" t="str">
            <v>24AAECK6307M1ZF</v>
          </cell>
        </row>
        <row r="3613">
          <cell r="D3613" t="str">
            <v>Plastene Polyfilms Ltd-Sales</v>
          </cell>
          <cell r="AB3613" t="str">
            <v>24AAFCP2956A1ZR</v>
          </cell>
        </row>
        <row r="3614">
          <cell r="D3614" t="str">
            <v>Rfbl Flexi Pack Limited</v>
          </cell>
          <cell r="AB3614" t="str">
            <v>24AAJCS2339C1ZN</v>
          </cell>
        </row>
        <row r="3615">
          <cell r="D3615" t="str">
            <v>Rfbl Flexi Pack Limited</v>
          </cell>
          <cell r="AB3615" t="str">
            <v>24AAJCS2339C1ZN</v>
          </cell>
        </row>
        <row r="3616">
          <cell r="D3616" t="str">
            <v>Rfbl Flexi Pack Limited</v>
          </cell>
          <cell r="AB3616" t="str">
            <v>24AAJCS2339C1ZN</v>
          </cell>
        </row>
        <row r="3617">
          <cell r="D3617" t="str">
            <v>K.P. Woven Pvt Ltd - Unit 3 -Sales</v>
          </cell>
          <cell r="AB3617" t="str">
            <v>24AAECK6307M2ZE</v>
          </cell>
        </row>
        <row r="3618">
          <cell r="D3618" t="str">
            <v>Coromandel International Ltd-Sarigam</v>
          </cell>
          <cell r="AB3618" t="str">
            <v>24AAACC7852K1ZJ</v>
          </cell>
        </row>
        <row r="3619">
          <cell r="D3619" t="str">
            <v>Coromandel International Ltd-Sarigam</v>
          </cell>
          <cell r="AB3619" t="str">
            <v>24AAACC7852K1ZJ</v>
          </cell>
        </row>
        <row r="3620">
          <cell r="D3620" t="str">
            <v>Jainam Straap</v>
          </cell>
          <cell r="AB3620" t="str">
            <v>24BFVPS9830R2Z3</v>
          </cell>
        </row>
        <row r="3621">
          <cell r="D3621" t="str">
            <v>Plastene Polyfilms Ltd-Sales</v>
          </cell>
          <cell r="AB3621" t="str">
            <v>24AAFCP2956A1ZR</v>
          </cell>
        </row>
        <row r="3622">
          <cell r="D3622" t="str">
            <v>Plastene Polyfilms Ltd-Sales</v>
          </cell>
          <cell r="AB3622" t="str">
            <v>24AAFCP2956A1ZR</v>
          </cell>
        </row>
        <row r="3623">
          <cell r="D3623" t="str">
            <v>Plastene Polyfilms Ltd-Sales</v>
          </cell>
          <cell r="AB3623" t="str">
            <v>24AAFCP2956A1ZR</v>
          </cell>
        </row>
        <row r="3624">
          <cell r="D3624" t="str">
            <v>Plastene Polyfilms Ltd-Sales</v>
          </cell>
          <cell r="AB3624" t="str">
            <v>24AAFCP2956A1ZR</v>
          </cell>
        </row>
        <row r="3625">
          <cell r="D3625" t="str">
            <v>Century Fibc</v>
          </cell>
          <cell r="AB3625" t="str">
            <v>24AALFC5377K1Z2</v>
          </cell>
        </row>
        <row r="3626">
          <cell r="D3626" t="str">
            <v>Fibco Plastic Industry Llc</v>
          </cell>
          <cell r="AB3626" t="str">
            <v>N.A.</v>
          </cell>
        </row>
        <row r="3627">
          <cell r="D3627" t="str">
            <v>Fibco Plastic Industry Llc</v>
          </cell>
          <cell r="AB3627" t="str">
            <v>N.A.</v>
          </cell>
        </row>
        <row r="3628">
          <cell r="D3628" t="str">
            <v>Swayam Poly Plast Pvt Ltd</v>
          </cell>
          <cell r="AB3628" t="str">
            <v>24AAHCP1316J1ZM</v>
          </cell>
        </row>
        <row r="3629">
          <cell r="D3629" t="str">
            <v>Swayam Poly Plast Pvt Ltd</v>
          </cell>
          <cell r="AB3629" t="str">
            <v>24AAHCP1316J1ZM</v>
          </cell>
        </row>
        <row r="3630">
          <cell r="D3630" t="str">
            <v>HCP Plastene Bulkpack Limited - Sales</v>
          </cell>
          <cell r="AB3630" t="str">
            <v>24AABCG1282C2Z6</v>
          </cell>
        </row>
        <row r="3631">
          <cell r="D3631" t="str">
            <v>K.P. Woven Pvt Ltd-Sales</v>
          </cell>
          <cell r="AB3631" t="str">
            <v>24AAECK6307M1ZF</v>
          </cell>
        </row>
        <row r="3632">
          <cell r="D3632" t="str">
            <v>K.P. Woven Pvt Ltd-Sales</v>
          </cell>
          <cell r="AB3632" t="str">
            <v>24AAECK6307M1ZF</v>
          </cell>
        </row>
        <row r="3633">
          <cell r="D3633" t="str">
            <v>K.P. Woven Pvt Ltd-Sales</v>
          </cell>
          <cell r="AB3633" t="str">
            <v>24AAECK6307M1ZF</v>
          </cell>
        </row>
        <row r="3634">
          <cell r="D3634" t="str">
            <v>K.P. Woven Pvt Ltd-Sales</v>
          </cell>
          <cell r="AB3634" t="str">
            <v>24AAECK6307M1ZF</v>
          </cell>
        </row>
        <row r="3635">
          <cell r="D3635" t="str">
            <v>K.P. Woven Pvt Ltd-Sales</v>
          </cell>
          <cell r="AB3635" t="str">
            <v>24AAECK6307M1ZF</v>
          </cell>
        </row>
        <row r="3636">
          <cell r="D3636" t="str">
            <v>HCP Plastene Bulkpack Limited - Sales</v>
          </cell>
          <cell r="AB3636" t="str">
            <v>24AABCG1282C2Z6</v>
          </cell>
        </row>
        <row r="3637">
          <cell r="D3637" t="str">
            <v>K.P. Woven Pvt Ltd - Unit 3 -Sales</v>
          </cell>
          <cell r="AB3637" t="str">
            <v>24AAECK6307M2ZE</v>
          </cell>
        </row>
        <row r="3638">
          <cell r="D3638" t="str">
            <v>K.P. Woven Pvt Ltd - Unit 3 -Sales</v>
          </cell>
          <cell r="AB3638" t="str">
            <v>24AAECK6307M2ZE</v>
          </cell>
        </row>
        <row r="3639">
          <cell r="D3639" t="str">
            <v>Plastene Polyfilms Ltd-Sales</v>
          </cell>
          <cell r="AB3639" t="str">
            <v>24AAFCP2956A1ZR</v>
          </cell>
        </row>
        <row r="3640">
          <cell r="D3640" t="str">
            <v>Plastene Polyfilms Ltd-Sales</v>
          </cell>
          <cell r="AB3640" t="str">
            <v>24AAFCP2956A1ZR</v>
          </cell>
        </row>
        <row r="3641">
          <cell r="D3641" t="str">
            <v>Plastene Polyfilms Ltd-Sales</v>
          </cell>
          <cell r="AB3641" t="str">
            <v>24AAFCP2956A1ZR</v>
          </cell>
        </row>
        <row r="3642">
          <cell r="D3642" t="str">
            <v>Plastene Polyfilms Ltd-Sales</v>
          </cell>
          <cell r="AB3642" t="str">
            <v>24AAFCP2956A1ZR</v>
          </cell>
        </row>
        <row r="3643">
          <cell r="D3643" t="str">
            <v>Technopac Gmbh</v>
          </cell>
          <cell r="AB3643" t="str">
            <v>N.A.</v>
          </cell>
        </row>
        <row r="3644">
          <cell r="D3644" t="str">
            <v>Technopac Gmbh</v>
          </cell>
          <cell r="AB3644" t="str">
            <v>N.A.</v>
          </cell>
        </row>
        <row r="3645">
          <cell r="D3645" t="str">
            <v>Fibco Plastic Industry Llc</v>
          </cell>
          <cell r="AB3645" t="str">
            <v>N.A.</v>
          </cell>
        </row>
        <row r="3646">
          <cell r="D3646" t="str">
            <v>Fibco Plastic Industry Llc</v>
          </cell>
          <cell r="AB3646" t="str">
            <v>N.A.</v>
          </cell>
        </row>
        <row r="3647">
          <cell r="D3647" t="str">
            <v>K.P. Woven Pvt Ltd-Sales</v>
          </cell>
          <cell r="AB3647" t="str">
            <v>24AAECK6307M1ZF</v>
          </cell>
        </row>
        <row r="3648">
          <cell r="D3648" t="str">
            <v>K.P. Woven Pvt Ltd-Sales</v>
          </cell>
          <cell r="AB3648" t="str">
            <v>24AAECK6307M1ZF</v>
          </cell>
        </row>
        <row r="3649">
          <cell r="D3649" t="str">
            <v>K.P. Woven Pvt Ltd-Sales</v>
          </cell>
          <cell r="AB3649" t="str">
            <v>24AAECK6307M1ZF</v>
          </cell>
        </row>
        <row r="3650">
          <cell r="D3650" t="str">
            <v>Plastene Polyfilms Ltd-Sales</v>
          </cell>
          <cell r="AB3650" t="str">
            <v>24AAFCP2956A1ZR</v>
          </cell>
        </row>
        <row r="3651">
          <cell r="D3651" t="str">
            <v>Plastene Polyfilms Ltd-Sales</v>
          </cell>
          <cell r="AB3651" t="str">
            <v>24AAFCP2956A1ZR</v>
          </cell>
        </row>
        <row r="3652">
          <cell r="D3652" t="str">
            <v>Rfbl Flexi Pack Limited</v>
          </cell>
          <cell r="AB3652" t="str">
            <v>24AAJCS2339C1ZN</v>
          </cell>
        </row>
        <row r="3653">
          <cell r="D3653" t="str">
            <v>Rfbl Flexi Pack Limited</v>
          </cell>
          <cell r="AB3653" t="str">
            <v>24AAJCS2339C1ZN</v>
          </cell>
        </row>
        <row r="3654">
          <cell r="D3654" t="str">
            <v>Rfbl Flexi Pack Limited</v>
          </cell>
          <cell r="AB3654" t="str">
            <v>24AAJCS2339C1ZN</v>
          </cell>
        </row>
        <row r="3655">
          <cell r="D3655" t="str">
            <v>Rfbl Flexi Pack Limited</v>
          </cell>
          <cell r="AB3655" t="str">
            <v>24AAJCS2339C1ZN</v>
          </cell>
        </row>
        <row r="3656">
          <cell r="D3656" t="str">
            <v>Rfbl Flexi Pack Limited</v>
          </cell>
          <cell r="AB3656" t="str">
            <v>24AAJCS2339C1ZN</v>
          </cell>
        </row>
        <row r="3657">
          <cell r="D3657" t="str">
            <v>Rfbl Flexi Pack Limited</v>
          </cell>
          <cell r="AB3657" t="str">
            <v>24AAJCS2339C1ZN</v>
          </cell>
        </row>
        <row r="3658">
          <cell r="D3658" t="str">
            <v>Rfbl Flexi Pack Limited</v>
          </cell>
          <cell r="AB3658" t="str">
            <v>24AAJCS2339C1ZN</v>
          </cell>
        </row>
        <row r="3659">
          <cell r="D3659" t="str">
            <v>Rfbl Flexi Pack Limited</v>
          </cell>
          <cell r="AB3659" t="str">
            <v>24AAJCS2339C1ZN</v>
          </cell>
        </row>
        <row r="3660">
          <cell r="D3660" t="str">
            <v>HCP Plastene Bulkpack Limited - Sales</v>
          </cell>
          <cell r="AB3660" t="str">
            <v>24AABCG1282C2Z6</v>
          </cell>
        </row>
        <row r="3661">
          <cell r="D3661" t="str">
            <v>HCP Plastene Bulkpack Limited - Sales</v>
          </cell>
          <cell r="AB3661" t="str">
            <v>24AABCG1282C2Z6</v>
          </cell>
        </row>
        <row r="3662">
          <cell r="D3662" t="str">
            <v>HCP Plastene Bulkpack Limited - Sales</v>
          </cell>
          <cell r="AB3662" t="str">
            <v>24AABCG1282C2Z6</v>
          </cell>
        </row>
        <row r="3663">
          <cell r="D3663" t="str">
            <v>K.P. Woven Pvt Ltd - Unit 3 -Sales</v>
          </cell>
          <cell r="AB3663" t="str">
            <v>24AAECK6307M2ZE</v>
          </cell>
        </row>
        <row r="3664">
          <cell r="D3664" t="str">
            <v>K.P. Woven Pvt Ltd-Sales</v>
          </cell>
          <cell r="AB3664" t="str">
            <v>24AAECK6307M1ZF</v>
          </cell>
        </row>
        <row r="3665">
          <cell r="D3665" t="str">
            <v>Karnavati Polyblends Pvt Ltd</v>
          </cell>
          <cell r="AB3665" t="str">
            <v>24AAACK9111D1Z2</v>
          </cell>
        </row>
        <row r="3666">
          <cell r="D3666" t="str">
            <v>Plastene Polyfilms Ltd-Sales</v>
          </cell>
          <cell r="AB3666" t="str">
            <v>24AAFCP2956A1ZR</v>
          </cell>
        </row>
        <row r="3667">
          <cell r="D3667" t="str">
            <v>Plastene Polyfilms Ltd-Sales</v>
          </cell>
          <cell r="AB3667" t="str">
            <v>24AAFCP2956A1ZR</v>
          </cell>
        </row>
        <row r="3668">
          <cell r="D3668" t="str">
            <v>Plastene Polyfilms Ltd-Sales</v>
          </cell>
          <cell r="AB3668" t="str">
            <v>24AAFCP2956A1ZR</v>
          </cell>
        </row>
        <row r="3669">
          <cell r="D3669" t="str">
            <v>Plastene Polyfilms Ltd-Sales</v>
          </cell>
          <cell r="AB3669" t="str">
            <v>24AAFCP2956A1ZR</v>
          </cell>
        </row>
        <row r="3670">
          <cell r="D3670" t="str">
            <v xml:space="preserve">Stellar Distribution Llc </v>
          </cell>
          <cell r="AB3670" t="str">
            <v>N.A.</v>
          </cell>
        </row>
        <row r="3671">
          <cell r="D3671" t="str">
            <v>HCP Plastene Bulkpack Limited - Sales</v>
          </cell>
          <cell r="AB3671" t="str">
            <v>24AABCG1282C2Z6</v>
          </cell>
        </row>
        <row r="3672">
          <cell r="D3672" t="str">
            <v>HCP Plastene Bulkpack Limited - Sales</v>
          </cell>
          <cell r="AB3672" t="str">
            <v>24AABCG1282C2Z6</v>
          </cell>
        </row>
        <row r="3673">
          <cell r="D3673" t="str">
            <v>K.P. Woven Pvt Ltd-Sales</v>
          </cell>
          <cell r="AB3673" t="str">
            <v>24AAECK6307M1ZF</v>
          </cell>
        </row>
        <row r="3674">
          <cell r="D3674" t="str">
            <v>Mehjal Adhesive Tapes Pvt. Ltd. - Sales</v>
          </cell>
          <cell r="AB3674" t="str">
            <v>24AAICM7843C1ZJ</v>
          </cell>
        </row>
        <row r="3675">
          <cell r="D3675" t="str">
            <v>Mehjal Adhesive Tapes Pvt. Ltd. - Sales</v>
          </cell>
          <cell r="AB3675" t="str">
            <v>24AAICM7843C1ZJ</v>
          </cell>
        </row>
        <row r="3676">
          <cell r="D3676" t="str">
            <v>Rfbl Flexi Pack Limited</v>
          </cell>
          <cell r="AB3676" t="str">
            <v>24AAJCS2339C1ZN</v>
          </cell>
        </row>
        <row r="3677">
          <cell r="D3677" t="str">
            <v>Rfbl Flexi Pack Limited</v>
          </cell>
          <cell r="AB3677" t="str">
            <v>24AAJCS2339C1ZN</v>
          </cell>
        </row>
        <row r="3678">
          <cell r="D3678" t="str">
            <v>Rfbl Flexi Pack Limited</v>
          </cell>
          <cell r="AB3678" t="str">
            <v>24AAJCS2339C1ZN</v>
          </cell>
        </row>
        <row r="3679">
          <cell r="D3679" t="str">
            <v>Rfbl Flexi Pack Limited</v>
          </cell>
          <cell r="AB3679" t="str">
            <v>24AAJCS2339C1ZN</v>
          </cell>
        </row>
        <row r="3680">
          <cell r="D3680" t="str">
            <v>K.P. Woven Pvt Ltd-Sales</v>
          </cell>
          <cell r="AB3680" t="str">
            <v>24AAECK6307M1ZF</v>
          </cell>
        </row>
        <row r="3681">
          <cell r="D3681" t="str">
            <v>K.P. Woven Pvt Ltd-Sales</v>
          </cell>
          <cell r="AB3681" t="str">
            <v>24AAECK6307M1ZF</v>
          </cell>
        </row>
        <row r="3682">
          <cell r="D3682" t="str">
            <v>K.P. Woven Pvt Ltd-Sales</v>
          </cell>
          <cell r="AB3682" t="str">
            <v>24AAECK6307M1ZF</v>
          </cell>
        </row>
        <row r="3683">
          <cell r="D3683" t="str">
            <v>K.P. Woven Pvt Ltd-Sales</v>
          </cell>
          <cell r="AB3683" t="str">
            <v>24AAECK6307M1ZF</v>
          </cell>
        </row>
        <row r="3684">
          <cell r="D3684" t="str">
            <v>K.P. Woven Pvt Ltd-Sales</v>
          </cell>
          <cell r="AB3684" t="str">
            <v>24AAECK6307M1ZF</v>
          </cell>
        </row>
        <row r="3685">
          <cell r="D3685" t="str">
            <v>K.P. Woven Pvt Ltd-Sales</v>
          </cell>
          <cell r="AB3685" t="str">
            <v>24AAECK6307M1ZF</v>
          </cell>
        </row>
        <row r="3686">
          <cell r="D3686" t="str">
            <v>K.P. Woven Pvt Ltd-Sales</v>
          </cell>
          <cell r="AB3686" t="str">
            <v>24AAECK6307M1ZF</v>
          </cell>
        </row>
        <row r="3687">
          <cell r="D3687" t="str">
            <v>K.P. Woven Pvt Ltd-Sales</v>
          </cell>
          <cell r="AB3687" t="str">
            <v>24AAECK6307M1ZF</v>
          </cell>
        </row>
        <row r="3688">
          <cell r="D3688" t="str">
            <v>K.P. Woven Pvt Ltd-Sales</v>
          </cell>
          <cell r="AB3688" t="str">
            <v>24AAECK6307M1ZF</v>
          </cell>
        </row>
        <row r="3689">
          <cell r="D3689" t="str">
            <v>Swayam Poly Plast Pvt Ltd</v>
          </cell>
          <cell r="AB3689" t="str">
            <v>24AAHCP1316J1ZM</v>
          </cell>
        </row>
        <row r="3690">
          <cell r="D3690" t="str">
            <v>HCP Plastene Bulkpack Limited - Sales</v>
          </cell>
          <cell r="AB3690" t="str">
            <v>24AABCG1282C2Z6</v>
          </cell>
        </row>
        <row r="3691">
          <cell r="D3691" t="str">
            <v>K.P. Woven Pvt Ltd - Unit 3 -Sales</v>
          </cell>
          <cell r="AB3691" t="str">
            <v>24AAECK6307M2ZE</v>
          </cell>
        </row>
        <row r="3692">
          <cell r="D3692" t="str">
            <v>K.P. Woven Pvt Ltd - Unit 3 -Sales</v>
          </cell>
          <cell r="AB3692" t="str">
            <v>24AAECK6307M2ZE</v>
          </cell>
        </row>
        <row r="3693">
          <cell r="D3693" t="str">
            <v>K.P. Woven Pvt Ltd-Sales</v>
          </cell>
          <cell r="AB3693" t="str">
            <v>24AAECK6307M1ZF</v>
          </cell>
        </row>
        <row r="3694">
          <cell r="D3694" t="str">
            <v>Plastene Polyfilms Ltd-Sales</v>
          </cell>
          <cell r="AB3694" t="str">
            <v>24AAFCP2956A1ZR</v>
          </cell>
        </row>
        <row r="3695">
          <cell r="D3695" t="str">
            <v>Plastene Polyfilms Ltd-Sales</v>
          </cell>
          <cell r="AB3695" t="str">
            <v>24AAFCP2956A1ZR</v>
          </cell>
        </row>
        <row r="3696">
          <cell r="D3696" t="str">
            <v>Plastene Polyfilms Ltd-Sales</v>
          </cell>
          <cell r="AB3696" t="str">
            <v>24AAFCP2956A1ZR</v>
          </cell>
        </row>
        <row r="3697">
          <cell r="D3697" t="str">
            <v>Plastene Polyfilms Ltd-Sales</v>
          </cell>
          <cell r="AB3697" t="str">
            <v>24AAFCP2956A1ZR</v>
          </cell>
        </row>
        <row r="3698">
          <cell r="D3698" t="str">
            <v>Plastene Polyfilms Ltd-Sales</v>
          </cell>
          <cell r="AB3698" t="str">
            <v>24AAFCP2956A1ZR</v>
          </cell>
        </row>
        <row r="3699">
          <cell r="D3699" t="str">
            <v>Jumbo Sack Corporation</v>
          </cell>
          <cell r="AB3699" t="str">
            <v>N.A.</v>
          </cell>
        </row>
        <row r="3700">
          <cell r="D3700" t="str">
            <v>K.P. Woven Pvt Ltd-Sales</v>
          </cell>
          <cell r="AB3700" t="str">
            <v>24AAECK6307M1ZF</v>
          </cell>
        </row>
        <row r="3701">
          <cell r="D3701" t="str">
            <v>Modus Granum LLC</v>
          </cell>
          <cell r="AB3701" t="str">
            <v>N.A.</v>
          </cell>
        </row>
        <row r="3702">
          <cell r="D3702" t="str">
            <v>Rfbl Flexi Pack Limited</v>
          </cell>
          <cell r="AB3702" t="str">
            <v>24AAJCS2339C1ZN</v>
          </cell>
        </row>
        <row r="3703">
          <cell r="D3703" t="str">
            <v>Rfbl Flexi Pack Limited</v>
          </cell>
          <cell r="AB3703" t="str">
            <v>24AAJCS2339C1ZN</v>
          </cell>
        </row>
        <row r="3704">
          <cell r="D3704" t="str">
            <v>HCP Plastene Bulkpack Limited - Sales</v>
          </cell>
          <cell r="AB3704" t="str">
            <v>24AABCG1282C2Z6</v>
          </cell>
        </row>
        <row r="3705">
          <cell r="D3705" t="str">
            <v>HCP Plastene Bulkpack Limited - Sales</v>
          </cell>
          <cell r="AB3705" t="str">
            <v>24AABCG1282C2Z6</v>
          </cell>
        </row>
        <row r="3706">
          <cell r="D3706" t="str">
            <v>K.P. Woven Pvt Ltd - Unit 3 -Sales</v>
          </cell>
          <cell r="AB3706" t="str">
            <v>24AAECK6307M2ZE</v>
          </cell>
        </row>
        <row r="3707">
          <cell r="D3707" t="str">
            <v>K.P. Woven Pvt Ltd - Unit 3 -Sales</v>
          </cell>
          <cell r="AB3707" t="str">
            <v>24AAECK6307M2ZE</v>
          </cell>
        </row>
        <row r="3708">
          <cell r="D3708" t="str">
            <v>Swayam Poly Plast Pvt Ltd</v>
          </cell>
          <cell r="AB3708" t="str">
            <v>24AAHCP1316J1ZM</v>
          </cell>
        </row>
        <row r="3709">
          <cell r="D3709" t="str">
            <v>Technopac Gmbh</v>
          </cell>
          <cell r="AB3709" t="str">
            <v>N.A.</v>
          </cell>
        </row>
        <row r="3710">
          <cell r="D3710" t="str">
            <v>HCP Plastene Bulkpack Limited - Sales</v>
          </cell>
          <cell r="AB3710" t="str">
            <v>24AABCG1282C2Z6</v>
          </cell>
        </row>
        <row r="3711">
          <cell r="D3711" t="str">
            <v>HCP Plastene Bulkpack Limited - Sales</v>
          </cell>
          <cell r="AB3711" t="str">
            <v>24AABCG1282C2Z6</v>
          </cell>
        </row>
        <row r="3712">
          <cell r="D3712" t="str">
            <v>HCP Plastene Bulkpack Limited - Sales</v>
          </cell>
          <cell r="AB3712" t="str">
            <v>24AABCG1282C2Z6</v>
          </cell>
        </row>
        <row r="3713">
          <cell r="D3713" t="str">
            <v>K.P. Woven Pvt Ltd - Unit 3 -Sales</v>
          </cell>
          <cell r="AB3713" t="str">
            <v>24AAECK6307M2ZE</v>
          </cell>
        </row>
        <row r="3714">
          <cell r="D3714" t="str">
            <v>K.P. Woven Pvt Ltd-Sales</v>
          </cell>
          <cell r="AB3714" t="str">
            <v>24AAECK6307M1ZF</v>
          </cell>
        </row>
        <row r="3715">
          <cell r="D3715" t="str">
            <v>Plastene Polyfilms Ltd-Sales</v>
          </cell>
          <cell r="AB3715" t="str">
            <v>24AAFCP2956A1ZR</v>
          </cell>
        </row>
        <row r="3716">
          <cell r="D3716" t="str">
            <v>HCP Plastene Bulkpack Limited - Sales</v>
          </cell>
          <cell r="AB3716" t="str">
            <v>24AABCG1282C2Z6</v>
          </cell>
        </row>
        <row r="3717">
          <cell r="D3717" t="str">
            <v>K.P. Woven Pvt Ltd-Sales</v>
          </cell>
          <cell r="AB3717" t="str">
            <v>24AAECK6307M1ZF</v>
          </cell>
        </row>
        <row r="3718">
          <cell r="D3718" t="str">
            <v>K.P. Woven Pvt Ltd-Sales</v>
          </cell>
          <cell r="AB3718" t="str">
            <v>24AAECK6307M1ZF</v>
          </cell>
        </row>
        <row r="3719">
          <cell r="D3719" t="str">
            <v>K.P. Woven Pvt Ltd-Sales</v>
          </cell>
          <cell r="AB3719" t="str">
            <v>24AAECK6307M1ZF</v>
          </cell>
        </row>
        <row r="3720">
          <cell r="D3720" t="str">
            <v>K.P. Woven Pvt Ltd-Sales</v>
          </cell>
          <cell r="AB3720" t="str">
            <v>24AAECK6307M1ZF</v>
          </cell>
        </row>
        <row r="3721">
          <cell r="D3721" t="str">
            <v>K.P. Woven Pvt Ltd-Sales</v>
          </cell>
          <cell r="AB3721" t="str">
            <v>24AAECK6307M1ZF</v>
          </cell>
        </row>
        <row r="3722">
          <cell r="D3722" t="str">
            <v>K.P. Woven Pvt Ltd-Sales</v>
          </cell>
          <cell r="AB3722" t="str">
            <v>24AAECK6307M1ZF</v>
          </cell>
        </row>
        <row r="3723">
          <cell r="D3723" t="str">
            <v>K.P. Woven Pvt Ltd-Sales</v>
          </cell>
          <cell r="AB3723" t="str">
            <v>24AAECK6307M1ZF</v>
          </cell>
        </row>
        <row r="3724">
          <cell r="D3724" t="str">
            <v>K.P. Woven Pvt Ltd-Sales</v>
          </cell>
          <cell r="AB3724" t="str">
            <v>24AAECK6307M1ZF</v>
          </cell>
        </row>
        <row r="3725">
          <cell r="D3725" t="str">
            <v>K.P. Woven Pvt Ltd - Unit 3 -Sales</v>
          </cell>
          <cell r="AB3725" t="str">
            <v>24AAECK6307M2ZE</v>
          </cell>
        </row>
        <row r="3726">
          <cell r="D3726" t="str">
            <v>K.P. Woven Pvt Ltd - Unit 3 -Sales</v>
          </cell>
          <cell r="AB3726" t="str">
            <v>24AAECK6307M2ZE</v>
          </cell>
        </row>
        <row r="3727">
          <cell r="D3727" t="str">
            <v>K.P. Woven Pvt Ltd - Unit 3 -Sales</v>
          </cell>
          <cell r="AB3727" t="str">
            <v>24AAECK6307M2ZE</v>
          </cell>
        </row>
        <row r="3728">
          <cell r="D3728" t="str">
            <v>Plastene Polyfilms Ltd-Sales</v>
          </cell>
          <cell r="AB3728" t="str">
            <v>24AAFCP2956A1ZR</v>
          </cell>
        </row>
        <row r="3729">
          <cell r="D3729" t="str">
            <v>Plastene Polyfilms Ltd-Sales</v>
          </cell>
          <cell r="AB3729" t="str">
            <v>24AAFCP2956A1ZR</v>
          </cell>
        </row>
        <row r="3730">
          <cell r="D3730" t="str">
            <v>Plastene Polyfilms Ltd-Sales</v>
          </cell>
          <cell r="AB3730" t="str">
            <v>24AAFCP2956A1ZR</v>
          </cell>
        </row>
        <row r="3731">
          <cell r="D3731" t="str">
            <v>Plastene Polyfilms Ltd-Sales</v>
          </cell>
          <cell r="AB3731" t="str">
            <v>24AAFCP2956A1ZR</v>
          </cell>
        </row>
        <row r="3732">
          <cell r="D3732" t="str">
            <v>Plastene Polyfilms Ltd-Sales</v>
          </cell>
          <cell r="AB3732" t="str">
            <v>24AAFCP2956A1ZR</v>
          </cell>
        </row>
        <row r="3733">
          <cell r="D3733" t="str">
            <v>Shreeshakti Syn Bags Private Limited</v>
          </cell>
          <cell r="AB3733" t="str">
            <v>23ABBCS0297C1ZQ</v>
          </cell>
        </row>
        <row r="3734">
          <cell r="D3734" t="str">
            <v>Shreeshakti Syn Bags Private Limited</v>
          </cell>
          <cell r="AB3734" t="str">
            <v>23ABBCS0297C1ZQ</v>
          </cell>
        </row>
        <row r="3735">
          <cell r="D3735" t="str">
            <v>K.P. Woven Pvt Ltd-Sales</v>
          </cell>
          <cell r="AB3735" t="str">
            <v>24AAECK6307M1ZF</v>
          </cell>
        </row>
        <row r="3736">
          <cell r="D3736" t="str">
            <v>Nikhil Packagers</v>
          </cell>
          <cell r="AB3736" t="str">
            <v>09APZPG7653R1ZJ</v>
          </cell>
        </row>
        <row r="3737">
          <cell r="D3737" t="str">
            <v>Nikhil Packagers</v>
          </cell>
          <cell r="AB3737" t="str">
            <v>09APZPG7653R1ZJ</v>
          </cell>
        </row>
        <row r="3738">
          <cell r="D3738" t="str">
            <v>Nikhil Packagers</v>
          </cell>
          <cell r="AB3738" t="str">
            <v>09APZPG7653R1ZJ</v>
          </cell>
        </row>
        <row r="3739">
          <cell r="D3739" t="str">
            <v>HCP Plastene Bulkpack Limited - Sales</v>
          </cell>
          <cell r="AB3739" t="str">
            <v>24AABCG1282C2Z6</v>
          </cell>
        </row>
        <row r="3740">
          <cell r="D3740" t="str">
            <v>K.P. Woven Pvt Ltd-Sales</v>
          </cell>
          <cell r="AB3740" t="str">
            <v>24AAECK6307M1ZF</v>
          </cell>
        </row>
        <row r="3741">
          <cell r="D3741" t="str">
            <v>K.P. Woven Pvt Ltd-Sales</v>
          </cell>
          <cell r="AB3741" t="str">
            <v>24AAECK6307M1ZF</v>
          </cell>
        </row>
        <row r="3742">
          <cell r="D3742" t="str">
            <v>K.P. Woven Pvt Ltd-Sales</v>
          </cell>
          <cell r="AB3742" t="str">
            <v>24AAECK6307M1ZF</v>
          </cell>
        </row>
        <row r="3743">
          <cell r="D3743" t="str">
            <v>K.P. Woven Pvt Ltd-Sales</v>
          </cell>
          <cell r="AB3743" t="str">
            <v>24AAECK6307M1ZF</v>
          </cell>
        </row>
        <row r="3744">
          <cell r="D3744" t="str">
            <v>K.P. Woven Pvt Ltd-Sales</v>
          </cell>
          <cell r="AB3744" t="str">
            <v>24AAECK6307M1ZF</v>
          </cell>
        </row>
        <row r="3745">
          <cell r="D3745" t="str">
            <v>K.P. Woven Pvt Ltd-Sales</v>
          </cell>
          <cell r="AB3745" t="str">
            <v>24AAECK6307M1ZF</v>
          </cell>
        </row>
        <row r="3746">
          <cell r="D3746" t="str">
            <v>K.P. Woven Pvt Ltd-Sales</v>
          </cell>
          <cell r="AB3746" t="str">
            <v>24AAECK6307M1ZF</v>
          </cell>
        </row>
        <row r="3747">
          <cell r="D3747" t="str">
            <v>Hidden Gold LLC</v>
          </cell>
          <cell r="AB3747" t="str">
            <v>N.A.</v>
          </cell>
        </row>
        <row r="3748">
          <cell r="D3748" t="str">
            <v>K.P. Woven Pvt Ltd-Sales</v>
          </cell>
          <cell r="AB3748" t="str">
            <v>24AAECK6307M1ZF</v>
          </cell>
        </row>
        <row r="3749">
          <cell r="D3749" t="str">
            <v>K.P. Woven Pvt Ltd-Sales</v>
          </cell>
          <cell r="AB3749" t="str">
            <v>24AAECK6307M1ZF</v>
          </cell>
        </row>
        <row r="3750">
          <cell r="D3750" t="str">
            <v>K.P. Woven Pvt Ltd-Sales</v>
          </cell>
          <cell r="AB3750" t="str">
            <v>24AAECK6307M1ZF</v>
          </cell>
        </row>
        <row r="3751">
          <cell r="D3751" t="str">
            <v>K.P. Woven Pvt Ltd-Sales</v>
          </cell>
          <cell r="AB3751" t="str">
            <v>24AAECK6307M1ZF</v>
          </cell>
        </row>
        <row r="3752">
          <cell r="D3752" t="str">
            <v>K.P. Woven Pvt Ltd-Sales</v>
          </cell>
          <cell r="AB3752" t="str">
            <v>24AAECK6307M1ZF</v>
          </cell>
        </row>
        <row r="3753">
          <cell r="D3753" t="str">
            <v>K.P. Woven Pvt Ltd-Sales</v>
          </cell>
          <cell r="AB3753" t="str">
            <v>24AAECK6307M1ZF</v>
          </cell>
        </row>
        <row r="3754">
          <cell r="D3754" t="str">
            <v>K.P. Woven Pvt Ltd-Sales</v>
          </cell>
          <cell r="AB3754" t="str">
            <v>24AAECK6307M1ZF</v>
          </cell>
        </row>
        <row r="3755">
          <cell r="D3755" t="str">
            <v>K.P. Woven Pvt Ltd-Sales</v>
          </cell>
          <cell r="AB3755" t="str">
            <v>24AAECK6307M1ZF</v>
          </cell>
        </row>
        <row r="3756">
          <cell r="D3756" t="str">
            <v>Rfbl Flexi Pack Limited</v>
          </cell>
          <cell r="AB3756" t="str">
            <v>24AAJCS2339C1ZN</v>
          </cell>
        </row>
        <row r="3757">
          <cell r="D3757" t="str">
            <v>Rfbl Flexi Pack Limited</v>
          </cell>
          <cell r="AB3757" t="str">
            <v>24AAJCS2339C1ZN</v>
          </cell>
        </row>
        <row r="3758">
          <cell r="D3758" t="str">
            <v>Rfbl Flexi Pack Limited</v>
          </cell>
          <cell r="AB3758" t="str">
            <v>24AAJCS2339C1ZN</v>
          </cell>
        </row>
        <row r="3759">
          <cell r="D3759" t="str">
            <v>K.P. Woven Pvt Ltd-Sales</v>
          </cell>
          <cell r="AB3759" t="str">
            <v>24AAECK6307M1ZF</v>
          </cell>
        </row>
        <row r="3760">
          <cell r="D3760" t="str">
            <v>K.P. Woven Pvt Ltd-Sales</v>
          </cell>
          <cell r="AB3760" t="str">
            <v>24AAECK6307M1ZF</v>
          </cell>
        </row>
        <row r="3761">
          <cell r="D3761" t="str">
            <v>K.P. Woven Pvt Ltd-Sales</v>
          </cell>
          <cell r="AB3761" t="str">
            <v>24AAECK6307M1ZF</v>
          </cell>
        </row>
        <row r="3762">
          <cell r="D3762" t="str">
            <v>Rfbl Flexi Pack Limited</v>
          </cell>
          <cell r="AB3762" t="str">
            <v>24AAJCS2339C1ZN</v>
          </cell>
        </row>
        <row r="3763">
          <cell r="D3763" t="str">
            <v>Rfbl Flexi Pack Limited</v>
          </cell>
          <cell r="AB3763" t="str">
            <v>24AAJCS2339C1ZN</v>
          </cell>
        </row>
        <row r="3764">
          <cell r="D3764" t="str">
            <v>Rfbl Flexi Pack Limited</v>
          </cell>
          <cell r="AB3764" t="str">
            <v>24AAJCS2339C1ZN</v>
          </cell>
        </row>
        <row r="3765">
          <cell r="D3765" t="str">
            <v>Ganesh Plastics</v>
          </cell>
          <cell r="AB3765" t="str">
            <v>24AFQPT5321N1ZV</v>
          </cell>
        </row>
        <row r="3766">
          <cell r="D3766" t="str">
            <v>Ganesh Plastics</v>
          </cell>
          <cell r="AB3766" t="str">
            <v>24AFQPT5321N1ZV</v>
          </cell>
        </row>
        <row r="3767">
          <cell r="D3767" t="str">
            <v>K.P. Woven Pvt Ltd - Unit 3 -Sales</v>
          </cell>
          <cell r="AB3767" t="str">
            <v>24AAECK6307M2ZE</v>
          </cell>
        </row>
        <row r="3768">
          <cell r="D3768" t="str">
            <v>K.P. Woven Pvt Ltd-Sales</v>
          </cell>
          <cell r="AB3768" t="str">
            <v>24AAECK6307M1ZF</v>
          </cell>
        </row>
        <row r="3769">
          <cell r="D3769" t="str">
            <v>Mehjal Adhesive Tapes Pvt. Ltd. - Sales</v>
          </cell>
          <cell r="AB3769" t="str">
            <v>24AAICM7843C1ZJ</v>
          </cell>
        </row>
        <row r="3770">
          <cell r="D3770" t="str">
            <v>Mehjal Adhesive Tapes Pvt. Ltd. - Sales</v>
          </cell>
          <cell r="AB3770" t="str">
            <v>24AAICM7843C1ZJ</v>
          </cell>
        </row>
        <row r="3771">
          <cell r="D3771" t="str">
            <v>Plastene Polyfilms Ltd-Sales</v>
          </cell>
          <cell r="AB3771" t="str">
            <v>24AAFCP2956A1ZR</v>
          </cell>
        </row>
        <row r="3772">
          <cell r="D3772" t="str">
            <v>Plastene Polyfilms Ltd-Sales</v>
          </cell>
          <cell r="AB3772" t="str">
            <v>24AAFCP2956A1ZR</v>
          </cell>
        </row>
        <row r="3773">
          <cell r="D3773" t="str">
            <v>HCP Plastene Bulkpack Limited - Sales</v>
          </cell>
          <cell r="AB3773" t="str">
            <v>24AABCG1282C2Z6</v>
          </cell>
        </row>
        <row r="3774">
          <cell r="D3774" t="str">
            <v>HCP Plastene Bulkpack Limited - Sales</v>
          </cell>
          <cell r="AB3774" t="str">
            <v>24AABCG1282C2Z6</v>
          </cell>
        </row>
        <row r="3775">
          <cell r="D3775" t="str">
            <v>Jumbo Sack Corporation</v>
          </cell>
          <cell r="AB3775" t="str">
            <v>N.A.</v>
          </cell>
        </row>
        <row r="3776">
          <cell r="D3776" t="str">
            <v>Jumbo Sack Corporation</v>
          </cell>
          <cell r="AB3776" t="str">
            <v>N.A.</v>
          </cell>
        </row>
        <row r="3777">
          <cell r="D3777" t="str">
            <v>K.P. Woven Pvt Ltd - Unit 3 -Sales</v>
          </cell>
          <cell r="AB3777" t="str">
            <v>24AAECK6307M2ZE</v>
          </cell>
        </row>
        <row r="3778">
          <cell r="D3778" t="str">
            <v>K.P. Woven Pvt Ltd-Sales</v>
          </cell>
          <cell r="AB3778" t="str">
            <v>24AAECK6307M1ZF</v>
          </cell>
        </row>
        <row r="3779">
          <cell r="D3779" t="str">
            <v>K.P. Woven Pvt Ltd-Sales</v>
          </cell>
          <cell r="AB3779" t="str">
            <v>24AAECK6307M1ZF</v>
          </cell>
        </row>
        <row r="3780">
          <cell r="D3780" t="str">
            <v>K.P. Woven Pvt Ltd-Sales</v>
          </cell>
          <cell r="AB3780" t="str">
            <v>24AAECK6307M1ZF</v>
          </cell>
        </row>
        <row r="3781">
          <cell r="D3781" t="str">
            <v>K.P. Woven Pvt Ltd-Sales</v>
          </cell>
          <cell r="AB3781" t="str">
            <v>24AAECK6307M1ZF</v>
          </cell>
        </row>
        <row r="3782">
          <cell r="D3782" t="str">
            <v>K.P. Woven Pvt Ltd-Sales</v>
          </cell>
          <cell r="AB3782" t="str">
            <v>24AAECK6307M1ZF</v>
          </cell>
        </row>
        <row r="3783">
          <cell r="D3783" t="str">
            <v>K.P. Woven Pvt Ltd-Sales</v>
          </cell>
          <cell r="AB3783" t="str">
            <v>24AAECK6307M1ZF</v>
          </cell>
        </row>
        <row r="3784">
          <cell r="D3784" t="str">
            <v>K.P. Woven Pvt Ltd-Sales</v>
          </cell>
          <cell r="AB3784" t="str">
            <v>24AAECK6307M1ZF</v>
          </cell>
        </row>
        <row r="3785">
          <cell r="D3785" t="str">
            <v>K.P. Woven Pvt Ltd-Sales</v>
          </cell>
          <cell r="AB3785" t="str">
            <v>24AAECK6307M1ZF</v>
          </cell>
        </row>
        <row r="3786">
          <cell r="D3786" t="str">
            <v>K.P. Woven Pvt Ltd-Sales</v>
          </cell>
          <cell r="AB3786" t="str">
            <v>24AAECK6307M1ZF</v>
          </cell>
        </row>
        <row r="3787">
          <cell r="D3787" t="str">
            <v>Plastene Polyfilms Ltd-Sales</v>
          </cell>
          <cell r="AB3787" t="str">
            <v>24AAFCP2956A1ZR</v>
          </cell>
        </row>
        <row r="3788">
          <cell r="D3788" t="str">
            <v>Plastene Polyfilms Ltd-Sales</v>
          </cell>
          <cell r="AB3788" t="str">
            <v>24AAFCP2956A1ZR</v>
          </cell>
        </row>
        <row r="3789">
          <cell r="D3789" t="str">
            <v>Fibco Plastic Industry Llc</v>
          </cell>
          <cell r="AB3789" t="str">
            <v>N.A.</v>
          </cell>
        </row>
        <row r="3790">
          <cell r="D3790" t="str">
            <v>Jumbo Sack Corporation</v>
          </cell>
          <cell r="AB3790" t="str">
            <v>N.A.</v>
          </cell>
        </row>
        <row r="3791">
          <cell r="D3791" t="str">
            <v>Plastene Polyfilms Ltd-Sales</v>
          </cell>
          <cell r="AB3791" t="str">
            <v>24AAFCP2956A1ZR</v>
          </cell>
        </row>
        <row r="3792">
          <cell r="D3792" t="str">
            <v>Plastene Polyfilms Ltd-Sales</v>
          </cell>
          <cell r="AB3792" t="str">
            <v>24AAFCP2956A1ZR</v>
          </cell>
        </row>
        <row r="3793">
          <cell r="D3793" t="str">
            <v>Plastene Polyfilms Ltd-Sales</v>
          </cell>
          <cell r="AB3793" t="str">
            <v>24AAFCP2956A1ZR</v>
          </cell>
        </row>
        <row r="3794">
          <cell r="D3794" t="str">
            <v>Cesur Usa, Llc</v>
          </cell>
          <cell r="AB3794" t="str">
            <v>N.A.</v>
          </cell>
        </row>
        <row r="3795">
          <cell r="D3795" t="str">
            <v>H Polesy &amp; Co Pty Ltd</v>
          </cell>
          <cell r="AB3795" t="str">
            <v>N.A.</v>
          </cell>
        </row>
        <row r="3796">
          <cell r="D3796" t="str">
            <v>HCP Plastene Bulkpack Limited - Sales</v>
          </cell>
          <cell r="AB3796" t="str">
            <v>24AABCG1282C2Z6</v>
          </cell>
        </row>
        <row r="3797">
          <cell r="D3797" t="str">
            <v>HCP Plastene Bulkpack Limited - Sales</v>
          </cell>
          <cell r="AB3797" t="str">
            <v>24AABCG1282C2Z6</v>
          </cell>
        </row>
        <row r="3798">
          <cell r="D3798" t="str">
            <v>HCP Plastene Bulkpack Limited - Sales</v>
          </cell>
          <cell r="AB3798" t="str">
            <v>24AABCG1282C2Z6</v>
          </cell>
        </row>
        <row r="3799">
          <cell r="D3799" t="str">
            <v>HCP Plastene Bulkpack Limited - Sales</v>
          </cell>
          <cell r="AB3799" t="str">
            <v>24AABCG1282C2Z6</v>
          </cell>
        </row>
        <row r="3800">
          <cell r="D3800" t="str">
            <v>HCP Plastene Bulkpack Limited - Sales</v>
          </cell>
          <cell r="AB3800" t="str">
            <v>24AABCG1282C2Z6</v>
          </cell>
        </row>
        <row r="3801">
          <cell r="D3801" t="str">
            <v>HCP Plastene Bulkpack Limited - Sales</v>
          </cell>
          <cell r="AB3801" t="str">
            <v>24AABCG1282C2Z6</v>
          </cell>
        </row>
        <row r="3802">
          <cell r="D3802" t="str">
            <v>HCP Plastene Bulkpack Limited - Sales</v>
          </cell>
          <cell r="AB3802" t="str">
            <v>24AABCG1282C2Z6</v>
          </cell>
        </row>
        <row r="3803">
          <cell r="D3803" t="str">
            <v>HCP Plastene Bulkpack Limited - Sales</v>
          </cell>
          <cell r="AB3803" t="str">
            <v>24AABCG1282C2Z6</v>
          </cell>
        </row>
        <row r="3804">
          <cell r="D3804" t="str">
            <v>HCP Plastene Bulkpack Limited - Sales</v>
          </cell>
          <cell r="AB3804" t="str">
            <v>24AABCG1282C2Z6</v>
          </cell>
        </row>
        <row r="3805">
          <cell r="D3805" t="str">
            <v>HCP Plastene Bulkpack Limited - Sales</v>
          </cell>
          <cell r="AB3805" t="str">
            <v>24AABCG1282C2Z6</v>
          </cell>
        </row>
        <row r="3806">
          <cell r="D3806" t="str">
            <v>HCP Plastene Bulkpack Limited - Sales</v>
          </cell>
          <cell r="AB3806" t="str">
            <v>24AABCG1282C2Z6</v>
          </cell>
        </row>
        <row r="3807">
          <cell r="D3807" t="str">
            <v>K.P. Woven Pvt Ltd-Sales</v>
          </cell>
          <cell r="AB3807" t="str">
            <v>24AAECK6307M1ZF</v>
          </cell>
        </row>
        <row r="3808">
          <cell r="D3808" t="str">
            <v>Nikhil Packagers</v>
          </cell>
          <cell r="AB3808" t="str">
            <v>09APZPG7653R1ZJ</v>
          </cell>
        </row>
        <row r="3809">
          <cell r="D3809" t="str">
            <v>Nikhil Packagers</v>
          </cell>
          <cell r="AB3809" t="str">
            <v>09APZPG7653R1ZJ</v>
          </cell>
        </row>
        <row r="3810">
          <cell r="D3810" t="str">
            <v>Nikhil Packagers</v>
          </cell>
          <cell r="AB3810" t="str">
            <v>09APZPG7653R1ZJ</v>
          </cell>
        </row>
        <row r="3811">
          <cell r="D3811" t="str">
            <v>Plastene Polyfilms Ltd-Sales</v>
          </cell>
          <cell r="AB3811" t="str">
            <v>24AAFCP2956A1ZR</v>
          </cell>
        </row>
        <row r="3812">
          <cell r="D3812" t="str">
            <v>HCP Plastene Bulkpack Limited - Sales</v>
          </cell>
          <cell r="AB3812" t="str">
            <v>24AABCG1282C2Z6</v>
          </cell>
        </row>
        <row r="3813">
          <cell r="D3813" t="str">
            <v>HCP Plastene Bulkpack Limited - Sales</v>
          </cell>
          <cell r="AB3813" t="str">
            <v>24AABCG1282C2Z6</v>
          </cell>
        </row>
        <row r="3814">
          <cell r="D3814" t="str">
            <v>HCP Plastene Bulkpack Limited - Sales</v>
          </cell>
          <cell r="AB3814" t="str">
            <v>24AABCG1282C2Z6</v>
          </cell>
        </row>
        <row r="3815">
          <cell r="D3815" t="str">
            <v>HCP Plastene Bulkpack Limited - Sales</v>
          </cell>
          <cell r="AB3815" t="str">
            <v>24AABCG1282C2Z6</v>
          </cell>
        </row>
        <row r="3816">
          <cell r="D3816" t="str">
            <v>K.P. Woven Pvt Ltd - Unit 3 -Sales</v>
          </cell>
          <cell r="AB3816" t="str">
            <v>24AAECK6307M2ZE</v>
          </cell>
        </row>
        <row r="3817">
          <cell r="D3817" t="str">
            <v>K.P. Woven Pvt Ltd - Unit 3 -Sales</v>
          </cell>
          <cell r="AB3817" t="str">
            <v>24AAECK6307M2ZE</v>
          </cell>
        </row>
        <row r="3818">
          <cell r="D3818" t="str">
            <v>HCP Plastene Bulkpack Limited - Sales</v>
          </cell>
          <cell r="AB3818" t="str">
            <v>24AABCG1282C2Z6</v>
          </cell>
        </row>
        <row r="3819">
          <cell r="D3819" t="str">
            <v>HCP Plastene Bulkpack Limited - Sales</v>
          </cell>
          <cell r="AB3819" t="str">
            <v>24AABCG1282C2Z6</v>
          </cell>
        </row>
        <row r="3820">
          <cell r="D3820" t="str">
            <v>K.P. Woven Pvt Ltd-Sales</v>
          </cell>
          <cell r="AB3820" t="str">
            <v>24AAECK6307M1ZF</v>
          </cell>
        </row>
        <row r="3821">
          <cell r="D3821" t="str">
            <v>K.P. Woven Pvt Ltd-Sales</v>
          </cell>
          <cell r="AB3821" t="str">
            <v>24AAECK6307M1ZF</v>
          </cell>
        </row>
        <row r="3822">
          <cell r="D3822" t="str">
            <v>K.P. Woven Pvt Ltd-Sales</v>
          </cell>
          <cell r="AB3822" t="str">
            <v>24AAECK6307M1ZF</v>
          </cell>
        </row>
        <row r="3823">
          <cell r="D3823" t="str">
            <v>K.P. Woven Pvt Ltd-Sales</v>
          </cell>
          <cell r="AB3823" t="str">
            <v>24AAECK6307M1ZF</v>
          </cell>
        </row>
        <row r="3824">
          <cell r="D3824" t="str">
            <v>K.P. Woven Pvt Ltd-Sales</v>
          </cell>
          <cell r="AB3824" t="str">
            <v>24AAECK6307M1ZF</v>
          </cell>
        </row>
        <row r="3825">
          <cell r="D3825" t="str">
            <v>K.P. Woven Pvt Ltd-Sales</v>
          </cell>
          <cell r="AB3825" t="str">
            <v>24AAECK6307M1ZF</v>
          </cell>
        </row>
        <row r="3826">
          <cell r="D3826" t="str">
            <v>K.P. Woven Pvt Ltd-Sales</v>
          </cell>
          <cell r="AB3826" t="str">
            <v>24AAECK6307M1ZF</v>
          </cell>
        </row>
        <row r="3827">
          <cell r="D3827" t="str">
            <v>Rfbl Flexi Pack Limited</v>
          </cell>
          <cell r="AB3827" t="str">
            <v>24AAJCS2339C1ZN</v>
          </cell>
        </row>
        <row r="3828">
          <cell r="D3828" t="str">
            <v>Rfbl Flexi Pack Limited</v>
          </cell>
          <cell r="AB3828" t="str">
            <v>24AAJCS2339C1ZN</v>
          </cell>
        </row>
        <row r="3829">
          <cell r="D3829" t="str">
            <v>Rfbl Flexi Pack Limited</v>
          </cell>
          <cell r="AB3829" t="str">
            <v>24AAJCS2339C1ZN</v>
          </cell>
        </row>
        <row r="3830">
          <cell r="D3830" t="str">
            <v>Rfbl Flexi Pack Limited</v>
          </cell>
          <cell r="AB3830" t="str">
            <v>24AAJCS2339C1ZN</v>
          </cell>
        </row>
        <row r="3831">
          <cell r="D3831" t="str">
            <v>Rfbl Flexi Pack Limited</v>
          </cell>
          <cell r="AB3831" t="str">
            <v>24AAJCS2339C1ZN</v>
          </cell>
        </row>
        <row r="3832">
          <cell r="D3832" t="str">
            <v>Big Bags Disaka S.L.</v>
          </cell>
          <cell r="AB3832" t="str">
            <v>N.A.</v>
          </cell>
        </row>
        <row r="3833">
          <cell r="D3833" t="str">
            <v>K.P. Woven Pvt Ltd - Unit 3 -Sales</v>
          </cell>
          <cell r="AB3833" t="str">
            <v>24AAECK6307M2ZE</v>
          </cell>
        </row>
        <row r="3834">
          <cell r="D3834" t="str">
            <v>K.P. Woven Pvt Ltd - Unit 3 -Sales</v>
          </cell>
          <cell r="AB3834" t="str">
            <v>24AAECK6307M2ZE</v>
          </cell>
        </row>
        <row r="3835">
          <cell r="D3835" t="str">
            <v>Coromandel International Ltd-Sarigam</v>
          </cell>
          <cell r="AB3835" t="str">
            <v>24AAACC7852K1ZJ</v>
          </cell>
        </row>
        <row r="3836">
          <cell r="D3836" t="str">
            <v>HCP Plastene Bulkpack Limited - Sales</v>
          </cell>
          <cell r="AB3836" t="str">
            <v>24AABCG1282C2Z6</v>
          </cell>
        </row>
        <row r="3837">
          <cell r="D3837" t="str">
            <v>K.P. Woven Pvt Ltd - Unit 3 -Sales</v>
          </cell>
          <cell r="AB3837" t="str">
            <v>24AAECK6307M2ZE</v>
          </cell>
        </row>
        <row r="3838">
          <cell r="D3838" t="str">
            <v>K.P. Woven Pvt Ltd - Unit 3 -Sales</v>
          </cell>
          <cell r="AB3838" t="str">
            <v>24AAECK6307M2ZE</v>
          </cell>
        </row>
        <row r="3839">
          <cell r="D3839" t="str">
            <v>Superform Chemistries Limited Jhagadia- PL85</v>
          </cell>
          <cell r="AB3839" t="str">
            <v>24AADCU0994M1ZX</v>
          </cell>
        </row>
        <row r="3840">
          <cell r="D3840" t="str">
            <v>Superform Chemistries Limited Jhagadia- PL85</v>
          </cell>
          <cell r="AB3840" t="str">
            <v>24AADCU0994M1ZX</v>
          </cell>
        </row>
        <row r="3841">
          <cell r="D3841" t="str">
            <v>K.P. Woven Pvt Ltd-Sales</v>
          </cell>
          <cell r="AB3841" t="str">
            <v>24AAECK6307M1ZF</v>
          </cell>
        </row>
        <row r="3842">
          <cell r="D3842" t="str">
            <v>K.P. Woven Pvt Ltd-Sales</v>
          </cell>
          <cell r="AB3842" t="str">
            <v>24AAECK6307M1ZF</v>
          </cell>
        </row>
        <row r="3843">
          <cell r="D3843" t="str">
            <v>K.P. Woven Pvt Ltd-Sales</v>
          </cell>
          <cell r="AB3843" t="str">
            <v>24AAECK6307M1ZF</v>
          </cell>
        </row>
        <row r="3844">
          <cell r="D3844" t="str">
            <v>K.P. Woven Pvt Ltd-Sales</v>
          </cell>
          <cell r="AB3844" t="str">
            <v>24AAECK6307M1ZF</v>
          </cell>
        </row>
        <row r="3845">
          <cell r="D3845" t="str">
            <v>K.P. Woven Pvt Ltd-Sales</v>
          </cell>
          <cell r="AB3845" t="str">
            <v>24AAECK6307M1ZF</v>
          </cell>
        </row>
        <row r="3846">
          <cell r="D3846" t="str">
            <v>K.P. Woven Pvt Ltd-Sales</v>
          </cell>
          <cell r="AB3846" t="str">
            <v>24AAECK6307M1ZF</v>
          </cell>
        </row>
        <row r="3847">
          <cell r="D3847" t="str">
            <v>K.P. Woven Pvt Ltd-Sales</v>
          </cell>
          <cell r="AB3847" t="str">
            <v>24AAECK6307M1ZF</v>
          </cell>
        </row>
        <row r="3848">
          <cell r="D3848" t="str">
            <v>K.P. Woven Pvt Ltd-Sales</v>
          </cell>
          <cell r="AB3848" t="str">
            <v>24AAECK6307M1ZF</v>
          </cell>
        </row>
        <row r="3849">
          <cell r="D3849" t="str">
            <v>K.P. Woven Pvt Ltd-Sales</v>
          </cell>
          <cell r="AB3849" t="str">
            <v>24AAECK6307M1ZF</v>
          </cell>
        </row>
        <row r="3850">
          <cell r="D3850" t="str">
            <v>Plastene Polyfilms Ltd-Sales</v>
          </cell>
          <cell r="AB3850" t="str">
            <v>24AAFCP2956A1ZR</v>
          </cell>
        </row>
        <row r="3851">
          <cell r="D3851" t="str">
            <v>Plastene Polyfilms Ltd-Sales</v>
          </cell>
          <cell r="AB3851" t="str">
            <v>24AAFCP2956A1ZR</v>
          </cell>
        </row>
        <row r="3852">
          <cell r="D3852" t="str">
            <v>Plastene Polyfilms Ltd-Sales</v>
          </cell>
          <cell r="AB3852" t="str">
            <v>24AAFCP2956A1ZR</v>
          </cell>
        </row>
        <row r="3853">
          <cell r="D3853" t="str">
            <v>Plastene Polyfilms Ltd-Sales</v>
          </cell>
          <cell r="AB3853" t="str">
            <v>24AAFCP2956A1ZR</v>
          </cell>
        </row>
        <row r="3854">
          <cell r="D3854" t="str">
            <v>Hcp Plastene Bulkpack Ltd (Unit Iv) - Sales</v>
          </cell>
          <cell r="AB3854" t="str">
            <v>24AABCG1282C2Z6</v>
          </cell>
        </row>
        <row r="3855">
          <cell r="D3855" t="str">
            <v>Hcp Plastene Bulkpack Ltd (Unit Iv) - Sales</v>
          </cell>
          <cell r="AB3855" t="str">
            <v>24AABCG1282C2Z6</v>
          </cell>
        </row>
        <row r="3856">
          <cell r="D3856" t="str">
            <v>Plastene Polyfilms Ltd-Sales</v>
          </cell>
          <cell r="AB3856" t="str">
            <v>24AAFCP2956A1ZR</v>
          </cell>
        </row>
        <row r="3857">
          <cell r="D3857" t="str">
            <v>Plastene Polyfilms Ltd-Sales</v>
          </cell>
          <cell r="AB3857" t="str">
            <v>24AAFCP2956A1ZR</v>
          </cell>
        </row>
        <row r="3858">
          <cell r="D3858" t="str">
            <v>Plastene Polyfilms Ltd-Sales</v>
          </cell>
          <cell r="AB3858" t="str">
            <v>24AAFCP2956A1ZR</v>
          </cell>
        </row>
        <row r="3859">
          <cell r="D3859" t="str">
            <v>K.P. Woven Pvt Ltd - Unit 3 -Sales</v>
          </cell>
          <cell r="AB3859" t="str">
            <v>24AAECK6307M2ZE</v>
          </cell>
        </row>
        <row r="3860">
          <cell r="D3860" t="str">
            <v>K.P. Woven Pvt Ltd - Unit 3 -Sales</v>
          </cell>
          <cell r="AB3860" t="str">
            <v>24AAECK6307M2ZE</v>
          </cell>
        </row>
        <row r="3861">
          <cell r="D3861" t="str">
            <v>K.P. Woven Pvt Ltd - Unit 3 -Sales</v>
          </cell>
          <cell r="AB3861" t="str">
            <v>24AAECK6307M2ZE</v>
          </cell>
        </row>
        <row r="3862">
          <cell r="D3862" t="str">
            <v>K.P. Woven Pvt Ltd - Unit 3 -Sales</v>
          </cell>
          <cell r="AB3862" t="str">
            <v>24AAECK6307M2ZE</v>
          </cell>
        </row>
        <row r="3863">
          <cell r="D3863" t="str">
            <v>Plastene Polyfilms Ltd-Sales</v>
          </cell>
          <cell r="AB3863" t="str">
            <v>24AAFCP2956A1ZR</v>
          </cell>
        </row>
        <row r="3864">
          <cell r="D3864" t="str">
            <v>Plastene Polyfilms Ltd-Sales</v>
          </cell>
          <cell r="AB3864" t="str">
            <v>24AAFCP2956A1ZR</v>
          </cell>
        </row>
        <row r="3865">
          <cell r="D3865" t="str">
            <v>Technopac Gmbh</v>
          </cell>
          <cell r="AB3865" t="str">
            <v>N.A.</v>
          </cell>
        </row>
        <row r="3866">
          <cell r="D3866" t="str">
            <v>K.P. Woven Pvt Ltd - Unit 3 -Sales</v>
          </cell>
          <cell r="AB3866" t="str">
            <v>24AAECK6307M2ZE</v>
          </cell>
        </row>
        <row r="3867">
          <cell r="D3867" t="str">
            <v>Plastene Polyfilms Ltd-Sales</v>
          </cell>
          <cell r="AB3867" t="str">
            <v>24AAFCP2956A1ZR</v>
          </cell>
        </row>
        <row r="3868">
          <cell r="D3868" t="str">
            <v>Plastene Polyfilms Ltd-Sales</v>
          </cell>
          <cell r="AB3868" t="str">
            <v>24AAFCP2956A1ZR</v>
          </cell>
        </row>
        <row r="3869">
          <cell r="D3869" t="str">
            <v>Plastene Polyfilms Ltd-Sales</v>
          </cell>
          <cell r="AB3869" t="str">
            <v>24AAFCP2956A1ZR</v>
          </cell>
        </row>
        <row r="3870">
          <cell r="D3870" t="str">
            <v>Plastene Polyfilms Ltd-Sales</v>
          </cell>
          <cell r="AB3870" t="str">
            <v>24AAFCP2956A1ZR</v>
          </cell>
        </row>
        <row r="3871">
          <cell r="D3871" t="str">
            <v>Hcp Plastene Bulkpack Ltd (Unit Iv) - Sales</v>
          </cell>
          <cell r="AB3871" t="str">
            <v>24AABCG1282C2Z6</v>
          </cell>
        </row>
        <row r="3872">
          <cell r="D3872" t="str">
            <v>Hcp Plastene Bulkpack Ltd (Unit Iv) - Sales</v>
          </cell>
          <cell r="AB3872" t="str">
            <v>24AABCG1282C2Z6</v>
          </cell>
        </row>
        <row r="3873">
          <cell r="D3873" t="str">
            <v>K.P. Woven Pvt Ltd - Unit 3 -Sales</v>
          </cell>
          <cell r="AB3873" t="str">
            <v>24AAECK6307M2ZE</v>
          </cell>
        </row>
        <row r="3874">
          <cell r="D3874" t="str">
            <v>Plastene Polyfilms Ltd-Sales</v>
          </cell>
          <cell r="AB3874" t="str">
            <v>24AAFCP2956A1ZR</v>
          </cell>
        </row>
        <row r="3875">
          <cell r="D3875" t="str">
            <v>Plastene Polyfilms Ltd-Sales</v>
          </cell>
          <cell r="AB3875" t="str">
            <v>24AAFCP2956A1ZR</v>
          </cell>
        </row>
        <row r="3876">
          <cell r="D3876" t="str">
            <v>Plastene Polyfilms Ltd-Sales</v>
          </cell>
          <cell r="AB3876" t="str">
            <v>24AAFCP2956A1ZR</v>
          </cell>
        </row>
        <row r="3877">
          <cell r="D3877" t="str">
            <v>Plastene Polyfilms Ltd-Sales</v>
          </cell>
          <cell r="AB3877" t="str">
            <v>24AAFCP2956A1ZR</v>
          </cell>
        </row>
        <row r="3878">
          <cell r="D3878" t="str">
            <v>Plastene Polyfilms Ltd-Sales</v>
          </cell>
          <cell r="AB3878" t="str">
            <v>24AAFCP2956A1ZR</v>
          </cell>
        </row>
        <row r="3879">
          <cell r="D3879" t="str">
            <v>Fibco Plastic Industry Llc</v>
          </cell>
          <cell r="AB3879" t="str">
            <v>N.A.</v>
          </cell>
        </row>
        <row r="3880">
          <cell r="D3880" t="str">
            <v>Fibco Plastic Industry Llc</v>
          </cell>
          <cell r="AB3880" t="str">
            <v>N.A.</v>
          </cell>
        </row>
        <row r="3881">
          <cell r="D3881" t="str">
            <v>HCP Plastene Bulkpack Limited - Sales</v>
          </cell>
          <cell r="AB3881" t="str">
            <v>24AABCG1282C2Z6</v>
          </cell>
        </row>
        <row r="3882">
          <cell r="D3882" t="str">
            <v>Jumbo Sack Corporation</v>
          </cell>
          <cell r="AB3882" t="str">
            <v>N.A.</v>
          </cell>
        </row>
        <row r="3883">
          <cell r="D3883" t="str">
            <v>Plastene Polyfilms Ltd-Sales</v>
          </cell>
          <cell r="AB3883" t="str">
            <v>24AAFCP2956A1ZR</v>
          </cell>
        </row>
        <row r="3884">
          <cell r="D3884" t="str">
            <v>Plastene Polyfilms Ltd-Sales</v>
          </cell>
          <cell r="AB3884" t="str">
            <v>24AAFCP2956A1ZR</v>
          </cell>
        </row>
        <row r="3885">
          <cell r="D3885" t="str">
            <v>Plastene Polyfilms Ltd-Sales</v>
          </cell>
          <cell r="AB3885" t="str">
            <v>24AAFCP2956A1ZR</v>
          </cell>
        </row>
        <row r="3886">
          <cell r="D3886" t="str">
            <v>Veeshna Polypack Pvt Ltd - Sales</v>
          </cell>
          <cell r="AB3886" t="str">
            <v>24AAACV9597L1ZK</v>
          </cell>
        </row>
        <row r="3887">
          <cell r="D3887" t="str">
            <v>HCP Plastene Bulkpack Limited - Sales</v>
          </cell>
          <cell r="AB3887" t="str">
            <v>24AABCG1282C2Z6</v>
          </cell>
        </row>
        <row r="3888">
          <cell r="D3888" t="str">
            <v>HCP Plastene Bulkpack Limited - Sales</v>
          </cell>
          <cell r="AB3888" t="str">
            <v>24AABCG1282C2Z6</v>
          </cell>
        </row>
        <row r="3889">
          <cell r="D3889" t="str">
            <v>Juta A.S.</v>
          </cell>
          <cell r="AB3889" t="str">
            <v>N.A.</v>
          </cell>
        </row>
        <row r="3890">
          <cell r="D3890" t="str">
            <v>K.P. Woven Pvt Ltd-Sales</v>
          </cell>
          <cell r="AB3890" t="str">
            <v>24AAECK6307M1ZF</v>
          </cell>
        </row>
        <row r="3891">
          <cell r="D3891" t="str">
            <v>K.P. Woven Pvt Ltd-Sales</v>
          </cell>
          <cell r="AB3891" t="str">
            <v>24AAECK6307M1ZF</v>
          </cell>
        </row>
        <row r="3892">
          <cell r="D3892" t="str">
            <v>K.P. Woven Pvt Ltd-Sales</v>
          </cell>
          <cell r="AB3892" t="str">
            <v>24AAECK6307M1ZF</v>
          </cell>
        </row>
        <row r="3893">
          <cell r="D3893" t="str">
            <v>K.P. Woven Pvt Ltd-Sales</v>
          </cell>
          <cell r="AB3893" t="str">
            <v>24AAECK6307M1ZF</v>
          </cell>
        </row>
        <row r="3894">
          <cell r="D3894" t="str">
            <v>K.P. Woven Pvt Ltd-Sales</v>
          </cell>
          <cell r="AB3894" t="str">
            <v>24AAECK6307M1ZF</v>
          </cell>
        </row>
        <row r="3895">
          <cell r="D3895" t="str">
            <v>K.P. Woven Pvt Ltd-Sales</v>
          </cell>
          <cell r="AB3895" t="str">
            <v>24AAECK6307M1ZF</v>
          </cell>
        </row>
        <row r="3896">
          <cell r="D3896" t="str">
            <v>K.P. Woven Pvt Ltd-Sales</v>
          </cell>
          <cell r="AB3896" t="str">
            <v>24AAECK6307M1ZF</v>
          </cell>
        </row>
        <row r="3897">
          <cell r="D3897" t="str">
            <v>K.P. Woven Pvt Ltd-Sales</v>
          </cell>
          <cell r="AB3897" t="str">
            <v>24AAECK6307M1ZF</v>
          </cell>
        </row>
        <row r="3898">
          <cell r="D3898" t="str">
            <v>Mehjal Adhesive Tapes Pvt. Ltd. - Sales</v>
          </cell>
          <cell r="AB3898" t="str">
            <v>24AAICM7843C1ZJ</v>
          </cell>
        </row>
        <row r="3899">
          <cell r="D3899" t="str">
            <v>Mehjal Adhesive Tapes Pvt. Ltd. - Sales</v>
          </cell>
          <cell r="AB3899" t="str">
            <v>24AAICM7843C1ZJ</v>
          </cell>
        </row>
        <row r="3900">
          <cell r="D3900" t="str">
            <v>Mehjal Adhesive Tapes Pvt. Ltd. - Sales</v>
          </cell>
          <cell r="AB3900" t="str">
            <v>24AAICM7843C1ZJ</v>
          </cell>
        </row>
        <row r="3901">
          <cell r="D3901" t="str">
            <v>Mehjal Adhesive Tapes Pvt. Ltd. - Sales</v>
          </cell>
          <cell r="AB3901" t="str">
            <v>24AAICM7843C1ZJ</v>
          </cell>
        </row>
        <row r="3902">
          <cell r="D3902" t="str">
            <v>Plastene Polyfilms Ltd-Sales</v>
          </cell>
          <cell r="AB3902" t="str">
            <v>24AAFCP2956A1ZR</v>
          </cell>
        </row>
        <row r="3903">
          <cell r="D3903" t="str">
            <v>Plastene Polyfilms Ltd-Sales</v>
          </cell>
          <cell r="AB3903" t="str">
            <v>24AAFCP2956A1ZR</v>
          </cell>
        </row>
        <row r="3904">
          <cell r="D3904" t="str">
            <v>Plastene Polyfilms Ltd-Sales</v>
          </cell>
          <cell r="AB3904" t="str">
            <v>24AAFCP2956A1ZR</v>
          </cell>
        </row>
        <row r="3905">
          <cell r="D3905" t="str">
            <v>Plastene Polyfilms Ltd-Sales</v>
          </cell>
          <cell r="AB3905" t="str">
            <v>24AAFCP2956A1ZR</v>
          </cell>
        </row>
        <row r="3906">
          <cell r="D3906" t="str">
            <v>Plastene Polyfilms Ltd-Sales</v>
          </cell>
          <cell r="AB3906" t="str">
            <v>24AAFCP2956A1ZR</v>
          </cell>
        </row>
        <row r="3907">
          <cell r="D3907" t="str">
            <v>Plastene Polyfilms Ltd-Sales</v>
          </cell>
          <cell r="AB3907" t="str">
            <v>24AAFCP2956A1ZR</v>
          </cell>
        </row>
        <row r="3908">
          <cell r="D3908" t="str">
            <v>Fibco Plastic Industry Llc</v>
          </cell>
          <cell r="AB3908" t="str">
            <v>N.A.</v>
          </cell>
        </row>
        <row r="3909">
          <cell r="D3909" t="str">
            <v>Fibco Plastic Industry Llc</v>
          </cell>
          <cell r="AB3909" t="str">
            <v>N.A.</v>
          </cell>
        </row>
        <row r="3910">
          <cell r="D3910" t="str">
            <v>HCP Plastene Bulkpack Limited - Sales</v>
          </cell>
          <cell r="AB3910" t="str">
            <v>24AABCG1282C2Z6</v>
          </cell>
        </row>
        <row r="3911">
          <cell r="D3911" t="str">
            <v>HCP Plastene Bulkpack Limited - Sales</v>
          </cell>
          <cell r="AB3911" t="str">
            <v>24AABCG1282C2Z6</v>
          </cell>
        </row>
        <row r="3912">
          <cell r="D3912" t="str">
            <v>HCP Plastene Bulkpack Limited - Sales</v>
          </cell>
          <cell r="AB3912" t="str">
            <v>24AABCG1282C2Z6</v>
          </cell>
        </row>
        <row r="3913">
          <cell r="D3913" t="str">
            <v>HCP Plastene Bulkpack Limited - Sales</v>
          </cell>
          <cell r="AB3913" t="str">
            <v>24AABCG1282C2Z6</v>
          </cell>
        </row>
        <row r="3914">
          <cell r="D3914" t="str">
            <v>HCP Plastene Bulkpack Limited - Sales</v>
          </cell>
          <cell r="AB3914" t="str">
            <v>24AABCG1282C2Z6</v>
          </cell>
        </row>
        <row r="3915">
          <cell r="D3915" t="str">
            <v>Hcp Plastene Bulkpack Ltd (Unit Iv) - Sales</v>
          </cell>
          <cell r="AB3915" t="str">
            <v>24AABCG1282C2Z6</v>
          </cell>
        </row>
        <row r="3916">
          <cell r="D3916" t="str">
            <v>Hcp Plastene Bulkpack Ltd (Unit Iv) - Sales</v>
          </cell>
          <cell r="AB3916" t="str">
            <v>24AABCG1282C2Z6</v>
          </cell>
        </row>
        <row r="3917">
          <cell r="D3917" t="str">
            <v>K.P. Woven Pvt Ltd-Sales</v>
          </cell>
          <cell r="AB3917" t="str">
            <v>24AAECK6307M1ZF</v>
          </cell>
        </row>
        <row r="3918">
          <cell r="D3918" t="str">
            <v>K.P. Woven Pvt Ltd-Sales</v>
          </cell>
          <cell r="AB3918" t="str">
            <v>24AAECK6307M1ZF</v>
          </cell>
        </row>
        <row r="3919">
          <cell r="D3919" t="str">
            <v>K.P. Woven Pvt Ltd-Sales</v>
          </cell>
          <cell r="AB3919" t="str">
            <v>24AAECK6307M1ZF</v>
          </cell>
        </row>
        <row r="3920">
          <cell r="D3920" t="str">
            <v>K.P. Woven Pvt Ltd-Sales</v>
          </cell>
          <cell r="AB3920" t="str">
            <v>24AAECK6307M1ZF</v>
          </cell>
        </row>
        <row r="3921">
          <cell r="D3921" t="str">
            <v>K.P. Woven Pvt Ltd-Sales</v>
          </cell>
          <cell r="AB3921" t="str">
            <v>24AAECK6307M1ZF</v>
          </cell>
        </row>
        <row r="3922">
          <cell r="D3922" t="str">
            <v>K.P. Woven Pvt Ltd-Sales</v>
          </cell>
          <cell r="AB3922" t="str">
            <v>24AAECK6307M1ZF</v>
          </cell>
        </row>
        <row r="3923">
          <cell r="D3923" t="str">
            <v>Plastene Polyfilms Ltd-Sales</v>
          </cell>
          <cell r="AB3923" t="str">
            <v>24AAFCP2956A1ZR</v>
          </cell>
        </row>
        <row r="3924">
          <cell r="D3924" t="str">
            <v>Plastene Polyfilms Ltd-Sales</v>
          </cell>
          <cell r="AB3924" t="str">
            <v>24AAFCP2956A1ZR</v>
          </cell>
        </row>
        <row r="3925">
          <cell r="D3925" t="str">
            <v>Plastene Polyfilms Ltd-Sales</v>
          </cell>
          <cell r="AB3925" t="str">
            <v>24AAFCP2956A1ZR</v>
          </cell>
        </row>
        <row r="3926">
          <cell r="D3926" t="str">
            <v>Plastene Polyfilms Ltd-Sales</v>
          </cell>
          <cell r="AB3926" t="str">
            <v>24AAFCP2956A1ZR</v>
          </cell>
        </row>
        <row r="3927">
          <cell r="D3927" t="str">
            <v>K.P. Woven Pvt Ltd - Unit 3 -Sales</v>
          </cell>
          <cell r="AB3927" t="str">
            <v>24AAECK6307M2ZE</v>
          </cell>
        </row>
        <row r="3928">
          <cell r="D3928" t="str">
            <v>K.P. Woven Pvt Ltd - Unit 3 -Sales</v>
          </cell>
          <cell r="AB3928" t="str">
            <v>24AAECK6307M2ZE</v>
          </cell>
        </row>
        <row r="3929">
          <cell r="D3929" t="str">
            <v>Vaibhavee Enterprises</v>
          </cell>
          <cell r="AB3929" t="str">
            <v>24AACPM3478Q1Z6</v>
          </cell>
        </row>
        <row r="3930">
          <cell r="D3930" t="str">
            <v>Coromandel International Ltd (Dahej)</v>
          </cell>
          <cell r="AB3930" t="str">
            <v>24AAACC7852K2ZI</v>
          </cell>
        </row>
        <row r="3931">
          <cell r="D3931" t="str">
            <v>K.P. Woven Pvt Ltd-Sales</v>
          </cell>
          <cell r="AB3931" t="str">
            <v>24AAECK6307M1ZF</v>
          </cell>
        </row>
        <row r="3932">
          <cell r="D3932" t="str">
            <v>LC Packaging SAS, France</v>
          </cell>
          <cell r="AB3932" t="str">
            <v>N.A.</v>
          </cell>
        </row>
        <row r="3933">
          <cell r="D3933" t="str">
            <v>Nikhil Packagers</v>
          </cell>
          <cell r="AB3933" t="str">
            <v>09APZPG7653R1ZJ</v>
          </cell>
        </row>
        <row r="3934">
          <cell r="D3934" t="str">
            <v>Nikhil Packagers</v>
          </cell>
          <cell r="AB3934" t="str">
            <v>09APZPG7653R1ZJ</v>
          </cell>
        </row>
        <row r="3935">
          <cell r="D3935" t="str">
            <v>Nikhil Packagers</v>
          </cell>
          <cell r="AB3935" t="str">
            <v>09APZPG7653R1ZJ</v>
          </cell>
        </row>
        <row r="3936">
          <cell r="D3936" t="str">
            <v>Shubh Polyfab Pvt Ltd-Sales</v>
          </cell>
          <cell r="AB3936" t="str">
            <v>24AARCS6091D1Z4</v>
          </cell>
        </row>
        <row r="3937">
          <cell r="D3937" t="str">
            <v>Shubh Polyfab Pvt Ltd-Sales</v>
          </cell>
          <cell r="AB3937" t="str">
            <v>24AARCS6091D1Z4</v>
          </cell>
        </row>
        <row r="3938">
          <cell r="D3938" t="str">
            <v>Shubh Polyfab Pvt Ltd-Sales</v>
          </cell>
          <cell r="AB3938" t="str">
            <v>24AARCS6091D1Z4</v>
          </cell>
        </row>
        <row r="3939">
          <cell r="D3939" t="str">
            <v>Tech Plastfeb Private Limited</v>
          </cell>
          <cell r="AB3939" t="str">
            <v>24AAHCT5939R1ZH</v>
          </cell>
        </row>
        <row r="3940">
          <cell r="D3940" t="str">
            <v>Cesur Usa, Llc</v>
          </cell>
          <cell r="AB3940" t="str">
            <v>N.A.</v>
          </cell>
        </row>
        <row r="3941">
          <cell r="D3941" t="str">
            <v>HCP Plastene Bulkpack Limited - Sales</v>
          </cell>
          <cell r="AB3941" t="str">
            <v>24AABCG1282C2Z6</v>
          </cell>
        </row>
        <row r="3942">
          <cell r="D3942" t="str">
            <v>HCP Plastene Bulkpack Limited - Sales</v>
          </cell>
          <cell r="AB3942" t="str">
            <v>24AABCG1282C2Z6</v>
          </cell>
        </row>
        <row r="3943">
          <cell r="D3943" t="str">
            <v>HCP Plastene Bulkpack Limited - Sales</v>
          </cell>
          <cell r="AB3943" t="str">
            <v>24AABCG1282C2Z6</v>
          </cell>
        </row>
        <row r="3944">
          <cell r="D3944" t="str">
            <v>HCP Plastene Bulkpack Limited - Sales</v>
          </cell>
          <cell r="AB3944" t="str">
            <v>24AABCG1282C2Z6</v>
          </cell>
        </row>
        <row r="3945">
          <cell r="D3945" t="str">
            <v>HCP Plastene Bulkpack Limited - Sales</v>
          </cell>
          <cell r="AB3945" t="str">
            <v>24AABCG1282C2Z6</v>
          </cell>
        </row>
        <row r="3946">
          <cell r="D3946" t="str">
            <v>HCP Plastene Bulkpack Limited - Sales</v>
          </cell>
          <cell r="AB3946" t="str">
            <v>24AABCG1282C2Z6</v>
          </cell>
        </row>
        <row r="3947">
          <cell r="D3947" t="str">
            <v>HCP Plastene Bulkpack Limited - Sales</v>
          </cell>
          <cell r="AB3947" t="str">
            <v>24AABCG1282C2Z6</v>
          </cell>
        </row>
        <row r="3948">
          <cell r="D3948" t="str">
            <v>HCP Plastene Bulkpack Limited - Sales</v>
          </cell>
          <cell r="AB3948" t="str">
            <v>24AABCG1282C2Z6</v>
          </cell>
        </row>
        <row r="3949">
          <cell r="D3949" t="str">
            <v>K.P. Woven Pvt Ltd-Sales</v>
          </cell>
          <cell r="AB3949" t="str">
            <v>24AAECK6307M1ZF</v>
          </cell>
        </row>
        <row r="3950">
          <cell r="D3950" t="str">
            <v>K.P. Woven Pvt Ltd-Sales</v>
          </cell>
          <cell r="AB3950" t="str">
            <v>24AAECK6307M1ZF</v>
          </cell>
        </row>
        <row r="3951">
          <cell r="D3951" t="str">
            <v>K.P. Woven Pvt Ltd-Sales</v>
          </cell>
          <cell r="AB3951" t="str">
            <v>24AAECK6307M1ZF</v>
          </cell>
        </row>
        <row r="3952">
          <cell r="D3952" t="str">
            <v>K.P. Woven Pvt Ltd-Sales</v>
          </cell>
          <cell r="AB3952" t="str">
            <v>24AAECK6307M1ZF</v>
          </cell>
        </row>
        <row r="3953">
          <cell r="D3953" t="str">
            <v>K.P. Woven Pvt Ltd-Sales</v>
          </cell>
          <cell r="AB3953" t="str">
            <v>24AAECK6307M1ZF</v>
          </cell>
        </row>
        <row r="3954">
          <cell r="D3954" t="str">
            <v>K.P. Woven Pvt Ltd-Sales</v>
          </cell>
          <cell r="AB3954" t="str">
            <v>24AAECK6307M1ZF</v>
          </cell>
        </row>
        <row r="3955">
          <cell r="D3955" t="str">
            <v>K.P. Woven Pvt Ltd-Sales</v>
          </cell>
          <cell r="AB3955" t="str">
            <v>24AAECK6307M1ZF</v>
          </cell>
        </row>
        <row r="3956">
          <cell r="D3956" t="str">
            <v>K.P. Woven Pvt Ltd-Sales</v>
          </cell>
          <cell r="AB3956" t="str">
            <v>24AAECK6307M1ZF</v>
          </cell>
        </row>
        <row r="3957">
          <cell r="D3957" t="str">
            <v>K.P. Woven Pvt Ltd-Sales</v>
          </cell>
          <cell r="AB3957" t="str">
            <v>24AAECK6307M1ZF</v>
          </cell>
        </row>
        <row r="3958">
          <cell r="D3958" t="str">
            <v>Ravitaillement International Inc.</v>
          </cell>
          <cell r="AB3958" t="str">
            <v>N.A.</v>
          </cell>
        </row>
        <row r="3959">
          <cell r="D3959" t="str">
            <v>Ravitaillement International Inc.</v>
          </cell>
          <cell r="AB3959" t="str">
            <v>N.A.</v>
          </cell>
        </row>
        <row r="3960">
          <cell r="D3960" t="str">
            <v>Hcp Plastene Bulkpack Ltd (Unit Iv) - Sales</v>
          </cell>
          <cell r="AB3960" t="str">
            <v>24AABCG1282C2Z6</v>
          </cell>
        </row>
        <row r="3961">
          <cell r="D3961" t="str">
            <v>Hcp Plastene Bulkpack Ltd (Unit Iv) - Sales</v>
          </cell>
          <cell r="AB3961" t="str">
            <v>24AABCG1282C2Z6</v>
          </cell>
        </row>
        <row r="3962">
          <cell r="D3962" t="str">
            <v>Plastene Polyfilms Ltd-Sales</v>
          </cell>
          <cell r="AB3962" t="str">
            <v>24AAFCP2956A1ZR</v>
          </cell>
        </row>
        <row r="3963">
          <cell r="D3963" t="str">
            <v>Plastene Polyfilms Ltd-Sales</v>
          </cell>
          <cell r="AB3963" t="str">
            <v>24AAFCP2956A1ZR</v>
          </cell>
        </row>
        <row r="3964">
          <cell r="D3964" t="str">
            <v>Tech Plastfeb Private Limited</v>
          </cell>
          <cell r="AB3964" t="str">
            <v>24AAHCT5939R1ZH</v>
          </cell>
        </row>
        <row r="3965">
          <cell r="D3965" t="str">
            <v>K.P. Woven Pvt Ltd-Sales</v>
          </cell>
          <cell r="AB3965" t="str">
            <v>24AAECK6307M1ZF</v>
          </cell>
        </row>
        <row r="3966">
          <cell r="D3966" t="str">
            <v>K.P. Woven Pvt Ltd-Sales</v>
          </cell>
          <cell r="AB3966" t="str">
            <v>24AAECK6307M1ZF</v>
          </cell>
        </row>
        <row r="3967">
          <cell r="D3967" t="str">
            <v>K.P. Woven Pvt Ltd-Sales</v>
          </cell>
          <cell r="AB3967" t="str">
            <v>24AAECK6307M1ZF</v>
          </cell>
        </row>
        <row r="3968">
          <cell r="D3968" t="str">
            <v>K.P. Woven Pvt Ltd-Sales</v>
          </cell>
          <cell r="AB3968" t="str">
            <v>24AAECK6307M1ZF</v>
          </cell>
        </row>
        <row r="3969">
          <cell r="D3969" t="str">
            <v>K.P. Woven Pvt Ltd-Sales</v>
          </cell>
          <cell r="AB3969" t="str">
            <v>24AAECK6307M1ZF</v>
          </cell>
        </row>
        <row r="3970">
          <cell r="D3970" t="str">
            <v>K.P. Woven Pvt Ltd-Sales</v>
          </cell>
          <cell r="AB3970" t="str">
            <v>24AAECK6307M1ZF</v>
          </cell>
        </row>
        <row r="3971">
          <cell r="D3971" t="str">
            <v>Plastene Polyfilms Ltd-Sales</v>
          </cell>
          <cell r="AB3971" t="str">
            <v>24AAFCP2956A1ZR</v>
          </cell>
        </row>
        <row r="3972">
          <cell r="D3972" t="str">
            <v>Plastene Polyfilms Ltd-Sales</v>
          </cell>
          <cell r="AB3972" t="str">
            <v>24AAFCP2956A1ZR</v>
          </cell>
        </row>
        <row r="3973">
          <cell r="D3973" t="str">
            <v>Plastene Polyfilms Ltd-Sales</v>
          </cell>
          <cell r="AB3973" t="str">
            <v>24AAFCP2956A1ZR</v>
          </cell>
        </row>
        <row r="3974">
          <cell r="D3974" t="str">
            <v>Plastene Polyfilms Ltd-Sales</v>
          </cell>
          <cell r="AB3974" t="str">
            <v>24AAFCP2956A1ZR</v>
          </cell>
        </row>
        <row r="3975">
          <cell r="D3975" t="str">
            <v>Rataan Fabtex Private Limited - Unit 2</v>
          </cell>
          <cell r="AB3975" t="str">
            <v>24AAGCR7475P1ZL</v>
          </cell>
        </row>
        <row r="3976">
          <cell r="D3976" t="str">
            <v>PI Polyblendz Private Limited</v>
          </cell>
          <cell r="AB3976" t="str">
            <v>24AAJCP0137B1Z0</v>
          </cell>
        </row>
        <row r="3977">
          <cell r="D3977" t="str">
            <v>K.P. Woven Pvt Ltd - Unit 3 -Sales</v>
          </cell>
          <cell r="AB3977" t="str">
            <v>24AAECK6307M2ZE</v>
          </cell>
        </row>
        <row r="3978">
          <cell r="D3978" t="str">
            <v>K.P. Woven Pvt Ltd - Unit 3 -Sales</v>
          </cell>
          <cell r="AB3978" t="str">
            <v>24AAECK6307M2ZE</v>
          </cell>
        </row>
        <row r="3979">
          <cell r="D3979" t="str">
            <v>K.P. Woven Pvt Ltd-Sales</v>
          </cell>
          <cell r="AB3979" t="str">
            <v>24AAECK6307M1ZF</v>
          </cell>
        </row>
        <row r="3980">
          <cell r="D3980" t="str">
            <v>K.P. Woven Pvt Ltd-Sales</v>
          </cell>
          <cell r="AB3980" t="str">
            <v>24AAECK6307M1ZF</v>
          </cell>
        </row>
        <row r="3981">
          <cell r="D3981" t="str">
            <v>K.P. Woven Pvt Ltd-Sales</v>
          </cell>
          <cell r="AB3981" t="str">
            <v>24AAECK6307M1ZF</v>
          </cell>
        </row>
        <row r="3982">
          <cell r="D3982" t="str">
            <v>K.P. Woven Pvt Ltd-Sales</v>
          </cell>
          <cell r="AB3982" t="str">
            <v>24AAECK6307M1ZF</v>
          </cell>
        </row>
        <row r="3983">
          <cell r="D3983" t="str">
            <v>K.P. Woven Pvt Ltd-Sales</v>
          </cell>
          <cell r="AB3983" t="str">
            <v>24AAECK6307M1ZF</v>
          </cell>
        </row>
        <row r="3984">
          <cell r="D3984" t="str">
            <v>K.P. Woven Pvt Ltd-Sales</v>
          </cell>
          <cell r="AB3984" t="str">
            <v>24AAECK6307M1ZF</v>
          </cell>
        </row>
        <row r="3985">
          <cell r="D3985" t="str">
            <v>K.P. Woven Pvt Ltd-Sales</v>
          </cell>
          <cell r="AB3985" t="str">
            <v>24AAECK6307M1ZF</v>
          </cell>
        </row>
        <row r="3986">
          <cell r="D3986" t="str">
            <v>Plastene Polyfilms Ltd-Sales</v>
          </cell>
          <cell r="AB3986" t="str">
            <v>24AAFCP2956A1ZR</v>
          </cell>
        </row>
        <row r="3987">
          <cell r="D3987" t="str">
            <v>Coromandel International Ltd-Sarigam</v>
          </cell>
          <cell r="AB3987" t="str">
            <v>24AAACC7852K1ZJ</v>
          </cell>
        </row>
        <row r="3988">
          <cell r="D3988" t="str">
            <v>HCP Plastene Bulkpack Limited - Sales</v>
          </cell>
          <cell r="AB3988" t="str">
            <v>24AABCG1282C2Z6</v>
          </cell>
        </row>
        <row r="3989">
          <cell r="D3989" t="str">
            <v>K.P. Woven Pvt Ltd - Unit 3 -Sales</v>
          </cell>
          <cell r="AB3989" t="str">
            <v>24AAECK6307M2ZE</v>
          </cell>
        </row>
        <row r="3990">
          <cell r="D3990" t="str">
            <v>K.P. Woven Pvt Ltd-Sales</v>
          </cell>
          <cell r="AB3990" t="str">
            <v>24AAECK6307M1ZF</v>
          </cell>
        </row>
        <row r="3991">
          <cell r="D3991" t="str">
            <v>Technopac Austria Gmbh</v>
          </cell>
          <cell r="AB3991" t="str">
            <v>N.A.</v>
          </cell>
        </row>
        <row r="3992">
          <cell r="D3992" t="str">
            <v>Hcp Plastene Bulkpack Ltd (Unit Iv) - Sales</v>
          </cell>
          <cell r="AB3992" t="str">
            <v>24AABCG1282C2Z6</v>
          </cell>
        </row>
        <row r="3993">
          <cell r="D3993" t="str">
            <v>Hcp Plastene Bulkpack Ltd (Unit Iv) - Sales</v>
          </cell>
          <cell r="AB3993" t="str">
            <v>24AABCG1282C2Z6</v>
          </cell>
        </row>
        <row r="3994">
          <cell r="D3994" t="str">
            <v>Juta A.S.</v>
          </cell>
          <cell r="AB3994" t="str">
            <v>N.A.</v>
          </cell>
        </row>
        <row r="3995">
          <cell r="D3995" t="str">
            <v>K.P. Woven Pvt Ltd - Unit 3 -Sales</v>
          </cell>
          <cell r="AB3995" t="str">
            <v>24AAECK6307M2ZE</v>
          </cell>
        </row>
        <row r="3996">
          <cell r="D3996" t="str">
            <v>K.P. Woven Pvt Ltd-Sales</v>
          </cell>
          <cell r="AB3996" t="str">
            <v>24AAECK6307M1ZF</v>
          </cell>
        </row>
        <row r="3997">
          <cell r="D3997" t="str">
            <v>Plastene Polyfilms Ltd-Sales</v>
          </cell>
          <cell r="AB3997" t="str">
            <v>24AAFCP2956A1ZR</v>
          </cell>
        </row>
        <row r="3998">
          <cell r="D3998" t="str">
            <v>Plastene Polyfilms Ltd-Sales</v>
          </cell>
          <cell r="AB3998" t="str">
            <v>24AAFCP2956A1ZR</v>
          </cell>
        </row>
        <row r="3999">
          <cell r="D3999" t="str">
            <v>Plastene Polyfilms Ltd-Sales</v>
          </cell>
          <cell r="AB3999" t="str">
            <v>24AAFCP2956A1ZR</v>
          </cell>
        </row>
        <row r="4000">
          <cell r="D4000" t="str">
            <v>Plastene Polyfilms Ltd-Sales</v>
          </cell>
          <cell r="AB4000" t="str">
            <v>24AAFCP2956A1ZR</v>
          </cell>
        </row>
        <row r="4001">
          <cell r="D4001" t="str">
            <v>Technopac Gmbh</v>
          </cell>
          <cell r="AB4001" t="str">
            <v>N.A.</v>
          </cell>
        </row>
        <row r="4002">
          <cell r="D4002" t="str">
            <v>HCP Plastene Bulkpack Limited - Sales</v>
          </cell>
          <cell r="AB4002" t="str">
            <v>24AABCG1282C2Z6</v>
          </cell>
        </row>
        <row r="4003">
          <cell r="D4003" t="str">
            <v>HCP Plastene Bulkpack Limited - Sales</v>
          </cell>
          <cell r="AB4003" t="str">
            <v>24AABCG1282C2Z6</v>
          </cell>
        </row>
        <row r="4004">
          <cell r="D4004" t="str">
            <v>K.P. Woven Pvt Ltd - Unit 3 -Sales</v>
          </cell>
          <cell r="AB4004" t="str">
            <v>24AAECK6307M2ZE</v>
          </cell>
        </row>
        <row r="4005">
          <cell r="D4005" t="str">
            <v>K.P. Woven Pvt Ltd - Unit 3 -Sales</v>
          </cell>
          <cell r="AB4005" t="str">
            <v>24AAECK6307M2ZE</v>
          </cell>
        </row>
        <row r="4006">
          <cell r="D4006" t="str">
            <v>K.P. Woven Pvt Ltd - Unit 3 -Sales</v>
          </cell>
          <cell r="AB4006" t="str">
            <v>24AAECK6307M2ZE</v>
          </cell>
        </row>
        <row r="4007">
          <cell r="D4007" t="str">
            <v>K.P. Woven Pvt Ltd-Sales</v>
          </cell>
          <cell r="AB4007" t="str">
            <v>24AAECK6307M1ZF</v>
          </cell>
        </row>
        <row r="4008">
          <cell r="D4008" t="str">
            <v>K.P. Woven Pvt Ltd-Sales</v>
          </cell>
          <cell r="AB4008" t="str">
            <v>24AAECK6307M1ZF</v>
          </cell>
        </row>
        <row r="4009">
          <cell r="D4009" t="str">
            <v>K.P. Woven Pvt Ltd-Sales</v>
          </cell>
          <cell r="AB4009" t="str">
            <v>24AAECK6307M1ZF</v>
          </cell>
        </row>
        <row r="4010">
          <cell r="D4010" t="str">
            <v>K.P. Woven Pvt Ltd-Sales</v>
          </cell>
          <cell r="AB4010" t="str">
            <v>24AAECK6307M1ZF</v>
          </cell>
        </row>
        <row r="4011">
          <cell r="D4011" t="str">
            <v>K.P. Woven Pvt Ltd-Sales</v>
          </cell>
          <cell r="AB4011" t="str">
            <v>24AAECK6307M1ZF</v>
          </cell>
        </row>
        <row r="4012">
          <cell r="D4012" t="str">
            <v>Plastene Polyfilms Ltd-Sales</v>
          </cell>
          <cell r="AB4012" t="str">
            <v>24AAFCP2956A1ZR</v>
          </cell>
        </row>
        <row r="4013">
          <cell r="D4013" t="str">
            <v>Plastene Polyfilms Ltd-Sales</v>
          </cell>
          <cell r="AB4013" t="str">
            <v>24AAFCP2956A1ZR</v>
          </cell>
        </row>
        <row r="4014">
          <cell r="D4014" t="str">
            <v>Technopac Gmbh</v>
          </cell>
          <cell r="AB4014" t="str">
            <v>N.A.</v>
          </cell>
        </row>
        <row r="4015">
          <cell r="D4015" t="str">
            <v>Plastene Polyfilms Ltd-Sales</v>
          </cell>
          <cell r="AB4015" t="str">
            <v>24AAFCP2956A1ZR</v>
          </cell>
        </row>
        <row r="4016">
          <cell r="D4016" t="str">
            <v>K.P. Woven Pvt Ltd - Unit 3 -Sales</v>
          </cell>
          <cell r="AB4016" t="str">
            <v>24AAECK6307M2ZE</v>
          </cell>
        </row>
        <row r="4017">
          <cell r="D4017" t="str">
            <v>K.P. Woven Pvt Ltd - Unit 3 -Sales</v>
          </cell>
          <cell r="AB4017" t="str">
            <v>24AAECK6307M2ZE</v>
          </cell>
        </row>
        <row r="4018">
          <cell r="D4018" t="str">
            <v>Flexibox Container Gmbh</v>
          </cell>
          <cell r="AB4018" t="str">
            <v>N.A.</v>
          </cell>
        </row>
        <row r="4019">
          <cell r="D4019" t="str">
            <v>HCP Plastene Bulkpack Limited - Sales</v>
          </cell>
          <cell r="AB4019" t="str">
            <v>24AABCG1282C2Z6</v>
          </cell>
        </row>
        <row r="4020">
          <cell r="D4020" t="str">
            <v>K.P. Woven Pvt Ltd - Unit 3 -Sales</v>
          </cell>
          <cell r="AB4020" t="str">
            <v>24AAECK6307M2ZE</v>
          </cell>
        </row>
        <row r="4021">
          <cell r="D4021" t="str">
            <v>Plastene Polyfilms Ltd-Sales</v>
          </cell>
          <cell r="AB4021" t="str">
            <v>24AAFCP2956A1ZR</v>
          </cell>
        </row>
        <row r="4022">
          <cell r="D4022" t="str">
            <v>Plastene Polyfilms Ltd-Sales</v>
          </cell>
          <cell r="AB4022" t="str">
            <v>24AAFCP2956A1ZR</v>
          </cell>
        </row>
        <row r="4023">
          <cell r="D4023" t="str">
            <v>Plastene Polyfilms Ltd-Sales</v>
          </cell>
          <cell r="AB4023" t="str">
            <v>24AAFCP2956A1ZR</v>
          </cell>
        </row>
        <row r="4024">
          <cell r="D4024" t="str">
            <v>Plastene Polyfilms Ltd-Sales</v>
          </cell>
          <cell r="AB4024" t="str">
            <v>24AAFCP2956A1ZR</v>
          </cell>
        </row>
        <row r="4025">
          <cell r="D4025" t="str">
            <v>Plastene Polyfilms Ltd-Sales</v>
          </cell>
          <cell r="AB4025" t="str">
            <v>24AAFCP2956A1ZR</v>
          </cell>
        </row>
        <row r="4026">
          <cell r="D4026" t="str">
            <v>Plastene Polyfilms Ltd-Sales</v>
          </cell>
          <cell r="AB4026" t="str">
            <v>24AAFCP2956A1ZR</v>
          </cell>
        </row>
        <row r="4027">
          <cell r="D4027" t="str">
            <v>Plastene Polyfilms Ltd-Sales</v>
          </cell>
          <cell r="AB4027" t="str">
            <v>24AAFCP2956A1ZR</v>
          </cell>
        </row>
        <row r="4028">
          <cell r="D4028" t="str">
            <v>Technopac Gmbh</v>
          </cell>
          <cell r="AB4028" t="str">
            <v>N.A.</v>
          </cell>
        </row>
        <row r="4029">
          <cell r="D4029" t="str">
            <v>Nikhil Packagers</v>
          </cell>
          <cell r="AB4029" t="str">
            <v>09APZPG7653R1ZJ</v>
          </cell>
        </row>
        <row r="4030">
          <cell r="D4030" t="str">
            <v>Technopac Gmbh</v>
          </cell>
          <cell r="AB4030" t="str">
            <v>N.A.</v>
          </cell>
        </row>
        <row r="4031">
          <cell r="D4031" t="str">
            <v>Asco Italia Sas</v>
          </cell>
          <cell r="AB4031" t="str">
            <v>N.A.</v>
          </cell>
        </row>
        <row r="4032">
          <cell r="D4032" t="str">
            <v>K.P. Woven Pvt Ltd-Sales</v>
          </cell>
          <cell r="AB4032" t="str">
            <v>24AAECK6307M1ZF</v>
          </cell>
        </row>
        <row r="4033">
          <cell r="D4033" t="str">
            <v>K.P. Woven Pvt Ltd-Sales</v>
          </cell>
          <cell r="AB4033" t="str">
            <v>24AAECK6307M1ZF</v>
          </cell>
        </row>
        <row r="4034">
          <cell r="D4034" t="str">
            <v>K.P. Woven Pvt Ltd-Sales</v>
          </cell>
          <cell r="AB4034" t="str">
            <v>24AAECK6307M1ZF</v>
          </cell>
        </row>
        <row r="4035">
          <cell r="D4035" t="str">
            <v>K.P. Woven Pvt Ltd-Sales</v>
          </cell>
          <cell r="AB4035" t="str">
            <v>24AAECK6307M1ZF</v>
          </cell>
        </row>
        <row r="4036">
          <cell r="D4036" t="str">
            <v>HCP Plastene Bulkpack Limited - Sales</v>
          </cell>
          <cell r="AB4036" t="str">
            <v>24AABCG1282C2Z6</v>
          </cell>
        </row>
        <row r="4037">
          <cell r="D4037" t="str">
            <v>Juta A.S.</v>
          </cell>
          <cell r="AB4037" t="str">
            <v>N.A.</v>
          </cell>
        </row>
        <row r="4038">
          <cell r="D4038" t="str">
            <v>Meet Corporation</v>
          </cell>
          <cell r="AB4038" t="str">
            <v>24AURPP4997N1ZF</v>
          </cell>
        </row>
        <row r="4039">
          <cell r="D4039" t="str">
            <v>Meet Corporation</v>
          </cell>
          <cell r="AB4039" t="str">
            <v>24AURPP4997N1ZF</v>
          </cell>
        </row>
        <row r="4040">
          <cell r="D4040" t="str">
            <v>Meet Corporation</v>
          </cell>
          <cell r="AB4040" t="str">
            <v>24AURPP4997N1ZF</v>
          </cell>
        </row>
        <row r="4041">
          <cell r="D4041" t="str">
            <v>Meet Corporation</v>
          </cell>
          <cell r="AB4041" t="str">
            <v>24AURPP4997N1ZF</v>
          </cell>
        </row>
        <row r="4042">
          <cell r="D4042" t="str">
            <v>Meet Corporation</v>
          </cell>
          <cell r="AB4042" t="str">
            <v>24AURPP4997N1ZF</v>
          </cell>
        </row>
        <row r="4043">
          <cell r="D4043" t="str">
            <v>Meet Corporation</v>
          </cell>
          <cell r="AB4043" t="str">
            <v>24AURPP4997N1ZF</v>
          </cell>
        </row>
        <row r="4044">
          <cell r="D4044" t="str">
            <v>Gopikishan Polyplast Pvt Ltd - Sales</v>
          </cell>
          <cell r="AB4044" t="str">
            <v>24AAJCA0424G1Z7</v>
          </cell>
        </row>
        <row r="4045">
          <cell r="D4045" t="str">
            <v>Gopikishan Polyplast Pvt Ltd - Sales</v>
          </cell>
          <cell r="AB4045" t="str">
            <v>24AAJCA0424G1Z7</v>
          </cell>
        </row>
        <row r="4046">
          <cell r="D4046" t="str">
            <v>K.P. Woven Pvt Ltd - Unit 3 -Sales</v>
          </cell>
          <cell r="AB4046" t="str">
            <v>24AAECK6307M2ZE</v>
          </cell>
        </row>
        <row r="4047">
          <cell r="D4047" t="str">
            <v>HCP Plastene Bulkpack Limited - Sales</v>
          </cell>
          <cell r="AB4047" t="str">
            <v>24AABCG1282C2Z6</v>
          </cell>
        </row>
        <row r="4048">
          <cell r="D4048" t="str">
            <v>HCP Plastene Bulkpack Limited - Sales</v>
          </cell>
          <cell r="AB4048" t="str">
            <v>24AABCG1282C2Z6</v>
          </cell>
        </row>
        <row r="4049">
          <cell r="D4049" t="str">
            <v>K.P. Woven Pvt Ltd-Sales</v>
          </cell>
          <cell r="AB4049" t="str">
            <v>24AAECK6307M1ZF</v>
          </cell>
        </row>
        <row r="4050">
          <cell r="D4050" t="str">
            <v>K.P. Woven Pvt Ltd-Sales</v>
          </cell>
          <cell r="AB4050" t="str">
            <v>24AAECK6307M1ZF</v>
          </cell>
        </row>
        <row r="4051">
          <cell r="D4051" t="str">
            <v>K.P. Woven Pvt Ltd-Sales</v>
          </cell>
          <cell r="AB4051" t="str">
            <v>24AAECK6307M1ZF</v>
          </cell>
        </row>
        <row r="4052">
          <cell r="D4052" t="str">
            <v>K.P. Woven Pvt Ltd-Sales</v>
          </cell>
          <cell r="AB4052" t="str">
            <v>24AAECK6307M1ZF</v>
          </cell>
        </row>
        <row r="4053">
          <cell r="D4053" t="str">
            <v>K.P. Woven Pvt Ltd-Sales</v>
          </cell>
          <cell r="AB4053" t="str">
            <v>24AAECK6307M1ZF</v>
          </cell>
        </row>
        <row r="4054">
          <cell r="D4054" t="str">
            <v>Arysta Lifescience India Ltd</v>
          </cell>
          <cell r="AB4054" t="str">
            <v>24AAACD0557C1ZB</v>
          </cell>
        </row>
        <row r="4055">
          <cell r="D4055" t="str">
            <v>HCP Plastene Bulkpack Limited - Sales</v>
          </cell>
          <cell r="AB4055" t="str">
            <v>24AABCG1282C2Z6</v>
          </cell>
        </row>
        <row r="4056">
          <cell r="D4056" t="str">
            <v>K.P. Woven Pvt Ltd-Sales</v>
          </cell>
          <cell r="AB4056" t="str">
            <v>24AAECK6307M1ZF</v>
          </cell>
        </row>
        <row r="4057">
          <cell r="D4057" t="str">
            <v>K.P. Woven Pvt Ltd-Sales</v>
          </cell>
          <cell r="AB4057" t="str">
            <v>24AAECK6307M1ZF</v>
          </cell>
        </row>
        <row r="4058">
          <cell r="D4058" t="str">
            <v>K.P. Woven Pvt Ltd-Sales</v>
          </cell>
          <cell r="AB4058" t="str">
            <v>24AAECK6307M1ZF</v>
          </cell>
        </row>
        <row r="4059">
          <cell r="D4059" t="str">
            <v>K.P. Woven Pvt Ltd-Sales</v>
          </cell>
          <cell r="AB4059" t="str">
            <v>24AAECK6307M1ZF</v>
          </cell>
        </row>
        <row r="4060">
          <cell r="D4060" t="str">
            <v>K.P. Woven Pvt Ltd-Sales</v>
          </cell>
          <cell r="AB4060" t="str">
            <v>24AAECK6307M1ZF</v>
          </cell>
        </row>
        <row r="4061">
          <cell r="D4061" t="str">
            <v>Hcp Plastene Bulkpack Ltd (Unit Iv) - Sales</v>
          </cell>
          <cell r="AB4061" t="str">
            <v>24AABCG1282C2Z6</v>
          </cell>
        </row>
        <row r="4062">
          <cell r="D4062" t="str">
            <v>Hcp Plastene Bulkpack Ltd (Unit Iv) - Sales</v>
          </cell>
          <cell r="AB4062" t="str">
            <v>24AABCG1282C2Z6</v>
          </cell>
        </row>
        <row r="4063">
          <cell r="D4063" t="str">
            <v>Plastene Polyfilms Ltd-Sales</v>
          </cell>
          <cell r="AB4063" t="str">
            <v>24AAFCP2956A1ZR</v>
          </cell>
        </row>
        <row r="4064">
          <cell r="D4064" t="str">
            <v>Plastene Polyfilms Ltd-Sales</v>
          </cell>
          <cell r="AB4064" t="str">
            <v>24AAFCP2956A1ZR</v>
          </cell>
        </row>
        <row r="4065">
          <cell r="D4065" t="str">
            <v>Ravitaillement International Inc.</v>
          </cell>
          <cell r="AB4065" t="str">
            <v>N.A.</v>
          </cell>
        </row>
        <row r="4066">
          <cell r="D4066" t="str">
            <v>Flexibox Container Gmbh</v>
          </cell>
          <cell r="AB4066" t="str">
            <v>N.A.</v>
          </cell>
        </row>
        <row r="4067">
          <cell r="D4067" t="str">
            <v>HCP Plastene Bulkpack Limited - Sales</v>
          </cell>
          <cell r="AB4067" t="str">
            <v>24AABCG1282C2Z6</v>
          </cell>
        </row>
        <row r="4068">
          <cell r="D4068" t="str">
            <v>K.P. Woven Pvt Ltd - Unit 3 -Sales</v>
          </cell>
          <cell r="AB4068" t="str">
            <v>24AAECK6307M2ZE</v>
          </cell>
        </row>
        <row r="4069">
          <cell r="D4069" t="str">
            <v>K.P. Woven Pvt Ltd-Sales</v>
          </cell>
          <cell r="AB4069" t="str">
            <v>24AAECK6307M1ZF</v>
          </cell>
        </row>
        <row r="4070">
          <cell r="D4070" t="str">
            <v>K.P. Woven Pvt Ltd-Sales</v>
          </cell>
          <cell r="AB4070" t="str">
            <v>24AAECK6307M1ZF</v>
          </cell>
        </row>
        <row r="4071">
          <cell r="D4071" t="str">
            <v>K.P. Woven Pvt Ltd-Sales</v>
          </cell>
          <cell r="AB4071" t="str">
            <v>24AAECK6307M1ZF</v>
          </cell>
        </row>
        <row r="4072">
          <cell r="D4072" t="str">
            <v>K.P. Woven Pvt Ltd-Sales</v>
          </cell>
          <cell r="AB4072" t="str">
            <v>24AAECK6307M1ZF</v>
          </cell>
        </row>
        <row r="4073">
          <cell r="D4073" t="str">
            <v>K.P. Woven Pvt Ltd-Sales</v>
          </cell>
          <cell r="AB4073" t="str">
            <v>24AAECK6307M1ZF</v>
          </cell>
        </row>
        <row r="4074">
          <cell r="D4074" t="str">
            <v>Oliva Garden S.A.</v>
          </cell>
          <cell r="AB4074" t="str">
            <v>N.A.</v>
          </cell>
        </row>
        <row r="4075">
          <cell r="D4075" t="str">
            <v>Oliva Garden S.A.</v>
          </cell>
          <cell r="AB4075" t="str">
            <v>N.A.</v>
          </cell>
        </row>
        <row r="4076">
          <cell r="D4076" t="str">
            <v>Plastene Polyfilms Ltd-Sales</v>
          </cell>
          <cell r="AB4076" t="str">
            <v>24AAFCP2956A1ZR</v>
          </cell>
        </row>
        <row r="4077">
          <cell r="D4077" t="str">
            <v>Plastene Polyfilms Ltd-Sales</v>
          </cell>
          <cell r="AB4077" t="str">
            <v>24AAFCP2956A1ZR</v>
          </cell>
        </row>
        <row r="4078">
          <cell r="D4078" t="str">
            <v>HCP Plastene Bulkpack Limited - Sales</v>
          </cell>
          <cell r="AB4078" t="str">
            <v>24AABCG1282C2Z6</v>
          </cell>
        </row>
        <row r="4079">
          <cell r="D4079" t="str">
            <v>K.P. Woven Pvt Ltd-Sales</v>
          </cell>
          <cell r="AB4079" t="str">
            <v>24AAECK6307M1ZF</v>
          </cell>
        </row>
        <row r="4080">
          <cell r="D4080" t="str">
            <v>HCP Plastene Bulkpack Limited - Sales</v>
          </cell>
          <cell r="AB4080" t="str">
            <v>24AABCG1282C2Z6</v>
          </cell>
        </row>
        <row r="4081">
          <cell r="D4081" t="str">
            <v>K.P. Woven Pvt Ltd-Sales</v>
          </cell>
          <cell r="AB4081" t="str">
            <v>24AAECK6307M1ZF</v>
          </cell>
        </row>
        <row r="4082">
          <cell r="D4082" t="str">
            <v>K.P. Woven Pvt Ltd-Sales</v>
          </cell>
          <cell r="AB4082" t="str">
            <v>24AAECK6307M1ZF</v>
          </cell>
        </row>
        <row r="4083">
          <cell r="D4083" t="str">
            <v>K.P. Woven Pvt Ltd-Sales</v>
          </cell>
          <cell r="AB4083" t="str">
            <v>24AAECK6307M1ZF</v>
          </cell>
        </row>
        <row r="4084">
          <cell r="D4084" t="str">
            <v>K.P. Woven Pvt Ltd-Sales</v>
          </cell>
          <cell r="AB4084" t="str">
            <v>24AAECK6307M1ZF</v>
          </cell>
        </row>
        <row r="4085">
          <cell r="D4085" t="str">
            <v>Mehjal Adhesive Tapes Pvt. Ltd. - Sales</v>
          </cell>
          <cell r="AB4085" t="str">
            <v>24AAICM7843C1ZJ</v>
          </cell>
        </row>
        <row r="4086">
          <cell r="D4086" t="str">
            <v>Mehjal Adhesive Tapes Pvt. Ltd. - Sales</v>
          </cell>
          <cell r="AB4086" t="str">
            <v>24AAICM7843C1ZJ</v>
          </cell>
        </row>
        <row r="4087">
          <cell r="D4087" t="str">
            <v>Mehjal Adhesive Tapes Pvt. Ltd. - Sales</v>
          </cell>
          <cell r="AB4087" t="str">
            <v>24AAICM7843C1ZJ</v>
          </cell>
        </row>
        <row r="4088">
          <cell r="D4088" t="str">
            <v>Mehjal Adhesive Tapes Pvt. Ltd. - Sales</v>
          </cell>
          <cell r="AB4088" t="str">
            <v>24AAICM7843C1ZJ</v>
          </cell>
        </row>
        <row r="4089">
          <cell r="D4089" t="str">
            <v>Mehjal Adhesive Tapes Pvt. Ltd. - Sales</v>
          </cell>
          <cell r="AB4089" t="str">
            <v>24AAICM7843C1ZJ</v>
          </cell>
        </row>
        <row r="4090">
          <cell r="D4090" t="str">
            <v>Mehjal Adhesive Tapes Pvt. Ltd. - Sales</v>
          </cell>
          <cell r="AB4090" t="str">
            <v>24AAICM7843C1ZJ</v>
          </cell>
        </row>
        <row r="4091">
          <cell r="D4091" t="str">
            <v>Mehjal Adhesive Tapes Pvt. Ltd. - Sales</v>
          </cell>
          <cell r="AB4091" t="str">
            <v>24AAICM7843C1ZJ</v>
          </cell>
        </row>
        <row r="4092">
          <cell r="D4092" t="str">
            <v>P And G Screap Traders</v>
          </cell>
          <cell r="AB4092" t="str">
            <v>24HGYPS0136J1ZS</v>
          </cell>
        </row>
        <row r="4093">
          <cell r="D4093" t="str">
            <v>K.P. Woven Pvt Ltd - Unit 3 -Sales</v>
          </cell>
          <cell r="AB4093" t="str">
            <v>24AAECK6307M2ZE</v>
          </cell>
        </row>
        <row r="4094">
          <cell r="D4094" t="str">
            <v>Plastene Polyfilms Ltd-Sales</v>
          </cell>
          <cell r="AB4094" t="str">
            <v>24AAFCP2956A1ZR</v>
          </cell>
        </row>
        <row r="4095">
          <cell r="D4095" t="str">
            <v>Plastene Polyfilms Ltd-Sales</v>
          </cell>
          <cell r="AB4095" t="str">
            <v>24AAFCP2956A1ZR</v>
          </cell>
        </row>
        <row r="4096">
          <cell r="D4096" t="str">
            <v>Technopac Gmbh</v>
          </cell>
          <cell r="AB4096" t="str">
            <v>N.A.</v>
          </cell>
        </row>
        <row r="4097">
          <cell r="D4097" t="str">
            <v>Technopac Gmbh</v>
          </cell>
          <cell r="AB4097" t="str">
            <v>N.A.</v>
          </cell>
        </row>
        <row r="4098">
          <cell r="D4098" t="str">
            <v>Cesur Usa, Llc</v>
          </cell>
          <cell r="AB4098" t="str">
            <v>N.A.</v>
          </cell>
        </row>
        <row r="4099">
          <cell r="D4099" t="str">
            <v>HCP Plastene Bulkpack Limited - Sales</v>
          </cell>
          <cell r="AB4099" t="str">
            <v>24AABCG1282C2Z6</v>
          </cell>
        </row>
        <row r="4100">
          <cell r="D4100" t="str">
            <v>HCP Plastene Bulkpack Limited - Sales</v>
          </cell>
          <cell r="AB4100" t="str">
            <v>24AABCG1282C2Z6</v>
          </cell>
        </row>
        <row r="4101">
          <cell r="D4101" t="str">
            <v>HCP Plastene Bulkpack Limited - Sales</v>
          </cell>
          <cell r="AB4101" t="str">
            <v>24AABCG1282C2Z6</v>
          </cell>
        </row>
        <row r="4102">
          <cell r="D4102" t="str">
            <v>Oswal Extrusion Ltd- KASEZ-Sales</v>
          </cell>
          <cell r="AB4102" t="str">
            <v>24AAACO7290H4ZB</v>
          </cell>
        </row>
        <row r="4103">
          <cell r="D4103" t="str">
            <v>Technopac Gmbh</v>
          </cell>
          <cell r="AB4103" t="str">
            <v>N.A.</v>
          </cell>
        </row>
        <row r="4104">
          <cell r="D4104" t="str">
            <v>Technopac Gmbh</v>
          </cell>
          <cell r="AB4104" t="str">
            <v>N.A.</v>
          </cell>
        </row>
        <row r="4105">
          <cell r="D4105" t="str">
            <v>Fibco Plastic Industry Llc</v>
          </cell>
          <cell r="AB4105" t="str">
            <v>N.A.</v>
          </cell>
        </row>
        <row r="4106">
          <cell r="D4106" t="str">
            <v>Fibco Plastic Industry Llc</v>
          </cell>
          <cell r="AB4106" t="str">
            <v>N.A.</v>
          </cell>
        </row>
        <row r="4107">
          <cell r="D4107" t="str">
            <v>Flexibox Container Gmbh</v>
          </cell>
          <cell r="AB4107" t="str">
            <v>N.A.</v>
          </cell>
        </row>
        <row r="4108">
          <cell r="D4108" t="str">
            <v>Hcp Plastene Bulkpack Ltd (Unit Iv) - Sales</v>
          </cell>
          <cell r="AB4108" t="str">
            <v>24AABCG1282C2Z6</v>
          </cell>
        </row>
        <row r="4109">
          <cell r="D4109" t="str">
            <v>Hcp Plastene Bulkpack Ltd (Unit Iv) - Sales</v>
          </cell>
          <cell r="AB4109" t="str">
            <v>24AABCG1282C2Z6</v>
          </cell>
        </row>
        <row r="4110">
          <cell r="D4110" t="str">
            <v>K.P. Woven Pvt Ltd-Sales</v>
          </cell>
          <cell r="AB4110" t="str">
            <v>24AAECK6307M1ZF</v>
          </cell>
        </row>
        <row r="4111">
          <cell r="D4111" t="str">
            <v>Plastene Polyfilms Ltd-Sales</v>
          </cell>
          <cell r="AB4111" t="str">
            <v>24AAFCP2956A1ZR</v>
          </cell>
        </row>
        <row r="4112">
          <cell r="D4112" t="str">
            <v>Plastene Polyfilms Ltd-Sales</v>
          </cell>
          <cell r="AB4112" t="str">
            <v>24AAFCP2956A1ZR</v>
          </cell>
        </row>
        <row r="4113">
          <cell r="D4113" t="str">
            <v>Plastene Polyfilms Ltd-Sales</v>
          </cell>
          <cell r="AB4113" t="str">
            <v>24AAFCP2956A1ZR</v>
          </cell>
        </row>
        <row r="4114">
          <cell r="D4114" t="str">
            <v>Plastene Polyfilms Ltd-Sales</v>
          </cell>
          <cell r="AB4114" t="str">
            <v>24AAFCP2956A1ZR</v>
          </cell>
        </row>
        <row r="4115">
          <cell r="D4115" t="str">
            <v>Plastene Polyfilms Ltd-Sales</v>
          </cell>
          <cell r="AB4115" t="str">
            <v>24AAFCP2956A1ZR</v>
          </cell>
        </row>
        <row r="4116">
          <cell r="D4116" t="str">
            <v>HCP Plastene Bulkpack Limited - Sales</v>
          </cell>
          <cell r="AB4116" t="str">
            <v>24AABCG1282C2Z6</v>
          </cell>
        </row>
        <row r="4117">
          <cell r="D4117" t="str">
            <v>K.P. Woven Pvt Ltd - Unit 3 -Sales</v>
          </cell>
          <cell r="AB4117" t="str">
            <v>24AAECK6307M2ZE</v>
          </cell>
        </row>
        <row r="4118">
          <cell r="D4118" t="str">
            <v>Fibco Plastic Industry Llc</v>
          </cell>
          <cell r="AB4118" t="str">
            <v>N.A.</v>
          </cell>
        </row>
        <row r="4119">
          <cell r="D4119" t="str">
            <v>K.P. Woven Pvt Ltd-Sales</v>
          </cell>
          <cell r="AB4119" t="str">
            <v>24AAECK6307M1ZF</v>
          </cell>
        </row>
        <row r="4120">
          <cell r="D4120" t="str">
            <v>K.P. Woven Pvt Ltd-Sales</v>
          </cell>
          <cell r="AB4120" t="str">
            <v>24AAECK6307M1ZF</v>
          </cell>
        </row>
        <row r="4121">
          <cell r="D4121" t="str">
            <v>K.P. Woven Pvt Ltd-Sales</v>
          </cell>
          <cell r="AB4121" t="str">
            <v>24AAECK6307M1ZF</v>
          </cell>
        </row>
        <row r="4122">
          <cell r="D4122" t="str">
            <v>K.P. Woven Pvt Ltd-Sales</v>
          </cell>
          <cell r="AB4122" t="str">
            <v>24AAECK6307M1ZF</v>
          </cell>
        </row>
        <row r="4123">
          <cell r="D4123" t="str">
            <v>K.P. Woven Pvt Ltd-Sales</v>
          </cell>
          <cell r="AB4123" t="str">
            <v>24AAECK6307M1ZF</v>
          </cell>
        </row>
        <row r="4124">
          <cell r="D4124" t="str">
            <v>K.P. Woven Pvt Ltd-Sales</v>
          </cell>
          <cell r="AB4124" t="str">
            <v>24AAECK6307M1ZF</v>
          </cell>
        </row>
        <row r="4125">
          <cell r="D4125" t="str">
            <v>Modus Granum LLC</v>
          </cell>
          <cell r="AB4125" t="str">
            <v>N.A.</v>
          </cell>
        </row>
        <row r="4126">
          <cell r="D4126" t="str">
            <v>Superform Chemistries Limited Jhagadia- PL85</v>
          </cell>
          <cell r="AB4126" t="str">
            <v>24AADCU0994M1ZX</v>
          </cell>
        </row>
        <row r="4127">
          <cell r="D4127" t="str">
            <v>Jumbo Sack Corporation</v>
          </cell>
          <cell r="AB4127" t="str">
            <v>N.A.</v>
          </cell>
        </row>
        <row r="4128">
          <cell r="D4128" t="str">
            <v>Jumbo Sack Corporation</v>
          </cell>
          <cell r="AB4128" t="str">
            <v>N.A.</v>
          </cell>
        </row>
        <row r="4129">
          <cell r="D4129" t="str">
            <v>Fibco Plastic Industry Llc</v>
          </cell>
          <cell r="AB4129" t="str">
            <v>N.A.</v>
          </cell>
        </row>
        <row r="4130">
          <cell r="D4130" t="str">
            <v>Fibco Plastic Industry Llc</v>
          </cell>
          <cell r="AB4130" t="str">
            <v>N.A.</v>
          </cell>
        </row>
        <row r="4131">
          <cell r="D4131" t="str">
            <v>Fibco Plastic Industry Llc</v>
          </cell>
          <cell r="AB4131" t="str">
            <v>N.A.</v>
          </cell>
        </row>
        <row r="4132">
          <cell r="D4132" t="str">
            <v>Fibco Plastic Industry Llc</v>
          </cell>
          <cell r="AB4132" t="str">
            <v>N.A.</v>
          </cell>
        </row>
        <row r="4133">
          <cell r="D4133" t="str">
            <v>Fibco Plastic Industry Llc</v>
          </cell>
          <cell r="AB4133" t="str">
            <v>N.A.</v>
          </cell>
        </row>
        <row r="4134">
          <cell r="D4134" t="str">
            <v>Fibco Plastic Industry Llc</v>
          </cell>
          <cell r="AB4134" t="str">
            <v>N.A.</v>
          </cell>
        </row>
        <row r="4135">
          <cell r="D4135" t="str">
            <v>Fibco Plastic Industry Llc</v>
          </cell>
          <cell r="AB4135" t="str">
            <v>N.A.</v>
          </cell>
        </row>
        <row r="4136">
          <cell r="D4136" t="str">
            <v>K.P. Woven Pvt Ltd - Unit 3 -Sales</v>
          </cell>
          <cell r="AB4136" t="str">
            <v>24AAECK6307M2ZE</v>
          </cell>
        </row>
        <row r="4137">
          <cell r="D4137" t="str">
            <v>Coromandel International Ltd-Sarigam</v>
          </cell>
          <cell r="AB4137" t="str">
            <v>24AAACC7852K1ZJ</v>
          </cell>
        </row>
        <row r="4138">
          <cell r="D4138" t="str">
            <v>Coromandel International Ltd-Sarigam</v>
          </cell>
          <cell r="AB4138" t="str">
            <v>24AAACC7852K1ZJ</v>
          </cell>
        </row>
        <row r="4139">
          <cell r="D4139" t="str">
            <v>HCP Plastene Bulkpack Limited - Sales</v>
          </cell>
          <cell r="AB4139" t="str">
            <v>24AABCG1282C2Z6</v>
          </cell>
        </row>
        <row r="4140">
          <cell r="D4140" t="str">
            <v>K.P. Woven Pvt Ltd-Sales</v>
          </cell>
          <cell r="AB4140" t="str">
            <v>24AAECK6307M1ZF</v>
          </cell>
        </row>
        <row r="4141">
          <cell r="D4141" t="str">
            <v>K.P. Woven Pvt Ltd-Sales</v>
          </cell>
          <cell r="AB4141" t="str">
            <v>24AAECK6307M1ZF</v>
          </cell>
        </row>
        <row r="4142">
          <cell r="D4142" t="str">
            <v>K.P. Woven Pvt Ltd-Sales</v>
          </cell>
          <cell r="AB4142" t="str">
            <v>24AAECK6307M1ZF</v>
          </cell>
        </row>
        <row r="4143">
          <cell r="D4143" t="str">
            <v>K.P. Woven Pvt Ltd-Sales</v>
          </cell>
          <cell r="AB4143" t="str">
            <v>24AAECK6307M1ZF</v>
          </cell>
        </row>
        <row r="4144">
          <cell r="D4144" t="str">
            <v>LC Packaging SAS, France</v>
          </cell>
          <cell r="AB4144" t="str">
            <v>N.A.</v>
          </cell>
        </row>
        <row r="4145">
          <cell r="D4145" t="str">
            <v>Maruti Bitumen Private Limited</v>
          </cell>
          <cell r="AB4145" t="str">
            <v>24AAGCM2215E1Z1</v>
          </cell>
        </row>
        <row r="4146">
          <cell r="D4146" t="str">
            <v>Cesur Latam Sac</v>
          </cell>
          <cell r="AB4146" t="str">
            <v>N.A.</v>
          </cell>
        </row>
        <row r="4147">
          <cell r="D4147" t="str">
            <v>HCP Plastene Bulkpack Limited - Sales</v>
          </cell>
          <cell r="AB4147" t="str">
            <v>24AABCG1282C2Z6</v>
          </cell>
        </row>
        <row r="4148">
          <cell r="D4148" t="str">
            <v>HCP Plastene Bulkpack Limited - Sales</v>
          </cell>
          <cell r="AB4148" t="str">
            <v>24AABCG1282C2Z6</v>
          </cell>
        </row>
        <row r="4149">
          <cell r="D4149" t="str">
            <v>HCP Plastene Bulkpack Limited - Sales</v>
          </cell>
          <cell r="AB4149" t="str">
            <v>24AABCG1282C2Z6</v>
          </cell>
        </row>
        <row r="4150">
          <cell r="D4150" t="str">
            <v>HCP Plastene Bulkpack Limited - Sales</v>
          </cell>
          <cell r="AB4150" t="str">
            <v>24AABCG1282C2Z6</v>
          </cell>
        </row>
        <row r="4151">
          <cell r="D4151" t="str">
            <v>Hcp Plastene Bulkpack Ltd (Unit Iv) - Sales</v>
          </cell>
          <cell r="AB4151" t="str">
            <v>24AABCG1282C2Z6</v>
          </cell>
        </row>
        <row r="4152">
          <cell r="D4152" t="str">
            <v>Hcp Plastene Bulkpack Ltd (Unit Iv) - Sales</v>
          </cell>
          <cell r="AB4152" t="str">
            <v>24AABCG1282C2Z6</v>
          </cell>
        </row>
        <row r="4153">
          <cell r="D4153" t="str">
            <v>Plastene Polyfilms Ltd-Sales</v>
          </cell>
          <cell r="AB4153" t="str">
            <v>24AAFCP2956A1ZR</v>
          </cell>
        </row>
        <row r="4154">
          <cell r="D4154" t="str">
            <v>Plastene Polyfilms Ltd-Sales</v>
          </cell>
          <cell r="AB4154" t="str">
            <v>24AAFCP2956A1ZR</v>
          </cell>
        </row>
        <row r="4155">
          <cell r="D4155" t="str">
            <v>Plastene Polyfilms Ltd-Sales</v>
          </cell>
          <cell r="AB4155" t="str">
            <v>24AAFCP2956A1ZR</v>
          </cell>
        </row>
        <row r="4156">
          <cell r="D4156" t="str">
            <v>Plastene Polyfilms Ltd-Sales</v>
          </cell>
          <cell r="AB4156" t="str">
            <v>24AAFCP2956A1ZR</v>
          </cell>
        </row>
        <row r="4157">
          <cell r="D4157" t="str">
            <v>Plastene Polyfilms Ltd-Sales</v>
          </cell>
          <cell r="AB4157" t="str">
            <v>24AAFCP2956A1ZR</v>
          </cell>
        </row>
        <row r="4158">
          <cell r="D4158" t="str">
            <v>Shri Narayan Enterprise</v>
          </cell>
          <cell r="AB4158" t="str">
            <v>08CNTPS2028G1ZL</v>
          </cell>
        </row>
        <row r="4159">
          <cell r="D4159" t="str">
            <v>Shri Narayan Enterprise</v>
          </cell>
          <cell r="AB4159" t="str">
            <v>08CNTPS2028G1ZL</v>
          </cell>
        </row>
        <row r="4160">
          <cell r="D4160" t="str">
            <v>Shri Narayan Enterprise</v>
          </cell>
          <cell r="AB4160" t="str">
            <v>08CNTPS2028G1ZL</v>
          </cell>
        </row>
        <row r="4161">
          <cell r="D4161" t="str">
            <v>K.P. Woven Pvt Ltd-Sales</v>
          </cell>
          <cell r="AB4161" t="str">
            <v>24AAECK6307M1ZF</v>
          </cell>
        </row>
        <row r="4162">
          <cell r="D4162" t="str">
            <v>K.P. Woven Pvt Ltd-Sales</v>
          </cell>
          <cell r="AB4162" t="str">
            <v>24AAECK6307M1ZF</v>
          </cell>
        </row>
        <row r="4163">
          <cell r="D4163" t="str">
            <v>K.P. Woven Pvt Ltd-Sales</v>
          </cell>
          <cell r="AB4163" t="str">
            <v>24AAECK6307M1ZF</v>
          </cell>
        </row>
        <row r="4164">
          <cell r="D4164" t="str">
            <v>K.P. Woven Pvt Ltd-Sales</v>
          </cell>
          <cell r="AB4164" t="str">
            <v>24AAECK6307M1ZF</v>
          </cell>
        </row>
        <row r="4165">
          <cell r="D4165" t="str">
            <v>K.P. Woven Pvt Ltd-Sales</v>
          </cell>
          <cell r="AB4165" t="str">
            <v>24AAECK6307M1ZF</v>
          </cell>
        </row>
        <row r="4166">
          <cell r="D4166" t="str">
            <v>K.P. Woven Pvt Ltd-Sales</v>
          </cell>
          <cell r="AB4166" t="str">
            <v>24AAECK6307M1ZF</v>
          </cell>
        </row>
        <row r="4167">
          <cell r="D4167" t="str">
            <v>K.P. Woven Pvt Ltd-Sales</v>
          </cell>
          <cell r="AB4167" t="str">
            <v>24AAECK6307M1ZF</v>
          </cell>
        </row>
        <row r="4168">
          <cell r="D4168" t="str">
            <v>K.P. Woven Pvt Ltd-Sales</v>
          </cell>
          <cell r="AB4168" t="str">
            <v>24AAECK6307M1ZF</v>
          </cell>
        </row>
        <row r="4169">
          <cell r="D4169" t="str">
            <v>Technopac Austria Gmbh</v>
          </cell>
          <cell r="AB4169" t="str">
            <v>N.A.</v>
          </cell>
        </row>
        <row r="4170">
          <cell r="D4170" t="str">
            <v>Fibco Plastic Industry Llc</v>
          </cell>
          <cell r="AB4170" t="str">
            <v>N.A.</v>
          </cell>
        </row>
        <row r="4171">
          <cell r="D4171" t="str">
            <v>Fibco Plastic Industry Llc</v>
          </cell>
          <cell r="AB4171" t="str">
            <v>N.A.</v>
          </cell>
        </row>
        <row r="4172">
          <cell r="D4172" t="str">
            <v>Fibco Plastic Industry Llc</v>
          </cell>
          <cell r="AB4172" t="str">
            <v>N.A.</v>
          </cell>
        </row>
        <row r="4173">
          <cell r="D4173" t="str">
            <v>K.P. Woven Pvt Ltd - Unit 3 -Sales</v>
          </cell>
          <cell r="AB4173" t="str">
            <v>24AAECK6307M2ZE</v>
          </cell>
        </row>
        <row r="4174">
          <cell r="D4174" t="str">
            <v>Plastene Polyfilms Ltd-Sales</v>
          </cell>
          <cell r="AB4174" t="str">
            <v>24AAFCP2956A1ZR</v>
          </cell>
        </row>
        <row r="4175">
          <cell r="D4175" t="str">
            <v>Plastene Polyfilms Ltd-Sales</v>
          </cell>
          <cell r="AB4175" t="str">
            <v>24AAFCP2956A1ZR</v>
          </cell>
        </row>
        <row r="4176">
          <cell r="D4176" t="str">
            <v>Plastene Polyfilms Ltd-Sales</v>
          </cell>
          <cell r="AB4176" t="str">
            <v>24AAFCP2956A1ZR</v>
          </cell>
        </row>
        <row r="4177">
          <cell r="D4177" t="str">
            <v>Almatis  Alumina Private Limited</v>
          </cell>
          <cell r="AB4177" t="str">
            <v>19AACCA2120N1ZT</v>
          </cell>
        </row>
        <row r="4178">
          <cell r="D4178" t="str">
            <v>Cesur Latam Sac</v>
          </cell>
          <cell r="AB4178" t="str">
            <v>N.A.</v>
          </cell>
        </row>
        <row r="4179">
          <cell r="D4179" t="str">
            <v>HCP Plastene Bulkpack Limited - Sales</v>
          </cell>
          <cell r="AB4179" t="str">
            <v>24AABCG1282C2Z6</v>
          </cell>
        </row>
        <row r="4180">
          <cell r="D4180" t="str">
            <v>Plastene Polyfilms Ltd-Sales</v>
          </cell>
          <cell r="AB4180" t="str">
            <v>24AAFCP2956A1ZR</v>
          </cell>
        </row>
        <row r="4181">
          <cell r="D4181" t="str">
            <v>Plastene Polyfilms Ltd-Sales</v>
          </cell>
          <cell r="AB4181" t="str">
            <v>24AAFCP2956A1ZR</v>
          </cell>
        </row>
        <row r="4182">
          <cell r="D4182" t="str">
            <v>Technopac Gmbh</v>
          </cell>
          <cell r="AB4182" t="str">
            <v>N.A.</v>
          </cell>
        </row>
        <row r="4183">
          <cell r="D4183" t="str">
            <v>HCP Plastene Bulkpack Limited - Sales</v>
          </cell>
          <cell r="AB4183" t="str">
            <v>24AABCG1282C2Z6</v>
          </cell>
        </row>
        <row r="4184">
          <cell r="D4184" t="str">
            <v>K.P. Woven Pvt Ltd-Sales</v>
          </cell>
          <cell r="AB4184" t="str">
            <v>24AAECK6307M1ZF</v>
          </cell>
        </row>
        <row r="4185">
          <cell r="D4185" t="str">
            <v>K.P. Woven Pvt Ltd-Sales</v>
          </cell>
          <cell r="AB4185" t="str">
            <v>24AAECK6307M1ZF</v>
          </cell>
        </row>
        <row r="4186">
          <cell r="D4186" t="str">
            <v>K.P. Woven Pvt Ltd-Sales</v>
          </cell>
          <cell r="AB4186" t="str">
            <v>24AAECK6307M1ZF</v>
          </cell>
        </row>
        <row r="4187">
          <cell r="D4187" t="str">
            <v>K.P. Woven Pvt Ltd-Sales</v>
          </cell>
          <cell r="AB4187" t="str">
            <v>24AAECK6307M1ZF</v>
          </cell>
        </row>
        <row r="4188">
          <cell r="D4188" t="str">
            <v>K.P. Woven Pvt Ltd-Sales</v>
          </cell>
          <cell r="AB4188" t="str">
            <v>24AAECK6307M1ZF</v>
          </cell>
        </row>
        <row r="4189">
          <cell r="D4189" t="str">
            <v>Plastene Polyfilms Ltd-Sales</v>
          </cell>
          <cell r="AB4189" t="str">
            <v>24AAFCP2956A1ZR</v>
          </cell>
        </row>
        <row r="4190">
          <cell r="D4190" t="str">
            <v>Plastene Polyfilms Ltd-Sales</v>
          </cell>
          <cell r="AB4190" t="str">
            <v>24AAFCP2956A1ZR</v>
          </cell>
        </row>
        <row r="4191">
          <cell r="D4191" t="str">
            <v>Plastene Polyfilms Ltd-Sales</v>
          </cell>
          <cell r="AB4191" t="str">
            <v>24AAFCP2956A1ZR</v>
          </cell>
        </row>
        <row r="4192">
          <cell r="D4192" t="str">
            <v>Plastene Polyfilms Ltd-Sales</v>
          </cell>
          <cell r="AB4192" t="str">
            <v>24AAFCP2956A1ZR</v>
          </cell>
        </row>
        <row r="4193">
          <cell r="D4193" t="str">
            <v>K.P. Woven Pvt Ltd-Sales</v>
          </cell>
          <cell r="AB4193" t="str">
            <v>24AAECK6307M1ZF</v>
          </cell>
        </row>
        <row r="4194">
          <cell r="D4194" t="str">
            <v>K.P. Woven Pvt Ltd-Sales</v>
          </cell>
          <cell r="AB4194" t="str">
            <v>24AAECK6307M1ZF</v>
          </cell>
        </row>
        <row r="4195">
          <cell r="D4195" t="str">
            <v>K.P. Woven Pvt Ltd-Sales</v>
          </cell>
          <cell r="AB4195" t="str">
            <v>24AAECK6307M1ZF</v>
          </cell>
        </row>
        <row r="4196">
          <cell r="D4196" t="str">
            <v>K.P. Woven Pvt Ltd-Sales</v>
          </cell>
          <cell r="AB4196" t="str">
            <v>24AAECK6307M1ZF</v>
          </cell>
        </row>
        <row r="4197">
          <cell r="D4197" t="str">
            <v>K.P. Woven Pvt Ltd-Sales</v>
          </cell>
          <cell r="AB4197" t="str">
            <v>24AAECK6307M1ZF</v>
          </cell>
        </row>
        <row r="4198">
          <cell r="D4198" t="str">
            <v>Hcp Plastene Bulkpack Ltd (Unit Iv) - Sales</v>
          </cell>
          <cell r="AB4198" t="str">
            <v>24AABCG1282C2Z6</v>
          </cell>
        </row>
        <row r="4199">
          <cell r="D4199" t="str">
            <v>Hcp Plastene Bulkpack Ltd (Unit Iv) - Sales</v>
          </cell>
          <cell r="AB4199" t="str">
            <v>24AABCG1282C2Z6</v>
          </cell>
        </row>
        <row r="4200">
          <cell r="D4200" t="str">
            <v>Plastene Polyfilms Ltd-Sales</v>
          </cell>
          <cell r="AB4200" t="str">
            <v>24AAFCP2956A1ZR</v>
          </cell>
        </row>
        <row r="4201">
          <cell r="D4201" t="str">
            <v>Plastene Polyfilms Ltd-Sales</v>
          </cell>
          <cell r="AB4201" t="str">
            <v>24AAFCP2956A1ZR</v>
          </cell>
        </row>
        <row r="4202">
          <cell r="D4202" t="str">
            <v>Plastene Polyfilms Ltd-Sales</v>
          </cell>
          <cell r="AB4202" t="str">
            <v>24AAFCP2956A1ZR</v>
          </cell>
        </row>
        <row r="4203">
          <cell r="D4203" t="str">
            <v>Plastene Polyfilms Ltd-Sales</v>
          </cell>
          <cell r="AB4203" t="str">
            <v>24AAFCP2956A1ZR</v>
          </cell>
        </row>
        <row r="4204">
          <cell r="D4204" t="str">
            <v>K.P. Woven Pvt Ltd - Unit 3 -Sales</v>
          </cell>
          <cell r="AB4204" t="str">
            <v>24AAECK6307M2ZE</v>
          </cell>
        </row>
        <row r="4205">
          <cell r="D4205" t="str">
            <v>Plastene Polyfilms Ltd-Sales</v>
          </cell>
          <cell r="AB4205" t="str">
            <v>24AAFCP2956A1ZR</v>
          </cell>
        </row>
        <row r="4206">
          <cell r="D4206" t="str">
            <v>Plastene Polyfilms Ltd-Sales</v>
          </cell>
          <cell r="AB4206" t="str">
            <v>24AAFCP2956A1ZR</v>
          </cell>
        </row>
        <row r="4207">
          <cell r="D4207" t="str">
            <v>Rafia Industrial S.A.</v>
          </cell>
          <cell r="AB4207" t="str">
            <v>N.A.</v>
          </cell>
        </row>
        <row r="4208">
          <cell r="D4208" t="str">
            <v>Glory Duty Free Marine Shops Ltd</v>
          </cell>
          <cell r="AB4208" t="str">
            <v>N.A.</v>
          </cell>
        </row>
        <row r="4209">
          <cell r="D4209" t="str">
            <v>K.P. Woven Pvt Ltd-Sales</v>
          </cell>
          <cell r="AB4209" t="str">
            <v>24AAECK6307M1ZF</v>
          </cell>
        </row>
        <row r="4210">
          <cell r="D4210" t="str">
            <v>K.P. Woven Pvt Ltd-Sales</v>
          </cell>
          <cell r="AB4210" t="str">
            <v>24AAECK6307M1ZF</v>
          </cell>
        </row>
        <row r="4211">
          <cell r="D4211" t="str">
            <v>Cesur France</v>
          </cell>
          <cell r="AB4211" t="str">
            <v>N.A.</v>
          </cell>
        </row>
        <row r="4212">
          <cell r="D4212" t="str">
            <v>K.P. Woven Pvt Ltd - Unit 3 -Sales</v>
          </cell>
          <cell r="AB4212" t="str">
            <v>24AAECK6307M2ZE</v>
          </cell>
        </row>
        <row r="4213">
          <cell r="D4213" t="str">
            <v>HCP Plastene Bulkpack Limited - Sales</v>
          </cell>
          <cell r="AB4213" t="str">
            <v>24AABCG1282C2Z6</v>
          </cell>
        </row>
        <row r="4214">
          <cell r="D4214" t="str">
            <v>Plastene Polyfilms Ltd-Sales</v>
          </cell>
          <cell r="AB4214" t="str">
            <v>24AAFCP2956A1ZR</v>
          </cell>
        </row>
        <row r="4215">
          <cell r="D4215" t="str">
            <v>HCP Plastene Bulkpack Limited - Sales</v>
          </cell>
          <cell r="AB4215" t="str">
            <v>24AABCG1282C2Z6</v>
          </cell>
        </row>
        <row r="4216">
          <cell r="D4216" t="str">
            <v>HCP Plastene Bulkpack Limited - Sales</v>
          </cell>
          <cell r="AB4216" t="str">
            <v>24AABCG1282C2Z6</v>
          </cell>
        </row>
        <row r="4217">
          <cell r="D4217" t="str">
            <v>K.P. Woven Pvt Ltd-Sales</v>
          </cell>
          <cell r="AB4217" t="str">
            <v>24AAECK6307M1ZF</v>
          </cell>
        </row>
        <row r="4218">
          <cell r="D4218" t="str">
            <v>K.P. Woven Pvt Ltd-Sales</v>
          </cell>
          <cell r="AB4218" t="str">
            <v>24AAECK6307M1ZF</v>
          </cell>
        </row>
        <row r="4219">
          <cell r="D4219" t="str">
            <v>K.P. Woven Pvt Ltd-Sales</v>
          </cell>
          <cell r="AB4219" t="str">
            <v>24AAECK6307M1ZF</v>
          </cell>
        </row>
        <row r="4220">
          <cell r="D4220" t="str">
            <v>K.P. Woven Pvt Ltd-Sales</v>
          </cell>
          <cell r="AB4220" t="str">
            <v>24AAECK6307M1ZF</v>
          </cell>
        </row>
        <row r="4221">
          <cell r="D4221" t="str">
            <v>K.P. Woven Pvt Ltd-Sales</v>
          </cell>
          <cell r="AB4221" t="str">
            <v>24AAECK6307M1ZF</v>
          </cell>
        </row>
        <row r="4222">
          <cell r="D4222" t="str">
            <v>K.P. Woven Pvt Ltd-Sales</v>
          </cell>
          <cell r="AB4222" t="str">
            <v>24AAECK6307M1ZF</v>
          </cell>
        </row>
        <row r="4223">
          <cell r="D4223" t="str">
            <v>K.P. Woven Pvt Ltd-Sales</v>
          </cell>
          <cell r="AB4223" t="str">
            <v>24AAECK6307M1ZF</v>
          </cell>
        </row>
        <row r="4224">
          <cell r="D4224" t="str">
            <v>K.P. Woven Pvt Ltd-Sales</v>
          </cell>
          <cell r="AB4224" t="str">
            <v>24AAECK6307M1ZF</v>
          </cell>
        </row>
        <row r="4225">
          <cell r="D4225" t="str">
            <v>K.P. Woven Pvt Ltd-Sales</v>
          </cell>
          <cell r="AB4225" t="str">
            <v>24AAECK6307M1ZF</v>
          </cell>
        </row>
        <row r="4226">
          <cell r="D4226" t="str">
            <v>K.P. Woven Pvt Ltd-Sales</v>
          </cell>
          <cell r="AB4226" t="str">
            <v>24AAECK6307M1ZF</v>
          </cell>
        </row>
        <row r="4227">
          <cell r="D4227" t="str">
            <v>K.P. Woven Pvt Ltd-Sales</v>
          </cell>
          <cell r="AB4227" t="str">
            <v>24AAECK6307M1ZF</v>
          </cell>
        </row>
        <row r="4228">
          <cell r="D4228" t="str">
            <v>K.P. Woven Pvt Ltd-Sales</v>
          </cell>
          <cell r="AB4228" t="str">
            <v>24AAECK6307M1ZF</v>
          </cell>
        </row>
        <row r="4229">
          <cell r="D4229" t="str">
            <v>K.P. Woven Pvt Ltd-Sales</v>
          </cell>
          <cell r="AB4229" t="str">
            <v>24AAECK6307M1ZF</v>
          </cell>
        </row>
        <row r="4230">
          <cell r="D4230" t="str">
            <v>Oswal Extrusion Ltd- KASEZ-Sales</v>
          </cell>
          <cell r="AB4230" t="str">
            <v>24AAACO7290H4ZB</v>
          </cell>
        </row>
        <row r="4231">
          <cell r="D4231" t="str">
            <v>Oswal Extrusion Ltd- KASEZ-Sales</v>
          </cell>
          <cell r="AB4231" t="str">
            <v>24AAACO7290H4ZB</v>
          </cell>
        </row>
        <row r="4232">
          <cell r="D4232" t="str">
            <v>Plastene Polyfilms Ltd-Sales</v>
          </cell>
          <cell r="AB4232" t="str">
            <v>24AAFCP2956A1ZR</v>
          </cell>
        </row>
        <row r="4233">
          <cell r="D4233" t="str">
            <v>Plastene Polyfilms Ltd-Sales</v>
          </cell>
          <cell r="AB4233" t="str">
            <v>24AAFCP2956A1ZR</v>
          </cell>
        </row>
        <row r="4234">
          <cell r="D4234" t="str">
            <v>Plastene Polyfilms Ltd-Sales</v>
          </cell>
          <cell r="AB4234" t="str">
            <v>24AAFCP2956A1ZR</v>
          </cell>
        </row>
        <row r="4235">
          <cell r="D4235" t="str">
            <v>Plastene Polyfilms Ltd-Sales</v>
          </cell>
          <cell r="AB4235" t="str">
            <v>24AAFCP2956A1ZR</v>
          </cell>
        </row>
        <row r="4236">
          <cell r="D4236" t="str">
            <v>HCP Plastene Bulkpack Limited - Sales</v>
          </cell>
          <cell r="AB4236" t="str">
            <v>24AABCG1282C2Z6</v>
          </cell>
        </row>
        <row r="4237">
          <cell r="D4237" t="str">
            <v>HCP Plastene Bulkpack Limited - Sales</v>
          </cell>
          <cell r="AB4237" t="str">
            <v>24AABCG1282C2Z6</v>
          </cell>
        </row>
        <row r="4238">
          <cell r="D4238" t="str">
            <v>LC Packaging Netherlands Bv</v>
          </cell>
          <cell r="AB4238" t="str">
            <v>N.A.</v>
          </cell>
        </row>
        <row r="4239">
          <cell r="D4239" t="str">
            <v>Qpac Packaging LLP</v>
          </cell>
          <cell r="AB4239" t="str">
            <v>N.A.</v>
          </cell>
        </row>
        <row r="4240">
          <cell r="D4240" t="str">
            <v>K.P. Woven Pvt Ltd - Unit 3 -Sales</v>
          </cell>
          <cell r="AB4240" t="str">
            <v>24AAECK6307M2ZE</v>
          </cell>
        </row>
        <row r="4241">
          <cell r="D4241" t="str">
            <v>K.P. Woven Pvt Ltd - Unit 3 -Sales</v>
          </cell>
          <cell r="AB4241" t="str">
            <v>24AAECK6307M2ZE</v>
          </cell>
        </row>
        <row r="4242">
          <cell r="D4242" t="str">
            <v>K.P. Woven Pvt Ltd-Sales</v>
          </cell>
          <cell r="AB4242" t="str">
            <v>24AAECK6307M1ZF</v>
          </cell>
        </row>
        <row r="4243">
          <cell r="D4243" t="str">
            <v>Rafia Industrial S.A.</v>
          </cell>
          <cell r="AB4243" t="str">
            <v>N.A.</v>
          </cell>
        </row>
        <row r="4244">
          <cell r="D4244" t="str">
            <v>K.P. Woven Pvt Ltd-Sales</v>
          </cell>
          <cell r="AB4244" t="str">
            <v>24AAECK6307M1ZF</v>
          </cell>
        </row>
        <row r="4245">
          <cell r="D4245" t="str">
            <v>K.P. Woven Pvt Ltd-Sales</v>
          </cell>
          <cell r="AB4245" t="str">
            <v>24AAECK6307M1ZF</v>
          </cell>
        </row>
        <row r="4246">
          <cell r="D4246" t="str">
            <v>K.P. Woven Pvt Ltd-Sales</v>
          </cell>
          <cell r="AB4246" t="str">
            <v>24AAECK6307M1ZF</v>
          </cell>
        </row>
        <row r="4247">
          <cell r="D4247" t="str">
            <v>K.P. Woven Pvt Ltd-Sales</v>
          </cell>
          <cell r="AB4247" t="str">
            <v>24AAECK6307M1ZF</v>
          </cell>
        </row>
        <row r="4248">
          <cell r="D4248" t="str">
            <v>K.P. Woven Pvt Ltd-Sales</v>
          </cell>
          <cell r="AB4248" t="str">
            <v>24AAECK6307M1ZF</v>
          </cell>
        </row>
        <row r="4249">
          <cell r="D4249" t="str">
            <v>K.P. Woven Pvt Ltd-Sales</v>
          </cell>
          <cell r="AB4249" t="str">
            <v>24AAECK6307M1ZF</v>
          </cell>
        </row>
        <row r="4250">
          <cell r="D4250" t="str">
            <v>K.P. Woven Pvt Ltd-Sales</v>
          </cell>
          <cell r="AB4250" t="str">
            <v>24AAECK6307M1ZF</v>
          </cell>
        </row>
        <row r="4251">
          <cell r="D4251" t="str">
            <v>K.P. Woven Pvt Ltd-Sales</v>
          </cell>
          <cell r="AB4251" t="str">
            <v>24AAECK6307M1ZF</v>
          </cell>
        </row>
        <row r="4252">
          <cell r="D4252" t="str">
            <v>K.P. Woven Pvt Ltd-Sales</v>
          </cell>
          <cell r="AB4252" t="str">
            <v>24AAECK6307M1ZF</v>
          </cell>
        </row>
        <row r="4253">
          <cell r="D4253" t="str">
            <v>K.P. Woven Pvt Ltd-Sales</v>
          </cell>
          <cell r="AB4253" t="str">
            <v>24AAECK6307M1ZF</v>
          </cell>
        </row>
        <row r="4254">
          <cell r="D4254" t="str">
            <v>K.P. Woven Pvt Ltd-Sales</v>
          </cell>
          <cell r="AB4254" t="str">
            <v>24AAECK6307M1ZF</v>
          </cell>
        </row>
        <row r="4255">
          <cell r="D4255" t="str">
            <v>K.P. Woven Pvt Ltd-Sales</v>
          </cell>
          <cell r="AB4255" t="str">
            <v>24AAECK6307M1ZF</v>
          </cell>
        </row>
        <row r="4256">
          <cell r="D4256" t="str">
            <v>K.P. Woven Pvt Ltd-Sales</v>
          </cell>
          <cell r="AB4256" t="str">
            <v>24AAECK6307M1ZF</v>
          </cell>
        </row>
        <row r="4257">
          <cell r="D4257" t="str">
            <v xml:space="preserve">Town &amp; Country Aggregates </v>
          </cell>
          <cell r="AB4257" t="str">
            <v>N.A.</v>
          </cell>
        </row>
        <row r="4258">
          <cell r="D4258" t="str">
            <v>K.P. Woven Pvt Ltd - Unit 3 -Sales</v>
          </cell>
          <cell r="AB4258" t="str">
            <v>24AAECK6307M2ZE</v>
          </cell>
        </row>
        <row r="4259">
          <cell r="D4259" t="str">
            <v>K.P. Woven Pvt Ltd - Unit 3 -Sales</v>
          </cell>
          <cell r="AB4259" t="str">
            <v>24AAECK6307M2ZE</v>
          </cell>
        </row>
        <row r="4260">
          <cell r="D4260" t="str">
            <v>K.P. Woven Pvt Ltd-Sales</v>
          </cell>
          <cell r="AB4260" t="str">
            <v>24AAECK6307M1ZF</v>
          </cell>
        </row>
        <row r="4261">
          <cell r="D4261" t="str">
            <v>K.P. Woven Pvt Ltd-Sales</v>
          </cell>
          <cell r="AB4261" t="str">
            <v>24AAECK6307M1ZF</v>
          </cell>
        </row>
        <row r="4262">
          <cell r="D4262" t="str">
            <v>K.P. Woven Pvt Ltd-Sales</v>
          </cell>
          <cell r="AB4262" t="str">
            <v>24AAECK6307M1ZF</v>
          </cell>
        </row>
        <row r="4263">
          <cell r="D4263" t="str">
            <v>K.P. Woven Pvt Ltd-Sales</v>
          </cell>
          <cell r="AB4263" t="str">
            <v>24AAECK6307M1ZF</v>
          </cell>
        </row>
        <row r="4264">
          <cell r="D4264" t="str">
            <v>K.P. Woven Pvt Ltd-Sales</v>
          </cell>
          <cell r="AB4264" t="str">
            <v>24AAECK6307M1ZF</v>
          </cell>
        </row>
        <row r="4265">
          <cell r="D4265" t="str">
            <v>K.P. Woven Pvt Ltd-Sales</v>
          </cell>
          <cell r="AB4265" t="str">
            <v>24AAECK6307M1ZF</v>
          </cell>
        </row>
        <row r="4266">
          <cell r="D4266" t="str">
            <v>K.P. Woven Pvt Ltd-Sales</v>
          </cell>
          <cell r="AB4266" t="str">
            <v>24AAECK6307M1ZF</v>
          </cell>
        </row>
        <row r="4267">
          <cell r="D4267" t="str">
            <v>HCP Plastene Bulkpack Limited - Sales</v>
          </cell>
          <cell r="AB4267" t="str">
            <v>24AABCG1282C2Z6</v>
          </cell>
        </row>
        <row r="4268">
          <cell r="D4268" t="str">
            <v>HCP Plastene Bulkpack Limited - Sales</v>
          </cell>
          <cell r="AB4268" t="str">
            <v>24AABCG1282C2Z6</v>
          </cell>
        </row>
        <row r="4269">
          <cell r="D4269" t="str">
            <v>K.P. Woven Pvt Ltd - Unit 3 -Sales</v>
          </cell>
          <cell r="AB4269" t="str">
            <v>24AAECK6307M2ZE</v>
          </cell>
        </row>
        <row r="4270">
          <cell r="D4270" t="str">
            <v>HCP Plastene Bulkpack Limited - Sales</v>
          </cell>
          <cell r="AB4270" t="str">
            <v>24AABCG1282C2Z6</v>
          </cell>
        </row>
        <row r="4271">
          <cell r="D4271" t="str">
            <v>K.P. Woven Pvt Ltd - Unit 3 -Sales</v>
          </cell>
          <cell r="AB4271" t="str">
            <v>24AAECK6307M2ZE</v>
          </cell>
        </row>
        <row r="4272">
          <cell r="D4272" t="str">
            <v>K.P. Woven Pvt Ltd - Unit 3 -Sales</v>
          </cell>
          <cell r="AB4272" t="str">
            <v>24AAECK6307M2ZE</v>
          </cell>
        </row>
        <row r="4273">
          <cell r="D4273" t="str">
            <v>K.P. Woven Pvt Ltd-Sales</v>
          </cell>
          <cell r="AB4273" t="str">
            <v>24AAECK6307M1ZF</v>
          </cell>
        </row>
        <row r="4274">
          <cell r="D4274" t="str">
            <v>HCP Plastene Bulkpack Limited - Sales</v>
          </cell>
          <cell r="AB4274" t="str">
            <v>24AABCG1282C2Z6</v>
          </cell>
        </row>
        <row r="4275">
          <cell r="D4275" t="str">
            <v>K.P. Woven Pvt Ltd - Unit 3 -Sales</v>
          </cell>
          <cell r="AB4275" t="str">
            <v>24AAECK6307M2ZE</v>
          </cell>
        </row>
        <row r="4276">
          <cell r="D4276" t="str">
            <v>K.P. Woven Pvt Ltd - Unit 3 -Sales</v>
          </cell>
          <cell r="AB4276" t="str">
            <v>24AAECK6307M2ZE</v>
          </cell>
        </row>
        <row r="4277">
          <cell r="D4277" t="str">
            <v>Polypak Plastene Ltd</v>
          </cell>
          <cell r="AB4277" t="str">
            <v>N.A.</v>
          </cell>
        </row>
        <row r="4278">
          <cell r="D4278" t="str">
            <v>Rafia Industrial S.A.</v>
          </cell>
          <cell r="AB4278" t="str">
            <v>N.A.</v>
          </cell>
        </row>
        <row r="4279">
          <cell r="D4279" t="str">
            <v>Rafia Industrial S.A.</v>
          </cell>
          <cell r="AB4279" t="str">
            <v>N.A.</v>
          </cell>
        </row>
        <row r="4280">
          <cell r="D4280" t="str">
            <v>Rafia Industrial S.A.</v>
          </cell>
          <cell r="AB4280" t="str">
            <v>N.A.</v>
          </cell>
        </row>
        <row r="4281">
          <cell r="D4281" t="str">
            <v>K.P. Woven Pvt Ltd - Unit 3 -Sales</v>
          </cell>
          <cell r="AB4281" t="str">
            <v>24AAECK6307M2ZE</v>
          </cell>
        </row>
        <row r="4282">
          <cell r="D4282" t="str">
            <v>K.P. Woven Pvt Ltd - Unit 3 -Sales</v>
          </cell>
          <cell r="AB4282" t="str">
            <v>24AAECK6307M2ZE</v>
          </cell>
        </row>
        <row r="4283">
          <cell r="D4283" t="str">
            <v>K.P. Woven Pvt Ltd-Sales</v>
          </cell>
          <cell r="AB4283" t="str">
            <v>24AAECK6307M1ZF</v>
          </cell>
        </row>
        <row r="4284">
          <cell r="D4284" t="str">
            <v>K.P. Woven Pvt Ltd-Sales</v>
          </cell>
          <cell r="AB4284" t="str">
            <v>24AAECK6307M1ZF</v>
          </cell>
        </row>
        <row r="4285">
          <cell r="D4285" t="str">
            <v>K.P. Woven Pvt Ltd-Sales</v>
          </cell>
          <cell r="AB4285" t="str">
            <v>24AAECK6307M1ZF</v>
          </cell>
        </row>
        <row r="4286">
          <cell r="D4286" t="str">
            <v>Qpac Packaging LLP</v>
          </cell>
          <cell r="AB4286" t="str">
            <v>N.A.</v>
          </cell>
        </row>
        <row r="4287">
          <cell r="D4287" t="str">
            <v>K.P. Woven Pvt Ltd - Unit 3 -Sales</v>
          </cell>
          <cell r="AB4287" t="str">
            <v>24AAECK6307M2ZE</v>
          </cell>
        </row>
        <row r="4288">
          <cell r="D4288" t="str">
            <v>K.P. Woven Pvt Ltd - Unit 3 -Sales</v>
          </cell>
          <cell r="AB4288" t="str">
            <v>24AAECK6307M2ZE</v>
          </cell>
        </row>
        <row r="4289">
          <cell r="D4289" t="str">
            <v>K.P. Woven Pvt Ltd - Unit 3 -Sales</v>
          </cell>
          <cell r="AB4289" t="str">
            <v>24AAECK6307M2ZE</v>
          </cell>
        </row>
        <row r="4290">
          <cell r="D4290" t="str">
            <v>K.P. Woven Pvt Ltd-Sales</v>
          </cell>
          <cell r="AB4290" t="str">
            <v>24AAECK6307M1ZF</v>
          </cell>
        </row>
        <row r="4291">
          <cell r="D4291" t="str">
            <v>K.P. Woven Pvt Ltd-Sales</v>
          </cell>
          <cell r="AB4291" t="str">
            <v>24AAECK6307M1ZF</v>
          </cell>
        </row>
        <row r="4292">
          <cell r="D4292" t="str">
            <v>K.P. Woven Pvt Ltd-Sales</v>
          </cell>
          <cell r="AB4292" t="str">
            <v>24AAECK6307M1ZF</v>
          </cell>
        </row>
        <row r="4293">
          <cell r="D4293" t="str">
            <v>Rafia Industrial S.A.</v>
          </cell>
          <cell r="AB4293" t="str">
            <v>N.A.</v>
          </cell>
        </row>
        <row r="4294">
          <cell r="D4294" t="str">
            <v>HCP Plastene Bulkpack Limited - Sales</v>
          </cell>
          <cell r="AB4294" t="str">
            <v>24AABCG1282C2Z6</v>
          </cell>
        </row>
        <row r="4295">
          <cell r="D4295" t="str">
            <v>HCP Plastene Bulkpack Limited - Sales</v>
          </cell>
          <cell r="AB4295" t="str">
            <v>24AABCG1282C2Z6</v>
          </cell>
        </row>
        <row r="4296">
          <cell r="D4296" t="str">
            <v>HCP Plastene Bulkpack Limited - Sales</v>
          </cell>
          <cell r="AB4296" t="str">
            <v>24AABCG1282C2Z6</v>
          </cell>
        </row>
        <row r="4297">
          <cell r="D4297" t="str">
            <v>HCP Plastene Bulkpack Limited - Sales</v>
          </cell>
          <cell r="AB4297" t="str">
            <v>24AABCG1282C2Z6</v>
          </cell>
        </row>
        <row r="4298">
          <cell r="D4298" t="str">
            <v>HCP Plastene Bulkpack Limited - Sales</v>
          </cell>
          <cell r="AB4298" t="str">
            <v>24AABCG1282C2Z6</v>
          </cell>
        </row>
        <row r="4299">
          <cell r="D4299" t="str">
            <v>HCP Plastene Bulkpack Limited - Sales</v>
          </cell>
          <cell r="AB4299" t="str">
            <v>24AABCG1282C2Z6</v>
          </cell>
        </row>
        <row r="4300">
          <cell r="D4300" t="str">
            <v>HCP Plastene Bulkpack Limited - Sales</v>
          </cell>
          <cell r="AB4300" t="str">
            <v>24AABCG1282C2Z6</v>
          </cell>
        </row>
        <row r="4301">
          <cell r="D4301" t="str">
            <v>K.P. Woven Pvt Ltd - Unit 3 -Sales</v>
          </cell>
          <cell r="AB4301" t="str">
            <v>24AAECK6307M2ZE</v>
          </cell>
        </row>
        <row r="4302">
          <cell r="D4302" t="str">
            <v>K.P. Woven Pvt Ltd - Unit 3 -Sales</v>
          </cell>
          <cell r="AB4302" t="str">
            <v>24AAECK6307M2ZE</v>
          </cell>
        </row>
        <row r="4303">
          <cell r="D4303" t="str">
            <v>Louis Blockx Nv</v>
          </cell>
          <cell r="AB4303" t="str">
            <v>N.A.</v>
          </cell>
        </row>
        <row r="4304">
          <cell r="D4304" t="str">
            <v>HCP Plastene Bulkpack Limited - Sales</v>
          </cell>
          <cell r="AB4304" t="str">
            <v>24AABCG1282C2Z6</v>
          </cell>
        </row>
        <row r="4305">
          <cell r="D4305" t="str">
            <v>HCP Plastene Bulkpack Limited - Sales</v>
          </cell>
          <cell r="AB4305" t="str">
            <v>24AABCG1282C2Z6</v>
          </cell>
        </row>
        <row r="4306">
          <cell r="D4306" t="str">
            <v>K.P. Woven Pvt Ltd - Unit 3 -Sales</v>
          </cell>
          <cell r="AB4306" t="str">
            <v>24AAECK6307M2ZE</v>
          </cell>
        </row>
        <row r="4307">
          <cell r="D4307" t="str">
            <v>K.P. Woven Pvt Ltd - Unit 3 -Sales</v>
          </cell>
          <cell r="AB4307" t="str">
            <v>24AAECK6307M2ZE</v>
          </cell>
        </row>
        <row r="4308">
          <cell r="D4308" t="str">
            <v>K.P. Woven Pvt Ltd-Sales</v>
          </cell>
          <cell r="AB4308" t="str">
            <v>24AAECK6307M1ZF</v>
          </cell>
        </row>
        <row r="4309">
          <cell r="D4309" t="str">
            <v>Rafia Industrial S.A.</v>
          </cell>
          <cell r="AB4309" t="str">
            <v>N.A.</v>
          </cell>
        </row>
        <row r="4310">
          <cell r="D4310" t="str">
            <v>Rafia Industrial S.A.</v>
          </cell>
          <cell r="AB4310" t="str">
            <v>N.A.</v>
          </cell>
        </row>
        <row r="4311">
          <cell r="D4311" t="str">
            <v>K.P. Woven Pvt Ltd - Unit 3 -Sales</v>
          </cell>
          <cell r="AB4311" t="str">
            <v>24AAECK6307M2ZE</v>
          </cell>
        </row>
        <row r="4312">
          <cell r="D4312" t="str">
            <v>K.P. Woven Pvt Ltd - Unit 3 -Sales</v>
          </cell>
          <cell r="AB4312" t="str">
            <v>24AAECK6307M2ZE</v>
          </cell>
        </row>
        <row r="4313">
          <cell r="D4313" t="str">
            <v>Polypak Plastene Ltd</v>
          </cell>
          <cell r="AB4313" t="str">
            <v>N.A.</v>
          </cell>
        </row>
        <row r="4314">
          <cell r="D4314" t="str">
            <v>K.P. Woven Pvt Ltd-Sales</v>
          </cell>
          <cell r="AB4314" t="str">
            <v>24AAECK6307M1ZF</v>
          </cell>
        </row>
        <row r="4315">
          <cell r="D4315" t="str">
            <v>K.P. Woven Pvt Ltd-Sales</v>
          </cell>
          <cell r="AB4315" t="str">
            <v>24AAECK6307M1ZF</v>
          </cell>
        </row>
        <row r="4316">
          <cell r="D4316" t="str">
            <v>K.P. Woven Pvt Ltd-Sales</v>
          </cell>
          <cell r="AB4316" t="str">
            <v>24AAECK6307M1ZF</v>
          </cell>
        </row>
        <row r="4317">
          <cell r="D4317" t="str">
            <v>K.P. Woven Pvt Ltd-Sales</v>
          </cell>
          <cell r="AB4317" t="str">
            <v>24AAECK6307M1ZF</v>
          </cell>
        </row>
        <row r="4318">
          <cell r="D4318" t="str">
            <v>K.P. Woven Pvt Ltd-Sales</v>
          </cell>
          <cell r="AB4318" t="str">
            <v>24AAECK6307M1ZF</v>
          </cell>
        </row>
        <row r="4319">
          <cell r="D4319" t="str">
            <v>K.P. Woven Pvt Ltd - Unit 3 -Sales</v>
          </cell>
          <cell r="AB4319" t="str">
            <v>24AAECK6307M2ZE</v>
          </cell>
        </row>
        <row r="4320">
          <cell r="D4320" t="str">
            <v>K.P. Woven Pvt Ltd-Sales</v>
          </cell>
          <cell r="AB4320" t="str">
            <v>24AAECK6307M1ZF</v>
          </cell>
        </row>
        <row r="4321">
          <cell r="D4321" t="str">
            <v>Plastene Polyfilms Ltd-Sales</v>
          </cell>
          <cell r="AB4321" t="str">
            <v>24AAFCP2956A1ZR</v>
          </cell>
        </row>
        <row r="4322">
          <cell r="D4322" t="str">
            <v>Plastene Polyfilms Ltd-Sales</v>
          </cell>
          <cell r="AB4322" t="str">
            <v>24AAFCP2956A1ZR</v>
          </cell>
        </row>
        <row r="4323">
          <cell r="D4323" t="str">
            <v>K.P. Woven Pvt Ltd - Unit 3 -Sales</v>
          </cell>
          <cell r="AB4323" t="str">
            <v>24AAECK6307M2ZE</v>
          </cell>
        </row>
        <row r="4324">
          <cell r="D4324" t="str">
            <v>K.P. Woven Pvt Ltd - Unit 3 -Sales</v>
          </cell>
          <cell r="AB4324" t="str">
            <v>24AAECK6307M2ZE</v>
          </cell>
        </row>
        <row r="4325">
          <cell r="D4325" t="str">
            <v>K.P. Woven Pvt Ltd - Unit 3 -Sales</v>
          </cell>
          <cell r="AB4325" t="str">
            <v>24AAECK6307M2ZE</v>
          </cell>
        </row>
        <row r="4326">
          <cell r="D4326" t="str">
            <v>Plastene Polyfilms Ltd-Sales</v>
          </cell>
          <cell r="AB4326" t="str">
            <v>24AAFCP2956A1ZR</v>
          </cell>
        </row>
        <row r="4327">
          <cell r="D4327" t="str">
            <v>Plastene Polyfilms Ltd-Sales</v>
          </cell>
          <cell r="AB4327" t="str">
            <v>24AAFCP2956A1ZR</v>
          </cell>
        </row>
        <row r="4328">
          <cell r="D4328" t="str">
            <v>Plastene Polyfilms Ltd-Sales</v>
          </cell>
          <cell r="AB4328" t="str">
            <v>24AAFCP2956A1ZR</v>
          </cell>
        </row>
        <row r="4329">
          <cell r="D4329" t="str">
            <v>K.P. Woven Pvt Ltd - Unit 3 -Sales</v>
          </cell>
          <cell r="AB4329" t="str">
            <v>24AAECK6307M2ZE</v>
          </cell>
        </row>
        <row r="4330">
          <cell r="D4330" t="str">
            <v>K.P. Woven Pvt Ltd-Sales</v>
          </cell>
          <cell r="AB4330" t="str">
            <v>24AAECK6307M1ZF</v>
          </cell>
        </row>
        <row r="4331">
          <cell r="D4331" t="str">
            <v>Rafia Industrial S.A.</v>
          </cell>
          <cell r="AB4331" t="str">
            <v>N.A.</v>
          </cell>
        </row>
        <row r="4332">
          <cell r="D4332" t="str">
            <v>K.P. Woven Pvt Ltd - Unit 3 -Sales</v>
          </cell>
          <cell r="AB4332" t="str">
            <v>24AAECK6307M2ZE</v>
          </cell>
        </row>
        <row r="4333">
          <cell r="D4333" t="str">
            <v>K.P. Woven Pvt Ltd - Unit 3 -Sales</v>
          </cell>
          <cell r="AB4333" t="str">
            <v>24AAECK6307M2ZE</v>
          </cell>
        </row>
        <row r="4334">
          <cell r="D4334" t="str">
            <v>K.P. Woven Pvt Ltd - Unit 3 -Sales</v>
          </cell>
          <cell r="AB4334" t="str">
            <v>24AAECK6307M2ZE</v>
          </cell>
        </row>
        <row r="4335">
          <cell r="D4335" t="str">
            <v>K.P. Woven Pvt Ltd-Sales</v>
          </cell>
          <cell r="AB4335" t="str">
            <v>24AAECK6307M1ZF</v>
          </cell>
        </row>
        <row r="4336">
          <cell r="D4336" t="str">
            <v>K.P. Woven Pvt Ltd-Sales</v>
          </cell>
          <cell r="AB4336" t="str">
            <v>24AAECK6307M1ZF</v>
          </cell>
        </row>
        <row r="4337">
          <cell r="D4337" t="str">
            <v>K.P. Woven Pvt Ltd-Sales</v>
          </cell>
          <cell r="AB4337" t="str">
            <v>24AAECK6307M1ZF</v>
          </cell>
        </row>
        <row r="4338">
          <cell r="D4338" t="str">
            <v>Oswal Extrusion Ltd- KASEZ-Sales</v>
          </cell>
          <cell r="AB4338" t="str">
            <v>24AAACO7290H4ZB</v>
          </cell>
        </row>
        <row r="4339">
          <cell r="D4339" t="str">
            <v>K.P. Woven Pvt Ltd - Unit 3 -Sales</v>
          </cell>
          <cell r="AB4339" t="str">
            <v>24AAECK6307M2ZE</v>
          </cell>
        </row>
        <row r="4340">
          <cell r="D4340" t="str">
            <v>K.P. Woven Pvt Ltd - Unit 3 -Sales</v>
          </cell>
          <cell r="AB4340" t="str">
            <v>24AAECK6307M2ZE</v>
          </cell>
        </row>
        <row r="4341">
          <cell r="D4341" t="str">
            <v>K.P. Woven Pvt Ltd - Unit 3 -Sales</v>
          </cell>
          <cell r="AB4341" t="str">
            <v>24AAECK6307M2ZE</v>
          </cell>
        </row>
        <row r="4342">
          <cell r="D4342" t="str">
            <v>K.P. Woven Pvt Ltd - Unit 3 -Sales</v>
          </cell>
          <cell r="AB4342" t="str">
            <v>24AAECK6307M2ZE</v>
          </cell>
        </row>
        <row r="4343">
          <cell r="D4343" t="str">
            <v>K.P. Woven Pvt Ltd - Unit 3 -Sales</v>
          </cell>
          <cell r="AB4343" t="str">
            <v>24AAECK6307M2ZE</v>
          </cell>
        </row>
        <row r="4344">
          <cell r="D4344" t="str">
            <v>K.P. Woven Pvt Ltd-Sales</v>
          </cell>
          <cell r="AB4344" t="str">
            <v>24AAECK6307M1ZF</v>
          </cell>
        </row>
        <row r="4345">
          <cell r="D4345" t="str">
            <v>K.P. Woven Pvt Ltd-Sales</v>
          </cell>
          <cell r="AB4345" t="str">
            <v>24AAECK6307M1ZF</v>
          </cell>
        </row>
        <row r="4346">
          <cell r="D4346" t="str">
            <v>K.P. Woven Pvt Ltd-Sales</v>
          </cell>
          <cell r="AB4346" t="str">
            <v>24AAECK6307M1ZF</v>
          </cell>
        </row>
        <row r="4347">
          <cell r="D4347" t="str">
            <v>K.P. Woven Pvt Ltd - Unit 3 -Sales</v>
          </cell>
          <cell r="AB4347" t="str">
            <v>24AAECK6307M2ZE</v>
          </cell>
        </row>
        <row r="4348">
          <cell r="D4348" t="str">
            <v>K.P. Woven Pvt Ltd - Unit 3 -Sales</v>
          </cell>
          <cell r="AB4348" t="str">
            <v>24AAECK6307M2ZE</v>
          </cell>
        </row>
        <row r="4349">
          <cell r="D4349" t="str">
            <v>Qpac Packaging LLP</v>
          </cell>
          <cell r="AB4349" t="str">
            <v>N.A.</v>
          </cell>
        </row>
        <row r="4350">
          <cell r="D4350" t="str">
            <v>Rafia Industrial S.A.</v>
          </cell>
          <cell r="AB4350" t="str">
            <v>N.A.</v>
          </cell>
        </row>
        <row r="4351">
          <cell r="D4351" t="str">
            <v>Rafia Industrial S.A.</v>
          </cell>
          <cell r="AB4351" t="str">
            <v>N.A.</v>
          </cell>
        </row>
        <row r="4352">
          <cell r="D4352" t="str">
            <v>Rafia Industrial S.A.</v>
          </cell>
          <cell r="AB4352" t="str">
            <v>N.A.</v>
          </cell>
        </row>
        <row r="4353">
          <cell r="D4353" t="str">
            <v>K.P. Woven Pvt Ltd - Unit 3 -Sales</v>
          </cell>
          <cell r="AB4353" t="str">
            <v>24AAECK6307M2ZE</v>
          </cell>
        </row>
        <row r="4354">
          <cell r="D4354" t="str">
            <v>K.P. Woven Pvt Ltd-Sales</v>
          </cell>
          <cell r="AB4354" t="str">
            <v>24AAECK6307M1ZF</v>
          </cell>
        </row>
        <row r="4355">
          <cell r="D4355" t="str">
            <v>LC Packaging Netherlands Bv</v>
          </cell>
          <cell r="AB4355" t="str">
            <v>N.A.</v>
          </cell>
        </row>
        <row r="4356">
          <cell r="D4356" t="str">
            <v>Plastene Polyfilms Ltd-Sales</v>
          </cell>
          <cell r="AB4356" t="str">
            <v>24AAFCP2956A1ZR</v>
          </cell>
        </row>
        <row r="4357">
          <cell r="D4357" t="str">
            <v>FPS Flexibles Irelands Ltd</v>
          </cell>
          <cell r="AB4357" t="str">
            <v>N.A.</v>
          </cell>
        </row>
        <row r="4358">
          <cell r="D4358" t="str">
            <v>K.P. Woven Pvt Ltd - Unit 3 -Sales</v>
          </cell>
          <cell r="AB4358" t="str">
            <v>24AAECK6307M2ZE</v>
          </cell>
        </row>
        <row r="4359">
          <cell r="D4359" t="str">
            <v>K.P. Woven Pvt Ltd-Sales</v>
          </cell>
          <cell r="AB4359" t="str">
            <v>24AAECK6307M1ZF</v>
          </cell>
        </row>
        <row r="4360">
          <cell r="D4360" t="str">
            <v>K.P. Woven Pvt Ltd-Sales</v>
          </cell>
          <cell r="AB4360" t="str">
            <v>24AAECK6307M1ZF</v>
          </cell>
        </row>
        <row r="4361">
          <cell r="D4361" t="str">
            <v>K.P. Woven Pvt Ltd-Sales</v>
          </cell>
          <cell r="AB4361" t="str">
            <v>24AAECK6307M1ZF</v>
          </cell>
        </row>
        <row r="4362">
          <cell r="D4362" t="str">
            <v>K.P. Woven Pvt Ltd - Unit 3 -Sales</v>
          </cell>
          <cell r="AB4362" t="str">
            <v>24AAECK6307M2ZE</v>
          </cell>
        </row>
        <row r="4363">
          <cell r="D4363" t="str">
            <v>Plastene Polyfilms Ltd-Sales</v>
          </cell>
          <cell r="AB4363" t="str">
            <v>24AAFCP2956A1ZR</v>
          </cell>
        </row>
        <row r="4364">
          <cell r="D4364" t="str">
            <v>K.P. Woven Pvt Ltd - Unit 3 -Sales</v>
          </cell>
          <cell r="AB4364" t="str">
            <v>24AAECK6307M2ZE</v>
          </cell>
        </row>
        <row r="4365">
          <cell r="D4365" t="str">
            <v>Rafia Industrial S.A.</v>
          </cell>
          <cell r="AB4365" t="str">
            <v>N.A.</v>
          </cell>
        </row>
        <row r="4366">
          <cell r="D4366" t="str">
            <v>K.P. Woven Pvt Ltd-Sales</v>
          </cell>
          <cell r="AB4366" t="str">
            <v>24AAECK6307M1ZF</v>
          </cell>
        </row>
        <row r="4367">
          <cell r="D4367" t="str">
            <v>K.P. Woven Pvt Ltd-Sales</v>
          </cell>
          <cell r="AB4367" t="str">
            <v>24AAECK6307M1ZF</v>
          </cell>
        </row>
        <row r="4368">
          <cell r="D4368" t="str">
            <v>K.P. Woven Pvt Ltd-Sales</v>
          </cell>
          <cell r="AB4368" t="str">
            <v>24AAECK6307M1ZF</v>
          </cell>
        </row>
        <row r="4369">
          <cell r="D4369" t="str">
            <v>K.P. Woven Pvt Ltd-Sales</v>
          </cell>
          <cell r="AB4369" t="str">
            <v>24AAECK6307M1ZF</v>
          </cell>
        </row>
        <row r="4370">
          <cell r="D4370" t="str">
            <v>Rafia Industrial S.A.</v>
          </cell>
          <cell r="AB4370" t="str">
            <v>N.A.</v>
          </cell>
        </row>
        <row r="4371">
          <cell r="D4371" t="str">
            <v>Rafia Industrial S.A.</v>
          </cell>
          <cell r="AB4371" t="str">
            <v>N.A.</v>
          </cell>
        </row>
        <row r="4372">
          <cell r="D4372" t="str">
            <v>Plastene Polyfilms Ltd-Sales</v>
          </cell>
          <cell r="AB4372" t="str">
            <v>24AAFCP2956A1ZR</v>
          </cell>
        </row>
        <row r="4373">
          <cell r="D4373" t="str">
            <v>K.P. Woven Pvt Ltd - Unit 3 -Sales</v>
          </cell>
          <cell r="AB4373" t="str">
            <v>24AAECK6307M2ZE</v>
          </cell>
        </row>
        <row r="4374">
          <cell r="D4374" t="str">
            <v>Rafia Industrial S.A.</v>
          </cell>
          <cell r="AB4374" t="str">
            <v>N.A.</v>
          </cell>
        </row>
        <row r="4375">
          <cell r="D4375" t="str">
            <v>Plastene Polyfilms Ltd-Sales</v>
          </cell>
          <cell r="AB4375" t="str">
            <v>24AAFCP2956A1ZR</v>
          </cell>
        </row>
        <row r="4376">
          <cell r="D4376" t="str">
            <v>K.P. Woven Pvt Ltd - Unit 3 -Sales</v>
          </cell>
          <cell r="AB4376" t="str">
            <v>24AAECK6307M2ZE</v>
          </cell>
        </row>
        <row r="4377">
          <cell r="D4377" t="str">
            <v>K.P. Woven Pvt Ltd - Unit 3 -Sales</v>
          </cell>
          <cell r="AB4377" t="str">
            <v>24AAECK6307M2ZE</v>
          </cell>
        </row>
        <row r="4378">
          <cell r="D4378" t="str">
            <v>K.P. Woven Pvt Ltd - Unit 3 -Sales</v>
          </cell>
          <cell r="AB4378" t="str">
            <v>24AAECK6307M2ZE</v>
          </cell>
        </row>
        <row r="4379">
          <cell r="D4379" t="str">
            <v>Louis Blockx Nv</v>
          </cell>
          <cell r="AB4379" t="str">
            <v>N.A.</v>
          </cell>
        </row>
        <row r="4380">
          <cell r="D4380" t="str">
            <v>Rafia Industrial S.A.</v>
          </cell>
          <cell r="AB4380" t="str">
            <v>N.A.</v>
          </cell>
        </row>
        <row r="4381">
          <cell r="D4381" t="str">
            <v>K.P. Woven Pvt Ltd - Unit 3 -Sales</v>
          </cell>
          <cell r="AB4381" t="str">
            <v>24AAECK6307M2ZE</v>
          </cell>
        </row>
        <row r="4382">
          <cell r="D4382" t="str">
            <v>K.P. Woven Pvt Ltd - Unit 3 -Sales</v>
          </cell>
          <cell r="AB4382" t="str">
            <v>24AAECK6307M2ZE</v>
          </cell>
        </row>
        <row r="4383">
          <cell r="D4383" t="str">
            <v>K.P. Woven Pvt Ltd - Unit 3 -Sales</v>
          </cell>
          <cell r="AB4383" t="str">
            <v>24AAECK6307M2ZE</v>
          </cell>
        </row>
        <row r="4384">
          <cell r="D4384" t="str">
            <v>Hcp Plastene Bulkpack Ltd (Unit Iv) - Sales</v>
          </cell>
          <cell r="AB4384" t="str">
            <v>24AABCG1282C2Z6</v>
          </cell>
        </row>
        <row r="4385">
          <cell r="D4385" t="str">
            <v>Hcp Plastene Bulkpack Ltd (Unit Iv) - Sales</v>
          </cell>
          <cell r="AB4385" t="str">
            <v>24AABCG1282C2Z6</v>
          </cell>
        </row>
        <row r="4386">
          <cell r="D4386" t="str">
            <v>Hcp Plastene Bulkpack Ltd (Unit Iv) - Sales</v>
          </cell>
          <cell r="AB4386" t="str">
            <v>24AABCG1282C2Z6</v>
          </cell>
        </row>
        <row r="4387">
          <cell r="D4387" t="str">
            <v>Hcp Plastene Bulkpack Ltd (Unit Iv) - Sales</v>
          </cell>
          <cell r="AB4387" t="str">
            <v>24AABCG1282C2Z6</v>
          </cell>
        </row>
        <row r="4388">
          <cell r="D4388" t="str">
            <v>Hcp Plastene Bulkpack Ltd (Unit Iv) - Sales</v>
          </cell>
          <cell r="AB4388" t="str">
            <v>24AABCG1282C2Z6</v>
          </cell>
        </row>
        <row r="4389">
          <cell r="D4389" t="str">
            <v>Hcp Plastene Bulkpack Ltd (Unit Iv) - Sales</v>
          </cell>
          <cell r="AB4389" t="str">
            <v>24AABCG1282C2Z6</v>
          </cell>
        </row>
        <row r="4390">
          <cell r="D4390" t="str">
            <v>Hcp Plastene Bulkpack Ltd (Unit Iv) - Sales</v>
          </cell>
          <cell r="AB4390" t="str">
            <v>24AABCG1282C2Z6</v>
          </cell>
        </row>
        <row r="4391">
          <cell r="D4391" t="str">
            <v>Hcp Plastene Bulkpack Ltd (Unit Iv) - Sales</v>
          </cell>
          <cell r="AB4391" t="str">
            <v>24AABCG1282C2Z6</v>
          </cell>
        </row>
        <row r="4392">
          <cell r="D4392" t="str">
            <v>Hcp Plastene Bulkpack Ltd (Unit Iv) - Sales</v>
          </cell>
          <cell r="AB4392" t="str">
            <v>24AABCG1282C2Z6</v>
          </cell>
        </row>
        <row r="4393">
          <cell r="D4393" t="str">
            <v>Hcp Plastene Bulkpack Ltd (Unit Iv) - Sales</v>
          </cell>
          <cell r="AB4393" t="str">
            <v>24AABCG1282C2Z6</v>
          </cell>
        </row>
        <row r="4394">
          <cell r="D4394" t="str">
            <v>Hcp Plastene Bulkpack Ltd (Unit Iv) - Sales</v>
          </cell>
          <cell r="AB4394" t="str">
            <v>24AABCG1282C2Z6</v>
          </cell>
        </row>
        <row r="4395">
          <cell r="D4395" t="str">
            <v>Hcp Plastene Bulkpack Ltd (Unit Iv) - Sales</v>
          </cell>
          <cell r="AB4395" t="str">
            <v>24AABCG1282C2Z6</v>
          </cell>
        </row>
        <row r="4396">
          <cell r="D4396" t="str">
            <v>Hcp Plastene Bulkpack Ltd (Unit Iv) - Sales</v>
          </cell>
          <cell r="AB4396" t="str">
            <v>24AABCG1282C2Z6</v>
          </cell>
        </row>
        <row r="4397">
          <cell r="D4397" t="str">
            <v>Hcp Plastene Bulkpack Ltd (Unit Iv) - Sales</v>
          </cell>
          <cell r="AB4397" t="str">
            <v>24AABCG1282C2Z6</v>
          </cell>
        </row>
        <row r="4398">
          <cell r="D4398" t="str">
            <v>Hcp Plastene Bulkpack Ltd (Unit Iv) - Sales</v>
          </cell>
          <cell r="AB4398" t="str">
            <v>24AABCG1282C2Z6</v>
          </cell>
        </row>
        <row r="4399">
          <cell r="D4399" t="str">
            <v>Hcp Plastene Bulkpack Ltd (Unit Iv) - Sales</v>
          </cell>
          <cell r="AB4399" t="str">
            <v>24AABCG1282C2Z6</v>
          </cell>
        </row>
        <row r="4400">
          <cell r="D4400" t="str">
            <v>Hcp Plastene Bulkpack Ltd (Unit Iv) - Sales</v>
          </cell>
          <cell r="AB4400" t="str">
            <v>24AABCG1282C2Z6</v>
          </cell>
        </row>
        <row r="4401">
          <cell r="D4401" t="str">
            <v>Hcp Plastene Bulkpack Ltd (Unit Iv) - Sales</v>
          </cell>
          <cell r="AB4401" t="str">
            <v>24AABCG1282C2Z6</v>
          </cell>
        </row>
        <row r="4402">
          <cell r="D4402" t="str">
            <v>K.P. Woven Pvt Ltd-Sales</v>
          </cell>
          <cell r="AB4402" t="str">
            <v>24AAECK6307M1ZF</v>
          </cell>
        </row>
        <row r="4403">
          <cell r="D4403" t="str">
            <v>K.P. Woven Pvt Ltd-Sales</v>
          </cell>
          <cell r="AB4403" t="str">
            <v>24AAECK6307M1ZF</v>
          </cell>
        </row>
        <row r="4404">
          <cell r="D4404" t="str">
            <v>Rafia Industrial S.A.</v>
          </cell>
          <cell r="AB4404" t="str">
            <v>N.A.</v>
          </cell>
        </row>
        <row r="4405">
          <cell r="D4405" t="str">
            <v>Rafia Industrial S.A.</v>
          </cell>
          <cell r="AB4405" t="str">
            <v>N.A.</v>
          </cell>
        </row>
        <row r="4406">
          <cell r="D4406" t="str">
            <v>Hcp Plastene Bulkpack Ltd (Unit Iv) - Sales</v>
          </cell>
          <cell r="AB4406" t="str">
            <v>24AABCG1282C2Z6</v>
          </cell>
        </row>
        <row r="4407">
          <cell r="D4407" t="str">
            <v>Hcp Plastene Bulkpack Ltd (Unit Iv) - Sales</v>
          </cell>
          <cell r="AB4407" t="str">
            <v>24AABCG1282C2Z6</v>
          </cell>
        </row>
        <row r="4408">
          <cell r="D4408" t="str">
            <v>Hcp Plastene Bulkpack Ltd (Unit Iv) - Sales</v>
          </cell>
          <cell r="AB4408" t="str">
            <v>24AABCG1282C2Z6</v>
          </cell>
        </row>
        <row r="4409">
          <cell r="D4409" t="str">
            <v>Hcp Plastene Bulkpack Ltd (Unit Iv) - Sales</v>
          </cell>
          <cell r="AB4409" t="str">
            <v>24AABCG1282C2Z6</v>
          </cell>
        </row>
        <row r="4410">
          <cell r="D4410" t="str">
            <v>Hcp Plastene Bulkpack Ltd (Unit Iv) - Sales</v>
          </cell>
          <cell r="AB4410" t="str">
            <v>24AABCG1282C2Z6</v>
          </cell>
        </row>
        <row r="4411">
          <cell r="D4411" t="str">
            <v>Hcp Plastene Bulkpack Ltd (Unit Iv) - Sales</v>
          </cell>
          <cell r="AB4411" t="str">
            <v>24AABCG1282C2Z6</v>
          </cell>
        </row>
        <row r="4412">
          <cell r="D4412" t="str">
            <v>Hcp Plastene Bulkpack Ltd (Unit Iv) - Sales</v>
          </cell>
          <cell r="AB4412" t="str">
            <v>24AABCG1282C2Z6</v>
          </cell>
        </row>
        <row r="4413">
          <cell r="D4413" t="str">
            <v>Hcp Plastene Bulkpack Ltd (Unit Iv) - Sales</v>
          </cell>
          <cell r="AB4413" t="str">
            <v>24AABCG1282C2Z6</v>
          </cell>
        </row>
        <row r="4414">
          <cell r="D4414" t="str">
            <v>Hcp Plastene Bulkpack Ltd (Unit Iv) - Sales</v>
          </cell>
          <cell r="AB4414" t="str">
            <v>24AABCG1282C2Z6</v>
          </cell>
        </row>
        <row r="4415">
          <cell r="D4415" t="str">
            <v>Hcp Plastene Bulkpack Ltd (Unit Iv) - Sales</v>
          </cell>
          <cell r="AB4415" t="str">
            <v>24AABCG1282C2Z6</v>
          </cell>
        </row>
        <row r="4416">
          <cell r="D4416" t="str">
            <v>Hcp Plastene Bulkpack Ltd (Unit Iv) - Sales</v>
          </cell>
          <cell r="AB4416" t="str">
            <v>24AABCG1282C2Z6</v>
          </cell>
        </row>
        <row r="4417">
          <cell r="D4417" t="str">
            <v>Hcp Plastene Bulkpack Ltd (Unit Iv) - Sales</v>
          </cell>
          <cell r="AB4417" t="str">
            <v>24AABCG1282C2Z6</v>
          </cell>
        </row>
        <row r="4418">
          <cell r="D4418" t="str">
            <v>Hcp Plastene Bulkpack Ltd (Unit Iv) - Sales</v>
          </cell>
          <cell r="AB4418" t="str">
            <v>24AABCG1282C2Z6</v>
          </cell>
        </row>
        <row r="4419">
          <cell r="D4419" t="str">
            <v>Hcp Plastene Bulkpack Ltd (Unit Iv) - Sales</v>
          </cell>
          <cell r="AB4419" t="str">
            <v>24AABCG1282C2Z6</v>
          </cell>
        </row>
        <row r="4420">
          <cell r="D4420" t="str">
            <v>Hcp Plastene Bulkpack Ltd (Unit Iv) - Sales</v>
          </cell>
          <cell r="AB4420" t="str">
            <v>24AABCG1282C2Z6</v>
          </cell>
        </row>
        <row r="4421">
          <cell r="D4421" t="str">
            <v>Hcp Plastene Bulkpack Ltd (Unit Iv) - Sales</v>
          </cell>
          <cell r="AB4421" t="str">
            <v>24AABCG1282C2Z6</v>
          </cell>
        </row>
        <row r="4422">
          <cell r="D4422" t="str">
            <v>Hcp Plastene Bulkpack Ltd (Unit Iv) - Sales</v>
          </cell>
          <cell r="AB4422" t="str">
            <v>24AABCG1282C2Z6</v>
          </cell>
        </row>
        <row r="4423">
          <cell r="D4423" t="str">
            <v>Hcp Plastene Bulkpack Ltd (Unit Iv) - Sales</v>
          </cell>
          <cell r="AB4423" t="str">
            <v>24AABCG1282C2Z6</v>
          </cell>
        </row>
        <row r="4424">
          <cell r="D4424" t="str">
            <v>Hcp Plastene Bulkpack Ltd (Unit Iv) - Sales</v>
          </cell>
          <cell r="AB4424" t="str">
            <v>24AABCG1282C2Z6</v>
          </cell>
        </row>
        <row r="4425">
          <cell r="D4425" t="str">
            <v>Hcp Plastene Bulkpack Ltd (Unit Iv) - Sales</v>
          </cell>
          <cell r="AB4425" t="str">
            <v>24AABCG1282C2Z6</v>
          </cell>
        </row>
        <row r="4426">
          <cell r="D4426" t="str">
            <v>Hcp Plastene Bulkpack Ltd (Unit Iv) - Sales</v>
          </cell>
          <cell r="AB4426" t="str">
            <v>24AABCG1282C2Z6</v>
          </cell>
        </row>
        <row r="4427">
          <cell r="D4427" t="str">
            <v>Hcp Plastene Bulkpack Ltd (Unit Iv) - Sales</v>
          </cell>
          <cell r="AB4427" t="str">
            <v>24AABCG1282C2Z6</v>
          </cell>
        </row>
        <row r="4428">
          <cell r="D4428" t="str">
            <v>Hcp Plastene Bulkpack Ltd (Unit Iv) - Sales</v>
          </cell>
          <cell r="AB4428" t="str">
            <v>24AABCG1282C2Z6</v>
          </cell>
        </row>
        <row r="4429">
          <cell r="D4429" t="str">
            <v>Hcp Plastene Bulkpack Ltd (Unit Iv) - Sales</v>
          </cell>
          <cell r="AB4429" t="str">
            <v>24AABCG1282C2Z6</v>
          </cell>
        </row>
        <row r="4430">
          <cell r="D4430" t="str">
            <v>Hcp Plastene Bulkpack Ltd (Unit Iv) - Sales</v>
          </cell>
          <cell r="AB4430" t="str">
            <v>24AABCG1282C2Z6</v>
          </cell>
        </row>
        <row r="4431">
          <cell r="D4431" t="str">
            <v>Hcp Plastene Bulkpack Ltd (Unit Iv) - Sales</v>
          </cell>
          <cell r="AB4431" t="str">
            <v>24AABCG1282C2Z6</v>
          </cell>
        </row>
        <row r="4432">
          <cell r="D4432" t="str">
            <v>Hcp Plastene Bulkpack Ltd (Unit Iv) - Sales</v>
          </cell>
          <cell r="AB4432" t="str">
            <v>24AABCG1282C2Z6</v>
          </cell>
        </row>
        <row r="4433">
          <cell r="D4433" t="str">
            <v>Hcp Plastene Bulkpack Ltd (Unit Iv) - Sales</v>
          </cell>
          <cell r="AB4433" t="str">
            <v>24AABCG1282C2Z6</v>
          </cell>
        </row>
        <row r="4434">
          <cell r="D4434" t="str">
            <v>Hcp Plastene Bulkpack Ltd (Unit Iv) - Sales</v>
          </cell>
          <cell r="AB4434" t="str">
            <v>24AABCG1282C2Z6</v>
          </cell>
        </row>
        <row r="4435">
          <cell r="D4435" t="str">
            <v>Hcp Plastene Bulkpack Ltd (Unit Iv) - Sales</v>
          </cell>
          <cell r="AB4435" t="str">
            <v>24AABCG1282C2Z6</v>
          </cell>
        </row>
        <row r="4436">
          <cell r="D4436" t="str">
            <v>Hcp Plastene Bulkpack Ltd (Unit Iv) - Sales</v>
          </cell>
          <cell r="AB4436" t="str">
            <v>24AABCG1282C2Z6</v>
          </cell>
        </row>
        <row r="4437">
          <cell r="D4437" t="str">
            <v>Hcp Plastene Bulkpack Ltd (Unit Iv) - Sales</v>
          </cell>
          <cell r="AB4437" t="str">
            <v>24AABCG1282C2Z6</v>
          </cell>
        </row>
        <row r="4438">
          <cell r="D4438" t="str">
            <v>Plastene Polyfilms Ltd-Sales</v>
          </cell>
          <cell r="AB4438" t="str">
            <v>24AAFCP2956A1ZR</v>
          </cell>
        </row>
        <row r="4439">
          <cell r="D4439" t="str">
            <v>Hcp Plastene Bulkpack Ltd (Unit Iv) - Sales</v>
          </cell>
          <cell r="AB4439" t="str">
            <v>24AABCG1282C2Z6</v>
          </cell>
        </row>
        <row r="4440">
          <cell r="D4440" t="str">
            <v>K.P. Woven Pvt Ltd-Sales</v>
          </cell>
          <cell r="AB4440" t="str">
            <v>24AAECK6307M1ZF</v>
          </cell>
        </row>
        <row r="4441">
          <cell r="D4441" t="str">
            <v>K.P. Woven Pvt Ltd-Sales</v>
          </cell>
          <cell r="AB4441" t="str">
            <v>24AAECK6307M1ZF</v>
          </cell>
        </row>
        <row r="4442">
          <cell r="D4442" t="str">
            <v>Rafia Industrial S.A.</v>
          </cell>
          <cell r="AB4442" t="str">
            <v>N.A.</v>
          </cell>
        </row>
        <row r="4443">
          <cell r="D4443" t="str">
            <v>Rafia Industrial S.A.</v>
          </cell>
          <cell r="AB4443" t="str">
            <v>N.A.</v>
          </cell>
        </row>
        <row r="4444">
          <cell r="D4444" t="str">
            <v>K.P. Woven Pvt Ltd-Sales</v>
          </cell>
          <cell r="AB4444" t="str">
            <v>24AAECK6307M1ZF</v>
          </cell>
        </row>
        <row r="4445">
          <cell r="D4445" t="str">
            <v>K.P. Woven Pvt Ltd-Sales</v>
          </cell>
          <cell r="AB4445" t="str">
            <v>24AAECK6307M1ZF</v>
          </cell>
        </row>
        <row r="4446">
          <cell r="D4446" t="str">
            <v>K.P. Woven Pvt Ltd-Sales</v>
          </cell>
          <cell r="AB4446" t="str">
            <v>24AAECK6307M1ZF</v>
          </cell>
        </row>
        <row r="4447">
          <cell r="D4447" t="str">
            <v>K.P. Woven Pvt Ltd-Sales</v>
          </cell>
          <cell r="AB4447" t="str">
            <v>24AAECK6307M1ZF</v>
          </cell>
        </row>
        <row r="4448">
          <cell r="D4448" t="str">
            <v>Hcp Plastene Bulkpack Ltd (Unit Iv) - Sales</v>
          </cell>
          <cell r="AB4448" t="str">
            <v>24AABCG1282C2Z6</v>
          </cell>
        </row>
        <row r="4449">
          <cell r="D4449" t="str">
            <v>Rafia Industrial S.A.</v>
          </cell>
          <cell r="AB4449" t="str">
            <v>N.A.</v>
          </cell>
        </row>
        <row r="4450">
          <cell r="D4450" t="str">
            <v>Cesur France</v>
          </cell>
          <cell r="AB4450" t="str">
            <v>N.A.</v>
          </cell>
        </row>
        <row r="4451">
          <cell r="D4451" t="str">
            <v>Hcp Plastene Bulkpack Ltd (Unit Iv) - Sales</v>
          </cell>
          <cell r="AB4451" t="str">
            <v>24AABCG1282C2Z6</v>
          </cell>
        </row>
        <row r="4452">
          <cell r="D4452" t="str">
            <v>Hcp Plastene Bulkpack Ltd (Unit Iv) - Sales</v>
          </cell>
          <cell r="AB4452" t="str">
            <v>24AABCG1282C2Z6</v>
          </cell>
        </row>
        <row r="4453">
          <cell r="D4453" t="str">
            <v>Hcp Plastene Bulkpack Ltd (Unit Iv) - Sales</v>
          </cell>
          <cell r="AB4453" t="str">
            <v>24AABCG1282C2Z6</v>
          </cell>
        </row>
        <row r="4454">
          <cell r="D4454" t="str">
            <v>Hcp Plastene Bulkpack Ltd (Unit Iv) - Sales</v>
          </cell>
          <cell r="AB4454" t="str">
            <v>24AABCG1282C2Z6</v>
          </cell>
        </row>
        <row r="4455">
          <cell r="D4455" t="str">
            <v>Hcp Plastene Bulkpack Ltd (Unit Iv) - Sales</v>
          </cell>
          <cell r="AB4455" t="str">
            <v>24AABCG1282C2Z6</v>
          </cell>
        </row>
        <row r="4456">
          <cell r="D4456" t="str">
            <v>Hcp Plastene Bulkpack Ltd (Unit Iv) - Sales</v>
          </cell>
          <cell r="AB4456" t="str">
            <v>24AABCG1282C2Z6</v>
          </cell>
        </row>
        <row r="4457">
          <cell r="D4457" t="str">
            <v>Hcp Plastene Bulkpack Ltd (Unit Iv) - Sales</v>
          </cell>
          <cell r="AB4457" t="str">
            <v>24AABCG1282C2Z6</v>
          </cell>
        </row>
        <row r="4458">
          <cell r="D4458" t="str">
            <v>Hcp Plastene Bulkpack Ltd (Unit Iv) - Sales</v>
          </cell>
          <cell r="AB4458" t="str">
            <v>24AABCG1282C2Z6</v>
          </cell>
        </row>
        <row r="4459">
          <cell r="D4459" t="str">
            <v>Hcp Plastene Bulkpack Ltd (Unit Iv) - Sales</v>
          </cell>
          <cell r="AB4459" t="str">
            <v>24AABCG1282C2Z6</v>
          </cell>
        </row>
        <row r="4460">
          <cell r="D4460" t="str">
            <v>Hcp Plastene Bulkpack Ltd (Unit Iv) - Sales</v>
          </cell>
          <cell r="AB4460" t="str">
            <v>24AABCG1282C2Z6</v>
          </cell>
        </row>
        <row r="4461">
          <cell r="D4461" t="str">
            <v>Hcp Plastene Bulkpack Ltd (Unit Iv) - Sales</v>
          </cell>
          <cell r="AB4461" t="str">
            <v>24AABCG1282C2Z6</v>
          </cell>
        </row>
        <row r="4462">
          <cell r="D4462" t="str">
            <v>Hcp Plastene Bulkpack Ltd (Unit Iv) - Sales</v>
          </cell>
          <cell r="AB4462" t="str">
            <v>24AABCG1282C2Z6</v>
          </cell>
        </row>
        <row r="4463">
          <cell r="D4463" t="str">
            <v>Hcp Plastene Bulkpack Ltd (Unit Iv) - Sales</v>
          </cell>
          <cell r="AB4463" t="str">
            <v>24AABCG1282C2Z6</v>
          </cell>
        </row>
        <row r="4464">
          <cell r="D4464" t="str">
            <v>Hcp Plastene Bulkpack Ltd (Unit Iv) - Sales</v>
          </cell>
          <cell r="AB4464" t="str">
            <v>24AABCG1282C2Z6</v>
          </cell>
        </row>
        <row r="4465">
          <cell r="D4465" t="str">
            <v>Hcp Plastene Bulkpack Ltd (Unit Iv) - Sales</v>
          </cell>
          <cell r="AB4465" t="str">
            <v>24AABCG1282C2Z6</v>
          </cell>
        </row>
        <row r="4466">
          <cell r="D4466" t="str">
            <v>Hcp Plastene Bulkpack Ltd (Unit Iv) - Sales</v>
          </cell>
          <cell r="AB4466" t="str">
            <v>24AABCG1282C2Z6</v>
          </cell>
        </row>
        <row r="4467">
          <cell r="D4467" t="str">
            <v>Hcp Plastene Bulkpack Ltd (Unit Iv) - Sales</v>
          </cell>
          <cell r="AB4467" t="str">
            <v>24AABCG1282C2Z6</v>
          </cell>
        </row>
        <row r="4468">
          <cell r="D4468" t="str">
            <v>Hcp Plastene Bulkpack Ltd (Unit Iv) - Sales</v>
          </cell>
          <cell r="AB4468" t="str">
            <v>24AABCG1282C2Z6</v>
          </cell>
        </row>
        <row r="4469">
          <cell r="D4469" t="str">
            <v>Hcp Plastene Bulkpack Ltd (Unit Iv) - Sales</v>
          </cell>
          <cell r="AB4469" t="str">
            <v>24AABCG1282C2Z6</v>
          </cell>
        </row>
        <row r="4470">
          <cell r="D4470" t="str">
            <v>Hcp Plastene Bulkpack Ltd (Unit Iv) - Sales</v>
          </cell>
          <cell r="AB4470" t="str">
            <v>24AABCG1282C2Z6</v>
          </cell>
        </row>
        <row r="4471">
          <cell r="D4471" t="str">
            <v>Hcp Plastene Bulkpack Ltd (Unit Iv) - Sales</v>
          </cell>
          <cell r="AB4471" t="str">
            <v>24AABCG1282C2Z6</v>
          </cell>
        </row>
        <row r="4472">
          <cell r="D4472" t="str">
            <v>Hcp Plastene Bulkpack Ltd (Unit Iv) - Sales</v>
          </cell>
          <cell r="AB4472" t="str">
            <v>24AABCG1282C2Z6</v>
          </cell>
        </row>
        <row r="4473">
          <cell r="D4473" t="str">
            <v>Hcp Plastene Bulkpack Ltd (Unit Iv) - Sales</v>
          </cell>
          <cell r="AB4473" t="str">
            <v>24AABCG1282C2Z6</v>
          </cell>
        </row>
        <row r="4474">
          <cell r="D4474" t="str">
            <v>Hcp Plastene Bulkpack Ltd (Unit Iv) - Sales</v>
          </cell>
          <cell r="AB4474" t="str">
            <v>24AABCG1282C2Z6</v>
          </cell>
        </row>
        <row r="4475">
          <cell r="D4475" t="str">
            <v>Hcp Plastene Bulkpack Ltd (Unit Iv) - Sales</v>
          </cell>
          <cell r="AB4475" t="str">
            <v>24AABCG1282C2Z6</v>
          </cell>
        </row>
        <row r="4476">
          <cell r="D4476" t="str">
            <v>Hcp Plastene Bulkpack Ltd (Unit Iv) - Sales</v>
          </cell>
          <cell r="AB4476" t="str">
            <v>24AABCG1282C2Z6</v>
          </cell>
        </row>
        <row r="4477">
          <cell r="D4477" t="str">
            <v>Hcp Plastene Bulkpack Ltd (Unit Iv) - Sales</v>
          </cell>
          <cell r="AB4477" t="str">
            <v>24AABCG1282C2Z6</v>
          </cell>
        </row>
        <row r="4478">
          <cell r="D4478" t="str">
            <v>Hcp Plastene Bulkpack Ltd (Unit Iv) - Sales</v>
          </cell>
          <cell r="AB4478" t="str">
            <v>24AABCG1282C2Z6</v>
          </cell>
        </row>
        <row r="4479">
          <cell r="D4479" t="str">
            <v>Hcp Plastene Bulkpack Ltd (Unit Iv) - Sales</v>
          </cell>
          <cell r="AB4479" t="str">
            <v>24AABCG1282C2Z6</v>
          </cell>
        </row>
        <row r="4480">
          <cell r="D4480" t="str">
            <v>Hcp Plastene Bulkpack Ltd (Unit Iv) - Sales</v>
          </cell>
          <cell r="AB4480" t="str">
            <v>24AABCG1282C2Z6</v>
          </cell>
        </row>
        <row r="4481">
          <cell r="D4481" t="str">
            <v>Hcp Plastene Bulkpack Ltd (Unit Iv) - Sales</v>
          </cell>
          <cell r="AB4481" t="str">
            <v>24AABCG1282C2Z6</v>
          </cell>
        </row>
        <row r="4482">
          <cell r="D4482" t="str">
            <v>Hcp Plastene Bulkpack Ltd (Unit Iv) - Sales</v>
          </cell>
          <cell r="AB4482" t="str">
            <v>24AABCG1282C2Z6</v>
          </cell>
        </row>
        <row r="4483">
          <cell r="D4483" t="str">
            <v>Hcp Plastene Bulkpack Ltd (Unit Iv) - Sales</v>
          </cell>
          <cell r="AB4483" t="str">
            <v>24AABCG1282C2Z6</v>
          </cell>
        </row>
        <row r="4484">
          <cell r="D4484" t="str">
            <v>Hcp Plastene Bulkpack Ltd (Unit Iv) - Sales</v>
          </cell>
          <cell r="AB4484" t="str">
            <v>24AABCG1282C2Z6</v>
          </cell>
        </row>
        <row r="4485">
          <cell r="D4485" t="str">
            <v>Hcp Plastene Bulkpack Ltd (Unit Iv) - Sales</v>
          </cell>
          <cell r="AB4485" t="str">
            <v>24AABCG1282C2Z6</v>
          </cell>
        </row>
        <row r="4486">
          <cell r="D4486" t="str">
            <v>Hcp Plastene Bulkpack Ltd (Unit Iv) - Sales</v>
          </cell>
          <cell r="AB4486" t="str">
            <v>24AABCG1282C2Z6</v>
          </cell>
        </row>
        <row r="4487">
          <cell r="D4487" t="str">
            <v>Hcp Plastene Bulkpack Ltd (Unit Iv) - Sales</v>
          </cell>
          <cell r="AB4487" t="str">
            <v>24AABCG1282C2Z6</v>
          </cell>
        </row>
        <row r="4488">
          <cell r="D4488" t="str">
            <v>Hcp Plastene Bulkpack Ltd (Unit Iv) - Sales</v>
          </cell>
          <cell r="AB4488" t="str">
            <v>24AABCG1282C2Z6</v>
          </cell>
        </row>
        <row r="4489">
          <cell r="D4489" t="str">
            <v>Hcp Plastene Bulkpack Ltd (Unit Iv) - Sales</v>
          </cell>
          <cell r="AB4489" t="str">
            <v>24AABCG1282C2Z6</v>
          </cell>
        </row>
        <row r="4490">
          <cell r="D4490" t="str">
            <v>Hcp Plastene Bulkpack Ltd (Unit Iv) - Sales</v>
          </cell>
          <cell r="AB4490" t="str">
            <v>24AABCG1282C2Z6</v>
          </cell>
        </row>
        <row r="4491">
          <cell r="D4491" t="str">
            <v>Hcp Plastene Bulkpack Ltd (Unit Iv) - Sales</v>
          </cell>
          <cell r="AB4491" t="str">
            <v>24AABCG1282C2Z6</v>
          </cell>
        </row>
        <row r="4492">
          <cell r="D4492" t="str">
            <v>Hcp Plastene Bulkpack Ltd (Unit Iv) - Sales</v>
          </cell>
          <cell r="AB4492" t="str">
            <v>24AABCG1282C2Z6</v>
          </cell>
        </row>
        <row r="4493">
          <cell r="D4493" t="str">
            <v>Hcp Plastene Bulkpack Ltd (Unit Iv) - Sales</v>
          </cell>
          <cell r="AB4493" t="str">
            <v>24AABCG1282C2Z6</v>
          </cell>
        </row>
        <row r="4494">
          <cell r="D4494" t="str">
            <v>Hcp Plastene Bulkpack Ltd (Unit Iv) - Sales</v>
          </cell>
          <cell r="AB4494" t="str">
            <v>24AABCG1282C2Z6</v>
          </cell>
        </row>
        <row r="4495">
          <cell r="D4495" t="str">
            <v>Hcp Plastene Bulkpack Ltd (Unit Iv) - Sales</v>
          </cell>
          <cell r="AB4495" t="str">
            <v>24AABCG1282C2Z6</v>
          </cell>
        </row>
        <row r="4496">
          <cell r="D4496" t="str">
            <v>Hcp Plastene Bulkpack Ltd (Unit Iv) - Sales</v>
          </cell>
          <cell r="AB4496" t="str">
            <v>24AABCG1282C2Z6</v>
          </cell>
        </row>
        <row r="4497">
          <cell r="D4497" t="str">
            <v>Hcp Plastene Bulkpack Ltd (Unit Iv) - Sales</v>
          </cell>
          <cell r="AB4497" t="str">
            <v>24AABCG1282C2Z6</v>
          </cell>
        </row>
        <row r="4498">
          <cell r="D4498" t="str">
            <v>Hcp Plastene Bulkpack Ltd (Unit Iv) - Sales</v>
          </cell>
          <cell r="AB4498" t="str">
            <v>24AABCG1282C2Z6</v>
          </cell>
        </row>
        <row r="4499">
          <cell r="D4499" t="str">
            <v>Hcp Plastene Bulkpack Ltd (Unit Iv) - Sales</v>
          </cell>
          <cell r="AB4499" t="str">
            <v>24AABCG1282C2Z6</v>
          </cell>
        </row>
        <row r="4500">
          <cell r="D4500" t="str">
            <v>Hcp Plastene Bulkpack Ltd (Unit Iv) - Sales</v>
          </cell>
          <cell r="AB4500" t="str">
            <v>24AABCG1282C2Z6</v>
          </cell>
        </row>
        <row r="4501">
          <cell r="D4501" t="str">
            <v>Hcp Plastene Bulkpack Ltd (Unit Iv) - Sales</v>
          </cell>
          <cell r="AB4501" t="str">
            <v>24AABCG1282C2Z6</v>
          </cell>
        </row>
        <row r="4502">
          <cell r="D4502" t="str">
            <v>Hcp Plastene Bulkpack Ltd (Unit Iv) - Sales</v>
          </cell>
          <cell r="AB4502" t="str">
            <v>24AABCG1282C2Z6</v>
          </cell>
        </row>
        <row r="4503">
          <cell r="D4503" t="str">
            <v>Hcp Plastene Bulkpack Ltd (Unit Iv) - Sales</v>
          </cell>
          <cell r="AB4503" t="str">
            <v>24AABCG1282C2Z6</v>
          </cell>
        </row>
        <row r="4504">
          <cell r="D4504" t="str">
            <v>K.P. Woven Pvt Ltd-Sales</v>
          </cell>
          <cell r="AB4504" t="str">
            <v>24AAECK6307M1ZF</v>
          </cell>
        </row>
        <row r="4505">
          <cell r="D4505" t="str">
            <v>K.P. Woven Pvt Ltd-Sales</v>
          </cell>
          <cell r="AB4505" t="str">
            <v>24AAECK6307M1ZF</v>
          </cell>
        </row>
        <row r="4506">
          <cell r="D4506" t="str">
            <v>K.P. Woven Pvt Ltd-Sales</v>
          </cell>
          <cell r="AB4506" t="str">
            <v>24AAECK6307M1ZF</v>
          </cell>
        </row>
        <row r="4507">
          <cell r="D4507" t="str">
            <v>K.P. Woven Pvt Ltd-Sales</v>
          </cell>
          <cell r="AB4507" t="str">
            <v>24AAECK6307M1ZF</v>
          </cell>
        </row>
        <row r="4508">
          <cell r="D4508" t="str">
            <v>K.P. Woven Pvt Ltd-Sales</v>
          </cell>
          <cell r="AB4508" t="str">
            <v>24AAECK6307M1ZF</v>
          </cell>
        </row>
        <row r="4509">
          <cell r="D4509" t="str">
            <v>K.P. Woven Pvt Ltd-Sales</v>
          </cell>
          <cell r="AB4509" t="str">
            <v>24AAECK6307M1ZF</v>
          </cell>
        </row>
        <row r="4510">
          <cell r="D4510" t="str">
            <v>K.P. Woven Pvt Ltd-Sales</v>
          </cell>
          <cell r="AB4510" t="str">
            <v>24AAECK6307M1ZF</v>
          </cell>
        </row>
        <row r="4511">
          <cell r="D4511" t="str">
            <v>K.P. Woven Pvt Ltd-Sales</v>
          </cell>
          <cell r="AB4511" t="str">
            <v>24AAECK6307M1ZF</v>
          </cell>
        </row>
        <row r="4512">
          <cell r="D4512" t="str">
            <v>K.P. Woven Pvt Ltd-Sales</v>
          </cell>
          <cell r="AB4512" t="str">
            <v>24AAECK6307M1ZF</v>
          </cell>
        </row>
        <row r="4513">
          <cell r="D4513" t="str">
            <v>Hcp Plastene Bulkpack Ltd (Unit Iv) - Sales</v>
          </cell>
          <cell r="AB4513" t="str">
            <v>24AABCG1282C2Z6</v>
          </cell>
        </row>
        <row r="4514">
          <cell r="D4514" t="str">
            <v>Hcp Plastene Bulkpack Ltd (Unit Iv) - Sales</v>
          </cell>
          <cell r="AB4514" t="str">
            <v>24AABCG1282C2Z6</v>
          </cell>
        </row>
        <row r="4515">
          <cell r="D4515" t="str">
            <v>Hcp Plastene Bulkpack Ltd (Unit Iv) - Sales</v>
          </cell>
          <cell r="AB4515" t="str">
            <v>24AABCG1282C2Z6</v>
          </cell>
        </row>
        <row r="4516">
          <cell r="D4516" t="str">
            <v>Hcp Plastene Bulkpack Ltd (Unit Iv) - Sales</v>
          </cell>
          <cell r="AB4516" t="str">
            <v>24AABCG1282C2Z6</v>
          </cell>
        </row>
        <row r="4517">
          <cell r="D4517" t="str">
            <v>Hcp Plastene Bulkpack Ltd (Unit Iv) - Sales</v>
          </cell>
          <cell r="AB4517" t="str">
            <v>24AABCG1282C2Z6</v>
          </cell>
        </row>
        <row r="4518">
          <cell r="D4518" t="str">
            <v>Hcp Plastene Bulkpack Ltd (Unit Iv) - Sales</v>
          </cell>
          <cell r="AB4518" t="str">
            <v>24AABCG1282C2Z6</v>
          </cell>
        </row>
        <row r="4519">
          <cell r="D4519" t="str">
            <v>Hcp Plastene Bulkpack Ltd (Unit Iv) - Sales</v>
          </cell>
          <cell r="AB4519" t="str">
            <v>24AABCG1282C2Z6</v>
          </cell>
        </row>
        <row r="4520">
          <cell r="D4520" t="str">
            <v>Hcp Plastene Bulkpack Ltd (Unit Iv) - Sales</v>
          </cell>
          <cell r="AB4520" t="str">
            <v>24AABCG1282C2Z6</v>
          </cell>
        </row>
        <row r="4521">
          <cell r="D4521" t="str">
            <v>Hcp Plastene Bulkpack Ltd (Unit Iv) - Sales</v>
          </cell>
          <cell r="AB4521" t="str">
            <v>24AABCG1282C2Z6</v>
          </cell>
        </row>
        <row r="4522">
          <cell r="D4522" t="str">
            <v>Hcp Plastene Bulkpack Ltd (Unit Iv) - Sales</v>
          </cell>
          <cell r="AB4522" t="str">
            <v>24AABCG1282C2Z6</v>
          </cell>
        </row>
        <row r="4523">
          <cell r="D4523" t="str">
            <v>Hcp Plastene Bulkpack Ltd (Unit Iv) - Sales</v>
          </cell>
          <cell r="AB4523" t="str">
            <v>24AABCG1282C2Z6</v>
          </cell>
        </row>
        <row r="4524">
          <cell r="D4524" t="str">
            <v>Hcp Plastene Bulkpack Ltd (Unit Iv) - Sales</v>
          </cell>
          <cell r="AB4524" t="str">
            <v>24AABCG1282C2Z6</v>
          </cell>
        </row>
        <row r="4525">
          <cell r="D4525" t="str">
            <v>Hcp Plastene Bulkpack Ltd (Unit Iv) - Sales</v>
          </cell>
          <cell r="AB4525" t="str">
            <v>24AABCG1282C2Z6</v>
          </cell>
        </row>
        <row r="4526">
          <cell r="D4526" t="str">
            <v>Hcp Plastene Bulkpack Ltd (Unit Iv) - Sales</v>
          </cell>
          <cell r="AB4526" t="str">
            <v>24AABCG1282C2Z6</v>
          </cell>
        </row>
        <row r="4527">
          <cell r="D4527" t="str">
            <v>Hcp Plastene Bulkpack Ltd (Unit Iv) - Sales</v>
          </cell>
          <cell r="AB4527" t="str">
            <v>24AABCG1282C2Z6</v>
          </cell>
        </row>
        <row r="4528">
          <cell r="D4528" t="str">
            <v>Hcp Plastene Bulkpack Ltd (Unit Iv) - Sales</v>
          </cell>
          <cell r="AB4528" t="str">
            <v>24AABCG1282C2Z6</v>
          </cell>
        </row>
        <row r="4529">
          <cell r="D4529" t="str">
            <v>Hcp Plastene Bulkpack Ltd (Unit Iv) - Sales</v>
          </cell>
          <cell r="AB4529" t="str">
            <v>24AABCG1282C2Z6</v>
          </cell>
        </row>
        <row r="4530">
          <cell r="D4530" t="str">
            <v>Hcp Plastene Bulkpack Ltd (Unit Iv) - Sales</v>
          </cell>
          <cell r="AB4530" t="str">
            <v>24AABCG1282C2Z6</v>
          </cell>
        </row>
        <row r="4531">
          <cell r="D4531" t="str">
            <v>Hcp Plastene Bulkpack Ltd (Unit Iv) - Sales</v>
          </cell>
          <cell r="AB4531" t="str">
            <v>24AABCG1282C2Z6</v>
          </cell>
        </row>
        <row r="4532">
          <cell r="D4532" t="str">
            <v>Hcp Plastene Bulkpack Ltd (Unit Iv) - Sales</v>
          </cell>
          <cell r="AB4532" t="str">
            <v>24AABCG1282C2Z6</v>
          </cell>
        </row>
        <row r="4533">
          <cell r="D4533" t="str">
            <v>Hcp Plastene Bulkpack Ltd (Unit Iv) - Sales</v>
          </cell>
          <cell r="AB4533" t="str">
            <v>24AABCG1282C2Z6</v>
          </cell>
        </row>
        <row r="4534">
          <cell r="D4534" t="str">
            <v>Hcp Plastene Bulkpack Ltd (Unit Iv) - Sales</v>
          </cell>
          <cell r="AB4534" t="str">
            <v>24AABCG1282C2Z6</v>
          </cell>
        </row>
        <row r="4535">
          <cell r="D4535" t="str">
            <v>Hcp Plastene Bulkpack Ltd (Unit Iv) - Sales</v>
          </cell>
          <cell r="AB4535" t="str">
            <v>24AABCG1282C2Z6</v>
          </cell>
        </row>
        <row r="4536">
          <cell r="D4536" t="str">
            <v>Hcp Plastene Bulkpack Ltd (Unit Iv) - Sales</v>
          </cell>
          <cell r="AB4536" t="str">
            <v>24AABCG1282C2Z6</v>
          </cell>
        </row>
        <row r="4537">
          <cell r="D4537" t="str">
            <v>Hcp Plastene Bulkpack Ltd (Unit Iv) - Sales</v>
          </cell>
          <cell r="AB4537" t="str">
            <v>24AABCG1282C2Z6</v>
          </cell>
        </row>
        <row r="4538">
          <cell r="D4538" t="str">
            <v>Hcp Plastene Bulkpack Ltd (Unit Iv) - Sales</v>
          </cell>
          <cell r="AB4538" t="str">
            <v>24AABCG1282C2Z6</v>
          </cell>
        </row>
        <row r="4539">
          <cell r="D4539" t="str">
            <v>Hcp Plastene Bulkpack Ltd (Unit Iv) - Sales</v>
          </cell>
          <cell r="AB4539" t="str">
            <v>24AABCG1282C2Z6</v>
          </cell>
        </row>
        <row r="4540">
          <cell r="D4540" t="str">
            <v>Hcp Plastene Bulkpack Ltd (Unit Iv) - Sales</v>
          </cell>
          <cell r="AB4540" t="str">
            <v>24AABCG1282C2Z6</v>
          </cell>
        </row>
        <row r="4541">
          <cell r="D4541" t="str">
            <v>Hcp Plastene Bulkpack Ltd (Unit Iv) - Sales</v>
          </cell>
          <cell r="AB4541" t="str">
            <v>24AABCG1282C2Z6</v>
          </cell>
        </row>
        <row r="4542">
          <cell r="D4542" t="str">
            <v>Hcp Plastene Bulkpack Ltd (Unit Iv) - Sales</v>
          </cell>
          <cell r="AB4542" t="str">
            <v>24AABCG1282C2Z6</v>
          </cell>
        </row>
        <row r="4543">
          <cell r="D4543" t="str">
            <v>Hcp Plastene Bulkpack Ltd (Unit Iv) - Sales</v>
          </cell>
          <cell r="AB4543" t="str">
            <v>24AABCG1282C2Z6</v>
          </cell>
        </row>
        <row r="4544">
          <cell r="D4544" t="str">
            <v>Hcp Plastene Bulkpack Ltd (Unit Iv) - Sales</v>
          </cell>
          <cell r="AB4544" t="str">
            <v>24AABCG1282C2Z6</v>
          </cell>
        </row>
        <row r="4545">
          <cell r="D4545" t="str">
            <v>Hcp Plastene Bulkpack Ltd (Unit Iv) - Sales</v>
          </cell>
          <cell r="AB4545" t="str">
            <v>24AABCG1282C2Z6</v>
          </cell>
        </row>
        <row r="4546">
          <cell r="D4546" t="str">
            <v>Hcp Plastene Bulkpack Ltd (Unit Iv) - Sales</v>
          </cell>
          <cell r="AB4546" t="str">
            <v>24AABCG1282C2Z6</v>
          </cell>
        </row>
        <row r="4547">
          <cell r="D4547" t="str">
            <v>Hcp Plastene Bulkpack Ltd (Unit Iv) - Sales</v>
          </cell>
          <cell r="AB4547" t="str">
            <v>24AABCG1282C2Z6</v>
          </cell>
        </row>
        <row r="4548">
          <cell r="D4548" t="str">
            <v>Hcp Plastene Bulkpack Ltd (Unit Iv) - Sales</v>
          </cell>
          <cell r="AB4548" t="str">
            <v>24AABCG1282C2Z6</v>
          </cell>
        </row>
        <row r="4549">
          <cell r="D4549" t="str">
            <v>Hcp Plastene Bulkpack Ltd (Unit Iv) - Sales</v>
          </cell>
          <cell r="AB4549" t="str">
            <v>24AABCG1282C2Z6</v>
          </cell>
        </row>
        <row r="4550">
          <cell r="D4550" t="str">
            <v>Hcp Plastene Bulkpack Ltd (Unit Iv) - Sales</v>
          </cell>
          <cell r="AB4550" t="str">
            <v>24AABCG1282C2Z6</v>
          </cell>
        </row>
        <row r="4551">
          <cell r="D4551" t="str">
            <v>Hcp Plastene Bulkpack Ltd (Unit Iv) - Sales</v>
          </cell>
          <cell r="AB4551" t="str">
            <v>24AABCG1282C2Z6</v>
          </cell>
        </row>
        <row r="4552">
          <cell r="D4552" t="str">
            <v>Hcp Plastene Bulkpack Ltd (Unit Iv) - Sales</v>
          </cell>
          <cell r="AB4552" t="str">
            <v>24AABCG1282C2Z6</v>
          </cell>
        </row>
        <row r="4553">
          <cell r="D4553" t="str">
            <v>Hcp Plastene Bulkpack Ltd (Unit Iv) - Sales</v>
          </cell>
          <cell r="AB4553" t="str">
            <v>24AABCG1282C2Z6</v>
          </cell>
        </row>
        <row r="4554">
          <cell r="D4554" t="str">
            <v>Hcp Plastene Bulkpack Ltd (Unit Iv) - Sales</v>
          </cell>
          <cell r="AB4554" t="str">
            <v>24AABCG1282C2Z6</v>
          </cell>
        </row>
        <row r="4555">
          <cell r="D4555" t="str">
            <v>Hcp Plastene Bulkpack Ltd (Unit Iv) - Sales</v>
          </cell>
          <cell r="AB4555" t="str">
            <v>24AABCG1282C2Z6</v>
          </cell>
        </row>
        <row r="4556">
          <cell r="D4556" t="str">
            <v>Hcp Plastene Bulkpack Ltd (Unit Iv) - Sales</v>
          </cell>
          <cell r="AB4556" t="str">
            <v>24AABCG1282C2Z6</v>
          </cell>
        </row>
        <row r="4557">
          <cell r="D4557" t="str">
            <v>Hcp Plastene Bulkpack Ltd (Unit Iv) - Sales</v>
          </cell>
          <cell r="AB4557" t="str">
            <v>24AABCG1282C2Z6</v>
          </cell>
        </row>
        <row r="4558">
          <cell r="D4558" t="str">
            <v>Hcp Plastene Bulkpack Ltd (Unit Iv) - Sales</v>
          </cell>
          <cell r="AB4558" t="str">
            <v>24AABCG1282C2Z6</v>
          </cell>
        </row>
        <row r="4559">
          <cell r="D4559" t="str">
            <v>Hcp Plastene Bulkpack Ltd (Unit Iv) - Sales</v>
          </cell>
          <cell r="AB4559" t="str">
            <v>24AABCG1282C2Z6</v>
          </cell>
        </row>
        <row r="4560">
          <cell r="D4560" t="str">
            <v>Hcp Plastene Bulkpack Ltd (Unit Iv) - Sales</v>
          </cell>
          <cell r="AB4560" t="str">
            <v>24AABCG1282C2Z6</v>
          </cell>
        </row>
        <row r="4561">
          <cell r="D4561" t="str">
            <v>Hcp Plastene Bulkpack Ltd (Unit Iv) - Sales</v>
          </cell>
          <cell r="AB4561" t="str">
            <v>24AABCG1282C2Z6</v>
          </cell>
        </row>
        <row r="4562">
          <cell r="D4562" t="str">
            <v>Hcp Plastene Bulkpack Ltd (Unit Iv) - Sales</v>
          </cell>
          <cell r="AB4562" t="str">
            <v>24AABCG1282C2Z6</v>
          </cell>
        </row>
        <row r="4563">
          <cell r="D4563" t="str">
            <v>Hcp Plastene Bulkpack Ltd (Unit Iv) - Sales</v>
          </cell>
          <cell r="AB4563" t="str">
            <v>24AABCG1282C2Z6</v>
          </cell>
        </row>
        <row r="4564">
          <cell r="D4564" t="str">
            <v>Hcp Plastene Bulkpack Ltd (Unit Iv) - Sales</v>
          </cell>
          <cell r="AB4564" t="str">
            <v>24AABCG1282C2Z6</v>
          </cell>
        </row>
        <row r="4565">
          <cell r="D4565" t="str">
            <v>Hcp Plastene Bulkpack Ltd (Unit Iv) - Sales</v>
          </cell>
          <cell r="AB4565" t="str">
            <v>24AABCG1282C2Z6</v>
          </cell>
        </row>
        <row r="4566">
          <cell r="D4566" t="str">
            <v>Hcp Plastene Bulkpack Ltd (Unit Iv) - Sales</v>
          </cell>
          <cell r="AB4566" t="str">
            <v>24AABCG1282C2Z6</v>
          </cell>
        </row>
        <row r="4567">
          <cell r="D4567" t="str">
            <v>Hcp Plastene Bulkpack Ltd (Unit Iv) - Sales</v>
          </cell>
          <cell r="AB4567" t="str">
            <v>24AABCG1282C2Z6</v>
          </cell>
        </row>
        <row r="4568">
          <cell r="D4568" t="str">
            <v>Hcp Plastene Bulkpack Ltd (Unit Iv) - Sales</v>
          </cell>
          <cell r="AB4568" t="str">
            <v>24AABCG1282C2Z6</v>
          </cell>
        </row>
        <row r="4569">
          <cell r="D4569" t="str">
            <v>Hcp Plastene Bulkpack Ltd (Unit Iv) - Sales</v>
          </cell>
          <cell r="AB4569" t="str">
            <v>24AABCG1282C2Z6</v>
          </cell>
        </row>
        <row r="4570">
          <cell r="D4570" t="str">
            <v>Hcp Plastene Bulkpack Ltd (Unit Iv) - Sales</v>
          </cell>
          <cell r="AB4570" t="str">
            <v>24AABCG1282C2Z6</v>
          </cell>
        </row>
        <row r="4571">
          <cell r="D4571" t="str">
            <v>Hcp Plastene Bulkpack Ltd (Unit Iv) - Sales</v>
          </cell>
          <cell r="AB4571" t="str">
            <v>24AABCG1282C2Z6</v>
          </cell>
        </row>
        <row r="4572">
          <cell r="D4572" t="str">
            <v>Hcp Plastene Bulkpack Ltd (Unit Iv) - Sales</v>
          </cell>
          <cell r="AB4572" t="str">
            <v>24AABCG1282C2Z6</v>
          </cell>
        </row>
        <row r="4573">
          <cell r="D4573" t="str">
            <v>Hcp Plastene Bulkpack Ltd (Unit Iv) - Sales</v>
          </cell>
          <cell r="AB4573" t="str">
            <v>24AABCG1282C2Z6</v>
          </cell>
        </row>
        <row r="4574">
          <cell r="D4574" t="str">
            <v>Hcp Plastene Bulkpack Ltd (Unit Iv) - Sales</v>
          </cell>
          <cell r="AB4574" t="str">
            <v>24AABCG1282C2Z6</v>
          </cell>
        </row>
        <row r="4575">
          <cell r="D4575" t="str">
            <v>Hcp Plastene Bulkpack Ltd (Unit Iv) - Sales</v>
          </cell>
          <cell r="AB4575" t="str">
            <v>24AABCG1282C2Z6</v>
          </cell>
        </row>
        <row r="4576">
          <cell r="D4576" t="str">
            <v>Hcp Plastene Bulkpack Ltd (Unit Iv) - Sales</v>
          </cell>
          <cell r="AB4576" t="str">
            <v>24AABCG1282C2Z6</v>
          </cell>
        </row>
        <row r="4577">
          <cell r="D4577" t="str">
            <v>Hcp Plastene Bulkpack Ltd (Unit Iv) - Sales</v>
          </cell>
          <cell r="AB4577" t="str">
            <v>24AABCG1282C2Z6</v>
          </cell>
        </row>
        <row r="4578">
          <cell r="D4578" t="str">
            <v>Hcp Plastene Bulkpack Ltd (Unit Iv) - Sales</v>
          </cell>
          <cell r="AB4578" t="str">
            <v>24AABCG1282C2Z6</v>
          </cell>
        </row>
        <row r="4579">
          <cell r="D4579" t="str">
            <v>Hcp Plastene Bulkpack Ltd (Unit Iv) - Sales</v>
          </cell>
          <cell r="AB4579" t="str">
            <v>24AABCG1282C2Z6</v>
          </cell>
        </row>
        <row r="4580">
          <cell r="D4580" t="str">
            <v>Hcp Plastene Bulkpack Ltd (Unit Iv) - Sales</v>
          </cell>
          <cell r="AB4580" t="str">
            <v>24AABCG1282C2Z6</v>
          </cell>
        </row>
        <row r="4581">
          <cell r="D4581" t="str">
            <v>Hcp Plastene Bulkpack Ltd (Unit Iv) - Sales</v>
          </cell>
          <cell r="AB4581" t="str">
            <v>24AABCG1282C2Z6</v>
          </cell>
        </row>
        <row r="4582">
          <cell r="D4582" t="str">
            <v>Hcp Plastene Bulkpack Ltd (Unit Iv) - Sales</v>
          </cell>
          <cell r="AB4582" t="str">
            <v>24AABCG1282C2Z6</v>
          </cell>
        </row>
        <row r="4583">
          <cell r="D4583" t="str">
            <v>Hcp Plastene Bulkpack Ltd (Unit Iv) - Sales</v>
          </cell>
          <cell r="AB4583" t="str">
            <v>24AABCG1282C2Z6</v>
          </cell>
        </row>
        <row r="4584">
          <cell r="D4584" t="str">
            <v>Hcp Plastene Bulkpack Ltd (Unit Iv) - Sales</v>
          </cell>
          <cell r="AB4584" t="str">
            <v>24AABCG1282C2Z6</v>
          </cell>
        </row>
        <row r="4585">
          <cell r="D4585" t="str">
            <v>Hcp Plastene Bulkpack Ltd (Unit Iv) - Sales</v>
          </cell>
          <cell r="AB4585" t="str">
            <v>24AABCG1282C2Z6</v>
          </cell>
        </row>
        <row r="4586">
          <cell r="D4586" t="str">
            <v>Hcp Plastene Bulkpack Ltd (Unit Iv) - Sales</v>
          </cell>
          <cell r="AB4586" t="str">
            <v>24AABCG1282C2Z6</v>
          </cell>
        </row>
        <row r="4587">
          <cell r="D4587" t="str">
            <v>Hcp Plastene Bulkpack Ltd (Unit Iv) - Sales</v>
          </cell>
          <cell r="AB4587" t="str">
            <v>24AABCG1282C2Z6</v>
          </cell>
        </row>
        <row r="4588">
          <cell r="D4588" t="str">
            <v>Hcp Plastene Bulkpack Ltd (Unit Iv) - Sales</v>
          </cell>
          <cell r="AB4588" t="str">
            <v>24AABCG1282C2Z6</v>
          </cell>
        </row>
        <row r="4589">
          <cell r="D4589" t="str">
            <v>Hcp Plastene Bulkpack Ltd (Unit Iv) - Sales</v>
          </cell>
          <cell r="AB4589" t="str">
            <v>24AABCG1282C2Z6</v>
          </cell>
        </row>
        <row r="4590">
          <cell r="D4590" t="str">
            <v>Hcp Plastene Bulkpack Ltd (Unit Iv) - Sales</v>
          </cell>
          <cell r="AB4590" t="str">
            <v>24AABCG1282C2Z6</v>
          </cell>
        </row>
        <row r="4591">
          <cell r="D4591" t="str">
            <v>Hcp Plastene Bulkpack Ltd (Unit Iv) - Sales</v>
          </cell>
          <cell r="AB4591" t="str">
            <v>24AABCG1282C2Z6</v>
          </cell>
        </row>
        <row r="4592">
          <cell r="D4592" t="str">
            <v>K.P. Woven Pvt Ltd-Sales</v>
          </cell>
          <cell r="AB4592" t="str">
            <v>24AAECK6307M1ZF</v>
          </cell>
        </row>
        <row r="4593">
          <cell r="D4593" t="str">
            <v>K.P. Woven Pvt Ltd-Sales</v>
          </cell>
          <cell r="AB4593" t="str">
            <v>24AAECK6307M1ZF</v>
          </cell>
        </row>
        <row r="4594">
          <cell r="D4594" t="str">
            <v>Hcp Plastene Bulkpack Ltd (Unit Iv) - Sales</v>
          </cell>
          <cell r="AB4594" t="str">
            <v>24AABCG1282C2Z6</v>
          </cell>
        </row>
        <row r="4595">
          <cell r="D4595" t="str">
            <v>Hcp Plastene Bulkpack Ltd (Unit Iv) - Sales</v>
          </cell>
          <cell r="AB4595" t="str">
            <v>24AABCG1282C2Z6</v>
          </cell>
        </row>
        <row r="4596">
          <cell r="D4596" t="str">
            <v>Hcp Plastene Bulkpack Ltd (Unit Iv) - Sales</v>
          </cell>
          <cell r="AB4596" t="str">
            <v>24AABCG1282C2Z6</v>
          </cell>
        </row>
        <row r="4597">
          <cell r="D4597" t="str">
            <v>Hcp Plastene Bulkpack Ltd (Unit Iv) - Sales</v>
          </cell>
          <cell r="AB4597" t="str">
            <v>24AABCG1282C2Z6</v>
          </cell>
        </row>
        <row r="4598">
          <cell r="D4598" t="str">
            <v>Hcp Plastene Bulkpack Ltd (Unit Iv) - Sales</v>
          </cell>
          <cell r="AB4598" t="str">
            <v>24AABCG1282C2Z6</v>
          </cell>
        </row>
        <row r="4599">
          <cell r="D4599" t="str">
            <v>Hcp Plastene Bulkpack Ltd (Unit Iv) - Sales</v>
          </cell>
          <cell r="AB4599" t="str">
            <v>24AABCG1282C2Z6</v>
          </cell>
        </row>
        <row r="4600">
          <cell r="D4600" t="str">
            <v>Hcp Plastene Bulkpack Ltd (Unit Iv) - Sales</v>
          </cell>
          <cell r="AB4600" t="str">
            <v>24AABCG1282C2Z6</v>
          </cell>
        </row>
        <row r="4601">
          <cell r="D4601" t="str">
            <v>Hcp Plastene Bulkpack Ltd (Unit Iv) - Sales</v>
          </cell>
          <cell r="AB4601" t="str">
            <v>24AABCG1282C2Z6</v>
          </cell>
        </row>
        <row r="4602">
          <cell r="D4602" t="str">
            <v>Hcp Plastene Bulkpack Ltd (Unit Iv) - Sales</v>
          </cell>
          <cell r="AB4602" t="str">
            <v>24AABCG1282C2Z6</v>
          </cell>
        </row>
        <row r="4603">
          <cell r="D4603" t="str">
            <v>Hcp Plastene Bulkpack Ltd (Unit Iv) - Sales</v>
          </cell>
          <cell r="AB4603" t="str">
            <v>24AABCG1282C2Z6</v>
          </cell>
        </row>
        <row r="4604">
          <cell r="D4604" t="str">
            <v>Hcp Plastene Bulkpack Ltd (Unit Iv) - Sales</v>
          </cell>
          <cell r="AB4604" t="str">
            <v>24AABCG1282C2Z6</v>
          </cell>
        </row>
        <row r="4605">
          <cell r="D4605" t="str">
            <v>Hcp Plastene Bulkpack Ltd (Unit Iv) - Sales</v>
          </cell>
          <cell r="AB4605" t="str">
            <v>24AABCG1282C2Z6</v>
          </cell>
        </row>
        <row r="4606">
          <cell r="D4606" t="str">
            <v>Hcp Plastene Bulkpack Ltd (Unit Iv) - Sales</v>
          </cell>
          <cell r="AB4606" t="str">
            <v>24AABCG1282C2Z6</v>
          </cell>
        </row>
        <row r="4607">
          <cell r="D4607" t="str">
            <v>Hcp Plastene Bulkpack Ltd (Unit Iv) - Sales</v>
          </cell>
          <cell r="AB4607" t="str">
            <v>24AABCG1282C2Z6</v>
          </cell>
        </row>
        <row r="4608">
          <cell r="D4608" t="str">
            <v>Hcp Plastene Bulkpack Ltd (Unit Iv) - Sales</v>
          </cell>
          <cell r="AB4608" t="str">
            <v>24AABCG1282C2Z6</v>
          </cell>
        </row>
        <row r="4609">
          <cell r="D4609" t="str">
            <v>Hcp Plastene Bulkpack Ltd (Unit Iv) - Sales</v>
          </cell>
          <cell r="AB4609" t="str">
            <v>24AABCG1282C2Z6</v>
          </cell>
        </row>
        <row r="4610">
          <cell r="D4610" t="str">
            <v>Hcp Plastene Bulkpack Ltd (Unit Iv) - Sales</v>
          </cell>
          <cell r="AB4610" t="str">
            <v>24AABCG1282C2Z6</v>
          </cell>
        </row>
        <row r="4611">
          <cell r="D4611" t="str">
            <v>Hcp Plastene Bulkpack Ltd (Unit Iv) - Sales</v>
          </cell>
          <cell r="AB4611" t="str">
            <v>24AABCG1282C2Z6</v>
          </cell>
        </row>
        <row r="4612">
          <cell r="D4612" t="str">
            <v>Hcp Plastene Bulkpack Ltd (Unit Iv) - Sales</v>
          </cell>
          <cell r="AB4612" t="str">
            <v>24AABCG1282C2Z6</v>
          </cell>
        </row>
        <row r="4613">
          <cell r="D4613" t="str">
            <v>Hcp Plastene Bulkpack Ltd (Unit Iv) - Sales</v>
          </cell>
          <cell r="AB4613" t="str">
            <v>24AABCG1282C2Z6</v>
          </cell>
        </row>
        <row r="4614">
          <cell r="D4614" t="str">
            <v>Hcp Plastene Bulkpack Ltd (Unit Iv) - Sales</v>
          </cell>
          <cell r="AB4614" t="str">
            <v>24AABCG1282C2Z6</v>
          </cell>
        </row>
        <row r="4615">
          <cell r="D4615" t="str">
            <v>Hcp Plastene Bulkpack Ltd (Unit Iv) - Sales</v>
          </cell>
          <cell r="AB4615" t="str">
            <v>24AABCG1282C2Z6</v>
          </cell>
        </row>
        <row r="4616">
          <cell r="D4616" t="str">
            <v>Hcp Plastene Bulkpack Ltd (Unit Iv) - Sales</v>
          </cell>
          <cell r="AB4616" t="str">
            <v>24AABCG1282C2Z6</v>
          </cell>
        </row>
        <row r="4617">
          <cell r="D4617" t="str">
            <v>Hcp Plastene Bulkpack Ltd (Unit Iv) - Sales</v>
          </cell>
          <cell r="AB4617" t="str">
            <v>24AABCG1282C2Z6</v>
          </cell>
        </row>
        <row r="4618">
          <cell r="D4618" t="str">
            <v>Hcp Plastene Bulkpack Ltd (Unit Iv) - Sales</v>
          </cell>
          <cell r="AB4618" t="str">
            <v>24AABCG1282C2Z6</v>
          </cell>
        </row>
        <row r="4619">
          <cell r="D4619" t="str">
            <v>Hcp Plastene Bulkpack Ltd (Unit Iv) - Sales</v>
          </cell>
          <cell r="AB4619" t="str">
            <v>24AABCG1282C2Z6</v>
          </cell>
        </row>
        <row r="4620">
          <cell r="D4620" t="str">
            <v>Hcp Plastene Bulkpack Ltd (Unit Iv) - Sales</v>
          </cell>
          <cell r="AB4620" t="str">
            <v>24AABCG1282C2Z6</v>
          </cell>
        </row>
        <row r="4621">
          <cell r="D4621" t="str">
            <v>Hcp Plastene Bulkpack Ltd (Unit Iv) - Sales</v>
          </cell>
          <cell r="AB4621" t="str">
            <v>24AABCG1282C2Z6</v>
          </cell>
        </row>
        <row r="4622">
          <cell r="D4622" t="str">
            <v>Hcp Plastene Bulkpack Ltd (Unit Iv) - Sales</v>
          </cell>
          <cell r="AB4622" t="str">
            <v>24AABCG1282C2Z6</v>
          </cell>
        </row>
        <row r="4623">
          <cell r="D4623" t="str">
            <v>Hcp Plastene Bulkpack Ltd (Unit Iv) - Sales</v>
          </cell>
          <cell r="AB4623" t="str">
            <v>24AABCG1282C2Z6</v>
          </cell>
        </row>
        <row r="4624">
          <cell r="D4624" t="str">
            <v>Hcp Plastene Bulkpack Ltd (Unit Iv) - Sales</v>
          </cell>
          <cell r="AB4624" t="str">
            <v>24AABCG1282C2Z6</v>
          </cell>
        </row>
        <row r="4625">
          <cell r="D4625" t="str">
            <v>Hcp Plastene Bulkpack Ltd (Unit Iv) - Sales</v>
          </cell>
          <cell r="AB4625" t="str">
            <v>24AABCG1282C2Z6</v>
          </cell>
        </row>
        <row r="4626">
          <cell r="D4626" t="str">
            <v>Hcp Plastene Bulkpack Ltd (Unit Iv) - Sales</v>
          </cell>
          <cell r="AB4626" t="str">
            <v>24AABCG1282C2Z6</v>
          </cell>
        </row>
        <row r="4627">
          <cell r="D4627" t="str">
            <v>Hcp Plastene Bulkpack Ltd (Unit Iv) - Sales</v>
          </cell>
          <cell r="AB4627" t="str">
            <v>24AABCG1282C2Z6</v>
          </cell>
        </row>
        <row r="4628">
          <cell r="D4628" t="str">
            <v>Hcp Plastene Bulkpack Ltd (Unit Iv) - Sales</v>
          </cell>
          <cell r="AB4628" t="str">
            <v>24AABCG1282C2Z6</v>
          </cell>
        </row>
        <row r="4629">
          <cell r="D4629" t="str">
            <v>Hcp Plastene Bulkpack Ltd (Unit Iv) - Sales</v>
          </cell>
          <cell r="AB4629" t="str">
            <v>24AABCG1282C2Z6</v>
          </cell>
        </row>
        <row r="4630">
          <cell r="D4630" t="str">
            <v>Hcp Plastene Bulkpack Ltd (Unit Iv) - Sales</v>
          </cell>
          <cell r="AB4630" t="str">
            <v>24AABCG1282C2Z6</v>
          </cell>
        </row>
        <row r="4631">
          <cell r="D4631" t="str">
            <v>Hcp Plastene Bulkpack Ltd (Unit Iv) - Sales</v>
          </cell>
          <cell r="AB4631" t="str">
            <v>24AABCG1282C2Z6</v>
          </cell>
        </row>
        <row r="4632">
          <cell r="D4632" t="str">
            <v>Hcp Plastene Bulkpack Ltd (Unit Iv) - Sales</v>
          </cell>
          <cell r="AB4632" t="str">
            <v>24AABCG1282C2Z6</v>
          </cell>
        </row>
        <row r="4633">
          <cell r="D4633" t="str">
            <v>Hcp Plastene Bulkpack Ltd (Unit Iv) - Sales</v>
          </cell>
          <cell r="AB4633" t="str">
            <v>24AABCG1282C2Z6</v>
          </cell>
        </row>
        <row r="4634">
          <cell r="D4634" t="str">
            <v>Hcp Plastene Bulkpack Ltd (Unit Iv) - Sales</v>
          </cell>
          <cell r="AB4634" t="str">
            <v>24AABCG1282C2Z6</v>
          </cell>
        </row>
        <row r="4635">
          <cell r="D4635" t="str">
            <v>Hcp Plastene Bulkpack Ltd (Unit Iv) - Sales</v>
          </cell>
          <cell r="AB4635" t="str">
            <v>24AABCG1282C2Z6</v>
          </cell>
        </row>
        <row r="4636">
          <cell r="D4636" t="str">
            <v>Hcp Plastene Bulkpack Ltd (Unit Iv) - Sales</v>
          </cell>
          <cell r="AB4636" t="str">
            <v>24AABCG1282C2Z6</v>
          </cell>
        </row>
        <row r="4637">
          <cell r="D4637" t="str">
            <v>Hcp Plastene Bulkpack Ltd (Unit Iv) - Sales</v>
          </cell>
          <cell r="AB4637" t="str">
            <v>24AABCG1282C2Z6</v>
          </cell>
        </row>
        <row r="4638">
          <cell r="D4638" t="str">
            <v>Hcp Plastene Bulkpack Ltd (Unit Iv) - Sales</v>
          </cell>
          <cell r="AB4638" t="str">
            <v>24AABCG1282C2Z6</v>
          </cell>
        </row>
        <row r="4639">
          <cell r="D4639" t="str">
            <v>Hcp Plastene Bulkpack Ltd (Unit Iv) - Sales</v>
          </cell>
          <cell r="AB4639" t="str">
            <v>24AABCG1282C2Z6</v>
          </cell>
        </row>
        <row r="4640">
          <cell r="D4640" t="str">
            <v>Hcp Plastene Bulkpack Ltd (Unit Iv) - Sales</v>
          </cell>
          <cell r="AB4640" t="str">
            <v>24AABCG1282C2Z6</v>
          </cell>
        </row>
        <row r="4641">
          <cell r="D4641" t="str">
            <v>Hcp Plastene Bulkpack Ltd (Unit Iv) - Sales</v>
          </cell>
          <cell r="AB4641" t="str">
            <v>24AABCG1282C2Z6</v>
          </cell>
        </row>
        <row r="4642">
          <cell r="D4642" t="str">
            <v>Hcp Plastene Bulkpack Ltd (Unit Iv) - Sales</v>
          </cell>
          <cell r="AB4642" t="str">
            <v>24AABCG1282C2Z6</v>
          </cell>
        </row>
        <row r="4643">
          <cell r="D4643" t="str">
            <v>Hcp Plastene Bulkpack Ltd (Unit Iv) - Sales</v>
          </cell>
          <cell r="AB4643" t="str">
            <v>24AABCG1282C2Z6</v>
          </cell>
        </row>
        <row r="4644">
          <cell r="D4644" t="str">
            <v>Hcp Plastene Bulkpack Ltd (Unit Iv) - Sales</v>
          </cell>
          <cell r="AB4644" t="str">
            <v>24AABCG1282C2Z6</v>
          </cell>
        </row>
        <row r="4645">
          <cell r="D4645" t="str">
            <v>Hcp Plastene Bulkpack Ltd (Unit Iv) - Sales</v>
          </cell>
          <cell r="AB4645" t="str">
            <v>24AABCG1282C2Z6</v>
          </cell>
        </row>
        <row r="4646">
          <cell r="D4646" t="str">
            <v>Hcp Plastene Bulkpack Ltd (Unit Iv) - Sales</v>
          </cell>
          <cell r="AB4646" t="str">
            <v>24AABCG1282C2Z6</v>
          </cell>
        </row>
        <row r="4647">
          <cell r="D4647" t="str">
            <v>Hcp Plastene Bulkpack Ltd (Unit Iv) - Sales</v>
          </cell>
          <cell r="AB4647" t="str">
            <v>24AABCG1282C2Z6</v>
          </cell>
        </row>
        <row r="4648">
          <cell r="D4648" t="str">
            <v>Hcp Plastene Bulkpack Ltd (Unit Iv) - Sales</v>
          </cell>
          <cell r="AB4648" t="str">
            <v>24AABCG1282C2Z6</v>
          </cell>
        </row>
        <row r="4649">
          <cell r="D4649" t="str">
            <v>Hcp Plastene Bulkpack Ltd (Unit Iv) - Sales</v>
          </cell>
          <cell r="AB4649" t="str">
            <v>24AABCG1282C2Z6</v>
          </cell>
        </row>
        <row r="4650">
          <cell r="D4650" t="str">
            <v>Hcp Plastene Bulkpack Ltd (Unit Iv) - Sales</v>
          </cell>
          <cell r="AB4650" t="str">
            <v>24AABCG1282C2Z6</v>
          </cell>
        </row>
        <row r="4651">
          <cell r="D4651" t="str">
            <v>Hcp Plastene Bulkpack Ltd (Unit Iv) - Sales</v>
          </cell>
          <cell r="AB4651" t="str">
            <v>24AABCG1282C2Z6</v>
          </cell>
        </row>
        <row r="4652">
          <cell r="D4652" t="str">
            <v>Hcp Plastene Bulkpack Ltd (Unit Iv) - Sales</v>
          </cell>
          <cell r="AB4652" t="str">
            <v>24AABCG1282C2Z6</v>
          </cell>
        </row>
        <row r="4653">
          <cell r="D4653" t="str">
            <v>Hcp Plastene Bulkpack Ltd (Unit Iv) - Sales</v>
          </cell>
          <cell r="AB4653" t="str">
            <v>24AABCG1282C2Z6</v>
          </cell>
        </row>
        <row r="4654">
          <cell r="D4654" t="str">
            <v>Hcp Plastene Bulkpack Ltd (Unit Iv) - Sales</v>
          </cell>
          <cell r="AB4654" t="str">
            <v>24AABCG1282C2Z6</v>
          </cell>
        </row>
        <row r="4655">
          <cell r="D4655" t="str">
            <v>Hcp Plastene Bulkpack Ltd (Unit Iv) - Sales</v>
          </cell>
          <cell r="AB4655" t="str">
            <v>24AABCG1282C2Z6</v>
          </cell>
        </row>
        <row r="4656">
          <cell r="D4656" t="str">
            <v>Hcp Plastene Bulkpack Ltd (Unit Iv) - Sales</v>
          </cell>
          <cell r="AB4656" t="str">
            <v>24AABCG1282C2Z6</v>
          </cell>
        </row>
        <row r="4657">
          <cell r="D4657" t="str">
            <v>Hcp Plastene Bulkpack Ltd (Unit Iv) - Sales</v>
          </cell>
          <cell r="AB4657" t="str">
            <v>24AABCG1282C2Z6</v>
          </cell>
        </row>
        <row r="4658">
          <cell r="D4658" t="str">
            <v>Hcp Plastene Bulkpack Ltd (Unit Iv) - Sales</v>
          </cell>
          <cell r="AB4658" t="str">
            <v>24AABCG1282C2Z6</v>
          </cell>
        </row>
        <row r="4659">
          <cell r="D4659" t="str">
            <v>Hcp Plastene Bulkpack Ltd (Unit Iv) - Sales</v>
          </cell>
          <cell r="AB4659" t="str">
            <v>24AABCG1282C2Z6</v>
          </cell>
        </row>
        <row r="4660">
          <cell r="D4660" t="str">
            <v>Hcp Plastene Bulkpack Ltd (Unit Iv) - Sales</v>
          </cell>
          <cell r="AB4660" t="str">
            <v>24AABCG1282C2Z6</v>
          </cell>
        </row>
        <row r="4661">
          <cell r="D4661" t="str">
            <v>Hcp Plastene Bulkpack Ltd (Unit Iv) - Sales</v>
          </cell>
          <cell r="AB4661" t="str">
            <v>24AABCG1282C2Z6</v>
          </cell>
        </row>
        <row r="4662">
          <cell r="D4662" t="str">
            <v>Hcp Plastene Bulkpack Ltd (Unit Iv) - Sales</v>
          </cell>
          <cell r="AB4662" t="str">
            <v>24AABCG1282C2Z6</v>
          </cell>
        </row>
        <row r="4663">
          <cell r="D4663" t="str">
            <v>Hcp Plastene Bulkpack Ltd (Unit Iv) - Sales</v>
          </cell>
          <cell r="AB4663" t="str">
            <v>24AABCG1282C2Z6</v>
          </cell>
        </row>
        <row r="4664">
          <cell r="D4664" t="str">
            <v>Hcp Plastene Bulkpack Ltd (Unit Iv) - Sales</v>
          </cell>
          <cell r="AB4664" t="str">
            <v>24AABCG1282C2Z6</v>
          </cell>
        </row>
        <row r="4665">
          <cell r="D4665" t="str">
            <v>Hcp Plastene Bulkpack Ltd (Unit Iv) - Sales</v>
          </cell>
          <cell r="AB4665" t="str">
            <v>24AABCG1282C2Z6</v>
          </cell>
        </row>
        <row r="4666">
          <cell r="D4666" t="str">
            <v>Hcp Plastene Bulkpack Ltd (Unit Iv) - Sales</v>
          </cell>
          <cell r="AB4666" t="str">
            <v>24AABCG1282C2Z6</v>
          </cell>
        </row>
        <row r="4667">
          <cell r="D4667" t="str">
            <v>Hcp Plastene Bulkpack Ltd (Unit Iv) - Sales</v>
          </cell>
          <cell r="AB4667" t="str">
            <v>24AABCG1282C2Z6</v>
          </cell>
        </row>
        <row r="4668">
          <cell r="D4668" t="str">
            <v>Hcp Plastene Bulkpack Ltd (Unit Iv) - Sales</v>
          </cell>
          <cell r="AB4668" t="str">
            <v>24AABCG1282C2Z6</v>
          </cell>
        </row>
        <row r="4669">
          <cell r="D4669" t="str">
            <v>Hcp Plastene Bulkpack Ltd (Unit Iv) - Sales</v>
          </cell>
          <cell r="AB4669" t="str">
            <v>24AABCG1282C2Z6</v>
          </cell>
        </row>
        <row r="4670">
          <cell r="D4670" t="str">
            <v>Hcp Plastene Bulkpack Ltd (Unit Iv) - Sales</v>
          </cell>
          <cell r="AB4670" t="str">
            <v>24AABCG1282C2Z6</v>
          </cell>
        </row>
        <row r="4671">
          <cell r="D4671" t="str">
            <v>Hcp Plastene Bulkpack Ltd (Unit Iv) - Sales</v>
          </cell>
          <cell r="AB4671" t="str">
            <v>24AABCG1282C2Z6</v>
          </cell>
        </row>
        <row r="4672">
          <cell r="D4672" t="str">
            <v>Hcp Plastene Bulkpack Ltd (Unit Iv) - Sales</v>
          </cell>
          <cell r="AB4672" t="str">
            <v>24AABCG1282C2Z6</v>
          </cell>
        </row>
        <row r="4673">
          <cell r="D4673" t="str">
            <v>Hcp Plastene Bulkpack Ltd (Unit Iv) - Sales</v>
          </cell>
          <cell r="AB4673" t="str">
            <v>24AABCG1282C2Z6</v>
          </cell>
        </row>
        <row r="4674">
          <cell r="D4674" t="str">
            <v>Hcp Plastene Bulkpack Ltd (Unit Iv) - Sales</v>
          </cell>
          <cell r="AB4674" t="str">
            <v>24AABCG1282C2Z6</v>
          </cell>
        </row>
        <row r="4675">
          <cell r="D4675" t="str">
            <v>Hcp Plastene Bulkpack Ltd (Unit Iv) - Sales</v>
          </cell>
          <cell r="AB4675" t="str">
            <v>24AABCG1282C2Z6</v>
          </cell>
        </row>
        <row r="4676">
          <cell r="D4676" t="str">
            <v>Hcp Plastene Bulkpack Ltd (Unit Iv) - Sales</v>
          </cell>
          <cell r="AB4676" t="str">
            <v>24AABCG1282C2Z6</v>
          </cell>
        </row>
        <row r="4677">
          <cell r="D4677" t="str">
            <v>Hcp Plastene Bulkpack Ltd (Unit Iv) - Sales</v>
          </cell>
          <cell r="AB4677" t="str">
            <v>24AABCG1282C2Z6</v>
          </cell>
        </row>
        <row r="4678">
          <cell r="D4678" t="str">
            <v>Hcp Plastene Bulkpack Ltd (Unit Iv) - Sales</v>
          </cell>
          <cell r="AB4678" t="str">
            <v>24AABCG1282C2Z6</v>
          </cell>
        </row>
        <row r="4679">
          <cell r="D4679" t="str">
            <v>Hcp Plastene Bulkpack Ltd (Unit Iv) - Sales</v>
          </cell>
          <cell r="AB4679" t="str">
            <v>24AABCG1282C2Z6</v>
          </cell>
        </row>
        <row r="4680">
          <cell r="D4680" t="str">
            <v>Hcp Plastene Bulkpack Ltd (Unit Iv) - Sales</v>
          </cell>
          <cell r="AB4680" t="str">
            <v>24AABCG1282C2Z6</v>
          </cell>
        </row>
        <row r="4681">
          <cell r="D4681" t="str">
            <v>Hcp Plastene Bulkpack Ltd (Unit Iv) - Sales</v>
          </cell>
          <cell r="AB4681" t="str">
            <v>24AABCG1282C2Z6</v>
          </cell>
        </row>
        <row r="4682">
          <cell r="D4682" t="str">
            <v>Hcp Plastene Bulkpack Ltd (Unit Iv) - Sales</v>
          </cell>
          <cell r="AB4682" t="str">
            <v>24AABCG1282C2Z6</v>
          </cell>
        </row>
        <row r="4683">
          <cell r="D4683" t="str">
            <v>Hcp Plastene Bulkpack Ltd (Unit Iv) - Sales</v>
          </cell>
          <cell r="AB4683" t="str">
            <v>24AABCG1282C2Z6</v>
          </cell>
        </row>
        <row r="4684">
          <cell r="D4684" t="str">
            <v>Hcp Plastene Bulkpack Ltd (Unit Iv) - Sales</v>
          </cell>
          <cell r="AB4684" t="str">
            <v>24AABCG1282C2Z6</v>
          </cell>
        </row>
        <row r="4685">
          <cell r="D4685" t="str">
            <v>Hcp Plastene Bulkpack Ltd (Unit Iv) - Sales</v>
          </cell>
          <cell r="AB4685" t="str">
            <v>24AABCG1282C2Z6</v>
          </cell>
        </row>
        <row r="4686">
          <cell r="D4686" t="str">
            <v>Hcp Plastene Bulkpack Ltd (Unit Iv) - Sales</v>
          </cell>
          <cell r="AB4686" t="str">
            <v>24AABCG1282C2Z6</v>
          </cell>
        </row>
        <row r="4687">
          <cell r="D4687" t="str">
            <v>Hcp Plastene Bulkpack Ltd (Unit Iv) - Sales</v>
          </cell>
          <cell r="AB4687" t="str">
            <v>24AABCG1282C2Z6</v>
          </cell>
        </row>
        <row r="4688">
          <cell r="D4688" t="str">
            <v>Hcp Plastene Bulkpack Ltd (Unit Iv) - Sales</v>
          </cell>
          <cell r="AB4688" t="str">
            <v>24AABCG1282C2Z6</v>
          </cell>
        </row>
        <row r="4689">
          <cell r="D4689" t="str">
            <v>Hcp Plastene Bulkpack Ltd (Unit Iv) - Sales</v>
          </cell>
          <cell r="AB4689" t="str">
            <v>24AABCG1282C2Z6</v>
          </cell>
        </row>
        <row r="4690">
          <cell r="D4690" t="str">
            <v>Hcp Plastene Bulkpack Ltd (Unit Iv) - Sales</v>
          </cell>
          <cell r="AB4690" t="str">
            <v>24AABCG1282C2Z6</v>
          </cell>
        </row>
        <row r="4691">
          <cell r="D4691" t="str">
            <v>Hcp Plastene Bulkpack Ltd (Unit Iv) - Sales</v>
          </cell>
          <cell r="AB4691" t="str">
            <v>24AABCG1282C2Z6</v>
          </cell>
        </row>
        <row r="4692">
          <cell r="D4692" t="str">
            <v>Hcp Plastene Bulkpack Ltd (Unit Iv) - Sales</v>
          </cell>
          <cell r="AB4692" t="str">
            <v>24AABCG1282C2Z6</v>
          </cell>
        </row>
        <row r="4693">
          <cell r="D4693" t="str">
            <v>Hcp Plastene Bulkpack Ltd (Unit Iv) - Sales</v>
          </cell>
          <cell r="AB4693" t="str">
            <v>24AABCG1282C2Z6</v>
          </cell>
        </row>
        <row r="4694">
          <cell r="D4694" t="str">
            <v>Hcp Plastene Bulkpack Ltd (Unit Iv) - Sales</v>
          </cell>
          <cell r="AB4694" t="str">
            <v>24AABCG1282C2Z6</v>
          </cell>
        </row>
        <row r="4695">
          <cell r="D4695" t="str">
            <v>Hcp Plastene Bulkpack Ltd (Unit Iv) - Sales</v>
          </cell>
          <cell r="AB4695" t="str">
            <v>24AABCG1282C2Z6</v>
          </cell>
        </row>
        <row r="4696">
          <cell r="D4696" t="str">
            <v>Hcp Plastene Bulkpack Ltd (Unit Iv) - Sales</v>
          </cell>
          <cell r="AB4696" t="str">
            <v>24AABCG1282C2Z6</v>
          </cell>
        </row>
        <row r="4697">
          <cell r="D4697" t="str">
            <v>Hcp Plastene Bulkpack Ltd (Unit Iv) - Sales</v>
          </cell>
          <cell r="AB4697" t="str">
            <v>24AABCG1282C2Z6</v>
          </cell>
        </row>
        <row r="4698">
          <cell r="D4698" t="str">
            <v>Hcp Plastene Bulkpack Ltd (Unit Iv) - Sales</v>
          </cell>
          <cell r="AB4698" t="str">
            <v>24AABCG1282C2Z6</v>
          </cell>
        </row>
        <row r="4699">
          <cell r="D4699" t="str">
            <v>Hcp Plastene Bulkpack Ltd (Unit Iv) - Sales</v>
          </cell>
          <cell r="AB4699" t="str">
            <v>24AABCG1282C2Z6</v>
          </cell>
        </row>
        <row r="4700">
          <cell r="D4700" t="str">
            <v>Hcp Plastene Bulkpack Ltd (Unit Iv) - Sales</v>
          </cell>
          <cell r="AB4700" t="str">
            <v>24AABCG1282C2Z6</v>
          </cell>
        </row>
        <row r="4701">
          <cell r="D4701" t="str">
            <v>Hcp Plastene Bulkpack Ltd (Unit Iv) - Sales</v>
          </cell>
          <cell r="AB4701" t="str">
            <v>24AABCG1282C2Z6</v>
          </cell>
        </row>
        <row r="4702">
          <cell r="D4702" t="str">
            <v>Hcp Plastene Bulkpack Ltd (Unit Iv) - Sales</v>
          </cell>
          <cell r="AB4702" t="str">
            <v>24AABCG1282C2Z6</v>
          </cell>
        </row>
        <row r="4703">
          <cell r="D4703" t="str">
            <v>Hcp Plastene Bulkpack Ltd (Unit Iv) - Sales</v>
          </cell>
          <cell r="AB4703" t="str">
            <v>24AABCG1282C2Z6</v>
          </cell>
        </row>
        <row r="4704">
          <cell r="D4704" t="str">
            <v>Hcp Plastene Bulkpack Ltd (Unit Iv) - Sales</v>
          </cell>
          <cell r="AB4704" t="str">
            <v>24AABCG1282C2Z6</v>
          </cell>
        </row>
        <row r="4705">
          <cell r="D4705" t="str">
            <v>Hcp Plastene Bulkpack Ltd (Unit Iv) - Sales</v>
          </cell>
          <cell r="AB4705" t="str">
            <v>24AABCG1282C2Z6</v>
          </cell>
        </row>
        <row r="4706">
          <cell r="D4706" t="str">
            <v>Hcp Plastene Bulkpack Ltd (Unit Iv) - Sales</v>
          </cell>
          <cell r="AB4706" t="str">
            <v>24AABCG1282C2Z6</v>
          </cell>
        </row>
        <row r="4707">
          <cell r="D4707" t="str">
            <v>Hcp Plastene Bulkpack Ltd (Unit Iv) - Sales</v>
          </cell>
          <cell r="AB4707" t="str">
            <v>24AABCG1282C2Z6</v>
          </cell>
        </row>
        <row r="4708">
          <cell r="D4708" t="str">
            <v>Hcp Plastene Bulkpack Ltd (Unit Iv) - Sales</v>
          </cell>
          <cell r="AB4708" t="str">
            <v>24AABCG1282C2Z6</v>
          </cell>
        </row>
        <row r="4709">
          <cell r="D4709" t="str">
            <v>Hcp Plastene Bulkpack Ltd (Unit Iv) - Sales</v>
          </cell>
          <cell r="AB4709" t="str">
            <v>24AABCG1282C2Z6</v>
          </cell>
        </row>
        <row r="4710">
          <cell r="D4710" t="str">
            <v>Hcp Plastene Bulkpack Ltd (Unit Iv) - Sales</v>
          </cell>
          <cell r="AB4710" t="str">
            <v>24AABCG1282C2Z6</v>
          </cell>
        </row>
        <row r="4711">
          <cell r="D4711" t="str">
            <v>Hcp Plastene Bulkpack Ltd (Unit Iv) - Sales</v>
          </cell>
          <cell r="AB4711" t="str">
            <v>24AABCG1282C2Z6</v>
          </cell>
        </row>
        <row r="4712">
          <cell r="D4712" t="str">
            <v>Hcp Plastene Bulkpack Ltd (Unit Iv) - Sales</v>
          </cell>
          <cell r="AB4712" t="str">
            <v>24AABCG1282C2Z6</v>
          </cell>
        </row>
        <row r="4713">
          <cell r="D4713" t="str">
            <v>Hcp Plastene Bulkpack Ltd (Unit Iv) - Sales</v>
          </cell>
          <cell r="AB4713" t="str">
            <v>24AABCG1282C2Z6</v>
          </cell>
        </row>
        <row r="4714">
          <cell r="D4714" t="str">
            <v>Hcp Plastene Bulkpack Ltd (Unit Iv) - Sales</v>
          </cell>
          <cell r="AB4714" t="str">
            <v>24AABCG1282C2Z6</v>
          </cell>
        </row>
        <row r="4715">
          <cell r="D4715" t="str">
            <v>Hcp Plastene Bulkpack Ltd (Unit Iv) - Sales</v>
          </cell>
          <cell r="AB4715" t="str">
            <v>24AABCG1282C2Z6</v>
          </cell>
        </row>
        <row r="4716">
          <cell r="D4716" t="str">
            <v>Hcp Plastene Bulkpack Ltd (Unit Iv) - Sales</v>
          </cell>
          <cell r="AB4716" t="str">
            <v>24AABCG1282C2Z6</v>
          </cell>
        </row>
        <row r="4717">
          <cell r="D4717" t="str">
            <v>Hcp Plastene Bulkpack Ltd (Unit Iv) - Sales</v>
          </cell>
          <cell r="AB4717" t="str">
            <v>24AABCG1282C2Z6</v>
          </cell>
        </row>
        <row r="4718">
          <cell r="D4718" t="str">
            <v>Hcp Plastene Bulkpack Ltd (Unit Iv) - Sales</v>
          </cell>
          <cell r="AB4718" t="str">
            <v>24AABCG1282C2Z6</v>
          </cell>
        </row>
        <row r="4719">
          <cell r="D4719" t="str">
            <v>Hcp Plastene Bulkpack Ltd (Unit Iv) - Sales</v>
          </cell>
          <cell r="AB4719" t="str">
            <v>24AABCG1282C2Z6</v>
          </cell>
        </row>
        <row r="4720">
          <cell r="D4720" t="str">
            <v>Hcp Plastene Bulkpack Ltd (Unit Iv) - Sales</v>
          </cell>
          <cell r="AB4720" t="str">
            <v>24AABCG1282C2Z6</v>
          </cell>
        </row>
        <row r="4721">
          <cell r="D4721" t="str">
            <v>Hcp Plastene Bulkpack Ltd (Unit Iv) - Sales</v>
          </cell>
          <cell r="AB4721" t="str">
            <v>24AABCG1282C2Z6</v>
          </cell>
        </row>
        <row r="4722">
          <cell r="D4722" t="str">
            <v>Hcp Plastene Bulkpack Ltd (Unit Iv) - Sales</v>
          </cell>
          <cell r="AB4722" t="str">
            <v>24AABCG1282C2Z6</v>
          </cell>
        </row>
        <row r="4723">
          <cell r="D4723" t="str">
            <v>Hcp Plastene Bulkpack Ltd (Unit Iv) - Sales</v>
          </cell>
          <cell r="AB4723" t="str">
            <v>24AABCG1282C2Z6</v>
          </cell>
        </row>
        <row r="4724">
          <cell r="D4724" t="str">
            <v>Hcp Plastene Bulkpack Ltd (Unit Iv) - Sales</v>
          </cell>
          <cell r="AB4724" t="str">
            <v>24AABCG1282C2Z6</v>
          </cell>
        </row>
        <row r="4725">
          <cell r="D4725" t="str">
            <v>Hcp Plastene Bulkpack Ltd (Unit Iv) - Sales</v>
          </cell>
          <cell r="AB4725" t="str">
            <v>24AABCG1282C2Z6</v>
          </cell>
        </row>
        <row r="4726">
          <cell r="D4726" t="str">
            <v>Hcp Plastene Bulkpack Ltd (Unit Iv) - Sales</v>
          </cell>
          <cell r="AB4726" t="str">
            <v>24AABCG1282C2Z6</v>
          </cell>
        </row>
        <row r="4727">
          <cell r="D4727" t="str">
            <v>Hcp Plastene Bulkpack Ltd (Unit Iv) - Sales</v>
          </cell>
          <cell r="AB4727" t="str">
            <v>24AABCG1282C2Z6</v>
          </cell>
        </row>
        <row r="4728">
          <cell r="D4728" t="str">
            <v>Hcp Plastene Bulkpack Ltd (Unit Iv) - Sales</v>
          </cell>
          <cell r="AB4728" t="str">
            <v>24AABCG1282C2Z6</v>
          </cell>
        </row>
        <row r="4729">
          <cell r="D4729" t="str">
            <v>Hcp Plastene Bulkpack Ltd (Unit Iv) - Sales</v>
          </cell>
          <cell r="AB4729" t="str">
            <v>24AABCG1282C2Z6</v>
          </cell>
        </row>
        <row r="4730">
          <cell r="D4730" t="str">
            <v>Hcp Plastene Bulkpack Ltd (Unit Iv) - Sales</v>
          </cell>
          <cell r="AB4730" t="str">
            <v>24AABCG1282C2Z6</v>
          </cell>
        </row>
        <row r="4731">
          <cell r="D4731" t="str">
            <v>Hcp Plastene Bulkpack Ltd (Unit Iv) - Sales</v>
          </cell>
          <cell r="AB4731" t="str">
            <v>24AABCG1282C2Z6</v>
          </cell>
        </row>
        <row r="4732">
          <cell r="D4732" t="str">
            <v>Hcp Plastene Bulkpack Ltd (Unit Iv) - Sales</v>
          </cell>
          <cell r="AB4732" t="str">
            <v>24AABCG1282C2Z6</v>
          </cell>
        </row>
        <row r="4733">
          <cell r="D4733" t="str">
            <v>Hcp Plastene Bulkpack Ltd (Unit Iv) - Sales</v>
          </cell>
          <cell r="AB4733" t="str">
            <v>24AABCG1282C2Z6</v>
          </cell>
        </row>
        <row r="4734">
          <cell r="D4734" t="str">
            <v>Hcp Plastene Bulkpack Ltd (Unit Iv) - Sales</v>
          </cell>
          <cell r="AB4734" t="str">
            <v>24AABCG1282C2Z6</v>
          </cell>
        </row>
        <row r="4735">
          <cell r="D4735" t="str">
            <v>Hcp Plastene Bulkpack Ltd (Unit Iv) - Sales</v>
          </cell>
          <cell r="AB4735" t="str">
            <v>24AABCG1282C2Z6</v>
          </cell>
        </row>
        <row r="4736">
          <cell r="D4736" t="str">
            <v>Hcp Plastene Bulkpack Ltd (Unit Iv) - Sales</v>
          </cell>
          <cell r="AB4736" t="str">
            <v>24AABCG1282C2Z6</v>
          </cell>
        </row>
        <row r="4737">
          <cell r="D4737" t="str">
            <v>Hcp Plastene Bulkpack Ltd (Unit Iv) - Sales</v>
          </cell>
          <cell r="AB4737" t="str">
            <v>24AABCG1282C2Z6</v>
          </cell>
        </row>
        <row r="4738">
          <cell r="D4738" t="str">
            <v>Hcp Plastene Bulkpack Ltd (Unit Iv) - Sales</v>
          </cell>
          <cell r="AB4738" t="str">
            <v>24AABCG1282C2Z6</v>
          </cell>
        </row>
        <row r="4739">
          <cell r="D4739" t="str">
            <v>Hcp Plastene Bulkpack Ltd (Unit Iv) - Sales</v>
          </cell>
          <cell r="AB4739" t="str">
            <v>24AABCG1282C2Z6</v>
          </cell>
        </row>
        <row r="4740">
          <cell r="D4740" t="str">
            <v>Hcp Plastene Bulkpack Ltd (Unit Iv) - Sales</v>
          </cell>
          <cell r="AB4740" t="str">
            <v>24AABCG1282C2Z6</v>
          </cell>
        </row>
        <row r="4741">
          <cell r="D4741" t="str">
            <v>Hcp Plastene Bulkpack Ltd (Unit Iv) - Sales</v>
          </cell>
          <cell r="AB4741" t="str">
            <v>24AABCG1282C2Z6</v>
          </cell>
        </row>
        <row r="4742">
          <cell r="D4742" t="str">
            <v>Hcp Plastene Bulkpack Ltd (Unit Iv) - Sales</v>
          </cell>
          <cell r="AB4742" t="str">
            <v>24AABCG1282C2Z6</v>
          </cell>
        </row>
        <row r="4743">
          <cell r="D4743" t="str">
            <v>Hcp Plastene Bulkpack Ltd (Unit Iv) - Sales</v>
          </cell>
          <cell r="AB4743" t="str">
            <v>24AABCG1282C2Z6</v>
          </cell>
        </row>
        <row r="4744">
          <cell r="D4744" t="str">
            <v>Hcp Plastene Bulkpack Ltd (Unit Iv) - Sales</v>
          </cell>
          <cell r="AB4744" t="str">
            <v>24AABCG1282C2Z6</v>
          </cell>
        </row>
        <row r="4745">
          <cell r="D4745" t="str">
            <v>Hcp Plastene Bulkpack Ltd (Unit Iv) - Sales</v>
          </cell>
          <cell r="AB4745" t="str">
            <v>24AABCG1282C2Z6</v>
          </cell>
        </row>
        <row r="4746">
          <cell r="D4746" t="str">
            <v>Hcp Plastene Bulkpack Ltd (Unit Iv) - Sales</v>
          </cell>
          <cell r="AB4746" t="str">
            <v>24AABCG1282C2Z6</v>
          </cell>
        </row>
        <row r="4747">
          <cell r="D4747" t="str">
            <v>Hcp Plastene Bulkpack Ltd (Unit Iv) - Sales</v>
          </cell>
          <cell r="AB4747" t="str">
            <v>24AABCG1282C2Z6</v>
          </cell>
        </row>
        <row r="4748">
          <cell r="D4748" t="str">
            <v>Hcp Plastene Bulkpack Ltd (Unit Iv) - Sales</v>
          </cell>
          <cell r="AB4748" t="str">
            <v>24AABCG1282C2Z6</v>
          </cell>
        </row>
        <row r="4749">
          <cell r="D4749" t="str">
            <v>Hcp Plastene Bulkpack Ltd (Unit Iv) - Sales</v>
          </cell>
          <cell r="AB4749" t="str">
            <v>24AABCG1282C2Z6</v>
          </cell>
        </row>
        <row r="4750">
          <cell r="D4750" t="str">
            <v>Hcp Plastene Bulkpack Ltd (Unit Iv) - Sales</v>
          </cell>
          <cell r="AB4750" t="str">
            <v>24AABCG1282C2Z6</v>
          </cell>
        </row>
        <row r="4751">
          <cell r="D4751" t="str">
            <v>Hcp Plastene Bulkpack Ltd (Unit Iv) - Sales</v>
          </cell>
          <cell r="AB4751" t="str">
            <v>24AABCG1282C2Z6</v>
          </cell>
        </row>
        <row r="4752">
          <cell r="D4752" t="str">
            <v>Hcp Plastene Bulkpack Ltd (Unit Iv) - Sales</v>
          </cell>
          <cell r="AB4752" t="str">
            <v>24AABCG1282C2Z6</v>
          </cell>
        </row>
        <row r="4753">
          <cell r="D4753" t="str">
            <v>Hcp Plastene Bulkpack Ltd (Unit Iv) - Sales</v>
          </cell>
          <cell r="AB4753" t="str">
            <v>24AABCG1282C2Z6</v>
          </cell>
        </row>
        <row r="4754">
          <cell r="D4754" t="str">
            <v>Hcp Plastene Bulkpack Ltd (Unit Iv) - Sales</v>
          </cell>
          <cell r="AB4754" t="str">
            <v>24AABCG1282C2Z6</v>
          </cell>
        </row>
        <row r="4755">
          <cell r="D4755" t="str">
            <v>Hcp Plastene Bulkpack Ltd (Unit Iv) - Sales</v>
          </cell>
          <cell r="AB4755" t="str">
            <v>24AABCG1282C2Z6</v>
          </cell>
        </row>
        <row r="4756">
          <cell r="D4756" t="str">
            <v>Hcp Plastene Bulkpack Ltd (Unit Iv) - Sales</v>
          </cell>
          <cell r="AB4756" t="str">
            <v>24AABCG1282C2Z6</v>
          </cell>
        </row>
        <row r="4757">
          <cell r="D4757" t="str">
            <v>Hcp Plastene Bulkpack Ltd (Unit Iv) - Sales</v>
          </cell>
          <cell r="AB4757" t="str">
            <v>24AABCG1282C2Z6</v>
          </cell>
        </row>
        <row r="4758">
          <cell r="D4758" t="str">
            <v>Hcp Plastene Bulkpack Ltd (Unit Iv) - Sales</v>
          </cell>
          <cell r="AB4758" t="str">
            <v>24AABCG1282C2Z6</v>
          </cell>
        </row>
        <row r="4759">
          <cell r="D4759" t="str">
            <v>Hcp Plastene Bulkpack Ltd (Unit Iv) - Sales</v>
          </cell>
          <cell r="AB4759" t="str">
            <v>24AABCG1282C2Z6</v>
          </cell>
        </row>
        <row r="4760">
          <cell r="D4760" t="str">
            <v>Hcp Plastene Bulkpack Ltd (Unit Iv) - Sales</v>
          </cell>
          <cell r="AB4760" t="str">
            <v>24AABCG1282C2Z6</v>
          </cell>
        </row>
        <row r="4761">
          <cell r="D4761" t="str">
            <v>Hcp Plastene Bulkpack Ltd (Unit Iv) - Sales</v>
          </cell>
          <cell r="AB4761" t="str">
            <v>24AABCG1282C2Z6</v>
          </cell>
        </row>
        <row r="4762">
          <cell r="D4762" t="str">
            <v>Hcp Plastene Bulkpack Ltd (Unit Iv) - Sales</v>
          </cell>
          <cell r="AB4762" t="str">
            <v>24AABCG1282C2Z6</v>
          </cell>
        </row>
        <row r="4763">
          <cell r="D4763" t="str">
            <v>Hcp Plastene Bulkpack Ltd (Unit Iv) - Sales</v>
          </cell>
          <cell r="AB4763" t="str">
            <v>24AABCG1282C2Z6</v>
          </cell>
        </row>
        <row r="4764">
          <cell r="D4764" t="str">
            <v>Hcp Plastene Bulkpack Ltd (Unit Iv) - Sales</v>
          </cell>
          <cell r="AB4764" t="str">
            <v>24AABCG1282C2Z6</v>
          </cell>
        </row>
        <row r="4765">
          <cell r="D4765" t="str">
            <v>Hcp Plastene Bulkpack Ltd (Unit Iv) - Sales</v>
          </cell>
          <cell r="AB4765" t="str">
            <v>24AABCG1282C2Z6</v>
          </cell>
        </row>
        <row r="4766">
          <cell r="D4766" t="str">
            <v>Hcp Plastene Bulkpack Ltd (Unit Iv) - Sales</v>
          </cell>
          <cell r="AB4766" t="str">
            <v>24AABCG1282C2Z6</v>
          </cell>
        </row>
        <row r="4767">
          <cell r="D4767" t="str">
            <v>Hcp Plastene Bulkpack Ltd (Unit Iv) - Sales</v>
          </cell>
          <cell r="AB4767" t="str">
            <v>24AABCG1282C2Z6</v>
          </cell>
        </row>
        <row r="4768">
          <cell r="D4768" t="str">
            <v>Hcp Plastene Bulkpack Ltd (Unit Iv) - Sales</v>
          </cell>
          <cell r="AB4768" t="str">
            <v>24AABCG1282C2Z6</v>
          </cell>
        </row>
        <row r="4769">
          <cell r="D4769" t="str">
            <v>Hcp Plastene Bulkpack Ltd (Unit Iv) - Sales</v>
          </cell>
          <cell r="AB4769" t="str">
            <v>24AABCG1282C2Z6</v>
          </cell>
        </row>
        <row r="4770">
          <cell r="D4770" t="str">
            <v>Hcp Plastene Bulkpack Ltd (Unit Iv) - Sales</v>
          </cell>
          <cell r="AB4770" t="str">
            <v>24AABCG1282C2Z6</v>
          </cell>
        </row>
        <row r="4771">
          <cell r="D4771" t="str">
            <v>Hcp Plastene Bulkpack Ltd (Unit Iv) - Sales</v>
          </cell>
          <cell r="AB4771" t="str">
            <v>24AABCG1282C2Z6</v>
          </cell>
        </row>
        <row r="4772">
          <cell r="D4772" t="str">
            <v>Hcp Plastene Bulkpack Ltd (Unit Iv) - Sales</v>
          </cell>
          <cell r="AB4772" t="str">
            <v>24AABCG1282C2Z6</v>
          </cell>
        </row>
        <row r="4773">
          <cell r="D4773" t="str">
            <v>Hcp Plastene Bulkpack Ltd (Unit Iv) - Sales</v>
          </cell>
          <cell r="AB4773" t="str">
            <v>24AABCG1282C2Z6</v>
          </cell>
        </row>
        <row r="4774">
          <cell r="D4774" t="str">
            <v>Hcp Plastene Bulkpack Ltd (Unit Iv) - Sales</v>
          </cell>
          <cell r="AB4774" t="str">
            <v>24AABCG1282C2Z6</v>
          </cell>
        </row>
        <row r="4775">
          <cell r="D4775" t="str">
            <v>Hcp Plastene Bulkpack Ltd (Unit Iv) - Sales</v>
          </cell>
          <cell r="AB4775" t="str">
            <v>24AABCG1282C2Z6</v>
          </cell>
        </row>
        <row r="4776">
          <cell r="D4776" t="str">
            <v>Hcp Plastene Bulkpack Ltd (Unit Iv) - Sales</v>
          </cell>
          <cell r="AB4776" t="str">
            <v>24AABCG1282C2Z6</v>
          </cell>
        </row>
        <row r="4777">
          <cell r="D4777" t="str">
            <v>Hcp Plastene Bulkpack Ltd (Unit Iv) - Sales</v>
          </cell>
          <cell r="AB4777" t="str">
            <v>24AABCG1282C2Z6</v>
          </cell>
        </row>
        <row r="4778">
          <cell r="D4778" t="str">
            <v>Hcp Plastene Bulkpack Ltd (Unit Iv) - Sales</v>
          </cell>
          <cell r="AB4778" t="str">
            <v>24AABCG1282C2Z6</v>
          </cell>
        </row>
        <row r="4779">
          <cell r="D4779" t="str">
            <v>Hcp Plastene Bulkpack Ltd (Unit Iv) - Sales</v>
          </cell>
          <cell r="AB4779" t="str">
            <v>24AABCG1282C2Z6</v>
          </cell>
        </row>
        <row r="4780">
          <cell r="D4780" t="str">
            <v>Hcp Plastene Bulkpack Ltd (Unit Iv) - Sales</v>
          </cell>
          <cell r="AB4780" t="str">
            <v>24AABCG1282C2Z6</v>
          </cell>
        </row>
        <row r="4781">
          <cell r="D4781" t="str">
            <v>HCP Plastene Bulkpack Limited - Sales</v>
          </cell>
          <cell r="AB4781" t="str">
            <v>24AABCG1282C2Z6</v>
          </cell>
        </row>
        <row r="4782">
          <cell r="D4782" t="str">
            <v>HCP Plastene Bulkpack Limited - Sales</v>
          </cell>
          <cell r="AB4782" t="str">
            <v>24AABCG1282C2Z6</v>
          </cell>
        </row>
        <row r="4783">
          <cell r="D4783" t="str">
            <v>HCP Plastene Bulkpack Limited - Sales</v>
          </cell>
          <cell r="AB4783" t="str">
            <v>24AABCG1282C2Z6</v>
          </cell>
        </row>
        <row r="4784">
          <cell r="D4784" t="str">
            <v>HCP Plastene Bulkpack Limited - Sales</v>
          </cell>
          <cell r="AB4784" t="str">
            <v>24AABCG1282C2Z6</v>
          </cell>
        </row>
        <row r="4785">
          <cell r="D4785" t="str">
            <v>Hcp Plastene Bulkpack Ltd (Unit Iv) - Sales</v>
          </cell>
          <cell r="AB4785" t="str">
            <v>24AABCG1282C2Z6</v>
          </cell>
        </row>
        <row r="4786">
          <cell r="D4786" t="str">
            <v>Hcp Plastene Bulkpack Ltd (Unit Iv) - Sales</v>
          </cell>
          <cell r="AB4786" t="str">
            <v>24AABCG1282C2Z6</v>
          </cell>
        </row>
        <row r="4787">
          <cell r="D4787" t="str">
            <v>Hcp Plastene Bulkpack Ltd (Unit Iv) - Sales</v>
          </cell>
          <cell r="AB4787" t="str">
            <v>24AABCG1282C2Z6</v>
          </cell>
        </row>
        <row r="4788">
          <cell r="D4788" t="str">
            <v>Hcp Plastene Bulkpack Ltd (Unit Iv) - Sales</v>
          </cell>
          <cell r="AB4788" t="str">
            <v>24AABCG1282C2Z6</v>
          </cell>
        </row>
        <row r="4789">
          <cell r="D4789" t="str">
            <v>Hcp Plastene Bulkpack Ltd (Unit Iv) - Sales</v>
          </cell>
          <cell r="AB4789" t="str">
            <v>24AABCG1282C2Z6</v>
          </cell>
        </row>
        <row r="4790">
          <cell r="D4790" t="str">
            <v>Hcp Plastene Bulkpack Ltd (Unit Iv) - Sales</v>
          </cell>
          <cell r="AB4790" t="str">
            <v>24AABCG1282C2Z6</v>
          </cell>
        </row>
        <row r="4791">
          <cell r="D4791" t="str">
            <v>Hcp Plastene Bulkpack Ltd (Unit Iv) - Sales</v>
          </cell>
          <cell r="AB4791" t="str">
            <v>24AABCG1282C2Z6</v>
          </cell>
        </row>
        <row r="4792">
          <cell r="D4792" t="str">
            <v>Hcp Plastene Bulkpack Ltd (Unit Iv) - Sales</v>
          </cell>
          <cell r="AB4792" t="str">
            <v>24AABCG1282C2Z6</v>
          </cell>
        </row>
        <row r="4793">
          <cell r="D4793" t="str">
            <v>Hcp Plastene Bulkpack Ltd (Unit Iv) - Sales</v>
          </cell>
          <cell r="AB4793" t="str">
            <v>24AABCG1282C2Z6</v>
          </cell>
        </row>
        <row r="4794">
          <cell r="D4794" t="str">
            <v>Hcp Plastene Bulkpack Ltd (Unit Iv) - Sales</v>
          </cell>
          <cell r="AB4794" t="str">
            <v>24AABCG1282C2Z6</v>
          </cell>
        </row>
        <row r="4795">
          <cell r="D4795" t="str">
            <v>Hcp Plastene Bulkpack Ltd (Unit Iv) - Sales</v>
          </cell>
          <cell r="AB4795" t="str">
            <v>24AABCG1282C2Z6</v>
          </cell>
        </row>
        <row r="4796">
          <cell r="D4796" t="str">
            <v>Hcp Plastene Bulkpack Ltd (Unit Iv) - Sales</v>
          </cell>
          <cell r="AB4796" t="str">
            <v>24AABCG1282C2Z6</v>
          </cell>
        </row>
        <row r="4797">
          <cell r="D4797" t="str">
            <v>Hcp Plastene Bulkpack Ltd (Unit Iv) - Sales</v>
          </cell>
          <cell r="AB4797" t="str">
            <v>24AABCG1282C2Z6</v>
          </cell>
        </row>
        <row r="4798">
          <cell r="D4798" t="str">
            <v>Hcp Plastene Bulkpack Ltd (Unit Iv) - Sales</v>
          </cell>
          <cell r="AB4798" t="str">
            <v>24AABCG1282C2Z6</v>
          </cell>
        </row>
        <row r="4799">
          <cell r="D4799" t="str">
            <v>Hcp Plastene Bulkpack Ltd (Unit Iv) - Sales</v>
          </cell>
          <cell r="AB4799" t="str">
            <v>24AABCG1282C2Z6</v>
          </cell>
        </row>
        <row r="4800">
          <cell r="D4800" t="str">
            <v>Hcp Plastene Bulkpack Ltd (Unit Iv) - Sales</v>
          </cell>
          <cell r="AB4800" t="str">
            <v>24AABCG1282C2Z6</v>
          </cell>
        </row>
        <row r="4801">
          <cell r="D4801" t="str">
            <v>Hcp Plastene Bulkpack Ltd (Unit Iv) - Sales</v>
          </cell>
          <cell r="AB4801" t="str">
            <v>24AABCG1282C2Z6</v>
          </cell>
        </row>
        <row r="4802">
          <cell r="D4802" t="str">
            <v>Hcp Plastene Bulkpack Ltd (Unit Iv) - Sales</v>
          </cell>
          <cell r="AB4802" t="str">
            <v>24AABCG1282C2Z6</v>
          </cell>
        </row>
        <row r="4803">
          <cell r="D4803" t="str">
            <v>Hcp Plastene Bulkpack Ltd (Unit Iv) - Sales</v>
          </cell>
          <cell r="AB4803" t="str">
            <v>24AABCG1282C2Z6</v>
          </cell>
        </row>
        <row r="4804">
          <cell r="D4804" t="str">
            <v>Hcp Plastene Bulkpack Ltd (Unit Iv) - Sales</v>
          </cell>
          <cell r="AB4804" t="str">
            <v>24AABCG1282C2Z6</v>
          </cell>
        </row>
        <row r="4805">
          <cell r="D4805" t="str">
            <v>Hcp Plastene Bulkpack Ltd (Unit Iv) - Sales</v>
          </cell>
          <cell r="AB4805" t="str">
            <v>24AABCG1282C2Z6</v>
          </cell>
        </row>
        <row r="4806">
          <cell r="D4806" t="str">
            <v>Hcp Plastene Bulkpack Ltd (Unit Iv) - Sales</v>
          </cell>
          <cell r="AB4806" t="str">
            <v>24AABCG1282C2Z6</v>
          </cell>
        </row>
        <row r="4807">
          <cell r="D4807" t="str">
            <v>Hcp Plastene Bulkpack Ltd (Unit Iv) - Sales</v>
          </cell>
          <cell r="AB4807" t="str">
            <v>24AABCG1282C2Z6</v>
          </cell>
        </row>
        <row r="4808">
          <cell r="D4808" t="str">
            <v>Hcp Plastene Bulkpack Ltd (Unit Iv) - Sales</v>
          </cell>
          <cell r="AB4808" t="str">
            <v>24AABCG1282C2Z6</v>
          </cell>
        </row>
        <row r="4809">
          <cell r="D4809" t="str">
            <v>Hcp Plastene Bulkpack Ltd (Unit Iv) - Sales</v>
          </cell>
          <cell r="AB4809" t="str">
            <v>24AABCG1282C2Z6</v>
          </cell>
        </row>
        <row r="4810">
          <cell r="D4810" t="str">
            <v>Hcp Plastene Bulkpack Ltd (Unit Iv) - Sales</v>
          </cell>
          <cell r="AB4810" t="str">
            <v>24AABCG1282C2Z6</v>
          </cell>
        </row>
        <row r="4811">
          <cell r="D4811" t="str">
            <v>Hcp Plastene Bulkpack Ltd (Unit Iv) - Sales</v>
          </cell>
          <cell r="AB4811" t="str">
            <v>24AABCG1282C2Z6</v>
          </cell>
        </row>
        <row r="4812">
          <cell r="D4812" t="str">
            <v>Hcp Plastene Bulkpack Ltd (Unit Iv) - Sales</v>
          </cell>
          <cell r="AB4812" t="str">
            <v>24AABCG1282C2Z6</v>
          </cell>
        </row>
        <row r="4813">
          <cell r="D4813" t="str">
            <v>Hcp Plastene Bulkpack Ltd (Unit Iv) - Sales</v>
          </cell>
          <cell r="AB4813" t="str">
            <v>24AABCG1282C2Z6</v>
          </cell>
        </row>
        <row r="4814">
          <cell r="D4814" t="str">
            <v>Hcp Plastene Bulkpack Ltd (Unit Iv) - Sales</v>
          </cell>
          <cell r="AB4814" t="str">
            <v>24AABCG1282C2Z6</v>
          </cell>
        </row>
        <row r="4815">
          <cell r="D4815" t="str">
            <v>Hcp Plastene Bulkpack Ltd (Unit Iv) - Sales</v>
          </cell>
          <cell r="AB4815" t="str">
            <v>24AABCG1282C2Z6</v>
          </cell>
        </row>
        <row r="4816">
          <cell r="D4816" t="str">
            <v>Hcp Plastene Bulkpack Ltd (Unit Iv) - Sales</v>
          </cell>
          <cell r="AB4816" t="str">
            <v>24AABCG1282C2Z6</v>
          </cell>
        </row>
        <row r="4817">
          <cell r="D4817" t="str">
            <v>Hcp Plastene Bulkpack Ltd (Unit Iv) - Sales</v>
          </cell>
          <cell r="AB4817" t="str">
            <v>24AABCG1282C2Z6</v>
          </cell>
        </row>
        <row r="4818">
          <cell r="D4818" t="str">
            <v>Hcp Plastene Bulkpack Ltd (Unit Iv) - Sales</v>
          </cell>
          <cell r="AB4818" t="str">
            <v>24AABCG1282C2Z6</v>
          </cell>
        </row>
        <row r="4819">
          <cell r="D4819" t="str">
            <v>Hcp Plastene Bulkpack Ltd (Unit Iv) - Sales</v>
          </cell>
          <cell r="AB4819" t="str">
            <v>24AABCG1282C2Z6</v>
          </cell>
        </row>
        <row r="4820">
          <cell r="D4820" t="str">
            <v>Hcp Plastene Bulkpack Ltd (Unit Iv) - Sales</v>
          </cell>
          <cell r="AB4820" t="str">
            <v>24AABCG1282C2Z6</v>
          </cell>
        </row>
        <row r="4821">
          <cell r="D4821" t="str">
            <v>Hcp Plastene Bulkpack Ltd (Unit Iv) - Sales</v>
          </cell>
          <cell r="AB4821" t="str">
            <v>24AABCG1282C2Z6</v>
          </cell>
        </row>
        <row r="4822">
          <cell r="D4822" t="str">
            <v>Hcp Plastene Bulkpack Ltd (Unit Iv) - Sales</v>
          </cell>
          <cell r="AB4822" t="str">
            <v>24AABCG1282C2Z6</v>
          </cell>
        </row>
        <row r="4823">
          <cell r="D4823" t="str">
            <v>Hcp Plastene Bulkpack Ltd (Unit Iv) - Sales</v>
          </cell>
          <cell r="AB4823" t="str">
            <v>24AABCG1282C2Z6</v>
          </cell>
        </row>
        <row r="4824">
          <cell r="D4824" t="str">
            <v>Hcp Plastene Bulkpack Ltd (Unit Iv) - Sales</v>
          </cell>
          <cell r="AB4824" t="str">
            <v>24AABCG1282C2Z6</v>
          </cell>
        </row>
        <row r="4825">
          <cell r="D4825" t="str">
            <v>Hcp Plastene Bulkpack Ltd (Unit Iv) - Sales</v>
          </cell>
          <cell r="AB4825" t="str">
            <v>24AABCG1282C2Z6</v>
          </cell>
        </row>
        <row r="4826">
          <cell r="D4826" t="str">
            <v>Hcp Plastene Bulkpack Ltd (Unit Iv) - Sales</v>
          </cell>
          <cell r="AB4826" t="str">
            <v>24AABCG1282C2Z6</v>
          </cell>
        </row>
        <row r="4827">
          <cell r="D4827" t="str">
            <v>Hcp Plastene Bulkpack Ltd (Unit Iv) - Sales</v>
          </cell>
          <cell r="AB4827" t="str">
            <v>24AABCG1282C2Z6</v>
          </cell>
        </row>
        <row r="4828">
          <cell r="D4828" t="str">
            <v>Hcp Plastene Bulkpack Ltd (Unit Iv) - Sales</v>
          </cell>
          <cell r="AB4828" t="str">
            <v>24AABCG1282C2Z6</v>
          </cell>
        </row>
        <row r="4829">
          <cell r="D4829" t="str">
            <v>Hcp Plastene Bulkpack Ltd (Unit Iv) - Sales</v>
          </cell>
          <cell r="AB4829" t="str">
            <v>24AABCG1282C2Z6</v>
          </cell>
        </row>
        <row r="4830">
          <cell r="D4830" t="str">
            <v>Hcp Plastene Bulkpack Ltd (Unit Iv) - Sales</v>
          </cell>
          <cell r="AB4830" t="str">
            <v>24AABCG1282C2Z6</v>
          </cell>
        </row>
        <row r="4831">
          <cell r="D4831" t="str">
            <v>Hcp Plastene Bulkpack Ltd (Unit Iv) - Sales</v>
          </cell>
          <cell r="AB4831" t="str">
            <v>24AABCG1282C2Z6</v>
          </cell>
        </row>
        <row r="4832">
          <cell r="D4832" t="str">
            <v>Hcp Plastene Bulkpack Ltd (Unit Iv) - Sales</v>
          </cell>
          <cell r="AB4832" t="str">
            <v>24AABCG1282C2Z6</v>
          </cell>
        </row>
        <row r="4833">
          <cell r="D4833" t="str">
            <v>Hcp Plastene Bulkpack Ltd (Unit Iv) - Sales</v>
          </cell>
          <cell r="AB4833" t="str">
            <v>24AABCG1282C2Z6</v>
          </cell>
        </row>
        <row r="4834">
          <cell r="D4834" t="str">
            <v>Hcp Plastene Bulkpack Ltd (Unit Iv) - Sales</v>
          </cell>
          <cell r="AB4834" t="str">
            <v>24AABCG1282C2Z6</v>
          </cell>
        </row>
        <row r="4835">
          <cell r="D4835" t="str">
            <v>Hcp Plastene Bulkpack Ltd (Unit Iv) - Sales</v>
          </cell>
          <cell r="AB4835" t="str">
            <v>24AABCG1282C2Z6</v>
          </cell>
        </row>
        <row r="4836">
          <cell r="D4836" t="str">
            <v>Hcp Plastene Bulkpack Ltd (Unit Iv) - Sales</v>
          </cell>
          <cell r="AB4836" t="str">
            <v>24AABCG1282C2Z6</v>
          </cell>
        </row>
        <row r="4837">
          <cell r="D4837" t="str">
            <v>Hcp Plastene Bulkpack Ltd (Unit Iv) - Sales</v>
          </cell>
          <cell r="AB4837" t="str">
            <v>24AABCG1282C2Z6</v>
          </cell>
        </row>
        <row r="4838">
          <cell r="D4838" t="str">
            <v>Hcp Plastene Bulkpack Ltd (Unit Iv) - Sales</v>
          </cell>
          <cell r="AB4838" t="str">
            <v>24AABCG1282C2Z6</v>
          </cell>
        </row>
        <row r="4839">
          <cell r="D4839" t="str">
            <v>Hcp Plastene Bulkpack Ltd (Unit Iv) - Sales</v>
          </cell>
          <cell r="AB4839" t="str">
            <v>24AABCG1282C2Z6</v>
          </cell>
        </row>
        <row r="4840">
          <cell r="D4840" t="str">
            <v>Hcp Plastene Bulkpack Ltd (Unit Iv) - Sales</v>
          </cell>
          <cell r="AB4840" t="str">
            <v>24AABCG1282C2Z6</v>
          </cell>
        </row>
        <row r="4841">
          <cell r="D4841" t="str">
            <v>Hcp Plastene Bulkpack Ltd (Unit Iv) - Sales</v>
          </cell>
          <cell r="AB4841" t="str">
            <v>24AABCG1282C2Z6</v>
          </cell>
        </row>
        <row r="4842">
          <cell r="D4842" t="str">
            <v>Hcp Plastene Bulkpack Ltd (Unit Iv) - Sales</v>
          </cell>
          <cell r="AB4842" t="str">
            <v>24AABCG1282C2Z6</v>
          </cell>
        </row>
        <row r="4843">
          <cell r="D4843" t="str">
            <v>Hcp Plastene Bulkpack Ltd (Unit Iv) - Sales</v>
          </cell>
          <cell r="AB4843" t="str">
            <v>24AABCG1282C2Z6</v>
          </cell>
        </row>
        <row r="4844">
          <cell r="D4844" t="str">
            <v>Hcp Plastene Bulkpack Ltd (Unit Iv) - Sales</v>
          </cell>
          <cell r="AB4844" t="str">
            <v>24AABCG1282C2Z6</v>
          </cell>
        </row>
        <row r="4845">
          <cell r="D4845" t="str">
            <v>Hcp Plastene Bulkpack Ltd (Unit Iv) - Sales</v>
          </cell>
          <cell r="AB4845" t="str">
            <v>24AABCG1282C2Z6</v>
          </cell>
        </row>
        <row r="4846">
          <cell r="D4846" t="str">
            <v>Hcp Plastene Bulkpack Ltd (Unit Iv) - Sales</v>
          </cell>
          <cell r="AB4846" t="str">
            <v>24AABCG1282C2Z6</v>
          </cell>
        </row>
        <row r="4847">
          <cell r="D4847" t="str">
            <v>Hcp Plastene Bulkpack Ltd (Unit Iv) - Sales</v>
          </cell>
          <cell r="AB4847" t="str">
            <v>24AABCG1282C2Z6</v>
          </cell>
        </row>
        <row r="4848">
          <cell r="D4848" t="str">
            <v>Hcp Plastene Bulkpack Ltd (Unit Iv) - Sales</v>
          </cell>
          <cell r="AB4848" t="str">
            <v>24AABCG1282C2Z6</v>
          </cell>
        </row>
        <row r="4849">
          <cell r="D4849" t="str">
            <v>Hcp Plastene Bulkpack Ltd (Unit Iv) - Sales</v>
          </cell>
          <cell r="AB4849" t="str">
            <v>24AABCG1282C2Z6</v>
          </cell>
        </row>
        <row r="4850">
          <cell r="D4850" t="str">
            <v>Hcp Plastene Bulkpack Ltd (Unit Iv) - Sales</v>
          </cell>
          <cell r="AB4850" t="str">
            <v>24AABCG1282C2Z6</v>
          </cell>
        </row>
        <row r="4851">
          <cell r="D4851" t="str">
            <v>Hcp Plastene Bulkpack Ltd (Unit Iv) - Sales</v>
          </cell>
          <cell r="AB4851" t="str">
            <v>24AABCG1282C2Z6</v>
          </cell>
        </row>
        <row r="4852">
          <cell r="D4852" t="str">
            <v>Hcp Plastene Bulkpack Ltd (Unit Iv) - Sales</v>
          </cell>
          <cell r="AB4852" t="str">
            <v>24AABCG1282C2Z6</v>
          </cell>
        </row>
        <row r="4853">
          <cell r="D4853" t="str">
            <v>Hcp Plastene Bulkpack Ltd (Unit Iv) - Sales</v>
          </cell>
          <cell r="AB4853" t="str">
            <v>24AABCG1282C2Z6</v>
          </cell>
        </row>
        <row r="4854">
          <cell r="D4854" t="str">
            <v>Hcp Plastene Bulkpack Ltd (Unit Iv) - Sales</v>
          </cell>
          <cell r="AB4854" t="str">
            <v>24AABCG1282C2Z6</v>
          </cell>
        </row>
        <row r="4855">
          <cell r="D4855" t="str">
            <v>Hcp Plastene Bulkpack Ltd (Unit Iv) - Sales</v>
          </cell>
          <cell r="AB4855" t="str">
            <v>24AABCG1282C2Z6</v>
          </cell>
        </row>
        <row r="4856">
          <cell r="D4856" t="str">
            <v>Hcp Plastene Bulkpack Ltd (Unit Iv) - Sales</v>
          </cell>
          <cell r="AB4856" t="str">
            <v>24AABCG1282C2Z6</v>
          </cell>
        </row>
        <row r="4857">
          <cell r="D4857" t="str">
            <v>Hcp Plastene Bulkpack Ltd (Unit Iv) - Sales</v>
          </cell>
          <cell r="AB4857" t="str">
            <v>24AABCG1282C2Z6</v>
          </cell>
        </row>
        <row r="4858">
          <cell r="D4858" t="str">
            <v>Hcp Plastene Bulkpack Ltd (Unit Iv) - Sales</v>
          </cell>
          <cell r="AB4858" t="str">
            <v>24AABCG1282C2Z6</v>
          </cell>
        </row>
        <row r="4859">
          <cell r="D4859" t="str">
            <v>Hcp Plastene Bulkpack Ltd (Unit Iv) - Sales</v>
          </cell>
          <cell r="AB4859" t="str">
            <v>24AABCG1282C2Z6</v>
          </cell>
        </row>
        <row r="4860">
          <cell r="D4860" t="str">
            <v>Hcp Plastene Bulkpack Ltd (Unit Iv) - Sales</v>
          </cell>
          <cell r="AB4860" t="str">
            <v>24AABCG1282C2Z6</v>
          </cell>
        </row>
        <row r="4861">
          <cell r="D4861" t="str">
            <v>Hcp Plastene Bulkpack Ltd (Unit Iv) - Sales</v>
          </cell>
          <cell r="AB4861" t="str">
            <v>24AABCG1282C2Z6</v>
          </cell>
        </row>
        <row r="4862">
          <cell r="D4862" t="str">
            <v>Hcp Plastene Bulkpack Ltd (Unit Iv) - Sales</v>
          </cell>
          <cell r="AB4862" t="str">
            <v>24AABCG1282C2Z6</v>
          </cell>
        </row>
        <row r="4863">
          <cell r="D4863" t="str">
            <v>Hcp Plastene Bulkpack Ltd (Unit Iv) - Sales</v>
          </cell>
          <cell r="AB4863" t="str">
            <v>24AABCG1282C2Z6</v>
          </cell>
        </row>
        <row r="4864">
          <cell r="D4864" t="str">
            <v>Hcp Plastene Bulkpack Ltd (Unit Iv) - Sales</v>
          </cell>
          <cell r="AB4864" t="str">
            <v>24AABCG1282C2Z6</v>
          </cell>
        </row>
        <row r="4865">
          <cell r="D4865" t="str">
            <v>Hcp Plastene Bulkpack Ltd (Unit Iv) - Sales</v>
          </cell>
          <cell r="AB4865" t="str">
            <v>24AABCG1282C2Z6</v>
          </cell>
        </row>
        <row r="4866">
          <cell r="D4866" t="str">
            <v>Hcp Plastene Bulkpack Ltd (Unit Iv) - Sales</v>
          </cell>
          <cell r="AB4866" t="str">
            <v>24AABCG1282C2Z6</v>
          </cell>
        </row>
        <row r="4867">
          <cell r="D4867" t="str">
            <v>Hcp Plastene Bulkpack Ltd (Unit Iv) - Sales</v>
          </cell>
          <cell r="AB4867" t="str">
            <v>24AABCG1282C2Z6</v>
          </cell>
        </row>
        <row r="4868">
          <cell r="D4868" t="str">
            <v>Hcp Plastene Bulkpack Ltd (Unit Iv) - Sales</v>
          </cell>
          <cell r="AB4868" t="str">
            <v>24AABCG1282C2Z6</v>
          </cell>
        </row>
        <row r="4869">
          <cell r="D4869" t="str">
            <v>Hcp Plastene Bulkpack Ltd (Unit Iv) - Sales</v>
          </cell>
          <cell r="AB4869" t="str">
            <v>24AABCG1282C2Z6</v>
          </cell>
        </row>
        <row r="4870">
          <cell r="D4870" t="str">
            <v>Hcp Plastene Bulkpack Ltd (Unit Iv) - Sales</v>
          </cell>
          <cell r="AB4870" t="str">
            <v>24AABCG1282C2Z6</v>
          </cell>
        </row>
        <row r="4871">
          <cell r="D4871" t="str">
            <v>Hcp Plastene Bulkpack Ltd (Unit Iv) - Sales</v>
          </cell>
          <cell r="AB4871" t="str">
            <v>24AABCG1282C2Z6</v>
          </cell>
        </row>
        <row r="4872">
          <cell r="D4872" t="str">
            <v>Hcp Plastene Bulkpack Ltd (Unit Iv) - Sales</v>
          </cell>
          <cell r="AB4872" t="str">
            <v>24AABCG1282C2Z6</v>
          </cell>
        </row>
        <row r="4873">
          <cell r="D4873" t="str">
            <v>Hcp Plastene Bulkpack Ltd (Unit Iv) - Sales</v>
          </cell>
          <cell r="AB4873" t="str">
            <v>24AABCG1282C2Z6</v>
          </cell>
        </row>
        <row r="4874">
          <cell r="D4874" t="str">
            <v>Hcp Plastene Bulkpack Ltd (Unit Iv) - Sales</v>
          </cell>
          <cell r="AB4874" t="str">
            <v>24AABCG1282C2Z6</v>
          </cell>
        </row>
        <row r="4875">
          <cell r="D4875" t="str">
            <v>Hcp Plastene Bulkpack Ltd (Unit Iv) - Sales</v>
          </cell>
          <cell r="AB4875" t="str">
            <v>24AABCG1282C2Z6</v>
          </cell>
        </row>
        <row r="4876">
          <cell r="D4876" t="str">
            <v>Hcp Plastene Bulkpack Ltd (Unit Iv) - Sales</v>
          </cell>
          <cell r="AB4876" t="str">
            <v>24AABCG1282C2Z6</v>
          </cell>
        </row>
        <row r="4877">
          <cell r="D4877" t="str">
            <v>Hcp Plastene Bulkpack Ltd (Unit Iv) - Sales</v>
          </cell>
          <cell r="AB4877" t="str">
            <v>24AABCG1282C2Z6</v>
          </cell>
        </row>
        <row r="4878">
          <cell r="D4878" t="str">
            <v>Hcp Plastene Bulkpack Ltd (Unit Iv) - Sales</v>
          </cell>
          <cell r="AB4878" t="str">
            <v>24AABCG1282C2Z6</v>
          </cell>
        </row>
        <row r="4879">
          <cell r="D4879" t="str">
            <v>Hcp Plastene Bulkpack Ltd (Unit Iv) - Sales</v>
          </cell>
          <cell r="AB4879" t="str">
            <v>24AABCG1282C2Z6</v>
          </cell>
        </row>
        <row r="4880">
          <cell r="D4880" t="str">
            <v>Hcp Plastene Bulkpack Ltd (Unit Iv) - Sales</v>
          </cell>
          <cell r="AB4880" t="str">
            <v>24AABCG1282C2Z6</v>
          </cell>
        </row>
        <row r="4881">
          <cell r="D4881" t="str">
            <v>Hcp Plastene Bulkpack Ltd (Unit Iv) - Sales</v>
          </cell>
          <cell r="AB4881" t="str">
            <v>24AABCG1282C2Z6</v>
          </cell>
        </row>
        <row r="4882">
          <cell r="D4882" t="str">
            <v>Hcp Plastene Bulkpack Ltd (Unit Iv) - Sales</v>
          </cell>
          <cell r="AB4882" t="str">
            <v>24AABCG1282C2Z6</v>
          </cell>
        </row>
        <row r="4883">
          <cell r="D4883" t="str">
            <v>Hcp Plastene Bulkpack Ltd (Unit Iv) - Sales</v>
          </cell>
          <cell r="AB4883" t="str">
            <v>24AABCG1282C2Z6</v>
          </cell>
        </row>
        <row r="4884">
          <cell r="D4884" t="str">
            <v>Hcp Plastene Bulkpack Ltd (Unit Iv) - Sales</v>
          </cell>
          <cell r="AB4884" t="str">
            <v>24AABCG1282C2Z6</v>
          </cell>
        </row>
        <row r="4885">
          <cell r="D4885" t="str">
            <v>Hcp Plastene Bulkpack Ltd (Unit Iv) - Sales</v>
          </cell>
          <cell r="AB4885" t="str">
            <v>24AABCG1282C2Z6</v>
          </cell>
        </row>
        <row r="4886">
          <cell r="D4886" t="str">
            <v>Hcp Plastene Bulkpack Ltd (Unit Iv) - Sales</v>
          </cell>
          <cell r="AB4886" t="str">
            <v>24AABCG1282C2Z6</v>
          </cell>
        </row>
        <row r="4887">
          <cell r="D4887" t="str">
            <v>Hcp Plastene Bulkpack Ltd (Unit Iv) - Sales</v>
          </cell>
          <cell r="AB4887" t="str">
            <v>24AABCG1282C2Z6</v>
          </cell>
        </row>
        <row r="4888">
          <cell r="D4888" t="str">
            <v>Hcp Plastene Bulkpack Ltd (Unit Iv) - Sales</v>
          </cell>
          <cell r="AB4888" t="str">
            <v>24AABCG1282C2Z6</v>
          </cell>
        </row>
        <row r="4889">
          <cell r="D4889" t="str">
            <v>Hcp Plastene Bulkpack Ltd (Unit Iv) - Sales</v>
          </cell>
          <cell r="AB4889" t="str">
            <v>24AABCG1282C2Z6</v>
          </cell>
        </row>
        <row r="4890">
          <cell r="D4890" t="str">
            <v>Hcp Plastene Bulkpack Ltd (Unit Iv) - Sales</v>
          </cell>
          <cell r="AB4890" t="str">
            <v>24AABCG1282C2Z6</v>
          </cell>
        </row>
        <row r="4891">
          <cell r="D4891" t="str">
            <v>Hcp Plastene Bulkpack Ltd (Unit Iv) - Sales</v>
          </cell>
          <cell r="AB4891" t="str">
            <v>24AABCG1282C2Z6</v>
          </cell>
        </row>
        <row r="4892">
          <cell r="D4892" t="str">
            <v>Hcp Plastene Bulkpack Ltd (Unit Iv) - Sales</v>
          </cell>
          <cell r="AB4892" t="str">
            <v>24AABCG1282C2Z6</v>
          </cell>
        </row>
        <row r="4893">
          <cell r="D4893" t="str">
            <v>Hcp Plastene Bulkpack Ltd (Unit Iv) - Sales</v>
          </cell>
          <cell r="AB4893" t="str">
            <v>24AABCG1282C2Z6</v>
          </cell>
        </row>
        <row r="4894">
          <cell r="D4894" t="str">
            <v>Hcp Plastene Bulkpack Ltd (Unit Iv) - Sales</v>
          </cell>
          <cell r="AB4894" t="str">
            <v>24AABCG1282C2Z6</v>
          </cell>
        </row>
        <row r="4895">
          <cell r="D4895" t="str">
            <v>Hcp Plastene Bulkpack Ltd (Unit Iv) - Sales</v>
          </cell>
          <cell r="AB4895" t="str">
            <v>24AABCG1282C2Z6</v>
          </cell>
        </row>
        <row r="4896">
          <cell r="D4896" t="str">
            <v>Hcp Plastene Bulkpack Ltd (Unit Iv) - Sales</v>
          </cell>
          <cell r="AB4896" t="str">
            <v>24AABCG1282C2Z6</v>
          </cell>
        </row>
        <row r="4897">
          <cell r="D4897" t="str">
            <v>Hcp Plastene Bulkpack Ltd (Unit Iv) - Sales</v>
          </cell>
          <cell r="AB4897" t="str">
            <v>24AABCG1282C2Z6</v>
          </cell>
        </row>
        <row r="4898">
          <cell r="D4898" t="str">
            <v>Hcp Plastene Bulkpack Ltd (Unit Iv) - Sales</v>
          </cell>
          <cell r="AB4898" t="str">
            <v>24AABCG1282C2Z6</v>
          </cell>
        </row>
        <row r="4899">
          <cell r="D4899" t="str">
            <v>Hcp Plastene Bulkpack Ltd (Unit Iv) - Sales</v>
          </cell>
          <cell r="AB4899" t="str">
            <v>24AABCG1282C2Z6</v>
          </cell>
        </row>
        <row r="4900">
          <cell r="D4900" t="str">
            <v>Hcp Plastene Bulkpack Ltd (Unit Iv) - Sales</v>
          </cell>
          <cell r="AB4900" t="str">
            <v>24AABCG1282C2Z6</v>
          </cell>
        </row>
        <row r="4901">
          <cell r="D4901" t="str">
            <v>Hcp Plastene Bulkpack Ltd (Unit Iv) - Sales</v>
          </cell>
          <cell r="AB4901" t="str">
            <v>24AABCG1282C2Z6</v>
          </cell>
        </row>
        <row r="4902">
          <cell r="D4902" t="str">
            <v>Hcp Plastene Bulkpack Ltd (Unit Iv) - Sales</v>
          </cell>
          <cell r="AB4902" t="str">
            <v>24AABCG1282C2Z6</v>
          </cell>
        </row>
        <row r="4903">
          <cell r="D4903" t="str">
            <v>Hcp Plastene Bulkpack Ltd (Unit Iv) - Sales</v>
          </cell>
          <cell r="AB4903" t="str">
            <v>24AABCG1282C2Z6</v>
          </cell>
        </row>
        <row r="4904">
          <cell r="D4904" t="str">
            <v>Hcp Plastene Bulkpack Ltd (Unit Iv) - Sales</v>
          </cell>
          <cell r="AB4904" t="str">
            <v>24AABCG1282C2Z6</v>
          </cell>
        </row>
        <row r="4905">
          <cell r="D4905" t="str">
            <v>Hcp Plastene Bulkpack Ltd (Unit Iv) - Sales</v>
          </cell>
          <cell r="AB4905" t="str">
            <v>24AABCG1282C2Z6</v>
          </cell>
        </row>
        <row r="4906">
          <cell r="D4906" t="str">
            <v>Hcp Plastene Bulkpack Ltd (Unit Iv) - Sales</v>
          </cell>
          <cell r="AB4906" t="str">
            <v>24AABCG1282C2Z6</v>
          </cell>
        </row>
        <row r="4907">
          <cell r="D4907" t="str">
            <v>Hcp Plastene Bulkpack Ltd (Unit Iv) - Sales</v>
          </cell>
          <cell r="AB4907" t="str">
            <v>24AABCG1282C2Z6</v>
          </cell>
        </row>
        <row r="4908">
          <cell r="D4908" t="str">
            <v>Hcp Plastene Bulkpack Ltd (Unit Iv) - Sales</v>
          </cell>
          <cell r="AB4908" t="str">
            <v>24AABCG1282C2Z6</v>
          </cell>
        </row>
        <row r="4909">
          <cell r="D4909" t="str">
            <v>Hcp Plastene Bulkpack Ltd (Unit Iv) - Sales</v>
          </cell>
          <cell r="AB4909" t="str">
            <v>24AABCG1282C2Z6</v>
          </cell>
        </row>
        <row r="4910">
          <cell r="D4910" t="str">
            <v>Oswal Extrusion Ltd- KASEZ-Sales</v>
          </cell>
          <cell r="AB4910" t="str">
            <v>24AAACO7290H4ZB</v>
          </cell>
        </row>
        <row r="4911">
          <cell r="D4911" t="str">
            <v>Hcp Plastene Bulkpack Ltd (Unit Iv) - Sales</v>
          </cell>
          <cell r="AB4911" t="str">
            <v>24AABCG1282C2Z6</v>
          </cell>
        </row>
        <row r="4912">
          <cell r="D4912" t="str">
            <v>Hcp Plastene Bulkpack Ltd (Unit Iv) - Sales</v>
          </cell>
          <cell r="AB4912" t="str">
            <v>24AABCG1282C2Z6</v>
          </cell>
        </row>
        <row r="4913">
          <cell r="D4913" t="str">
            <v>Hcp Plastene Bulkpack Ltd (Unit Iv) - Sales</v>
          </cell>
          <cell r="AB4913" t="str">
            <v>24AABCG1282C2Z6</v>
          </cell>
        </row>
        <row r="4914">
          <cell r="D4914" t="str">
            <v>Hcp Plastene Bulkpack Ltd (Unit Iv) - Sales</v>
          </cell>
          <cell r="AB4914" t="str">
            <v>24AABCG1282C2Z6</v>
          </cell>
        </row>
        <row r="4915">
          <cell r="D4915" t="str">
            <v>Hcp Plastene Bulkpack Ltd (Unit Iv) - Sales</v>
          </cell>
          <cell r="AB4915" t="str">
            <v>24AABCG1282C2Z6</v>
          </cell>
        </row>
        <row r="4916">
          <cell r="D4916" t="str">
            <v>Hcp Plastene Bulkpack Ltd (Unit Iv) - Sales</v>
          </cell>
          <cell r="AB4916" t="str">
            <v>24AABCG1282C2Z6</v>
          </cell>
        </row>
        <row r="4917">
          <cell r="D4917" t="str">
            <v>Hcp Plastene Bulkpack Ltd (Unit Iv) - Sales</v>
          </cell>
          <cell r="AB4917" t="str">
            <v>24AABCG1282C2Z6</v>
          </cell>
        </row>
        <row r="4918">
          <cell r="D4918" t="str">
            <v>Hcp Plastene Bulkpack Ltd (Unit Iv) - Sales</v>
          </cell>
          <cell r="AB4918" t="str">
            <v>24AABCG1282C2Z6</v>
          </cell>
        </row>
        <row r="4919">
          <cell r="D4919" t="str">
            <v>Hcp Plastene Bulkpack Ltd (Unit Iv) - Sales</v>
          </cell>
          <cell r="AB4919" t="str">
            <v>24AABCG1282C2Z6</v>
          </cell>
        </row>
        <row r="4920">
          <cell r="D4920" t="str">
            <v>Hcp Plastene Bulkpack Ltd (Unit Iv) - Sales</v>
          </cell>
          <cell r="AB4920" t="str">
            <v>24AABCG1282C2Z6</v>
          </cell>
        </row>
        <row r="4921">
          <cell r="D4921" t="str">
            <v>Hcp Plastene Bulkpack Ltd (Unit Iv) - Sales</v>
          </cell>
          <cell r="AB4921" t="str">
            <v>24AABCG1282C2Z6</v>
          </cell>
        </row>
        <row r="4922">
          <cell r="D4922" t="str">
            <v>Hcp Plastene Bulkpack Ltd (Unit Iv) - Sales</v>
          </cell>
          <cell r="AB4922" t="str">
            <v>24AABCG1282C2Z6</v>
          </cell>
        </row>
        <row r="4923">
          <cell r="D4923" t="str">
            <v>Hcp Plastene Bulkpack Ltd (Unit Iv) - Sales</v>
          </cell>
          <cell r="AB4923" t="str">
            <v>24AABCG1282C2Z6</v>
          </cell>
        </row>
        <row r="4924">
          <cell r="D4924" t="str">
            <v>Hcp Plastene Bulkpack Ltd (Unit Iv) - Sales</v>
          </cell>
          <cell r="AB4924" t="str">
            <v>24AABCG1282C2Z6</v>
          </cell>
        </row>
        <row r="4925">
          <cell r="D4925" t="str">
            <v>Hcp Plastene Bulkpack Ltd (Unit Iv) - Sales</v>
          </cell>
          <cell r="AB4925" t="str">
            <v>24AABCG1282C2Z6</v>
          </cell>
        </row>
        <row r="4926">
          <cell r="D4926" t="str">
            <v>Hcp Plastene Bulkpack Ltd (Unit Iv) - Sales</v>
          </cell>
          <cell r="AB4926" t="str">
            <v>24AABCG1282C2Z6</v>
          </cell>
        </row>
        <row r="4927">
          <cell r="D4927" t="str">
            <v>Hcp Plastene Bulkpack Ltd (Unit Iv) - Sales</v>
          </cell>
          <cell r="AB4927" t="str">
            <v>24AABCG1282C2Z6</v>
          </cell>
        </row>
        <row r="4928">
          <cell r="D4928" t="str">
            <v>Hcp Plastene Bulkpack Ltd (Unit Iv) - Sales</v>
          </cell>
          <cell r="AB4928" t="str">
            <v>24AABCG1282C2Z6</v>
          </cell>
        </row>
        <row r="4929">
          <cell r="D4929" t="str">
            <v>Hcp Plastene Bulkpack Ltd (Unit Iv) - Sales</v>
          </cell>
          <cell r="AB4929" t="str">
            <v>24AABCG1282C2Z6</v>
          </cell>
        </row>
        <row r="4930">
          <cell r="D4930" t="str">
            <v>Hcp Plastene Bulkpack Ltd (Unit Iv) - Sales</v>
          </cell>
          <cell r="AB4930" t="str">
            <v>24AABCG1282C2Z6</v>
          </cell>
        </row>
        <row r="4931">
          <cell r="D4931" t="str">
            <v>Hcp Plastene Bulkpack Ltd (Unit Iv) - Sales</v>
          </cell>
          <cell r="AB4931" t="str">
            <v>24AABCG1282C2Z6</v>
          </cell>
        </row>
        <row r="4932">
          <cell r="D4932" t="str">
            <v>Hcp Plastene Bulkpack Ltd (Unit Iv) - Sales</v>
          </cell>
          <cell r="AB4932" t="str">
            <v>24AABCG1282C2Z6</v>
          </cell>
        </row>
        <row r="4933">
          <cell r="D4933" t="str">
            <v>Hcp Plastene Bulkpack Ltd (Unit Iv) - Sales</v>
          </cell>
          <cell r="AB4933" t="str">
            <v>24AABCG1282C2Z6</v>
          </cell>
        </row>
        <row r="4934">
          <cell r="D4934" t="str">
            <v>Hcp Plastene Bulkpack Ltd (Unit Iv) - Sales</v>
          </cell>
          <cell r="AB4934" t="str">
            <v>24AABCG1282C2Z6</v>
          </cell>
        </row>
        <row r="4935">
          <cell r="D4935" t="str">
            <v>Hcp Plastene Bulkpack Ltd (Unit Iv) - Sales</v>
          </cell>
          <cell r="AB4935" t="str">
            <v>24AABCG1282C2Z6</v>
          </cell>
        </row>
        <row r="4936">
          <cell r="D4936" t="str">
            <v>Hcp Plastene Bulkpack Ltd (Unit Iv) - Sales</v>
          </cell>
          <cell r="AB4936" t="str">
            <v>24AABCG1282C2Z6</v>
          </cell>
        </row>
        <row r="4937">
          <cell r="D4937" t="str">
            <v>Hcp Plastene Bulkpack Ltd (Unit Iv) - Sales</v>
          </cell>
          <cell r="AB4937" t="str">
            <v>24AABCG1282C2Z6</v>
          </cell>
        </row>
        <row r="4938">
          <cell r="D4938" t="str">
            <v>Hcp Plastene Bulkpack Ltd (Unit Iv) - Sales</v>
          </cell>
          <cell r="AB4938" t="str">
            <v>24AABCG1282C2Z6</v>
          </cell>
        </row>
        <row r="4939">
          <cell r="D4939" t="str">
            <v>Hcp Plastene Bulkpack Ltd (Unit Iv) - Sales</v>
          </cell>
          <cell r="AB4939" t="str">
            <v>24AABCG1282C2Z6</v>
          </cell>
        </row>
        <row r="4940">
          <cell r="D4940" t="str">
            <v>Hcp Plastene Bulkpack Ltd (Unit Iv) - Sales</v>
          </cell>
          <cell r="AB4940" t="str">
            <v>24AABCG1282C2Z6</v>
          </cell>
        </row>
        <row r="4941">
          <cell r="D4941" t="str">
            <v>Hcp Plastene Bulkpack Ltd (Unit Iv) - Sales</v>
          </cell>
          <cell r="AB4941" t="str">
            <v>24AABCG1282C2Z6</v>
          </cell>
        </row>
        <row r="4942">
          <cell r="D4942" t="str">
            <v>Hcp Plastene Bulkpack Ltd (Unit Iv) - Sales</v>
          </cell>
          <cell r="AB4942" t="str">
            <v>24AABCG1282C2Z6</v>
          </cell>
        </row>
        <row r="4943">
          <cell r="D4943" t="str">
            <v>Hcp Plastene Bulkpack Ltd (Unit Iv) - Sales</v>
          </cell>
          <cell r="AB4943" t="str">
            <v>24AABCG1282C2Z6</v>
          </cell>
        </row>
        <row r="4944">
          <cell r="D4944" t="str">
            <v>Hcp Plastene Bulkpack Ltd (Unit Iv) - Sales</v>
          </cell>
          <cell r="AB4944" t="str">
            <v>24AABCG1282C2Z6</v>
          </cell>
        </row>
        <row r="4945">
          <cell r="D4945" t="str">
            <v>Hcp Plastene Bulkpack Ltd (Unit Iv) - Sales</v>
          </cell>
          <cell r="AB4945" t="str">
            <v>24AABCG1282C2Z6</v>
          </cell>
        </row>
        <row r="4946">
          <cell r="D4946" t="str">
            <v>Hcp Plastene Bulkpack Ltd (Unit Iv) - Sales</v>
          </cell>
          <cell r="AB4946" t="str">
            <v>24AABCG1282C2Z6</v>
          </cell>
        </row>
        <row r="4947">
          <cell r="D4947" t="str">
            <v>Hcp Plastene Bulkpack Ltd (Unit Iv) - Sales</v>
          </cell>
          <cell r="AB4947" t="str">
            <v>24AABCG1282C2Z6</v>
          </cell>
        </row>
        <row r="4948">
          <cell r="D4948" t="str">
            <v>Hcp Plastene Bulkpack Ltd (Unit Iv) - Sales</v>
          </cell>
          <cell r="AB4948" t="str">
            <v>24AABCG1282C2Z6</v>
          </cell>
        </row>
        <row r="4949">
          <cell r="D4949" t="str">
            <v>Hcp Plastene Bulkpack Ltd (Unit Iv) - Sales</v>
          </cell>
          <cell r="AB4949" t="str">
            <v>24AABCG1282C2Z6</v>
          </cell>
        </row>
        <row r="4950">
          <cell r="D4950" t="str">
            <v>Hcp Plastene Bulkpack Ltd (Unit Iv) - Sales</v>
          </cell>
          <cell r="AB4950" t="str">
            <v>24AABCG1282C2Z6</v>
          </cell>
        </row>
        <row r="4951">
          <cell r="D4951" t="str">
            <v>Hcp Plastene Bulkpack Ltd (Unit Iv) - Sales</v>
          </cell>
          <cell r="AB4951" t="str">
            <v>24AABCG1282C2Z6</v>
          </cell>
        </row>
        <row r="4952">
          <cell r="D4952" t="str">
            <v>Hcp Plastene Bulkpack Ltd (Unit Iv) - Sales</v>
          </cell>
          <cell r="AB4952" t="str">
            <v>24AABCG1282C2Z6</v>
          </cell>
        </row>
        <row r="4953">
          <cell r="D4953" t="str">
            <v>Hcp Plastene Bulkpack Ltd (Unit Iv) - Sales</v>
          </cell>
          <cell r="AB4953" t="str">
            <v>24AABCG1282C2Z6</v>
          </cell>
        </row>
        <row r="4954">
          <cell r="D4954" t="str">
            <v>Hcp Plastene Bulkpack Ltd (Unit Iv) - Sales</v>
          </cell>
          <cell r="AB4954" t="str">
            <v>24AABCG1282C2Z6</v>
          </cell>
        </row>
        <row r="4955">
          <cell r="D4955" t="str">
            <v>Hcp Plastene Bulkpack Ltd (Unit Iv) - Sales</v>
          </cell>
          <cell r="AB4955" t="str">
            <v>24AABCG1282C2Z6</v>
          </cell>
        </row>
        <row r="4956">
          <cell r="D4956" t="str">
            <v>Hcp Plastene Bulkpack Ltd (Unit Iv) - Sales</v>
          </cell>
          <cell r="AB4956" t="str">
            <v>24AABCG1282C2Z6</v>
          </cell>
        </row>
        <row r="4957">
          <cell r="D4957" t="str">
            <v>Hcp Plastene Bulkpack Ltd (Unit Iv) - Sales</v>
          </cell>
          <cell r="AB4957" t="str">
            <v>24AABCG1282C2Z6</v>
          </cell>
        </row>
        <row r="4958">
          <cell r="D4958" t="str">
            <v>Hcp Plastene Bulkpack Ltd (Unit Iv) - Sales</v>
          </cell>
          <cell r="AB4958" t="str">
            <v>24AABCG1282C2Z6</v>
          </cell>
        </row>
        <row r="4959">
          <cell r="D4959" t="str">
            <v>Hcp Plastene Bulkpack Ltd (Unit Iv) - Sales</v>
          </cell>
          <cell r="AB4959" t="str">
            <v>24AABCG1282C2Z6</v>
          </cell>
        </row>
        <row r="4960">
          <cell r="D4960" t="str">
            <v>Hcp Plastene Bulkpack Ltd (Unit Iv) - Sales</v>
          </cell>
          <cell r="AB4960" t="str">
            <v>24AABCG1282C2Z6</v>
          </cell>
        </row>
        <row r="4961">
          <cell r="D4961" t="str">
            <v>Hcp Plastene Bulkpack Ltd (Unit Iv) - Sales</v>
          </cell>
          <cell r="AB4961" t="str">
            <v>24AABCG1282C2Z6</v>
          </cell>
        </row>
        <row r="4962">
          <cell r="D4962" t="str">
            <v>Hcp Plastene Bulkpack Ltd (Unit Iv) - Sales</v>
          </cell>
          <cell r="AB4962" t="str">
            <v>24AABCG1282C2Z6</v>
          </cell>
        </row>
        <row r="4963">
          <cell r="D4963" t="str">
            <v>Hcp Plastene Bulkpack Ltd (Unit Iv) - Sales</v>
          </cell>
          <cell r="AB4963" t="str">
            <v>24AABCG1282C2Z6</v>
          </cell>
        </row>
        <row r="4964">
          <cell r="D4964" t="str">
            <v>Hcp Plastene Bulkpack Ltd (Unit Iv) - Sales</v>
          </cell>
          <cell r="AB4964" t="str">
            <v>24AABCG1282C2Z6</v>
          </cell>
        </row>
        <row r="4965">
          <cell r="D4965" t="str">
            <v>Hcp Plastene Bulkpack Ltd (Unit Iv) - Sales</v>
          </cell>
          <cell r="AB4965" t="str">
            <v>24AABCG1282C2Z6</v>
          </cell>
        </row>
        <row r="4966">
          <cell r="D4966" t="str">
            <v>Hcp Plastene Bulkpack Ltd (Unit Iv) - Sales</v>
          </cell>
          <cell r="AB4966" t="str">
            <v>24AABCG1282C2Z6</v>
          </cell>
        </row>
        <row r="4967">
          <cell r="D4967" t="str">
            <v>Hcp Plastene Bulkpack Ltd (Unit Iv) - Sales</v>
          </cell>
          <cell r="AB4967" t="str">
            <v>24AABCG1282C2Z6</v>
          </cell>
        </row>
        <row r="4968">
          <cell r="D4968" t="str">
            <v>Hcp Plastene Bulkpack Ltd (Unit Iv) - Sales</v>
          </cell>
          <cell r="AB4968" t="str">
            <v>24AABCG1282C2Z6</v>
          </cell>
        </row>
        <row r="4969">
          <cell r="D4969" t="str">
            <v>Hcp Plastene Bulkpack Ltd (Unit Iv) - Sales</v>
          </cell>
          <cell r="AB4969" t="str">
            <v>24AABCG1282C2Z6</v>
          </cell>
        </row>
        <row r="4970">
          <cell r="D4970" t="str">
            <v>Hcp Plastene Bulkpack Ltd (Unit Iv) - Sales</v>
          </cell>
          <cell r="AB4970" t="str">
            <v>24AABCG1282C2Z6</v>
          </cell>
        </row>
        <row r="4971">
          <cell r="D4971" t="str">
            <v>Hcp Plastene Bulkpack Ltd (Unit Iv) - Sales</v>
          </cell>
          <cell r="AB4971" t="str">
            <v>24AABCG1282C2Z6</v>
          </cell>
        </row>
        <row r="4972">
          <cell r="D4972" t="str">
            <v>Hcp Plastene Bulkpack Ltd (Unit Iv) - Sales</v>
          </cell>
          <cell r="AB4972" t="str">
            <v>24AABCG1282C2Z6</v>
          </cell>
        </row>
        <row r="4973">
          <cell r="D4973" t="str">
            <v>Hcp Plastene Bulkpack Ltd (Unit Iv) - Sales</v>
          </cell>
          <cell r="AB4973" t="str">
            <v>24AABCG1282C2Z6</v>
          </cell>
        </row>
        <row r="4974">
          <cell r="D4974" t="str">
            <v>Hcp Plastene Bulkpack Ltd (Unit Iv) - Sales</v>
          </cell>
          <cell r="AB4974" t="str">
            <v>24AABCG1282C2Z6</v>
          </cell>
        </row>
        <row r="4975">
          <cell r="D4975" t="str">
            <v>Hcp Plastene Bulkpack Ltd (Unit Iv) - Sales</v>
          </cell>
          <cell r="AB4975" t="str">
            <v>24AABCG1282C2Z6</v>
          </cell>
        </row>
        <row r="4976">
          <cell r="D4976" t="str">
            <v>Hcp Plastene Bulkpack Ltd (Unit Iv) - Sales</v>
          </cell>
          <cell r="AB4976" t="str">
            <v>24AABCG1282C2Z6</v>
          </cell>
        </row>
        <row r="4977">
          <cell r="D4977" t="str">
            <v>Hcp Plastene Bulkpack Ltd (Unit Iv) - Sales</v>
          </cell>
          <cell r="AB4977" t="str">
            <v>24AABCG1282C2Z6</v>
          </cell>
        </row>
        <row r="4978">
          <cell r="D4978" t="str">
            <v>Hcp Plastene Bulkpack Ltd (Unit Iv) - Sales</v>
          </cell>
          <cell r="AB4978" t="str">
            <v>24AABCG1282C2Z6</v>
          </cell>
        </row>
        <row r="4979">
          <cell r="D4979" t="str">
            <v>Hcp Plastene Bulkpack Ltd (Unit Iv) - Sales</v>
          </cell>
          <cell r="AB4979" t="str">
            <v>24AABCG1282C2Z6</v>
          </cell>
        </row>
        <row r="4980">
          <cell r="D4980" t="str">
            <v>Hcp Plastene Bulkpack Ltd (Unit Iv) - Sales</v>
          </cell>
          <cell r="AB4980" t="str">
            <v>24AABCG1282C2Z6</v>
          </cell>
        </row>
        <row r="4981">
          <cell r="D4981" t="str">
            <v>Hcp Plastene Bulkpack Ltd (Unit Iv) - Sales</v>
          </cell>
          <cell r="AB4981" t="str">
            <v>24AABCG1282C2Z6</v>
          </cell>
        </row>
        <row r="4982">
          <cell r="D4982" t="str">
            <v>Hcp Plastene Bulkpack Ltd (Unit Iv) - Sales</v>
          </cell>
          <cell r="AB4982" t="str">
            <v>24AABCG1282C2Z6</v>
          </cell>
        </row>
        <row r="4983">
          <cell r="D4983" t="str">
            <v>Hcp Plastene Bulkpack Ltd (Unit Iv) - Sales</v>
          </cell>
          <cell r="AB4983" t="str">
            <v>24AABCG1282C2Z6</v>
          </cell>
        </row>
        <row r="4984">
          <cell r="D4984" t="str">
            <v>Hcp Plastene Bulkpack Ltd (Unit Iv) - Sales</v>
          </cell>
          <cell r="AB4984" t="str">
            <v>24AABCG1282C2Z6</v>
          </cell>
        </row>
        <row r="4985">
          <cell r="D4985" t="str">
            <v>Hcp Plastene Bulkpack Ltd (Unit Iv) - Sales</v>
          </cell>
          <cell r="AB4985" t="str">
            <v>24AABCG1282C2Z6</v>
          </cell>
        </row>
        <row r="4986">
          <cell r="D4986" t="str">
            <v>Hcp Plastene Bulkpack Ltd (Unit Iv) - Sales</v>
          </cell>
          <cell r="AB4986" t="str">
            <v>24AABCG1282C2Z6</v>
          </cell>
        </row>
        <row r="4987">
          <cell r="D4987" t="str">
            <v>Hcp Plastene Bulkpack Ltd (Unit Iv) - Sales</v>
          </cell>
          <cell r="AB4987" t="str">
            <v>24AABCG1282C2Z6</v>
          </cell>
        </row>
        <row r="4988">
          <cell r="D4988" t="str">
            <v>Hcp Plastene Bulkpack Ltd (Unit Iv) - Sales</v>
          </cell>
          <cell r="AB4988" t="str">
            <v>24AABCG1282C2Z6</v>
          </cell>
        </row>
        <row r="4989">
          <cell r="D4989" t="str">
            <v>Hcp Plastene Bulkpack Ltd (Unit Iv) - Sales</v>
          </cell>
          <cell r="AB4989" t="str">
            <v>24AABCG1282C2Z6</v>
          </cell>
        </row>
        <row r="4990">
          <cell r="D4990" t="str">
            <v>Hcp Plastene Bulkpack Ltd (Unit Iv) - Sales</v>
          </cell>
          <cell r="AB4990" t="str">
            <v>24AABCG1282C2Z6</v>
          </cell>
        </row>
        <row r="4991">
          <cell r="D4991" t="str">
            <v>Hcp Plastene Bulkpack Ltd (Unit Iv) - Sales</v>
          </cell>
          <cell r="AB4991" t="str">
            <v>24AABCG1282C2Z6</v>
          </cell>
        </row>
        <row r="4992">
          <cell r="D4992" t="str">
            <v>Hcp Plastene Bulkpack Ltd (Unit Iv) - Sales</v>
          </cell>
          <cell r="AB4992" t="str">
            <v>24AABCG1282C2Z6</v>
          </cell>
        </row>
        <row r="4993">
          <cell r="D4993" t="str">
            <v>Hcp Plastene Bulkpack Ltd (Unit Iv) - Sales</v>
          </cell>
          <cell r="AB4993" t="str">
            <v>24AABCG1282C2Z6</v>
          </cell>
        </row>
        <row r="4994">
          <cell r="D4994" t="str">
            <v>Hcp Plastene Bulkpack Ltd (Unit Iv) - Sales</v>
          </cell>
          <cell r="AB4994" t="str">
            <v>24AABCG1282C2Z6</v>
          </cell>
        </row>
        <row r="4995">
          <cell r="D4995" t="str">
            <v>Hcp Plastene Bulkpack Ltd (Unit Iv) - Sales</v>
          </cell>
          <cell r="AB4995" t="str">
            <v>24AABCG1282C2Z6</v>
          </cell>
        </row>
        <row r="4996">
          <cell r="D4996" t="str">
            <v>Hcp Plastene Bulkpack Ltd (Unit Iv) - Sales</v>
          </cell>
          <cell r="AB4996" t="str">
            <v>24AABCG1282C2Z6</v>
          </cell>
        </row>
        <row r="4997">
          <cell r="D4997" t="str">
            <v>Hcp Plastene Bulkpack Ltd (Unit Iv) - Sales</v>
          </cell>
          <cell r="AB4997" t="str">
            <v>24AABCG1282C2Z6</v>
          </cell>
        </row>
        <row r="4998">
          <cell r="D4998" t="str">
            <v>Hcp Plastene Bulkpack Ltd (Unit Iv) - Sales</v>
          </cell>
          <cell r="AB4998" t="str">
            <v>24AABCG1282C2Z6</v>
          </cell>
        </row>
        <row r="4999">
          <cell r="D4999" t="str">
            <v>Hcp Plastene Bulkpack Ltd (Unit Iv) - Sales</v>
          </cell>
          <cell r="AB4999" t="str">
            <v>24AABCG1282C2Z6</v>
          </cell>
        </row>
        <row r="5000">
          <cell r="D5000" t="str">
            <v>Hcp Plastene Bulkpack Ltd (Unit Iv) - Sales</v>
          </cell>
          <cell r="AB5000" t="str">
            <v>24AABCG1282C2Z6</v>
          </cell>
        </row>
        <row r="5001">
          <cell r="D5001" t="str">
            <v>Hcp Plastene Bulkpack Ltd (Unit Iv) - Sales</v>
          </cell>
          <cell r="AB5001" t="str">
            <v>24AABCG1282C2Z6</v>
          </cell>
        </row>
        <row r="5002">
          <cell r="D5002" t="str">
            <v>Hcp Plastene Bulkpack Ltd (Unit Iv) - Sales</v>
          </cell>
          <cell r="AB5002" t="str">
            <v>24AABCG1282C2Z6</v>
          </cell>
        </row>
        <row r="5003">
          <cell r="D5003" t="str">
            <v>Hcp Plastene Bulkpack Ltd (Unit Iv) - Sales</v>
          </cell>
          <cell r="AB5003" t="str">
            <v>24AABCG1282C2Z6</v>
          </cell>
        </row>
        <row r="5004">
          <cell r="D5004" t="str">
            <v>Hcp Plastene Bulkpack Ltd (Unit Iv) - Sales</v>
          </cell>
          <cell r="AB5004" t="str">
            <v>24AABCG1282C2Z6</v>
          </cell>
        </row>
        <row r="5005">
          <cell r="D5005" t="str">
            <v>Hcp Plastene Bulkpack Ltd (Unit Iv) - Sales</v>
          </cell>
          <cell r="AB5005" t="str">
            <v>24AABCG1282C2Z6</v>
          </cell>
        </row>
        <row r="5006">
          <cell r="D5006" t="str">
            <v>Hcp Plastene Bulkpack Ltd (Unit Iv) - Sales</v>
          </cell>
          <cell r="AB5006" t="str">
            <v>24AABCG1282C2Z6</v>
          </cell>
        </row>
        <row r="5007">
          <cell r="D5007" t="str">
            <v>Hcp Plastene Bulkpack Ltd (Unit Iv) - Sales</v>
          </cell>
          <cell r="AB5007" t="str">
            <v>24AABCG1282C2Z6</v>
          </cell>
        </row>
        <row r="5008">
          <cell r="D5008" t="str">
            <v>Hcp Plastene Bulkpack Ltd (Unit Iv) - Sales</v>
          </cell>
          <cell r="AB5008" t="str">
            <v>24AABCG1282C2Z6</v>
          </cell>
        </row>
        <row r="5009">
          <cell r="D5009" t="str">
            <v>Hcp Plastene Bulkpack Ltd (Unit Iv) - Sales</v>
          </cell>
          <cell r="AB5009" t="str">
            <v>24AABCG1282C2Z6</v>
          </cell>
        </row>
        <row r="5010">
          <cell r="D5010" t="str">
            <v>Hcp Plastene Bulkpack Ltd (Unit Iv) - Sales</v>
          </cell>
          <cell r="AB5010" t="str">
            <v>24AABCG1282C2Z6</v>
          </cell>
        </row>
        <row r="5011">
          <cell r="D5011" t="str">
            <v>Hcp Plastene Bulkpack Ltd (Unit Iv) - Sales</v>
          </cell>
          <cell r="AB5011" t="str">
            <v>24AABCG1282C2Z6</v>
          </cell>
        </row>
        <row r="5012">
          <cell r="D5012" t="str">
            <v>Hcp Plastene Bulkpack Ltd (Unit Iv) - Sales</v>
          </cell>
          <cell r="AB5012" t="str">
            <v>24AABCG1282C2Z6</v>
          </cell>
        </row>
        <row r="5013">
          <cell r="D5013" t="str">
            <v>Hcp Plastene Bulkpack Ltd (Unit Iv) - Sales</v>
          </cell>
          <cell r="AB5013" t="str">
            <v>24AABCG1282C2Z6</v>
          </cell>
        </row>
        <row r="5014">
          <cell r="D5014" t="str">
            <v>Hcp Plastene Bulkpack Ltd (Unit Iv) - Sales</v>
          </cell>
          <cell r="AB5014" t="str">
            <v>24AABCG1282C2Z6</v>
          </cell>
        </row>
        <row r="5015">
          <cell r="D5015" t="str">
            <v>Hcp Plastene Bulkpack Ltd (Unit Iv) - Sales</v>
          </cell>
          <cell r="AB5015" t="str">
            <v>24AABCG1282C2Z6</v>
          </cell>
        </row>
        <row r="5016">
          <cell r="D5016" t="str">
            <v>Hcp Plastene Bulkpack Ltd (Unit Iv) - Sales</v>
          </cell>
          <cell r="AB5016" t="str">
            <v>24AABCG1282C2Z6</v>
          </cell>
        </row>
        <row r="5017">
          <cell r="D5017" t="str">
            <v>Hcp Plastene Bulkpack Ltd (Unit Iv) - Sales</v>
          </cell>
          <cell r="AB5017" t="str">
            <v>24AABCG1282C2Z6</v>
          </cell>
        </row>
        <row r="5018">
          <cell r="D5018" t="str">
            <v>Hcp Plastene Bulkpack Ltd (Unit Iv) - Sales</v>
          </cell>
          <cell r="AB5018" t="str">
            <v>24AABCG1282C2Z6</v>
          </cell>
        </row>
        <row r="5019">
          <cell r="D5019" t="str">
            <v>Hcp Plastene Bulkpack Ltd (Unit Iv) - Sales</v>
          </cell>
          <cell r="AB5019" t="str">
            <v>24AABCG1282C2Z6</v>
          </cell>
        </row>
        <row r="5020">
          <cell r="D5020" t="str">
            <v>Hcp Plastene Bulkpack Ltd (Unit Iv) - Sales</v>
          </cell>
          <cell r="AB5020" t="str">
            <v>24AABCG1282C2Z6</v>
          </cell>
        </row>
        <row r="5021">
          <cell r="D5021" t="str">
            <v>Hcp Plastene Bulkpack Ltd (Unit Iv) - Sales</v>
          </cell>
          <cell r="AB5021" t="str">
            <v>24AABCG1282C2Z6</v>
          </cell>
        </row>
        <row r="5022">
          <cell r="D5022" t="str">
            <v>Hcp Plastene Bulkpack Ltd (Unit Iv) - Sales</v>
          </cell>
          <cell r="AB5022" t="str">
            <v>24AABCG1282C2Z6</v>
          </cell>
        </row>
        <row r="5023">
          <cell r="D5023" t="str">
            <v>Hcp Plastene Bulkpack Ltd (Unit Iv) - Sales</v>
          </cell>
          <cell r="AB5023" t="str">
            <v>24AABCG1282C2Z6</v>
          </cell>
        </row>
        <row r="5024">
          <cell r="D5024" t="str">
            <v>Hcp Plastene Bulkpack Ltd (Unit Iv) - Sales</v>
          </cell>
          <cell r="AB5024" t="str">
            <v>24AABCG1282C2Z6</v>
          </cell>
        </row>
        <row r="5025">
          <cell r="D5025" t="str">
            <v>Hcp Plastene Bulkpack Ltd (Unit Iv) - Sales</v>
          </cell>
          <cell r="AB5025" t="str">
            <v>24AABCG1282C2Z6</v>
          </cell>
        </row>
        <row r="5026">
          <cell r="D5026" t="str">
            <v>Hcp Plastene Bulkpack Ltd (Unit Iv) - Sales</v>
          </cell>
          <cell r="AB5026" t="str">
            <v>24AABCG1282C2Z6</v>
          </cell>
        </row>
        <row r="5027">
          <cell r="D5027" t="str">
            <v>Hcp Plastene Bulkpack Ltd (Unit Iv) - Sales</v>
          </cell>
          <cell r="AB5027" t="str">
            <v>24AABCG1282C2Z6</v>
          </cell>
        </row>
        <row r="5028">
          <cell r="D5028" t="str">
            <v>Hcp Plastene Bulkpack Ltd (Unit Iv) - Sales</v>
          </cell>
          <cell r="AB5028" t="str">
            <v>24AABCG1282C2Z6</v>
          </cell>
        </row>
        <row r="5029">
          <cell r="D5029" t="str">
            <v>Hcp Plastene Bulkpack Ltd (Unit Iv) - Sales</v>
          </cell>
          <cell r="AB5029" t="str">
            <v>24AABCG1282C2Z6</v>
          </cell>
        </row>
        <row r="5030">
          <cell r="D5030" t="str">
            <v>Hcp Plastene Bulkpack Ltd (Unit Iv) - Sales</v>
          </cell>
          <cell r="AB5030" t="str">
            <v>24AABCG1282C2Z6</v>
          </cell>
        </row>
        <row r="5031">
          <cell r="D5031" t="str">
            <v>Hcp Plastene Bulkpack Ltd (Unit Iv) - Sales</v>
          </cell>
          <cell r="AB5031" t="str">
            <v>24AABCG1282C2Z6</v>
          </cell>
        </row>
        <row r="5032">
          <cell r="D5032" t="str">
            <v>Hcp Plastene Bulkpack Ltd (Unit Iv) - Sales</v>
          </cell>
          <cell r="AB5032" t="str">
            <v>24AABCG1282C2Z6</v>
          </cell>
        </row>
        <row r="5033">
          <cell r="D5033" t="str">
            <v>Hcp Plastene Bulkpack Ltd (Unit Iv) - Sales</v>
          </cell>
          <cell r="AB5033" t="str">
            <v>24AABCG1282C2Z6</v>
          </cell>
        </row>
        <row r="5034">
          <cell r="D5034" t="str">
            <v>Hcp Plastene Bulkpack Ltd (Unit Iv) - Sales</v>
          </cell>
          <cell r="AB5034" t="str">
            <v>24AABCG1282C2Z6</v>
          </cell>
        </row>
        <row r="5035">
          <cell r="D5035" t="str">
            <v>Hcp Plastene Bulkpack Ltd (Unit Iv) - Sales</v>
          </cell>
          <cell r="AB5035" t="str">
            <v>24AABCG1282C2Z6</v>
          </cell>
        </row>
        <row r="5036">
          <cell r="D5036" t="str">
            <v>Hcp Plastene Bulkpack Ltd (Unit Iv) - Sales</v>
          </cell>
          <cell r="AB5036" t="str">
            <v>24AABCG1282C2Z6</v>
          </cell>
        </row>
        <row r="5037">
          <cell r="D5037" t="str">
            <v>Hcp Plastene Bulkpack Ltd (Unit Iv) - Sales</v>
          </cell>
          <cell r="AB5037" t="str">
            <v>24AABCG1282C2Z6</v>
          </cell>
        </row>
        <row r="5038">
          <cell r="D5038" t="str">
            <v>Hcp Plastene Bulkpack Ltd (Unit Iv) - Sales</v>
          </cell>
          <cell r="AB5038" t="str">
            <v>24AABCG1282C2Z6</v>
          </cell>
        </row>
        <row r="5039">
          <cell r="D5039" t="str">
            <v>Hcp Plastene Bulkpack Ltd (Unit Iv) - Sales</v>
          </cell>
          <cell r="AB5039" t="str">
            <v>24AABCG1282C2Z6</v>
          </cell>
        </row>
        <row r="5040">
          <cell r="D5040" t="str">
            <v>Hcp Plastene Bulkpack Ltd (Unit Iv) - Sales</v>
          </cell>
          <cell r="AB5040" t="str">
            <v>24AABCG1282C2Z6</v>
          </cell>
        </row>
        <row r="5041">
          <cell r="D5041" t="str">
            <v>Hcp Plastene Bulkpack Ltd (Unit Iv) - Sales</v>
          </cell>
          <cell r="AB5041" t="str">
            <v>24AABCG1282C2Z6</v>
          </cell>
        </row>
        <row r="5042">
          <cell r="D5042" t="str">
            <v>Hcp Plastene Bulkpack Ltd (Unit Iv) - Sales</v>
          </cell>
          <cell r="AB5042" t="str">
            <v>24AABCG1282C2Z6</v>
          </cell>
        </row>
        <row r="5043">
          <cell r="D5043" t="str">
            <v>Hcp Plastene Bulkpack Ltd (Unit Iv) - Sales</v>
          </cell>
          <cell r="AB5043" t="str">
            <v>24AABCG1282C2Z6</v>
          </cell>
        </row>
        <row r="5044">
          <cell r="D5044" t="str">
            <v>Hcp Plastene Bulkpack Ltd (Unit Iv) - Sales</v>
          </cell>
          <cell r="AB5044" t="str">
            <v>24AABCG1282C2Z6</v>
          </cell>
        </row>
        <row r="5045">
          <cell r="D5045" t="str">
            <v>Hcp Plastene Bulkpack Ltd (Unit Iv) - Sales</v>
          </cell>
          <cell r="AB5045" t="str">
            <v>24AABCG1282C2Z6</v>
          </cell>
        </row>
        <row r="5046">
          <cell r="D5046" t="str">
            <v>Hcp Plastene Bulkpack Ltd (Unit Iv) - Sales</v>
          </cell>
          <cell r="AB5046" t="str">
            <v>24AABCG1282C2Z6</v>
          </cell>
        </row>
        <row r="5047">
          <cell r="D5047" t="str">
            <v>Hcp Plastene Bulkpack Ltd (Unit Iv) - Sales</v>
          </cell>
          <cell r="AB5047" t="str">
            <v>24AABCG1282C2Z6</v>
          </cell>
        </row>
        <row r="5048">
          <cell r="D5048" t="str">
            <v>Hcp Plastene Bulkpack Ltd (Unit Iv) - Sales</v>
          </cell>
          <cell r="AB5048" t="str">
            <v>24AABCG1282C2Z6</v>
          </cell>
        </row>
        <row r="5049">
          <cell r="D5049" t="str">
            <v>Hcp Plastene Bulkpack Ltd (Unit Iv) - Sales</v>
          </cell>
          <cell r="AB5049" t="str">
            <v>24AABCG1282C2Z6</v>
          </cell>
        </row>
        <row r="5050">
          <cell r="D5050" t="str">
            <v>Hcp Plastene Bulkpack Ltd (Unit Iv) - Sales</v>
          </cell>
          <cell r="AB5050" t="str">
            <v>24AABCG1282C2Z6</v>
          </cell>
        </row>
        <row r="5051">
          <cell r="D5051" t="str">
            <v>Hcp Plastene Bulkpack Ltd (Unit Iv) - Sales</v>
          </cell>
          <cell r="AB5051" t="str">
            <v>24AABCG1282C2Z6</v>
          </cell>
        </row>
        <row r="5052">
          <cell r="D5052" t="str">
            <v>Hcp Plastene Bulkpack Ltd (Unit Iv) - Sales</v>
          </cell>
          <cell r="AB5052" t="str">
            <v>24AABCG1282C2Z6</v>
          </cell>
        </row>
        <row r="5053">
          <cell r="D5053" t="str">
            <v>Hcp Plastene Bulkpack Ltd (Unit Iv) - Sales</v>
          </cell>
          <cell r="AB5053" t="str">
            <v>24AABCG1282C2Z6</v>
          </cell>
        </row>
        <row r="5054">
          <cell r="D5054" t="str">
            <v>Hcp Plastene Bulkpack Ltd (Unit Iv) - Sales</v>
          </cell>
          <cell r="AB5054" t="str">
            <v>24AABCG1282C2Z6</v>
          </cell>
        </row>
        <row r="5055">
          <cell r="D5055" t="str">
            <v>Hcp Plastene Bulkpack Ltd (Unit Iv) - Sales</v>
          </cell>
          <cell r="AB5055" t="str">
            <v>24AABCG1282C2Z6</v>
          </cell>
        </row>
        <row r="5056">
          <cell r="D5056" t="str">
            <v>Hcp Plastene Bulkpack Ltd (Unit Iv) - Sales</v>
          </cell>
          <cell r="AB5056" t="str">
            <v>24AABCG1282C2Z6</v>
          </cell>
        </row>
        <row r="5057">
          <cell r="D5057" t="str">
            <v>Hcp Plastene Bulkpack Ltd (Unit Iv) - Sales</v>
          </cell>
          <cell r="AB5057" t="str">
            <v>24AABCG1282C2Z6</v>
          </cell>
        </row>
        <row r="5058">
          <cell r="D5058" t="str">
            <v>Hcp Plastene Bulkpack Ltd (Unit Iv) - Sales</v>
          </cell>
          <cell r="AB5058" t="str">
            <v>24AABCG1282C2Z6</v>
          </cell>
        </row>
        <row r="5059">
          <cell r="D5059" t="str">
            <v>Hcp Plastene Bulkpack Ltd (Unit Iv) - Sales</v>
          </cell>
          <cell r="AB5059" t="str">
            <v>24AABCG1282C2Z6</v>
          </cell>
        </row>
        <row r="5060">
          <cell r="D5060" t="str">
            <v>Hcp Plastene Bulkpack Ltd (Unit Iv) - Sales</v>
          </cell>
          <cell r="AB5060" t="str">
            <v>24AABCG1282C2Z6</v>
          </cell>
        </row>
        <row r="5061">
          <cell r="D5061" t="str">
            <v>Hcp Plastene Bulkpack Ltd (Unit Iv) - Sales</v>
          </cell>
          <cell r="AB5061" t="str">
            <v>24AABCG1282C2Z6</v>
          </cell>
        </row>
        <row r="5062">
          <cell r="D5062" t="str">
            <v>Hcp Plastene Bulkpack Ltd (Unit Iv) - Sales</v>
          </cell>
          <cell r="AB5062" t="str">
            <v>24AABCG1282C2Z6</v>
          </cell>
        </row>
        <row r="5063">
          <cell r="D5063" t="str">
            <v>Hcp Plastene Bulkpack Ltd (Unit Iv) - Sales</v>
          </cell>
          <cell r="AB5063" t="str">
            <v>24AABCG1282C2Z6</v>
          </cell>
        </row>
        <row r="5064">
          <cell r="D5064" t="str">
            <v>Hcp Plastene Bulkpack Ltd (Unit Iv) - Sales</v>
          </cell>
          <cell r="AB5064" t="str">
            <v>24AABCG1282C2Z6</v>
          </cell>
        </row>
        <row r="5065">
          <cell r="D5065" t="str">
            <v>Hcp Plastene Bulkpack Ltd (Unit Iv) - Sales</v>
          </cell>
          <cell r="AB5065" t="str">
            <v>24AABCG1282C2Z6</v>
          </cell>
        </row>
        <row r="5066">
          <cell r="D5066" t="str">
            <v>Hcp Plastene Bulkpack Ltd (Unit Iv) - Sales</v>
          </cell>
          <cell r="AB5066" t="str">
            <v>24AABCG1282C2Z6</v>
          </cell>
        </row>
        <row r="5067">
          <cell r="D5067" t="str">
            <v>Hcp Plastene Bulkpack Ltd (Unit Iv) - Sales</v>
          </cell>
          <cell r="AB5067" t="str">
            <v>24AABCG1282C2Z6</v>
          </cell>
        </row>
        <row r="5068">
          <cell r="D5068" t="str">
            <v>Hcp Plastene Bulkpack Ltd (Unit Iv) - Sales</v>
          </cell>
          <cell r="AB5068" t="str">
            <v>24AABCG1282C2Z6</v>
          </cell>
        </row>
        <row r="5069">
          <cell r="D5069" t="str">
            <v>Hcp Plastene Bulkpack Ltd (Unit Iv) - Sales</v>
          </cell>
          <cell r="AB5069" t="str">
            <v>24AABCG1282C2Z6</v>
          </cell>
        </row>
        <row r="5070">
          <cell r="D5070" t="str">
            <v>Hcp Plastene Bulkpack Ltd (Unit Iv) - Sales</v>
          </cell>
          <cell r="AB5070" t="str">
            <v>24AABCG1282C2Z6</v>
          </cell>
        </row>
        <row r="5071">
          <cell r="D5071" t="str">
            <v>Hcp Plastene Bulkpack Ltd (Unit Iv) - Sales</v>
          </cell>
          <cell r="AB5071" t="str">
            <v>24AABCG1282C2Z6</v>
          </cell>
        </row>
        <row r="5072">
          <cell r="D5072" t="str">
            <v>Hcp Plastene Bulkpack Ltd (Unit Iv) - Sales</v>
          </cell>
          <cell r="AB5072" t="str">
            <v>24AABCG1282C2Z6</v>
          </cell>
        </row>
        <row r="5073">
          <cell r="D5073" t="str">
            <v>Hcp Plastene Bulkpack Ltd (Unit Iv) - Sales</v>
          </cell>
          <cell r="AB5073" t="str">
            <v>24AABCG1282C2Z6</v>
          </cell>
        </row>
        <row r="5074">
          <cell r="D5074" t="str">
            <v>Hcp Plastene Bulkpack Ltd (Unit Iv) - Sales</v>
          </cell>
          <cell r="AB5074" t="str">
            <v>24AABCG1282C2Z6</v>
          </cell>
        </row>
        <row r="5075">
          <cell r="D5075" t="str">
            <v>Hcp Plastene Bulkpack Ltd (Unit Iv) - Sales</v>
          </cell>
          <cell r="AB5075" t="str">
            <v>24AABCG1282C2Z6</v>
          </cell>
        </row>
        <row r="5076">
          <cell r="D5076" t="str">
            <v>Hcp Plastene Bulkpack Ltd (Unit Iv) - Sales</v>
          </cell>
          <cell r="AB5076" t="str">
            <v>24AABCG1282C2Z6</v>
          </cell>
        </row>
        <row r="5077">
          <cell r="D5077" t="str">
            <v>Hcp Plastene Bulkpack Ltd (Unit Iv) - Sales</v>
          </cell>
          <cell r="AB5077" t="str">
            <v>24AABCG1282C2Z6</v>
          </cell>
        </row>
        <row r="5078">
          <cell r="D5078" t="str">
            <v>Hcp Plastene Bulkpack Ltd (Unit Iv) - Sales</v>
          </cell>
          <cell r="AB5078" t="str">
            <v>24AABCG1282C2Z6</v>
          </cell>
        </row>
        <row r="5079">
          <cell r="D5079" t="str">
            <v>Hcp Plastene Bulkpack Ltd (Unit Iv) - Sales</v>
          </cell>
          <cell r="AB5079" t="str">
            <v>24AABCG1282C2Z6</v>
          </cell>
        </row>
        <row r="5080">
          <cell r="D5080" t="str">
            <v>Hcp Plastene Bulkpack Ltd (Unit Iv) - Sales</v>
          </cell>
          <cell r="AB5080" t="str">
            <v>24AABCG1282C2Z6</v>
          </cell>
        </row>
        <row r="5081">
          <cell r="D5081" t="str">
            <v>Hcp Plastene Bulkpack Ltd (Unit Iv) - Sales</v>
          </cell>
          <cell r="AB5081" t="str">
            <v>24AABCG1282C2Z6</v>
          </cell>
        </row>
        <row r="5082">
          <cell r="D5082" t="str">
            <v>Hcp Plastene Bulkpack Ltd (Unit Iv) - Sales</v>
          </cell>
          <cell r="AB5082" t="str">
            <v>24AABCG1282C2Z6</v>
          </cell>
        </row>
        <row r="5083">
          <cell r="D5083" t="str">
            <v>Hcp Plastene Bulkpack Ltd (Unit Iv) - Sales</v>
          </cell>
          <cell r="AB5083" t="str">
            <v>24AABCG1282C2Z6</v>
          </cell>
        </row>
        <row r="5084">
          <cell r="D5084" t="str">
            <v>Hcp Plastene Bulkpack Ltd (Unit Iv) - Sales</v>
          </cell>
          <cell r="AB5084" t="str">
            <v>24AABCG1282C2Z6</v>
          </cell>
        </row>
        <row r="5085">
          <cell r="D5085" t="str">
            <v>Hcp Plastene Bulkpack Ltd (Unit Iv) - Sales</v>
          </cell>
          <cell r="AB5085" t="str">
            <v>24AABCG1282C2Z6</v>
          </cell>
        </row>
        <row r="5086">
          <cell r="D5086" t="str">
            <v>Hcp Plastene Bulkpack Ltd (Unit Iv) - Sales</v>
          </cell>
          <cell r="AB5086" t="str">
            <v>24AABCG1282C2Z6</v>
          </cell>
        </row>
        <row r="5087">
          <cell r="D5087" t="str">
            <v>Hcp Plastene Bulkpack Ltd (Unit Iv) - Sales</v>
          </cell>
          <cell r="AB5087" t="str">
            <v>24AABCG1282C2Z6</v>
          </cell>
        </row>
        <row r="5088">
          <cell r="D5088" t="str">
            <v>Hcp Plastene Bulkpack Ltd (Unit Iv) - Sales</v>
          </cell>
          <cell r="AB5088" t="str">
            <v>24AABCG1282C2Z6</v>
          </cell>
        </row>
        <row r="5089">
          <cell r="D5089" t="str">
            <v>Hcp Plastene Bulkpack Ltd (Unit Iv) - Sales</v>
          </cell>
          <cell r="AB5089" t="str">
            <v>24AABCG1282C2Z6</v>
          </cell>
        </row>
        <row r="5090">
          <cell r="D5090" t="str">
            <v>Hcp Plastene Bulkpack Ltd (Unit Iv) - Sales</v>
          </cell>
          <cell r="AB5090" t="str">
            <v>24AABCG1282C2Z6</v>
          </cell>
        </row>
        <row r="5091">
          <cell r="D5091" t="str">
            <v>Hcp Plastene Bulkpack Ltd (Unit Iv) - Sales</v>
          </cell>
          <cell r="AB5091" t="str">
            <v>24AABCG1282C2Z6</v>
          </cell>
        </row>
        <row r="5092">
          <cell r="D5092" t="str">
            <v>Hcp Plastene Bulkpack Ltd (Unit Iv) - Sales</v>
          </cell>
          <cell r="AB5092" t="str">
            <v>24AABCG1282C2Z6</v>
          </cell>
        </row>
        <row r="5093">
          <cell r="D5093" t="str">
            <v>Hcp Plastene Bulkpack Ltd (Unit Iv) - Sales</v>
          </cell>
          <cell r="AB5093" t="str">
            <v>24AABCG1282C2Z6</v>
          </cell>
        </row>
        <row r="5094">
          <cell r="D5094" t="str">
            <v>Hcp Plastene Bulkpack Ltd (Unit Iv) - Sales</v>
          </cell>
          <cell r="AB5094" t="str">
            <v>24AABCG1282C2Z6</v>
          </cell>
        </row>
        <row r="5095">
          <cell r="D5095" t="str">
            <v>Hcp Plastene Bulkpack Ltd (Unit Iv) - Sales</v>
          </cell>
          <cell r="AB5095" t="str">
            <v>24AABCG1282C2Z6</v>
          </cell>
        </row>
        <row r="5096">
          <cell r="D5096" t="str">
            <v>Hcp Plastene Bulkpack Ltd (Unit Iv) - Sales</v>
          </cell>
          <cell r="AB5096" t="str">
            <v>24AABCG1282C2Z6</v>
          </cell>
        </row>
        <row r="5097">
          <cell r="D5097" t="str">
            <v>Hcp Plastene Bulkpack Ltd (Unit Iv) - Sales</v>
          </cell>
          <cell r="AB5097" t="str">
            <v>24AABCG1282C2Z6</v>
          </cell>
        </row>
        <row r="5098">
          <cell r="D5098" t="str">
            <v>Hcp Plastene Bulkpack Ltd (Unit Iv) - Sales</v>
          </cell>
          <cell r="AB5098" t="str">
            <v>24AABCG1282C2Z6</v>
          </cell>
        </row>
        <row r="5099">
          <cell r="D5099" t="str">
            <v>Hcp Plastene Bulkpack Ltd (Unit Iv) - Sales</v>
          </cell>
          <cell r="AB5099" t="str">
            <v>24AABCG1282C2Z6</v>
          </cell>
        </row>
        <row r="5100">
          <cell r="D5100" t="str">
            <v>Hcp Plastene Bulkpack Ltd (Unit Iv) - Sales</v>
          </cell>
          <cell r="AB5100" t="str">
            <v>24AABCG1282C2Z6</v>
          </cell>
        </row>
        <row r="5101">
          <cell r="D5101" t="str">
            <v>Hcp Plastene Bulkpack Ltd (Unit Iv) - Sales</v>
          </cell>
          <cell r="AB5101" t="str">
            <v>24AABCG1282C2Z6</v>
          </cell>
        </row>
        <row r="5102">
          <cell r="D5102" t="str">
            <v>Hcp Plastene Bulkpack Ltd (Unit Iv) - Sales</v>
          </cell>
          <cell r="AB5102" t="str">
            <v>24AABCG1282C2Z6</v>
          </cell>
        </row>
        <row r="5103">
          <cell r="D5103" t="str">
            <v>Hcp Plastene Bulkpack Ltd (Unit Iv) - Sales</v>
          </cell>
          <cell r="AB5103" t="str">
            <v>24AABCG1282C2Z6</v>
          </cell>
        </row>
        <row r="5104">
          <cell r="D5104" t="str">
            <v>Hcp Plastene Bulkpack Ltd (Unit Iv) - Sales</v>
          </cell>
          <cell r="AB5104" t="str">
            <v>24AABCG1282C2Z6</v>
          </cell>
        </row>
        <row r="5105">
          <cell r="D5105" t="str">
            <v>Hcp Plastene Bulkpack Ltd (Unit Iv) - Sales</v>
          </cell>
          <cell r="AB5105" t="str">
            <v>24AABCG1282C2Z6</v>
          </cell>
        </row>
        <row r="5106">
          <cell r="D5106" t="str">
            <v>FPS Flexibles Chile Spa</v>
          </cell>
          <cell r="AB5106" t="str">
            <v>N.A.</v>
          </cell>
        </row>
        <row r="5107">
          <cell r="D5107" t="str">
            <v>Procon Pacific Llc</v>
          </cell>
          <cell r="AB5107" t="str">
            <v>N.A.</v>
          </cell>
        </row>
        <row r="5108">
          <cell r="D5108" t="str">
            <v>Procon Pacific Llc</v>
          </cell>
          <cell r="AB5108" t="str">
            <v>N.A.</v>
          </cell>
        </row>
        <row r="5109">
          <cell r="D5109" t="str">
            <v>Procon Pacific Llc</v>
          </cell>
          <cell r="AB5109" t="str">
            <v>N.A.</v>
          </cell>
        </row>
        <row r="5110">
          <cell r="D5110" t="str">
            <v>Procon Pacific Llc</v>
          </cell>
          <cell r="AB5110" t="str">
            <v>N.A.</v>
          </cell>
        </row>
        <row r="5111">
          <cell r="D5111" t="str">
            <v>Procon Pacific Llc</v>
          </cell>
          <cell r="AB5111" t="str">
            <v>N.A.</v>
          </cell>
        </row>
        <row r="5112">
          <cell r="D5112" t="str">
            <v>Procon Pacific Llc</v>
          </cell>
          <cell r="AB5112" t="str">
            <v>N.A.</v>
          </cell>
        </row>
        <row r="5113">
          <cell r="D5113" t="str">
            <v>Procon Pacific Llc</v>
          </cell>
          <cell r="AB5113" t="str">
            <v>N.A.</v>
          </cell>
        </row>
        <row r="5114">
          <cell r="D5114" t="str">
            <v>Procon Pacific Llc</v>
          </cell>
          <cell r="AB5114" t="str">
            <v>N.A.</v>
          </cell>
        </row>
        <row r="5115">
          <cell r="D5115" t="str">
            <v>FPS Flexibles Chile Spa</v>
          </cell>
          <cell r="AB5115" t="str">
            <v>N.A.</v>
          </cell>
        </row>
        <row r="5116">
          <cell r="D5116" t="str">
            <v>FPS Flexibles Chile Spa</v>
          </cell>
          <cell r="AB5116" t="str">
            <v>N.A.</v>
          </cell>
        </row>
        <row r="5117">
          <cell r="D5117" t="str">
            <v>FPS Flexibles Chile Spa</v>
          </cell>
          <cell r="AB5117" t="str">
            <v>N.A.</v>
          </cell>
        </row>
        <row r="5118">
          <cell r="D5118" t="str">
            <v>FPS Flexibles Chile Spa</v>
          </cell>
          <cell r="AB5118" t="str">
            <v>N.A.</v>
          </cell>
        </row>
        <row r="5119">
          <cell r="D5119" t="str">
            <v>Combes Trading Bv</v>
          </cell>
          <cell r="AB5119" t="str">
            <v>N.A.</v>
          </cell>
        </row>
        <row r="5120">
          <cell r="D5120"/>
          <cell r="AB5120"/>
        </row>
        <row r="5121">
          <cell r="D5121"/>
          <cell r="AB5121"/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AppData\Roaming\Microsoft\Excel\all%20debtors%20for%20upload_Mar-25%20(version%201).xlsb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674.497153356482" createdVersion="8" refreshedVersion="8" minRefreshableVersion="3" recordCount="625" xr:uid="{FE1584CF-0FE5-44F7-8B68-85BD0AE034B8}">
  <cacheSource type="worksheet">
    <worksheetSource ref="A4:J629" sheet="Deb Dec 24 billwise" r:id="rId2"/>
  </cacheSource>
  <cacheFields count="10">
    <cacheField name="Type" numFmtId="0">
      <sharedItems/>
    </cacheField>
    <cacheField name="category" numFmtId="0">
      <sharedItems count="3">
        <s v="O"/>
        <s v="R"/>
        <s v="G"/>
      </sharedItems>
    </cacheField>
    <cacheField name="Name of Debtors" numFmtId="0">
      <sharedItems/>
    </cacheField>
    <cacheField name="GST No." numFmtId="0">
      <sharedItems containsBlank="1"/>
    </cacheField>
    <cacheField name="Invoice Detail" numFmtId="0">
      <sharedItems/>
    </cacheField>
    <cacheField name="Date (dd/mm/yyyy)" numFmtId="0">
      <sharedItems containsDate="1" containsMixedTypes="1" minDate="2024-11-05T00:00:00" maxDate="2025-01-01T00:00:00"/>
    </cacheField>
    <cacheField name="Value (maximum 2 decimal)" numFmtId="0">
      <sharedItems containsSemiMixedTypes="0" containsString="0" containsNumber="1" minValue="848.6" maxValue="36966686.020000011"/>
    </cacheField>
    <cacheField name="Days" numFmtId="0">
      <sharedItems containsSemiMixedTypes="0" containsString="0" containsNumber="1" containsInteger="1" minValue="1" maxValue="2898"/>
    </cacheField>
    <cacheField name="Ageing" numFmtId="0">
      <sharedItems/>
    </cacheField>
    <cacheField name="Ageing2" numFmtId="0">
      <sharedItems count="2">
        <s v="More than 180 Days"/>
        <s v="0-180 DAY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764.659975578703" createdVersion="8" refreshedVersion="8" minRefreshableVersion="3" recordCount="671" xr:uid="{04A4466B-13FF-499B-B1B6-CD3BF581500E}">
  <cacheSource type="worksheet">
    <worksheetSource ref="A3:J674" sheet="Deb June24 billwise"/>
  </cacheSource>
  <cacheFields count="10">
    <cacheField name="Type" numFmtId="0">
      <sharedItems count="4">
        <s v="Export"/>
        <s v="Domestic"/>
        <s v="Associate"/>
        <s v="Current Assets"/>
      </sharedItems>
    </cacheField>
    <cacheField name="category" numFmtId="0">
      <sharedItems/>
    </cacheField>
    <cacheField name="Name of Debtors" numFmtId="0">
      <sharedItems count="98">
        <s v="ACCESS WORLD"/>
        <s v="COBALT HOLDINGS LTD"/>
        <s v="Tatwir Al Masni For Trading Co"/>
        <s v="Fibco Plastic Industry Llc"/>
        <s v="Technopac Gmbh"/>
        <s v="Cesur Usa, Llc"/>
        <s v="Akshara Graphics"/>
        <s v="Almatis  Alumina Private Limited"/>
        <s v="Arysta Lifescience India Ltd"/>
        <s v="Fairdeal Jumbo Packaging Pvt Ltd - Sales"/>
        <s v="Hindustan Gunny Bags And Allied Suppliers"/>
        <s v="Khushboo Enterprises - Gujarat"/>
        <s v="M B And Sons"/>
        <s v="Rajkumar &amp; Sons"/>
        <s v="SABAR FLEX INDUSTRIES"/>
        <s v="Nikhil Packagers"/>
        <s v="Oliva Garden S.A."/>
        <s v="Juta A.S."/>
        <s v="Comercial Pra Cafe Ltda - Manaus"/>
        <s v="FPS Flexibles UK Ltd"/>
        <s v="Procon Pacific Llc"/>
        <s v="Lafarge Calcinor Maroc"/>
        <s v="Mikitos Ind E Com De Gen Alim Do Amazonas Ltda"/>
        <s v="Rugo Bags Gmbh"/>
        <s v="Calloni Srl"/>
        <s v="Concord Supply Inc."/>
        <s v="Qpac Packaging LLP"/>
        <s v="Textiles Santa Susana Sa De Cv"/>
        <s v="Asco Italia Sas"/>
        <s v="Agroszemek Kft"/>
        <s v="Glory Duty Free Marine Shops Ltd"/>
        <s v="Ambiflex S.R.O"/>
        <s v="NNZ Bv"/>
        <s v="Egyptian Agriculture Services &amp; Trade Co"/>
        <s v="Cesur Latam Sac"/>
        <s v="Rafia Industrial S.A."/>
        <s v="ELS Sacs Voladors, S.L.U"/>
        <s v="Mahadhan Agritech Limited"/>
        <s v="Jain Bulk Pack - Sales"/>
        <s v="Cofco International Uruguay S.A."/>
        <s v="Minini Spa"/>
        <s v="Km Obaly S.R.O."/>
        <s v="Madi Sp. z.o.o."/>
        <s v="Mercados Mundiales Import Export, S.A.U"/>
        <s v="Ravitaillement International Inc."/>
        <s v="Flexibox Container Gmbh"/>
        <s v="Polypak Plastene Ltd"/>
        <s v="Big Bags Disaka S.L."/>
        <s v="A.Perdios Trading Ltd"/>
        <s v="SO Bag"/>
        <s v="NNZ Gmbh (Austria)"/>
        <s v="20 Microns Limited"/>
        <s v="Mehjal Adhesive Tapes Pvt. Ltd. - Sales"/>
        <s v="Shivam Traders - Sales (24AGUPS9760R1ZZ)"/>
        <s v="Upl Limited - Jhagadia"/>
        <s v="Coromandel International Ltd-Sarigam"/>
        <s v="Plastene Polyfilms Ltd-Sales"/>
        <s v="Shiv Plastic - 24ACXFS2019L1ZN"/>
        <s v="Aayush Plastic"/>
        <s v="Ambika Petrochem Private Limited - Mundra"/>
        <s v="Giri Organic Village Pvt Ltd"/>
        <s v="Coromandel International Ltd (Dahej)"/>
        <s v="Lionel Samson Packaging Co Pty Ltd."/>
        <s v="Upper Trade Importacao E Exportacao Ltda"/>
        <s v="Coresa SA"/>
        <s v="Manyan Inc."/>
        <s v="Terceirense De Racoes Sa"/>
        <s v="Hq Tek Limited"/>
        <s v="Saeed Ali Godhran Plastic Pipe Factory"/>
        <s v="NNZ GMBH"/>
        <s v="Jumbo Sack Corporation"/>
        <s v="Olega S A"/>
        <s v="H Polesy &amp; Co Pty Ltd"/>
        <s v="Safesack Scandinavia Ab"/>
        <s v="FPS Flexibles Irelands Ltd"/>
        <s v="LC Packaging Belgium NV"/>
        <s v="Multi Negoce"/>
        <s v="Town &amp; Country Aggregates "/>
        <s v="Bluepack A/S"/>
        <s v="GST Receivable"/>
        <s v="Export Advance Lic."/>
        <s v="Oswal Extrusion Ltd- KASEZ-Sales"/>
        <s v="Sourcio Inc"/>
        <s v="Frelun S.A."/>
        <s v="Balcon Enterprises Inc."/>
        <s v="Cesur Packaging Benelux Bv"/>
        <s v="Technopac Austria Gmbh"/>
        <s v="Rudra Trading Co."/>
        <s v="Deepak Overseas"/>
        <s v="M R Enterprise"/>
        <s v="Asahi Songwon Colors Ltd.- Sales"/>
        <s v="Alps Polytex Sales"/>
        <s v="Chandresh Cables Ltd Unit-2- Sales "/>
        <s v="Chandresh Marketing Private Limited " u="1"/>
        <s v="Topsack Exports Private Limited" u="1"/>
        <s v="N S Traders" u="1"/>
        <s v="RGF Fincon Private Limited" u="1"/>
        <s v="Cesur Ambalaj Sanayi Ve Ticaret A.S." u="1"/>
      </sharedItems>
    </cacheField>
    <cacheField name="GST No." numFmtId="0">
      <sharedItems/>
    </cacheField>
    <cacheField name="Invoice Detail" numFmtId="0">
      <sharedItems containsMixedTypes="1" containsNumber="1" containsInteger="1" minValue="770" maxValue="770"/>
    </cacheField>
    <cacheField name="Date (dd/mm/yyyy)" numFmtId="0">
      <sharedItems containsDate="1" containsMixedTypes="1" minDate="2024-06-01T00:00:00" maxDate="2024-07-01T00:00:00"/>
    </cacheField>
    <cacheField name="Value (maximum 2 decimal)" numFmtId="167">
      <sharedItems containsSemiMixedTypes="0" containsString="0" containsNumber="1" minValue="339.55" maxValue="41529137.147555202"/>
    </cacheField>
    <cacheField name="Days" numFmtId="0">
      <sharedItems containsSemiMixedTypes="0" containsString="0" containsNumber="1" containsInteger="1" minValue="1" maxValue="2714"/>
    </cacheField>
    <cacheField name="Ageing" numFmtId="0">
      <sharedItems count="5">
        <s v="More than 180 Days"/>
        <s v="121-180 DAYS"/>
        <s v="0-120 DAYS"/>
        <s v="91-120DAYS"/>
        <s v="1-90 DAYS"/>
      </sharedItems>
    </cacheField>
    <cacheField name="Ageing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" refreshedDate="46254.479336458331" createdVersion="8" refreshedVersion="8" minRefreshableVersion="3" recordCount="202" xr:uid="{C327B909-2AD8-4B07-8E58-31FFAFB595F1}">
  <cacheSource type="worksheet">
    <worksheetSource ref="A3:E200" sheet="cr_JuLY-26 billwsie"/>
  </cacheSource>
  <cacheFields count="5">
    <cacheField name="Particular" numFmtId="0">
      <sharedItems count="38">
        <s v="Alok Master Batches Private Limited- Surangi"/>
        <s v="Suqian Unitecommerce Co. Ltd"/>
        <s v="Zhejiang Guxiandao Polyester Dope Dyed Yarn Co.,Ltd"/>
        <s v="Indian Oil Corporation Ltd-Haryana-(Pur)"/>
        <s v="Vyankatesh Udyog (I) Pvt Ltd - Purchase"/>
        <s v="Satyendra Masterbatch Private Limited"/>
        <s v="Alok Master Batches Private Limited- Dadra"/>
        <s v="Ishan Plastic LLP"/>
        <s v="Cytech Coatings Pvt Ltd"/>
        <s v="Indian Oil Corporation Ltd. ( Ahmedabad )"/>
        <s v="Coraplast Industries"/>
        <s v="Avient Materials India Private Limited- Gujarat"/>
        <s v="Terramag India Private Limited"/>
        <s v="Colman Polychem Llp"/>
        <s v="Mobelchem Specialty Private Limited"/>
        <s v="Spcx Private Ltd Diu 26ABACS7251D1ZJ"/>
        <s v="Calco Poly Compounds Pvt Ltd"/>
        <s v="Swayam Poly Plast Private Limited - Purchase"/>
        <s v="Kpr Enterprise"/>
        <s v="Akshara Graphics - Purchase"/>
        <s v="Argus Additive Plastics Gmbh"/>
        <s v="Atlantis Products Pvt Ltd - Purchase"/>
        <s v="Brahmani Labels"/>
        <s v="Brahmani Printers"/>
        <s v="Galaxy Chemicals"/>
        <s v="Haridarshan Polymers"/>
        <s v="J J Plastalloy Pvt Ltd"/>
        <s v="Karnavati Polyblends Pvt Ltd"/>
        <s v="Maha Shivratri Polymers Private Limited"/>
        <s v="Mor Techfab Pvt .Ltd."/>
        <s v="Rahul Traders - 24AFAPK3878B1ZR"/>
        <s v="Reliance Industries Ltd-Gujarat"/>
        <s v="Reliance Industries Ltd-Jamnagar SEZ"/>
        <s v="Rudraksh Polychem"/>
        <s v="Tec Papers Pvt Ltd Purchase"/>
        <s v="Toyo Ink India Pvt. Ltd. - Gujarat"/>
        <s v="V K Print Pack"/>
        <s v="White Valley Private Limited"/>
      </sharedItems>
    </cacheField>
    <cacheField name="GST-IN" numFmtId="0">
      <sharedItems/>
    </cacheField>
    <cacheField name="Invoice No" numFmtId="0">
      <sharedItems containsMixedTypes="1" containsNumber="1" containsInteger="1" minValue="322" maxValue="24183025011576"/>
    </cacheField>
    <cacheField name="Date" numFmtId="0">
      <sharedItems containsDate="1" containsMixedTypes="1" minDate="2026-04-21T00:00:00" maxDate="2026-08-01T00:00:00"/>
    </cacheField>
    <cacheField name="Bill Amount" numFmtId="0">
      <sharedItems containsSemiMixedTypes="0" containsString="0" containsNumber="1" minValue="1200" maxValue="7052366.2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lastene HO" refreshedDate="46254.666871643516" createdVersion="8" refreshedVersion="7" minRefreshableVersion="3" recordCount="526" xr:uid="{83453988-47D0-4C1C-B241-1495E7CEE7CD}">
  <cacheSource type="worksheet">
    <worksheetSource ref="A3:J529" sheet="Deb July 26 billwise"/>
  </cacheSource>
  <cacheFields count="10">
    <cacheField name="Type" numFmtId="0">
      <sharedItems count="4">
        <s v="Export"/>
        <s v="Current Assets"/>
        <s v="Domestic"/>
        <s v="Associate"/>
      </sharedItems>
    </cacheField>
    <cacheField name="category" numFmtId="0">
      <sharedItems count="3">
        <s v="O"/>
        <s v="G"/>
        <s v="R"/>
      </sharedItems>
    </cacheField>
    <cacheField name="Name of Debtors" numFmtId="0">
      <sharedItems count="66">
        <s v="ACCESS WORLD"/>
        <s v="COBALT HOLDINGS LTD"/>
        <s v="Export Advance Lic."/>
        <s v="GST  Receivable"/>
        <s v="Akshara Graphics"/>
        <s v="Rajkumar &amp; Sons"/>
        <s v="SABAR FLEX INDUSTRIES"/>
        <s v="Adinath Salt Llp"/>
        <s v="Oliva Garden S.A."/>
        <s v="Shyam Plastic Services"/>
        <s v="Swayam Poly Plast Pvt Ltd"/>
        <s v="Swastidaya Commercial Private Limited"/>
        <s v="Nikhil Packagers"/>
        <s v="Arabian Pipeline &amp; Services Co. Ltd (Anabeeb)"/>
        <s v="Fibco Plastic Industry Llc"/>
        <s v="Vibhav Commercial Private Limited"/>
        <s v="Tec Papers Pvt Ltd"/>
        <s v="ELS Sacs Voladors, S.L.U"/>
        <s v="Cesur Packaging Benelux Bv"/>
        <s v="Ravitaillement International Inc."/>
        <s v="Rafypak S.A De C.V"/>
        <s v="Qpac Ltd"/>
        <s v="Oswal Extrusion Ltd- KASEZ-Sales"/>
        <s v="Cesur Usa, Llc"/>
        <s v="Flexibox Container Gmbh"/>
        <s v="Ankur Chemfood Ltd - Sales"/>
        <s v="M D PLASTIC"/>
        <s v="Deepak Overseas"/>
        <s v="Juta A.S."/>
        <s v="FPS Flexibles UK Ltd"/>
        <s v="Industria Sulfuria S.A."/>
        <s v="Cesur France"/>
        <s v="Gipack Tech Llp"/>
        <s v="H Polesy &amp; Co Pty Ltd"/>
        <s v="Technopac Gmbh"/>
        <s v="PI Polyblendz Private Limited"/>
        <s v="Asia Bulk Sack Pvt Ltd - Sales"/>
        <s v="FPS Flexibles Chile Spa"/>
        <s v="Acuver Engineering India Pvt.Ltd."/>
        <s v="Dajusa 2002 S.L."/>
        <s v="Rudra Trading Co."/>
        <s v="Jahnavi Polymers"/>
        <s v="Plastene Polyfilms Ltd-Sales"/>
        <s v="Madi Sp. z.o.o."/>
        <s v="Almatis  Alumina Private Limited"/>
        <s v="Jumbo Sack Corporation"/>
        <s v="Coromandel International Ltd-Sarigam"/>
        <s v="Technopac Austria Gmbh"/>
        <s v="Polipropilen Elyaf Sanayi Ve Dis Ticaret A.S Turkey"/>
        <s v="Manyan Inc."/>
        <s v="Murari Trading Private Limited"/>
        <s v="Mehjal Adhesive Tapes Pvt. Ltd. - Sales"/>
        <s v="Mercados Mundiales Import Export, S.A.U"/>
        <s v="Mittal Trade Netlinks"/>
        <s v="Multi Negoce"/>
        <s v="Town &amp; Country (Northern) Limited "/>
        <s v="Procon Pacific Llc"/>
        <s v="Hd Microns Limited"/>
        <s v="Isbir Mewar Bulk Bag Private Limited"/>
        <s v="Lafarge Calcinor Maroc"/>
        <s v="Colorobbia Chemicals India Pvt Ltd"/>
        <s v="M R Brothers"/>
        <s v="Coromandel International Ltd (Dahej)"/>
        <s v="Olega S A"/>
        <s v="Paras Overseas"/>
        <s v="Safal Poly Products"/>
      </sharedItems>
    </cacheField>
    <cacheField name="GST No." numFmtId="0">
      <sharedItems/>
    </cacheField>
    <cacheField name="Invoice Detail" numFmtId="0">
      <sharedItems containsDate="1" containsMixedTypes="1" minDate="2026-07-01T00:00:00" maxDate="2026-07-02T00:00:00"/>
    </cacheField>
    <cacheField name="Date (dd/mm/yyyy)" numFmtId="0">
      <sharedItems containsDate="1" containsMixedTypes="1" minDate="2017-01-25T00:00:00" maxDate="2026-08-01T00:00:00"/>
    </cacheField>
    <cacheField name="Value (maximum 2 decimal)" numFmtId="0">
      <sharedItems containsSemiMixedTypes="0" containsString="0" containsNumber="1" minValue="325" maxValue="59071026"/>
    </cacheField>
    <cacheField name="Days" numFmtId="0">
      <sharedItems containsSemiMixedTypes="0" containsString="0" containsNumber="1" containsInteger="1" minValue="1" maxValue="3475"/>
    </cacheField>
    <cacheField name="Ageing" numFmtId="0">
      <sharedItems count="5">
        <s v="More than 180 Days"/>
        <s v="1-90 DAYS"/>
        <s v="121-180 DAYS"/>
        <s v="0-120 DAYS"/>
        <s v="91-120DAYS"/>
      </sharedItems>
    </cacheField>
    <cacheField name="Ageing2" numFmtId="0">
      <sharedItems count="2">
        <s v="More than 180 Days"/>
        <s v="0-180 DAY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">
  <r>
    <s v="Export"/>
    <x v="0"/>
    <s v="ACCESS WORLD"/>
    <s v="99EXPOR0000E9Z9"/>
    <s v="PIL1/TP/118/19-20"/>
    <s v="11/03/2022"/>
    <n v="3151699.2"/>
    <n v="1027"/>
    <s v="More than 180 Days"/>
    <x v="0"/>
  </r>
  <r>
    <s v="Export"/>
    <x v="0"/>
    <s v="COBALT HOLDINGS LTD"/>
    <s v="99EXPOR0000E9Z9"/>
    <s v="PIL2/E/225/19-20"/>
    <s v="11/03/2022"/>
    <n v="3151699.2"/>
    <n v="1027"/>
    <s v="More than 180 Days"/>
    <x v="0"/>
  </r>
  <r>
    <s v="Associate"/>
    <x v="1"/>
    <s v="Oliva Garden S.A."/>
    <s v="99EXPOR0000E9Z9"/>
    <s v="PIL1/E/1193/23-24"/>
    <s v="09/02/2024"/>
    <n v="1488580.03"/>
    <n v="327"/>
    <s v="More than 180 Days"/>
    <x v="0"/>
  </r>
  <r>
    <s v="Associate"/>
    <x v="1"/>
    <s v="Oliva Garden S.A."/>
    <s v="99EXPOR0000E9Z9"/>
    <s v="PIL1/E/1194/23-24"/>
    <s v="09/02/2024"/>
    <n v="179830.58"/>
    <n v="327"/>
    <s v="More than 180 Days"/>
    <x v="0"/>
  </r>
  <r>
    <s v="Associate"/>
    <x v="1"/>
    <s v="Oliva Garden S.A."/>
    <s v="99EXPOR0000E9Z9"/>
    <s v="PIL1/E/214/24-25"/>
    <s v="27/05/2024"/>
    <n v="1719678.72"/>
    <n v="219"/>
    <s v="More than 180 Days"/>
    <x v="0"/>
  </r>
  <r>
    <s v="Associate"/>
    <x v="1"/>
    <s v="Oliva Garden S.A."/>
    <s v="99EXPOR0000E9Z9"/>
    <s v="PIL1/E/215/24-25"/>
    <s v="27/05/2024"/>
    <n v="1293318.77"/>
    <n v="219"/>
    <s v="More than 180 Days"/>
    <x v="0"/>
  </r>
  <r>
    <s v="Associate"/>
    <x v="1"/>
    <s v="Oliva Garden S.A."/>
    <s v="99EXPOR0000E9Z9"/>
    <s v="PIL1/E/216/24-25"/>
    <s v="27/05/2024"/>
    <n v="331389.31"/>
    <n v="219"/>
    <s v="More than 180 Days"/>
    <x v="0"/>
  </r>
  <r>
    <s v="Export"/>
    <x v="0"/>
    <s v="Saeed Ali Godhran Plastic Pipe Factory"/>
    <s v="99EXPOR0000E9Z9"/>
    <s v="PIL2/E/51/24-25"/>
    <s v="07/05/2024"/>
    <n v="3034724"/>
    <n v="239"/>
    <s v="More than 180 Days"/>
    <x v="0"/>
  </r>
  <r>
    <s v="Export"/>
    <x v="0"/>
    <s v="Juta A.S."/>
    <s v="99EXPOR0000E9Z9"/>
    <s v="PIL2/E/63/24-25"/>
    <s v="18/05/2024"/>
    <n v="281395.43"/>
    <n v="228"/>
    <s v="More than 180 Days"/>
    <x v="0"/>
  </r>
  <r>
    <s v="Export"/>
    <x v="0"/>
    <s v="Juta A.S."/>
    <s v="99EXPOR0000E9Z9"/>
    <s v="PIL2/E/72/24-25"/>
    <s v="24/05/2024"/>
    <n v="2953911"/>
    <n v="222"/>
    <s v="More than 180 Days"/>
    <x v="0"/>
  </r>
  <r>
    <s v="Current Assets"/>
    <x v="2"/>
    <s v="Export Advance Lic."/>
    <s v="99EXPOR0000E9Z9"/>
    <s v="DEC-24"/>
    <d v="2024-12-31T00:00:00"/>
    <n v="21179598.75031881"/>
    <n v="1"/>
    <s v="1-90 DAYS"/>
    <x v="1"/>
  </r>
  <r>
    <s v="Current Assets"/>
    <x v="2"/>
    <s v="GST Receivable"/>
    <s v="99EXPOR0000E9Z9"/>
    <s v="DEC-24"/>
    <d v="2024-12-31T00:00:00"/>
    <n v="36966686.020000011"/>
    <n v="1"/>
    <s v="1-90 DAYS"/>
    <x v="1"/>
  </r>
  <r>
    <s v="Export"/>
    <x v="0"/>
    <s v="Olega S A"/>
    <s v="99EXPOR0000E9Z9"/>
    <s v="PIL2/E/101/24-25"/>
    <s v="09/06/2024"/>
    <n v="5392128"/>
    <n v="206"/>
    <s v="More than 180 Days"/>
    <x v="0"/>
  </r>
  <r>
    <s v="Export"/>
    <x v="0"/>
    <s v="Ambiflex S.R.O"/>
    <s v="99EXPOR0000E9Z9"/>
    <s v="PIL2/E/117/24-25"/>
    <s v="22/06/2024"/>
    <n v="3126641.28"/>
    <n v="193"/>
    <s v="More than 180 Days"/>
    <x v="0"/>
  </r>
  <r>
    <s v="Domestic"/>
    <x v="0"/>
    <s v="Akshara Graphics"/>
    <s v="23BTLPS7416R1ZT"/>
    <s v="4/22-23"/>
    <s v="02/04/2022"/>
    <n v="82517.399999999994"/>
    <n v="1005"/>
    <s v="More than 180 Days"/>
    <x v="0"/>
  </r>
  <r>
    <s v="Domestic"/>
    <x v="0"/>
    <s v="Akshara Graphics"/>
    <s v="23BTLPS7416R1ZT"/>
    <s v="PIL2/D/6"/>
    <s v="04/04/2023"/>
    <n v="49754.7"/>
    <n v="638"/>
    <s v="More than 180 Days"/>
    <x v="0"/>
  </r>
  <r>
    <s v="Domestic"/>
    <x v="0"/>
    <s v="Almatis  Alumina Private Limited"/>
    <s v="19AACCA2120N1ZT"/>
    <s v="PIL2/D/433"/>
    <s v="02/08/2023"/>
    <n v="8928.24"/>
    <n v="518"/>
    <s v="More than 180 Days"/>
    <x v="0"/>
  </r>
  <r>
    <s v="Domestic"/>
    <x v="0"/>
    <s v="Almatis  Alumina Private Limited"/>
    <s v="19AACCA2120N1ZT"/>
    <s v="PIL2/D/637"/>
    <s v="17/09/2023"/>
    <n v="1730.83"/>
    <n v="472"/>
    <s v="More than 180 Days"/>
    <x v="0"/>
  </r>
  <r>
    <s v="Domestic"/>
    <x v="0"/>
    <s v="Fairdeal Jumbo Packaging Pvt Ltd - Sales"/>
    <s v="24AABCF1436D1ZA"/>
    <s v="PIL2/D/163"/>
    <s v="21/05/2021"/>
    <n v="81031.210000000006"/>
    <n v="1321"/>
    <s v="More than 180 Days"/>
    <x v="0"/>
  </r>
  <r>
    <s v="Domestic"/>
    <x v="0"/>
    <s v="Hindustan Gunny Bags And Allied Suppliers"/>
    <s v="27AACFH0325B1Z5"/>
    <s v="PIL2/D/1268"/>
    <s v="18/02/2023"/>
    <n v="19519.82"/>
    <n v="683"/>
    <s v="More than 180 Days"/>
    <x v="0"/>
  </r>
  <r>
    <s v="Domestic"/>
    <x v="0"/>
    <s v="Khushboo Enterprises - Gujarat"/>
    <s v="24AXUPB6571E1ZD"/>
    <s v="PIL2/D/1247"/>
    <s v="08/02/2022"/>
    <n v="978730"/>
    <n v="1058"/>
    <s v="More than 180 Days"/>
    <x v="0"/>
  </r>
  <r>
    <s v="Domestic"/>
    <x v="0"/>
    <s v="Khushboo Enterprises - Gujarat"/>
    <s v="24AXUPB6571E1ZD"/>
    <s v="PIL2/D/1251"/>
    <s v="08/02/2022"/>
    <n v="1039965"/>
    <n v="1058"/>
    <s v="More than 180 Days"/>
    <x v="0"/>
  </r>
  <r>
    <s v="Domestic"/>
    <x v="0"/>
    <s v="Khushboo Enterprises - Gujarat"/>
    <s v="24AXUPB6571E1ZD"/>
    <s v="PIL2/D/1286"/>
    <s v="15/02/2022"/>
    <n v="1160694.02"/>
    <n v="1051"/>
    <s v="More than 180 Days"/>
    <x v="0"/>
  </r>
  <r>
    <s v="Domestic"/>
    <x v="0"/>
    <s v="Khushboo Enterprises - Gujarat"/>
    <s v="24AXUPB6571E1ZD"/>
    <s v="PIL2/D/1310"/>
    <s v="21/02/2022"/>
    <n v="1075361.1399999999"/>
    <n v="1045"/>
    <s v="More than 180 Days"/>
    <x v="0"/>
  </r>
  <r>
    <s v="Domestic"/>
    <x v="0"/>
    <s v="Rajkumar &amp; Sons"/>
    <s v="09ABAFR1522K1Z9"/>
    <s v="PIL2/D/943"/>
    <s v="11/12/2023"/>
    <n v="580857.09"/>
    <n v="387"/>
    <s v="More than 180 Days"/>
    <x v="0"/>
  </r>
  <r>
    <s v="Domestic"/>
    <x v="0"/>
    <s v="SABAR FLEX INDUSTRIES"/>
    <s v="88INDIG0000I8Z8"/>
    <s v="PIL1/D/3487"/>
    <s v="25/01/2017"/>
    <n v="1507988"/>
    <n v="2898"/>
    <s v="More than 180 Days"/>
    <x v="0"/>
  </r>
  <r>
    <s v="Domestic"/>
    <x v="0"/>
    <s v="SABAR FLEX INDUSTRIES"/>
    <s v="88INDIG0000I8Z8"/>
    <s v="PIL1/D/3694"/>
    <s v="10/02/2017"/>
    <n v="2089970"/>
    <n v="2882"/>
    <s v="More than 180 Days"/>
    <x v="0"/>
  </r>
  <r>
    <s v="Domestic"/>
    <x v="0"/>
    <s v="Nikhil Packagers"/>
    <s v="09APZPG7653R1ZJ"/>
    <s v="PIL2/D/44"/>
    <s v="10/04/2024"/>
    <n v="681843.97"/>
    <n v="266"/>
    <s v="More than 180 Days"/>
    <x v="0"/>
  </r>
  <r>
    <s v="Domestic"/>
    <x v="0"/>
    <s v="Ambika Petrochem Private Limited - Mundra"/>
    <s v="24AACCA3482H1ZW"/>
    <s v="PIL1/D/325"/>
    <s v="25/05/2024"/>
    <n v="3066525"/>
    <n v="221"/>
    <s v="More than 180 Days"/>
    <x v="0"/>
  </r>
  <r>
    <s v="Domestic"/>
    <x v="0"/>
    <s v="Ambika Petrochem Private Limited - Mundra"/>
    <s v="24AACCA3482H1ZW"/>
    <s v="PIL1/D/326"/>
    <s v="25/05/2024"/>
    <n v="3066330"/>
    <n v="221"/>
    <s v="More than 180 Days"/>
    <x v="0"/>
  </r>
  <r>
    <s v="Domestic"/>
    <x v="0"/>
    <s v="Ambika Petrochem Private Limited - Mundra"/>
    <s v="24AACCA3482H1ZW"/>
    <s v="PIL1/D/327"/>
    <s v="25/05/2024"/>
    <n v="3063926"/>
    <n v="221"/>
    <s v="More than 180 Days"/>
    <x v="0"/>
  </r>
  <r>
    <s v="Domestic"/>
    <x v="0"/>
    <s v="Ambika Petrochem Private Limited - Mundra"/>
    <s v="24AACCA3482H1ZW"/>
    <s v="PIL1/D/328"/>
    <s v="25/05/2024"/>
    <n v="3063926"/>
    <n v="221"/>
    <s v="More than 180 Days"/>
    <x v="0"/>
  </r>
  <r>
    <s v="Domestic"/>
    <x v="0"/>
    <s v="Ambika Petrochem Private Limited - Mundra"/>
    <s v="24AACCA3482H1ZW"/>
    <s v="PIL1/D/329"/>
    <s v="25/05/2024"/>
    <n v="3063926"/>
    <n v="221"/>
    <s v="More than 180 Days"/>
    <x v="0"/>
  </r>
  <r>
    <s v="Domestic"/>
    <x v="0"/>
    <s v="Ambika Petrochem Private Limited - Mundra"/>
    <s v="24AACCA3482H1ZW"/>
    <s v="PIL1/D/330"/>
    <s v="25/05/2024"/>
    <n v="3063926"/>
    <n v="221"/>
    <s v="More than 180 Days"/>
    <x v="0"/>
  </r>
  <r>
    <s v="Domestic"/>
    <x v="0"/>
    <s v="Ambika Petrochem Private Limited - Mundra"/>
    <s v="24AACCA3482H1ZW"/>
    <s v="PIL1/D/340"/>
    <s v="27/05/2024"/>
    <n v="3063926"/>
    <n v="219"/>
    <s v="More than 180 Days"/>
    <x v="0"/>
  </r>
  <r>
    <s v="Domestic"/>
    <x v="0"/>
    <s v="Ambika Petrochem Private Limited - Mundra"/>
    <s v="24AACCA3482H1ZW"/>
    <s v="PIL1/D/341"/>
    <s v="27/05/2024"/>
    <n v="3063926"/>
    <n v="219"/>
    <s v="More than 180 Days"/>
    <x v="0"/>
  </r>
  <r>
    <s v="Domestic"/>
    <x v="0"/>
    <s v="Ambika Petrochem Private Limited - Mundra"/>
    <s v="24AACCA3482H1ZW"/>
    <s v="PIL1/D/342"/>
    <s v="27/05/2024"/>
    <n v="3063926"/>
    <n v="219"/>
    <s v="More than 180 Days"/>
    <x v="0"/>
  </r>
  <r>
    <s v="Domestic"/>
    <x v="0"/>
    <s v="Ambika Petrochem Private Limited - Mundra"/>
    <s v="24AACCA3482H1ZW"/>
    <s v="PIL1/D/343"/>
    <s v="27/05/2024"/>
    <n v="3063926"/>
    <n v="219"/>
    <s v="More than 180 Days"/>
    <x v="0"/>
  </r>
  <r>
    <s v="Domestic"/>
    <x v="0"/>
    <s v="Ambika Petrochem Private Limited - Mundra"/>
    <s v="24AACCA3482H1ZW"/>
    <s v="PIL1/D/344"/>
    <s v="27/05/2024"/>
    <n v="3063926"/>
    <n v="219"/>
    <s v="More than 180 Days"/>
    <x v="0"/>
  </r>
  <r>
    <s v="Domestic"/>
    <x v="0"/>
    <s v="Ambika Petrochem Private Limited - Mundra"/>
    <s v="24AACCA3482H1ZW"/>
    <s v="PIL1/D/345"/>
    <s v="27/05/2024"/>
    <n v="3063926"/>
    <n v="219"/>
    <s v="More than 180 Days"/>
    <x v="0"/>
  </r>
  <r>
    <s v="Domestic"/>
    <x v="0"/>
    <s v="Akshara Graphics"/>
    <s v="23BTLPS7416R1ZT"/>
    <s v="PIL2/D/146"/>
    <s v="11/05/2024"/>
    <n v="52321.2"/>
    <n v="235"/>
    <s v="More than 180 Days"/>
    <x v="0"/>
  </r>
  <r>
    <s v="Domestic"/>
    <x v="0"/>
    <s v="Nikhil Packagers"/>
    <s v="09APZPG7653R1ZJ"/>
    <s v="PIL2/D/182"/>
    <s v="19/05/2024"/>
    <n v="670565.34"/>
    <n v="227"/>
    <s v="More than 180 Days"/>
    <x v="0"/>
  </r>
  <r>
    <s v="Domestic"/>
    <x v="0"/>
    <s v="Shivam Traders - Sales (24AGUPS9760R1ZZ)"/>
    <s v="24AGUPS9760R1ZZ"/>
    <s v="PIL2/D/289"/>
    <s v="19/06/2024"/>
    <n v="78690.48"/>
    <n v="196"/>
    <s v="More than 180 Days"/>
    <x v="0"/>
  </r>
  <r>
    <s v="Domestic"/>
    <x v="0"/>
    <s v="Moksh Polymers Private Limited"/>
    <s v="29AAOCM8775B1ZW"/>
    <s v="PIL1/D/658"/>
    <s v="09/07/2024"/>
    <n v="2847487.5"/>
    <n v="176"/>
    <s v="121-180 DAYS"/>
    <x v="1"/>
  </r>
  <r>
    <s v="Domestic"/>
    <x v="0"/>
    <s v="Moksh Polymers Private Limited"/>
    <s v="29AAOCM8775B1ZW"/>
    <s v="PIL1/D/659"/>
    <s v="09/07/2024"/>
    <n v="2847487.5"/>
    <n v="176"/>
    <s v="121-180 DAYS"/>
    <x v="1"/>
  </r>
  <r>
    <s v="Domestic"/>
    <x v="0"/>
    <s v="Moksh Polymers Private Limited"/>
    <s v="29AAOCM8775B1ZW"/>
    <s v="PIL1/D/685"/>
    <s v="12/07/2024"/>
    <n v="2932787.5"/>
    <n v="173"/>
    <s v="121-180 DAYS"/>
    <x v="1"/>
  </r>
  <r>
    <s v="Domestic"/>
    <x v="0"/>
    <s v="Moksh Polymers Private Limited"/>
    <s v="29AAOCM8775B1ZW"/>
    <s v="PIL1/D/686"/>
    <s v="12/07/2024"/>
    <n v="2932615.5"/>
    <n v="173"/>
    <s v="121-180 DAYS"/>
    <x v="1"/>
  </r>
  <r>
    <s v="Domestic"/>
    <x v="0"/>
    <s v="Moksh Polymers Private Limited"/>
    <s v="29AAOCM8775B1ZW"/>
    <s v="PIL1/D/687"/>
    <s v="12/07/2024"/>
    <n v="2932615.5"/>
    <n v="173"/>
    <s v="121-180 DAYS"/>
    <x v="1"/>
  </r>
  <r>
    <s v="Domestic"/>
    <x v="0"/>
    <s v="Moksh Polymers Private Limited"/>
    <s v="29AAOCM8775B1ZW"/>
    <s v="PIL1/D/688"/>
    <s v="12/07/2024"/>
    <n v="2932615.5"/>
    <n v="173"/>
    <s v="121-180 DAYS"/>
    <x v="1"/>
  </r>
  <r>
    <s v="Domestic"/>
    <x v="0"/>
    <s v="Moksh Polymers Private Limited"/>
    <s v="29AAOCM8775B1ZW"/>
    <s v="PIL1/D/711"/>
    <s v="16/07/2024"/>
    <n v="2845074.5"/>
    <n v="169"/>
    <s v="121-180 DAYS"/>
    <x v="1"/>
  </r>
  <r>
    <s v="Domestic"/>
    <x v="0"/>
    <s v="Moksh Polymers Private Limited"/>
    <s v="29AAOCM8775B1ZW"/>
    <s v="PIL1/D/712"/>
    <s v="16/07/2024"/>
    <n v="2845074.5"/>
    <n v="169"/>
    <s v="121-180 DAYS"/>
    <x v="1"/>
  </r>
  <r>
    <s v="Domestic"/>
    <x v="0"/>
    <s v="Moksh Polymers Private Limited"/>
    <s v="29AAOCM8775B1ZW"/>
    <s v="PIL1/D/713"/>
    <s v="16/07/2024"/>
    <n v="2845074.5"/>
    <n v="169"/>
    <s v="121-180 DAYS"/>
    <x v="1"/>
  </r>
  <r>
    <s v="Export"/>
    <x v="0"/>
    <s v="Procon Pacific Llc"/>
    <s v="99EXPOR0000E9Z9"/>
    <s v="PIL1/JW/017"/>
    <s v="10/07/2024"/>
    <n v="3139375.23"/>
    <n v="175"/>
    <s v="121-180 DAYS"/>
    <x v="1"/>
  </r>
  <r>
    <s v="Export"/>
    <x v="0"/>
    <s v="Textiles Santa Susana Sa De Cv"/>
    <s v="99EXPOR0000E9Z9"/>
    <s v="PIL1/E/376/24-25"/>
    <s v="10/07/2024"/>
    <n v="2976020.29"/>
    <n v="175"/>
    <s v="121-180 DAYS"/>
    <x v="1"/>
  </r>
  <r>
    <s v="Export"/>
    <x v="0"/>
    <s v="FPS Flexibles UK Ltd"/>
    <s v="99EXPOR0000E9Z9"/>
    <s v="PIL1/JW/020"/>
    <s v="16/07/2024"/>
    <n v="3286999.62"/>
    <n v="169"/>
    <s v="121-180 DAYS"/>
    <x v="1"/>
  </r>
  <r>
    <s v="Export"/>
    <x v="0"/>
    <s v="Procon Pacific Llc"/>
    <s v="99EXPOR0000E9Z9"/>
    <s v="PIL1/JW/018"/>
    <s v="16/07/2024"/>
    <n v="3016896"/>
    <n v="169"/>
    <s v="121-180 DAYS"/>
    <x v="1"/>
  </r>
  <r>
    <s v="Export"/>
    <x v="0"/>
    <s v="Procon Pacific Llc"/>
    <s v="99EXPOR0000E9Z9"/>
    <s v="PIL1/JW/019"/>
    <s v="16/07/2024"/>
    <n v="3125400.05"/>
    <n v="169"/>
    <s v="121-180 DAYS"/>
    <x v="1"/>
  </r>
  <r>
    <s v="Export"/>
    <x v="0"/>
    <s v="Procon Pacific Llc"/>
    <s v="99EXPOR0000E9Z9"/>
    <s v="PIL1/JW/021"/>
    <s v="20/07/2024"/>
    <n v="3804096.96"/>
    <n v="165"/>
    <s v="121-180 DAYS"/>
    <x v="1"/>
  </r>
  <r>
    <s v="Export"/>
    <x v="0"/>
    <s v="Procon Pacific Llc"/>
    <s v="99EXPOR0000E9Z9"/>
    <s v="PIL1/JW/022"/>
    <s v="22/07/2024"/>
    <n v="4180008.96"/>
    <n v="163"/>
    <s v="121-180 DAYS"/>
    <x v="1"/>
  </r>
  <r>
    <s v="Export"/>
    <x v="0"/>
    <s v="Procon Pacific Llc"/>
    <s v="99EXPOR0000E9Z9"/>
    <s v="PIL1/JW/023"/>
    <s v="22/07/2024"/>
    <n v="2874824.28"/>
    <n v="163"/>
    <s v="121-180 DAYS"/>
    <x v="1"/>
  </r>
  <r>
    <s v="Export"/>
    <x v="0"/>
    <s v="Procon Pacific Llc"/>
    <s v="99EXPOR0000E9Z9"/>
    <s v="PIL1/JW/024"/>
    <s v="24/07/2024"/>
    <n v="3957707.52"/>
    <n v="161"/>
    <s v="121-180 DAYS"/>
    <x v="1"/>
  </r>
  <r>
    <s v="Export"/>
    <x v="0"/>
    <s v="Cesur Usa, Llc"/>
    <s v="99EXPOR0000E9Z9"/>
    <s v="PIL2/E/136/24-25"/>
    <s v="08/07/2024"/>
    <n v="3135984"/>
    <n v="177"/>
    <s v="121-180 DAYS"/>
    <x v="1"/>
  </r>
  <r>
    <s v="Export"/>
    <x v="0"/>
    <s v="Ambiflex S.R.O"/>
    <s v="99EXPOR0000E9Z9"/>
    <s v="PIL2/E/143/24-25"/>
    <s v="11/07/2024"/>
    <n v="3130426.56"/>
    <n v="174"/>
    <s v="121-180 DAYS"/>
    <x v="1"/>
  </r>
  <r>
    <s v="Export"/>
    <x v="0"/>
    <s v="Fibco Plastic Industry Llc"/>
    <s v="99EXPOR0000E9Z9"/>
    <s v="PIL2/E/146/24-25"/>
    <s v="13/07/2024"/>
    <n v="761667"/>
    <n v="172"/>
    <s v="121-180 DAYS"/>
    <x v="1"/>
  </r>
  <r>
    <s v="Export"/>
    <x v="0"/>
    <s v="Fibco Plastic Industry Llc"/>
    <s v="99EXPOR0000E9Z9"/>
    <s v="PIL2/E/147/24-25"/>
    <s v="13/07/2024"/>
    <n v="1599537.09"/>
    <n v="172"/>
    <s v="121-180 DAYS"/>
    <x v="1"/>
  </r>
  <r>
    <s v="Export"/>
    <x v="0"/>
    <s v="Fibco Plastic Industry Llc"/>
    <s v="99EXPOR0000E9Z9"/>
    <s v="PIL2/E/148/24-25"/>
    <s v="14/07/2024"/>
    <n v="347311.88"/>
    <n v="171"/>
    <s v="121-180 DAYS"/>
    <x v="1"/>
  </r>
  <r>
    <s v="Export"/>
    <x v="0"/>
    <s v="Cesur Usa, Llc"/>
    <s v="99EXPOR0000E9Z9"/>
    <s v="PIL2/E/151/24-25"/>
    <s v="15/07/2024"/>
    <n v="3209421.6"/>
    <n v="170"/>
    <s v="121-180 DAYS"/>
    <x v="1"/>
  </r>
  <r>
    <s v="Export"/>
    <x v="0"/>
    <s v="Fibco Plastic Industry Llc"/>
    <s v="99EXPOR0000E9Z9"/>
    <s v="PIL2/E/150/24-25"/>
    <s v="15/07/2024"/>
    <n v="1939281.9199999999"/>
    <n v="170"/>
    <s v="121-180 DAYS"/>
    <x v="1"/>
  </r>
  <r>
    <s v="Export"/>
    <x v="0"/>
    <s v="Olega S A"/>
    <s v="99EXPOR0000E9Z9"/>
    <s v="PIL2/E/155/24-25"/>
    <s v="19/07/2024"/>
    <n v="5398656"/>
    <n v="166"/>
    <s v="121-180 DAYS"/>
    <x v="1"/>
  </r>
  <r>
    <s v="Export"/>
    <x v="0"/>
    <s v="Juta A.S."/>
    <s v="99EXPOR0000E9Z9"/>
    <s v="PIL2/E/171/24-25"/>
    <s v="28/07/2024"/>
    <n v="3105952.2"/>
    <n v="157"/>
    <s v="121-180 DAYS"/>
    <x v="1"/>
  </r>
  <r>
    <s v="Export"/>
    <x v="0"/>
    <s v="FPS Flexibles UK Ltd"/>
    <s v="99EXPOR0000E9Z9"/>
    <s v="PIL1/TP/014"/>
    <s v="29/07/2024"/>
    <n v="320076.2"/>
    <n v="156"/>
    <s v="121-180 DAYS"/>
    <x v="1"/>
  </r>
  <r>
    <s v="Export"/>
    <x v="0"/>
    <s v="Lionel Samson Packaging Co Pty Ltd."/>
    <s v="99EXPOR0000E9Z9"/>
    <s v="PIL1/TP/012"/>
    <s v="29/07/2024"/>
    <n v="3385518.12"/>
    <n v="156"/>
    <s v="121-180 DAYS"/>
    <x v="1"/>
  </r>
  <r>
    <s v="Export"/>
    <x v="0"/>
    <s v="Lionel Samson Packaging Co Pty Ltd."/>
    <s v="99EXPOR0000E9Z9"/>
    <s v="PIL1/TP/013"/>
    <s v="29/07/2024"/>
    <n v="3339593.1"/>
    <n v="156"/>
    <s v="121-180 DAYS"/>
    <x v="1"/>
  </r>
  <r>
    <s v="Export"/>
    <x v="0"/>
    <s v="FPS Flexibles UK Ltd"/>
    <s v="99EXPOR0000E9Z9"/>
    <s v="PIL1/JW/025"/>
    <s v="02/08/2024"/>
    <n v="3251659.51"/>
    <n v="152"/>
    <s v="121-180 DAYS"/>
    <x v="1"/>
  </r>
  <r>
    <s v="Export"/>
    <x v="0"/>
    <s v="Procon Pacific Llc"/>
    <s v="99EXPOR0000E9Z9"/>
    <s v="PIL1/JW/026"/>
    <s v="02/08/2024"/>
    <n v="3955524.14"/>
    <n v="152"/>
    <s v="121-180 DAYS"/>
    <x v="1"/>
  </r>
  <r>
    <s v="Export"/>
    <x v="0"/>
    <s v="Procon Pacific Llc"/>
    <s v="99EXPOR0000E9Z9"/>
    <s v="PIL1/JW/028"/>
    <s v="10/08/2024"/>
    <n v="4587669.62"/>
    <n v="144"/>
    <s v="121-180 DAYS"/>
    <x v="1"/>
  </r>
  <r>
    <s v="Export"/>
    <x v="0"/>
    <s v="Fibco Plastic Industry Llc"/>
    <s v="99EXPOR0000E9Z9"/>
    <s v="PIL1/E/491/24-25"/>
    <s v="15/08/2024"/>
    <n v="2292025.14"/>
    <n v="139"/>
    <s v="121-180 DAYS"/>
    <x v="1"/>
  </r>
  <r>
    <s v="Export"/>
    <x v="0"/>
    <s v="Fibco Plastic Industry Llc"/>
    <s v="99EXPOR0000E9Z9"/>
    <s v="PIL1/E/492/24-25"/>
    <s v="15/08/2024"/>
    <n v="309289.89"/>
    <n v="139"/>
    <s v="121-180 DAYS"/>
    <x v="1"/>
  </r>
  <r>
    <s v="Export"/>
    <x v="0"/>
    <s v="Fibco Plastic Industry Llc"/>
    <s v="99EXPOR0000E9Z9"/>
    <s v="PIL1/E/493/24-25"/>
    <s v="15/08/2024"/>
    <n v="33321.440000000002"/>
    <n v="139"/>
    <s v="121-180 DAYS"/>
    <x v="1"/>
  </r>
  <r>
    <s v="Export"/>
    <x v="0"/>
    <s v="Fibco Plastic Industry Llc"/>
    <s v="99EXPOR0000E9Z9"/>
    <s v="PIL1/E/497/24-25"/>
    <s v="16/08/2024"/>
    <n v="1858191.62"/>
    <n v="138"/>
    <s v="121-180 DAYS"/>
    <x v="1"/>
  </r>
  <r>
    <s v="Export"/>
    <x v="0"/>
    <s v="Fibco Plastic Industry Llc"/>
    <s v="99EXPOR0000E9Z9"/>
    <s v="PIL1/E/498/24-25"/>
    <s v="16/08/2024"/>
    <n v="903992.55"/>
    <n v="138"/>
    <s v="121-180 DAYS"/>
    <x v="1"/>
  </r>
  <r>
    <s v="Export"/>
    <x v="0"/>
    <s v="FPS Flexibles UK Ltd"/>
    <s v="99EXPOR0000E9Z9"/>
    <s v="PIL1/JW/032"/>
    <s v="24/08/2024"/>
    <n v="2843850.15"/>
    <n v="130"/>
    <s v="121-180 DAYS"/>
    <x v="1"/>
  </r>
  <r>
    <s v="Export"/>
    <x v="0"/>
    <s v="Frelun S.A."/>
    <s v="99EXPOR0000E9Z9"/>
    <s v="PIL1/E/534/24-25"/>
    <s v="24/08/2024"/>
    <n v="3757470.37"/>
    <n v="130"/>
    <s v="121-180 DAYS"/>
    <x v="1"/>
  </r>
  <r>
    <s v="Export"/>
    <x v="0"/>
    <s v="SO Bag"/>
    <s v="99EXPOR0000E9Z9"/>
    <s v="PIL1/JW/031"/>
    <s v="24/08/2024"/>
    <n v="3620742.16"/>
    <n v="130"/>
    <s v="121-180 DAYS"/>
    <x v="1"/>
  </r>
  <r>
    <s v="Export"/>
    <x v="0"/>
    <s v="Juta A.S."/>
    <s v="99EXPOR0000E9Z9"/>
    <s v="PIL1/E/542/24-25"/>
    <s v="27/08/2024"/>
    <n v="3211573.63"/>
    <n v="127"/>
    <s v="121-180 DAYS"/>
    <x v="1"/>
  </r>
  <r>
    <s v="Export"/>
    <x v="0"/>
    <s v="Fibco Plastic Industry Llc"/>
    <s v="99EXPOR0000E9Z9"/>
    <s v="PIL2/E/186/24-25"/>
    <s v="05/08/2024"/>
    <n v="28329.72"/>
    <n v="149"/>
    <s v="121-180 DAYS"/>
    <x v="1"/>
  </r>
  <r>
    <s v="Export"/>
    <x v="0"/>
    <s v="Fibco Plastic Industry Llc"/>
    <s v="99EXPOR0000E9Z9"/>
    <s v="PIL2/E/188/24-25"/>
    <s v="05/08/2024"/>
    <n v="2313321.96"/>
    <n v="149"/>
    <s v="121-180 DAYS"/>
    <x v="1"/>
  </r>
  <r>
    <s v="Export"/>
    <x v="0"/>
    <s v="Cesur Usa, Llc"/>
    <s v="99EXPOR0000E9Z9"/>
    <s v="PIL2/E/191/24-25"/>
    <s v="09/08/2024"/>
    <n v="1658706.71"/>
    <n v="145"/>
    <s v="121-180 DAYS"/>
    <x v="1"/>
  </r>
  <r>
    <s v="Export"/>
    <x v="0"/>
    <s v="Cesur Latam Sac"/>
    <s v="99EXPOR0000E9Z9"/>
    <s v="PIL2/E/204/24-25"/>
    <s v="16/08/2024"/>
    <n v="3310704"/>
    <n v="138"/>
    <s v="121-180 DAYS"/>
    <x v="1"/>
  </r>
  <r>
    <s v="Export"/>
    <x v="0"/>
    <s v="Cesur Latam Sac"/>
    <s v="99EXPOR0000E9Z9"/>
    <s v="PIL2/E/206/24-25"/>
    <s v="17/08/2024"/>
    <n v="3400452"/>
    <n v="137"/>
    <s v="121-180 DAYS"/>
    <x v="1"/>
  </r>
  <r>
    <s v="Export"/>
    <x v="0"/>
    <s v="Cesur Usa, Llc"/>
    <s v="99EXPOR0000E9Z9"/>
    <s v="PIL2/E/217/24-25"/>
    <s v="24/08/2024"/>
    <n v="3151152"/>
    <n v="130"/>
    <s v="121-180 DAYS"/>
    <x v="1"/>
  </r>
  <r>
    <s v="Export"/>
    <x v="0"/>
    <s v="Cesur Usa, Llc"/>
    <s v="99EXPOR0000E9Z9"/>
    <s v="PIL2/E/218/24-25"/>
    <s v="25/08/2024"/>
    <n v="3378912.48"/>
    <n v="129"/>
    <s v="121-180 DAYS"/>
    <x v="1"/>
  </r>
  <r>
    <s v="Export"/>
    <x v="0"/>
    <s v="Cesur Usa, Llc"/>
    <s v="99EXPOR0000E9Z9"/>
    <s v="PIL2/E/220/24-25"/>
    <s v="26/08/2024"/>
    <n v="3151152"/>
    <n v="128"/>
    <s v="121-180 DAYS"/>
    <x v="1"/>
  </r>
  <r>
    <s v="Export"/>
    <x v="0"/>
    <s v="Fibco Plastic Industry Llc"/>
    <s v="99EXPOR0000E9Z9"/>
    <s v="PIL2/E/221/24-25"/>
    <s v="29/08/2024"/>
    <n v="2778009.73"/>
    <n v="125"/>
    <s v="121-180 DAYS"/>
    <x v="1"/>
  </r>
  <r>
    <s v="Export"/>
    <x v="0"/>
    <s v="Fibco Plastic Industry Llc"/>
    <s v="99EXPOR0000E9Z9"/>
    <s v="PIL2/E/222/24-25"/>
    <s v="30/08/2024"/>
    <n v="30597.42"/>
    <n v="124"/>
    <s v="121-180 DAYS"/>
    <x v="1"/>
  </r>
  <r>
    <s v="Export"/>
    <x v="0"/>
    <s v="Fibco Plastic Industry Llc"/>
    <s v="99EXPOR0000E9Z9"/>
    <s v="PIL2/E/223/24-25"/>
    <s v="30/08/2024"/>
    <n v="53803.1"/>
    <n v="124"/>
    <s v="121-180 DAYS"/>
    <x v="1"/>
  </r>
  <r>
    <s v="Export"/>
    <x v="0"/>
    <s v="Fibco Plastic Industry Llc"/>
    <s v="99EXPOR0000E9Z9"/>
    <s v="PIL2/E/224/24-25"/>
    <s v="30/08/2024"/>
    <n v="2586163.41"/>
    <n v="124"/>
    <s v="121-180 DAYS"/>
    <x v="1"/>
  </r>
  <r>
    <s v="Export"/>
    <x v="0"/>
    <s v="Juta A.S."/>
    <s v="99EXPOR0000E9Z9"/>
    <s v="PIL1/TP/015"/>
    <s v="24/08/2024"/>
    <n v="3317388.78"/>
    <n v="130"/>
    <s v="121-180 DAYS"/>
    <x v="1"/>
  </r>
  <r>
    <s v="Domestic"/>
    <x v="0"/>
    <s v="Aayush Plastic"/>
    <s v="24AIGPD1030P1ZK"/>
    <s v="PIL1/D/889"/>
    <s v="14/08/2024"/>
    <n v="194287.24"/>
    <n v="140"/>
    <s v="121-180 DAYS"/>
    <x v="1"/>
  </r>
  <r>
    <s v="Domestic"/>
    <x v="0"/>
    <s v="Ambika Petrochem Private Limited"/>
    <s v="24AACCA3482H1ZW"/>
    <s v="PIL1/HSS/15/24-25"/>
    <s v="15/08/2024"/>
    <n v="16868617.800000001"/>
    <n v="139"/>
    <s v="121-180 DAYS"/>
    <x v="1"/>
  </r>
  <r>
    <s v="Domestic"/>
    <x v="0"/>
    <s v="Ambika Petrochem Private Limited"/>
    <s v="24AACCA3482H1ZW"/>
    <s v="PIL1/HSS/16/24-25"/>
    <s v="15/08/2024"/>
    <n v="1569174.16"/>
    <n v="139"/>
    <s v="121-180 DAYS"/>
    <x v="1"/>
  </r>
  <r>
    <s v="Domestic"/>
    <x v="0"/>
    <s v="Almatis  Alumina Private Limited"/>
    <s v="19AACCA2120N1ZT"/>
    <s v="PIL2/D/481"/>
    <s v="21/08/2024"/>
    <n v="1513386.88"/>
    <n v="133"/>
    <s v="121-180 DAYS"/>
    <x v="1"/>
  </r>
  <r>
    <s v="Domestic"/>
    <x v="0"/>
    <s v="Arysta Lifescience India Ltd"/>
    <s v="24AAACD0557C1ZB"/>
    <s v="PIL2/D/484"/>
    <s v="22/08/2024"/>
    <n v="14691"/>
    <n v="132"/>
    <s v="121-180 DAYS"/>
    <x v="1"/>
  </r>
  <r>
    <s v="Associate"/>
    <x v="1"/>
    <s v="Oliva Garden S.A."/>
    <s v="99EXPOR0000E9Z9"/>
    <s v="PIL1/E/510/24-25"/>
    <s v="19/08/2024"/>
    <n v="3950349.63"/>
    <n v="135"/>
    <s v="121-180 DAYS"/>
    <x v="1"/>
  </r>
  <r>
    <s v="Domestic"/>
    <x v="0"/>
    <s v="Rahul Papers India Private Limited"/>
    <s v="24AADCR5506L1ZC"/>
    <s v="PIL1/D/1051"/>
    <s v="06/09/2024"/>
    <n v="688974.21"/>
    <n v="117"/>
    <s v="91-120DAYS"/>
    <x v="1"/>
  </r>
  <r>
    <s v="Domestic"/>
    <x v="0"/>
    <s v="Ambika Petrochem Private Limited"/>
    <s v="24AACCA3482H1ZW"/>
    <s v="PIL1/HSS/17/24-25"/>
    <s v="17/09/2024"/>
    <n v="16605477.9"/>
    <n v="106"/>
    <s v="91-120DAYS"/>
    <x v="1"/>
  </r>
  <r>
    <s v="Domestic"/>
    <x v="0"/>
    <s v="Ambika Petrochem Private Limited"/>
    <s v="24AACCA3482H1ZW"/>
    <s v="PIL1/HSS/18/24-25"/>
    <s v="17/09/2024"/>
    <n v="8554936.5"/>
    <n v="106"/>
    <s v="91-120DAYS"/>
    <x v="1"/>
  </r>
  <r>
    <s v="Domestic"/>
    <x v="0"/>
    <s v="Jain Bulk Pack - Ahmedabad"/>
    <s v="24AFOPG7793M1ZO"/>
    <s v="PIL1/D/1252"/>
    <s v="30/09/2024"/>
    <n v="1156929.3999999999"/>
    <n v="93"/>
    <s v="91-120DAYS"/>
    <x v="1"/>
  </r>
  <r>
    <s v="Domestic"/>
    <x v="0"/>
    <s v="Jain Bulk Pack - Ahmedabad"/>
    <s v="24AFOPG7793M1ZO"/>
    <s v="PIL1/D/1253"/>
    <s v="30/09/2024"/>
    <n v="1156339.3999999999"/>
    <n v="93"/>
    <s v="91-120DAYS"/>
    <x v="1"/>
  </r>
  <r>
    <s v="Domestic"/>
    <x v="0"/>
    <s v="Jain Bulk Pack - Ahmedabad"/>
    <s v="24AFOPG7793M1ZO"/>
    <s v="PIL1/D/1254"/>
    <s v="30/09/2024"/>
    <n v="871287.38"/>
    <n v="93"/>
    <s v="91-120DAYS"/>
    <x v="1"/>
  </r>
  <r>
    <s v="Domestic"/>
    <x v="0"/>
    <s v="Jain Bulk Pack - Ahmedabad"/>
    <s v="24AFOPG7793M1ZO"/>
    <s v="PIL1/D/1255"/>
    <s v="30/09/2024"/>
    <n v="2364922.7200000002"/>
    <n v="93"/>
    <s v="91-120DAYS"/>
    <x v="1"/>
  </r>
  <r>
    <s v="Domestic"/>
    <x v="0"/>
    <s v="Rataan Fabtex Private Limited - Unit 2"/>
    <s v="24AAGCR7475P1ZL"/>
    <s v="PIL2/D/546"/>
    <s v="15/09/2024"/>
    <n v="41117.1"/>
    <n v="108"/>
    <s v="91-120DAYS"/>
    <x v="1"/>
  </r>
  <r>
    <s v="Domestic"/>
    <x v="0"/>
    <s v="Coromandel International Ltd-Sarigam"/>
    <s v="24AAACC7852K1ZJ"/>
    <s v="PIL2/D/588"/>
    <s v="25/09/2024"/>
    <n v="13217.25"/>
    <n v="98"/>
    <s v="91-120DAYS"/>
    <x v="1"/>
  </r>
  <r>
    <s v="Domestic"/>
    <x v="0"/>
    <s v="Sunglow Colorants Corporation"/>
    <s v="24ACOFS2351J1ZX"/>
    <s v="PIL2/D/608"/>
    <s v="30/09/2024"/>
    <n v="73160"/>
    <n v="93"/>
    <s v="91-120DAYS"/>
    <x v="1"/>
  </r>
  <r>
    <s v="Export"/>
    <x v="0"/>
    <s v="Juta A.S."/>
    <s v="99EXPOR0000E9Z9"/>
    <s v="PIL1/E/588/24-25"/>
    <s v="05/09/2024"/>
    <n v="3241595.33"/>
    <n v="118"/>
    <s v="0-120 DAYS"/>
    <x v="1"/>
  </r>
  <r>
    <s v="Export"/>
    <x v="0"/>
    <s v="Concord Supply Inc."/>
    <s v="99EXPOR0000E9Z9"/>
    <s v="PIL1/E/594/24-25"/>
    <s v="09/09/2024"/>
    <n v="4251055.3899999997"/>
    <n v="114"/>
    <s v="0-120 DAYS"/>
    <x v="1"/>
  </r>
  <r>
    <s v="Export"/>
    <x v="0"/>
    <s v="Industria Sulfuria S.A."/>
    <s v="99EXPOR0000E9Z9"/>
    <s v="PIL1/E/606/24-25"/>
    <s v="11/09/2024"/>
    <n v="249450"/>
    <n v="112"/>
    <s v="0-120 DAYS"/>
    <x v="1"/>
  </r>
  <r>
    <s v="Export"/>
    <x v="0"/>
    <s v="FPS Flexibles Chile Spa"/>
    <s v="99EXPOR0000E9Z9"/>
    <s v="PIL1/JW/033"/>
    <s v="13/09/2024"/>
    <n v="3671904"/>
    <n v="110"/>
    <s v="0-120 DAYS"/>
    <x v="1"/>
  </r>
  <r>
    <s v="Export"/>
    <x v="0"/>
    <s v="Ameriglobe LLC"/>
    <s v="99EXPOR0000E9Z9"/>
    <s v="PIL1/E/634/24-25"/>
    <s v="17/09/2024"/>
    <n v="32028.55"/>
    <n v="106"/>
    <s v="0-120 DAYS"/>
    <x v="1"/>
  </r>
  <r>
    <s v="Associate"/>
    <x v="1"/>
    <s v="Oliva Garden S.A."/>
    <s v="99EXPOR0000E9Z9"/>
    <s v="PIL1/E/645/24-25"/>
    <s v="20/09/2024"/>
    <n v="3494715.82"/>
    <n v="103"/>
    <s v="91-120DAYS"/>
    <x v="1"/>
  </r>
  <r>
    <s v="Associate"/>
    <x v="1"/>
    <s v="Oliva Garden S.A."/>
    <s v="99EXPOR0000E9Z9"/>
    <s v="PIL1/E/646/24-25"/>
    <s v="20/09/2024"/>
    <n v="221958.12"/>
    <n v="103"/>
    <s v="91-120DAYS"/>
    <x v="1"/>
  </r>
  <r>
    <s v="Export"/>
    <x v="0"/>
    <s v="Qpac Packaging LLP"/>
    <s v="99EXPOR0000E9Z9"/>
    <s v="PIL1/E/650/24-25"/>
    <s v="21/09/2024"/>
    <n v="3381682.59"/>
    <n v="102"/>
    <s v="0-120 DAYS"/>
    <x v="1"/>
  </r>
  <r>
    <s v="Export"/>
    <x v="0"/>
    <s v="Polypak Plastene Ltd"/>
    <s v="99EXPOR0000E9Z9"/>
    <s v="PIL1/E/657/24-25"/>
    <s v="23/09/2024"/>
    <n v="4443120"/>
    <n v="100"/>
    <s v="0-120 DAYS"/>
    <x v="1"/>
  </r>
  <r>
    <s v="Export"/>
    <x v="0"/>
    <s v="Cofco International Uruguay S.A."/>
    <s v="99EXPOR0000E9Z9"/>
    <s v="PIL1/E/667/24-25"/>
    <s v="25/09/2024"/>
    <n v="3650518.08"/>
    <n v="98"/>
    <s v="0-120 DAYS"/>
    <x v="1"/>
  </r>
  <r>
    <s v="Export"/>
    <x v="0"/>
    <s v="FPS Flexibles UK Ltd"/>
    <s v="99EXPOR0000E9Z9"/>
    <s v="PIL1/E/668/24-25"/>
    <s v="26/09/2024"/>
    <n v="3296076.3"/>
    <n v="97"/>
    <s v="0-120 DAYS"/>
    <x v="1"/>
  </r>
  <r>
    <s v="Export"/>
    <x v="0"/>
    <s v="Technopac Austria Gmbh"/>
    <s v="99EXPOR0000E9Z9"/>
    <s v="PIL1/E/671/24-25"/>
    <s v="27/09/2024"/>
    <n v="4834850.8499999996"/>
    <n v="96"/>
    <s v="0-120 DAYS"/>
    <x v="1"/>
  </r>
  <r>
    <s v="Export"/>
    <x v="0"/>
    <s v="Technopac Gmbh"/>
    <s v="99EXPOR0000E9Z9"/>
    <s v="PIL2/TP/015"/>
    <s v="03/09/2024"/>
    <n v="2895334.47"/>
    <n v="120"/>
    <s v="0-120 DAYS"/>
    <x v="1"/>
  </r>
  <r>
    <s v="Export"/>
    <x v="0"/>
    <s v="Fibco Plastic Industry Llc"/>
    <s v="99EXPOR0000E9Z9"/>
    <s v="PIL2/E/232/24-25"/>
    <s v="04/09/2024"/>
    <n v="3001173.12"/>
    <n v="119"/>
    <s v="0-120 DAYS"/>
    <x v="1"/>
  </r>
  <r>
    <s v="Export"/>
    <x v="0"/>
    <s v="Fibco Plastic Industry Llc"/>
    <s v="99EXPOR0000E9Z9"/>
    <s v="PIL2/E/233/24-25"/>
    <s v="04/09/2024"/>
    <n v="29812.13"/>
    <n v="119"/>
    <s v="0-120 DAYS"/>
    <x v="1"/>
  </r>
  <r>
    <s v="Export"/>
    <x v="0"/>
    <s v="Fibco Plastic Industry Llc"/>
    <s v="99EXPOR0000E9Z9"/>
    <s v="PIL2/E/234/24-25"/>
    <s v="04/09/2024"/>
    <n v="2237221.52"/>
    <n v="119"/>
    <s v="0-120 DAYS"/>
    <x v="1"/>
  </r>
  <r>
    <s v="Export"/>
    <x v="0"/>
    <s v="Technopac Gmbh"/>
    <s v="99EXPOR0000E9Z9"/>
    <s v="PIL2/TP/016"/>
    <s v="04/09/2024"/>
    <n v="3468735.27"/>
    <n v="119"/>
    <s v="0-120 DAYS"/>
    <x v="1"/>
  </r>
  <r>
    <s v="Export"/>
    <x v="0"/>
    <s v="Cesur Latam Sac"/>
    <s v="99EXPOR0000E9Z9"/>
    <s v="PIL2/E/240/24-25"/>
    <s v="07/09/2024"/>
    <n v="3312696"/>
    <n v="116"/>
    <s v="0-120 DAYS"/>
    <x v="1"/>
  </r>
  <r>
    <s v="Export"/>
    <x v="0"/>
    <s v="Fibco Plastic Industry Llc"/>
    <s v="99EXPOR0000E9Z9"/>
    <s v="PIL2/E/239/24-25"/>
    <s v="07/09/2024"/>
    <n v="24421.99"/>
    <n v="116"/>
    <s v="0-120 DAYS"/>
    <x v="1"/>
  </r>
  <r>
    <s v="Export"/>
    <x v="0"/>
    <s v="Fibco Plastic Industry Llc"/>
    <s v="99EXPOR0000E9Z9"/>
    <s v="PIL2/E/241/24-25"/>
    <s v="07/09/2024"/>
    <n v="63983.09"/>
    <n v="116"/>
    <s v="0-120 DAYS"/>
    <x v="1"/>
  </r>
  <r>
    <s v="Export"/>
    <x v="0"/>
    <s v="Technopac Gmbh"/>
    <s v="99EXPOR0000E9Z9"/>
    <s v="PIL2/E/238/24-25"/>
    <s v="07/09/2024"/>
    <n v="2887120.8"/>
    <n v="116"/>
    <s v="0-120 DAYS"/>
    <x v="1"/>
  </r>
  <r>
    <s v="Export"/>
    <x v="0"/>
    <s v="Fibco Plastic Industry Llc"/>
    <s v="99EXPOR0000E9Z9"/>
    <s v="PIL2/E/242/24-25"/>
    <s v="08/09/2024"/>
    <n v="1028226.25"/>
    <n v="115"/>
    <s v="0-120 DAYS"/>
    <x v="1"/>
  </r>
  <r>
    <s v="Export"/>
    <x v="0"/>
    <s v="Fibco Plastic Industry Llc"/>
    <s v="99EXPOR0000E9Z9"/>
    <s v="PIL2/E/243/24-25"/>
    <s v="08/09/2024"/>
    <n v="1254493.2"/>
    <n v="115"/>
    <s v="0-120 DAYS"/>
    <x v="1"/>
  </r>
  <r>
    <s v="Export"/>
    <x v="0"/>
    <s v="Karapatsias Ltd"/>
    <s v="99EXPOR0000E9Z9"/>
    <s v="PIL2/E/246/24-25"/>
    <s v="14/09/2024"/>
    <n v="547427.27"/>
    <n v="109"/>
    <s v="0-120 DAYS"/>
    <x v="1"/>
  </r>
  <r>
    <s v="Export"/>
    <x v="0"/>
    <s v="Karapatsias Ltd"/>
    <s v="99EXPOR0000E9Z9"/>
    <s v="PIL2/E/247/24-25"/>
    <s v="14/09/2024"/>
    <n v="405377.04"/>
    <n v="109"/>
    <s v="0-120 DAYS"/>
    <x v="1"/>
  </r>
  <r>
    <s v="Export"/>
    <x v="0"/>
    <s v="Fibco Plastic Industry Llc"/>
    <s v="99EXPOR0000E9Z9"/>
    <s v="PIL2/E/248/24-25"/>
    <s v="17/09/2024"/>
    <n v="2152352.7200000002"/>
    <n v="106"/>
    <s v="0-120 DAYS"/>
    <x v="1"/>
  </r>
  <r>
    <s v="Export"/>
    <x v="0"/>
    <s v="Technopac Gmbh"/>
    <s v="99EXPOR0000E9Z9"/>
    <s v="PIL2/TP/018"/>
    <s v="17/09/2024"/>
    <n v="2922468.26"/>
    <n v="106"/>
    <s v="0-120 DAYS"/>
    <x v="1"/>
  </r>
  <r>
    <s v="Export"/>
    <x v="0"/>
    <s v="Fibco Plastic Industry Llc"/>
    <s v="99EXPOR0000E9Z9"/>
    <s v="PIL2/E/251/24-25"/>
    <s v="18/09/2024"/>
    <n v="2705326.83"/>
    <n v="105"/>
    <s v="0-120 DAYS"/>
    <x v="1"/>
  </r>
  <r>
    <s v="Export"/>
    <x v="0"/>
    <s v="Technopac Gmbh"/>
    <s v="99EXPOR0000E9Z9"/>
    <s v="PIL2/TP/019"/>
    <s v="18/09/2024"/>
    <n v="5591538.9299999997"/>
    <n v="105"/>
    <s v="0-120 DAYS"/>
    <x v="1"/>
  </r>
  <r>
    <s v="Export"/>
    <x v="0"/>
    <s v="Fibco Plastic Industry Llc"/>
    <s v="99EXPOR0000E9Z9"/>
    <s v="PIL2/E/252/24-25"/>
    <s v="19/09/2024"/>
    <n v="2577757.2599999998"/>
    <n v="104"/>
    <s v="0-120 DAYS"/>
    <x v="1"/>
  </r>
  <r>
    <s v="Export"/>
    <x v="0"/>
    <s v="Technopac Gmbh"/>
    <s v="99EXPOR0000E9Z9"/>
    <s v="PIL2/TP/020"/>
    <s v="21/09/2024"/>
    <n v="3071304.08"/>
    <n v="102"/>
    <s v="0-120 DAYS"/>
    <x v="1"/>
  </r>
  <r>
    <s v="Export"/>
    <x v="0"/>
    <s v="Technopac Gmbh"/>
    <s v="99EXPOR0000E9Z9"/>
    <s v="PIL2/TP/021"/>
    <s v="24/09/2024"/>
    <n v="2920872.15"/>
    <n v="99"/>
    <s v="0-120 DAYS"/>
    <x v="1"/>
  </r>
  <r>
    <s v="Export"/>
    <x v="0"/>
    <s v="Cesur Usa, Llc"/>
    <s v="99EXPOR0000E9Z9"/>
    <s v="PIL2/E/258/24-25"/>
    <s v="26/09/2024"/>
    <n v="3143568"/>
    <n v="97"/>
    <s v="0-120 DAYS"/>
    <x v="1"/>
  </r>
  <r>
    <s v="Export"/>
    <x v="0"/>
    <s v="Juta A.S."/>
    <s v="99EXPOR0000E9Z9"/>
    <s v="PIL2/E/259/24-25"/>
    <s v="26/09/2024"/>
    <n v="3052440"/>
    <n v="97"/>
    <s v="0-120 DAYS"/>
    <x v="1"/>
  </r>
  <r>
    <s v="Export"/>
    <x v="0"/>
    <s v="Fibco Plastic Industry Llc"/>
    <s v="99EXPOR0000E9Z9"/>
    <s v="PIL2/E/261/24-25"/>
    <s v="27/09/2024"/>
    <n v="2173608.9900000002"/>
    <n v="96"/>
    <s v="0-120 DAYS"/>
    <x v="1"/>
  </r>
  <r>
    <s v="Export"/>
    <x v="0"/>
    <s v="Fibco Plastic Industry Llc"/>
    <s v="99EXPOR0000E9Z9"/>
    <s v="PIL2/E/262/24-25"/>
    <s v="27/09/2024"/>
    <n v="187768.5"/>
    <n v="96"/>
    <s v="0-120 DAYS"/>
    <x v="1"/>
  </r>
  <r>
    <s v="Export"/>
    <x v="0"/>
    <s v="Fibco Plastic Industry Llc"/>
    <s v="99EXPOR0000E9Z9"/>
    <s v="PIL2/E/263/24-25"/>
    <s v="27/09/2024"/>
    <n v="128703.91"/>
    <n v="96"/>
    <s v="0-120 DAYS"/>
    <x v="1"/>
  </r>
  <r>
    <s v="Export"/>
    <x v="0"/>
    <s v="Technopac Gmbh"/>
    <s v="99EXPOR0000E9Z9"/>
    <s v="PIL2/E/265/24-25"/>
    <s v="30/09/2024"/>
    <n v="3904488"/>
    <n v="93"/>
    <s v="0-120 DAYS"/>
    <x v="1"/>
  </r>
  <r>
    <s v="Export"/>
    <x v="0"/>
    <s v="Qpac Packaging LLP"/>
    <s v="99EXPOR0000E9Z9"/>
    <s v="PIL6/E/164/24-25"/>
    <s v="18/09/2024"/>
    <n v="3253795.88"/>
    <n v="105"/>
    <s v="0-120 DAYS"/>
    <x v="1"/>
  </r>
  <r>
    <s v="Export"/>
    <x v="0"/>
    <s v="ELS Sacs Voladors, S.L.U"/>
    <s v="99EXPOR0000E9Z9"/>
    <s v="PIL6/E/168/24-25"/>
    <s v="23/09/2024"/>
    <n v="3223152"/>
    <n v="100"/>
    <s v="0-120 DAYS"/>
    <x v="1"/>
  </r>
  <r>
    <s v="Export"/>
    <x v="0"/>
    <s v="Qpac Packaging LLP"/>
    <s v="99EXPOR0000E9Z9"/>
    <s v="PIL6/E/169/24-25"/>
    <s v="23/09/2024"/>
    <n v="3598780.19"/>
    <n v="100"/>
    <s v="0-120 DAYS"/>
    <x v="1"/>
  </r>
  <r>
    <s v="Export"/>
    <x v="0"/>
    <s v="Qpac Packaging LLP"/>
    <s v="99EXPOR0000E9Z9"/>
    <s v="PIL6/E/174/24-25"/>
    <s v="26/09/2024"/>
    <n v="3199329.54"/>
    <n v="97"/>
    <s v="0-120 DAYS"/>
    <x v="1"/>
  </r>
  <r>
    <s v="Export"/>
    <x v="0"/>
    <s v="Qpac Packaging LLP"/>
    <s v="99EXPOR0000E9Z9"/>
    <s v="PIL6/E/177/24-25"/>
    <s v="28/09/2024"/>
    <n v="3624104.88"/>
    <n v="95"/>
    <s v="0-120 DAYS"/>
    <x v="1"/>
  </r>
  <r>
    <s v="Export"/>
    <x v="0"/>
    <s v="Juta A.S."/>
    <s v="99EXPOR0000E9Z9"/>
    <s v="PIL1/TP/016"/>
    <s v="10/09/2024"/>
    <n v="3265107.86"/>
    <n v="113"/>
    <s v="0-120 DAYS"/>
    <x v="1"/>
  </r>
  <r>
    <s v="Export"/>
    <x v="0"/>
    <s v="Lionel Samson Packaging Co Pty Ltd."/>
    <s v="99EXPOR0000E9Z9"/>
    <s v="PIL1/TP/017"/>
    <s v="11/09/2024"/>
    <n v="4635142.7"/>
    <n v="112"/>
    <s v="0-120 DAYS"/>
    <x v="1"/>
  </r>
  <r>
    <s v="Export"/>
    <x v="0"/>
    <s v="Juta A.S."/>
    <s v="99EXPOR0000E9Z9"/>
    <s v="PIL1/TP/018"/>
    <s v="21/09/2024"/>
    <n v="3375462.47"/>
    <n v="102"/>
    <s v="0-120 DAYS"/>
    <x v="1"/>
  </r>
  <r>
    <s v="Domestic"/>
    <x v="0"/>
    <s v="Jain Bulk Pack - Ahmedabad"/>
    <s v="24AFOPG7793M1ZO"/>
    <s v="PIL1/D/1283"/>
    <s v="05/10/2024"/>
    <n v="596150.38"/>
    <n v="88"/>
    <s v="1-90 DAYS"/>
    <x v="1"/>
  </r>
  <r>
    <s v="Domestic"/>
    <x v="0"/>
    <s v="Deepak Overseas"/>
    <s v="24AGUPS7962F1ZO"/>
    <s v="PIL1/D/1297"/>
    <s v="07/10/2024"/>
    <n v="222447.97999999998"/>
    <n v="86"/>
    <s v="1-90 DAYS"/>
    <x v="1"/>
  </r>
  <r>
    <s v="Domestic"/>
    <x v="0"/>
    <s v="Jain Bulk Pack - Ahmedabad"/>
    <s v="24AFOPG7793M1ZO"/>
    <s v="PIL1/D/1293"/>
    <s v="07/10/2024"/>
    <n v="178844.92"/>
    <n v="86"/>
    <s v="1-90 DAYS"/>
    <x v="1"/>
  </r>
  <r>
    <s v="Domestic"/>
    <x v="0"/>
    <s v="Jain Bulk Pack - Ahmedabad"/>
    <s v="24AFOPG7793M1ZO"/>
    <s v="PIL1/D/1294"/>
    <s v="07/10/2024"/>
    <n v="1311532.04"/>
    <n v="86"/>
    <s v="1-90 DAYS"/>
    <x v="1"/>
  </r>
  <r>
    <s v="Domestic"/>
    <x v="0"/>
    <s v="Jain Bulk Pack - Ahmedabad"/>
    <s v="24AFOPG7793M1ZO"/>
    <s v="PIL1/D/1312"/>
    <s v="08/10/2024"/>
    <n v="359135.98"/>
    <n v="85"/>
    <s v="1-90 DAYS"/>
    <x v="1"/>
  </r>
  <r>
    <s v="Domestic"/>
    <x v="0"/>
    <s v="Jain Bulk Pack - Ahmedabad"/>
    <s v="24AFOPG7793M1ZO"/>
    <s v="PIL1/D/1331"/>
    <s v="11/10/2024"/>
    <n v="346315.2"/>
    <n v="82"/>
    <s v="1-90 DAYS"/>
    <x v="1"/>
  </r>
  <r>
    <s v="Domestic"/>
    <x v="0"/>
    <s v="Jain Bulk Pack - Ahmedabad"/>
    <s v="24AFOPG7793M1ZO"/>
    <s v="PIL1/D/1348"/>
    <s v="14/10/2024"/>
    <n v="230876.79999999999"/>
    <n v="79"/>
    <s v="1-90 DAYS"/>
    <x v="1"/>
  </r>
  <r>
    <s v="Domestic"/>
    <x v="0"/>
    <s v="Jain Bulk Pack - Ahmedabad"/>
    <s v="24AFOPG7793M1ZO"/>
    <s v="PIL1/D/1360"/>
    <s v="16/10/2024"/>
    <n v="1490376.94"/>
    <n v="77"/>
    <s v="1-90 DAYS"/>
    <x v="1"/>
  </r>
  <r>
    <s v="Domestic"/>
    <x v="0"/>
    <s v="Jain Bulk Pack - Ahmedabad"/>
    <s v="24AFOPG7793M1ZO"/>
    <s v="PIL1/D/1365"/>
    <s v="17/10/2024"/>
    <n v="596150.38"/>
    <n v="76"/>
    <s v="1-90 DAYS"/>
    <x v="1"/>
  </r>
  <r>
    <s v="Domestic"/>
    <x v="0"/>
    <s v="Jain Bulk Pack - Ahmedabad"/>
    <s v="24AFOPG7793M1ZO"/>
    <s v="PIL1/D/1379"/>
    <s v="19/10/2024"/>
    <n v="596150.38"/>
    <n v="74"/>
    <s v="1-90 DAYS"/>
    <x v="1"/>
  </r>
  <r>
    <s v="Domestic"/>
    <x v="0"/>
    <s v="Mahadhan Agritech Limited"/>
    <s v="27AACCA5046P2ZC"/>
    <s v="PIL1/D/1407"/>
    <s v="22/10/2024"/>
    <n v="5339.9"/>
    <n v="71"/>
    <s v="1-90 DAYS"/>
    <x v="1"/>
  </r>
  <r>
    <s v="Domestic"/>
    <x v="0"/>
    <s v="Jain Bulk Pack - Ahmedabad"/>
    <s v="24AFOPG7793M1ZO"/>
    <s v="PIL1/D/1424"/>
    <s v="25/10/2024"/>
    <n v="1490376.94"/>
    <n v="68"/>
    <s v="1-90 DAYS"/>
    <x v="1"/>
  </r>
  <r>
    <s v="Domestic"/>
    <x v="0"/>
    <s v="Jain Bulk Pack - Ahmedabad"/>
    <s v="24AFOPG7793M1ZO"/>
    <s v="PIL1/D/1438"/>
    <s v="27/10/2024"/>
    <n v="1269823.3600000001"/>
    <n v="66"/>
    <s v="1-90 DAYS"/>
    <x v="1"/>
  </r>
  <r>
    <s v="Domestic"/>
    <x v="0"/>
    <s v="Jain Bulk Pack - Ahmedabad"/>
    <s v="24AFOPG7793M1ZO"/>
    <s v="PIL1/D/1446"/>
    <s v="29/10/2024"/>
    <n v="2799832.36"/>
    <n v="64"/>
    <s v="1-90 DAYS"/>
    <x v="1"/>
  </r>
  <r>
    <s v="Domestic"/>
    <x v="0"/>
    <s v="Jain Bulk Pack - Ahmedabad"/>
    <s v="24AFOPG7793M1ZO"/>
    <s v="PIL1/D/1454"/>
    <s v="30/10/2024"/>
    <n v="536535.74"/>
    <n v="63"/>
    <s v="1-90 DAYS"/>
    <x v="1"/>
  </r>
  <r>
    <s v="Domestic"/>
    <x v="0"/>
    <s v="Jain Bulk Pack - Ahmedabad"/>
    <s v="24AFOPG7793M1ZO"/>
    <s v="PIL1/D/1459"/>
    <s v="30/10/2024"/>
    <n v="298075.18"/>
    <n v="63"/>
    <s v="1-90 DAYS"/>
    <x v="1"/>
  </r>
  <r>
    <s v="Domestic"/>
    <x v="0"/>
    <s v="Upl Limited - Jhagadia"/>
    <s v="24AABCS1698G3Z9"/>
    <s v="PIL2/D/614"/>
    <s v="04/10/2024"/>
    <n v="2043"/>
    <n v="89"/>
    <s v="1-90 DAYS"/>
    <x v="1"/>
  </r>
  <r>
    <s v="Domestic"/>
    <x v="0"/>
    <s v="Rataan Fabtex Private Limited - Unit 2"/>
    <s v="24AAGCR7475P1ZL"/>
    <s v="PIL2/D/632"/>
    <s v="08/10/2024"/>
    <n v="41117.1"/>
    <n v="85"/>
    <s v="1-90 DAYS"/>
    <x v="1"/>
  </r>
  <r>
    <s v="Domestic"/>
    <x v="0"/>
    <s v="M B And Sons"/>
    <s v="24AZSPS3924Q1ZE"/>
    <s v="PIL2/D/652"/>
    <s v="16/10/2024"/>
    <n v="3709"/>
    <n v="77"/>
    <s v="1-90 DAYS"/>
    <x v="1"/>
  </r>
  <r>
    <s v="Domestic"/>
    <x v="0"/>
    <s v="Nikhil Packagers"/>
    <s v="09APZPG7653R1ZJ"/>
    <s v="PIL2/D/667"/>
    <s v="19/10/2024"/>
    <n v="890576.65"/>
    <n v="74"/>
    <s v="1-90 DAYS"/>
    <x v="1"/>
  </r>
  <r>
    <s v="Export"/>
    <x v="0"/>
    <s v="Manyan Inc."/>
    <s v="99EXPOR0000E9Z9"/>
    <s v="PIL1/E/685/24-25"/>
    <s v="02/10/2024"/>
    <n v="3034803.2"/>
    <n v="91"/>
    <s v="0-120 DAYS"/>
    <x v="1"/>
  </r>
  <r>
    <s v="Export"/>
    <x v="0"/>
    <s v="Juta A.S."/>
    <s v="99EXPOR0000E9Z9"/>
    <s v="PIL1/E/691/24-25"/>
    <s v="03/10/2024"/>
    <n v="2918484"/>
    <n v="90"/>
    <s v="0-120 DAYS"/>
    <x v="1"/>
  </r>
  <r>
    <s v="Export"/>
    <x v="0"/>
    <s v="Cofco International Uruguay S.A."/>
    <s v="99EXPOR0000E9Z9"/>
    <s v="PIL1/E/706/24-25"/>
    <s v="07/10/2024"/>
    <n v="3659325.12"/>
    <n v="86"/>
    <s v="0-120 DAYS"/>
    <x v="1"/>
  </r>
  <r>
    <s v="Export"/>
    <x v="0"/>
    <s v="Procon Pacific Llc"/>
    <s v="99EXPOR0000E9Z9"/>
    <s v="PIL1/E/707/24-25"/>
    <s v="08/10/2024"/>
    <n v="41633.1"/>
    <n v="85"/>
    <s v="0-120 DAYS"/>
    <x v="1"/>
  </r>
  <r>
    <s v="Export"/>
    <x v="0"/>
    <s v="Mikitos Ind E Com De Gen Alim Do Amazonas Ltda"/>
    <s v="99EXPOR0000E9Z9"/>
    <s v="PIL1/E/719/24-25"/>
    <s v="13/10/2024"/>
    <n v="1931857.03"/>
    <n v="80"/>
    <s v="0-120 DAYS"/>
    <x v="1"/>
  </r>
  <r>
    <s v="Export"/>
    <x v="0"/>
    <s v="Mikitos Ind E Com De Gen Alim Do Amazonas Ltda"/>
    <s v="99EXPOR0000E9Z9"/>
    <s v="PIL1/E/720/24-25"/>
    <s v="13/10/2024"/>
    <n v="3239687.57"/>
    <n v="80"/>
    <s v="0-120 DAYS"/>
    <x v="1"/>
  </r>
  <r>
    <s v="Export"/>
    <x v="0"/>
    <s v="Juta A.S."/>
    <s v="99EXPOR0000E9Z9"/>
    <s v="PIL1/E/729/24-25"/>
    <s v="14/10/2024"/>
    <n v="2904130.8"/>
    <n v="79"/>
    <s v="0-120 DAYS"/>
    <x v="1"/>
  </r>
  <r>
    <s v="Export"/>
    <x v="0"/>
    <s v="Juta A.S."/>
    <s v="99EXPOR0000E9Z9"/>
    <s v="PIL1/E/731/24-25"/>
    <s v="14/10/2024"/>
    <n v="75389.399999999994"/>
    <n v="79"/>
    <s v="0-120 DAYS"/>
    <x v="1"/>
  </r>
  <r>
    <s v="Export"/>
    <x v="0"/>
    <s v="Lionel Samson Packaging Co Pty Ltd."/>
    <s v="99EXPOR0000E9Z9"/>
    <s v="PIL1/E/735/24-25"/>
    <s v="15/10/2024"/>
    <n v="3391028.46"/>
    <n v="78"/>
    <s v="0-120 DAYS"/>
    <x v="1"/>
  </r>
  <r>
    <s v="Export"/>
    <x v="0"/>
    <s v="Bluepack A/S"/>
    <s v="99EXPOR0000E9Z9"/>
    <s v="PIL1/E/745/24-25"/>
    <s v="17/10/2024"/>
    <n v="2810899.05"/>
    <n v="76"/>
    <s v="0-120 DAYS"/>
    <x v="1"/>
  </r>
  <r>
    <s v="Export"/>
    <x v="0"/>
    <s v="Lionel Samson Packaging Co Pty Ltd."/>
    <s v="99EXPOR0000E9Z9"/>
    <s v="PIL1/E/740/24-25"/>
    <s v="17/10/2024"/>
    <n v="3248611.68"/>
    <n v="76"/>
    <s v="0-120 DAYS"/>
    <x v="1"/>
  </r>
  <r>
    <s v="Export"/>
    <x v="0"/>
    <s v="SO Bag"/>
    <s v="99EXPOR0000E9Z9"/>
    <s v="PIL1/JW/035"/>
    <s v="18/10/2024"/>
    <n v="733434.3200000003"/>
    <n v="75"/>
    <s v="0-120 DAYS"/>
    <x v="1"/>
  </r>
  <r>
    <s v="Export"/>
    <x v="0"/>
    <s v="Lionel Samson Packaging Co Pty Ltd."/>
    <s v="99EXPOR0000E9Z9"/>
    <s v="PIL1/E/762/24-25"/>
    <s v="21/10/2024"/>
    <n v="78349.440000000002"/>
    <n v="72"/>
    <s v="0-120 DAYS"/>
    <x v="1"/>
  </r>
  <r>
    <s v="Export"/>
    <x v="0"/>
    <s v="Myrin S.A"/>
    <s v="99EXPOR0000E9Z9"/>
    <s v="PIL1/E/761/24-25"/>
    <s v="21/10/2024"/>
    <n v="3663728.6400000001"/>
    <n v="72"/>
    <s v="0-120 DAYS"/>
    <x v="1"/>
  </r>
  <r>
    <s v="Export"/>
    <x v="0"/>
    <s v="SO Bag"/>
    <s v="99EXPOR0000E9Z9"/>
    <s v="PIL1/E/784/24-25"/>
    <s v="26/10/2024"/>
    <n v="2039232"/>
    <n v="67"/>
    <s v="0-120 DAYS"/>
    <x v="1"/>
  </r>
  <r>
    <s v="Export"/>
    <x v="0"/>
    <s v="Juta A.S."/>
    <s v="99EXPOR0000E9Z9"/>
    <s v="PIL1/E/785/24-25"/>
    <s v="28/10/2024"/>
    <n v="3035248.89"/>
    <n v="65"/>
    <s v="0-120 DAYS"/>
    <x v="1"/>
  </r>
  <r>
    <s v="Export"/>
    <x v="0"/>
    <s v="FPS Flexibles UK Ltd"/>
    <s v="99EXPOR0000E9Z9"/>
    <s v="PIL1/E/791/24-25"/>
    <s v="29/10/2024"/>
    <n v="3366738.38"/>
    <n v="64"/>
    <s v="0-120 DAYS"/>
    <x v="1"/>
  </r>
  <r>
    <s v="Export"/>
    <x v="0"/>
    <s v="Comercial Pra Cafe Ltda - Manaus"/>
    <s v="99EXPOR0000E9Z9"/>
    <s v="PIL1/E/798/24-25"/>
    <s v="30/10/2024"/>
    <n v="3020430.4"/>
    <n v="63"/>
    <s v="0-120 DAYS"/>
    <x v="1"/>
  </r>
  <r>
    <s v="Export"/>
    <x v="0"/>
    <s v="Fibco Plastic Industry Llc"/>
    <s v="99EXPOR0000E9Z9"/>
    <s v="PIL2/E/268/24-25"/>
    <s v="01/10/2024"/>
    <n v="3153794.55"/>
    <n v="92"/>
    <s v="0-120 DAYS"/>
    <x v="1"/>
  </r>
  <r>
    <s v="Export"/>
    <x v="0"/>
    <s v="Fibco Plastic Industry Llc"/>
    <s v="99EXPOR0000E9Z9"/>
    <s v="PIL2/E/270/24-25"/>
    <s v="01/10/2024"/>
    <n v="2816726.46"/>
    <n v="92"/>
    <s v="0-120 DAYS"/>
    <x v="1"/>
  </r>
  <r>
    <s v="Export"/>
    <x v="0"/>
    <s v="LC Packaging SAS, France"/>
    <s v="99EXPOR0000E9Z9"/>
    <s v="PIL2/E/269/24-25"/>
    <s v="01/10/2024"/>
    <n v="3380728.32"/>
    <n v="92"/>
    <s v="0-120 DAYS"/>
    <x v="1"/>
  </r>
  <r>
    <s v="Export"/>
    <x v="0"/>
    <s v="H Polesy &amp; Co Pty Ltd"/>
    <s v="99EXPOR0000E9Z9"/>
    <s v="PIL2/E/271/24-25"/>
    <s v="02/10/2024"/>
    <n v="83633.549999999814"/>
    <n v="91"/>
    <s v="0-120 DAYS"/>
    <x v="1"/>
  </r>
  <r>
    <s v="Export"/>
    <x v="0"/>
    <s v="H Polesy &amp; Co Pty Ltd"/>
    <s v="99EXPOR0000E9Z9"/>
    <s v="PIL2/E/272/24-25"/>
    <s v="03/10/2024"/>
    <n v="3710106.6"/>
    <n v="90"/>
    <s v="0-120 DAYS"/>
    <x v="1"/>
  </r>
  <r>
    <s v="Export"/>
    <x v="0"/>
    <s v="Technopac Gmbh"/>
    <s v="99EXPOR0000E9Z9"/>
    <s v="PIL2/E/274/24-25"/>
    <s v="03/10/2024"/>
    <n v="3904488"/>
    <n v="90"/>
    <s v="0-120 DAYS"/>
    <x v="1"/>
  </r>
  <r>
    <s v="Export"/>
    <x v="0"/>
    <s v="Fibco Plastic Industry Llc"/>
    <s v="99EXPOR0000E9Z9"/>
    <s v="PIL2/E/275/24-25"/>
    <s v="04/10/2024"/>
    <n v="44670.41"/>
    <n v="89"/>
    <s v="0-120 DAYS"/>
    <x v="1"/>
  </r>
  <r>
    <s v="Export"/>
    <x v="0"/>
    <s v="Fibco Plastic Industry Llc"/>
    <s v="99EXPOR0000E9Z9"/>
    <s v="PIL2/E/276/24-25"/>
    <s v="04/10/2024"/>
    <n v="33028.93"/>
    <n v="89"/>
    <s v="0-120 DAYS"/>
    <x v="1"/>
  </r>
  <r>
    <s v="Export"/>
    <x v="0"/>
    <s v="Fibco Plastic Industry Llc"/>
    <s v="99EXPOR0000E9Z9"/>
    <s v="PIL2/E/279/24-25"/>
    <s v="05/10/2024"/>
    <n v="2069937.9"/>
    <n v="88"/>
    <s v="0-120 DAYS"/>
    <x v="1"/>
  </r>
  <r>
    <s v="Export"/>
    <x v="0"/>
    <s v="Fibco Plastic Industry Llc"/>
    <s v="99EXPOR0000E9Z9"/>
    <s v="PIL2/E/280/24-25"/>
    <s v="05/10/2024"/>
    <n v="27764.54"/>
    <n v="88"/>
    <s v="0-120 DAYS"/>
    <x v="1"/>
  </r>
  <r>
    <s v="Export"/>
    <x v="0"/>
    <s v="Fibco Plastic Industry Llc"/>
    <s v="99EXPOR0000E9Z9"/>
    <s v="PIL2/E/281/24-25"/>
    <s v="05/10/2024"/>
    <n v="31656.95"/>
    <n v="88"/>
    <s v="0-120 DAYS"/>
    <x v="1"/>
  </r>
  <r>
    <s v="Export"/>
    <x v="0"/>
    <s v="Fibco Plastic Industry Llc"/>
    <s v="99EXPOR0000E9Z9"/>
    <s v="PIL2/E/282/24-25"/>
    <s v="05/10/2024"/>
    <n v="42881.26"/>
    <n v="88"/>
    <s v="0-120 DAYS"/>
    <x v="1"/>
  </r>
  <r>
    <s v="Export"/>
    <x v="0"/>
    <s v="Fibco Plastic Industry Llc"/>
    <s v="99EXPOR0000E9Z9"/>
    <s v="PIL2/E/283/24-25"/>
    <s v="05/10/2024"/>
    <n v="113930.1"/>
    <n v="88"/>
    <s v="0-120 DAYS"/>
    <x v="1"/>
  </r>
  <r>
    <s v="Export"/>
    <x v="0"/>
    <s v="Technopac Gmbh"/>
    <s v="99EXPOR0000E9Z9"/>
    <s v="PIL2/TP/022"/>
    <s v="05/10/2024"/>
    <n v="2949777.81"/>
    <n v="88"/>
    <s v="0-120 DAYS"/>
    <x v="1"/>
  </r>
  <r>
    <s v="Export"/>
    <x v="0"/>
    <s v="Fibco Plastic Industry Llc"/>
    <s v="99EXPOR0000E9Z9"/>
    <s v="PIL2/E/284/24-25"/>
    <s v="06/10/2024"/>
    <n v="1842840.56"/>
    <n v="87"/>
    <s v="0-120 DAYS"/>
    <x v="1"/>
  </r>
  <r>
    <s v="Export"/>
    <x v="0"/>
    <s v="Fibco Plastic Industry Llc"/>
    <s v="99EXPOR0000E9Z9"/>
    <s v="PIL2/E/285/24-25"/>
    <s v="06/10/2024"/>
    <n v="533049.93999999994"/>
    <n v="87"/>
    <s v="0-120 DAYS"/>
    <x v="1"/>
  </r>
  <r>
    <s v="Export"/>
    <x v="0"/>
    <s v="Technopac Gmbh"/>
    <s v="99EXPOR0000E9Z9"/>
    <s v="PIL2/TP/023"/>
    <s v="15/10/2024"/>
    <n v="2906507.31"/>
    <n v="78"/>
    <s v="0-120 DAYS"/>
    <x v="1"/>
  </r>
  <r>
    <s v="Export"/>
    <x v="0"/>
    <s v="Technopac Gmbh"/>
    <s v="99EXPOR0000E9Z9"/>
    <s v="PIL2/TP/024"/>
    <s v="15/10/2024"/>
    <n v="3160791.64"/>
    <n v="78"/>
    <s v="0-120 DAYS"/>
    <x v="1"/>
  </r>
  <r>
    <s v="Export"/>
    <x v="0"/>
    <s v="Technopac Gmbh"/>
    <s v="99EXPOR0000E9Z9"/>
    <s v="PIL2/TP/025"/>
    <s v="17/10/2024"/>
    <n v="3114124.03"/>
    <n v="76"/>
    <s v="0-120 DAYS"/>
    <x v="1"/>
  </r>
  <r>
    <s v="Export"/>
    <x v="0"/>
    <s v="Juta A.S."/>
    <s v="99EXPOR0000E9Z9"/>
    <s v="PIL2/E/300/24-25"/>
    <s v="19/10/2024"/>
    <n v="3134106.72"/>
    <n v="74"/>
    <s v="0-120 DAYS"/>
    <x v="1"/>
  </r>
  <r>
    <s v="Export"/>
    <x v="0"/>
    <s v="Big Bags Disaka S.L."/>
    <s v="99EXPOR0000E9Z9"/>
    <s v="PIL2/E/309/24-25"/>
    <s v="21/10/2024"/>
    <n v="4048443.04"/>
    <n v="72"/>
    <s v="0-120 DAYS"/>
    <x v="1"/>
  </r>
  <r>
    <s v="Export"/>
    <x v="0"/>
    <s v="Fibco Plastic Industry Llc"/>
    <s v="99EXPOR0000E9Z9"/>
    <s v="PIL2/E/303/24-25"/>
    <s v="21/10/2024"/>
    <n v="23459.9"/>
    <n v="72"/>
    <s v="0-120 DAYS"/>
    <x v="1"/>
  </r>
  <r>
    <s v="Export"/>
    <x v="0"/>
    <s v="Fibco Plastic Industry Llc"/>
    <s v="99EXPOR0000E9Z9"/>
    <s v="PIL2/E/304/24-25"/>
    <s v="21/10/2024"/>
    <n v="139033.01999999999"/>
    <n v="72"/>
    <s v="0-120 DAYS"/>
    <x v="1"/>
  </r>
  <r>
    <s v="Export"/>
    <x v="0"/>
    <s v="Fibco Plastic Industry Llc"/>
    <s v="99EXPOR0000E9Z9"/>
    <s v="PIL2/E/305/24-25"/>
    <s v="21/10/2024"/>
    <n v="502038.78"/>
    <n v="72"/>
    <s v="0-120 DAYS"/>
    <x v="1"/>
  </r>
  <r>
    <s v="Export"/>
    <x v="0"/>
    <s v="Fibco Plastic Industry Llc"/>
    <s v="99EXPOR0000E9Z9"/>
    <s v="PIL2/E/306/24-25"/>
    <s v="21/10/2024"/>
    <n v="365582.46"/>
    <n v="72"/>
    <s v="0-120 DAYS"/>
    <x v="1"/>
  </r>
  <r>
    <s v="Export"/>
    <x v="0"/>
    <s v="Fibco Plastic Industry Llc"/>
    <s v="99EXPOR0000E9Z9"/>
    <s v="PIL2/E/307/24-25"/>
    <s v="21/10/2024"/>
    <n v="1070581.82"/>
    <n v="72"/>
    <s v="0-120 DAYS"/>
    <x v="1"/>
  </r>
  <r>
    <s v="Export"/>
    <x v="0"/>
    <s v="Technopac Gmbh"/>
    <s v="99EXPOR0000E9Z9"/>
    <s v="PIL2/E/308/24-25"/>
    <s v="21/10/2024"/>
    <n v="2780648.39"/>
    <n v="72"/>
    <s v="0-120 DAYS"/>
    <x v="1"/>
  </r>
  <r>
    <s v="Export"/>
    <x v="0"/>
    <s v="Technopac Gmbh"/>
    <s v="99EXPOR0000E9Z9"/>
    <s v="PIL2/E/311/24-25"/>
    <s v="22/10/2024"/>
    <n v="3901836.78"/>
    <n v="71"/>
    <s v="0-120 DAYS"/>
    <x v="1"/>
  </r>
  <r>
    <s v="Export"/>
    <x v="0"/>
    <s v="Technopac Gmbh"/>
    <s v="99EXPOR0000E9Z9"/>
    <s v="PIL2/TP/026"/>
    <s v="23/10/2024"/>
    <n v="3148076.6"/>
    <n v="70"/>
    <s v="0-120 DAYS"/>
    <x v="1"/>
  </r>
  <r>
    <s v="Export"/>
    <x v="0"/>
    <s v="Technopac Gmbh"/>
    <s v="99EXPOR0000E9Z9"/>
    <s v="PIL2/TP/027"/>
    <s v="23/10/2024"/>
    <n v="1014307.84"/>
    <n v="70"/>
    <s v="0-120 DAYS"/>
    <x v="1"/>
  </r>
  <r>
    <s v="Export"/>
    <x v="0"/>
    <s v="Juta A.S."/>
    <s v="99EXPOR0000E9Z9"/>
    <s v="PIL2/E/316/24-25"/>
    <s v="24/10/2024"/>
    <n v="3293649"/>
    <n v="69"/>
    <s v="0-120 DAYS"/>
    <x v="1"/>
  </r>
  <r>
    <s v="Export"/>
    <x v="0"/>
    <s v="Global Import"/>
    <s v="99EXPOR0000E9Z9"/>
    <s v="PIL2/E/318/24-25"/>
    <s v="25/10/2024"/>
    <n v="1567738.56"/>
    <n v="68"/>
    <s v="0-120 DAYS"/>
    <x v="1"/>
  </r>
  <r>
    <s v="Export"/>
    <x v="0"/>
    <s v="Juta A.S."/>
    <s v="99EXPOR0000E9Z9"/>
    <s v="PIL2/E/319/24-25"/>
    <s v="26/10/2024"/>
    <n v="3300938.37"/>
    <n v="67"/>
    <s v="0-120 DAYS"/>
    <x v="1"/>
  </r>
  <r>
    <s v="Export"/>
    <x v="0"/>
    <s v="Cesur Usa, Llc"/>
    <s v="99EXPOR0000E9Z9"/>
    <s v="PIL2/E/320/24-25"/>
    <s v="27/10/2024"/>
    <n v="3245448.96"/>
    <n v="66"/>
    <s v="0-120 DAYS"/>
    <x v="1"/>
  </r>
  <r>
    <s v="Export"/>
    <x v="0"/>
    <s v="Technopac Gmbh"/>
    <s v="99EXPOR0000E9Z9"/>
    <s v="PIL2/E/321/24-25"/>
    <s v="27/10/2024"/>
    <n v="3821277.6"/>
    <n v="66"/>
    <s v="0-120 DAYS"/>
    <x v="1"/>
  </r>
  <r>
    <s v="Export"/>
    <x v="0"/>
    <s v="Fibco Plastic Industry Llc"/>
    <s v="99EXPOR0000E9Z9"/>
    <s v="PIL2/E/322/24-25"/>
    <s v="28/10/2024"/>
    <n v="4142749.31"/>
    <n v="65"/>
    <s v="0-120 DAYS"/>
    <x v="1"/>
  </r>
  <r>
    <s v="Export"/>
    <x v="0"/>
    <s v="LC Packaging Covrom Srl"/>
    <s v="99EXPOR0000E9Z9"/>
    <s v="PIL2/E/323/24-25"/>
    <s v="29/10/2024"/>
    <n v="2962377.6"/>
    <n v="64"/>
    <s v="0-120 DAYS"/>
    <x v="1"/>
  </r>
  <r>
    <s v="Export"/>
    <x v="0"/>
    <s v="Fibco Plastic Industry Llc"/>
    <s v="99EXPOR0000E9Z9"/>
    <s v="PIL2/E/324/24-25"/>
    <s v="30/10/2024"/>
    <n v="2913664"/>
    <n v="63"/>
    <s v="0-120 DAYS"/>
    <x v="1"/>
  </r>
  <r>
    <s v="Export"/>
    <x v="0"/>
    <s v="Fibco Plastic Industry Llc"/>
    <s v="99EXPOR0000E9Z9"/>
    <s v="PIL2/E/325/24-25"/>
    <s v="30/10/2024"/>
    <n v="306356.55"/>
    <n v="63"/>
    <s v="0-120 DAYS"/>
    <x v="1"/>
  </r>
  <r>
    <s v="Export"/>
    <x v="0"/>
    <s v="Fibco Plastic Industry Llc"/>
    <s v="99EXPOR0000E9Z9"/>
    <s v="PIL2/E/326/24-25"/>
    <s v="30/10/2024"/>
    <n v="90366.02"/>
    <n v="63"/>
    <s v="0-120 DAYS"/>
    <x v="1"/>
  </r>
  <r>
    <s v="Export"/>
    <x v="0"/>
    <s v="Fibco Plastic Industry Llc"/>
    <s v="99EXPOR0000E9Z9"/>
    <s v="PIL2/E/327/24-25"/>
    <s v="30/10/2024"/>
    <n v="33825.79"/>
    <n v="63"/>
    <s v="0-120 DAYS"/>
    <x v="1"/>
  </r>
  <r>
    <s v="Export"/>
    <x v="0"/>
    <s v="Fibco Plastic Industry Llc"/>
    <s v="99EXPOR0000E9Z9"/>
    <s v="PIL2/E/328/24-25"/>
    <s v="30/10/2024"/>
    <n v="2042893.63"/>
    <n v="63"/>
    <s v="0-120 DAYS"/>
    <x v="1"/>
  </r>
  <r>
    <s v="Export"/>
    <x v="0"/>
    <s v="FPS Flexibles Irelands Ltd"/>
    <s v="99EXPOR0000E9Z9"/>
    <s v="PIL6/E/178/24-25"/>
    <s v="01/10/2024"/>
    <n v="3409.7000000000116"/>
    <n v="92"/>
    <s v="0-120 DAYS"/>
    <x v="1"/>
  </r>
  <r>
    <s v="Export"/>
    <x v="0"/>
    <s v="Polypak Plastene Ltd"/>
    <s v="99EXPOR0000E9Z9"/>
    <s v="PIL6/E/186/24-25"/>
    <s v="07/10/2024"/>
    <n v="3620108.01"/>
    <n v="86"/>
    <s v="0-120 DAYS"/>
    <x v="1"/>
  </r>
  <r>
    <s v="Export"/>
    <x v="0"/>
    <s v="Qpac Packaging LLP"/>
    <s v="99EXPOR0000E9Z9"/>
    <s v="PIL6/E/191/24-25"/>
    <s v="10/10/2024"/>
    <n v="3571616.18"/>
    <n v="83"/>
    <s v="0-120 DAYS"/>
    <x v="1"/>
  </r>
  <r>
    <s v="Export"/>
    <x v="0"/>
    <s v="LC Packaging Hungary TPI"/>
    <s v="99EXPOR0000E9Z9"/>
    <s v="PIL6/E/198/24-25"/>
    <s v="19/10/2024"/>
    <n v="3198686.4"/>
    <n v="74"/>
    <s v="0-120 DAYS"/>
    <x v="1"/>
  </r>
  <r>
    <s v="Export"/>
    <x v="0"/>
    <s v="ELS Sacs Voladors, S.L.U"/>
    <s v="99EXPOR0000E9Z9"/>
    <s v="PIL6/E/199/24-25"/>
    <s v="21/10/2024"/>
    <n v="3234816"/>
    <n v="72"/>
    <s v="0-120 DAYS"/>
    <x v="1"/>
  </r>
  <r>
    <s v="Export"/>
    <x v="0"/>
    <s v="LC Packaging Belgium NV"/>
    <s v="99EXPOR0000E9Z9"/>
    <s v="PIL6/E/201/24-25"/>
    <s v="23/10/2024"/>
    <n v="1476034.5600000001"/>
    <n v="70"/>
    <s v="0-120 DAYS"/>
    <x v="1"/>
  </r>
  <r>
    <s v="Export"/>
    <x v="0"/>
    <s v="FPS Flexibles Irelands Ltd"/>
    <s v="99EXPOR0000E9Z9"/>
    <s v="PIL6/E/204/24-25"/>
    <s v="25/10/2024"/>
    <n v="3697092.34"/>
    <n v="68"/>
    <s v="0-120 DAYS"/>
    <x v="1"/>
  </r>
  <r>
    <s v="Export"/>
    <x v="0"/>
    <s v="Flexibox Container Gmbh"/>
    <s v="99EXPOR0000E9Z9"/>
    <s v="PIL6/E/210/24-25"/>
    <s v="30/10/2024"/>
    <n v="1863410.13"/>
    <n v="63"/>
    <s v="0-120 DAYS"/>
    <x v="1"/>
  </r>
  <r>
    <s v="Export"/>
    <x v="0"/>
    <s v="Procon Pacific Llc"/>
    <s v="99EXPOR0000E9Z9"/>
    <s v="PIL1/TP/019"/>
    <s v="22/10/2024"/>
    <n v="3474074.25"/>
    <n v="71"/>
    <s v="0-120 DAYS"/>
    <x v="1"/>
  </r>
  <r>
    <s v="Export"/>
    <x v="0"/>
    <s v="Flexibox Container Gmbh"/>
    <s v="99EXPOR0000E9Z9"/>
    <s v="PIL1/TP/020"/>
    <s v="24/10/2024"/>
    <n v="3779789.08"/>
    <n v="69"/>
    <s v="0-120 DAYS"/>
    <x v="1"/>
  </r>
  <r>
    <s v="Export"/>
    <x v="0"/>
    <s v="Procon Pacific Llc"/>
    <s v="99EXPOR0000E9Z9"/>
    <s v="PIL1/TP/021"/>
    <s v="25/10/2024"/>
    <n v="3149619.2000000002"/>
    <n v="68"/>
    <s v="0-120 DAYS"/>
    <x v="1"/>
  </r>
  <r>
    <s v="Export"/>
    <x v="0"/>
    <s v="Procon Pacific Llc"/>
    <s v="99EXPOR0000E9Z9"/>
    <s v="PIL1/TP/022"/>
    <s v="28/10/2024"/>
    <n v="4057276.3"/>
    <n v="65"/>
    <s v="0-120 DAYS"/>
    <x v="1"/>
  </r>
  <r>
    <s v="Export"/>
    <x v="0"/>
    <s v="Procon Pacific Llc"/>
    <s v="99EXPOR0000E9Z9"/>
    <s v="PIL1/TP/023"/>
    <s v="29/10/2024"/>
    <n v="3851552.65"/>
    <n v="64"/>
    <s v="0-120 DAYS"/>
    <x v="1"/>
  </r>
  <r>
    <s v="Export"/>
    <x v="0"/>
    <s v="Procon Pacific Llc"/>
    <s v="99EXPOR0000E9Z9"/>
    <s v="PIL1/TP/024"/>
    <s v="29/10/2024"/>
    <n v="3972234.25"/>
    <n v="64"/>
    <s v="0-120 DAYS"/>
    <x v="1"/>
  </r>
  <r>
    <s v="Export"/>
    <x v="0"/>
    <s v="Procon Pacific Llc"/>
    <s v="99EXPOR0000E9Z9"/>
    <s v="PIL1/TP/025"/>
    <s v="30/10/2024"/>
    <n v="3035935.44"/>
    <n v="63"/>
    <s v="0-120 DAYS"/>
    <x v="1"/>
  </r>
  <r>
    <s v="Export"/>
    <x v="0"/>
    <s v="Fibco Plastic Industry Llc"/>
    <s v="99EXPOR0000E9Z9"/>
    <s v="PIL1/E/805/24-25"/>
    <d v="2024-11-05T00:00:00"/>
    <n v="666430.34"/>
    <n v="57"/>
    <s v="0-120 DAYS"/>
    <x v="1"/>
  </r>
  <r>
    <s v="Export"/>
    <x v="0"/>
    <s v="Fibco Plastic Industry Llc"/>
    <s v="99EXPOR0000E9Z9"/>
    <s v="PIL1/E/806/24-25"/>
    <d v="2024-11-05T00:00:00"/>
    <n v="1177377.3400000001"/>
    <n v="57"/>
    <s v="0-120 DAYS"/>
    <x v="1"/>
  </r>
  <r>
    <s v="Export"/>
    <x v="0"/>
    <s v="Lionel Samson Packaging Co Pty Ltd."/>
    <s v="99EXPOR0000E9Z9"/>
    <s v="PIL1/E/807/24-25"/>
    <d v="2024-11-05T00:00:00"/>
    <n v="3354594.88"/>
    <n v="57"/>
    <s v="0-120 DAYS"/>
    <x v="1"/>
  </r>
  <r>
    <s v="Export"/>
    <x v="0"/>
    <s v="Lionel Samson Packaging Co Pty Ltd."/>
    <s v="99EXPOR0000E9Z9"/>
    <s v="PIL1/E/808/24-25"/>
    <d v="2024-11-05T00:00:00"/>
    <n v="3335670.21"/>
    <n v="57"/>
    <s v="0-120 DAYS"/>
    <x v="1"/>
  </r>
  <r>
    <s v="Export"/>
    <x v="0"/>
    <s v="Lionel Samson Packaging Co Pty Ltd."/>
    <s v="99EXPOR0000E9Z9"/>
    <s v="PIL1/E/809/24-25"/>
    <d v="2024-11-05T00:00:00"/>
    <n v="134650.88"/>
    <n v="57"/>
    <s v="0-120 DAYS"/>
    <x v="1"/>
  </r>
  <r>
    <s v="Export"/>
    <x v="0"/>
    <s v="Comercial Pra Cafe Ltda - Manaus"/>
    <s v="99EXPOR0000E9Z9"/>
    <s v="PIL1/E/819/24-25"/>
    <d v="2024-11-08T00:00:00"/>
    <n v="2940051.99"/>
    <n v="54"/>
    <s v="0-120 DAYS"/>
    <x v="1"/>
  </r>
  <r>
    <s v="Export"/>
    <x v="0"/>
    <s v="Procon Pacific Llc"/>
    <s v="99EXPOR0000E9Z9"/>
    <s v="PIL1/JW/036"/>
    <d v="2024-11-08T00:00:00"/>
    <n v="3606144.05"/>
    <n v="54"/>
    <s v="0-120 DAYS"/>
    <x v="1"/>
  </r>
  <r>
    <s v="Export"/>
    <x v="0"/>
    <s v="FPS Flexibles Chile Spa"/>
    <s v="99EXPOR0000E9Z9"/>
    <s v="PIL1/JW/039"/>
    <d v="2024-11-09T00:00:00"/>
    <n v="3690159"/>
    <n v="53"/>
    <s v="0-120 DAYS"/>
    <x v="1"/>
  </r>
  <r>
    <s v="Export"/>
    <x v="0"/>
    <s v="FPS Flexibles Chile Spa"/>
    <s v="99EXPOR0000E9Z9"/>
    <s v="PIL1/JW/040"/>
    <d v="2024-11-09T00:00:00"/>
    <n v="3799311.61"/>
    <n v="53"/>
    <s v="0-120 DAYS"/>
    <x v="1"/>
  </r>
  <r>
    <s v="Export"/>
    <x v="0"/>
    <s v="FPS Flexibles Chile Spa"/>
    <s v="99EXPOR0000E9Z9"/>
    <s v="PIL1/JW/041"/>
    <d v="2024-11-09T00:00:00"/>
    <n v="3690159.01"/>
    <n v="53"/>
    <s v="0-120 DAYS"/>
    <x v="1"/>
  </r>
  <r>
    <s v="Export"/>
    <x v="0"/>
    <s v="Procon Pacific Llc"/>
    <s v="99EXPOR0000E9Z9"/>
    <s v="PIL1/JW/037"/>
    <d v="2024-11-09T00:00:00"/>
    <n v="4197384.79"/>
    <n v="53"/>
    <s v="0-120 DAYS"/>
    <x v="1"/>
  </r>
  <r>
    <s v="Export"/>
    <x v="0"/>
    <s v="Procon Pacific Llc"/>
    <s v="99EXPOR0000E9Z9"/>
    <s v="PIL1/JW/038"/>
    <d v="2024-11-09T00:00:00"/>
    <n v="3455276.46"/>
    <n v="53"/>
    <s v="0-120 DAYS"/>
    <x v="1"/>
  </r>
  <r>
    <s v="Export"/>
    <x v="0"/>
    <s v="Fibco Plastic Industry Llc"/>
    <s v="99EXPOR0000E9Z9"/>
    <s v="PIL1/E/830/24-25"/>
    <d v="2024-11-13T00:00:00"/>
    <n v="1231955.6599999999"/>
    <n v="49"/>
    <s v="0-120 DAYS"/>
    <x v="1"/>
  </r>
  <r>
    <s v="Export"/>
    <x v="0"/>
    <s v="Fibco Plastic Industry Llc"/>
    <s v="99EXPOR0000E9Z9"/>
    <s v="PIL1/E/831/24-25"/>
    <d v="2024-11-13T00:00:00"/>
    <n v="1297437.21"/>
    <n v="49"/>
    <s v="0-120 DAYS"/>
    <x v="1"/>
  </r>
  <r>
    <s v="Export"/>
    <x v="0"/>
    <s v="Fibco Plastic Industry Llc"/>
    <s v="99EXPOR0000E9Z9"/>
    <s v="PIL1/E/840/24-25"/>
    <d v="2024-11-15T00:00:00"/>
    <n v="1191413.7"/>
    <n v="47"/>
    <s v="0-120 DAYS"/>
    <x v="1"/>
  </r>
  <r>
    <s v="Export"/>
    <x v="0"/>
    <s v="Fibco Plastic Industry Llc"/>
    <s v="99EXPOR0000E9Z9"/>
    <s v="PIL1/E/841/24-25"/>
    <d v="2024-11-15T00:00:00"/>
    <n v="262817.5"/>
    <n v="47"/>
    <s v="0-120 DAYS"/>
    <x v="1"/>
  </r>
  <r>
    <s v="Export"/>
    <x v="0"/>
    <s v="Fibco Plastic Industry Llc"/>
    <s v="99EXPOR0000E9Z9"/>
    <s v="PIL1/E/842/24-25"/>
    <d v="2024-11-15T00:00:00"/>
    <n v="454616.8"/>
    <n v="47"/>
    <s v="0-120 DAYS"/>
    <x v="1"/>
  </r>
  <r>
    <s v="Export"/>
    <x v="0"/>
    <s v="Fibco Plastic Industry Llc"/>
    <s v="99EXPOR0000E9Z9"/>
    <s v="PIL1/E/843/24-25"/>
    <d v="2024-11-15T00:00:00"/>
    <n v="306465.06"/>
    <n v="47"/>
    <s v="0-120 DAYS"/>
    <x v="1"/>
  </r>
  <r>
    <s v="Export"/>
    <x v="0"/>
    <s v="Fibco Plastic Industry Llc"/>
    <s v="99EXPOR0000E9Z9"/>
    <s v="PIL1/E/844/24-25"/>
    <d v="2024-11-15T00:00:00"/>
    <n v="37096.660000000003"/>
    <n v="47"/>
    <s v="0-120 DAYS"/>
    <x v="1"/>
  </r>
  <r>
    <s v="Export"/>
    <x v="0"/>
    <s v="Comercial Pra Cafe Ltda - Manaus"/>
    <s v="99EXPOR0000E9Z9"/>
    <s v="PIL1/E/845/24-25"/>
    <d v="2024-11-16T00:00:00"/>
    <n v="2692405.72"/>
    <n v="46"/>
    <s v="0-120 DAYS"/>
    <x v="1"/>
  </r>
  <r>
    <s v="Export"/>
    <x v="0"/>
    <s v="Concord Supply Inc."/>
    <s v="99EXPOR0000E9Z9"/>
    <s v="PIL1/E/847/24-25"/>
    <d v="2024-11-16T00:00:00"/>
    <n v="4175881.87"/>
    <n v="46"/>
    <s v="0-120 DAYS"/>
    <x v="1"/>
  </r>
  <r>
    <s v="Export"/>
    <x v="0"/>
    <s v="Concord Supply Inc."/>
    <s v="99EXPOR0000E9Z9"/>
    <s v="PIL1/E/848/24-25"/>
    <d v="2024-11-16T00:00:00"/>
    <n v="195547.92"/>
    <n v="46"/>
    <s v="0-120 DAYS"/>
    <x v="1"/>
  </r>
  <r>
    <s v="Export"/>
    <x v="0"/>
    <s v="Procon Pacific Llc"/>
    <s v="99EXPOR0000E9Z9"/>
    <s v="PIL1/E/849/24-25"/>
    <d v="2024-11-17T00:00:00"/>
    <n v="1652074.78"/>
    <n v="45"/>
    <s v="0-120 DAYS"/>
    <x v="1"/>
  </r>
  <r>
    <s v="Export"/>
    <x v="0"/>
    <s v="Fibco Plastic Industry Llc"/>
    <s v="99EXPOR0000E9Z9"/>
    <s v="PIL1/E/856/24-25"/>
    <d v="2024-11-18T00:00:00"/>
    <n v="2412696"/>
    <n v="44"/>
    <s v="0-120 DAYS"/>
    <x v="1"/>
  </r>
  <r>
    <s v="Export"/>
    <x v="0"/>
    <s v="H Polesy &amp; Co Pty Ltd"/>
    <s v="99EXPOR0000E9Z9"/>
    <s v="PIL1/E/857/24-25"/>
    <d v="2024-11-18T00:00:00"/>
    <n v="3657282.64"/>
    <n v="44"/>
    <s v="0-120 DAYS"/>
    <x v="1"/>
  </r>
  <r>
    <s v="Export"/>
    <x v="0"/>
    <s v="Lionel Samson Packaging Co Pty Ltd."/>
    <s v="99EXPOR0000E9Z9"/>
    <s v="PIL1/E/854/24-25"/>
    <d v="2024-11-18T00:00:00"/>
    <n v="3039871.56"/>
    <n v="44"/>
    <s v="0-120 DAYS"/>
    <x v="1"/>
  </r>
  <r>
    <s v="Export"/>
    <x v="0"/>
    <s v="Lionel Samson Packaging Co Pty Ltd."/>
    <s v="99EXPOR0000E9Z9"/>
    <s v="PIL1/E/855/24-25"/>
    <d v="2024-11-18T00:00:00"/>
    <n v="334400"/>
    <n v="44"/>
    <s v="0-120 DAYS"/>
    <x v="1"/>
  </r>
  <r>
    <s v="Export"/>
    <x v="0"/>
    <s v="Km Obaly S.R.O."/>
    <s v="99EXPOR0000E9Z9"/>
    <s v="PIL1/E/866/24-25"/>
    <d v="2024-11-21T00:00:00"/>
    <n v="3206629.72"/>
    <n v="41"/>
    <s v="0-120 DAYS"/>
    <x v="1"/>
  </r>
  <r>
    <s v="Export"/>
    <x v="0"/>
    <s v="Procon Pacific Llc"/>
    <s v="99EXPOR0000E9Z9"/>
    <s v="PIL1/E/865/24-25"/>
    <d v="2024-11-21T00:00:00"/>
    <n v="579055.4"/>
    <n v="41"/>
    <s v="0-120 DAYS"/>
    <x v="1"/>
  </r>
  <r>
    <s v="Export"/>
    <x v="0"/>
    <s v="Comercial Pra Cafe Ltda - Manaus"/>
    <s v="99EXPOR0000E9Z9"/>
    <s v="PIL1/E/872/24-25"/>
    <d v="2024-11-23T00:00:00"/>
    <n v="2980657.68"/>
    <n v="39"/>
    <s v="0-120 DAYS"/>
    <x v="1"/>
  </r>
  <r>
    <s v="Export"/>
    <x v="0"/>
    <s v="Lionel Samson Packaging Co Pty Ltd."/>
    <s v="99EXPOR0000E9Z9"/>
    <s v="PIL1/E/870/24-25"/>
    <d v="2024-11-23T00:00:00"/>
    <n v="3253373.42"/>
    <n v="39"/>
    <s v="0-120 DAYS"/>
    <x v="1"/>
  </r>
  <r>
    <s v="Export"/>
    <x v="0"/>
    <s v="Madi Sp. z.o.o."/>
    <s v="99EXPOR0000E9Z9"/>
    <s v="PIL1/E/878/24-25"/>
    <d v="2024-11-24T00:00:00"/>
    <n v="2388350.15"/>
    <n v="38"/>
    <s v="0-120 DAYS"/>
    <x v="1"/>
  </r>
  <r>
    <s v="Export"/>
    <x v="0"/>
    <s v="Madi Sp. z.o.o."/>
    <s v="99EXPOR0000E9Z9"/>
    <s v="PIL1/E/879/24-25"/>
    <d v="2024-11-24T00:00:00"/>
    <n v="636062.31999999995"/>
    <n v="38"/>
    <s v="0-120 DAYS"/>
    <x v="1"/>
  </r>
  <r>
    <s v="Export"/>
    <x v="0"/>
    <s v="H Polesy &amp; Co Pty Ltd"/>
    <s v="99EXPOR0000E9Z9"/>
    <s v="PIL1/E/888/24-25"/>
    <d v="2024-11-26T00:00:00"/>
    <n v="3822463.7"/>
    <n v="36"/>
    <s v="0-120 DAYS"/>
    <x v="1"/>
  </r>
  <r>
    <s v="Export"/>
    <x v="0"/>
    <s v="Acs Composites SARL"/>
    <s v="99EXPOR0000E9Z9"/>
    <s v="PIL1/E/891/24-25"/>
    <d v="2024-11-27T00:00:00"/>
    <n v="2595478.7999999998"/>
    <n v="35"/>
    <s v="0-120 DAYS"/>
    <x v="1"/>
  </r>
  <r>
    <s v="Export"/>
    <x v="0"/>
    <s v="Comercial Pra Cafe Ltda - Manaus"/>
    <s v="99EXPOR0000E9Z9"/>
    <s v="PIL1/E/905/24-25"/>
    <d v="2024-11-29T00:00:00"/>
    <n v="2792376.27"/>
    <n v="33"/>
    <s v="0-120 DAYS"/>
    <x v="1"/>
  </r>
  <r>
    <s v="Associate"/>
    <x v="1"/>
    <s v="Oliva Garden S.A."/>
    <s v="99EXPOR0000E9Z9"/>
    <s v="PIL1/E/899/24-25"/>
    <d v="2024-11-29T00:00:00"/>
    <n v="2177815.11"/>
    <n v="33"/>
    <s v="1-90 DAYS"/>
    <x v="1"/>
  </r>
  <r>
    <s v="Associate"/>
    <x v="1"/>
    <s v="Oliva Garden S.A."/>
    <s v="99EXPOR0000E9Z9"/>
    <s v="PIL1/E/900/24-25"/>
    <d v="2024-11-29T00:00:00"/>
    <n v="1187994.46"/>
    <n v="33"/>
    <s v="1-90 DAYS"/>
    <x v="1"/>
  </r>
  <r>
    <s v="Associate"/>
    <x v="1"/>
    <s v="Oliva Garden S.A."/>
    <s v="99EXPOR0000E9Z9"/>
    <s v="PIL1/E/901/24-25"/>
    <d v="2024-11-29T00:00:00"/>
    <n v="58179.75"/>
    <n v="33"/>
    <s v="1-90 DAYS"/>
    <x v="1"/>
  </r>
  <r>
    <s v="Export"/>
    <x v="0"/>
    <s v="Manyan Inc."/>
    <s v="99EXPOR0000E9Z9"/>
    <s v="PIL1/E/911/24-25"/>
    <d v="2024-11-30T00:00:00"/>
    <n v="3097212.8"/>
    <n v="32"/>
    <s v="0-120 DAYS"/>
    <x v="1"/>
  </r>
  <r>
    <s v="Export"/>
    <x v="0"/>
    <s v="Balcon Enterprises Inc."/>
    <s v="99EXPOR0000E9Z9"/>
    <s v="PIL2/E/330/24-25"/>
    <d v="2024-11-05T00:00:00"/>
    <n v="3453898.24"/>
    <n v="57"/>
    <s v="0-120 DAYS"/>
    <x v="1"/>
  </r>
  <r>
    <s v="Export"/>
    <x v="0"/>
    <s v="Technopac Austria Gmbh"/>
    <s v="99EXPOR0000E9Z9"/>
    <s v="PIL2/TP/028"/>
    <d v="2024-11-05T00:00:00"/>
    <n v="2743849.76"/>
    <n v="57"/>
    <s v="0-120 DAYS"/>
    <x v="1"/>
  </r>
  <r>
    <s v="Export"/>
    <x v="0"/>
    <s v="H Polesy &amp; Co Pty Ltd"/>
    <s v="99EXPOR0000E9Z9"/>
    <s v="PIL2/E/331/24-25"/>
    <d v="2024-11-06T00:00:00"/>
    <n v="1760012.8"/>
    <n v="56"/>
    <s v="0-120 DAYS"/>
    <x v="1"/>
  </r>
  <r>
    <s v="Export"/>
    <x v="0"/>
    <s v="Juta A.S."/>
    <s v="99EXPOR0000E9Z9"/>
    <s v="PIL2/E/333/24-25"/>
    <d v="2024-11-07T00:00:00"/>
    <n v="3495620.07"/>
    <n v="55"/>
    <s v="0-120 DAYS"/>
    <x v="1"/>
  </r>
  <r>
    <s v="Export"/>
    <x v="0"/>
    <s v="LC Packaging SAS, France"/>
    <s v="99EXPOR0000E9Z9"/>
    <s v="PIL2/E/334/24-25"/>
    <d v="2024-11-07T00:00:00"/>
    <n v="3222535.68"/>
    <n v="55"/>
    <s v="0-120 DAYS"/>
    <x v="1"/>
  </r>
  <r>
    <s v="Export"/>
    <x v="0"/>
    <s v="Cesur Usa, Llc"/>
    <s v="99EXPOR0000E9Z9"/>
    <s v="PIL2/E/338/24-25"/>
    <d v="2024-11-08T00:00:00"/>
    <n v="3164424"/>
    <n v="54"/>
    <s v="0-120 DAYS"/>
    <x v="1"/>
  </r>
  <r>
    <s v="Export"/>
    <x v="0"/>
    <s v="Cesur Usa, Llc"/>
    <s v="99EXPOR0000E9Z9"/>
    <s v="PIL2/TP/029"/>
    <d v="2024-11-08T00:00:00"/>
    <n v="3051265.89"/>
    <n v="54"/>
    <s v="0-120 DAYS"/>
    <x v="1"/>
  </r>
  <r>
    <s v="Export"/>
    <x v="0"/>
    <s v="H Polesy &amp; Co Pty Ltd"/>
    <s v="99EXPOR0000E9Z9"/>
    <s v="PIL2/E/341/24-25"/>
    <d v="2024-11-08T00:00:00"/>
    <n v="3753205.48"/>
    <n v="54"/>
    <s v="0-120 DAYS"/>
    <x v="1"/>
  </r>
  <r>
    <s v="Export"/>
    <x v="0"/>
    <s v="Technopac Gmbh"/>
    <s v="99EXPOR0000E9Z9"/>
    <s v="PIL2/E/339/24-25"/>
    <d v="2024-11-08T00:00:00"/>
    <n v="3791407.2"/>
    <n v="54"/>
    <s v="0-120 DAYS"/>
    <x v="1"/>
  </r>
  <r>
    <s v="Associate"/>
    <x v="1"/>
    <s v="Oliva Garden S.A."/>
    <s v="99EXPOR0000E9Z9"/>
    <s v="PIL2/E/342/24-25"/>
    <d v="2024-11-09T00:00:00"/>
    <n v="79677.23"/>
    <n v="53"/>
    <s v="1-90 DAYS"/>
    <x v="1"/>
  </r>
  <r>
    <s v="Associate"/>
    <x v="1"/>
    <s v="Oliva Garden S.A."/>
    <s v="99EXPOR0000E9Z9"/>
    <s v="PIL2/E/343/24-25"/>
    <d v="2024-11-09T00:00:00"/>
    <n v="474113.67"/>
    <n v="53"/>
    <s v="1-90 DAYS"/>
    <x v="1"/>
  </r>
  <r>
    <s v="Associate"/>
    <x v="1"/>
    <s v="Oliva Garden S.A."/>
    <s v="99EXPOR0000E9Z9"/>
    <s v="PIL2/E/344/24-25"/>
    <d v="2024-11-09T00:00:00"/>
    <n v="2359370.16"/>
    <n v="53"/>
    <s v="1-90 DAYS"/>
    <x v="1"/>
  </r>
  <r>
    <s v="Export"/>
    <x v="0"/>
    <s v="NNZ The Packaging Network (PTY) Ltd South Africa"/>
    <s v="99EXPOR0000E9Z9"/>
    <s v="PIL2/E/348/24-25"/>
    <d v="2024-11-11T00:00:00"/>
    <n v="1802322.25"/>
    <n v="51"/>
    <s v="0-120 DAYS"/>
    <x v="1"/>
  </r>
  <r>
    <s v="Export"/>
    <x v="0"/>
    <s v="Technopac Gmbh"/>
    <s v="99EXPOR0000E9Z9"/>
    <s v="PIL2/E/347/24-25"/>
    <d v="2024-11-11T00:00:00"/>
    <n v="3791407.2"/>
    <n v="51"/>
    <s v="0-120 DAYS"/>
    <x v="1"/>
  </r>
  <r>
    <s v="Export"/>
    <x v="0"/>
    <s v="Cesur Latam Sac"/>
    <s v="99EXPOR0000E9Z9"/>
    <s v="PIL2/E/351/24-25"/>
    <d v="2024-11-13T00:00:00"/>
    <n v="3324648"/>
    <n v="49"/>
    <s v="0-120 DAYS"/>
    <x v="1"/>
  </r>
  <r>
    <s v="Export"/>
    <x v="0"/>
    <s v="Cesur Latam Sac"/>
    <s v="99EXPOR0000E9Z9"/>
    <s v="PIL2/E/352/24-25"/>
    <d v="2024-11-13T00:00:00"/>
    <n v="1810531.2"/>
    <n v="49"/>
    <s v="0-120 DAYS"/>
    <x v="1"/>
  </r>
  <r>
    <s v="Export"/>
    <x v="0"/>
    <s v="Fibco Plastic Industry Llc"/>
    <s v="99EXPOR0000E9Z9"/>
    <s v="PIL2/E/353/24-25"/>
    <d v="2024-11-13T00:00:00"/>
    <n v="247182.24"/>
    <n v="49"/>
    <s v="0-120 DAYS"/>
    <x v="1"/>
  </r>
  <r>
    <s v="Export"/>
    <x v="0"/>
    <s v="Fibco Plastic Industry Llc"/>
    <s v="99EXPOR0000E9Z9"/>
    <s v="PIL2/E/354/24-25"/>
    <d v="2024-11-13T00:00:00"/>
    <n v="1857690.46"/>
    <n v="49"/>
    <s v="0-120 DAYS"/>
    <x v="1"/>
  </r>
  <r>
    <s v="Associate"/>
    <x v="1"/>
    <s v="Oliva Garden S.A."/>
    <s v="99EXPOR0000E9Z9"/>
    <s v="PIL2/E/349/24-25"/>
    <d v="2024-11-13T00:00:00"/>
    <n v="2512074.4900000002"/>
    <n v="49"/>
    <s v="1-90 DAYS"/>
    <x v="1"/>
  </r>
  <r>
    <s v="Associate"/>
    <x v="1"/>
    <s v="Oliva Garden S.A."/>
    <s v="99EXPOR0000E9Z9"/>
    <s v="PIL2/E/350/24-25"/>
    <d v="2024-11-13T00:00:00"/>
    <n v="1178974.93"/>
    <n v="49"/>
    <s v="1-90 DAYS"/>
    <x v="1"/>
  </r>
  <r>
    <s v="Export"/>
    <x v="0"/>
    <s v="Technopac Austria Gmbh"/>
    <s v="99EXPOR0000E9Z9"/>
    <s v="PIL2/E/356/24-25"/>
    <d v="2024-11-13T00:00:00"/>
    <n v="2446564.7200000002"/>
    <n v="49"/>
    <s v="0-120 DAYS"/>
    <x v="1"/>
  </r>
  <r>
    <s v="Export"/>
    <x v="0"/>
    <s v="Fibco Plastic Industry Llc"/>
    <s v="99EXPOR0000E9Z9"/>
    <s v="PIL2/E/358/24-25"/>
    <d v="2024-11-17T00:00:00"/>
    <n v="75211.58"/>
    <n v="45"/>
    <s v="0-120 DAYS"/>
    <x v="1"/>
  </r>
  <r>
    <s v="Export"/>
    <x v="0"/>
    <s v="Fibco Plastic Industry Llc"/>
    <s v="99EXPOR0000E9Z9"/>
    <s v="PIL2/E/359/24-25"/>
    <d v="2024-11-17T00:00:00"/>
    <n v="1874754.24"/>
    <n v="45"/>
    <s v="0-120 DAYS"/>
    <x v="1"/>
  </r>
  <r>
    <s v="Export"/>
    <x v="0"/>
    <s v="Fibco Plastic Industry Llc"/>
    <s v="99EXPOR0000E9Z9"/>
    <s v="PIL2/E/360/24-25"/>
    <d v="2024-11-17T00:00:00"/>
    <n v="249748.31"/>
    <n v="45"/>
    <s v="0-120 DAYS"/>
    <x v="1"/>
  </r>
  <r>
    <s v="Export"/>
    <x v="0"/>
    <s v="Technopac Gmbh"/>
    <s v="99EXPOR0000E9Z9"/>
    <s v="PIL2/E/363/24-25"/>
    <d v="2024-11-21T00:00:00"/>
    <n v="3841853.4"/>
    <n v="41"/>
    <s v="0-120 DAYS"/>
    <x v="1"/>
  </r>
  <r>
    <s v="Export"/>
    <x v="0"/>
    <s v="Cesur Usa, Llc"/>
    <s v="99EXPOR0000E9Z9"/>
    <s v="PIL2/E/365/24-25"/>
    <d v="2024-11-22T00:00:00"/>
    <n v="3170112"/>
    <n v="40"/>
    <s v="0-120 DAYS"/>
    <x v="1"/>
  </r>
  <r>
    <s v="Export"/>
    <x v="0"/>
    <s v="Procon Pacific Llc"/>
    <s v="99EXPOR0000E9Z9"/>
    <s v="PIL2/E/366/24-25"/>
    <d v="2024-11-22T00:00:00"/>
    <n v="3580086.4"/>
    <n v="40"/>
    <s v="0-120 DAYS"/>
    <x v="1"/>
  </r>
  <r>
    <s v="Export"/>
    <x v="0"/>
    <s v="Technopac Gmbh"/>
    <s v="99EXPOR0000E9Z9"/>
    <s v="PIL2/E/364/24-25"/>
    <d v="2024-11-22T00:00:00"/>
    <n v="2644488"/>
    <n v="40"/>
    <s v="0-120 DAYS"/>
    <x v="1"/>
  </r>
  <r>
    <s v="Export"/>
    <x v="0"/>
    <s v="Juta A.S."/>
    <s v="99EXPOR0000E9Z9"/>
    <s v="PIL2/E/368/24-25"/>
    <d v="2024-11-23T00:00:00"/>
    <n v="3169188"/>
    <n v="39"/>
    <s v="0-120 DAYS"/>
    <x v="1"/>
  </r>
  <r>
    <s v="Export"/>
    <x v="0"/>
    <s v="Lc Packaging Germany"/>
    <s v="99EXPOR0000E9Z9"/>
    <s v="PIL2/E/367/24-25"/>
    <d v="2024-11-23T00:00:00"/>
    <n v="3367508.32"/>
    <n v="39"/>
    <s v="0-120 DAYS"/>
    <x v="1"/>
  </r>
  <r>
    <s v="Export"/>
    <x v="0"/>
    <s v="Hidden Gold LLC"/>
    <s v="99EXPOR0000E9Z9"/>
    <s v="PIL2/E/374/24-25"/>
    <d v="2024-11-24T00:00:00"/>
    <n v="3650845.6"/>
    <n v="38"/>
    <s v="0-120 DAYS"/>
    <x v="1"/>
  </r>
  <r>
    <s v="Export"/>
    <x v="0"/>
    <s v="Fibco Plastic Industry Llc"/>
    <s v="99EXPOR0000E9Z9"/>
    <s v="PIL2/E/375/24-25"/>
    <d v="2024-11-25T00:00:00"/>
    <n v="784808.38"/>
    <n v="37"/>
    <s v="0-120 DAYS"/>
    <x v="1"/>
  </r>
  <r>
    <s v="Export"/>
    <x v="0"/>
    <s v="Fibco Plastic Industry Llc"/>
    <s v="99EXPOR0000E9Z9"/>
    <s v="PIL2/E/376/24-25"/>
    <d v="2024-11-25T00:00:00"/>
    <n v="2118424"/>
    <n v="37"/>
    <s v="0-120 DAYS"/>
    <x v="1"/>
  </r>
  <r>
    <s v="Export"/>
    <x v="0"/>
    <s v="Technopac Gmbh"/>
    <s v="99EXPOR0000E9Z9"/>
    <s v="PIL2/TP/030"/>
    <d v="2024-11-25T00:00:00"/>
    <n v="2735095.07"/>
    <n v="37"/>
    <s v="0-120 DAYS"/>
    <x v="1"/>
  </r>
  <r>
    <s v="Export"/>
    <x v="0"/>
    <s v="Fibco Plastic Industry Llc"/>
    <s v="99EXPOR0000E9Z9"/>
    <s v="PIL2/E/380/24-25"/>
    <d v="2024-11-26T00:00:00"/>
    <n v="3151679.87"/>
    <n v="36"/>
    <s v="0-120 DAYS"/>
    <x v="1"/>
  </r>
  <r>
    <s v="Export"/>
    <x v="0"/>
    <s v="Technopac Gmbh"/>
    <s v="99EXPOR0000E9Z9"/>
    <s v="PIL2/TP/031"/>
    <d v="2024-11-26T00:00:00"/>
    <n v="2921809.47"/>
    <n v="36"/>
    <s v="0-120 DAYS"/>
    <x v="1"/>
  </r>
  <r>
    <s v="Export"/>
    <x v="0"/>
    <s v="Procon Pacific Llc"/>
    <s v="99EXPOR0000E9Z9"/>
    <s v="PIL2/E/381/24-25"/>
    <d v="2024-11-27T00:00:00"/>
    <n v="3359131.6"/>
    <n v="35"/>
    <s v="0-120 DAYS"/>
    <x v="1"/>
  </r>
  <r>
    <s v="Export"/>
    <x v="0"/>
    <s v="Fibco Plastic Industry Llc"/>
    <s v="99EXPOR0000E9Z9"/>
    <s v="PIL2/E/383/24-25"/>
    <d v="2024-11-28T00:00:00"/>
    <n v="3676794.8799999999"/>
    <n v="34"/>
    <s v="0-120 DAYS"/>
    <x v="1"/>
  </r>
  <r>
    <s v="Export"/>
    <x v="0"/>
    <s v="Technopac Gmbh"/>
    <s v="99EXPOR0000E9Z9"/>
    <s v="PIL2/E/386/24-25"/>
    <d v="2024-11-30T00:00:00"/>
    <n v="3789444.62"/>
    <n v="32"/>
    <s v="0-120 DAYS"/>
    <x v="1"/>
  </r>
  <r>
    <s v="Export"/>
    <x v="0"/>
    <s v="FPS Flexibles Irelands Ltd"/>
    <s v="99EXPOR0000E9Z9"/>
    <s v="PIL6/E/213/24-25"/>
    <d v="2024-11-06T00:00:00"/>
    <n v="3799532.17"/>
    <n v="56"/>
    <s v="0-120 DAYS"/>
    <x v="1"/>
  </r>
  <r>
    <s v="Export"/>
    <x v="0"/>
    <s v="Cesur France"/>
    <s v="99EXPOR0000E9Z9"/>
    <s v="PIL6/E/215/24-25"/>
    <d v="2024-11-09T00:00:00"/>
    <n v="4142366.48"/>
    <n v="53"/>
    <s v="0-120 DAYS"/>
    <x v="1"/>
  </r>
  <r>
    <s v="Export"/>
    <x v="0"/>
    <s v="Qpac Packaging LLP"/>
    <s v="99EXPOR0000E9Z9"/>
    <s v="PIL6/E/219/24-25"/>
    <d v="2024-11-13T00:00:00"/>
    <n v="3135528"/>
    <n v="49"/>
    <s v="0-120 DAYS"/>
    <x v="1"/>
  </r>
  <r>
    <s v="Export"/>
    <x v="0"/>
    <s v="FPS Flexibles Irelands Ltd"/>
    <s v="99EXPOR0000E9Z9"/>
    <s v="PIL6/E/223/24-25"/>
    <d v="2024-11-18T00:00:00"/>
    <n v="4204041.57"/>
    <n v="44"/>
    <s v="0-120 DAYS"/>
    <x v="1"/>
  </r>
  <r>
    <s v="Export"/>
    <x v="0"/>
    <s v="LC Packaging SAS, France"/>
    <s v="99EXPOR0000E9Z9"/>
    <s v="PIL6/E/225/24-25"/>
    <d v="2024-11-18T00:00:00"/>
    <n v="3004734.48"/>
    <n v="44"/>
    <s v="0-120 DAYS"/>
    <x v="1"/>
  </r>
  <r>
    <s v="Export"/>
    <x v="0"/>
    <s v="Multi Negoce"/>
    <s v="99EXPOR0000E9Z9"/>
    <s v="PIL6/E/224/24-25"/>
    <d v="2024-11-18T00:00:00"/>
    <n v="2128842.0499999998"/>
    <n v="44"/>
    <s v="0-120 DAYS"/>
    <x v="1"/>
  </r>
  <r>
    <s v="Export"/>
    <x v="0"/>
    <s v="Rafia Industrial S.A."/>
    <s v="99EXPOR0000E9Z9"/>
    <s v="PIL6/E/226/24-25"/>
    <d v="2024-11-19T00:00:00"/>
    <n v="247211.79999999981"/>
    <n v="43"/>
    <s v="0-120 DAYS"/>
    <x v="1"/>
  </r>
  <r>
    <s v="Export"/>
    <x v="0"/>
    <s v="Town &amp; Country Aggregates "/>
    <s v="99EXPOR0000E9Z9"/>
    <s v="PIL6/E/227/24-25"/>
    <d v="2024-11-19T00:00:00"/>
    <n v="1377901.75"/>
    <n v="43"/>
    <s v="0-120 DAYS"/>
    <x v="1"/>
  </r>
  <r>
    <s v="Export"/>
    <x v="0"/>
    <s v="Rafia Industrial S.A."/>
    <s v="99EXPOR0000E9Z9"/>
    <s v="PIL6/E/229/24-25"/>
    <d v="2024-11-20T00:00:00"/>
    <n v="3474315.68"/>
    <n v="42"/>
    <s v="0-120 DAYS"/>
    <x v="1"/>
  </r>
  <r>
    <s v="Export"/>
    <x v="0"/>
    <s v="Qpac Packaging LLP"/>
    <s v="99EXPOR0000E9Z9"/>
    <s v="PIL6/E/233/24-25"/>
    <d v="2024-11-22T00:00:00"/>
    <n v="2911177.11"/>
    <n v="40"/>
    <s v="0-120 DAYS"/>
    <x v="1"/>
  </r>
  <r>
    <s v="Export"/>
    <x v="0"/>
    <s v="Rafia Industrial S.A."/>
    <s v="99EXPOR0000E9Z9"/>
    <s v="PIL6/E/234/24-25"/>
    <d v="2024-11-23T00:00:00"/>
    <n v="3383592.96"/>
    <n v="39"/>
    <s v="0-120 DAYS"/>
    <x v="1"/>
  </r>
  <r>
    <s v="Export"/>
    <x v="0"/>
    <s v="Qpac Packaging LLP"/>
    <s v="99EXPOR0000E9Z9"/>
    <s v="PIL6/E/238/24-25"/>
    <d v="2024-11-28T00:00:00"/>
    <n v="2882582.5"/>
    <n v="34"/>
    <s v="0-120 DAYS"/>
    <x v="1"/>
  </r>
  <r>
    <s v="Export"/>
    <x v="0"/>
    <s v="Rafia Industrial S.A."/>
    <s v="99EXPOR0000E9Z9"/>
    <s v="PIL6/E/237/24-25"/>
    <d v="2024-11-28T00:00:00"/>
    <n v="3443835.12"/>
    <n v="34"/>
    <s v="0-120 DAYS"/>
    <x v="1"/>
  </r>
  <r>
    <s v="Export"/>
    <x v="0"/>
    <s v="LC Packaging Nordic AB, Sweden"/>
    <s v="99EXPOR0000E9Z9"/>
    <s v="PIL6/E/244/24-25"/>
    <d v="2024-11-29T00:00:00"/>
    <n v="1524663.36"/>
    <n v="33"/>
    <s v="0-120 DAYS"/>
    <x v="1"/>
  </r>
  <r>
    <s v="Export"/>
    <x v="0"/>
    <s v="Town &amp; Country Aggregates "/>
    <s v="99EXPOR0000E9Z9"/>
    <s v="PIL6/E/245/24-25"/>
    <d v="2024-11-30T00:00:00"/>
    <n v="3730745.7"/>
    <n v="32"/>
    <s v="0-120 DAYS"/>
    <x v="1"/>
  </r>
  <r>
    <s v="Export"/>
    <x v="0"/>
    <s v="Rossi Imballaggi Srl"/>
    <s v="99EXPOR0000E9Z9"/>
    <s v="PIL1/TP/026"/>
    <d v="2024-11-05T00:00:00"/>
    <n v="3585225.28"/>
    <n v="57"/>
    <s v="0-120 DAYS"/>
    <x v="1"/>
  </r>
  <r>
    <s v="Export"/>
    <x v="0"/>
    <s v="Juta A.S."/>
    <s v="99EXPOR0000E9Z9"/>
    <s v="PIL1/TP/027"/>
    <d v="2024-11-11T00:00:00"/>
    <n v="3504386.16"/>
    <n v="51"/>
    <s v="0-120 DAYS"/>
    <x v="1"/>
  </r>
  <r>
    <s v="Export"/>
    <x v="0"/>
    <s v="Procon Pacific Llc"/>
    <s v="99EXPOR0000E9Z9"/>
    <s v="PIL1/TP/028"/>
    <d v="2024-11-11T00:00:00"/>
    <n v="3426966.17"/>
    <n v="51"/>
    <s v="0-120 DAYS"/>
    <x v="1"/>
  </r>
  <r>
    <s v="Export"/>
    <x v="0"/>
    <s v="Juta A.S."/>
    <s v="99EXPOR0000E9Z9"/>
    <s v="PIL1/TP/029"/>
    <d v="2024-11-15T00:00:00"/>
    <n v="3170106.22"/>
    <n v="47"/>
    <s v="0-120 DAYS"/>
    <x v="1"/>
  </r>
  <r>
    <s v="Export"/>
    <x v="0"/>
    <s v="FPS Flexibles Chile Spa"/>
    <s v="99EXPOR0000E9Z9"/>
    <s v="PIL1/TP/030"/>
    <d v="2024-11-23T00:00:00"/>
    <n v="3696792.4"/>
    <n v="39"/>
    <s v="0-120 DAYS"/>
    <x v="1"/>
  </r>
  <r>
    <s v="Export"/>
    <x v="0"/>
    <s v="FPS Flexibles Chile Spa"/>
    <s v="99EXPOR0000E9Z9"/>
    <s v="PIL1/TP/031"/>
    <d v="2024-11-23T00:00:00"/>
    <n v="3696792.01"/>
    <n v="39"/>
    <s v="0-120 DAYS"/>
    <x v="1"/>
  </r>
  <r>
    <s v="Export"/>
    <x v="0"/>
    <s v="Procon Pacific Llc"/>
    <s v="99EXPOR0000E9Z9"/>
    <s v="PIL1/TP/032"/>
    <d v="2024-11-26T00:00:00"/>
    <n v="3890175.98"/>
    <n v="36"/>
    <s v="0-120 DAYS"/>
    <x v="1"/>
  </r>
  <r>
    <s v="Export"/>
    <x v="0"/>
    <s v="Procon Pacific Llc"/>
    <s v="99EXPOR0000E9Z9"/>
    <s v="PIL1/TP/033"/>
    <d v="2024-11-27T00:00:00"/>
    <n v="3161660.04"/>
    <n v="35"/>
    <s v="0-120 DAYS"/>
    <x v="1"/>
  </r>
  <r>
    <s v="Export"/>
    <x v="0"/>
    <s v="FPS Flexibles Chile Spa"/>
    <s v="99EXPOR0000E9Z9"/>
    <s v="PIL1/TP/034"/>
    <d v="2024-11-29T00:00:00"/>
    <n v="3696792.09"/>
    <n v="33"/>
    <s v="0-120 DAYS"/>
    <x v="1"/>
  </r>
  <r>
    <s v="Export"/>
    <x v="0"/>
    <s v="Rafia Industrial S.A."/>
    <s v="99EXPOR0000E9Z9"/>
    <s v="PIL1/TP/035"/>
    <d v="2024-11-29T00:00:00"/>
    <n v="3344112.86"/>
    <n v="33"/>
    <s v="0-120 DAYS"/>
    <x v="1"/>
  </r>
  <r>
    <s v="Domestic"/>
    <x v="0"/>
    <s v="Jain Bulk Pack - Sales"/>
    <s v="24AFOPG7793M1ZO"/>
    <s v="PIL1/D/1504"/>
    <d v="2024-11-11T00:00:00"/>
    <n v="1490376.96"/>
    <n v="51"/>
    <s v="1-90 DAYS"/>
    <x v="1"/>
  </r>
  <r>
    <s v="Domestic"/>
    <x v="0"/>
    <s v="Shyam Plastic Services"/>
    <s v="29ADEPR8799L2ZA"/>
    <s v="PIL1/HSS/26/24-25"/>
    <d v="2024-11-11T00:00:00"/>
    <n v="27803049.120000001"/>
    <n v="51"/>
    <s v="1-90 DAYS"/>
    <x v="1"/>
  </r>
  <r>
    <s v="Domestic"/>
    <x v="0"/>
    <s v="Adinath Salt Llp"/>
    <s v="24ABPFA8196D1Z6"/>
    <s v="PIL1/D/1517"/>
    <d v="2024-11-13T00:00:00"/>
    <n v="40000"/>
    <n v="49"/>
    <s v="1-90 DAYS"/>
    <x v="1"/>
  </r>
  <r>
    <s v="Domestic"/>
    <x v="0"/>
    <s v="Jain Bulk Pack - Ahmedabad"/>
    <s v="24AFOPG7793M1ZO"/>
    <s v="PIL1/D/1523"/>
    <d v="2024-11-14T00:00:00"/>
    <n v="1490376.94"/>
    <n v="48"/>
    <s v="1-90 DAYS"/>
    <x v="1"/>
  </r>
  <r>
    <s v="Domestic"/>
    <x v="0"/>
    <s v="Jain Bulk Pack - Ahmedabad"/>
    <s v="24AFOPG7793M1ZO"/>
    <s v="PIL1/D/1524"/>
    <d v="2024-11-14T00:00:00"/>
    <n v="465526.58"/>
    <n v="48"/>
    <s v="1-90 DAYS"/>
    <x v="1"/>
  </r>
  <r>
    <s v="Domestic"/>
    <x v="0"/>
    <s v="Jain Bulk Pack - Ahmedabad"/>
    <s v="24AFOPG7793M1ZO"/>
    <s v="PIL1/D/1533"/>
    <d v="2024-11-15T00:00:00"/>
    <n v="698290.38"/>
    <n v="47"/>
    <s v="1-90 DAYS"/>
    <x v="1"/>
  </r>
  <r>
    <s v="Domestic"/>
    <x v="0"/>
    <s v="20 Microns Limited"/>
    <s v="24AAACZ0580B1ZS"/>
    <s v="PIL1/D/1551"/>
    <d v="2024-11-18T00:00:00"/>
    <n v="163548"/>
    <n v="44"/>
    <s v="1-90 DAYS"/>
    <x v="1"/>
  </r>
  <r>
    <s v="Domestic"/>
    <x v="0"/>
    <s v="Jain Bulk Pack - Ahmedabad"/>
    <s v="24AFOPG7793M1ZO"/>
    <s v="PIL1/D/1554"/>
    <d v="2024-11-18T00:00:00"/>
    <n v="1156339.3999999999"/>
    <n v="44"/>
    <s v="1-90 DAYS"/>
    <x v="1"/>
  </r>
  <r>
    <s v="Domestic"/>
    <x v="0"/>
    <s v="Jain Bulk Pack - Ahmedabad"/>
    <s v="24AFOPG7793M1ZO"/>
    <s v="PIL1/D/1604"/>
    <d v="2024-11-25T00:00:00"/>
    <n v="1490376.94"/>
    <n v="37"/>
    <s v="1-90 DAYS"/>
    <x v="1"/>
  </r>
  <r>
    <s v="Domestic"/>
    <x v="0"/>
    <s v="Jain Bulk Pack - Ahmedabad"/>
    <s v="24AFOPG7793M1ZO"/>
    <s v="PIL1/D/1607"/>
    <d v="2024-11-26T00:00:00"/>
    <n v="1387607.48"/>
    <n v="36"/>
    <s v="1-90 DAYS"/>
    <x v="1"/>
  </r>
  <r>
    <s v="Domestic"/>
    <x v="0"/>
    <s v="Jain Bulk Pack - Ahmedabad"/>
    <s v="24AFOPG7793M1ZO"/>
    <s v="PIL1/D/1608"/>
    <d v="2024-11-26T00:00:00"/>
    <n v="1248065.3999999999"/>
    <n v="36"/>
    <s v="1-90 DAYS"/>
    <x v="1"/>
  </r>
  <r>
    <s v="Domestic"/>
    <x v="0"/>
    <s v="Jain Bulk Pack - Ahmedabad"/>
    <s v="24AFOPG7793M1ZO"/>
    <s v="PIL1/D/1623"/>
    <d v="2024-11-27T00:00:00"/>
    <n v="230876.79999999999"/>
    <n v="35"/>
    <s v="1-90 DAYS"/>
    <x v="1"/>
  </r>
  <r>
    <s v="Domestic"/>
    <x v="0"/>
    <s v="Jain Bulk Pack - Ahmedabad"/>
    <s v="24AFOPG7793M1ZO"/>
    <s v="PIL1/D/1624"/>
    <d v="2024-11-27T00:00:00"/>
    <n v="57719.199999999997"/>
    <n v="35"/>
    <s v="1-90 DAYS"/>
    <x v="1"/>
  </r>
  <r>
    <s v="Domestic"/>
    <x v="0"/>
    <s v="Jain Bulk Pack - Ahmedabad"/>
    <s v="24AFOPG7793M1ZO"/>
    <s v="PIL1/D/1625"/>
    <d v="2024-11-27T00:00:00"/>
    <n v="1156929.3999999999"/>
    <n v="35"/>
    <s v="1-90 DAYS"/>
    <x v="1"/>
  </r>
  <r>
    <s v="Domestic"/>
    <x v="0"/>
    <s v="N S Traders"/>
    <s v="24BEBPS5651D1ZO"/>
    <s v="PIL1/D/1618"/>
    <d v="2024-11-27T00:00:00"/>
    <n v="102256.44"/>
    <n v="35"/>
    <s v="1-90 DAYS"/>
    <x v="1"/>
  </r>
  <r>
    <s v="Domestic"/>
    <x v="0"/>
    <s v="Jain Bulk Pack - Ahmedabad"/>
    <s v="24AFOPG7793M1ZO"/>
    <s v="PIL1/D/1631"/>
    <d v="2024-11-28T00:00:00"/>
    <n v="115693.04"/>
    <n v="34"/>
    <s v="1-90 DAYS"/>
    <x v="1"/>
  </r>
  <r>
    <s v="Domestic"/>
    <x v="0"/>
    <s v="Jain Bulk Pack - Ahmedabad"/>
    <s v="24AFOPG7793M1ZO"/>
    <s v="PIL1/D/1634"/>
    <d v="2024-11-29T00:00:00"/>
    <n v="1041236.36"/>
    <n v="33"/>
    <s v="1-90 DAYS"/>
    <x v="1"/>
  </r>
  <r>
    <s v="Domestic"/>
    <x v="0"/>
    <s v="Jain Bulk Pack - Ahmedabad"/>
    <s v="24AFOPG7793M1ZO"/>
    <s v="PIL1/D/1636"/>
    <d v="2024-11-29T00:00:00"/>
    <n v="349145.18"/>
    <n v="33"/>
    <s v="1-90 DAYS"/>
    <x v="1"/>
  </r>
  <r>
    <s v="Domestic"/>
    <x v="0"/>
    <s v="Jain Bulk Pack - Ahmedabad"/>
    <s v="24AFOPG7793M1ZO"/>
    <s v="PIL1/D/1637"/>
    <d v="2024-11-29T00:00:00"/>
    <n v="2892323"/>
    <n v="33"/>
    <s v="1-90 DAYS"/>
    <x v="1"/>
  </r>
  <r>
    <s v="Domestic"/>
    <x v="0"/>
    <s v="Jain Bulk Pack - Ahmedabad"/>
    <s v="24AFOPG7793M1ZO"/>
    <s v="PIL1/D/1646"/>
    <d v="2024-11-30T00:00:00"/>
    <n v="465526.58"/>
    <n v="32"/>
    <s v="1-90 DAYS"/>
    <x v="1"/>
  </r>
  <r>
    <s v="Domestic"/>
    <x v="0"/>
    <s v="Jain Bulk Pack - Ahmedabad"/>
    <s v="24AFOPG7793M1ZO"/>
    <s v="PIL1/D/1647"/>
    <d v="2024-11-30T00:00:00"/>
    <n v="349145.18"/>
    <n v="32"/>
    <s v="1-90 DAYS"/>
    <x v="1"/>
  </r>
  <r>
    <s v="Domestic"/>
    <x v="0"/>
    <s v="Jain Bulk Pack - Ahmedabad"/>
    <s v="24AFOPG7793M1ZO"/>
    <s v="PIL1/D/1648"/>
    <d v="2024-11-30T00:00:00"/>
    <n v="1039644.36"/>
    <n v="32"/>
    <s v="1-90 DAYS"/>
    <x v="1"/>
  </r>
  <r>
    <s v="Domestic"/>
    <x v="0"/>
    <s v="Sunglow Colorants Corporation"/>
    <s v="24ACOFS2351J1ZX"/>
    <s v="PIL2/D/735"/>
    <d v="2024-11-15T00:00:00"/>
    <n v="80240"/>
    <n v="47"/>
    <s v="1-90 DAYS"/>
    <x v="1"/>
  </r>
  <r>
    <s v="Domestic"/>
    <x v="0"/>
    <s v="Almatis  Alumina Private Limited"/>
    <s v="19AACCA2120N1ZT"/>
    <s v="PIL2/D/770"/>
    <d v="2024-11-27T00:00:00"/>
    <n v="1495149.46"/>
    <n v="35"/>
    <s v="1-90 DAYS"/>
    <x v="1"/>
  </r>
  <r>
    <s v="Domestic"/>
    <x v="0"/>
    <s v="Mehjal Adhesive Tapes Pvt. Ltd. - Sales"/>
    <s v="24AAICM7843C1ZJ"/>
    <s v="PIL2/D/776"/>
    <d v="2024-11-29T00:00:00"/>
    <n v="509925.2"/>
    <n v="33"/>
    <s v="1-90 DAYS"/>
    <x v="1"/>
  </r>
  <r>
    <s v="Associate"/>
    <x v="1"/>
    <s v="Plastene Polyfilms Ltd-Sales"/>
    <s v="24AAFCP2956A1ZR"/>
    <s v="PIL1/D/1650"/>
    <d v="2024-12-01T00:00:00"/>
    <n v="167791.14"/>
    <n v="31"/>
    <s v="1-90 DAYS"/>
    <x v="1"/>
  </r>
  <r>
    <s v="Associate"/>
    <x v="1"/>
    <s v="Plastene Polyfilms Ltd-Sales"/>
    <s v="24AAFCP2956A1ZR"/>
    <s v="PIL1/D/1651"/>
    <d v="2024-12-01T00:00:00"/>
    <n v="55275"/>
    <n v="31"/>
    <s v="1-90 DAYS"/>
    <x v="1"/>
  </r>
  <r>
    <s v="Domestic"/>
    <x v="0"/>
    <s v="20 Microns Limited-Mundra"/>
    <s v="24AAACZ0580B1ZS"/>
    <s v="PIL1/D/1656"/>
    <d v="2024-12-02T00:00:00"/>
    <n v="46466.6"/>
    <n v="30"/>
    <s v="1-90 DAYS"/>
    <x v="1"/>
  </r>
  <r>
    <s v="Associate"/>
    <x v="1"/>
    <s v="Plastene Polyfilms Ltd-Sales"/>
    <s v="24AAFCP2956A1ZR"/>
    <s v="PIL1/D/1652"/>
    <d v="2024-12-02T00:00:00"/>
    <n v="1379.6"/>
    <n v="30"/>
    <s v="1-90 DAYS"/>
    <x v="1"/>
  </r>
  <r>
    <s v="Associate"/>
    <x v="1"/>
    <s v="Plastene Polyfilms Ltd-Sales"/>
    <s v="24AAFCP2956A1ZR"/>
    <s v="PIL1/D/1653"/>
    <d v="2024-12-02T00:00:00"/>
    <n v="385534.11"/>
    <n v="30"/>
    <s v="1-90 DAYS"/>
    <x v="1"/>
  </r>
  <r>
    <s v="Associate"/>
    <x v="1"/>
    <s v="Plastene Polyfilms Ltd-Sales"/>
    <s v="24AAFCP2956A1ZR"/>
    <s v="PIL1/D/1654"/>
    <d v="2024-12-02T00:00:00"/>
    <n v="4413.92"/>
    <n v="30"/>
    <s v="1-90 DAYS"/>
    <x v="1"/>
  </r>
  <r>
    <s v="Domestic"/>
    <x v="0"/>
    <s v="Deepak Overseas"/>
    <s v="24AGUPS7962F1ZO"/>
    <s v="PIL1/D/1659"/>
    <d v="2024-12-03T00:00:00"/>
    <n v="1097931.7"/>
    <n v="29"/>
    <s v="1-90 DAYS"/>
    <x v="1"/>
  </r>
  <r>
    <s v="Associate"/>
    <x v="1"/>
    <s v="Plastene Polyfilms Ltd-Sales"/>
    <s v="24AAFCP2956A1ZR"/>
    <s v="PIL1/D/1660"/>
    <d v="2024-12-03T00:00:00"/>
    <n v="344156.34"/>
    <n v="29"/>
    <s v="1-90 DAYS"/>
    <x v="1"/>
  </r>
  <r>
    <s v="Associate"/>
    <x v="1"/>
    <s v="Plastene Polyfilms Ltd-Sales"/>
    <s v="24AAFCP2956A1ZR"/>
    <s v="PIL1/D/1661"/>
    <d v="2024-12-03T00:00:00"/>
    <n v="1698.2"/>
    <n v="29"/>
    <s v="1-90 DAYS"/>
    <x v="1"/>
  </r>
  <r>
    <s v="Domestic"/>
    <x v="0"/>
    <s v="Jain Bulk Pack - Ahmedabad"/>
    <s v="24AFOPG7793M1ZO"/>
    <s v="PIL1/D/1669"/>
    <d v="2024-12-04T00:00:00"/>
    <n v="1085391.72"/>
    <n v="28"/>
    <s v="1-90 DAYS"/>
    <x v="1"/>
  </r>
  <r>
    <s v="Associate"/>
    <x v="1"/>
    <s v="Plastene Polyfilms Ltd-Sales"/>
    <s v="24AAFCP2956A1ZR"/>
    <s v="PIL1/D/1667"/>
    <d v="2024-12-04T00:00:00"/>
    <n v="203351.04000000001"/>
    <n v="28"/>
    <s v="1-90 DAYS"/>
    <x v="1"/>
  </r>
  <r>
    <s v="Associate"/>
    <x v="1"/>
    <s v="Plastene Polyfilms Ltd-Sales"/>
    <s v="24AAFCP2956A1ZR"/>
    <s v="PIL1/D/1668"/>
    <d v="2024-12-04T00:00:00"/>
    <n v="1188.44"/>
    <n v="28"/>
    <s v="1-90 DAYS"/>
    <x v="1"/>
  </r>
  <r>
    <s v="Associate"/>
    <x v="1"/>
    <s v="Plastene Polyfilms Ltd-Sales"/>
    <s v="24AAFCP2956A1ZR"/>
    <s v="PIL1/D/1670"/>
    <d v="2024-12-04T00:00:00"/>
    <n v="21938.84"/>
    <n v="28"/>
    <s v="1-90 DAYS"/>
    <x v="1"/>
  </r>
  <r>
    <s v="Associate"/>
    <x v="1"/>
    <s v="Plastene Polyfilms Ltd-Sales"/>
    <s v="24AAFCP2956A1ZR"/>
    <s v="PIL1/D/1666"/>
    <d v="2024-12-04T00:00:00"/>
    <n v="33550"/>
    <n v="28"/>
    <s v="1-90 DAYS"/>
    <x v="1"/>
  </r>
  <r>
    <s v="Domestic"/>
    <x v="0"/>
    <s v="Jain Bulk Pack - Ahmedabad"/>
    <s v="24AFOPG7793M1ZO"/>
    <s v="PIL1/D/1673"/>
    <d v="2024-12-05T00:00:00"/>
    <n v="581414.56000000006"/>
    <n v="27"/>
    <s v="1-90 DAYS"/>
    <x v="1"/>
  </r>
  <r>
    <s v="Domestic"/>
    <x v="0"/>
    <s v="Jain Bulk Pack - Ahmedabad"/>
    <s v="24AFOPG7793M1ZO"/>
    <s v="PIL1/D/1674"/>
    <d v="2024-12-05T00:00:00"/>
    <n v="162808.9"/>
    <n v="27"/>
    <s v="1-90 DAYS"/>
    <x v="1"/>
  </r>
  <r>
    <s v="Domestic"/>
    <x v="0"/>
    <s v="Jain Bulk Pack - Ahmedabad"/>
    <s v="24AFOPG7793M1ZO"/>
    <s v="PIL1/D/1678"/>
    <d v="2024-12-05T00:00:00"/>
    <n v="707120.1"/>
    <n v="27"/>
    <s v="1-90 DAYS"/>
    <x v="1"/>
  </r>
  <r>
    <s v="Associate"/>
    <x v="1"/>
    <s v="Plastene Polyfilms Ltd-Sales"/>
    <s v="24AAFCP2956A1ZR"/>
    <s v="PIL1/D/1671"/>
    <d v="2024-12-05T00:00:00"/>
    <n v="21743.919999999998"/>
    <n v="27"/>
    <s v="1-90 DAYS"/>
    <x v="1"/>
  </r>
  <r>
    <s v="Associate"/>
    <x v="1"/>
    <s v="Plastene Polyfilms Ltd-Sales"/>
    <s v="24AAFCP2956A1ZR"/>
    <s v="PIL1/D/1675"/>
    <d v="2024-12-05T00:00:00"/>
    <n v="196107"/>
    <n v="27"/>
    <s v="1-90 DAYS"/>
    <x v="1"/>
  </r>
  <r>
    <s v="Associate"/>
    <x v="1"/>
    <s v="Plastene Polyfilms Ltd-Sales"/>
    <s v="24AAFCP2956A1ZR"/>
    <s v="PIL1/D/1676"/>
    <d v="2024-12-05T00:00:00"/>
    <n v="266316.27"/>
    <n v="27"/>
    <s v="1-90 DAYS"/>
    <x v="1"/>
  </r>
  <r>
    <s v="Associate"/>
    <x v="1"/>
    <s v="Plastene Polyfilms Ltd-Sales"/>
    <s v="24AAFCP2956A1ZR"/>
    <s v="PIL1/D/1677"/>
    <d v="2024-12-05T00:00:00"/>
    <n v="3905.16"/>
    <n v="27"/>
    <s v="1-90 DAYS"/>
    <x v="1"/>
  </r>
  <r>
    <s v="Associate"/>
    <x v="1"/>
    <s v="Plastene Polyfilms Ltd-Sales"/>
    <s v="24AAFCP2956A1ZR"/>
    <s v="PIL1/D/1683"/>
    <d v="2024-12-06T00:00:00"/>
    <n v="25520.66"/>
    <n v="26"/>
    <s v="1-90 DAYS"/>
    <x v="1"/>
  </r>
  <r>
    <s v="Associate"/>
    <x v="1"/>
    <s v="Plastene Polyfilms Ltd-Sales"/>
    <s v="24AAFCP2956A1ZR"/>
    <s v="PIL1/D/1686"/>
    <d v="2024-12-06T00:00:00"/>
    <n v="144538.51999999999"/>
    <n v="26"/>
    <s v="1-90 DAYS"/>
    <x v="1"/>
  </r>
  <r>
    <s v="Associate"/>
    <x v="1"/>
    <s v="Plastene Polyfilms Ltd-Sales"/>
    <s v="24AAFCP2956A1ZR"/>
    <s v="PIL1/D/1687"/>
    <d v="2024-12-06T00:00:00"/>
    <n v="1998405"/>
    <n v="26"/>
    <s v="1-90 DAYS"/>
    <x v="1"/>
  </r>
  <r>
    <s v="Associate"/>
    <x v="1"/>
    <s v="Plastene Polyfilms Ltd-Sales"/>
    <s v="24AAFCP2956A1ZR"/>
    <s v="PIL1/D/1685"/>
    <d v="2024-12-06T00:00:00"/>
    <n v="22000"/>
    <n v="26"/>
    <s v="1-90 DAYS"/>
    <x v="1"/>
  </r>
  <r>
    <s v="Associate"/>
    <x v="1"/>
    <s v="Plastene Polyfilms Ltd-Sales"/>
    <s v="24AAFCP2956A1ZR"/>
    <s v="PIL1/D/1689"/>
    <d v="2024-12-07T00:00:00"/>
    <n v="14836.74"/>
    <n v="25"/>
    <s v="1-90 DAYS"/>
    <x v="1"/>
  </r>
  <r>
    <s v="Associate"/>
    <x v="1"/>
    <s v="Plastene Polyfilms Ltd-Sales"/>
    <s v="24AAFCP2956A1ZR"/>
    <s v="PIL1/D/1691"/>
    <d v="2024-12-07T00:00:00"/>
    <n v="1031440.54"/>
    <n v="25"/>
    <s v="1-90 DAYS"/>
    <x v="1"/>
  </r>
  <r>
    <s v="Associate"/>
    <x v="1"/>
    <s v="Plastene Polyfilms Ltd-Sales"/>
    <s v="24AAFCP2956A1ZR"/>
    <s v="PIL1/D/1692"/>
    <d v="2024-12-07T00:00:00"/>
    <n v="7640.4"/>
    <n v="25"/>
    <s v="1-90 DAYS"/>
    <x v="1"/>
  </r>
  <r>
    <s v="Associate"/>
    <x v="1"/>
    <s v="Plastene Polyfilms Ltd-Sales"/>
    <s v="24AAFCP2956A1ZR"/>
    <s v="PIL1/D/1696"/>
    <d v="2024-12-08T00:00:00"/>
    <n v="31282.02"/>
    <n v="24"/>
    <s v="1-90 DAYS"/>
    <x v="1"/>
  </r>
  <r>
    <s v="Associate"/>
    <x v="1"/>
    <s v="Plastene Polyfilms Ltd-Sales"/>
    <s v="24AAFCP2956A1ZR"/>
    <s v="PIL1/D/1700"/>
    <d v="2024-12-08T00:00:00"/>
    <n v="678380.08"/>
    <n v="24"/>
    <s v="1-90 DAYS"/>
    <x v="1"/>
  </r>
  <r>
    <s v="Associate"/>
    <x v="1"/>
    <s v="Plastene Polyfilms Ltd-Sales"/>
    <s v="24AAFCP2956A1ZR"/>
    <s v="PIL1/D/1702"/>
    <d v="2024-12-08T00:00:00"/>
    <n v="7187.28"/>
    <n v="24"/>
    <s v="1-90 DAYS"/>
    <x v="1"/>
  </r>
  <r>
    <s v="Associate"/>
    <x v="1"/>
    <s v="Plastene Polyfilms Ltd-Sales"/>
    <s v="24AAFCP2956A1ZR"/>
    <s v="PIL1/D/1701"/>
    <d v="2024-12-08T00:00:00"/>
    <n v="14850"/>
    <n v="24"/>
    <s v="1-90 DAYS"/>
    <x v="1"/>
  </r>
  <r>
    <s v="Domestic"/>
    <x v="0"/>
    <s v="Deepak Overseas"/>
    <s v="24AGUPS7962F1ZO"/>
    <s v="PIL1/D/1709"/>
    <d v="2024-12-09T00:00:00"/>
    <n v="639885.68000000005"/>
    <n v="23"/>
    <s v="1-90 DAYS"/>
    <x v="1"/>
  </r>
  <r>
    <s v="Associate"/>
    <x v="1"/>
    <s v="Plastene Polyfilms Ltd-Sales"/>
    <s v="24AAFCP2956A1ZR"/>
    <s v="PIL1/D/1705"/>
    <d v="2024-12-09T00:00:00"/>
    <n v="519895.43"/>
    <n v="23"/>
    <s v="1-90 DAYS"/>
    <x v="1"/>
  </r>
  <r>
    <s v="Associate"/>
    <x v="1"/>
    <s v="Plastene Polyfilms Ltd-Sales"/>
    <s v="24AAFCP2956A1ZR"/>
    <s v="PIL1/D/1706"/>
    <d v="2024-12-09T00:00:00"/>
    <n v="5715.64"/>
    <n v="23"/>
    <s v="1-90 DAYS"/>
    <x v="1"/>
  </r>
  <r>
    <s v="Associate"/>
    <x v="1"/>
    <s v="Plastene Polyfilms Ltd-Sales"/>
    <s v="24AAFCP2956A1ZR"/>
    <s v="PIL1/D/1704"/>
    <d v="2024-12-09T00:00:00"/>
    <n v="39875"/>
    <n v="23"/>
    <s v="1-90 DAYS"/>
    <x v="1"/>
  </r>
  <r>
    <s v="Associate"/>
    <x v="1"/>
    <s v="Plastene Polyfilms Ltd-Sales"/>
    <s v="24AAFCP2956A1ZR"/>
    <s v="PIL1/D/1710"/>
    <d v="2024-12-10T00:00:00"/>
    <n v="36313"/>
    <n v="22"/>
    <s v="1-90 DAYS"/>
    <x v="1"/>
  </r>
  <r>
    <s v="Associate"/>
    <x v="1"/>
    <s v="Plastene Polyfilms Ltd-Sales"/>
    <s v="24AAFCP2956A1ZR"/>
    <s v="PIL1/D/1713"/>
    <d v="2024-12-10T00:00:00"/>
    <n v="328655.03000000003"/>
    <n v="22"/>
    <s v="1-90 DAYS"/>
    <x v="1"/>
  </r>
  <r>
    <s v="Associate"/>
    <x v="1"/>
    <s v="Plastene Polyfilms Ltd-Sales"/>
    <s v="24AAFCP2956A1ZR"/>
    <s v="PIL1/D/1714"/>
    <d v="2024-12-10T00:00:00"/>
    <n v="2603.44"/>
    <n v="22"/>
    <s v="1-90 DAYS"/>
    <x v="1"/>
  </r>
  <r>
    <s v="Domestic"/>
    <x v="0"/>
    <s v="Rudra Trading Co."/>
    <s v="27BCGPD5673M1Z7"/>
    <s v="PIL1/D/1711"/>
    <d v="2024-12-10T00:00:00"/>
    <n v="2030731.9"/>
    <n v="22"/>
    <s v="1-90 DAYS"/>
    <x v="1"/>
  </r>
  <r>
    <s v="Associate"/>
    <x v="1"/>
    <s v="Plastene Polyfilms Ltd-Sales"/>
    <s v="24AAFCP2956A1ZR"/>
    <s v="PIL1/D/1718"/>
    <d v="2024-12-11T00:00:00"/>
    <n v="547286.28"/>
    <n v="21"/>
    <s v="1-90 DAYS"/>
    <x v="1"/>
  </r>
  <r>
    <s v="Associate"/>
    <x v="1"/>
    <s v="Plastene Polyfilms Ltd-Sales"/>
    <s v="24AAFCP2956A1ZR"/>
    <s v="PIL1/D/1719"/>
    <d v="2024-12-11T00:00:00"/>
    <n v="2320.2399999999998"/>
    <n v="21"/>
    <s v="1-90 DAYS"/>
    <x v="1"/>
  </r>
  <r>
    <s v="Domestic"/>
    <x v="0"/>
    <s v="Jain Bulk Pack - Ahmedabad"/>
    <s v="24AFOPG7793M1ZO"/>
    <s v="PIL1/D/1730"/>
    <d v="2024-12-12T00:00:00"/>
    <n v="232565.08"/>
    <n v="20"/>
    <s v="1-90 DAYS"/>
    <x v="1"/>
  </r>
  <r>
    <s v="Associate"/>
    <x v="1"/>
    <s v="Plastene Polyfilms Ltd-Sales"/>
    <s v="24AAFCP2956A1ZR"/>
    <s v="PIL1/D/1724"/>
    <d v="2024-12-12T00:00:00"/>
    <n v="949903.59"/>
    <n v="20"/>
    <s v="1-90 DAYS"/>
    <x v="1"/>
  </r>
  <r>
    <s v="Associate"/>
    <x v="1"/>
    <s v="Plastene Polyfilms Ltd-Sales"/>
    <s v="24AAFCP2956A1ZR"/>
    <s v="PIL1/D/1725"/>
    <d v="2024-12-12T00:00:00"/>
    <n v="112169.13"/>
    <n v="20"/>
    <s v="1-90 DAYS"/>
    <x v="1"/>
  </r>
  <r>
    <s v="Associate"/>
    <x v="1"/>
    <s v="Plastene Polyfilms Ltd-Sales"/>
    <s v="24AAFCP2956A1ZR"/>
    <s v="PIL1/D/1727"/>
    <d v="2024-12-12T00:00:00"/>
    <n v="295425.59999999998"/>
    <n v="20"/>
    <s v="1-90 DAYS"/>
    <x v="1"/>
  </r>
  <r>
    <s v="Associate"/>
    <x v="1"/>
    <s v="Plastene Polyfilms Ltd-Sales"/>
    <s v="24AAFCP2956A1ZR"/>
    <s v="PIL1/D/1728"/>
    <d v="2024-12-12T00:00:00"/>
    <n v="3961.8"/>
    <n v="20"/>
    <s v="1-90 DAYS"/>
    <x v="1"/>
  </r>
  <r>
    <s v="Associate"/>
    <x v="1"/>
    <s v="Plastene Polyfilms Ltd-Sales"/>
    <s v="24AAFCP2956A1ZR"/>
    <s v="PIL1/D/1729"/>
    <d v="2024-12-12T00:00:00"/>
    <n v="359273.47"/>
    <n v="20"/>
    <s v="1-90 DAYS"/>
    <x v="1"/>
  </r>
  <r>
    <s v="Associate"/>
    <x v="1"/>
    <s v="Plastene Polyfilms Ltd-Sales"/>
    <s v="24AAFCP2956A1ZR"/>
    <s v="PIL1/D/1726"/>
    <d v="2024-12-12T00:00:00"/>
    <n v="25025"/>
    <n v="20"/>
    <s v="1-90 DAYS"/>
    <x v="1"/>
  </r>
  <r>
    <s v="Domestic"/>
    <x v="0"/>
    <s v="Jain Bulk Pack - Ahmedabad"/>
    <s v="24AFOPG7793M1ZO"/>
    <s v="PIL1/D/1733"/>
    <d v="2024-12-13T00:00:00"/>
    <n v="465131.04"/>
    <n v="19"/>
    <s v="1-90 DAYS"/>
    <x v="1"/>
  </r>
  <r>
    <s v="Associate"/>
    <x v="1"/>
    <s v="Plastene Polyfilms Ltd-Sales"/>
    <s v="24AAFCP2956A1ZR"/>
    <s v="PIL1/D/1734"/>
    <d v="2024-12-13T00:00:00"/>
    <n v="332430.48"/>
    <n v="19"/>
    <s v="1-90 DAYS"/>
    <x v="1"/>
  </r>
  <r>
    <s v="Associate"/>
    <x v="1"/>
    <s v="Plastene Polyfilms Ltd-Sales"/>
    <s v="24AAFCP2956A1ZR"/>
    <s v="PIL1/D/1735"/>
    <d v="2024-12-13T00:00:00"/>
    <n v="2263.6"/>
    <n v="19"/>
    <s v="1-90 DAYS"/>
    <x v="1"/>
  </r>
  <r>
    <s v="Associate"/>
    <x v="1"/>
    <s v="Plastene Polyfilms Ltd-Sales"/>
    <s v="24AAFCP2956A1ZR"/>
    <s v="PIL1/D/1742"/>
    <d v="2024-12-14T00:00:00"/>
    <n v="411928.51"/>
    <n v="18"/>
    <s v="1-90 DAYS"/>
    <x v="1"/>
  </r>
  <r>
    <s v="Associate"/>
    <x v="1"/>
    <s v="Plastene Polyfilms Ltd-Sales"/>
    <s v="24AAFCP2956A1ZR"/>
    <s v="PIL1/D/1743"/>
    <d v="2024-12-14T00:00:00"/>
    <n v="3338.76"/>
    <n v="18"/>
    <s v="1-90 DAYS"/>
    <x v="1"/>
  </r>
  <r>
    <s v="Associate"/>
    <x v="1"/>
    <s v="Plastene Polyfilms Ltd-Sales"/>
    <s v="24AAFCP2956A1ZR"/>
    <s v="PIL1/D/1741"/>
    <d v="2024-12-14T00:00:00"/>
    <n v="33000"/>
    <n v="18"/>
    <s v="1-90 DAYS"/>
    <x v="1"/>
  </r>
  <r>
    <s v="Associate"/>
    <x v="1"/>
    <s v="Plastene Polyfilms Ltd-Sales"/>
    <s v="24AAFCP2956A1ZR"/>
    <s v="PIL1/D/1746"/>
    <d v="2024-12-15T00:00:00"/>
    <n v="272444.34000000003"/>
    <n v="17"/>
    <s v="1-90 DAYS"/>
    <x v="1"/>
  </r>
  <r>
    <s v="Domestic"/>
    <x v="0"/>
    <s v="Jain Bulk Pack - Ahmedabad"/>
    <s v="24AFOPG7793M1ZO"/>
    <s v="PIL1/D/1751"/>
    <d v="2024-12-16T00:00:00"/>
    <n v="1453535.9"/>
    <n v="16"/>
    <s v="1-90 DAYS"/>
    <x v="1"/>
  </r>
  <r>
    <s v="Associate"/>
    <x v="1"/>
    <s v="Plastene Polyfilms Ltd-Sales"/>
    <s v="24AAFCP2956A1ZR"/>
    <s v="PIL1/D/1750"/>
    <d v="2024-12-16T00:00:00"/>
    <n v="521227.32"/>
    <n v="16"/>
    <s v="1-90 DAYS"/>
    <x v="1"/>
  </r>
  <r>
    <s v="Associate"/>
    <x v="1"/>
    <s v="Plastene Polyfilms Ltd-Sales"/>
    <s v="24AAFCP2956A1ZR"/>
    <s v="PIL1/D/1753"/>
    <d v="2024-12-16T00:00:00"/>
    <n v="396112.99"/>
    <n v="16"/>
    <s v="1-90 DAYS"/>
    <x v="1"/>
  </r>
  <r>
    <s v="Associate"/>
    <x v="1"/>
    <s v="Plastene Polyfilms Ltd-Sales"/>
    <s v="24AAFCP2956A1ZR"/>
    <s v="PIL1/D/1754"/>
    <d v="2024-12-16T00:00:00"/>
    <n v="4867.04"/>
    <n v="16"/>
    <s v="1-90 DAYS"/>
    <x v="1"/>
  </r>
  <r>
    <s v="Associate"/>
    <x v="1"/>
    <s v="Plastene Polyfilms Ltd-Sales"/>
    <s v="24AAFCP2956A1ZR"/>
    <s v="PIL1/D/1757"/>
    <d v="2024-12-17T00:00:00"/>
    <n v="358416"/>
    <n v="15"/>
    <s v="1-90 DAYS"/>
    <x v="1"/>
  </r>
  <r>
    <s v="Associate"/>
    <x v="1"/>
    <s v="Plastene Polyfilms Ltd-Sales"/>
    <s v="24AAFCP2956A1ZR"/>
    <s v="PIL1/D/1758"/>
    <d v="2024-12-17T00:00:00"/>
    <n v="181122.98"/>
    <n v="15"/>
    <s v="1-90 DAYS"/>
    <x v="1"/>
  </r>
  <r>
    <s v="Associate"/>
    <x v="1"/>
    <s v="Plastene Polyfilms Ltd-Sales"/>
    <s v="24AAFCP2956A1ZR"/>
    <s v="PIL1/D/1759"/>
    <d v="2024-12-17T00:00:00"/>
    <n v="1358.36"/>
    <n v="15"/>
    <s v="1-90 DAYS"/>
    <x v="1"/>
  </r>
  <r>
    <s v="Associate"/>
    <x v="1"/>
    <s v="Plastene Polyfilms Ltd-Sales"/>
    <s v="24AAFCP2956A1ZR"/>
    <s v="PIL1/D/1760"/>
    <d v="2024-12-18T00:00:00"/>
    <n v="403194.73"/>
    <n v="14"/>
    <s v="1-90 DAYS"/>
    <x v="1"/>
  </r>
  <r>
    <s v="Associate"/>
    <x v="1"/>
    <s v="Plastene Polyfilms Ltd-Sales"/>
    <s v="24AAFCP2956A1ZR"/>
    <s v="PIL1/D/1761"/>
    <d v="2024-12-18T00:00:00"/>
    <n v="848.6"/>
    <n v="14"/>
    <s v="1-90 DAYS"/>
    <x v="1"/>
  </r>
  <r>
    <s v="Domestic"/>
    <x v="0"/>
    <s v="Jain Bulk Pack - Ahmedabad"/>
    <s v="24AFOPG7793M1ZO"/>
    <s v="PIL1/D/1766"/>
    <d v="2024-12-19T00:00:00"/>
    <n v="581414.56000000006"/>
    <n v="13"/>
    <s v="1-90 DAYS"/>
    <x v="1"/>
  </r>
  <r>
    <s v="Domestic"/>
    <x v="0"/>
    <s v="Jain Bulk Pack - Ahmedabad"/>
    <s v="24AFOPG7793M1ZO"/>
    <s v="PIL1/D/1767"/>
    <d v="2024-12-19T00:00:00"/>
    <n v="228048.26"/>
    <n v="13"/>
    <s v="1-90 DAYS"/>
    <x v="1"/>
  </r>
  <r>
    <s v="Associate"/>
    <x v="1"/>
    <s v="Plastene Polyfilms Ltd-Sales"/>
    <s v="24AAFCP2956A1ZR"/>
    <s v="PIL1/D/1763"/>
    <d v="2024-12-19T00:00:00"/>
    <n v="901994.12"/>
    <n v="13"/>
    <s v="1-90 DAYS"/>
    <x v="1"/>
  </r>
  <r>
    <s v="Associate"/>
    <x v="1"/>
    <s v="Plastene Polyfilms Ltd-Sales"/>
    <s v="24AAFCP2956A1ZR"/>
    <s v="PIL1/D/1764"/>
    <d v="2024-12-19T00:00:00"/>
    <n v="740594.11"/>
    <n v="13"/>
    <s v="1-90 DAYS"/>
    <x v="1"/>
  </r>
  <r>
    <s v="Associate"/>
    <x v="1"/>
    <s v="Plastene Polyfilms Ltd-Sales"/>
    <s v="24AAFCP2956A1ZR"/>
    <s v="PIL1/D/1765"/>
    <d v="2024-12-19T00:00:00"/>
    <n v="3621.96"/>
    <n v="13"/>
    <s v="1-90 DAYS"/>
    <x v="1"/>
  </r>
  <r>
    <s v="Domestic"/>
    <x v="0"/>
    <s v="Jain Bulk Pack - Ahmedabad"/>
    <s v="24AFOPG7793M1ZO"/>
    <s v="PIL1/D/1776"/>
    <d v="2024-12-20T00:00:00"/>
    <n v="1140239.32"/>
    <n v="12"/>
    <s v="1-90 DAYS"/>
    <x v="1"/>
  </r>
  <r>
    <s v="Associate"/>
    <x v="1"/>
    <s v="Plastene Polyfilms Ltd-Sales"/>
    <s v="24AAFCP2956A1ZR"/>
    <s v="PIL1/D/1772"/>
    <d v="2024-12-20T00:00:00"/>
    <n v="882456.6"/>
    <n v="12"/>
    <s v="1-90 DAYS"/>
    <x v="1"/>
  </r>
  <r>
    <s v="Associate"/>
    <x v="1"/>
    <s v="Plastene Polyfilms Ltd-Sales"/>
    <s v="24AAFCP2956A1ZR"/>
    <s v="PIL1/D/1773"/>
    <d v="2024-12-20T00:00:00"/>
    <n v="10356.120000000001"/>
    <n v="12"/>
    <s v="1-90 DAYS"/>
    <x v="1"/>
  </r>
  <r>
    <s v="Associate"/>
    <x v="1"/>
    <s v="Plastene Polyfilms Ltd-Sales"/>
    <s v="24AAFCP2956A1ZR"/>
    <s v="PIL1/D/1771"/>
    <d v="2024-12-20T00:00:00"/>
    <n v="73150"/>
    <n v="12"/>
    <s v="1-90 DAYS"/>
    <x v="1"/>
  </r>
  <r>
    <s v="Domestic"/>
    <x v="0"/>
    <s v="Jain Bulk Pack - Ahmedabad"/>
    <s v="24AFOPG7793M1ZO"/>
    <s v="PIL1/D/1782"/>
    <d v="2024-12-21T00:00:00"/>
    <n v="1453535.9"/>
    <n v="11"/>
    <s v="1-90 DAYS"/>
    <x v="1"/>
  </r>
  <r>
    <s v="Associate"/>
    <x v="1"/>
    <s v="Plastene Polyfilms Ltd-Sales"/>
    <s v="24AAFCP2956A1ZR"/>
    <s v="PIL1/D/1779"/>
    <d v="2024-12-21T00:00:00"/>
    <n v="56892.41"/>
    <n v="11"/>
    <s v="1-90 DAYS"/>
    <x v="1"/>
  </r>
  <r>
    <s v="Associate"/>
    <x v="1"/>
    <s v="Plastene Polyfilms Ltd-Sales"/>
    <s v="24AAFCP2956A1ZR"/>
    <s v="PIL1/D/1783"/>
    <d v="2024-12-22T00:00:00"/>
    <n v="28198.49"/>
    <n v="10"/>
    <s v="1-90 DAYS"/>
    <x v="1"/>
  </r>
  <r>
    <s v="Associate"/>
    <x v="1"/>
    <s v="Plastene Polyfilms Ltd-Sales"/>
    <s v="24AAFCP2956A1ZR"/>
    <s v="PIL1/D/1784"/>
    <d v="2024-12-22T00:00:00"/>
    <n v="472051.63"/>
    <n v="10"/>
    <s v="1-90 DAYS"/>
    <x v="1"/>
  </r>
  <r>
    <s v="Associate"/>
    <x v="1"/>
    <s v="Plastene Polyfilms Ltd-Sales"/>
    <s v="24AAFCP2956A1ZR"/>
    <s v="PIL1/D/1785"/>
    <d v="2024-12-22T00:00:00"/>
    <n v="5602.36"/>
    <n v="10"/>
    <s v="1-90 DAYS"/>
    <x v="1"/>
  </r>
  <r>
    <s v="Associate"/>
    <x v="1"/>
    <s v="Plastene Polyfilms Ltd-Sales"/>
    <s v="24AAFCP2956A1ZR"/>
    <s v="PIL1/D/1788"/>
    <d v="2024-12-23T00:00:00"/>
    <n v="359540.46"/>
    <n v="9"/>
    <s v="1-90 DAYS"/>
    <x v="1"/>
  </r>
  <r>
    <s v="Associate"/>
    <x v="1"/>
    <s v="Plastene Polyfilms Ltd-Sales"/>
    <s v="24AAFCP2956A1ZR"/>
    <s v="PIL1/D/1789"/>
    <d v="2024-12-23T00:00:00"/>
    <n v="3905.16"/>
    <n v="9"/>
    <s v="1-90 DAYS"/>
    <x v="1"/>
  </r>
  <r>
    <s v="Associate"/>
    <x v="1"/>
    <s v="Plastene Polyfilms Ltd-Sales"/>
    <s v="24AAFCP2956A1ZR"/>
    <s v="PIL1/D/1790"/>
    <d v="2024-12-23T00:00:00"/>
    <n v="612437.54"/>
    <n v="9"/>
    <s v="1-90 DAYS"/>
    <x v="1"/>
  </r>
  <r>
    <s v="Associate"/>
    <x v="1"/>
    <s v="Plastene Polyfilms Ltd-Sales"/>
    <s v="24AAFCP2956A1ZR"/>
    <s v="PIL1/D/1791"/>
    <d v="2024-12-23T00:00:00"/>
    <n v="33000"/>
    <n v="9"/>
    <s v="1-90 DAYS"/>
    <x v="1"/>
  </r>
  <r>
    <s v="Associate"/>
    <x v="1"/>
    <s v="Plastene Polyfilms Ltd-Sales"/>
    <s v="24AAFCP2956A1ZR"/>
    <s v="PIL1/D/1792"/>
    <d v="2024-12-24T00:00:00"/>
    <n v="733335.4"/>
    <n v="8"/>
    <s v="1-90 DAYS"/>
    <x v="1"/>
  </r>
  <r>
    <s v="Associate"/>
    <x v="1"/>
    <s v="Plastene Polyfilms Ltd-Sales"/>
    <s v="24AAFCP2956A1ZR"/>
    <s v="PIL1/D/1793"/>
    <d v="2024-12-24T00:00:00"/>
    <n v="848.6"/>
    <n v="8"/>
    <s v="1-90 DAYS"/>
    <x v="1"/>
  </r>
  <r>
    <s v="Associate"/>
    <x v="1"/>
    <s v="Plastene Polyfilms Ltd-Sales"/>
    <s v="24AAFCP2956A1ZR"/>
    <s v="PIL1/D/1795"/>
    <d v="2024-12-24T00:00:00"/>
    <n v="104352.9"/>
    <n v="8"/>
    <s v="1-90 DAYS"/>
    <x v="1"/>
  </r>
  <r>
    <s v="Associate"/>
    <x v="1"/>
    <s v="Plastene Polyfilms Ltd-Sales"/>
    <s v="24AAFCP2956A1ZR"/>
    <s v="PIL1/D/1796"/>
    <d v="2024-12-24T00:00:00"/>
    <n v="1301.72"/>
    <n v="8"/>
    <s v="1-90 DAYS"/>
    <x v="1"/>
  </r>
  <r>
    <s v="Domestic"/>
    <x v="0"/>
    <s v="Yash Industries"/>
    <s v="26AABFY8913B1Z9"/>
    <s v="PIL1/D/1794"/>
    <d v="2024-12-24T00:00:00"/>
    <n v="104180.08"/>
    <n v="8"/>
    <s v="1-90 DAYS"/>
    <x v="1"/>
  </r>
  <r>
    <s v="Associate"/>
    <x v="1"/>
    <s v="Plastene Polyfilms Ltd-Sales"/>
    <s v="24AAFCP2956A1ZR"/>
    <s v="PIL1/D/1797"/>
    <d v="2024-12-25T00:00:00"/>
    <n v="87108.46"/>
    <n v="7"/>
    <s v="1-90 DAYS"/>
    <x v="1"/>
  </r>
  <r>
    <s v="Associate"/>
    <x v="1"/>
    <s v="Plastene Polyfilms Ltd-Sales"/>
    <s v="24AAFCP2956A1ZR"/>
    <s v="PIL1/D/1799"/>
    <d v="2024-12-25T00:00:00"/>
    <n v="445143.22"/>
    <n v="7"/>
    <s v="1-90 DAYS"/>
    <x v="1"/>
  </r>
  <r>
    <s v="Associate"/>
    <x v="1"/>
    <s v="Plastene Polyfilms Ltd-Sales"/>
    <s v="24AAFCP2956A1ZR"/>
    <s v="PIL1/D/1800"/>
    <d v="2024-12-25T00:00:00"/>
    <n v="848.6"/>
    <n v="7"/>
    <s v="1-90 DAYS"/>
    <x v="1"/>
  </r>
  <r>
    <s v="Associate"/>
    <x v="1"/>
    <s v="Plastene Polyfilms Ltd-Sales"/>
    <s v="24AAFCP2956A1ZR"/>
    <s v="PIL1/D/1801"/>
    <d v="2024-12-25T00:00:00"/>
    <n v="21347.85"/>
    <n v="7"/>
    <s v="1-90 DAYS"/>
    <x v="1"/>
  </r>
  <r>
    <s v="Domestic"/>
    <x v="0"/>
    <s v="Jain Bulk Pack - Ahmedabad"/>
    <s v="24AFOPG7793M1ZO"/>
    <s v="PIL1/D/1809"/>
    <d v="2024-12-26T00:00:00"/>
    <n v="57012.32"/>
    <n v="6"/>
    <s v="1-90 DAYS"/>
    <x v="1"/>
  </r>
  <r>
    <s v="Associate"/>
    <x v="1"/>
    <s v="Plastene Polyfilms Ltd-Sales"/>
    <s v="24AAFCP2956A1ZR"/>
    <s v="PIL1/D/1805"/>
    <d v="2024-12-26T00:00:00"/>
    <n v="398913.32"/>
    <n v="6"/>
    <s v="1-90 DAYS"/>
    <x v="1"/>
  </r>
  <r>
    <s v="Associate"/>
    <x v="1"/>
    <s v="Plastene Polyfilms Ltd-Sales"/>
    <s v="24AAFCP2956A1ZR"/>
    <s v="PIL1/D/1806"/>
    <d v="2024-12-26T00:00:00"/>
    <n v="399316.08"/>
    <n v="6"/>
    <s v="1-90 DAYS"/>
    <x v="1"/>
  </r>
  <r>
    <s v="Associate"/>
    <x v="1"/>
    <s v="Plastene Polyfilms Ltd-Sales"/>
    <s v="24AAFCP2956A1ZR"/>
    <s v="PIL1/D/1807"/>
    <d v="2024-12-26T00:00:00"/>
    <n v="4075.08"/>
    <n v="6"/>
    <s v="1-90 DAYS"/>
    <x v="1"/>
  </r>
  <r>
    <s v="Associate"/>
    <x v="1"/>
    <s v="Plastene Polyfilms Ltd-Sales"/>
    <s v="24AAFCP2956A1ZR"/>
    <s v="PIL1/D/1810"/>
    <d v="2024-12-26T00:00:00"/>
    <n v="710783.76"/>
    <n v="6"/>
    <s v="1-90 DAYS"/>
    <x v="1"/>
  </r>
  <r>
    <s v="Associate"/>
    <x v="1"/>
    <s v="Plastene Polyfilms Ltd-Sales"/>
    <s v="24AAFCP2956A1ZR"/>
    <s v="PIL1/D/1808"/>
    <d v="2024-12-26T00:00:00"/>
    <n v="57200"/>
    <n v="6"/>
    <s v="1-90 DAYS"/>
    <x v="1"/>
  </r>
  <r>
    <s v="Domestic"/>
    <x v="0"/>
    <s v="Deepak Overseas"/>
    <s v="24AGUPS7962F1ZO"/>
    <s v="PIL1/D/1813"/>
    <d v="2024-12-27T00:00:00"/>
    <n v="935637.1"/>
    <n v="5"/>
    <s v="1-90 DAYS"/>
    <x v="1"/>
  </r>
  <r>
    <s v="Domestic"/>
    <x v="0"/>
    <s v="Jain Bulk Pack - Ahmedabad"/>
    <s v="24AFOPG7793M1ZO"/>
    <s v="PIL1/D/1814"/>
    <d v="2024-12-27T00:00:00"/>
    <n v="452322.52"/>
    <n v="5"/>
    <s v="1-90 DAYS"/>
    <x v="1"/>
  </r>
  <r>
    <s v="Domestic"/>
    <x v="0"/>
    <s v="Jain Bulk Pack - Ahmedabad"/>
    <s v="24AFOPG7793M1ZO"/>
    <s v="PIL1/D/1816"/>
    <d v="2024-12-27T00:00:00"/>
    <n v="565403.16"/>
    <n v="5"/>
    <s v="1-90 DAYS"/>
    <x v="1"/>
  </r>
  <r>
    <s v="Domestic"/>
    <x v="0"/>
    <s v="Jain Bulk Pack - Ahmedabad"/>
    <s v="24AFOPG7793M1ZO"/>
    <s v="PIL1/D/1817"/>
    <d v="2024-12-27T00:00:00"/>
    <n v="610559.16"/>
    <n v="5"/>
    <s v="1-90 DAYS"/>
    <x v="1"/>
  </r>
  <r>
    <s v="Associate"/>
    <x v="1"/>
    <s v="Plastene Polyfilms Ltd-Sales"/>
    <s v="24AAFCP2956A1ZR"/>
    <s v="PIL1/D/1815"/>
    <d v="2024-12-27T00:00:00"/>
    <n v="537624"/>
    <n v="5"/>
    <s v="1-90 DAYS"/>
    <x v="1"/>
  </r>
  <r>
    <s v="Associate"/>
    <x v="1"/>
    <s v="Plastene Polyfilms Ltd-Sales"/>
    <s v="24AAFCP2956A1ZR"/>
    <s v="PIL1/D/1818"/>
    <d v="2024-12-27T00:00:00"/>
    <n v="685882.83"/>
    <n v="5"/>
    <s v="1-90 DAYS"/>
    <x v="1"/>
  </r>
  <r>
    <s v="Associate"/>
    <x v="1"/>
    <s v="Plastene Polyfilms Ltd-Sales"/>
    <s v="24AAFCP2956A1ZR"/>
    <s v="PIL1/D/1822"/>
    <d v="2024-12-27T00:00:00"/>
    <n v="7130.64"/>
    <n v="5"/>
    <s v="1-90 DAYS"/>
    <x v="1"/>
  </r>
  <r>
    <s v="Domestic"/>
    <x v="0"/>
    <s v="Jain Bulk Pack - Ahmedabad"/>
    <s v="24AFOPG7793M1ZO"/>
    <s v="PIL1/D/1824"/>
    <d v="2024-12-28T00:00:00"/>
    <n v="232566.04"/>
    <n v="4"/>
    <s v="1-90 DAYS"/>
    <x v="1"/>
  </r>
  <r>
    <s v="Domestic"/>
    <x v="0"/>
    <s v="Jain Bulk Pack - Ahmedabad"/>
    <s v="24AFOPG7793M1ZO"/>
    <s v="PIL1/D/1829"/>
    <d v="2024-12-28T00:00:00"/>
    <n v="1221118.32"/>
    <n v="4"/>
    <s v="1-90 DAYS"/>
    <x v="1"/>
  </r>
  <r>
    <s v="Domestic"/>
    <x v="0"/>
    <s v="Jain Bulk Pack - Ahmedabad"/>
    <s v="24AFOPG7793M1ZO"/>
    <s v="PIL1/D/1830"/>
    <d v="2024-12-28T00:00:00"/>
    <n v="1221118.32"/>
    <n v="4"/>
    <s v="1-90 DAYS"/>
    <x v="1"/>
  </r>
  <r>
    <s v="Associate"/>
    <x v="1"/>
    <s v="Plastene Polyfilms Ltd-Sales"/>
    <s v="24AAFCP2956A1ZR"/>
    <s v="PIL1/D/1823"/>
    <d v="2024-12-28T00:00:00"/>
    <n v="480343.56"/>
    <n v="4"/>
    <s v="1-90 DAYS"/>
    <x v="1"/>
  </r>
  <r>
    <s v="Associate"/>
    <x v="1"/>
    <s v="Plastene Polyfilms Ltd-Sales"/>
    <s v="24AAFCP2956A1ZR"/>
    <s v="PIL1/D/1825"/>
    <d v="2024-12-28T00:00:00"/>
    <n v="21111.86"/>
    <n v="4"/>
    <s v="1-90 DAYS"/>
    <x v="1"/>
  </r>
  <r>
    <s v="Associate"/>
    <x v="1"/>
    <s v="Plastene Polyfilms Ltd-Sales"/>
    <s v="24AAFCP2956A1ZR"/>
    <s v="PIL1/D/1826"/>
    <d v="2024-12-28T00:00:00"/>
    <n v="38082"/>
    <n v="4"/>
    <s v="1-90 DAYS"/>
    <x v="1"/>
  </r>
  <r>
    <s v="Associate"/>
    <x v="1"/>
    <s v="Plastene Polyfilms Ltd-Sales"/>
    <s v="24AAFCP2956A1ZR"/>
    <s v="PIL1/D/1827"/>
    <d v="2024-12-28T00:00:00"/>
    <n v="179208"/>
    <n v="4"/>
    <s v="1-90 DAYS"/>
    <x v="1"/>
  </r>
  <r>
    <s v="Associate"/>
    <x v="1"/>
    <s v="Plastene Polyfilms Ltd-Sales"/>
    <s v="24AAFCP2956A1ZR"/>
    <s v="PIL1/D/1828"/>
    <d v="2024-12-28T00:00:00"/>
    <n v="179070.87"/>
    <n v="4"/>
    <s v="1-90 DAYS"/>
    <x v="1"/>
  </r>
  <r>
    <s v="Domestic"/>
    <x v="0"/>
    <s v="Jain Bulk Pack - Ahmedabad"/>
    <s v="24AFOPG7793M1ZO"/>
    <s v="PIL1/D/1836"/>
    <d v="2024-12-29T00:00:00"/>
    <n v="2320125.2000000002"/>
    <n v="3"/>
    <s v="1-90 DAYS"/>
    <x v="1"/>
  </r>
  <r>
    <s v="Associate"/>
    <x v="1"/>
    <s v="Plastene Polyfilms Ltd-Sales"/>
    <s v="24AAFCP2956A1ZR"/>
    <s v="PIL1/D/1832"/>
    <d v="2024-12-29T00:00:00"/>
    <n v="183556.56"/>
    <n v="3"/>
    <s v="1-90 DAYS"/>
    <x v="1"/>
  </r>
  <r>
    <s v="Associate"/>
    <x v="1"/>
    <s v="Plastene Polyfilms Ltd-Sales"/>
    <s v="24AAFCP2956A1ZR"/>
    <s v="PIL1/D/1833"/>
    <d v="2024-12-29T00:00:00"/>
    <n v="11651.19"/>
    <n v="3"/>
    <s v="1-90 DAYS"/>
    <x v="1"/>
  </r>
  <r>
    <s v="Associate"/>
    <x v="1"/>
    <s v="Plastene Polyfilms Ltd-Sales"/>
    <s v="24AAFCP2956A1ZR"/>
    <s v="PIL1/D/1834"/>
    <d v="2024-12-29T00:00:00"/>
    <n v="9734.08"/>
    <n v="3"/>
    <s v="1-90 DAYS"/>
    <x v="1"/>
  </r>
  <r>
    <s v="Associate"/>
    <x v="1"/>
    <s v="Plastene Polyfilms Ltd-Sales"/>
    <s v="24AAFCP2956A1ZR"/>
    <s v="PIL1/D/1835"/>
    <d v="2024-12-29T00:00:00"/>
    <n v="970939.16"/>
    <n v="3"/>
    <s v="1-90 DAYS"/>
    <x v="1"/>
  </r>
  <r>
    <s v="Associate"/>
    <x v="1"/>
    <s v="Plastene Polyfilms Ltd-Sales"/>
    <s v="24AAFCP2956A1ZR"/>
    <s v="PIL1/D/1831"/>
    <d v="2024-12-29T00:00:00"/>
    <n v="44275"/>
    <n v="3"/>
    <s v="1-90 DAYS"/>
    <x v="1"/>
  </r>
  <r>
    <s v="Domestic"/>
    <x v="0"/>
    <s v="Jain Bulk Pack - Ahmedabad"/>
    <s v="24AFOPG7793M1ZO"/>
    <s v="PIL1/D/1841"/>
    <d v="2024-12-30T00:00:00"/>
    <n v="2198013.7799999998"/>
    <n v="2"/>
    <s v="1-90 DAYS"/>
    <x v="1"/>
  </r>
  <r>
    <s v="Domestic"/>
    <x v="0"/>
    <s v="Jain Bulk Pack - Ahmedabad"/>
    <s v="24AFOPG7793M1ZO"/>
    <s v="PIL1/D/1842"/>
    <d v="2024-12-30T00:00:00"/>
    <n v="1465342.18"/>
    <n v="2"/>
    <s v="1-90 DAYS"/>
    <x v="1"/>
  </r>
  <r>
    <s v="Domestic"/>
    <x v="0"/>
    <s v="Jain Bulk Pack - Ahmedabad"/>
    <s v="24AFOPG7793M1ZO"/>
    <s v="PIL1/D/1843"/>
    <d v="2024-12-30T00:00:00"/>
    <n v="581414.56000000006"/>
    <n v="2"/>
    <s v="1-90 DAYS"/>
    <x v="1"/>
  </r>
  <r>
    <s v="Associate"/>
    <x v="1"/>
    <s v="Plastene Polyfilms Ltd-Sales"/>
    <s v="24AAFCP2956A1ZR"/>
    <s v="PIL1/D/1839"/>
    <d v="2024-12-30T00:00:00"/>
    <n v="732451.23"/>
    <n v="2"/>
    <s v="1-90 DAYS"/>
    <x v="1"/>
  </r>
  <r>
    <s v="Associate"/>
    <x v="1"/>
    <s v="Plastene Polyfilms Ltd-Sales"/>
    <s v="24AAFCP2956A1ZR"/>
    <s v="PIL1/D/1840"/>
    <d v="2024-12-30T00:00:00"/>
    <n v="4583.84"/>
    <n v="2"/>
    <s v="1-90 DAYS"/>
    <x v="1"/>
  </r>
  <r>
    <s v="Domestic"/>
    <x v="0"/>
    <s v="Jain Bulk Pack - Ahmedabad"/>
    <s v="24AFOPG7793M1ZO"/>
    <s v="PIL1/D/1845"/>
    <d v="2024-12-31T00:00:00"/>
    <n v="1142781.3999999999"/>
    <n v="1"/>
    <s v="1-90 DAYS"/>
    <x v="1"/>
  </r>
  <r>
    <s v="Associate"/>
    <x v="1"/>
    <s v="Plastene Polyfilms Ltd-Sales"/>
    <s v="24AAFCP2956A1ZR"/>
    <s v="PIL1/D/1846"/>
    <d v="2024-12-31T00:00:00"/>
    <n v="108677.36"/>
    <n v="1"/>
    <s v="1-90 DAYS"/>
    <x v="1"/>
  </r>
  <r>
    <s v="Associate"/>
    <x v="1"/>
    <s v="Plastene Polyfilms Ltd-Sales"/>
    <s v="24AAFCP2956A1ZR"/>
    <s v="PIL1/D/1852"/>
    <d v="2024-12-31T00:00:00"/>
    <n v="18513.38"/>
    <n v="1"/>
    <s v="1-90 DAYS"/>
    <x v="1"/>
  </r>
  <r>
    <s v="Associate"/>
    <x v="1"/>
    <s v="Plastene Polyfilms Ltd-Sales"/>
    <s v="24AAFCP2956A1ZR"/>
    <s v="PIL1/D/1857"/>
    <d v="2024-12-31T00:00:00"/>
    <n v="1021277.11"/>
    <n v="1"/>
    <s v="1-90 DAYS"/>
    <x v="1"/>
  </r>
  <r>
    <s v="Associate"/>
    <x v="1"/>
    <s v="Plastene Polyfilms Ltd-Sales"/>
    <s v="24AAFCP2956A1ZR"/>
    <s v="PIL1/D/1858"/>
    <d v="2024-12-31T00:00:00"/>
    <n v="5432.44"/>
    <n v="1"/>
    <s v="1-90 DAYS"/>
    <x v="1"/>
  </r>
  <r>
    <s v="Domestic"/>
    <x v="0"/>
    <s v="Nikhil Packagers"/>
    <s v="09APZPG7653R1ZJ"/>
    <s v="PIL2/D/785"/>
    <d v="2024-12-03T00:00:00"/>
    <n v="854786.89"/>
    <n v="29"/>
    <s v="1-90 DAYS"/>
    <x v="1"/>
  </r>
  <r>
    <s v="Associate"/>
    <x v="1"/>
    <s v="Plastene Polyfilms Ltd-Sales"/>
    <s v="24AAFCP2956A1ZR"/>
    <s v="PIL2/D/786"/>
    <d v="2024-12-04T00:00:00"/>
    <n v="899839.63"/>
    <n v="28"/>
    <s v="1-90 DAYS"/>
    <x v="1"/>
  </r>
  <r>
    <s v="Associate"/>
    <x v="1"/>
    <s v="Plastene Polyfilms Ltd-Sales"/>
    <s v="24AAFCP2956A1ZR"/>
    <s v="PIL2/D/790"/>
    <d v="2024-12-05T00:00:00"/>
    <n v="407130.24"/>
    <n v="27"/>
    <s v="1-90 DAYS"/>
    <x v="1"/>
  </r>
  <r>
    <s v="Associate"/>
    <x v="1"/>
    <s v="Plastene Polyfilms Ltd-Sales"/>
    <s v="24AAFCP2956A1ZR"/>
    <s v="PIL2/D/791"/>
    <d v="2024-12-05T00:00:00"/>
    <n v="1641.17"/>
    <n v="27"/>
    <s v="1-90 DAYS"/>
    <x v="1"/>
  </r>
  <r>
    <s v="Domestic"/>
    <x v="0"/>
    <s v="Mehjal Adhesive Tapes Pvt. Ltd. - Sales"/>
    <s v="24AAICM7843C1ZJ"/>
    <s v="PIL2/D/797"/>
    <d v="2024-12-10T00:00:00"/>
    <n v="780639.26"/>
    <n v="22"/>
    <s v="1-90 DAYS"/>
    <x v="1"/>
  </r>
  <r>
    <s v="Associate"/>
    <x v="1"/>
    <s v="Plastene Polyfilms Ltd-Sales"/>
    <s v="24AAFCP2956A1ZR"/>
    <s v="PIL2/D/798"/>
    <d v="2024-12-11T00:00:00"/>
    <n v="388749.31"/>
    <n v="21"/>
    <s v="1-90 DAYS"/>
    <x v="1"/>
  </r>
  <r>
    <s v="Associate"/>
    <x v="1"/>
    <s v="Plastene Polyfilms Ltd-Sales"/>
    <s v="24AAFCP2956A1ZR"/>
    <s v="PIL2/D/799"/>
    <d v="2024-12-11T00:00:00"/>
    <n v="4527.3599999999997"/>
    <n v="21"/>
    <s v="1-90 DAYS"/>
    <x v="1"/>
  </r>
  <r>
    <s v="Domestic"/>
    <x v="0"/>
    <s v="Rataan Fabtex Private Limited - Unit 2"/>
    <s v="24AAGCR7475P1ZL"/>
    <s v="PIL2/D/805"/>
    <d v="2024-12-12T00:00:00"/>
    <n v="41117.1"/>
    <n v="20"/>
    <s v="1-90 DAYS"/>
    <x v="1"/>
  </r>
  <r>
    <s v="Domestic"/>
    <x v="0"/>
    <s v="Coromandel International Ltd-Sarigam"/>
    <s v="24AAACC7852K1ZJ"/>
    <s v="PIL2/D/819"/>
    <d v="2024-12-17T00:00:00"/>
    <n v="1628754"/>
    <n v="15"/>
    <s v="1-90 DAYS"/>
    <x v="1"/>
  </r>
  <r>
    <s v="Domestic"/>
    <x v="0"/>
    <s v="Arysta Lifescience India Ltd"/>
    <s v="24AAACD0557C1ZB"/>
    <s v="PIL2/D/823"/>
    <d v="2024-12-18T00:00:00"/>
    <n v="92040"/>
    <n v="14"/>
    <s v="1-90 DAYS"/>
    <x v="1"/>
  </r>
  <r>
    <s v="Domestic"/>
    <x v="0"/>
    <s v="Coromandel International Ltd-Sarigam"/>
    <s v="24AAACC7852K1ZJ"/>
    <s v="PIL2/D/827"/>
    <d v="2024-12-19T00:00:00"/>
    <n v="1551328.2"/>
    <n v="13"/>
    <s v="1-90 DAYS"/>
    <x v="1"/>
  </r>
  <r>
    <s v="Associate"/>
    <x v="1"/>
    <s v="Plastene Polyfilms Ltd-Sales"/>
    <s v="24AAFCP2956A1ZR"/>
    <s v="PIL2/D/828"/>
    <d v="2024-12-19T00:00:00"/>
    <n v="521951.48"/>
    <n v="13"/>
    <s v="1-90 DAYS"/>
    <x v="1"/>
  </r>
  <r>
    <s v="Associate"/>
    <x v="1"/>
    <s v="Plastene Polyfilms Ltd-Sales"/>
    <s v="24AAFCP2956A1ZR"/>
    <s v="PIL2/D/829"/>
    <d v="2024-12-19T00:00:00"/>
    <n v="4527.3599999999997"/>
    <n v="13"/>
    <s v="1-90 DAYS"/>
    <x v="1"/>
  </r>
  <r>
    <s v="Domestic"/>
    <x v="0"/>
    <s v="Superform Chemistries Limited Jhagadia- PL85"/>
    <s v="24AADCU0994M1ZX"/>
    <s v="PIL2/D/830"/>
    <d v="2024-12-20T00:00:00"/>
    <n v="291342"/>
    <n v="12"/>
    <s v="1-90 DAYS"/>
    <x v="1"/>
  </r>
  <r>
    <s v="Associate"/>
    <x v="1"/>
    <s v="Plastene Polyfilms Ltd-Sales"/>
    <s v="24AAFCP2956A1ZR"/>
    <s v="PIL2/D/837"/>
    <d v="2024-12-22T00:00:00"/>
    <n v="597753"/>
    <n v="10"/>
    <s v="1-90 DAYS"/>
    <x v="1"/>
  </r>
  <r>
    <s v="Domestic"/>
    <x v="0"/>
    <s v="Almatis  Alumina Private Limited"/>
    <s v="19AACCA2120N1ZT"/>
    <s v="PIL2/D/839"/>
    <d v="2024-12-23T00:00:00"/>
    <n v="612276.46"/>
    <n v="9"/>
    <s v="1-90 DAYS"/>
    <x v="1"/>
  </r>
  <r>
    <s v="Domestic"/>
    <x v="0"/>
    <s v="PI Polyblendz Private Limited"/>
    <s v="24AAJCP0137B1Z0"/>
    <s v="PIL2/D/846"/>
    <d v="2024-12-25T00:00:00"/>
    <n v="680124.68"/>
    <n v="7"/>
    <s v="1-90 DAYS"/>
    <x v="1"/>
  </r>
  <r>
    <s v="Associate"/>
    <x v="1"/>
    <s v="Plastene Polyfilms Ltd-Sales"/>
    <s v="24AAFCP2956A1ZR"/>
    <s v="PIL2/D/848"/>
    <d v="2024-12-25T00:00:00"/>
    <n v="935145.07"/>
    <n v="7"/>
    <s v="1-90 DAYS"/>
    <x v="1"/>
  </r>
  <r>
    <s v="Associate"/>
    <x v="1"/>
    <s v="Plastene Polyfilms Ltd-Sales"/>
    <s v="24AAFCP2956A1ZR"/>
    <s v="PIL2/D/849"/>
    <d v="2024-12-25T00:00:00"/>
    <n v="5885.57"/>
    <n v="7"/>
    <s v="1-90 DAYS"/>
    <x v="1"/>
  </r>
  <r>
    <s v="Associate"/>
    <x v="1"/>
    <s v="Plastene Polyfilms Ltd-Sales"/>
    <s v="24AAFCP2956A1ZR"/>
    <s v="PIL2/D/857"/>
    <d v="2024-12-26T00:00:00"/>
    <n v="1490577.09"/>
    <n v="6"/>
    <s v="1-90 DAYS"/>
    <x v="1"/>
  </r>
  <r>
    <s v="Domestic"/>
    <x v="0"/>
    <s v="Superform Chemistries Limited Jhagadia- PL85"/>
    <s v="24AADCU0994M1ZX"/>
    <s v="PIL2/D/855"/>
    <d v="2024-12-26T00:00:00"/>
    <n v="1068254"/>
    <n v="6"/>
    <s v="1-90 DAYS"/>
    <x v="1"/>
  </r>
  <r>
    <s v="Associate"/>
    <x v="1"/>
    <s v="Plastene Polyfilms Ltd-Sales"/>
    <s v="24AAFCP2956A1ZR"/>
    <s v="PIL2/D/862"/>
    <d v="2024-12-28T00:00:00"/>
    <n v="2480072.4700000002"/>
    <n v="4"/>
    <s v="1-90 DAYS"/>
    <x v="1"/>
  </r>
  <r>
    <s v="Domestic"/>
    <x v="0"/>
    <s v="Jainam Straap"/>
    <s v="24BFVPS9830R2Z3"/>
    <s v="PIL2/D/867"/>
    <d v="2024-12-30T00:00:00"/>
    <n v="11918"/>
    <n v="2"/>
    <s v="1-90 DAYS"/>
    <x v="1"/>
  </r>
  <r>
    <s v="Associate"/>
    <x v="1"/>
    <s v="Plastene Polyfilms Ltd-Sales"/>
    <s v="24AAFCP2956A1ZR"/>
    <s v="PIL2/D/871"/>
    <d v="2024-12-31T00:00:00"/>
    <n v="507252.37"/>
    <n v="1"/>
    <s v="1-90 DAYS"/>
    <x v="1"/>
  </r>
  <r>
    <s v="Associate"/>
    <x v="1"/>
    <s v="Plastene Polyfilms Ltd-Sales"/>
    <s v="24AAFCP2956A1ZR"/>
    <s v="PIL2/D/872"/>
    <d v="2024-12-31T00:00:00"/>
    <n v="4527.3599999999997"/>
    <n v="1"/>
    <s v="1-90 DAYS"/>
    <x v="1"/>
  </r>
  <r>
    <s v="Associate"/>
    <x v="1"/>
    <s v="Plastene Polyfilms Ltd-Sales"/>
    <s v="24AAFCP2956A1ZR"/>
    <s v="PIL6/D/151"/>
    <d v="2024-12-10T00:00:00"/>
    <n v="668279.74"/>
    <n v="22"/>
    <s v="1-90 DAYS"/>
    <x v="1"/>
  </r>
  <r>
    <s v="Associate"/>
    <x v="1"/>
    <s v="Plastene Polyfilms Ltd-Sales"/>
    <s v="24AAFCP2956A1ZR"/>
    <s v="PIL6/D/157"/>
    <d v="2024-12-27T00:00:00"/>
    <n v="1590777.38"/>
    <n v="5"/>
    <s v="1-90 DAYS"/>
    <x v="1"/>
  </r>
  <r>
    <s v="Export"/>
    <x v="0"/>
    <s v="Fibco Plastic Industry Llc"/>
    <m/>
    <s v="PIL1/E/915/24-25"/>
    <d v="2024-12-02T00:00:00"/>
    <n v="1785361.6"/>
    <n v="30"/>
    <s v="0-120 DAYS"/>
    <x v="1"/>
  </r>
  <r>
    <s v="Export"/>
    <x v="0"/>
    <s v="Fibco Plastic Industry Llc"/>
    <m/>
    <s v="PIL1/E/916/24-25"/>
    <d v="2024-12-02T00:00:00"/>
    <n v="718920.71"/>
    <n v="30"/>
    <s v="0-120 DAYS"/>
    <x v="1"/>
  </r>
  <r>
    <s v="Export"/>
    <x v="0"/>
    <s v="FPS Flexibles Chile Spa"/>
    <m/>
    <s v="PIL1/JW/042"/>
    <d v="2024-12-03T00:00:00"/>
    <n v="3696792"/>
    <n v="29"/>
    <s v="0-120 DAYS"/>
    <x v="1"/>
  </r>
  <r>
    <s v="Export"/>
    <x v="0"/>
    <s v="Procon Pacific Llc"/>
    <m/>
    <s v="PIL1/E/918/24-25"/>
    <d v="2024-12-03T00:00:00"/>
    <n v="2442374"/>
    <n v="29"/>
    <s v="0-120 DAYS"/>
    <x v="1"/>
  </r>
  <r>
    <s v="Export"/>
    <x v="0"/>
    <s v="Procon Pacific Llc"/>
    <m/>
    <s v="PIL1/E/919/24-25"/>
    <d v="2024-12-03T00:00:00"/>
    <n v="214910.52"/>
    <n v="29"/>
    <s v="0-120 DAYS"/>
    <x v="1"/>
  </r>
  <r>
    <s v="Export"/>
    <x v="0"/>
    <s v="Comercial Pra Cafe Ltda - Manaus"/>
    <m/>
    <s v="PIL1/E/924/24-25"/>
    <d v="2024-12-05T00:00:00"/>
    <n v="2961638.68"/>
    <n v="27"/>
    <s v="0-120 DAYS"/>
    <x v="1"/>
  </r>
  <r>
    <s v="Export"/>
    <x v="0"/>
    <s v="Fibco Plastic Industry Llc"/>
    <m/>
    <s v="PIL1/E/936/24-25"/>
    <d v="2024-12-06T00:00:00"/>
    <n v="1727039.55"/>
    <n v="26"/>
    <s v="0-120 DAYS"/>
    <x v="1"/>
  </r>
  <r>
    <s v="Export"/>
    <x v="0"/>
    <s v="Fibco Plastic Industry Llc"/>
    <m/>
    <s v="PIL1/E/937/24-25"/>
    <d v="2024-12-06T00:00:00"/>
    <n v="388496.43"/>
    <n v="26"/>
    <s v="0-120 DAYS"/>
    <x v="1"/>
  </r>
  <r>
    <s v="Export"/>
    <x v="0"/>
    <s v="Fibco Plastic Industry Llc"/>
    <m/>
    <s v="PIL1/E/938/24-25"/>
    <d v="2024-12-06T00:00:00"/>
    <n v="122888.33"/>
    <n v="26"/>
    <s v="0-120 DAYS"/>
    <x v="1"/>
  </r>
  <r>
    <s v="Export"/>
    <x v="0"/>
    <s v="Comercial Pra Cafe Ltda - Manaus"/>
    <m/>
    <s v="PIL1/E/944/24-25"/>
    <d v="2024-12-07T00:00:00"/>
    <n v="2987209.16"/>
    <n v="25"/>
    <s v="0-120 DAYS"/>
    <x v="1"/>
  </r>
  <r>
    <s v="Export"/>
    <x v="0"/>
    <s v="Lionel Samson Packaging Co Pty Ltd."/>
    <m/>
    <s v="PIL1/E/947/24-25"/>
    <d v="2024-12-09T00:00:00"/>
    <n v="3213495.85"/>
    <n v="23"/>
    <s v="0-120 DAYS"/>
    <x v="1"/>
  </r>
  <r>
    <s v="Export"/>
    <x v="0"/>
    <s v="FPS Flexibles Chile Spa"/>
    <m/>
    <s v="PIL1/JW/044"/>
    <d v="2024-12-11T00:00:00"/>
    <n v="3710058.01"/>
    <n v="21"/>
    <s v="0-120 DAYS"/>
    <x v="1"/>
  </r>
  <r>
    <s v="Export"/>
    <x v="0"/>
    <s v="Lionel Samson Packaging Co Pty Ltd."/>
    <m/>
    <s v="PIL1/JW/043"/>
    <d v="2024-12-11T00:00:00"/>
    <n v="3042037.93"/>
    <n v="21"/>
    <s v="0-120 DAYS"/>
    <x v="1"/>
  </r>
  <r>
    <s v="Associate"/>
    <x v="1"/>
    <s v="Oliva Garden S.A."/>
    <m/>
    <s v="PIL1/E/955/24-25"/>
    <d v="2024-12-11T00:00:00"/>
    <n v="2912928.29"/>
    <n v="21"/>
    <s v="1-90 DAYS"/>
    <x v="1"/>
  </r>
  <r>
    <s v="Associate"/>
    <x v="1"/>
    <s v="Oliva Garden S.A."/>
    <m/>
    <s v="PIL1/E/956/24-25"/>
    <d v="2024-12-11T00:00:00"/>
    <n v="316593.28999999998"/>
    <n v="21"/>
    <s v="1-90 DAYS"/>
    <x v="1"/>
  </r>
  <r>
    <s v="Export"/>
    <x v="0"/>
    <s v="Comercial Pra Cafe Ltda - Manaus"/>
    <m/>
    <s v="PIL1/E/960/24-25"/>
    <d v="2024-12-12T00:00:00"/>
    <n v="2781024.91"/>
    <n v="20"/>
    <s v="0-120 DAYS"/>
    <x v="1"/>
  </r>
  <r>
    <s v="Export"/>
    <x v="0"/>
    <s v="Agrisac"/>
    <m/>
    <s v="PIL1/E/961/24-25"/>
    <d v="2024-12-13T00:00:00"/>
    <n v="3349804.82"/>
    <n v="19"/>
    <s v="0-120 DAYS"/>
    <x v="1"/>
  </r>
  <r>
    <s v="Export"/>
    <x v="0"/>
    <s v="Mercados Mundiales Import Export, S.A.U"/>
    <m/>
    <s v="PIL1/E/971/24-25"/>
    <d v="2024-12-16T00:00:00"/>
    <n v="3241004.38"/>
    <n v="16"/>
    <s v="0-120 DAYS"/>
    <x v="1"/>
  </r>
  <r>
    <s v="Export"/>
    <x v="0"/>
    <s v="Comercial Pra Cafe Ltda - Manaus"/>
    <m/>
    <s v="PIL1/E/978/24-25"/>
    <d v="2024-12-18T00:00:00"/>
    <n v="2994643.54"/>
    <n v="14"/>
    <s v="0-120 DAYS"/>
    <x v="1"/>
  </r>
  <r>
    <s v="Export"/>
    <x v="0"/>
    <s v="Comercial Pra Cafe Ltda - Manaus"/>
    <m/>
    <s v="PIL1/E/983/24-25"/>
    <d v="2024-12-19T00:00:00"/>
    <n v="2986093.29"/>
    <n v="13"/>
    <s v="0-120 DAYS"/>
    <x v="1"/>
  </r>
  <r>
    <s v="Export"/>
    <x v="0"/>
    <s v="Madi Sp. z.o.o."/>
    <m/>
    <s v="PIL1/E/984/24-25"/>
    <d v="2024-12-19T00:00:00"/>
    <n v="3448471.25"/>
    <n v="13"/>
    <s v="0-120 DAYS"/>
    <x v="1"/>
  </r>
  <r>
    <s v="Export"/>
    <x v="0"/>
    <s v="Madi Sp. z.o.o."/>
    <m/>
    <s v="PIL1/E/985/24-25"/>
    <d v="2024-12-19T00:00:00"/>
    <n v="402553.38"/>
    <n v="13"/>
    <s v="0-120 DAYS"/>
    <x v="1"/>
  </r>
  <r>
    <s v="Export"/>
    <x v="0"/>
    <s v="Comercial Pra Cafe Ltda - Manaus"/>
    <m/>
    <s v="PIL1/E/993/24-25"/>
    <d v="2024-12-21T00:00:00"/>
    <n v="2987573.24"/>
    <n v="11"/>
    <s v="0-120 DAYS"/>
    <x v="1"/>
  </r>
  <r>
    <s v="Export"/>
    <x v="0"/>
    <s v="Lionel Samson Packaging Co Pty Ltd."/>
    <m/>
    <s v="PIL1/E/991/24-25"/>
    <d v="2024-12-21T00:00:00"/>
    <n v="3264868.64"/>
    <n v="11"/>
    <s v="0-120 DAYS"/>
    <x v="1"/>
  </r>
  <r>
    <s v="Export"/>
    <x v="0"/>
    <s v="Comercial Pra Cafe Ltda - Manaus"/>
    <m/>
    <s v="PIL1/E/1013/24-25"/>
    <d v="2024-12-26T00:00:00"/>
    <n v="2991159.77"/>
    <n v="6"/>
    <s v="0-120 DAYS"/>
    <x v="1"/>
  </r>
  <r>
    <s v="Export"/>
    <x v="0"/>
    <s v="Comercial Pra Cafe Ltda - Manaus"/>
    <m/>
    <s v="PIL1/E/1016/24-25"/>
    <d v="2024-12-26T00:00:00"/>
    <n v="2704204.27"/>
    <n v="6"/>
    <s v="0-120 DAYS"/>
    <x v="1"/>
  </r>
  <r>
    <s v="Export"/>
    <x v="0"/>
    <s v="Concord Supply Inc."/>
    <m/>
    <s v="PIL1/E/1023/24-25"/>
    <d v="2024-12-28T00:00:00"/>
    <n v="4279229.37"/>
    <n v="4"/>
    <s v="0-120 DAYS"/>
    <x v="1"/>
  </r>
  <r>
    <s v="Export"/>
    <x v="0"/>
    <s v="Big Bags Disaka S.L."/>
    <m/>
    <s v="PIL1/E/1027/24-25"/>
    <d v="2024-12-31T00:00:00"/>
    <n v="3297738.54"/>
    <n v="1"/>
    <s v="0-120 DAYS"/>
    <x v="1"/>
  </r>
  <r>
    <s v="Export"/>
    <x v="0"/>
    <s v="Procon Pacific Llc"/>
    <m/>
    <s v="PIL2/E/387/24-25"/>
    <d v="2024-12-01T00:00:00"/>
    <n v="1653205.88"/>
    <n v="31"/>
    <s v="0-120 DAYS"/>
    <x v="1"/>
  </r>
  <r>
    <s v="Export"/>
    <x v="0"/>
    <s v="Technopac Gmbh"/>
    <m/>
    <s v="PIL2/TP/032"/>
    <d v="2024-12-01T00:00:00"/>
    <n v="2916401.2"/>
    <n v="31"/>
    <s v="0-120 DAYS"/>
    <x v="1"/>
  </r>
  <r>
    <s v="Export"/>
    <x v="0"/>
    <s v="Technopac Gmbh"/>
    <m/>
    <s v="PIL2/TP/033"/>
    <d v="2024-12-01T00:00:00"/>
    <n v="3415312.06"/>
    <n v="31"/>
    <s v="0-120 DAYS"/>
    <x v="1"/>
  </r>
  <r>
    <s v="Export"/>
    <x v="0"/>
    <s v="Cesur Usa, Llc"/>
    <m/>
    <s v="PIL2/E/388/24-25"/>
    <d v="2024-12-02T00:00:00"/>
    <n v="3170112"/>
    <n v="30"/>
    <s v="0-120 DAYS"/>
    <x v="1"/>
  </r>
  <r>
    <s v="Export"/>
    <x v="0"/>
    <s v="Fibco Plastic Industry Llc"/>
    <m/>
    <s v="PIL2/E/389/24-25"/>
    <d v="2024-12-02T00:00:00"/>
    <n v="726734.8"/>
    <n v="30"/>
    <s v="0-120 DAYS"/>
    <x v="1"/>
  </r>
  <r>
    <s v="Export"/>
    <x v="0"/>
    <s v="Fibco Plastic Industry Llc"/>
    <m/>
    <s v="PIL2/E/390/24-25"/>
    <d v="2024-12-02T00:00:00"/>
    <n v="2308421.7200000002"/>
    <n v="30"/>
    <s v="0-120 DAYS"/>
    <x v="1"/>
  </r>
  <r>
    <s v="Export"/>
    <x v="0"/>
    <s v="Codefine International SA"/>
    <m/>
    <s v="PIL2/E/392/24-25"/>
    <d v="2024-12-04T00:00:00"/>
    <n v="3214252.8"/>
    <n v="28"/>
    <s v="0-120 DAYS"/>
    <x v="1"/>
  </r>
  <r>
    <s v="Export"/>
    <x v="0"/>
    <s v="Modus Granum LLC"/>
    <m/>
    <s v="PIL2/E/391/24-25"/>
    <d v="2024-12-04T00:00:00"/>
    <n v="2177783.86"/>
    <n v="28"/>
    <s v="0-120 DAYS"/>
    <x v="1"/>
  </r>
  <r>
    <s v="Export"/>
    <x v="0"/>
    <s v="Cesur Usa, Llc"/>
    <m/>
    <s v="PIL2/E/396/24-25"/>
    <d v="2024-12-06T00:00:00"/>
    <n v="3181488"/>
    <n v="26"/>
    <s v="0-120 DAYS"/>
    <x v="1"/>
  </r>
  <r>
    <s v="Export"/>
    <x v="0"/>
    <s v="Jumbo Sack Corporation"/>
    <m/>
    <s v="PIL2/E/397/24-25"/>
    <d v="2024-12-07T00:00:00"/>
    <n v="312859.9700000002"/>
    <n v="25"/>
    <s v="0-120 DAYS"/>
    <x v="1"/>
  </r>
  <r>
    <s v="Export"/>
    <x v="0"/>
    <s v="Jumbo Sack Corporation"/>
    <m/>
    <s v="PIL2/E/398/24-25"/>
    <d v="2024-12-09T00:00:00"/>
    <n v="3086646.6"/>
    <n v="23"/>
    <s v="0-120 DAYS"/>
    <x v="1"/>
  </r>
  <r>
    <s v="Export"/>
    <x v="0"/>
    <s v="H Polesy &amp; Co Pty Ltd"/>
    <m/>
    <s v="PIL2/E/399/24-25"/>
    <d v="2024-12-11T00:00:00"/>
    <n v="3933500.48"/>
    <n v="21"/>
    <s v="0-120 DAYS"/>
    <x v="1"/>
  </r>
  <r>
    <s v="Export"/>
    <x v="0"/>
    <s v="Fibco Plastic Industry Llc"/>
    <m/>
    <s v="PIL2/E/400/24-25"/>
    <d v="2024-12-12T00:00:00"/>
    <n v="1585290.5"/>
    <n v="20"/>
    <s v="0-120 DAYS"/>
    <x v="1"/>
  </r>
  <r>
    <s v="Export"/>
    <x v="0"/>
    <s v="Fibco Plastic Industry Llc"/>
    <m/>
    <s v="PIL2/E/401/24-25"/>
    <d v="2024-12-12T00:00:00"/>
    <n v="1499303.07"/>
    <n v="20"/>
    <s v="0-120 DAYS"/>
    <x v="1"/>
  </r>
  <r>
    <s v="Export"/>
    <x v="0"/>
    <s v="Cesur Usa, Llc"/>
    <m/>
    <s v="PIL2/E/402/24-25"/>
    <d v="2024-12-13T00:00:00"/>
    <n v="3181488"/>
    <n v="19"/>
    <s v="0-120 DAYS"/>
    <x v="1"/>
  </r>
  <r>
    <s v="Export"/>
    <x v="0"/>
    <s v="Hidden Gold LLC"/>
    <m/>
    <s v="PIL2/E/403/24-25"/>
    <d v="2024-12-14T00:00:00"/>
    <n v="3672806.4"/>
    <n v="18"/>
    <s v="0-120 DAYS"/>
    <x v="1"/>
  </r>
  <r>
    <s v="Export"/>
    <x v="0"/>
    <s v="Hidden Gold LLC"/>
    <m/>
    <s v="PIL2/E/404/24-25"/>
    <d v="2024-12-15T00:00:00"/>
    <n v="3672806.4"/>
    <n v="17"/>
    <s v="0-120 DAYS"/>
    <x v="1"/>
  </r>
  <r>
    <s v="Export"/>
    <x v="0"/>
    <s v="Jumbo Sack Corporation"/>
    <m/>
    <s v="PIL2/E/406/24-25"/>
    <d v="2024-12-16T00:00:00"/>
    <n v="3085646.51"/>
    <n v="16"/>
    <s v="0-120 DAYS"/>
    <x v="1"/>
  </r>
  <r>
    <s v="Export"/>
    <x v="0"/>
    <s v="Cesur Usa, Llc"/>
    <m/>
    <s v="PIL2/TP/034"/>
    <d v="2024-12-17T00:00:00"/>
    <n v="4203473.9000000004"/>
    <n v="15"/>
    <s v="0-120 DAYS"/>
    <x v="1"/>
  </r>
  <r>
    <s v="Export"/>
    <x v="0"/>
    <s v="Technopac Gmbh"/>
    <m/>
    <s v="PIL2/E/407/24-25"/>
    <d v="2024-12-17T00:00:00"/>
    <n v="3757332.25"/>
    <n v="15"/>
    <s v="0-120 DAYS"/>
    <x v="1"/>
  </r>
  <r>
    <s v="Export"/>
    <x v="0"/>
    <s v="Juta A.S."/>
    <m/>
    <s v="PIL2/E/408/24-25"/>
    <d v="2024-12-18T00:00:00"/>
    <n v="3075716"/>
    <n v="14"/>
    <s v="0-120 DAYS"/>
    <x v="1"/>
  </r>
  <r>
    <s v="Export"/>
    <x v="0"/>
    <s v="Cesur Latam Sac"/>
    <m/>
    <s v="PIL2/E/411/24-25"/>
    <d v="2024-12-19T00:00:00"/>
    <n v="3420372.28"/>
    <n v="13"/>
    <s v="0-120 DAYS"/>
    <x v="1"/>
  </r>
  <r>
    <s v="Export"/>
    <x v="0"/>
    <s v="Fibco Plastic Industry Llc"/>
    <m/>
    <s v="PIL2/E/412/24-25"/>
    <d v="2024-12-20T00:00:00"/>
    <n v="1730579.25"/>
    <n v="12"/>
    <s v="0-120 DAYS"/>
    <x v="1"/>
  </r>
  <r>
    <s v="Export"/>
    <x v="0"/>
    <s v="Fibco Plastic Industry Llc"/>
    <m/>
    <s v="PIL2/E/413/24-25"/>
    <d v="2024-12-20T00:00:00"/>
    <n v="1452807"/>
    <n v="12"/>
    <s v="0-120 DAYS"/>
    <x v="1"/>
  </r>
  <r>
    <s v="Export"/>
    <x v="0"/>
    <s v="Fibco Plastic Industry Llc"/>
    <m/>
    <s v="PIL2/E/416/24-25"/>
    <d v="2024-12-21T00:00:00"/>
    <n v="2812506.8"/>
    <n v="11"/>
    <s v="0-120 DAYS"/>
    <x v="1"/>
  </r>
  <r>
    <s v="Export"/>
    <x v="0"/>
    <s v="Fibco Plastic Industry Llc"/>
    <m/>
    <s v="PIL2/E/417/24-25"/>
    <d v="2024-12-21T00:00:00"/>
    <n v="632985.42000000004"/>
    <n v="11"/>
    <s v="0-120 DAYS"/>
    <x v="1"/>
  </r>
  <r>
    <s v="Associate"/>
    <x v="1"/>
    <s v="Oliva Garden S.A."/>
    <m/>
    <s v="PIL2/E/415/24-25"/>
    <d v="2024-12-21T00:00:00"/>
    <n v="2957785.82"/>
    <n v="11"/>
    <s v="1-90 DAYS"/>
    <x v="1"/>
  </r>
  <r>
    <s v="Export"/>
    <x v="0"/>
    <s v="Cesur Usa, Llc"/>
    <m/>
    <s v="PIL2/E/421/24-25"/>
    <d v="2024-12-23T00:00:00"/>
    <n v="3194760"/>
    <n v="9"/>
    <s v="0-120 DAYS"/>
    <x v="1"/>
  </r>
  <r>
    <s v="Export"/>
    <x v="0"/>
    <s v="Jumbo Sack Corporation"/>
    <m/>
    <s v="PIL2/E/420/24-25"/>
    <d v="2024-12-23T00:00:00"/>
    <n v="3096837.07"/>
    <n v="9"/>
    <s v="0-120 DAYS"/>
    <x v="1"/>
  </r>
  <r>
    <s v="Export"/>
    <x v="0"/>
    <s v="Technopac Gmbh"/>
    <m/>
    <s v="PIL2/TP/035"/>
    <d v="2024-12-23T00:00:00"/>
    <n v="2767646.07"/>
    <n v="9"/>
    <s v="0-120 DAYS"/>
    <x v="1"/>
  </r>
  <r>
    <s v="Export"/>
    <x v="0"/>
    <s v="Technopac Gmbh"/>
    <m/>
    <s v="PIL2/TP/036"/>
    <d v="2024-12-24T00:00:00"/>
    <n v="3515550.65"/>
    <n v="8"/>
    <s v="0-120 DAYS"/>
    <x v="1"/>
  </r>
  <r>
    <s v="Export"/>
    <x v="0"/>
    <s v="Juta A.S."/>
    <m/>
    <s v="PIL2/E/424/24-25"/>
    <d v="2024-12-26T00:00:00"/>
    <n v="2907918"/>
    <n v="6"/>
    <s v="0-120 DAYS"/>
    <x v="1"/>
  </r>
  <r>
    <s v="Export"/>
    <x v="0"/>
    <s v="Hidden Gold LLC"/>
    <m/>
    <s v="PIL2/E/428/24-25"/>
    <d v="2024-12-27T00:00:00"/>
    <n v="3688128"/>
    <n v="5"/>
    <s v="0-120 DAYS"/>
    <x v="1"/>
  </r>
  <r>
    <s v="Export"/>
    <x v="0"/>
    <s v="Balcon Enterprises Inc."/>
    <m/>
    <s v="PIL2/E/432/24-25"/>
    <d v="2024-12-28T00:00:00"/>
    <n v="3272607"/>
    <n v="4"/>
    <s v="0-120 DAYS"/>
    <x v="1"/>
  </r>
  <r>
    <s v="Export"/>
    <x v="0"/>
    <s v="Cesur Usa, Llc"/>
    <m/>
    <s v="PIL2/E/429/24-25"/>
    <d v="2024-12-28T00:00:00"/>
    <n v="1521521.3"/>
    <n v="4"/>
    <s v="0-120 DAYS"/>
    <x v="1"/>
  </r>
  <r>
    <s v="Export"/>
    <x v="0"/>
    <s v="Hidden Gold LLC"/>
    <m/>
    <s v="PIL2/E/431/24-25"/>
    <d v="2024-12-28T00:00:00"/>
    <n v="3688128"/>
    <n v="4"/>
    <s v="0-120 DAYS"/>
    <x v="1"/>
  </r>
  <r>
    <s v="Export"/>
    <x v="0"/>
    <s v="Fibco Plastic Industry Llc"/>
    <m/>
    <s v="PIL2/E/434/24-25"/>
    <d v="2024-12-29T00:00:00"/>
    <n v="2468434.0099999998"/>
    <n v="3"/>
    <s v="0-120 DAYS"/>
    <x v="1"/>
  </r>
  <r>
    <s v="Export"/>
    <x v="0"/>
    <s v="Technopac Gmbh"/>
    <m/>
    <s v="PIL2/E/435/24-25"/>
    <d v="2024-12-31T00:00:00"/>
    <n v="2658612.15"/>
    <n v="1"/>
    <s v="0-120 DAYS"/>
    <x v="1"/>
  </r>
  <r>
    <s v="Export"/>
    <x v="0"/>
    <s v="FPS Flexibles UK Ltd"/>
    <m/>
    <s v="PIL6/E/246/24-25"/>
    <d v="2024-12-02T00:00:00"/>
    <n v="3158223.2"/>
    <n v="30"/>
    <s v="0-120 DAYS"/>
    <x v="1"/>
  </r>
  <r>
    <s v="Export"/>
    <x v="0"/>
    <s v="FPS Flexibles Irelands Ltd"/>
    <m/>
    <s v="PIL6/E/248/24-25"/>
    <d v="2024-12-05T00:00:00"/>
    <n v="3633920.03"/>
    <n v="27"/>
    <s v="0-120 DAYS"/>
    <x v="1"/>
  </r>
  <r>
    <s v="Export"/>
    <x v="0"/>
    <s v="Qpac Packaging LLP"/>
    <m/>
    <s v="PIL6/E/247/24-25"/>
    <d v="2024-12-05T00:00:00"/>
    <n v="3078385.2"/>
    <n v="27"/>
    <s v="0-120 DAYS"/>
    <x v="1"/>
  </r>
  <r>
    <s v="Export"/>
    <x v="0"/>
    <s v="Rafia Industrial S.A."/>
    <m/>
    <s v="PIL6/E/249/24-25"/>
    <d v="2024-12-06T00:00:00"/>
    <n v="3232834.8"/>
    <n v="26"/>
    <s v="0-120 DAYS"/>
    <x v="1"/>
  </r>
  <r>
    <s v="Export"/>
    <x v="0"/>
    <s v="Bluepack A/S"/>
    <m/>
    <s v="PIL6/E/252/24-25"/>
    <d v="2024-12-09T00:00:00"/>
    <n v="2866980.46"/>
    <n v="23"/>
    <s v="0-120 DAYS"/>
    <x v="1"/>
  </r>
  <r>
    <s v="Export"/>
    <x v="0"/>
    <s v="FPS Flexibles Irelands Ltd"/>
    <m/>
    <s v="PIL6/E/253/24-25"/>
    <d v="2024-12-13T00:00:00"/>
    <n v="3904461.75"/>
    <n v="19"/>
    <s v="0-120 DAYS"/>
    <x v="1"/>
  </r>
  <r>
    <s v="Export"/>
    <x v="0"/>
    <s v="Global Import"/>
    <m/>
    <s v="PIL6/E/255/24-25"/>
    <d v="2024-12-14T00:00:00"/>
    <n v="3597363.52"/>
    <n v="18"/>
    <s v="0-120 DAYS"/>
    <x v="1"/>
  </r>
  <r>
    <s v="Export"/>
    <x v="0"/>
    <s v="Rafia Industrial S.A."/>
    <m/>
    <s v="PIL6/E/254/24-25"/>
    <d v="2024-12-14T00:00:00"/>
    <n v="3232834.8"/>
    <n v="18"/>
    <s v="0-120 DAYS"/>
    <x v="1"/>
  </r>
  <r>
    <s v="Export"/>
    <x v="0"/>
    <s v="Qpac Packaging LLP"/>
    <m/>
    <s v="PIL6/E/258/24-25"/>
    <d v="2024-12-19T00:00:00"/>
    <n v="3085760.37"/>
    <n v="13"/>
    <s v="0-120 DAYS"/>
    <x v="1"/>
  </r>
  <r>
    <s v="Export"/>
    <x v="0"/>
    <s v="Rafia Industrial S.A."/>
    <m/>
    <s v="PIL6/E/259/24-25"/>
    <d v="2024-12-20T00:00:00"/>
    <n v="3246321"/>
    <n v="12"/>
    <s v="0-120 DAYS"/>
    <x v="1"/>
  </r>
  <r>
    <s v="Export"/>
    <x v="0"/>
    <s v="ELS Sacs Voladors, S.L.U"/>
    <m/>
    <s v="PIL6/E/263/24-25"/>
    <d v="2024-12-24T00:00:00"/>
    <n v="2429433"/>
    <n v="8"/>
    <s v="0-120 DAYS"/>
    <x v="1"/>
  </r>
  <r>
    <s v="Export"/>
    <x v="0"/>
    <s v="ELS Sacs Voladors, S.L.U"/>
    <m/>
    <s v="PIL6/E/264/24-25"/>
    <d v="2024-12-24T00:00:00"/>
    <n v="725898"/>
    <n v="8"/>
    <s v="0-120 DAYS"/>
    <x v="1"/>
  </r>
  <r>
    <s v="Export"/>
    <x v="0"/>
    <s v="Rafia Industrial S.A."/>
    <m/>
    <s v="PIL6/E/266/24-25"/>
    <d v="2024-12-25T00:00:00"/>
    <n v="3393122.42"/>
    <n v="7"/>
    <s v="0-120 DAYS"/>
    <x v="1"/>
  </r>
  <r>
    <s v="Export"/>
    <x v="0"/>
    <s v="Rafia Industrial S.A."/>
    <m/>
    <s v="PIL6/E/267/24-25"/>
    <d v="2024-12-25T00:00:00"/>
    <n v="3354249.47"/>
    <n v="7"/>
    <s v="0-120 DAYS"/>
    <x v="1"/>
  </r>
  <r>
    <s v="Export"/>
    <x v="0"/>
    <s v="Karapatsias Ltd"/>
    <m/>
    <s v="PIL6/E/270/24-25"/>
    <d v="2024-12-27T00:00:00"/>
    <n v="1094049.44"/>
    <n v="5"/>
    <s v="0-120 DAYS"/>
    <x v="1"/>
  </r>
  <r>
    <s v="Export"/>
    <x v="0"/>
    <s v="Karapatsias Ltd"/>
    <m/>
    <s v="PIL6/E/271/24-25"/>
    <d v="2024-12-27T00:00:00"/>
    <n v="287062.5"/>
    <n v="5"/>
    <s v="0-120 DAYS"/>
    <x v="1"/>
  </r>
  <r>
    <s v="Export"/>
    <x v="0"/>
    <s v="H Polesy &amp; Co Pty Ltd"/>
    <m/>
    <s v="PIL1/TP/036"/>
    <d v="2024-12-25T00:00:00"/>
    <n v="3937676.5"/>
    <n v="7"/>
    <s v="0-120 DAYS"/>
    <x v="1"/>
  </r>
  <r>
    <s v="Export"/>
    <x v="0"/>
    <s v="Rossi Imballaggi Srl"/>
    <m/>
    <s v="PIL1/TP/037"/>
    <d v="2024-12-30T00:00:00"/>
    <n v="3518604.41"/>
    <n v="2"/>
    <s v="0-120 DAYS"/>
    <x v="1"/>
  </r>
  <r>
    <s v="Export"/>
    <x v="0"/>
    <s v="SO Bag"/>
    <m/>
    <s v="PIL1/TP/038"/>
    <d v="2024-12-30T00:00:00"/>
    <n v="3369528.2"/>
    <n v="2"/>
    <s v="0-120 DAYS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1">
  <r>
    <x v="0"/>
    <s v="O"/>
    <x v="0"/>
    <s v="99EXPOR0000E9Z9"/>
    <s v="PIL1/TP/118/19-20"/>
    <s v="11/03/2022"/>
    <n v="3151699.2"/>
    <n v="843"/>
    <x v="0"/>
    <s v="More than 180 Days"/>
  </r>
  <r>
    <x v="0"/>
    <s v="O"/>
    <x v="1"/>
    <s v="99EXPOR0000E9Z9"/>
    <s v="PIL2/E/225/19-20"/>
    <s v="11/03/2022"/>
    <n v="3151699.2"/>
    <n v="843"/>
    <x v="0"/>
    <s v="More than 180 Days"/>
  </r>
  <r>
    <x v="0"/>
    <s v="O"/>
    <x v="2"/>
    <s v="99EXPOR0000E9Z9"/>
    <s v="PIL1/E/1114/23-24"/>
    <s v="23/01/2024"/>
    <n v="1030377.2"/>
    <n v="160"/>
    <x v="1"/>
    <s v="0-180 DAYS"/>
  </r>
  <r>
    <x v="0"/>
    <s v="O"/>
    <x v="2"/>
    <s v="99EXPOR0000E9Z9"/>
    <s v="PIL1/E/1115/23-24"/>
    <s v="23/01/2024"/>
    <n v="17681.37"/>
    <n v="160"/>
    <x v="1"/>
    <s v="0-180 DAYS"/>
  </r>
  <r>
    <x v="0"/>
    <s v="O"/>
    <x v="2"/>
    <s v="99EXPOR0000E9Z9"/>
    <s v="PIL1/E/1126/23-24"/>
    <s v="24/01/2024"/>
    <n v="1437238.08"/>
    <n v="159"/>
    <x v="1"/>
    <s v="0-180 DAYS"/>
  </r>
  <r>
    <x v="0"/>
    <s v="O"/>
    <x v="3"/>
    <s v="99EXPOR0000E9Z9"/>
    <s v="PIL2/E/379/23-24"/>
    <s v="26/01/2024"/>
    <n v="2281116.4"/>
    <n v="157"/>
    <x v="1"/>
    <s v="0-180 DAYS"/>
  </r>
  <r>
    <x v="0"/>
    <s v="O"/>
    <x v="3"/>
    <s v="99EXPOR0000E9Z9"/>
    <s v="PIL2/E/382/23-24"/>
    <s v="26/01/2024"/>
    <n v="2311013.58"/>
    <n v="157"/>
    <x v="1"/>
    <s v="0-180 DAYS"/>
  </r>
  <r>
    <x v="0"/>
    <s v="O"/>
    <x v="3"/>
    <s v="99EXPOR0000E9Z9"/>
    <s v="PIL2/E/384/23-24"/>
    <s v="30/01/2024"/>
    <n v="2943436.32"/>
    <n v="153"/>
    <x v="1"/>
    <s v="0-180 DAYS"/>
  </r>
  <r>
    <x v="0"/>
    <s v="O"/>
    <x v="3"/>
    <s v="99EXPOR0000E9Z9"/>
    <s v="PIL1/TP/046"/>
    <s v="13/01/2024"/>
    <n v="3938987.26"/>
    <n v="170"/>
    <x v="1"/>
    <s v="0-180 DAYS"/>
  </r>
  <r>
    <x v="0"/>
    <s v="O"/>
    <x v="4"/>
    <s v="99EXPOR0000E9Z9"/>
    <s v="PIL2/TP/010"/>
    <s v="16/01/2024"/>
    <n v="143304"/>
    <n v="167"/>
    <x v="1"/>
    <s v="0-180 DAYS"/>
  </r>
  <r>
    <x v="0"/>
    <s v="O"/>
    <x v="3"/>
    <s v="99EXPOR0000E9Z9"/>
    <s v="PIL2/E/389/23-24"/>
    <s v="03/02/2024"/>
    <n v="203051.26"/>
    <n v="149"/>
    <x v="1"/>
    <s v="0-180 DAYS"/>
  </r>
  <r>
    <x v="0"/>
    <s v="O"/>
    <x v="3"/>
    <s v="99EXPOR0000E9Z9"/>
    <s v="PIL2/E/390/23-24"/>
    <s v="03/02/2024"/>
    <n v="184548.86"/>
    <n v="149"/>
    <x v="1"/>
    <s v="0-180 DAYS"/>
  </r>
  <r>
    <x v="0"/>
    <s v="O"/>
    <x v="3"/>
    <s v="99EXPOR0000E9Z9"/>
    <s v="PIL2/E/391/23-24"/>
    <s v="03/02/2024"/>
    <n v="1119628.1200000001"/>
    <n v="149"/>
    <x v="1"/>
    <s v="0-180 DAYS"/>
  </r>
  <r>
    <x v="0"/>
    <s v="O"/>
    <x v="3"/>
    <s v="99EXPOR0000E9Z9"/>
    <s v="PIL2/E/392/23-24"/>
    <s v="03/02/2024"/>
    <n v="567517.02"/>
    <n v="149"/>
    <x v="1"/>
    <s v="0-180 DAYS"/>
  </r>
  <r>
    <x v="0"/>
    <s v="O"/>
    <x v="3"/>
    <s v="99EXPOR0000E9Z9"/>
    <s v="PIL2/E/393/23-24"/>
    <s v="03/02/2024"/>
    <n v="2424735.6"/>
    <n v="149"/>
    <x v="1"/>
    <s v="0-180 DAYS"/>
  </r>
  <r>
    <x v="0"/>
    <s v="O"/>
    <x v="3"/>
    <s v="99EXPOR0000E9Z9"/>
    <s v="PIL2/E/394/23-24"/>
    <s v="03/02/2024"/>
    <n v="161646.29999999999"/>
    <n v="149"/>
    <x v="1"/>
    <s v="0-180 DAYS"/>
  </r>
  <r>
    <x v="0"/>
    <s v="O"/>
    <x v="3"/>
    <s v="99EXPOR0000E9Z9"/>
    <s v="PIL2/E/400/23-24"/>
    <s v="07/02/2024"/>
    <n v="2697804"/>
    <n v="145"/>
    <x v="1"/>
    <s v="0-180 DAYS"/>
  </r>
  <r>
    <x v="0"/>
    <s v="O"/>
    <x v="5"/>
    <s v="99EXPOR0000E9Z9"/>
    <s v="PIL2/TP/014"/>
    <s v="09/02/2024"/>
    <n v="3249624.46"/>
    <n v="143"/>
    <x v="1"/>
    <s v="0-180 DAYS"/>
  </r>
  <r>
    <x v="0"/>
    <s v="O"/>
    <x v="3"/>
    <s v="99EXPOR0000E9Z9"/>
    <s v="PIL2/E/406/23-24"/>
    <s v="11/02/2024"/>
    <n v="151959.03"/>
    <n v="141"/>
    <x v="1"/>
    <s v="0-180 DAYS"/>
  </r>
  <r>
    <x v="0"/>
    <s v="O"/>
    <x v="3"/>
    <s v="99EXPOR0000E9Z9"/>
    <s v="PIL2/E/407/23-24"/>
    <s v="11/02/2024"/>
    <n v="765439.82"/>
    <n v="141"/>
    <x v="1"/>
    <s v="0-180 DAYS"/>
  </r>
  <r>
    <x v="0"/>
    <s v="O"/>
    <x v="3"/>
    <s v="99EXPOR0000E9Z9"/>
    <s v="PIL2/E/408/23-24"/>
    <s v="11/02/2024"/>
    <n v="313593"/>
    <n v="141"/>
    <x v="1"/>
    <s v="0-180 DAYS"/>
  </r>
  <r>
    <x v="0"/>
    <s v="O"/>
    <x v="3"/>
    <s v="99EXPOR0000E9Z9"/>
    <s v="PIL2/E/409/23-24"/>
    <s v="11/02/2024"/>
    <n v="322273.32"/>
    <n v="141"/>
    <x v="1"/>
    <s v="0-180 DAYS"/>
  </r>
  <r>
    <x v="0"/>
    <s v="O"/>
    <x v="3"/>
    <s v="99EXPOR0000E9Z9"/>
    <s v="PIL2/E/413/23-24"/>
    <s v="11/02/2024"/>
    <n v="207250.86"/>
    <n v="141"/>
    <x v="1"/>
    <s v="0-180 DAYS"/>
  </r>
  <r>
    <x v="0"/>
    <s v="O"/>
    <x v="3"/>
    <s v="99EXPOR0000E9Z9"/>
    <s v="PIL2/E/414/23-24"/>
    <s v="11/02/2024"/>
    <n v="286351.09999999998"/>
    <n v="141"/>
    <x v="1"/>
    <s v="0-180 DAYS"/>
  </r>
  <r>
    <x v="0"/>
    <s v="O"/>
    <x v="3"/>
    <s v="99EXPOR0000E9Z9"/>
    <s v="PIL2/E/415/23-24"/>
    <s v="12/02/2024"/>
    <n v="271037.24"/>
    <n v="140"/>
    <x v="1"/>
    <s v="0-180 DAYS"/>
  </r>
  <r>
    <x v="0"/>
    <s v="O"/>
    <x v="4"/>
    <s v="99EXPOR0000E9Z9"/>
    <s v="PIL2/E/420/23-24"/>
    <s v="18/02/2024"/>
    <n v="2519076.15"/>
    <n v="134"/>
    <x v="1"/>
    <s v="0-180 DAYS"/>
  </r>
  <r>
    <x v="0"/>
    <s v="O"/>
    <x v="3"/>
    <s v="99EXPOR0000E9Z9"/>
    <s v="PIL2/E/427/23-24"/>
    <s v="21/02/2024"/>
    <n v="71652.100000000006"/>
    <n v="131"/>
    <x v="1"/>
    <s v="0-180 DAYS"/>
  </r>
  <r>
    <x v="0"/>
    <s v="O"/>
    <x v="3"/>
    <s v="99EXPOR0000E9Z9"/>
    <s v="PIL2/E/428/23-24"/>
    <s v="21/02/2024"/>
    <n v="2520252"/>
    <n v="131"/>
    <x v="1"/>
    <s v="0-180 DAYS"/>
  </r>
  <r>
    <x v="0"/>
    <s v="O"/>
    <x v="3"/>
    <s v="99EXPOR0000E9Z9"/>
    <s v="PIL2/E/430/23-24"/>
    <s v="21/02/2024"/>
    <n v="385384.84"/>
    <n v="131"/>
    <x v="1"/>
    <s v="0-180 DAYS"/>
  </r>
  <r>
    <x v="0"/>
    <s v="O"/>
    <x v="5"/>
    <s v="99EXPOR0000E9Z9"/>
    <s v="PIL2/E/433/23-24"/>
    <s v="24/02/2024"/>
    <n v="3033180"/>
    <n v="128"/>
    <x v="1"/>
    <s v="0-180 DAYS"/>
  </r>
  <r>
    <x v="0"/>
    <s v="O"/>
    <x v="4"/>
    <s v="99EXPOR0000E9Z9"/>
    <s v="PIL2/E/437/23-24"/>
    <s v="27/02/2024"/>
    <n v="2890410.72"/>
    <n v="125"/>
    <x v="1"/>
    <s v="0-180 DAYS"/>
  </r>
  <r>
    <x v="0"/>
    <s v="O"/>
    <x v="5"/>
    <s v="99EXPOR0000E9Z9"/>
    <s v="PIL2/E/441/23-24"/>
    <s v="28/02/2024"/>
    <n v="1581988.32"/>
    <n v="124"/>
    <x v="1"/>
    <s v="0-180 DAYS"/>
  </r>
  <r>
    <x v="0"/>
    <s v="O"/>
    <x v="3"/>
    <s v="99EXPOR0000E9Z9"/>
    <s v="PIL2/E/438/23-24"/>
    <s v="28/02/2024"/>
    <n v="2692050"/>
    <n v="124"/>
    <x v="1"/>
    <s v="0-180 DAYS"/>
  </r>
  <r>
    <x v="0"/>
    <s v="O"/>
    <x v="3"/>
    <s v="99EXPOR0000E9Z9"/>
    <s v="PIL2/E/439/23-24"/>
    <s v="28/02/2024"/>
    <n v="202980.57"/>
    <n v="124"/>
    <x v="1"/>
    <s v="0-180 DAYS"/>
  </r>
  <r>
    <x v="0"/>
    <s v="O"/>
    <x v="3"/>
    <s v="99EXPOR0000E9Z9"/>
    <s v="PIL2/E/440/23-24"/>
    <s v="28/02/2024"/>
    <n v="140026.06"/>
    <n v="124"/>
    <x v="1"/>
    <s v="0-180 DAYS"/>
  </r>
  <r>
    <x v="1"/>
    <s v="O"/>
    <x v="6"/>
    <s v="23BTLPS7416R1ZT"/>
    <s v="4/22-23"/>
    <s v="02/04/2022"/>
    <n v="82517.399999999994"/>
    <n v="821"/>
    <x v="0"/>
    <s v="More than 180 Days"/>
  </r>
  <r>
    <x v="1"/>
    <s v="O"/>
    <x v="6"/>
    <s v="23BTLPS7416R1ZT"/>
    <s v="PIL2/D/6"/>
    <s v="04/04/2023"/>
    <n v="49754.7"/>
    <n v="454"/>
    <x v="0"/>
    <s v="More than 180 Days"/>
  </r>
  <r>
    <x v="1"/>
    <s v="O"/>
    <x v="7"/>
    <s v="19AACCA2120N1ZT"/>
    <s v="PIL2/D/433"/>
    <s v="02/08/2023"/>
    <n v="8928.24"/>
    <n v="334"/>
    <x v="0"/>
    <s v="More than 180 Days"/>
  </r>
  <r>
    <x v="1"/>
    <s v="O"/>
    <x v="7"/>
    <s v="19AACCA2120N1ZT"/>
    <s v="PIL2/D/637"/>
    <s v="17/09/2023"/>
    <n v="1730.83"/>
    <n v="288"/>
    <x v="0"/>
    <s v="More than 180 Days"/>
  </r>
  <r>
    <x v="1"/>
    <s v="O"/>
    <x v="8"/>
    <s v="24AAACD0557C1ZB"/>
    <n v="770"/>
    <s v="21/10/2022"/>
    <n v="14691"/>
    <n v="619"/>
    <x v="0"/>
    <s v="More than 180 Days"/>
  </r>
  <r>
    <x v="1"/>
    <s v="O"/>
    <x v="9"/>
    <s v="24AABCF1436D1ZA"/>
    <s v="PIL2/D/163"/>
    <s v="21/05/2021"/>
    <n v="81031.210000000006"/>
    <n v="1137"/>
    <x v="0"/>
    <s v="More than 180 Days"/>
  </r>
  <r>
    <x v="1"/>
    <s v="O"/>
    <x v="10"/>
    <s v="27AACFH0325B1Z5"/>
    <s v="PIL2/D/1268"/>
    <s v="18/02/2023"/>
    <n v="19519.82"/>
    <n v="499"/>
    <x v="0"/>
    <s v="More than 180 Days"/>
  </r>
  <r>
    <x v="1"/>
    <s v="O"/>
    <x v="11"/>
    <s v="24AXUPB6571E1ZD"/>
    <s v="PIL2/D/1247"/>
    <s v="08/02/2022"/>
    <n v="978730"/>
    <n v="874"/>
    <x v="0"/>
    <s v="More than 180 Days"/>
  </r>
  <r>
    <x v="1"/>
    <s v="O"/>
    <x v="11"/>
    <s v="24AXUPB6571E1ZD"/>
    <s v="PIL2/D/1251"/>
    <s v="08/02/2022"/>
    <n v="1039965"/>
    <n v="874"/>
    <x v="0"/>
    <s v="More than 180 Days"/>
  </r>
  <r>
    <x v="1"/>
    <s v="O"/>
    <x v="11"/>
    <s v="24AXUPB6571E1ZD"/>
    <s v="PIL2/D/1286"/>
    <s v="15/02/2022"/>
    <n v="1160694.02"/>
    <n v="867"/>
    <x v="0"/>
    <s v="More than 180 Days"/>
  </r>
  <r>
    <x v="1"/>
    <s v="O"/>
    <x v="11"/>
    <s v="24AXUPB6571E1ZD"/>
    <s v="PIL2/D/1310"/>
    <s v="21/02/2022"/>
    <n v="1075361.1399999999"/>
    <n v="861"/>
    <x v="0"/>
    <s v="More than 180 Days"/>
  </r>
  <r>
    <x v="1"/>
    <s v="O"/>
    <x v="12"/>
    <s v="24AZSPS3924Q1ZE"/>
    <s v="PIL2/D/161"/>
    <s v="17/05/2023"/>
    <n v="2519"/>
    <n v="411"/>
    <x v="0"/>
    <s v="More than 180 Days"/>
  </r>
  <r>
    <x v="1"/>
    <s v="O"/>
    <x v="13"/>
    <s v="09ABAFR1522K1Z9"/>
    <s v="PIL2/D/943"/>
    <s v="11/12/2023"/>
    <n v="580857.09"/>
    <n v="203"/>
    <x v="0"/>
    <s v="More than 180 Days"/>
  </r>
  <r>
    <x v="1"/>
    <s v="O"/>
    <x v="14"/>
    <s v="88INDIG0000I8Z8"/>
    <s v="PIL1/D/3487"/>
    <s v="25/01/2017"/>
    <n v="1507988"/>
    <n v="2714"/>
    <x v="0"/>
    <s v="More than 180 Days"/>
  </r>
  <r>
    <x v="1"/>
    <s v="O"/>
    <x v="14"/>
    <s v="88INDIG0000I8Z8"/>
    <s v="PIL1/D/3694"/>
    <s v="10/02/2017"/>
    <n v="2089970"/>
    <n v="2698"/>
    <x v="0"/>
    <s v="More than 180 Days"/>
  </r>
  <r>
    <x v="1"/>
    <s v="O"/>
    <x v="15"/>
    <s v="09APZPG7653R1ZJ"/>
    <s v="PIL2/D/1121"/>
    <s v="06/02/2024"/>
    <n v="144007.22"/>
    <n v="146"/>
    <x v="1"/>
    <s v="0-180 DAYS"/>
  </r>
  <r>
    <x v="1"/>
    <s v="O"/>
    <x v="15"/>
    <s v="09APZPG7653R1ZJ"/>
    <s v="PIL2/D/1170"/>
    <s v="16/02/2024"/>
    <n v="397854.5"/>
    <n v="136"/>
    <x v="1"/>
    <s v="0-180 DAYS"/>
  </r>
  <r>
    <x v="2"/>
    <s v="R"/>
    <x v="16"/>
    <s v="99EXPOR0000E9Z9"/>
    <s v="PIL2/E/285/23-24"/>
    <s v="07/12/2023"/>
    <n v="1668410.56"/>
    <n v="207"/>
    <x v="0"/>
    <s v="More than 180 Days"/>
  </r>
  <r>
    <x v="2"/>
    <s v="R"/>
    <x v="16"/>
    <s v="99EXPOR0000E9Z9"/>
    <s v="PIL1/E/1167/23-24"/>
    <s v="03/02/2024"/>
    <n v="1743955.2"/>
    <n v="149"/>
    <x v="1"/>
    <s v="0-180 DAYS"/>
  </r>
  <r>
    <x v="2"/>
    <s v="R"/>
    <x v="16"/>
    <s v="99EXPOR0000E9Z9"/>
    <s v="PIL1/E/1168/23-24"/>
    <s v="03/02/2024"/>
    <n v="1118577.6000000001"/>
    <n v="149"/>
    <x v="1"/>
    <s v="0-180 DAYS"/>
  </r>
  <r>
    <x v="2"/>
    <s v="R"/>
    <x v="16"/>
    <s v="99EXPOR0000E9Z9"/>
    <s v="PIL1/E/1169/23-24"/>
    <s v="03/02/2024"/>
    <n v="276862.75"/>
    <n v="149"/>
    <x v="1"/>
    <s v="0-180 DAYS"/>
  </r>
  <r>
    <x v="2"/>
    <s v="R"/>
    <x v="16"/>
    <s v="99EXPOR0000E9Z9"/>
    <s v="PIL1/E/1193/23-24"/>
    <s v="09/02/2024"/>
    <n v="3206825.03"/>
    <n v="143"/>
    <x v="1"/>
    <s v="0-180 DAYS"/>
  </r>
  <r>
    <x v="2"/>
    <s v="R"/>
    <x v="16"/>
    <s v="99EXPOR0000E9Z9"/>
    <s v="PIL1/E/1194/23-24"/>
    <s v="09/02/2024"/>
    <n v="179830.58"/>
    <n v="143"/>
    <x v="1"/>
    <s v="0-180 DAYS"/>
  </r>
  <r>
    <x v="2"/>
    <s v="R"/>
    <x v="16"/>
    <s v="99EXPOR0000E9Z9"/>
    <s v="PIL1/E/1217/23-24"/>
    <s v="13/02/2024"/>
    <n v="3740266.04"/>
    <n v="139"/>
    <x v="1"/>
    <s v="0-180 DAYS"/>
  </r>
  <r>
    <x v="0"/>
    <s v="O"/>
    <x v="17"/>
    <s v="99EXPOR0000E9Z9"/>
    <s v="PIL1/E/1299/23-24"/>
    <s v="06/03/2024"/>
    <n v="2640558.6"/>
    <n v="117"/>
    <x v="2"/>
    <s v="0-180 DAYS"/>
  </r>
  <r>
    <x v="0"/>
    <s v="O"/>
    <x v="18"/>
    <s v="99EXPOR0000E9Z9"/>
    <s v="PIL1/E/1310/23-24"/>
    <s v="08/03/2024"/>
    <n v="3028510.92"/>
    <n v="115"/>
    <x v="2"/>
    <s v="0-180 DAYS"/>
  </r>
  <r>
    <x v="0"/>
    <s v="O"/>
    <x v="19"/>
    <s v="99EXPOR0000E9Z9"/>
    <s v="PIL1/E/1309/23-24"/>
    <s v="08/03/2024"/>
    <n v="3077047.2"/>
    <n v="115"/>
    <x v="2"/>
    <s v="0-180 DAYS"/>
  </r>
  <r>
    <x v="0"/>
    <s v="O"/>
    <x v="17"/>
    <s v="99EXPOR0000E9Z9"/>
    <s v="PIL1/E/1308/23-24"/>
    <s v="08/03/2024"/>
    <n v="3183671.06"/>
    <n v="115"/>
    <x v="2"/>
    <s v="0-180 DAYS"/>
  </r>
  <r>
    <x v="0"/>
    <s v="O"/>
    <x v="18"/>
    <s v="99EXPOR0000E9Z9"/>
    <s v="PIL1/E/1313/23-24"/>
    <s v="10/03/2024"/>
    <n v="3154169.36"/>
    <n v="113"/>
    <x v="2"/>
    <s v="0-180 DAYS"/>
  </r>
  <r>
    <x v="0"/>
    <s v="O"/>
    <x v="20"/>
    <s v="99EXPOR0000E9Z9"/>
    <s v="PIL1/TP/023"/>
    <s v="29/07/2023"/>
    <n v="3355712.16"/>
    <n v="338"/>
    <x v="0"/>
    <s v="More than 180 Days"/>
  </r>
  <r>
    <x v="0"/>
    <s v="O"/>
    <x v="20"/>
    <s v="99EXPOR0000E9Z9"/>
    <s v="PIL1/JW/039"/>
    <s v="11/03/2024"/>
    <n v="3158754.9"/>
    <n v="112"/>
    <x v="2"/>
    <s v="0-180 DAYS"/>
  </r>
  <r>
    <x v="0"/>
    <s v="O"/>
    <x v="20"/>
    <s v="99EXPOR0000E9Z9"/>
    <s v="PIL1/JW/040"/>
    <s v="12/03/2024"/>
    <n v="3350520.1"/>
    <n v="111"/>
    <x v="2"/>
    <s v="0-180 DAYS"/>
  </r>
  <r>
    <x v="0"/>
    <s v="O"/>
    <x v="17"/>
    <s v="99EXPOR0000E9Z9"/>
    <s v="PIL1/E/1334/23-24"/>
    <s v="17/03/2024"/>
    <n v="2817990"/>
    <n v="106"/>
    <x v="2"/>
    <s v="0-180 DAYS"/>
  </r>
  <r>
    <x v="0"/>
    <s v="O"/>
    <x v="21"/>
    <s v="99EXPOR0000E9Z9"/>
    <s v="PIL1/E/1342/23-24"/>
    <s v="18/03/2024"/>
    <n v="3204806"/>
    <n v="105"/>
    <x v="2"/>
    <s v="0-180 DAYS"/>
  </r>
  <r>
    <x v="0"/>
    <s v="O"/>
    <x v="22"/>
    <s v="99EXPOR0000E9Z9"/>
    <s v="PIL1/E/1341/23-24"/>
    <s v="18/03/2024"/>
    <n v="2922151.96"/>
    <n v="105"/>
    <x v="2"/>
    <s v="0-180 DAYS"/>
  </r>
  <r>
    <x v="0"/>
    <s v="O"/>
    <x v="17"/>
    <s v="99EXPOR0000E9Z9"/>
    <s v="PIL1/E/1361/23-24"/>
    <s v="22/03/2024"/>
    <n v="2817990"/>
    <n v="101"/>
    <x v="2"/>
    <s v="0-180 DAYS"/>
  </r>
  <r>
    <x v="0"/>
    <s v="O"/>
    <x v="18"/>
    <s v="99EXPOR0000E9Z9"/>
    <s v="PIL1/E/1370/23-24"/>
    <s v="24/03/2024"/>
    <n v="3215830.08"/>
    <n v="99"/>
    <x v="2"/>
    <s v="0-180 DAYS"/>
  </r>
  <r>
    <x v="0"/>
    <s v="O"/>
    <x v="23"/>
    <s v="99EXPOR0000E9Z9"/>
    <s v="PIL1/E/1371/23-24"/>
    <s v="24/03/2024"/>
    <n v="2882826.31"/>
    <n v="99"/>
    <x v="2"/>
    <s v="0-180 DAYS"/>
  </r>
  <r>
    <x v="0"/>
    <s v="O"/>
    <x v="20"/>
    <s v="99EXPOR0000E9Z9"/>
    <s v="PIL1/JW/044"/>
    <s v="28/03/2024"/>
    <n v="3355800.02"/>
    <n v="95"/>
    <x v="2"/>
    <s v="0-180 DAYS"/>
  </r>
  <r>
    <x v="0"/>
    <s v="O"/>
    <x v="24"/>
    <s v="99EXPOR0000E9Z9"/>
    <s v="PIL1/E/1384/23-24"/>
    <s v="29/03/2024"/>
    <n v="2584207.8199999998"/>
    <n v="94"/>
    <x v="2"/>
    <s v="0-180 DAYS"/>
  </r>
  <r>
    <x v="0"/>
    <s v="O"/>
    <x v="24"/>
    <s v="99EXPOR0000E9Z9"/>
    <s v="PIL1/E/1385/23-24"/>
    <s v="29/03/2024"/>
    <n v="450025.12"/>
    <n v="94"/>
    <x v="2"/>
    <s v="0-180 DAYS"/>
  </r>
  <r>
    <x v="0"/>
    <s v="O"/>
    <x v="24"/>
    <s v="99EXPOR0000E9Z9"/>
    <s v="PIL1/E/1386/23-24"/>
    <s v="29/03/2024"/>
    <n v="73531.5"/>
    <n v="94"/>
    <x v="2"/>
    <s v="0-180 DAYS"/>
  </r>
  <r>
    <x v="0"/>
    <s v="O"/>
    <x v="24"/>
    <s v="99EXPOR0000E9Z9"/>
    <s v="PIL1/E/1387/23-24"/>
    <s v="29/03/2024"/>
    <n v="147599.28"/>
    <n v="94"/>
    <x v="2"/>
    <s v="0-180 DAYS"/>
  </r>
  <r>
    <x v="0"/>
    <s v="O"/>
    <x v="18"/>
    <s v="99EXPOR0000E9Z9"/>
    <s v="PIL1/E/1376/23-24"/>
    <s v="29/03/2024"/>
    <n v="3270894.15"/>
    <n v="94"/>
    <x v="2"/>
    <s v="0-180 DAYS"/>
  </r>
  <r>
    <x v="0"/>
    <s v="O"/>
    <x v="25"/>
    <s v="99EXPOR0000E9Z9"/>
    <s v="PIL1/E/1391/23-24"/>
    <s v="29/03/2024"/>
    <n v="3924082.52"/>
    <n v="94"/>
    <x v="2"/>
    <s v="0-180 DAYS"/>
  </r>
  <r>
    <x v="0"/>
    <s v="O"/>
    <x v="26"/>
    <s v="99EXPOR0000E9Z9"/>
    <s v="PIL1/E/1390/23-24"/>
    <s v="29/03/2024"/>
    <n v="3487607.76"/>
    <n v="94"/>
    <x v="2"/>
    <s v="0-180 DAYS"/>
  </r>
  <r>
    <x v="0"/>
    <s v="O"/>
    <x v="27"/>
    <s v="99EXPOR0000E9Z9"/>
    <s v="PIL1/E/1393/23-24"/>
    <s v="30/03/2024"/>
    <n v="2890594"/>
    <n v="93"/>
    <x v="2"/>
    <s v="0-180 DAYS"/>
  </r>
  <r>
    <x v="0"/>
    <s v="O"/>
    <x v="17"/>
    <s v="99EXPOR0000E9Z9"/>
    <s v="PIL1/E/1394/23-24"/>
    <s v="31/03/2024"/>
    <n v="3309851.04"/>
    <n v="92"/>
    <x v="2"/>
    <s v="0-180 DAYS"/>
  </r>
  <r>
    <x v="0"/>
    <s v="O"/>
    <x v="3"/>
    <s v="99EXPOR0000E9Z9"/>
    <s v="PIL2/E/445/23-24"/>
    <s v="01/03/2024"/>
    <n v="407979.15"/>
    <n v="122"/>
    <x v="1"/>
    <s v="0-180 DAYS"/>
  </r>
  <r>
    <x v="0"/>
    <s v="O"/>
    <x v="3"/>
    <s v="99EXPOR0000E9Z9"/>
    <s v="PIL2/E/446/23-24"/>
    <s v="01/03/2024"/>
    <n v="1075594.3999999999"/>
    <n v="122"/>
    <x v="1"/>
    <s v="0-180 DAYS"/>
  </r>
  <r>
    <x v="0"/>
    <s v="O"/>
    <x v="3"/>
    <s v="99EXPOR0000E9Z9"/>
    <s v="PIL2/E/447/23-24"/>
    <s v="01/03/2024"/>
    <n v="336140.46"/>
    <n v="122"/>
    <x v="1"/>
    <s v="0-180 DAYS"/>
  </r>
  <r>
    <x v="0"/>
    <s v="O"/>
    <x v="4"/>
    <s v="99EXPOR0000E9Z9"/>
    <s v="PIL2/TP/015"/>
    <s v="01/03/2024"/>
    <n v="3195115.4"/>
    <n v="122"/>
    <x v="1"/>
    <s v="0-180 DAYS"/>
  </r>
  <r>
    <x v="0"/>
    <s v="O"/>
    <x v="4"/>
    <s v="99EXPOR0000E9Z9"/>
    <s v="PIL2/E/454/23-24"/>
    <s v="05/03/2024"/>
    <n v="2592197.91"/>
    <n v="118"/>
    <x v="2"/>
    <s v="0-180 DAYS"/>
  </r>
  <r>
    <x v="0"/>
    <s v="O"/>
    <x v="28"/>
    <s v="99EXPOR0000E9Z9"/>
    <s v="PIL2/E/455/23-24"/>
    <s v="06/03/2024"/>
    <n v="612913.04"/>
    <n v="117"/>
    <x v="2"/>
    <s v="0-180 DAYS"/>
  </r>
  <r>
    <x v="0"/>
    <s v="O"/>
    <x v="23"/>
    <s v="99EXPOR0000E9Z9"/>
    <s v="PIL2/E/456/23-24"/>
    <s v="06/03/2024"/>
    <n v="2921534.75"/>
    <n v="117"/>
    <x v="2"/>
    <s v="0-180 DAYS"/>
  </r>
  <r>
    <x v="0"/>
    <s v="O"/>
    <x v="29"/>
    <s v="99EXPOR0000E9Z9"/>
    <s v="PIL2/E/458/23-24"/>
    <s v="08/03/2024"/>
    <n v="2871705.6000000001"/>
    <n v="115"/>
    <x v="2"/>
    <s v="0-180 DAYS"/>
  </r>
  <r>
    <x v="0"/>
    <s v="O"/>
    <x v="5"/>
    <s v="99EXPOR0000E9Z9"/>
    <s v="PIL2/E/461/23-24"/>
    <s v="09/03/2024"/>
    <n v="3092712"/>
    <n v="114"/>
    <x v="2"/>
    <s v="0-180 DAYS"/>
  </r>
  <r>
    <x v="0"/>
    <s v="O"/>
    <x v="29"/>
    <s v="99EXPOR0000E9Z9"/>
    <s v="PIL2/E/467/23-24"/>
    <s v="14/03/2024"/>
    <n v="2990458"/>
    <n v="109"/>
    <x v="2"/>
    <s v="0-180 DAYS"/>
  </r>
  <r>
    <x v="0"/>
    <s v="O"/>
    <x v="4"/>
    <s v="99EXPOR0000E9Z9"/>
    <s v="PIL2/E/468/23-24"/>
    <s v="14/03/2024"/>
    <n v="3739703.13"/>
    <n v="109"/>
    <x v="2"/>
    <s v="0-180 DAYS"/>
  </r>
  <r>
    <x v="0"/>
    <s v="O"/>
    <x v="4"/>
    <s v="99EXPOR0000E9Z9"/>
    <s v="PIL2/TP/016"/>
    <s v="14/03/2024"/>
    <n v="3331320.03"/>
    <n v="109"/>
    <x v="2"/>
    <s v="0-180 DAYS"/>
  </r>
  <r>
    <x v="0"/>
    <s v="O"/>
    <x v="3"/>
    <s v="99EXPOR0000E9Z9"/>
    <s v="PIL2/E/469/23-24"/>
    <s v="15/03/2024"/>
    <n v="433747.20000000001"/>
    <n v="108"/>
    <x v="2"/>
    <s v="0-180 DAYS"/>
  </r>
  <r>
    <x v="0"/>
    <s v="O"/>
    <x v="3"/>
    <s v="99EXPOR0000E9Z9"/>
    <s v="PIL2/E/470/23-24"/>
    <s v="15/03/2024"/>
    <n v="500036"/>
    <n v="108"/>
    <x v="2"/>
    <s v="0-180 DAYS"/>
  </r>
  <r>
    <x v="0"/>
    <s v="O"/>
    <x v="3"/>
    <s v="99EXPOR0000E9Z9"/>
    <s v="PIL2/E/471/23-24"/>
    <s v="15/03/2024"/>
    <n v="1244056.44"/>
    <n v="108"/>
    <x v="2"/>
    <s v="0-180 DAYS"/>
  </r>
  <r>
    <x v="0"/>
    <s v="O"/>
    <x v="30"/>
    <s v="99EXPOR0000E9Z9"/>
    <s v="PIL2/E/474/23-24"/>
    <s v="18/03/2024"/>
    <n v="1261877.3"/>
    <n v="105"/>
    <x v="2"/>
    <s v="0-180 DAYS"/>
  </r>
  <r>
    <x v="0"/>
    <s v="O"/>
    <x v="17"/>
    <s v="99EXPOR0000E9Z9"/>
    <s v="PIL2/E/476/23-24"/>
    <s v="18/03/2024"/>
    <n v="3088500"/>
    <n v="105"/>
    <x v="2"/>
    <s v="0-180 DAYS"/>
  </r>
  <r>
    <x v="0"/>
    <s v="O"/>
    <x v="31"/>
    <s v="99EXPOR0000E9Z9"/>
    <s v="PIL2/E/477/23-24"/>
    <s v="20/03/2024"/>
    <n v="3092712"/>
    <n v="103"/>
    <x v="2"/>
    <s v="0-180 DAYS"/>
  </r>
  <r>
    <x v="0"/>
    <s v="O"/>
    <x v="32"/>
    <s v="99EXPOR0000E9Z9"/>
    <s v="PIL2/E/478/23-24"/>
    <s v="20/03/2024"/>
    <n v="1808305.5499999998"/>
    <n v="103"/>
    <x v="2"/>
    <s v="0-180 DAYS"/>
  </r>
  <r>
    <x v="0"/>
    <s v="O"/>
    <x v="4"/>
    <s v="99EXPOR0000E9Z9"/>
    <s v="PIL2/E/479/23-24"/>
    <s v="21/03/2024"/>
    <n v="2764278.5"/>
    <n v="102"/>
    <x v="2"/>
    <s v="0-180 DAYS"/>
  </r>
  <r>
    <x v="0"/>
    <s v="O"/>
    <x v="31"/>
    <s v="99EXPOR0000E9Z9"/>
    <s v="PIL2/E/481/23-24"/>
    <s v="22/03/2024"/>
    <n v="3171157.3"/>
    <n v="101"/>
    <x v="2"/>
    <s v="0-180 DAYS"/>
  </r>
  <r>
    <x v="0"/>
    <s v="O"/>
    <x v="29"/>
    <s v="99EXPOR0000E9Z9"/>
    <s v="PIL2/E/482/23-24"/>
    <s v="23/03/2024"/>
    <n v="2456064"/>
    <n v="100"/>
    <x v="2"/>
    <s v="0-180 DAYS"/>
  </r>
  <r>
    <x v="0"/>
    <s v="O"/>
    <x v="17"/>
    <s v="99EXPOR0000E9Z9"/>
    <s v="PIL2/E/483/23-24"/>
    <s v="26/03/2024"/>
    <n v="3116877.81"/>
    <n v="97"/>
    <x v="2"/>
    <s v="0-180 DAYS"/>
  </r>
  <r>
    <x v="0"/>
    <s v="O"/>
    <x v="3"/>
    <s v="99EXPOR0000E9Z9"/>
    <s v="PIL2/E/486/23-24"/>
    <s v="29/03/2024"/>
    <n v="1486542.91"/>
    <n v="94"/>
    <x v="2"/>
    <s v="0-180 DAYS"/>
  </r>
  <r>
    <x v="0"/>
    <s v="O"/>
    <x v="3"/>
    <s v="99EXPOR0000E9Z9"/>
    <s v="PIL2/E/487/23-24"/>
    <s v="29/03/2024"/>
    <n v="359073.9"/>
    <n v="94"/>
    <x v="2"/>
    <s v="0-180 DAYS"/>
  </r>
  <r>
    <x v="0"/>
    <s v="O"/>
    <x v="3"/>
    <s v="99EXPOR0000E9Z9"/>
    <s v="PIL2/E/488/23-24"/>
    <s v="29/03/2024"/>
    <n v="332107.40999999997"/>
    <n v="94"/>
    <x v="2"/>
    <s v="0-180 DAYS"/>
  </r>
  <r>
    <x v="0"/>
    <s v="O"/>
    <x v="33"/>
    <s v="99EXPOR0000E9Z9"/>
    <s v="PIL2/E/489/23-24"/>
    <s v="30/03/2024"/>
    <n v="1551531"/>
    <n v="93"/>
    <x v="2"/>
    <s v="0-180 DAYS"/>
  </r>
  <r>
    <x v="0"/>
    <s v="O"/>
    <x v="33"/>
    <s v="99EXPOR0000E9Z9"/>
    <s v="PIL2/E/490/23-24"/>
    <s v="30/03/2024"/>
    <n v="3432786"/>
    <n v="93"/>
    <x v="2"/>
    <s v="0-180 DAYS"/>
  </r>
  <r>
    <x v="0"/>
    <s v="O"/>
    <x v="3"/>
    <s v="99EXPOR0000E9Z9"/>
    <s v="PIL2/E/491/23-24"/>
    <s v="30/03/2024"/>
    <n v="631926.75"/>
    <n v="93"/>
    <x v="2"/>
    <s v="0-180 DAYS"/>
  </r>
  <r>
    <x v="0"/>
    <s v="O"/>
    <x v="3"/>
    <s v="99EXPOR0000E9Z9"/>
    <s v="PIL2/E/492/23-24"/>
    <s v="30/03/2024"/>
    <n v="32065.99"/>
    <n v="93"/>
    <x v="2"/>
    <s v="0-180 DAYS"/>
  </r>
  <r>
    <x v="0"/>
    <s v="O"/>
    <x v="3"/>
    <s v="99EXPOR0000E9Z9"/>
    <s v="PIL2/E/493/23-24"/>
    <s v="30/03/2024"/>
    <n v="602359.53"/>
    <n v="93"/>
    <x v="2"/>
    <s v="0-180 DAYS"/>
  </r>
  <r>
    <x v="0"/>
    <s v="O"/>
    <x v="3"/>
    <s v="99EXPOR0000E9Z9"/>
    <s v="PIL2/E/494/23-24"/>
    <s v="30/03/2024"/>
    <n v="1066424.71"/>
    <n v="93"/>
    <x v="2"/>
    <s v="0-180 DAYS"/>
  </r>
  <r>
    <x v="0"/>
    <s v="O"/>
    <x v="34"/>
    <s v="99EXPOR0000E9Z9"/>
    <s v="PIL2/E/495/23-24"/>
    <s v="31/03/2024"/>
    <n v="3183075"/>
    <n v="92"/>
    <x v="2"/>
    <s v="0-180 DAYS"/>
  </r>
  <r>
    <x v="0"/>
    <s v="O"/>
    <x v="35"/>
    <s v="99EXPOR0000E9Z9"/>
    <s v="PIL6/E/291/23-24"/>
    <s v="06/03/2024"/>
    <n v="3699164.4"/>
    <n v="117"/>
    <x v="2"/>
    <s v="0-180 DAYS"/>
  </r>
  <r>
    <x v="0"/>
    <s v="O"/>
    <x v="29"/>
    <s v="99EXPOR0000E9Z9"/>
    <s v="PIL6/E/296/23-24"/>
    <s v="11/03/2024"/>
    <n v="3144864"/>
    <n v="112"/>
    <x v="2"/>
    <s v="0-180 DAYS"/>
  </r>
  <r>
    <x v="0"/>
    <s v="O"/>
    <x v="29"/>
    <s v="99EXPOR0000E9Z9"/>
    <s v="PIL6/E/298/23-24"/>
    <s v="11/03/2024"/>
    <n v="3209742.4"/>
    <n v="112"/>
    <x v="2"/>
    <s v="0-180 DAYS"/>
  </r>
  <r>
    <x v="0"/>
    <s v="O"/>
    <x v="35"/>
    <s v="99EXPOR0000E9Z9"/>
    <s v="PIL6/E/302/23-24"/>
    <s v="18/03/2024"/>
    <n v="3342455.3"/>
    <n v="105"/>
    <x v="2"/>
    <s v="0-180 DAYS"/>
  </r>
  <r>
    <x v="0"/>
    <s v="O"/>
    <x v="26"/>
    <s v="99EXPOR0000E9Z9"/>
    <s v="PIL6/E/307/23-24"/>
    <s v="21/03/2024"/>
    <n v="3485053.86"/>
    <n v="102"/>
    <x v="2"/>
    <s v="0-180 DAYS"/>
  </r>
  <r>
    <x v="0"/>
    <s v="O"/>
    <x v="36"/>
    <s v="99EXPOR0000E9Z9"/>
    <s v="PIL6/E/310/23-24"/>
    <s v="27/03/2024"/>
    <n v="1688880.38"/>
    <n v="96"/>
    <x v="2"/>
    <s v="0-180 DAYS"/>
  </r>
  <r>
    <x v="0"/>
    <s v="O"/>
    <x v="36"/>
    <s v="99EXPOR0000E9Z9"/>
    <s v="PIL6/E/311/23-24"/>
    <s v="27/03/2024"/>
    <n v="1138669"/>
    <n v="96"/>
    <x v="2"/>
    <s v="0-180 DAYS"/>
  </r>
  <r>
    <x v="0"/>
    <s v="O"/>
    <x v="20"/>
    <s v="99EXPOR0000E9Z9"/>
    <s v="PIL1/TP/052"/>
    <s v="05/03/2024"/>
    <n v="4118302.22"/>
    <n v="118"/>
    <x v="2"/>
    <s v="0-180 DAYS"/>
  </r>
  <r>
    <x v="0"/>
    <s v="O"/>
    <x v="19"/>
    <s v="99EXPOR0000E9Z9"/>
    <s v="PIL1/TP/055"/>
    <s v="18/03/2024"/>
    <n v="3244165.3"/>
    <n v="105"/>
    <x v="2"/>
    <s v="0-180 DAYS"/>
  </r>
  <r>
    <x v="0"/>
    <s v="O"/>
    <x v="20"/>
    <s v="99EXPOR0000E9Z9"/>
    <s v="PIL1/TP/056"/>
    <s v="19/03/2024"/>
    <n v="4254560"/>
    <n v="104"/>
    <x v="2"/>
    <s v="0-180 DAYS"/>
  </r>
  <r>
    <x v="1"/>
    <s v="O"/>
    <x v="37"/>
    <s v="27AACCA5046P2ZC"/>
    <s v="PIL1/D/1801"/>
    <s v="03/03/2024"/>
    <n v="3112"/>
    <n v="120"/>
    <x v="3"/>
    <s v="0-180 DAYS"/>
  </r>
  <r>
    <x v="1"/>
    <s v="O"/>
    <x v="38"/>
    <s v="24AFOPG7793M1ZO"/>
    <s v="PIL1/D/1802"/>
    <s v="04/03/2024"/>
    <n v="1833981.96"/>
    <n v="119"/>
    <x v="3"/>
    <s v="0-180 DAYS"/>
  </r>
  <r>
    <x v="1"/>
    <s v="O"/>
    <x v="38"/>
    <s v="24AFOPG7793M1ZO"/>
    <s v="PIL1/D/1803"/>
    <s v="04/03/2024"/>
    <n v="596907.72"/>
    <n v="119"/>
    <x v="3"/>
    <s v="0-180 DAYS"/>
  </r>
  <r>
    <x v="1"/>
    <s v="O"/>
    <x v="38"/>
    <s v="24AFOPG7793M1ZO"/>
    <s v="PIL1/D/1807"/>
    <s v="04/03/2024"/>
    <n v="350205.12"/>
    <n v="119"/>
    <x v="3"/>
    <s v="0-180 DAYS"/>
  </r>
  <r>
    <x v="1"/>
    <s v="O"/>
    <x v="38"/>
    <s v="24AFOPG7793M1ZO"/>
    <s v="PIL1/D/1832"/>
    <s v="09/03/2024"/>
    <n v="520514.52"/>
    <n v="114"/>
    <x v="3"/>
    <s v="0-180 DAYS"/>
  </r>
  <r>
    <x v="1"/>
    <s v="O"/>
    <x v="38"/>
    <s v="24AFOPG7793M1ZO"/>
    <s v="PIL1/D/1833"/>
    <s v="09/03/2024"/>
    <n v="1167350.3999999999"/>
    <n v="114"/>
    <x v="3"/>
    <s v="0-180 DAYS"/>
  </r>
  <r>
    <x v="1"/>
    <s v="O"/>
    <x v="38"/>
    <s v="24AFOPG7793M1ZO"/>
    <s v="PIL1/D/1845"/>
    <s v="11/03/2024"/>
    <n v="208205.8"/>
    <n v="112"/>
    <x v="3"/>
    <s v="0-180 DAYS"/>
  </r>
  <r>
    <x v="1"/>
    <s v="O"/>
    <x v="38"/>
    <s v="24AFOPG7793M1ZO"/>
    <s v="PIL1/D/1938"/>
    <s v="28/03/2024"/>
    <n v="978123.72"/>
    <n v="95"/>
    <x v="3"/>
    <s v="0-180 DAYS"/>
  </r>
  <r>
    <x v="1"/>
    <s v="O"/>
    <x v="38"/>
    <s v="24AFOPG7793M1ZO"/>
    <s v="PIL1/D/1939"/>
    <s v="28/03/2024"/>
    <n v="1167350.3999999999"/>
    <n v="95"/>
    <x v="3"/>
    <s v="0-180 DAYS"/>
  </r>
  <r>
    <x v="1"/>
    <s v="O"/>
    <x v="38"/>
    <s v="24AFOPG7793M1ZO"/>
    <s v="PIL1/D/1941"/>
    <s v="29/03/2024"/>
    <n v="1833983.74"/>
    <n v="94"/>
    <x v="3"/>
    <s v="0-180 DAYS"/>
  </r>
  <r>
    <x v="1"/>
    <s v="O"/>
    <x v="38"/>
    <s v="24AFOPG7793M1ZO"/>
    <s v="PIL1/D/1947"/>
    <s v="30/03/2024"/>
    <n v="1222654.6399999999"/>
    <n v="93"/>
    <x v="3"/>
    <s v="0-180 DAYS"/>
  </r>
  <r>
    <x v="1"/>
    <s v="O"/>
    <x v="38"/>
    <s v="24AFOPG7793M1ZO"/>
    <s v="PIL1/D/1948"/>
    <s v="30/03/2024"/>
    <n v="2445309.2799999998"/>
    <n v="93"/>
    <x v="3"/>
    <s v="0-180 DAYS"/>
  </r>
  <r>
    <x v="1"/>
    <s v="O"/>
    <x v="38"/>
    <s v="24AFOPG7793M1ZO"/>
    <s v="PIL1/D/1953"/>
    <s v="31/03/2024"/>
    <n v="350205.12"/>
    <n v="92"/>
    <x v="3"/>
    <s v="0-180 DAYS"/>
  </r>
  <r>
    <x v="1"/>
    <s v="O"/>
    <x v="38"/>
    <s v="24AFOPG7793M1ZO"/>
    <s v="PIL1/D/1954"/>
    <s v="31/03/2024"/>
    <n v="1167350.3999999999"/>
    <n v="92"/>
    <x v="3"/>
    <s v="0-180 DAYS"/>
  </r>
  <r>
    <x v="1"/>
    <s v="O"/>
    <x v="38"/>
    <s v="24AFOPG7793M1ZO"/>
    <s v="PIL1/D/1955"/>
    <s v="31/03/2024"/>
    <n v="1833983.74"/>
    <n v="92"/>
    <x v="3"/>
    <s v="0-180 DAYS"/>
  </r>
  <r>
    <x v="1"/>
    <s v="O"/>
    <x v="38"/>
    <s v="24AFOPG7793M1ZO"/>
    <s v="PIL1/D/1956"/>
    <s v="31/03/2024"/>
    <n v="2445309.2799999998"/>
    <n v="92"/>
    <x v="3"/>
    <s v="0-180 DAYS"/>
  </r>
  <r>
    <x v="1"/>
    <s v="O"/>
    <x v="15"/>
    <s v="09APZPG7653R1ZJ"/>
    <s v="PIL2/D/1270"/>
    <s v="13/03/2024"/>
    <n v="657971.59"/>
    <n v="110"/>
    <x v="3"/>
    <s v="0-180 DAYS"/>
  </r>
  <r>
    <x v="2"/>
    <s v="R"/>
    <x v="16"/>
    <s v="99EXPOR0000E9Z9"/>
    <s v="PIL1/E/1333/23-24"/>
    <s v="17/03/2024"/>
    <n v="3051802.2"/>
    <n v="106"/>
    <x v="3"/>
    <s v="0-180 DAYS"/>
  </r>
  <r>
    <x v="0"/>
    <s v="O"/>
    <x v="17"/>
    <s v="99EXPOR0000E9Z9"/>
    <s v="PIL1/E/17/24-25"/>
    <s v="04/04/2024"/>
    <n v="2934700.75"/>
    <n v="88"/>
    <x v="2"/>
    <s v="0-180 DAYS"/>
  </r>
  <r>
    <x v="0"/>
    <s v="O"/>
    <x v="20"/>
    <s v="99EXPOR0000E9Z9"/>
    <s v="PIL1/JW/001"/>
    <s v="06/04/2024"/>
    <n v="3634371.15"/>
    <n v="86"/>
    <x v="2"/>
    <s v="0-180 DAYS"/>
  </r>
  <r>
    <x v="0"/>
    <s v="O"/>
    <x v="20"/>
    <s v="99EXPOR0000E9Z9"/>
    <s v="PIL1/JW/002"/>
    <s v="10/04/2024"/>
    <n v="3370080.07"/>
    <n v="82"/>
    <x v="2"/>
    <s v="0-180 DAYS"/>
  </r>
  <r>
    <x v="0"/>
    <s v="O"/>
    <x v="20"/>
    <s v="99EXPOR0000E9Z9"/>
    <s v="PIL1/JW/003"/>
    <s v="11/04/2024"/>
    <n v="3228003.87"/>
    <n v="81"/>
    <x v="2"/>
    <s v="0-180 DAYS"/>
  </r>
  <r>
    <x v="0"/>
    <s v="O"/>
    <x v="18"/>
    <s v="99EXPOR0000E9Z9"/>
    <s v="PIL1/E/46/24-25"/>
    <s v="12/04/2024"/>
    <n v="3102536.95"/>
    <n v="80"/>
    <x v="2"/>
    <s v="0-180 DAYS"/>
  </r>
  <r>
    <x v="0"/>
    <s v="O"/>
    <x v="17"/>
    <s v="99EXPOR0000E9Z9"/>
    <s v="PIL1/E/52/24-25"/>
    <s v="13/04/2024"/>
    <n v="2914002"/>
    <n v="79"/>
    <x v="2"/>
    <s v="0-180 DAYS"/>
  </r>
  <r>
    <x v="0"/>
    <s v="O"/>
    <x v="39"/>
    <s v="99EXPOR0000E9Z9"/>
    <s v="PIL1/E/60/24-25"/>
    <s v="16/04/2024"/>
    <n v="1757844.25"/>
    <n v="76"/>
    <x v="2"/>
    <s v="0-180 DAYS"/>
  </r>
  <r>
    <x v="0"/>
    <s v="O"/>
    <x v="20"/>
    <s v="99EXPOR0000E9Z9"/>
    <s v="PIL1/JW/004"/>
    <s v="16/04/2024"/>
    <n v="4573272.93"/>
    <n v="76"/>
    <x v="2"/>
    <s v="0-180 DAYS"/>
  </r>
  <r>
    <x v="0"/>
    <s v="O"/>
    <x v="40"/>
    <s v="99EXPOR0000E9Z9"/>
    <s v="PIL1/E/64/24-25"/>
    <s v="17/04/2024"/>
    <n v="282899.96000000002"/>
    <n v="75"/>
    <x v="2"/>
    <s v="0-180 DAYS"/>
  </r>
  <r>
    <x v="0"/>
    <s v="O"/>
    <x v="20"/>
    <s v="99EXPOR0000E9Z9"/>
    <s v="PIL1/E/69/24-25"/>
    <s v="19/04/2024"/>
    <n v="2135727.5"/>
    <n v="73"/>
    <x v="2"/>
    <s v="0-180 DAYS"/>
  </r>
  <r>
    <x v="0"/>
    <s v="O"/>
    <x v="25"/>
    <s v="99EXPOR0000E9Z9"/>
    <s v="PIL1/E/82/24-25"/>
    <s v="22/04/2024"/>
    <n v="3934577.37"/>
    <n v="70"/>
    <x v="2"/>
    <s v="0-180 DAYS"/>
  </r>
  <r>
    <x v="0"/>
    <s v="O"/>
    <x v="20"/>
    <s v="99EXPOR0000E9Z9"/>
    <s v="PIL1/JW/005"/>
    <s v="22/04/2024"/>
    <n v="3662353.08"/>
    <n v="70"/>
    <x v="2"/>
    <s v="0-180 DAYS"/>
  </r>
  <r>
    <x v="0"/>
    <s v="O"/>
    <x v="41"/>
    <s v="99EXPOR0000E9Z9"/>
    <s v="PIL1/E/86/24-25"/>
    <s v="23/04/2024"/>
    <n v="2894921.73"/>
    <n v="69"/>
    <x v="2"/>
    <s v="0-180 DAYS"/>
  </r>
  <r>
    <x v="0"/>
    <s v="O"/>
    <x v="39"/>
    <s v="99EXPOR0000E9Z9"/>
    <s v="PIL1/E/93/24-25"/>
    <s v="26/04/2024"/>
    <n v="3164826.45"/>
    <n v="66"/>
    <x v="2"/>
    <s v="0-180 DAYS"/>
  </r>
  <r>
    <x v="0"/>
    <s v="O"/>
    <x v="42"/>
    <s v="99EXPOR0000E9Z9"/>
    <s v="PIL1/E/94/24-25"/>
    <s v="27/04/2024"/>
    <n v="1284141.29"/>
    <n v="65"/>
    <x v="2"/>
    <s v="0-180 DAYS"/>
  </r>
  <r>
    <x v="0"/>
    <s v="O"/>
    <x v="42"/>
    <s v="99EXPOR0000E9Z9"/>
    <s v="PIL1/E/95/24-25"/>
    <s v="27/04/2024"/>
    <n v="167784.01"/>
    <n v="65"/>
    <x v="2"/>
    <s v="0-180 DAYS"/>
  </r>
  <r>
    <x v="0"/>
    <s v="O"/>
    <x v="34"/>
    <s v="99EXPOR0000E9Z9"/>
    <s v="PIL2/E/1/24-25"/>
    <s v="01/04/2024"/>
    <n v="3281775"/>
    <n v="91"/>
    <x v="2"/>
    <s v="0-180 DAYS"/>
  </r>
  <r>
    <x v="0"/>
    <s v="O"/>
    <x v="29"/>
    <s v="99EXPOR0000E9Z9"/>
    <s v="PIL2/E/2/24-25"/>
    <s v="02/04/2024"/>
    <n v="2954033.43"/>
    <n v="90"/>
    <x v="2"/>
    <s v="0-180 DAYS"/>
  </r>
  <r>
    <x v="0"/>
    <s v="O"/>
    <x v="17"/>
    <s v="99EXPOR0000E9Z9"/>
    <s v="PIL2/E/5/24-25"/>
    <s v="04/04/2024"/>
    <n v="3079161.83"/>
    <n v="88"/>
    <x v="2"/>
    <s v="0-180 DAYS"/>
  </r>
  <r>
    <x v="0"/>
    <s v="O"/>
    <x v="5"/>
    <s v="99EXPOR0000E9Z9"/>
    <s v="PIL2/E/11/24-25"/>
    <s v="10/04/2024"/>
    <n v="3047940"/>
    <n v="82"/>
    <x v="2"/>
    <s v="0-180 DAYS"/>
  </r>
  <r>
    <x v="0"/>
    <s v="O"/>
    <x v="5"/>
    <s v="99EXPOR0000E9Z9"/>
    <s v="PIL2/E/13/24-25"/>
    <s v="11/04/2024"/>
    <n v="3319099.28"/>
    <n v="81"/>
    <x v="2"/>
    <s v="0-180 DAYS"/>
  </r>
  <r>
    <x v="0"/>
    <s v="O"/>
    <x v="3"/>
    <s v="99EXPOR0000E9Z9"/>
    <s v="PIL2/E/14/24-25"/>
    <s v="12/04/2024"/>
    <n v="989839.58"/>
    <n v="80"/>
    <x v="2"/>
    <s v="0-180 DAYS"/>
  </r>
  <r>
    <x v="0"/>
    <s v="O"/>
    <x v="3"/>
    <s v="99EXPOR0000E9Z9"/>
    <s v="PIL2/E/15/24-25"/>
    <s v="12/04/2024"/>
    <n v="866179.94"/>
    <n v="80"/>
    <x v="2"/>
    <s v="0-180 DAYS"/>
  </r>
  <r>
    <x v="0"/>
    <s v="O"/>
    <x v="3"/>
    <s v="99EXPOR0000E9Z9"/>
    <s v="PIL2/E/16/24-25"/>
    <s v="12/04/2024"/>
    <n v="29467.55"/>
    <n v="80"/>
    <x v="2"/>
    <s v="0-180 DAYS"/>
  </r>
  <r>
    <x v="0"/>
    <s v="O"/>
    <x v="3"/>
    <s v="99EXPOR0000E9Z9"/>
    <s v="PIL2/E/17/24-25"/>
    <s v="12/04/2024"/>
    <n v="635013.93000000005"/>
    <n v="80"/>
    <x v="2"/>
    <s v="0-180 DAYS"/>
  </r>
  <r>
    <x v="0"/>
    <s v="O"/>
    <x v="29"/>
    <s v="99EXPOR0000E9Z9"/>
    <s v="PIL2/E/23/24-25"/>
    <s v="20/04/2024"/>
    <n v="3013989.1"/>
    <n v="72"/>
    <x v="2"/>
    <s v="0-180 DAYS"/>
  </r>
  <r>
    <x v="0"/>
    <s v="O"/>
    <x v="5"/>
    <s v="99EXPOR0000E9Z9"/>
    <s v="PIL2/E/24/24-25"/>
    <s v="21/04/2024"/>
    <n v="3515742.4"/>
    <n v="71"/>
    <x v="2"/>
    <s v="0-180 DAYS"/>
  </r>
  <r>
    <x v="0"/>
    <s v="O"/>
    <x v="43"/>
    <s v="99EXPOR0000E9Z9"/>
    <s v="PIL2/E/26/24-25"/>
    <s v="22/04/2024"/>
    <n v="3093422.69"/>
    <n v="70"/>
    <x v="2"/>
    <s v="0-180 DAYS"/>
  </r>
  <r>
    <x v="0"/>
    <s v="O"/>
    <x v="44"/>
    <s v="99EXPOR0000E9Z9"/>
    <s v="PIL2/E/25/24-25"/>
    <s v="22/04/2024"/>
    <n v="3436581.96"/>
    <n v="70"/>
    <x v="2"/>
    <s v="0-180 DAYS"/>
  </r>
  <r>
    <x v="0"/>
    <s v="O"/>
    <x v="34"/>
    <s v="99EXPOR0000E9Z9"/>
    <s v="PIL2/E/28/24-25"/>
    <s v="24/04/2024"/>
    <n v="3294768"/>
    <n v="68"/>
    <x v="2"/>
    <s v="0-180 DAYS"/>
  </r>
  <r>
    <x v="0"/>
    <s v="O"/>
    <x v="45"/>
    <s v="99EXPOR0000E9Z9"/>
    <s v="PIL2/E/31/24-25"/>
    <s v="26/04/2024"/>
    <n v="3275861.78"/>
    <n v="66"/>
    <x v="2"/>
    <s v="0-180 DAYS"/>
  </r>
  <r>
    <x v="0"/>
    <s v="O"/>
    <x v="23"/>
    <s v="99EXPOR0000E9Z9"/>
    <s v="PIL2/E/32/24-25"/>
    <s v="26/04/2024"/>
    <n v="1661002.56"/>
    <n v="66"/>
    <x v="2"/>
    <s v="0-180 DAYS"/>
  </r>
  <r>
    <x v="0"/>
    <s v="O"/>
    <x v="29"/>
    <s v="99EXPOR0000E9Z9"/>
    <s v="PIL2/E/33/24-25"/>
    <s v="28/04/2024"/>
    <n v="2999954.91"/>
    <n v="64"/>
    <x v="2"/>
    <s v="0-180 DAYS"/>
  </r>
  <r>
    <x v="0"/>
    <s v="O"/>
    <x v="5"/>
    <s v="99EXPOR0000E9Z9"/>
    <s v="PIL2/E/34/24-25"/>
    <s v="28/04/2024"/>
    <n v="3051630"/>
    <n v="64"/>
    <x v="2"/>
    <s v="0-180 DAYS"/>
  </r>
  <r>
    <x v="0"/>
    <s v="O"/>
    <x v="4"/>
    <s v="99EXPOR0000E9Z9"/>
    <s v="PIL2/E/35/24-25"/>
    <s v="30/04/2024"/>
    <n v="2757096.49"/>
    <n v="62"/>
    <x v="2"/>
    <s v="0-180 DAYS"/>
  </r>
  <r>
    <x v="0"/>
    <s v="O"/>
    <x v="4"/>
    <s v="99EXPOR0000E9Z9"/>
    <s v="PIL2/E/36/24-25"/>
    <s v="30/04/2024"/>
    <n v="269667.5"/>
    <n v="62"/>
    <x v="2"/>
    <s v="0-180 DAYS"/>
  </r>
  <r>
    <x v="0"/>
    <s v="O"/>
    <x v="29"/>
    <s v="99EXPOR0000E9Z9"/>
    <s v="PIL6/E/7/24-25"/>
    <s v="08/04/2024"/>
    <n v="3167875.2"/>
    <n v="84"/>
    <x v="2"/>
    <s v="0-180 DAYS"/>
  </r>
  <r>
    <x v="0"/>
    <s v="O"/>
    <x v="46"/>
    <s v="99EXPOR0000E9Z9"/>
    <s v="PIL6/E/6/24-25"/>
    <s v="08/04/2024"/>
    <n v="3347138.5"/>
    <n v="84"/>
    <x v="2"/>
    <s v="0-180 DAYS"/>
  </r>
  <r>
    <x v="0"/>
    <s v="O"/>
    <x v="36"/>
    <s v="99EXPOR0000E9Z9"/>
    <s v="PIL6/E/10/24-25"/>
    <s v="11/04/2024"/>
    <n v="28414.400000000001"/>
    <n v="81"/>
    <x v="2"/>
    <s v="0-180 DAYS"/>
  </r>
  <r>
    <x v="0"/>
    <s v="O"/>
    <x v="35"/>
    <s v="99EXPOR0000E9Z9"/>
    <s v="PIL6/E/9/24-25"/>
    <s v="11/04/2024"/>
    <n v="3558366.7"/>
    <n v="81"/>
    <x v="2"/>
    <s v="0-180 DAYS"/>
  </r>
  <r>
    <x v="0"/>
    <s v="O"/>
    <x v="47"/>
    <s v="99EXPOR0000E9Z9"/>
    <s v="PIL6/E/17/24-25"/>
    <s v="15/04/2024"/>
    <n v="2198648.0299999998"/>
    <n v="77"/>
    <x v="2"/>
    <s v="0-180 DAYS"/>
  </r>
  <r>
    <x v="0"/>
    <s v="O"/>
    <x v="35"/>
    <s v="99EXPOR0000E9Z9"/>
    <s v="PIL6/E/14/24-25"/>
    <s v="15/04/2024"/>
    <n v="3414684"/>
    <n v="77"/>
    <x v="2"/>
    <s v="0-180 DAYS"/>
  </r>
  <r>
    <x v="0"/>
    <s v="O"/>
    <x v="29"/>
    <s v="99EXPOR0000E9Z9"/>
    <s v="PIL6/E/20/24-25"/>
    <s v="17/04/2024"/>
    <n v="3167875.2"/>
    <n v="75"/>
    <x v="2"/>
    <s v="0-180 DAYS"/>
  </r>
  <r>
    <x v="0"/>
    <s v="O"/>
    <x v="36"/>
    <s v="99EXPOR0000E9Z9"/>
    <s v="PIL6/E/23/24-25"/>
    <s v="23/04/2024"/>
    <n v="2304352.7999999998"/>
    <n v="69"/>
    <x v="2"/>
    <s v="0-180 DAYS"/>
  </r>
  <r>
    <x v="0"/>
    <s v="O"/>
    <x v="36"/>
    <s v="99EXPOR0000E9Z9"/>
    <s v="PIL6/E/24/24-25"/>
    <s v="23/04/2024"/>
    <n v="633647.4"/>
    <n v="69"/>
    <x v="2"/>
    <s v="0-180 DAYS"/>
  </r>
  <r>
    <x v="0"/>
    <s v="O"/>
    <x v="26"/>
    <s v="99EXPOR0000E9Z9"/>
    <s v="PIL6/E/26/24-25"/>
    <s v="26/04/2024"/>
    <n v="2998813.95"/>
    <n v="66"/>
    <x v="2"/>
    <s v="0-180 DAYS"/>
  </r>
  <r>
    <x v="0"/>
    <s v="O"/>
    <x v="48"/>
    <s v="99EXPOR0000E9Z9"/>
    <s v="PIL6/E/28/24-25"/>
    <s v="27/04/2024"/>
    <n v="1034451.8"/>
    <n v="65"/>
    <x v="2"/>
    <s v="0-180 DAYS"/>
  </r>
  <r>
    <x v="0"/>
    <s v="O"/>
    <x v="35"/>
    <s v="99EXPOR0000E9Z9"/>
    <s v="PIL6/E/29/24-25"/>
    <s v="27/04/2024"/>
    <n v="3440679.75"/>
    <n v="65"/>
    <x v="2"/>
    <s v="0-180 DAYS"/>
  </r>
  <r>
    <x v="0"/>
    <s v="O"/>
    <x v="35"/>
    <s v="99EXPOR0000E9Z9"/>
    <s v="PIL6/E/31/24-25"/>
    <s v="30/04/2024"/>
    <n v="3440394.43"/>
    <n v="62"/>
    <x v="2"/>
    <s v="0-180 DAYS"/>
  </r>
  <r>
    <x v="0"/>
    <s v="O"/>
    <x v="20"/>
    <s v="99EXPOR0000E9Z9"/>
    <s v="PIL1/TP/002"/>
    <s v="04/04/2024"/>
    <n v="3810807.04"/>
    <n v="88"/>
    <x v="2"/>
    <s v="0-180 DAYS"/>
  </r>
  <r>
    <x v="0"/>
    <s v="O"/>
    <x v="49"/>
    <s v="99EXPOR0000E9Z9"/>
    <s v="PIL1/TP/003"/>
    <s v="12/04/2024"/>
    <n v="1466082.0099999998"/>
    <n v="80"/>
    <x v="2"/>
    <s v="0-180 DAYS"/>
  </r>
  <r>
    <x v="0"/>
    <s v="O"/>
    <x v="19"/>
    <s v="99EXPOR0000E9Z9"/>
    <s v="PIL1/TP/005"/>
    <s v="15/04/2024"/>
    <n v="3004517.93"/>
    <n v="77"/>
    <x v="2"/>
    <s v="0-180 DAYS"/>
  </r>
  <r>
    <x v="0"/>
    <s v="O"/>
    <x v="19"/>
    <s v="99EXPOR0000E9Z9"/>
    <s v="PIL1/TP/006"/>
    <s v="16/04/2024"/>
    <n v="2913714.46"/>
    <n v="76"/>
    <x v="2"/>
    <s v="0-180 DAYS"/>
  </r>
  <r>
    <x v="0"/>
    <s v="O"/>
    <x v="50"/>
    <s v="99EXPOR0000E9Z9"/>
    <s v="PIL1/TP/008"/>
    <s v="23/04/2024"/>
    <n v="1912087.4100000001"/>
    <n v="69"/>
    <x v="2"/>
    <s v="0-180 DAYS"/>
  </r>
  <r>
    <x v="1"/>
    <s v="O"/>
    <x v="38"/>
    <s v="24AFOPG7793M1ZO"/>
    <s v="PIL1/D/7"/>
    <s v="01/04/2024"/>
    <n v="2445250.2799999998"/>
    <n v="91"/>
    <x v="3"/>
    <s v="0-180 DAYS"/>
  </r>
  <r>
    <x v="1"/>
    <s v="O"/>
    <x v="38"/>
    <s v="24AFOPG7793M1ZO"/>
    <s v="PIL1/D/24"/>
    <s v="04/04/2024"/>
    <n v="2941258.56"/>
    <n v="88"/>
    <x v="4"/>
    <s v="0-180 DAYS"/>
  </r>
  <r>
    <x v="1"/>
    <s v="O"/>
    <x v="51"/>
    <s v="24AAACZ0580B1ZS"/>
    <s v="PIL1/D/49"/>
    <s v="10/04/2024"/>
    <n v="476.24"/>
    <n v="82"/>
    <x v="4"/>
    <s v="0-180 DAYS"/>
  </r>
  <r>
    <x v="1"/>
    <s v="O"/>
    <x v="52"/>
    <s v="24AAICM7843C1ZJ"/>
    <s v="PIL1/D/54"/>
    <s v="11/04/2024"/>
    <n v="1152.26"/>
    <n v="81"/>
    <x v="4"/>
    <s v="0-180 DAYS"/>
  </r>
  <r>
    <x v="1"/>
    <s v="O"/>
    <x v="38"/>
    <s v="24AFOPG7793M1ZO"/>
    <s v="PIL1/D/75"/>
    <s v="15/04/2024"/>
    <n v="289301.49"/>
    <n v="77"/>
    <x v="4"/>
    <s v="0-180 DAYS"/>
  </r>
  <r>
    <x v="1"/>
    <s v="O"/>
    <x v="38"/>
    <s v="24AFOPG7793M1ZO"/>
    <s v="PIL1/D/78"/>
    <s v="16/04/2024"/>
    <n v="234037.18"/>
    <n v="76"/>
    <x v="4"/>
    <s v="0-180 DAYS"/>
  </r>
  <r>
    <x v="1"/>
    <s v="O"/>
    <x v="38"/>
    <s v="24AFOPG7793M1ZO"/>
    <s v="PIL1/D/103"/>
    <s v="19/04/2024"/>
    <n v="1017399.54"/>
    <n v="73"/>
    <x v="4"/>
    <s v="0-180 DAYS"/>
  </r>
  <r>
    <x v="1"/>
    <s v="O"/>
    <x v="38"/>
    <s v="24AFOPG7793M1ZO"/>
    <s v="PIL1/D/133"/>
    <s v="25/04/2024"/>
    <n v="234037.18"/>
    <n v="67"/>
    <x v="4"/>
    <s v="0-180 DAYS"/>
  </r>
  <r>
    <x v="1"/>
    <s v="O"/>
    <x v="38"/>
    <s v="24AFOPG7793M1ZO"/>
    <s v="PIL1/D/134"/>
    <s v="25/04/2024"/>
    <n v="1228695.23"/>
    <n v="67"/>
    <x v="4"/>
    <s v="0-180 DAYS"/>
  </r>
  <r>
    <x v="1"/>
    <s v="O"/>
    <x v="38"/>
    <s v="24AFOPG7793M1ZO"/>
    <s v="PIL1/D/172"/>
    <s v="30/04/2024"/>
    <n v="1867760.6399999999"/>
    <n v="62"/>
    <x v="4"/>
    <s v="0-180 DAYS"/>
  </r>
  <r>
    <x v="1"/>
    <s v="O"/>
    <x v="53"/>
    <s v="24AGUPS9760R1ZZ"/>
    <s v="PIL2/D/5"/>
    <s v="03/04/2024"/>
    <n v="78690.98"/>
    <n v="89"/>
    <x v="4"/>
    <s v="0-180 DAYS"/>
  </r>
  <r>
    <x v="1"/>
    <s v="O"/>
    <x v="54"/>
    <s v="24AABCS1698G3Z9"/>
    <s v="PIL2/D/33"/>
    <s v="08/04/2024"/>
    <n v="561164"/>
    <n v="84"/>
    <x v="4"/>
    <s v="0-180 DAYS"/>
  </r>
  <r>
    <x v="1"/>
    <s v="O"/>
    <x v="15"/>
    <s v="09APZPG7653R1ZJ"/>
    <s v="PIL2/D/44"/>
    <s v="10/04/2024"/>
    <n v="682010.97"/>
    <n v="82"/>
    <x v="4"/>
    <s v="0-180 DAYS"/>
  </r>
  <r>
    <x v="1"/>
    <s v="O"/>
    <x v="55"/>
    <s v="24AAACC7852K1ZJ"/>
    <s v="PIL2/D/49"/>
    <s v="11/04/2024"/>
    <n v="10155"/>
    <n v="81"/>
    <x v="4"/>
    <s v="0-180 DAYS"/>
  </r>
  <r>
    <x v="1"/>
    <s v="O"/>
    <x v="54"/>
    <s v="24AABCS1698G3Z9"/>
    <s v="PIL2/D/83"/>
    <s v="23/04/2024"/>
    <n v="281430"/>
    <n v="69"/>
    <x v="4"/>
    <s v="0-180 DAYS"/>
  </r>
  <r>
    <x v="1"/>
    <s v="O"/>
    <x v="54"/>
    <s v="24AABCS1698G3Z9"/>
    <s v="PIL2/D/89"/>
    <s v="25/04/2024"/>
    <n v="562860"/>
    <n v="67"/>
    <x v="4"/>
    <s v="0-180 DAYS"/>
  </r>
  <r>
    <x v="1"/>
    <s v="O"/>
    <x v="38"/>
    <s v="24AFOPG7793M1ZO"/>
    <s v="PIL1/D/179"/>
    <s v="02/05/2024"/>
    <n v="220940.28"/>
    <n v="60"/>
    <x v="4"/>
    <s v="0-180 DAYS"/>
  </r>
  <r>
    <x v="1"/>
    <s v="O"/>
    <x v="38"/>
    <s v="24AFOPG7793M1ZO"/>
    <s v="PIL1/D/180"/>
    <s v="02/05/2024"/>
    <n v="951330.28"/>
    <n v="60"/>
    <x v="4"/>
    <s v="0-180 DAYS"/>
  </r>
  <r>
    <x v="1"/>
    <s v="O"/>
    <x v="52"/>
    <s v="24AAICM7843C1ZJ"/>
    <s v="PIL1/D/185"/>
    <s v="03/05/2024"/>
    <n v="2267.96"/>
    <n v="59"/>
    <x v="4"/>
    <s v="0-180 DAYS"/>
  </r>
  <r>
    <x v="1"/>
    <s v="O"/>
    <x v="38"/>
    <s v="24AFOPG7793M1ZO"/>
    <s v="PIL1/D/215"/>
    <s v="09/05/2024"/>
    <n v="1749541.6"/>
    <n v="53"/>
    <x v="4"/>
    <s v="0-180 DAYS"/>
  </r>
  <r>
    <x v="1"/>
    <s v="O"/>
    <x v="38"/>
    <s v="24AFOPG7793M1ZO"/>
    <s v="PIL1/D/227"/>
    <s v="11/05/2024"/>
    <n v="584572.19999999995"/>
    <n v="51"/>
    <x v="4"/>
    <s v="0-180 DAYS"/>
  </r>
  <r>
    <x v="1"/>
    <s v="O"/>
    <x v="38"/>
    <s v="24AFOPG7793M1ZO"/>
    <s v="PIL1/D/245"/>
    <s v="13/05/2024"/>
    <n v="584065.19999999995"/>
    <n v="49"/>
    <x v="4"/>
    <s v="0-180 DAYS"/>
  </r>
  <r>
    <x v="1"/>
    <s v="O"/>
    <x v="38"/>
    <s v="24AFOPG7793M1ZO"/>
    <s v="PIL1/D/246"/>
    <s v="13/05/2024"/>
    <n v="292286.09000000003"/>
    <n v="49"/>
    <x v="4"/>
    <s v="0-180 DAYS"/>
  </r>
  <r>
    <x v="2"/>
    <s v="R"/>
    <x v="56"/>
    <s v="24AAFCP2956A1ZR"/>
    <s v="PIL1/D/244"/>
    <s v="13/05/2024"/>
    <n v="127192.96000000001"/>
    <n v="49"/>
    <x v="4"/>
    <s v="0-180 DAYS"/>
  </r>
  <r>
    <x v="2"/>
    <s v="R"/>
    <x v="56"/>
    <s v="24AAFCP2956A1ZR"/>
    <s v="PIL1/D/241"/>
    <s v="13/05/2024"/>
    <n v="61050"/>
    <n v="49"/>
    <x v="4"/>
    <s v="0-180 DAYS"/>
  </r>
  <r>
    <x v="2"/>
    <s v="R"/>
    <x v="56"/>
    <s v="24AAFCP2956A1ZR"/>
    <s v="PIL1/D/247"/>
    <s v="14/05/2024"/>
    <n v="324644.56"/>
    <n v="48"/>
    <x v="4"/>
    <s v="0-180 DAYS"/>
  </r>
  <r>
    <x v="2"/>
    <s v="R"/>
    <x v="56"/>
    <s v="24AAFCP2956A1ZR"/>
    <s v="PIL1/D/248"/>
    <s v="14/05/2024"/>
    <n v="18728.66"/>
    <n v="48"/>
    <x v="4"/>
    <s v="0-180 DAYS"/>
  </r>
  <r>
    <x v="2"/>
    <s v="R"/>
    <x v="56"/>
    <s v="24AAFCP2956A1ZR"/>
    <s v="PIL1/D/249"/>
    <s v="14/05/2024"/>
    <n v="796449.4"/>
    <n v="48"/>
    <x v="4"/>
    <s v="0-180 DAYS"/>
  </r>
  <r>
    <x v="2"/>
    <s v="R"/>
    <x v="56"/>
    <s v="24AAFCP2956A1ZR"/>
    <s v="PIL1/D/250"/>
    <s v="14/05/2024"/>
    <n v="80693.919999999998"/>
    <n v="48"/>
    <x v="4"/>
    <s v="0-180 DAYS"/>
  </r>
  <r>
    <x v="2"/>
    <s v="R"/>
    <x v="56"/>
    <s v="24AAFCP2956A1ZR"/>
    <s v="PIL1/D/251"/>
    <s v="14/05/2024"/>
    <n v="23698"/>
    <n v="48"/>
    <x v="4"/>
    <s v="0-180 DAYS"/>
  </r>
  <r>
    <x v="2"/>
    <s v="R"/>
    <x v="56"/>
    <s v="24AAFCP2956A1ZR"/>
    <s v="PIL1/D/252"/>
    <s v="15/05/2024"/>
    <n v="478233.58"/>
    <n v="47"/>
    <x v="4"/>
    <s v="0-180 DAYS"/>
  </r>
  <r>
    <x v="2"/>
    <s v="R"/>
    <x v="56"/>
    <s v="24AAFCP2956A1ZR"/>
    <s v="PIL1/D/253"/>
    <s v="15/05/2024"/>
    <n v="3621.96"/>
    <n v="47"/>
    <x v="4"/>
    <s v="0-180 DAYS"/>
  </r>
  <r>
    <x v="2"/>
    <s v="R"/>
    <x v="56"/>
    <s v="24AAFCP2956A1ZR"/>
    <s v="PIL1/D/254"/>
    <s v="15/05/2024"/>
    <n v="7706.94"/>
    <n v="47"/>
    <x v="4"/>
    <s v="0-180 DAYS"/>
  </r>
  <r>
    <x v="2"/>
    <s v="R"/>
    <x v="56"/>
    <s v="24AAFCP2956A1ZR"/>
    <s v="PIL1/D/258"/>
    <s v="16/05/2024"/>
    <n v="364868.9"/>
    <n v="46"/>
    <x v="4"/>
    <s v="0-180 DAYS"/>
  </r>
  <r>
    <x v="2"/>
    <s v="R"/>
    <x v="56"/>
    <s v="24AAFCP2956A1ZR"/>
    <s v="PIL1/D/261"/>
    <s v="16/05/2024"/>
    <n v="549895.02"/>
    <n v="46"/>
    <x v="4"/>
    <s v="0-180 DAYS"/>
  </r>
  <r>
    <x v="2"/>
    <s v="R"/>
    <x v="56"/>
    <s v="24AAFCP2956A1ZR"/>
    <s v="PIL1/D/262"/>
    <s v="16/05/2024"/>
    <n v="4527.2"/>
    <n v="46"/>
    <x v="4"/>
    <s v="0-180 DAYS"/>
  </r>
  <r>
    <x v="2"/>
    <s v="R"/>
    <x v="56"/>
    <s v="24AAFCP2956A1ZR"/>
    <s v="PIL1/D/260"/>
    <s v="16/05/2024"/>
    <n v="29975"/>
    <n v="46"/>
    <x v="4"/>
    <s v="0-180 DAYS"/>
  </r>
  <r>
    <x v="1"/>
    <s v="O"/>
    <x v="38"/>
    <s v="24AFOPG7793M1ZO"/>
    <s v="PIL1/D/266"/>
    <s v="17/05/2024"/>
    <n v="350743.92"/>
    <n v="45"/>
    <x v="4"/>
    <s v="0-180 DAYS"/>
  </r>
  <r>
    <x v="2"/>
    <s v="R"/>
    <x v="56"/>
    <s v="24AAFCP2956A1ZR"/>
    <s v="PIL1/D/270"/>
    <s v="17/05/2024"/>
    <n v="602459.65"/>
    <n v="45"/>
    <x v="4"/>
    <s v="0-180 DAYS"/>
  </r>
  <r>
    <x v="2"/>
    <s v="R"/>
    <x v="56"/>
    <s v="24AAFCP2956A1ZR"/>
    <s v="PIL1/D/271"/>
    <s v="17/05/2024"/>
    <n v="2998.92"/>
    <n v="45"/>
    <x v="4"/>
    <s v="0-180 DAYS"/>
  </r>
  <r>
    <x v="2"/>
    <s v="R"/>
    <x v="56"/>
    <s v="24AAFCP2956A1ZR"/>
    <s v="PIL1/D/267"/>
    <s v="17/05/2024"/>
    <n v="43725"/>
    <n v="45"/>
    <x v="4"/>
    <s v="0-180 DAYS"/>
  </r>
  <r>
    <x v="1"/>
    <s v="O"/>
    <x v="38"/>
    <s v="24AFOPG7793M1ZO"/>
    <s v="PIL1/D/277"/>
    <s v="18/05/2024"/>
    <n v="1156929.3999999999"/>
    <n v="44"/>
    <x v="4"/>
    <s v="0-180 DAYS"/>
  </r>
  <r>
    <x v="1"/>
    <s v="O"/>
    <x v="38"/>
    <s v="24AFOPG7793M1ZO"/>
    <s v="PIL1/D/280"/>
    <s v="18/05/2024"/>
    <n v="1153392.3999999999"/>
    <n v="44"/>
    <x v="4"/>
    <s v="0-180 DAYS"/>
  </r>
  <r>
    <x v="1"/>
    <s v="O"/>
    <x v="38"/>
    <s v="24AFOPG7793M1ZO"/>
    <s v="PIL1/D/281"/>
    <s v="18/05/2024"/>
    <n v="1504007.52"/>
    <n v="44"/>
    <x v="4"/>
    <s v="0-180 DAYS"/>
  </r>
  <r>
    <x v="2"/>
    <s v="R"/>
    <x v="56"/>
    <s v="24AAFCP2956A1ZR"/>
    <s v="PIL1/D/275"/>
    <s v="18/05/2024"/>
    <n v="10331.24"/>
    <n v="44"/>
    <x v="4"/>
    <s v="0-180 DAYS"/>
  </r>
  <r>
    <x v="2"/>
    <s v="R"/>
    <x v="56"/>
    <s v="24AAFCP2956A1ZR"/>
    <s v="PIL1/D/276"/>
    <s v="18/05/2024"/>
    <n v="55825.77"/>
    <n v="44"/>
    <x v="4"/>
    <s v="0-180 DAYS"/>
  </r>
  <r>
    <x v="2"/>
    <s v="R"/>
    <x v="56"/>
    <s v="24AAFCP2956A1ZR"/>
    <s v="PIL1/D/283"/>
    <s v="19/05/2024"/>
    <n v="505350.43"/>
    <n v="43"/>
    <x v="4"/>
    <s v="0-180 DAYS"/>
  </r>
  <r>
    <x v="2"/>
    <s v="R"/>
    <x v="56"/>
    <s v="24AAFCP2956A1ZR"/>
    <s v="PIL1/D/284"/>
    <s v="19/05/2024"/>
    <n v="4527.2"/>
    <n v="43"/>
    <x v="4"/>
    <s v="0-180 DAYS"/>
  </r>
  <r>
    <x v="2"/>
    <s v="R"/>
    <x v="56"/>
    <s v="24AAFCP2956A1ZR"/>
    <s v="PIL1/D/285"/>
    <s v="19/05/2024"/>
    <n v="340737.82"/>
    <n v="43"/>
    <x v="4"/>
    <s v="0-180 DAYS"/>
  </r>
  <r>
    <x v="2"/>
    <s v="R"/>
    <x v="56"/>
    <s v="24AAFCP2956A1ZR"/>
    <s v="PIL1/D/287"/>
    <s v="20/05/2024"/>
    <n v="375383.7"/>
    <n v="42"/>
    <x v="4"/>
    <s v="0-180 DAYS"/>
  </r>
  <r>
    <x v="2"/>
    <s v="R"/>
    <x v="56"/>
    <s v="24AAFCP2956A1ZR"/>
    <s v="PIL1/D/288"/>
    <s v="20/05/2024"/>
    <n v="622.04"/>
    <n v="42"/>
    <x v="4"/>
    <s v="0-180 DAYS"/>
  </r>
  <r>
    <x v="1"/>
    <s v="O"/>
    <x v="57"/>
    <s v="24ACXFS2019L1ZN"/>
    <s v="PIL1/D/286"/>
    <s v="20/05/2024"/>
    <n v="251508.66"/>
    <n v="42"/>
    <x v="4"/>
    <s v="0-180 DAYS"/>
  </r>
  <r>
    <x v="2"/>
    <s v="R"/>
    <x v="56"/>
    <s v="24AAFCP2956A1ZR"/>
    <s v="PIL1/D/293"/>
    <s v="21/05/2024"/>
    <n v="479602.26"/>
    <n v="41"/>
    <x v="4"/>
    <s v="0-180 DAYS"/>
  </r>
  <r>
    <x v="2"/>
    <s v="R"/>
    <x v="56"/>
    <s v="24AAFCP2956A1ZR"/>
    <s v="PIL1/D/294"/>
    <s v="21/05/2024"/>
    <n v="37964"/>
    <n v="41"/>
    <x v="4"/>
    <s v="0-180 DAYS"/>
  </r>
  <r>
    <x v="2"/>
    <s v="R"/>
    <x v="56"/>
    <s v="24AAFCP2956A1ZR"/>
    <s v="PIL1/D/297"/>
    <s v="21/05/2024"/>
    <n v="169775.23"/>
    <n v="41"/>
    <x v="4"/>
    <s v="0-180 DAYS"/>
  </r>
  <r>
    <x v="2"/>
    <s v="R"/>
    <x v="56"/>
    <s v="24AAFCP2956A1ZR"/>
    <s v="PIL1/D/298"/>
    <s v="21/05/2024"/>
    <n v="395.48"/>
    <n v="41"/>
    <x v="4"/>
    <s v="0-180 DAYS"/>
  </r>
  <r>
    <x v="2"/>
    <s v="R"/>
    <x v="56"/>
    <s v="24AAFCP2956A1ZR"/>
    <s v="PIL1/D/299"/>
    <s v="21/05/2024"/>
    <n v="75949.72"/>
    <n v="41"/>
    <x v="4"/>
    <s v="0-180 DAYS"/>
  </r>
  <r>
    <x v="2"/>
    <s v="R"/>
    <x v="56"/>
    <s v="24AAFCP2956A1ZR"/>
    <s v="PIL1/D/296"/>
    <s v="21/05/2024"/>
    <n v="48675"/>
    <n v="41"/>
    <x v="4"/>
    <s v="0-180 DAYS"/>
  </r>
  <r>
    <x v="1"/>
    <s v="O"/>
    <x v="51"/>
    <s v="24AAACZ0580B1ZS"/>
    <s v="PIL1/D/303"/>
    <s v="22/05/2024"/>
    <n v="261517.5"/>
    <n v="40"/>
    <x v="4"/>
    <s v="0-180 DAYS"/>
  </r>
  <r>
    <x v="1"/>
    <s v="O"/>
    <x v="38"/>
    <s v="24AFOPG7793M1ZO"/>
    <s v="PIL1/D/307"/>
    <s v="22/05/2024"/>
    <n v="1402973.66"/>
    <n v="40"/>
    <x v="4"/>
    <s v="0-180 DAYS"/>
  </r>
  <r>
    <x v="2"/>
    <s v="R"/>
    <x v="56"/>
    <s v="24AAFCP2956A1ZR"/>
    <s v="PIL1/D/302"/>
    <s v="22/05/2024"/>
    <n v="27075.86"/>
    <n v="40"/>
    <x v="4"/>
    <s v="0-180 DAYS"/>
  </r>
  <r>
    <x v="2"/>
    <s v="R"/>
    <x v="56"/>
    <s v="24AAFCP2956A1ZR"/>
    <s v="PIL1/D/304"/>
    <s v="22/05/2024"/>
    <n v="709190.74"/>
    <n v="40"/>
    <x v="4"/>
    <s v="0-180 DAYS"/>
  </r>
  <r>
    <x v="2"/>
    <s v="R"/>
    <x v="56"/>
    <s v="24AAFCP2956A1ZR"/>
    <s v="PIL1/D/305"/>
    <s v="22/05/2024"/>
    <n v="3621.96"/>
    <n v="40"/>
    <x v="4"/>
    <s v="0-180 DAYS"/>
  </r>
  <r>
    <x v="2"/>
    <s v="R"/>
    <x v="56"/>
    <s v="24AAFCP2956A1ZR"/>
    <s v="PIL1/D/306"/>
    <s v="22/05/2024"/>
    <n v="22687.05"/>
    <n v="40"/>
    <x v="4"/>
    <s v="0-180 DAYS"/>
  </r>
  <r>
    <x v="2"/>
    <s v="R"/>
    <x v="56"/>
    <s v="24AAFCP2956A1ZR"/>
    <s v="PIL1/D/308"/>
    <s v="22/05/2024"/>
    <n v="398627.68"/>
    <n v="40"/>
    <x v="4"/>
    <s v="0-180 DAYS"/>
  </r>
  <r>
    <x v="1"/>
    <s v="O"/>
    <x v="38"/>
    <s v="24AFOPG7793M1ZO"/>
    <s v="PIL1/D/312"/>
    <s v="23/05/2024"/>
    <n v="346442.28"/>
    <n v="39"/>
    <x v="4"/>
    <s v="0-180 DAYS"/>
  </r>
  <r>
    <x v="1"/>
    <s v="O"/>
    <x v="38"/>
    <s v="24AFOPG7793M1ZO"/>
    <s v="PIL1/D/313"/>
    <s v="23/05/2024"/>
    <n v="346442.28"/>
    <n v="39"/>
    <x v="4"/>
    <s v="0-180 DAYS"/>
  </r>
  <r>
    <x v="2"/>
    <s v="R"/>
    <x v="56"/>
    <s v="24AAFCP2956A1ZR"/>
    <s v="PIL1/D/310"/>
    <s v="23/05/2024"/>
    <n v="694631.89"/>
    <n v="39"/>
    <x v="4"/>
    <s v="0-180 DAYS"/>
  </r>
  <r>
    <x v="2"/>
    <s v="R"/>
    <x v="56"/>
    <s v="24AAFCP2956A1ZR"/>
    <s v="PIL1/D/311"/>
    <s v="23/05/2024"/>
    <n v="4300.6400000000003"/>
    <n v="39"/>
    <x v="4"/>
    <s v="0-180 DAYS"/>
  </r>
  <r>
    <x v="2"/>
    <s v="R"/>
    <x v="56"/>
    <s v="24AAFCP2956A1ZR"/>
    <s v="PIL1/D/315"/>
    <s v="23/05/2024"/>
    <n v="161805.26"/>
    <n v="39"/>
    <x v="4"/>
    <s v="0-180 DAYS"/>
  </r>
  <r>
    <x v="2"/>
    <s v="R"/>
    <x v="56"/>
    <s v="24AAFCP2956A1ZR"/>
    <s v="PIL1/D/309"/>
    <s v="23/05/2024"/>
    <n v="24750"/>
    <n v="39"/>
    <x v="4"/>
    <s v="0-180 DAYS"/>
  </r>
  <r>
    <x v="1"/>
    <s v="O"/>
    <x v="58"/>
    <s v="24AIGPD1030P1ZK"/>
    <s v="PIL1/D/322"/>
    <s v="24/05/2024"/>
    <n v="154659.89000000001"/>
    <n v="38"/>
    <x v="4"/>
    <s v="0-180 DAYS"/>
  </r>
  <r>
    <x v="2"/>
    <s v="R"/>
    <x v="56"/>
    <s v="24AAFCP2956A1ZR"/>
    <s v="PIL1/D/319"/>
    <s v="24/05/2024"/>
    <n v="342046.44"/>
    <n v="38"/>
    <x v="4"/>
    <s v="0-180 DAYS"/>
  </r>
  <r>
    <x v="2"/>
    <s v="R"/>
    <x v="56"/>
    <s v="24AAFCP2956A1ZR"/>
    <s v="PIL1/D/320"/>
    <s v="24/05/2024"/>
    <n v="1810.48"/>
    <n v="38"/>
    <x v="4"/>
    <s v="0-180 DAYS"/>
  </r>
  <r>
    <x v="2"/>
    <s v="R"/>
    <x v="56"/>
    <s v="24AAFCP2956A1ZR"/>
    <s v="PIL1/D/321"/>
    <s v="24/05/2024"/>
    <n v="282003.21999999997"/>
    <n v="38"/>
    <x v="4"/>
    <s v="0-180 DAYS"/>
  </r>
  <r>
    <x v="1"/>
    <s v="O"/>
    <x v="59"/>
    <s v="24AACCA3482H1ZW"/>
    <s v="PIL1/D/325"/>
    <s v="25/05/2024"/>
    <n v="3066525"/>
    <n v="37"/>
    <x v="4"/>
    <s v="0-180 DAYS"/>
  </r>
  <r>
    <x v="1"/>
    <s v="O"/>
    <x v="59"/>
    <s v="24AACCA3482H1ZW"/>
    <s v="PIL1/D/326"/>
    <s v="25/05/2024"/>
    <n v="3066330"/>
    <n v="37"/>
    <x v="4"/>
    <s v="0-180 DAYS"/>
  </r>
  <r>
    <x v="1"/>
    <s v="O"/>
    <x v="59"/>
    <s v="24AACCA3482H1ZW"/>
    <s v="PIL1/D/327"/>
    <s v="25/05/2024"/>
    <n v="3063926"/>
    <n v="37"/>
    <x v="4"/>
    <s v="0-180 DAYS"/>
  </r>
  <r>
    <x v="1"/>
    <s v="O"/>
    <x v="59"/>
    <s v="24AACCA3482H1ZW"/>
    <s v="PIL1/D/328"/>
    <s v="25/05/2024"/>
    <n v="3063926"/>
    <n v="37"/>
    <x v="4"/>
    <s v="0-180 DAYS"/>
  </r>
  <r>
    <x v="1"/>
    <s v="O"/>
    <x v="59"/>
    <s v="24AACCA3482H1ZW"/>
    <s v="PIL1/D/329"/>
    <s v="25/05/2024"/>
    <n v="3063926"/>
    <n v="37"/>
    <x v="4"/>
    <s v="0-180 DAYS"/>
  </r>
  <r>
    <x v="1"/>
    <s v="O"/>
    <x v="59"/>
    <s v="24AACCA3482H1ZW"/>
    <s v="PIL1/D/330"/>
    <s v="25/05/2024"/>
    <n v="3063926"/>
    <n v="37"/>
    <x v="4"/>
    <s v="0-180 DAYS"/>
  </r>
  <r>
    <x v="2"/>
    <s v="R"/>
    <x v="56"/>
    <s v="24AAFCP2956A1ZR"/>
    <s v="PIL1/D/333"/>
    <s v="26/05/2024"/>
    <n v="346568.8"/>
    <n v="36"/>
    <x v="4"/>
    <s v="0-180 DAYS"/>
  </r>
  <r>
    <x v="2"/>
    <s v="R"/>
    <x v="56"/>
    <s v="24AAFCP2956A1ZR"/>
    <s v="PIL1/D/335"/>
    <s v="26/05/2024"/>
    <n v="461867.1"/>
    <n v="36"/>
    <x v="4"/>
    <s v="0-180 DAYS"/>
  </r>
  <r>
    <x v="2"/>
    <s v="R"/>
    <x v="56"/>
    <s v="24AAFCP2956A1ZR"/>
    <s v="PIL1/D/336"/>
    <s v="26/05/2024"/>
    <n v="2773.36"/>
    <n v="36"/>
    <x v="4"/>
    <s v="0-180 DAYS"/>
  </r>
  <r>
    <x v="2"/>
    <s v="R"/>
    <x v="56"/>
    <s v="24AAFCP2956A1ZR"/>
    <s v="PIL1/D/334"/>
    <s v="26/05/2024"/>
    <n v="66000"/>
    <n v="36"/>
    <x v="4"/>
    <s v="0-180 DAYS"/>
  </r>
  <r>
    <x v="1"/>
    <s v="O"/>
    <x v="59"/>
    <s v="24AACCA3482H1ZW"/>
    <s v="PIL1/D/340"/>
    <s v="27/05/2024"/>
    <n v="3063926"/>
    <n v="35"/>
    <x v="4"/>
    <s v="0-180 DAYS"/>
  </r>
  <r>
    <x v="1"/>
    <s v="O"/>
    <x v="59"/>
    <s v="24AACCA3482H1ZW"/>
    <s v="PIL1/D/341"/>
    <s v="27/05/2024"/>
    <n v="3063926"/>
    <n v="35"/>
    <x v="4"/>
    <s v="0-180 DAYS"/>
  </r>
  <r>
    <x v="1"/>
    <s v="O"/>
    <x v="59"/>
    <s v="24AACCA3482H1ZW"/>
    <s v="PIL1/D/342"/>
    <s v="27/05/2024"/>
    <n v="3063926"/>
    <n v="35"/>
    <x v="4"/>
    <s v="0-180 DAYS"/>
  </r>
  <r>
    <x v="1"/>
    <s v="O"/>
    <x v="59"/>
    <s v="24AACCA3482H1ZW"/>
    <s v="PIL1/D/343"/>
    <s v="27/05/2024"/>
    <n v="3063926"/>
    <n v="35"/>
    <x v="4"/>
    <s v="0-180 DAYS"/>
  </r>
  <r>
    <x v="1"/>
    <s v="O"/>
    <x v="59"/>
    <s v="24AACCA3482H1ZW"/>
    <s v="PIL1/D/344"/>
    <s v="27/05/2024"/>
    <n v="3063926"/>
    <n v="35"/>
    <x v="4"/>
    <s v="0-180 DAYS"/>
  </r>
  <r>
    <x v="1"/>
    <s v="O"/>
    <x v="59"/>
    <s v="24AACCA3482H1ZW"/>
    <s v="PIL1/D/345"/>
    <s v="27/05/2024"/>
    <n v="3063926"/>
    <n v="35"/>
    <x v="4"/>
    <s v="0-180 DAYS"/>
  </r>
  <r>
    <x v="2"/>
    <s v="R"/>
    <x v="56"/>
    <s v="24AAFCP2956A1ZR"/>
    <s v="PIL1/D/346"/>
    <s v="27/05/2024"/>
    <n v="908528.82"/>
    <n v="35"/>
    <x v="4"/>
    <s v="0-180 DAYS"/>
  </r>
  <r>
    <x v="2"/>
    <s v="R"/>
    <x v="56"/>
    <s v="24AAFCP2956A1ZR"/>
    <s v="PIL1/D/347"/>
    <s v="27/05/2024"/>
    <n v="565.4"/>
    <n v="35"/>
    <x v="4"/>
    <s v="0-180 DAYS"/>
  </r>
  <r>
    <x v="2"/>
    <s v="R"/>
    <x v="56"/>
    <s v="24AAFCP2956A1ZR"/>
    <s v="PIL1/D/348"/>
    <s v="27/05/2024"/>
    <n v="23698"/>
    <n v="35"/>
    <x v="4"/>
    <s v="0-180 DAYS"/>
  </r>
  <r>
    <x v="1"/>
    <s v="O"/>
    <x v="38"/>
    <s v="24AFOPG7793M1ZO"/>
    <s v="PIL1/D/353"/>
    <s v="28/05/2024"/>
    <n v="2545243.88"/>
    <n v="34"/>
    <x v="4"/>
    <s v="0-180 DAYS"/>
  </r>
  <r>
    <x v="2"/>
    <s v="R"/>
    <x v="56"/>
    <s v="24AAFCP2956A1ZR"/>
    <s v="PIL1/D/349"/>
    <s v="28/05/2024"/>
    <n v="827710.26"/>
    <n v="34"/>
    <x v="4"/>
    <s v="0-180 DAYS"/>
  </r>
  <r>
    <x v="2"/>
    <s v="R"/>
    <x v="56"/>
    <s v="24AAFCP2956A1ZR"/>
    <s v="PIL1/D/350"/>
    <s v="28/05/2024"/>
    <n v="7413.84"/>
    <n v="34"/>
    <x v="4"/>
    <s v="0-180 DAYS"/>
  </r>
  <r>
    <x v="1"/>
    <s v="O"/>
    <x v="38"/>
    <s v="24AFOPG7793M1ZO"/>
    <s v="PIL1/D/360"/>
    <s v="29/05/2024"/>
    <n v="324014.14"/>
    <n v="33"/>
    <x v="4"/>
    <s v="0-180 DAYS"/>
  </r>
  <r>
    <x v="2"/>
    <s v="R"/>
    <x v="56"/>
    <s v="24AAFCP2956A1ZR"/>
    <s v="PIL1/D/358"/>
    <s v="29/05/2024"/>
    <n v="843453.62"/>
    <n v="33"/>
    <x v="4"/>
    <s v="0-180 DAYS"/>
  </r>
  <r>
    <x v="2"/>
    <s v="R"/>
    <x v="56"/>
    <s v="24AAFCP2956A1ZR"/>
    <s v="PIL1/D/359"/>
    <s v="29/05/2024"/>
    <n v="6620.88"/>
    <n v="33"/>
    <x v="4"/>
    <s v="0-180 DAYS"/>
  </r>
  <r>
    <x v="2"/>
    <s v="R"/>
    <x v="56"/>
    <s v="24AAFCP2956A1ZR"/>
    <s v="PIL1/D/361"/>
    <s v="29/05/2024"/>
    <n v="820.2"/>
    <n v="33"/>
    <x v="4"/>
    <s v="0-180 DAYS"/>
  </r>
  <r>
    <x v="2"/>
    <s v="R"/>
    <x v="56"/>
    <s v="24AAFCP2956A1ZR"/>
    <s v="PIL1/D/365"/>
    <s v="30/05/2024"/>
    <n v="2659.85"/>
    <n v="32"/>
    <x v="4"/>
    <s v="0-180 DAYS"/>
  </r>
  <r>
    <x v="2"/>
    <s v="R"/>
    <x v="56"/>
    <s v="24AAFCP2956A1ZR"/>
    <s v="PIL1/D/366"/>
    <s v="30/05/2024"/>
    <n v="1198663.33"/>
    <n v="32"/>
    <x v="4"/>
    <s v="0-180 DAYS"/>
  </r>
  <r>
    <x v="2"/>
    <s v="R"/>
    <x v="56"/>
    <s v="24AAFCP2956A1ZR"/>
    <s v="PIL1/D/367"/>
    <s v="30/05/2024"/>
    <n v="5545.72"/>
    <n v="32"/>
    <x v="4"/>
    <s v="0-180 DAYS"/>
  </r>
  <r>
    <x v="2"/>
    <s v="R"/>
    <x v="56"/>
    <s v="24AAFCP2956A1ZR"/>
    <s v="PIL1/D/368"/>
    <s v="30/05/2024"/>
    <n v="10402.06"/>
    <n v="32"/>
    <x v="4"/>
    <s v="0-180 DAYS"/>
  </r>
  <r>
    <x v="2"/>
    <s v="R"/>
    <x v="56"/>
    <s v="24AAFCP2956A1ZR"/>
    <s v="PIL1/D/369"/>
    <s v="30/05/2024"/>
    <n v="1131.7"/>
    <n v="32"/>
    <x v="4"/>
    <s v="0-180 DAYS"/>
  </r>
  <r>
    <x v="2"/>
    <s v="R"/>
    <x v="56"/>
    <s v="24AAFCP2956A1ZR"/>
    <s v="PIL1/D/370"/>
    <s v="30/05/2024"/>
    <n v="210418.21"/>
    <n v="32"/>
    <x v="4"/>
    <s v="0-180 DAYS"/>
  </r>
  <r>
    <x v="2"/>
    <s v="R"/>
    <x v="56"/>
    <s v="24AAFCP2956A1ZR"/>
    <s v="PIL1/D/371"/>
    <s v="30/05/2024"/>
    <n v="2263.6"/>
    <n v="32"/>
    <x v="4"/>
    <s v="0-180 DAYS"/>
  </r>
  <r>
    <x v="2"/>
    <s v="R"/>
    <x v="56"/>
    <s v="24AAFCP2956A1ZR"/>
    <s v="PIL1/D/372"/>
    <s v="30/05/2024"/>
    <n v="79574.48"/>
    <n v="32"/>
    <x v="4"/>
    <s v="0-180 DAYS"/>
  </r>
  <r>
    <x v="1"/>
    <s v="O"/>
    <x v="51"/>
    <s v="24AAACZ0580B1ZS"/>
    <s v="PIL1/D/377"/>
    <s v="31/05/2024"/>
    <n v="313821"/>
    <n v="31"/>
    <x v="4"/>
    <s v="0-180 DAYS"/>
  </r>
  <r>
    <x v="2"/>
    <s v="R"/>
    <x v="56"/>
    <s v="24AAFCP2956A1ZR"/>
    <s v="PIL1/D/373"/>
    <s v="31/05/2024"/>
    <n v="366.15"/>
    <n v="31"/>
    <x v="4"/>
    <s v="0-180 DAYS"/>
  </r>
  <r>
    <x v="2"/>
    <s v="R"/>
    <x v="56"/>
    <s v="24AAFCP2956A1ZR"/>
    <s v="PIL1/D/375"/>
    <s v="31/05/2024"/>
    <n v="650686.59"/>
    <n v="31"/>
    <x v="4"/>
    <s v="0-180 DAYS"/>
  </r>
  <r>
    <x v="2"/>
    <s v="R"/>
    <x v="56"/>
    <s v="24AAFCP2956A1ZR"/>
    <s v="PIL1/D/376"/>
    <s v="31/05/2024"/>
    <n v="1980.4"/>
    <n v="31"/>
    <x v="4"/>
    <s v="0-180 DAYS"/>
  </r>
  <r>
    <x v="2"/>
    <s v="R"/>
    <x v="56"/>
    <s v="24AAFCP2956A1ZR"/>
    <s v="PIL1/D/374"/>
    <s v="31/05/2024"/>
    <n v="69300"/>
    <n v="31"/>
    <x v="4"/>
    <s v="0-180 DAYS"/>
  </r>
  <r>
    <x v="1"/>
    <s v="O"/>
    <x v="54"/>
    <s v="24AABCS1698G3Z9"/>
    <s v="PIL2/D/116"/>
    <s v="01/05/2024"/>
    <n v="1055362.5"/>
    <n v="61"/>
    <x v="4"/>
    <s v="0-180 DAYS"/>
  </r>
  <r>
    <x v="2"/>
    <s v="R"/>
    <x v="56"/>
    <s v="24AAFCP2956A1ZR"/>
    <s v="PIL2/D/117"/>
    <s v="02/05/2024"/>
    <n v="309060.40999999997"/>
    <n v="60"/>
    <x v="4"/>
    <s v="0-180 DAYS"/>
  </r>
  <r>
    <x v="2"/>
    <s v="R"/>
    <x v="56"/>
    <s v="24AAFCP2956A1ZR"/>
    <s v="PIL2/D/126"/>
    <s v="06/05/2024"/>
    <n v="654633.78"/>
    <n v="56"/>
    <x v="4"/>
    <s v="0-180 DAYS"/>
  </r>
  <r>
    <x v="2"/>
    <s v="R"/>
    <x v="56"/>
    <s v="24AAFCP2956A1ZR"/>
    <s v="PIL2/D/128"/>
    <s v="07/05/2024"/>
    <n v="289115.8"/>
    <n v="55"/>
    <x v="4"/>
    <s v="0-180 DAYS"/>
  </r>
  <r>
    <x v="2"/>
    <s v="R"/>
    <x v="56"/>
    <s v="24AAFCP2956A1ZR"/>
    <s v="PIL2/D/129"/>
    <s v="07/05/2024"/>
    <n v="223293.17"/>
    <n v="55"/>
    <x v="4"/>
    <s v="0-180 DAYS"/>
  </r>
  <r>
    <x v="2"/>
    <s v="R"/>
    <x v="56"/>
    <s v="24AAFCP2956A1ZR"/>
    <s v="PIL2/D/130"/>
    <s v="07/05/2024"/>
    <n v="2773.01"/>
    <n v="55"/>
    <x v="4"/>
    <s v="0-180 DAYS"/>
  </r>
  <r>
    <x v="2"/>
    <s v="R"/>
    <x v="56"/>
    <s v="24AAFCP2956A1ZR"/>
    <s v="PIL2/D/135"/>
    <s v="08/05/2024"/>
    <n v="359595"/>
    <n v="54"/>
    <x v="4"/>
    <s v="0-180 DAYS"/>
  </r>
  <r>
    <x v="2"/>
    <s v="R"/>
    <x v="56"/>
    <s v="24AAFCP2956A1ZR"/>
    <s v="PIL2/D/136"/>
    <s v="09/05/2024"/>
    <n v="363302.52"/>
    <n v="53"/>
    <x v="4"/>
    <s v="0-180 DAYS"/>
  </r>
  <r>
    <x v="1"/>
    <s v="O"/>
    <x v="8"/>
    <s v="24AAACD0557C1ZB"/>
    <s v="PIL2/D/143"/>
    <s v="10/05/2024"/>
    <n v="251340"/>
    <n v="52"/>
    <x v="4"/>
    <s v="0-180 DAYS"/>
  </r>
  <r>
    <x v="2"/>
    <s v="R"/>
    <x v="56"/>
    <s v="24AAFCP2956A1ZR"/>
    <s v="PIL2/D/140"/>
    <s v="10/05/2024"/>
    <n v="4126.5"/>
    <n v="52"/>
    <x v="4"/>
    <s v="0-180 DAYS"/>
  </r>
  <r>
    <x v="2"/>
    <s v="R"/>
    <x v="56"/>
    <s v="24AAFCP2956A1ZR"/>
    <s v="PIL2/D/141"/>
    <s v="10/05/2024"/>
    <n v="958465.89"/>
    <n v="52"/>
    <x v="4"/>
    <s v="0-180 DAYS"/>
  </r>
  <r>
    <x v="2"/>
    <s v="R"/>
    <x v="56"/>
    <s v="24AAFCP2956A1ZR"/>
    <s v="PIL2/D/142"/>
    <s v="10/05/2024"/>
    <n v="11714.54"/>
    <n v="52"/>
    <x v="4"/>
    <s v="0-180 DAYS"/>
  </r>
  <r>
    <x v="1"/>
    <s v="O"/>
    <x v="6"/>
    <s v="23BTLPS7416R1ZT"/>
    <s v="PIL2/D/146"/>
    <s v="11/05/2024"/>
    <n v="52321.2"/>
    <n v="51"/>
    <x v="4"/>
    <s v="0-180 DAYS"/>
  </r>
  <r>
    <x v="2"/>
    <s v="R"/>
    <x v="56"/>
    <s v="24AAFCP2956A1ZR"/>
    <s v="PIL2/D/148"/>
    <s v="12/05/2024"/>
    <n v="705036.79"/>
    <n v="50"/>
    <x v="4"/>
    <s v="0-180 DAYS"/>
  </r>
  <r>
    <x v="2"/>
    <s v="R"/>
    <x v="56"/>
    <s v="24AAFCP2956A1ZR"/>
    <s v="PIL2/D/156"/>
    <s v="14/05/2024"/>
    <n v="737765.24"/>
    <n v="48"/>
    <x v="4"/>
    <s v="0-180 DAYS"/>
  </r>
  <r>
    <x v="2"/>
    <s v="R"/>
    <x v="56"/>
    <s v="24AAFCP2956A1ZR"/>
    <s v="PIL2/D/157"/>
    <s v="14/05/2024"/>
    <n v="9507.4599999999991"/>
    <n v="48"/>
    <x v="4"/>
    <s v="0-180 DAYS"/>
  </r>
  <r>
    <x v="1"/>
    <s v="O"/>
    <x v="60"/>
    <s v="24AACCG1856D1Z0"/>
    <s v="PIL2/D/159"/>
    <s v="15/05/2024"/>
    <n v="92604.51"/>
    <n v="47"/>
    <x v="4"/>
    <s v="0-180 DAYS"/>
  </r>
  <r>
    <x v="1"/>
    <s v="O"/>
    <x v="55"/>
    <s v="24AAACC7852K1ZJ"/>
    <s v="PIL2/D/163"/>
    <s v="16/05/2024"/>
    <n v="1141650"/>
    <n v="46"/>
    <x v="4"/>
    <s v="0-180 DAYS"/>
  </r>
  <r>
    <x v="2"/>
    <s v="R"/>
    <x v="56"/>
    <s v="24AAFCP2956A1ZR"/>
    <s v="PIL2/D/173"/>
    <s v="18/05/2024"/>
    <n v="1587186.89"/>
    <n v="44"/>
    <x v="4"/>
    <s v="0-180 DAYS"/>
  </r>
  <r>
    <x v="2"/>
    <s v="R"/>
    <x v="56"/>
    <s v="24AAFCP2956A1ZR"/>
    <s v="PIL2/D/174"/>
    <s v="18/05/2024"/>
    <n v="6960.82"/>
    <n v="44"/>
    <x v="4"/>
    <s v="0-180 DAYS"/>
  </r>
  <r>
    <x v="2"/>
    <s v="R"/>
    <x v="56"/>
    <s v="24AAFCP2956A1ZR"/>
    <s v="PIL2/D/176"/>
    <s v="18/05/2024"/>
    <n v="949.21"/>
    <n v="44"/>
    <x v="4"/>
    <s v="0-180 DAYS"/>
  </r>
  <r>
    <x v="2"/>
    <s v="R"/>
    <x v="56"/>
    <s v="24AAFCP2956A1ZR"/>
    <s v="PIL2/DE/5/24-25"/>
    <s v="18/05/2024"/>
    <n v="539392.5"/>
    <n v="44"/>
    <x v="4"/>
    <s v="0-180 DAYS"/>
  </r>
  <r>
    <x v="1"/>
    <s v="O"/>
    <x v="15"/>
    <s v="09APZPG7653R1ZJ"/>
    <s v="PIL2/D/182"/>
    <s v="19/05/2024"/>
    <n v="670565.34"/>
    <n v="43"/>
    <x v="4"/>
    <s v="0-180 DAYS"/>
  </r>
  <r>
    <x v="2"/>
    <s v="R"/>
    <x v="56"/>
    <s v="24AAFCP2956A1ZR"/>
    <s v="PIL2/D/181"/>
    <s v="19/05/2024"/>
    <n v="1466850.49"/>
    <n v="43"/>
    <x v="4"/>
    <s v="0-180 DAYS"/>
  </r>
  <r>
    <x v="2"/>
    <s v="R"/>
    <x v="56"/>
    <s v="24AAFCP2956A1ZR"/>
    <s v="PIL2/D/183"/>
    <s v="20/05/2024"/>
    <n v="1551724.34"/>
    <n v="42"/>
    <x v="4"/>
    <s v="0-180 DAYS"/>
  </r>
  <r>
    <x v="2"/>
    <s v="R"/>
    <x v="56"/>
    <s v="24AAFCP2956A1ZR"/>
    <s v="PIL2/D/184"/>
    <s v="20/05/2024"/>
    <n v="465065.98"/>
    <n v="42"/>
    <x v="4"/>
    <s v="0-180 DAYS"/>
  </r>
  <r>
    <x v="2"/>
    <s v="R"/>
    <x v="56"/>
    <s v="24AAFCP2956A1ZR"/>
    <s v="PIL2/D/192"/>
    <s v="22/05/2024"/>
    <n v="1635834.7"/>
    <n v="40"/>
    <x v="4"/>
    <s v="0-180 DAYS"/>
  </r>
  <r>
    <x v="1"/>
    <s v="O"/>
    <x v="54"/>
    <s v="24AABCS1698G3Z9"/>
    <s v="PIL2/D/196"/>
    <s v="24/05/2024"/>
    <n v="727027.5"/>
    <n v="38"/>
    <x v="4"/>
    <s v="0-180 DAYS"/>
  </r>
  <r>
    <x v="2"/>
    <s v="R"/>
    <x v="56"/>
    <s v="24AAFCP2956A1ZR"/>
    <s v="PIL2/DE/6/24-25"/>
    <s v="25/05/2024"/>
    <n v="539392.5"/>
    <n v="37"/>
    <x v="4"/>
    <s v="0-180 DAYS"/>
  </r>
  <r>
    <x v="2"/>
    <s v="R"/>
    <x v="56"/>
    <s v="24AAFCP2956A1ZR"/>
    <s v="PIL2/DE/8/24-25"/>
    <s v="25/05/2024"/>
    <n v="123795"/>
    <n v="37"/>
    <x v="4"/>
    <s v="0-180 DAYS"/>
  </r>
  <r>
    <x v="2"/>
    <s v="R"/>
    <x v="56"/>
    <s v="24AAFCP2956A1ZR"/>
    <s v="PIL2/D/203"/>
    <s v="26/05/2024"/>
    <n v="1283862.5900000001"/>
    <n v="36"/>
    <x v="4"/>
    <s v="0-180 DAYS"/>
  </r>
  <r>
    <x v="2"/>
    <s v="R"/>
    <x v="56"/>
    <s v="24AAFCP2956A1ZR"/>
    <s v="PIL2/D/204"/>
    <s v="26/05/2024"/>
    <n v="733497.5"/>
    <n v="36"/>
    <x v="4"/>
    <s v="0-180 DAYS"/>
  </r>
  <r>
    <x v="2"/>
    <s v="R"/>
    <x v="56"/>
    <s v="24AAFCP2956A1ZR"/>
    <s v="PIL2/D/207"/>
    <s v="27/05/2024"/>
    <n v="523174.18"/>
    <n v="35"/>
    <x v="4"/>
    <s v="0-180 DAYS"/>
  </r>
  <r>
    <x v="2"/>
    <s v="R"/>
    <x v="56"/>
    <s v="24AAFCP2956A1ZR"/>
    <s v="PIL2/D/208"/>
    <s v="27/05/2024"/>
    <n v="6338.3"/>
    <n v="35"/>
    <x v="4"/>
    <s v="0-180 DAYS"/>
  </r>
  <r>
    <x v="1"/>
    <s v="O"/>
    <x v="61"/>
    <s v="24AAACC7852K2ZI"/>
    <s v="PIL2/E/82/24-25"/>
    <s v="30/05/2024"/>
    <n v="448148.25"/>
    <n v="32"/>
    <x v="4"/>
    <s v="0-180 DAYS"/>
  </r>
  <r>
    <x v="1"/>
    <s v="O"/>
    <x v="55"/>
    <s v="24AAACC7852K1ZJ"/>
    <s v="PIL2/D/218"/>
    <s v="30/05/2024"/>
    <n v="608880"/>
    <n v="32"/>
    <x v="4"/>
    <s v="0-180 DAYS"/>
  </r>
  <r>
    <x v="2"/>
    <s v="R"/>
    <x v="56"/>
    <s v="24AAFCP2956A1ZR"/>
    <s v="PIL2/D/221"/>
    <s v="31/05/2024"/>
    <n v="213389.57"/>
    <n v="31"/>
    <x v="4"/>
    <s v="0-180 DAYS"/>
  </r>
  <r>
    <x v="2"/>
    <s v="R"/>
    <x v="56"/>
    <s v="24AAFCP2956A1ZR"/>
    <s v="PIL2/D/222"/>
    <s v="31/05/2024"/>
    <n v="2546.64"/>
    <n v="31"/>
    <x v="4"/>
    <s v="0-180 DAYS"/>
  </r>
  <r>
    <x v="2"/>
    <s v="R"/>
    <x v="56"/>
    <s v="24AAFCP2956A1ZR"/>
    <s v="PIL6/D/13"/>
    <s v="04/05/2024"/>
    <n v="1222824.99"/>
    <n v="58"/>
    <x v="4"/>
    <s v="0-180 DAYS"/>
  </r>
  <r>
    <x v="2"/>
    <s v="R"/>
    <x v="56"/>
    <s v="24AAFCP2956A1ZR"/>
    <s v="PIL6/D/15"/>
    <s v="09/05/2024"/>
    <n v="481105.14"/>
    <n v="53"/>
    <x v="4"/>
    <s v="0-180 DAYS"/>
  </r>
  <r>
    <x v="2"/>
    <s v="R"/>
    <x v="56"/>
    <s v="24AAFCP2956A1ZR"/>
    <s v="PIL6/D/16"/>
    <s v="14/05/2024"/>
    <n v="9962.5499999999993"/>
    <n v="48"/>
    <x v="4"/>
    <s v="0-180 DAYS"/>
  </r>
  <r>
    <x v="2"/>
    <s v="R"/>
    <x v="56"/>
    <s v="24AAFCP2956A1ZR"/>
    <s v="PIL6/D/18"/>
    <s v="20/05/2024"/>
    <n v="1176243.25"/>
    <n v="42"/>
    <x v="4"/>
    <s v="0-180 DAYS"/>
  </r>
  <r>
    <x v="2"/>
    <s v="R"/>
    <x v="56"/>
    <s v="24AAFCP2956A1ZR"/>
    <s v="PIL6/D/19"/>
    <s v="20/05/2024"/>
    <n v="136328.92000000001"/>
    <n v="42"/>
    <x v="4"/>
    <s v="0-180 DAYS"/>
  </r>
  <r>
    <x v="2"/>
    <s v="R"/>
    <x v="56"/>
    <s v="24AAFCP2956A1ZR"/>
    <s v="PIL6/D/25"/>
    <s v="26/05/2024"/>
    <n v="4193.1000000000004"/>
    <n v="36"/>
    <x v="4"/>
    <s v="0-180 DAYS"/>
  </r>
  <r>
    <x v="2"/>
    <s v="R"/>
    <x v="56"/>
    <s v="24AAFCP2956A1ZR"/>
    <s v="PIL6/D/26"/>
    <s v="28/05/2024"/>
    <n v="2029598.47"/>
    <n v="34"/>
    <x v="4"/>
    <s v="0-180 DAYS"/>
  </r>
  <r>
    <x v="2"/>
    <s v="R"/>
    <x v="56"/>
    <s v="24AAFCP2956A1ZR"/>
    <s v="PIL6/D/27"/>
    <s v="28/05/2024"/>
    <n v="19296.669999999998"/>
    <n v="34"/>
    <x v="4"/>
    <s v="0-180 DAYS"/>
  </r>
  <r>
    <x v="2"/>
    <s v="R"/>
    <x v="56"/>
    <s v="24AAFCP2956A1ZR"/>
    <s v="PIL6/D/28"/>
    <s v="28/05/2024"/>
    <n v="339.55"/>
    <n v="34"/>
    <x v="4"/>
    <s v="0-180 DAYS"/>
  </r>
  <r>
    <x v="2"/>
    <s v="R"/>
    <x v="56"/>
    <s v="24AAFCP2956A1ZR"/>
    <s v="PIL6/D/29"/>
    <s v="30/05/2024"/>
    <n v="5234.76"/>
    <n v="32"/>
    <x v="4"/>
    <s v="0-180 DAYS"/>
  </r>
  <r>
    <x v="0"/>
    <s v="O"/>
    <x v="62"/>
    <s v="99EXPOR0000E9Z9"/>
    <s v="PIL1/E/112/24-25"/>
    <s v="04/05/2024"/>
    <n v="3047692.2"/>
    <n v="58"/>
    <x v="2"/>
    <s v="0-180 DAYS"/>
  </r>
  <r>
    <x v="0"/>
    <s v="O"/>
    <x v="63"/>
    <s v="99EXPOR0000E9Z9"/>
    <s v="PIL1/E/114/24-25"/>
    <s v="05/05/2024"/>
    <n v="1884872.07"/>
    <n v="57"/>
    <x v="2"/>
    <s v="0-180 DAYS"/>
  </r>
  <r>
    <x v="0"/>
    <s v="O"/>
    <x v="17"/>
    <s v="99EXPOR0000E9Z9"/>
    <s v="PIL1/E/118/24-25"/>
    <s v="06/05/2024"/>
    <n v="2948658.24"/>
    <n v="56"/>
    <x v="2"/>
    <s v="0-180 DAYS"/>
  </r>
  <r>
    <x v="0"/>
    <s v="O"/>
    <x v="63"/>
    <s v="99EXPOR0000E9Z9"/>
    <s v="PIL1/E/115/24-25"/>
    <s v="06/05/2024"/>
    <n v="3040643.12"/>
    <n v="56"/>
    <x v="2"/>
    <s v="0-180 DAYS"/>
  </r>
  <r>
    <x v="0"/>
    <s v="O"/>
    <x v="40"/>
    <s v="99EXPOR0000E9Z9"/>
    <s v="PIL1/E/124/24-25"/>
    <s v="07/05/2024"/>
    <n v="3102133.86"/>
    <n v="55"/>
    <x v="2"/>
    <s v="0-180 DAYS"/>
  </r>
  <r>
    <x v="0"/>
    <s v="O"/>
    <x v="17"/>
    <s v="99EXPOR0000E9Z9"/>
    <s v="PIL1/E/128/24-25"/>
    <s v="08/05/2024"/>
    <n v="3086872.2"/>
    <n v="54"/>
    <x v="2"/>
    <s v="0-180 DAYS"/>
  </r>
  <r>
    <x v="0"/>
    <s v="O"/>
    <x v="18"/>
    <s v="99EXPOR0000E9Z9"/>
    <s v="PIL1/E/134/24-25"/>
    <s v="09/05/2024"/>
    <n v="2864488.7"/>
    <n v="53"/>
    <x v="2"/>
    <s v="0-180 DAYS"/>
  </r>
  <r>
    <x v="0"/>
    <s v="O"/>
    <x v="18"/>
    <s v="99EXPOR0000E9Z9"/>
    <s v="PIL1/E/135/24-25"/>
    <s v="09/05/2024"/>
    <n v="2866391.81"/>
    <n v="53"/>
    <x v="2"/>
    <s v="0-180 DAYS"/>
  </r>
  <r>
    <x v="0"/>
    <s v="O"/>
    <x v="64"/>
    <s v="99EXPOR0000E9Z9"/>
    <s v="PIL1/E/137/24-25"/>
    <s v="09/05/2024"/>
    <n v="2428654.7599999998"/>
    <n v="53"/>
    <x v="2"/>
    <s v="0-180 DAYS"/>
  </r>
  <r>
    <x v="0"/>
    <s v="O"/>
    <x v="40"/>
    <s v="99EXPOR0000E9Z9"/>
    <s v="PIL1/E/136/24-25"/>
    <s v="09/05/2024"/>
    <n v="3104417.75"/>
    <n v="53"/>
    <x v="2"/>
    <s v="0-180 DAYS"/>
  </r>
  <r>
    <x v="0"/>
    <s v="O"/>
    <x v="20"/>
    <s v="99EXPOR0000E9Z9"/>
    <s v="PIL1/E/145/24-25"/>
    <s v="10/05/2024"/>
    <n v="2407955.2000000002"/>
    <n v="52"/>
    <x v="2"/>
    <s v="0-180 DAYS"/>
  </r>
  <r>
    <x v="0"/>
    <s v="O"/>
    <x v="65"/>
    <s v="99EXPOR0000E9Z9"/>
    <s v="PIL1/E/148/24-25"/>
    <s v="11/05/2024"/>
    <n v="3009283.2"/>
    <n v="51"/>
    <x v="2"/>
    <s v="0-180 DAYS"/>
  </r>
  <r>
    <x v="0"/>
    <s v="O"/>
    <x v="18"/>
    <s v="99EXPOR0000E9Z9"/>
    <s v="PIL1/E/159/24-25"/>
    <s v="15/05/2024"/>
    <n v="2886894.78"/>
    <n v="47"/>
    <x v="2"/>
    <s v="0-180 DAYS"/>
  </r>
  <r>
    <x v="0"/>
    <s v="O"/>
    <x v="40"/>
    <s v="99EXPOR0000E9Z9"/>
    <s v="PIL1/E/158/24-25"/>
    <s v="15/05/2024"/>
    <n v="3210472.02"/>
    <n v="47"/>
    <x v="2"/>
    <s v="0-180 DAYS"/>
  </r>
  <r>
    <x v="0"/>
    <s v="O"/>
    <x v="18"/>
    <s v="99EXPOR0000E9Z9"/>
    <s v="PIL1/E/168/24-25"/>
    <s v="16/05/2024"/>
    <n v="2871043.84"/>
    <n v="46"/>
    <x v="2"/>
    <s v="0-180 DAYS"/>
  </r>
  <r>
    <x v="0"/>
    <s v="O"/>
    <x v="27"/>
    <s v="99EXPOR0000E9Z9"/>
    <s v="PIL1/E/160/24-25"/>
    <s v="16/05/2024"/>
    <n v="2911164.31"/>
    <n v="46"/>
    <x v="2"/>
    <s v="0-180 DAYS"/>
  </r>
  <r>
    <x v="0"/>
    <s v="O"/>
    <x v="63"/>
    <s v="99EXPOR0000E9Z9"/>
    <s v="PIL1/E/163/24-25"/>
    <s v="16/05/2024"/>
    <n v="3040109.52"/>
    <n v="46"/>
    <x v="2"/>
    <s v="0-180 DAYS"/>
  </r>
  <r>
    <x v="0"/>
    <s v="O"/>
    <x v="63"/>
    <s v="99EXPOR0000E9Z9"/>
    <s v="PIL1/E/167/24-25"/>
    <s v="16/05/2024"/>
    <n v="3094937.75"/>
    <n v="46"/>
    <x v="2"/>
    <s v="0-180 DAYS"/>
  </r>
  <r>
    <x v="0"/>
    <s v="O"/>
    <x v="18"/>
    <s v="99EXPOR0000E9Z9"/>
    <s v="PIL1/E/171/24-25"/>
    <s v="17/05/2024"/>
    <n v="2875955.52"/>
    <n v="45"/>
    <x v="2"/>
    <s v="0-180 DAYS"/>
  </r>
  <r>
    <x v="0"/>
    <s v="O"/>
    <x v="18"/>
    <s v="99EXPOR0000E9Z9"/>
    <s v="PIL1/E/174/24-25"/>
    <s v="18/05/2024"/>
    <n v="2863789.44"/>
    <n v="44"/>
    <x v="2"/>
    <s v="0-180 DAYS"/>
  </r>
  <r>
    <x v="0"/>
    <s v="O"/>
    <x v="17"/>
    <s v="99EXPOR0000E9Z9"/>
    <s v="PIL1/E/176/24-25"/>
    <s v="18/05/2024"/>
    <n v="3175463.26"/>
    <n v="44"/>
    <x v="2"/>
    <s v="0-180 DAYS"/>
  </r>
  <r>
    <x v="0"/>
    <s v="O"/>
    <x v="66"/>
    <s v="99EXPOR0000E9Z9"/>
    <s v="PIL1/E/175/24-25"/>
    <s v="18/05/2024"/>
    <n v="3917050.39"/>
    <n v="44"/>
    <x v="2"/>
    <s v="0-180 DAYS"/>
  </r>
  <r>
    <x v="0"/>
    <s v="O"/>
    <x v="25"/>
    <s v="99EXPOR0000E9Z9"/>
    <s v="PIL1/E/190/24-25"/>
    <s v="22/05/2024"/>
    <n v="3990553.58"/>
    <n v="40"/>
    <x v="2"/>
    <s v="0-180 DAYS"/>
  </r>
  <r>
    <x v="0"/>
    <s v="O"/>
    <x v="18"/>
    <s v="99EXPOR0000E9Z9"/>
    <s v="PIL1/E/196/24-25"/>
    <s v="23/05/2024"/>
    <n v="2885794.18"/>
    <n v="39"/>
    <x v="2"/>
    <s v="0-180 DAYS"/>
  </r>
  <r>
    <x v="0"/>
    <s v="O"/>
    <x v="40"/>
    <s v="99EXPOR0000E9Z9"/>
    <s v="PIL1/E/199/24-25"/>
    <s v="24/05/2024"/>
    <n v="3194232.41"/>
    <n v="38"/>
    <x v="2"/>
    <s v="0-180 DAYS"/>
  </r>
  <r>
    <x v="0"/>
    <s v="O"/>
    <x v="40"/>
    <s v="99EXPOR0000E9Z9"/>
    <s v="PIL1/E/200/24-25"/>
    <s v="24/05/2024"/>
    <n v="3167776.14"/>
    <n v="38"/>
    <x v="2"/>
    <s v="0-180 DAYS"/>
  </r>
  <r>
    <x v="0"/>
    <s v="O"/>
    <x v="18"/>
    <s v="99EXPOR0000E9Z9"/>
    <s v="PIL1/E/205/24-25"/>
    <s v="26/05/2024"/>
    <n v="2878811.9"/>
    <n v="36"/>
    <x v="2"/>
    <s v="0-180 DAYS"/>
  </r>
  <r>
    <x v="0"/>
    <s v="O"/>
    <x v="67"/>
    <s v="99EXPOR0000E9Z9"/>
    <s v="PIL1/E/206/24-25"/>
    <s v="26/05/2024"/>
    <n v="1407487.03"/>
    <n v="36"/>
    <x v="2"/>
    <s v="0-180 DAYS"/>
  </r>
  <r>
    <x v="0"/>
    <s v="O"/>
    <x v="67"/>
    <s v="99EXPOR0000E9Z9"/>
    <s v="PIL1/E/207/24-25"/>
    <s v="26/05/2024"/>
    <n v="2911834.71"/>
    <n v="36"/>
    <x v="2"/>
    <s v="0-180 DAYS"/>
  </r>
  <r>
    <x v="2"/>
    <s v="R"/>
    <x v="16"/>
    <s v="99EXPOR0000E9Z9"/>
    <s v="PIL1/E/214/24-25"/>
    <s v="27/05/2024"/>
    <n v="1719678.72"/>
    <n v="35"/>
    <x v="4"/>
    <s v="0-180 DAYS"/>
  </r>
  <r>
    <x v="2"/>
    <s v="R"/>
    <x v="16"/>
    <s v="99EXPOR0000E9Z9"/>
    <s v="PIL1/E/215/24-25"/>
    <s v="27/05/2024"/>
    <n v="1293318.77"/>
    <n v="35"/>
    <x v="4"/>
    <s v="0-180 DAYS"/>
  </r>
  <r>
    <x v="2"/>
    <s v="R"/>
    <x v="16"/>
    <s v="99EXPOR0000E9Z9"/>
    <s v="PIL1/E/216/24-25"/>
    <s v="27/05/2024"/>
    <n v="331389.31"/>
    <n v="35"/>
    <x v="4"/>
    <s v="0-180 DAYS"/>
  </r>
  <r>
    <x v="0"/>
    <s v="O"/>
    <x v="62"/>
    <s v="99EXPOR0000E9Z9"/>
    <s v="PIL1/E/221/24-25"/>
    <s v="28/05/2024"/>
    <n v="3163081.62"/>
    <n v="34"/>
    <x v="2"/>
    <s v="0-180 DAYS"/>
  </r>
  <r>
    <x v="0"/>
    <s v="O"/>
    <x v="18"/>
    <s v="99EXPOR0000E9Z9"/>
    <s v="PIL1/E/229/24-25"/>
    <s v="31/05/2024"/>
    <n v="2879340.86"/>
    <n v="31"/>
    <x v="2"/>
    <s v="0-180 DAYS"/>
  </r>
  <r>
    <x v="0"/>
    <s v="O"/>
    <x v="49"/>
    <s v="99EXPOR0000E9Z9"/>
    <s v="PIL1/E/230/24-25"/>
    <s v="31/05/2024"/>
    <n v="3443170.07"/>
    <n v="31"/>
    <x v="2"/>
    <s v="0-180 DAYS"/>
  </r>
  <r>
    <x v="0"/>
    <s v="O"/>
    <x v="4"/>
    <s v="99EXPOR0000E9Z9"/>
    <s v="PIL2/E/37/24-25"/>
    <s v="01/05/2024"/>
    <n v="2893712.16"/>
    <n v="61"/>
    <x v="2"/>
    <s v="0-180 DAYS"/>
  </r>
  <r>
    <x v="0"/>
    <s v="O"/>
    <x v="5"/>
    <s v="99EXPOR0000E9Z9"/>
    <s v="PIL2/E/39/24-25"/>
    <s v="03/05/2024"/>
    <n v="1724588.88"/>
    <n v="59"/>
    <x v="2"/>
    <s v="0-180 DAYS"/>
  </r>
  <r>
    <x v="0"/>
    <s v="O"/>
    <x v="34"/>
    <s v="99EXPOR0000E9Z9"/>
    <s v="PIL2/E/48/24-25"/>
    <s v="07/05/2024"/>
    <n v="3290784"/>
    <n v="55"/>
    <x v="2"/>
    <s v="0-180 DAYS"/>
  </r>
  <r>
    <x v="0"/>
    <s v="O"/>
    <x v="3"/>
    <s v="99EXPOR0000E9Z9"/>
    <s v="PIL2/E/44/24-25"/>
    <s v="07/05/2024"/>
    <n v="113497.35"/>
    <n v="55"/>
    <x v="2"/>
    <s v="0-180 DAYS"/>
  </r>
  <r>
    <x v="0"/>
    <s v="O"/>
    <x v="3"/>
    <s v="99EXPOR0000E9Z9"/>
    <s v="PIL2/E/45/24-25"/>
    <s v="07/05/2024"/>
    <n v="1894204.67"/>
    <n v="55"/>
    <x v="2"/>
    <s v="0-180 DAYS"/>
  </r>
  <r>
    <x v="0"/>
    <s v="O"/>
    <x v="3"/>
    <s v="99EXPOR0000E9Z9"/>
    <s v="PIL2/E/46/24-25"/>
    <s v="07/05/2024"/>
    <n v="114539.76"/>
    <n v="55"/>
    <x v="2"/>
    <s v="0-180 DAYS"/>
  </r>
  <r>
    <x v="0"/>
    <s v="O"/>
    <x v="3"/>
    <s v="99EXPOR0000E9Z9"/>
    <s v="PIL2/E/49/24-25"/>
    <s v="07/05/2024"/>
    <n v="150414.6"/>
    <n v="55"/>
    <x v="2"/>
    <s v="0-180 DAYS"/>
  </r>
  <r>
    <x v="0"/>
    <s v="O"/>
    <x v="3"/>
    <s v="99EXPOR0000E9Z9"/>
    <s v="PIL2/E/50/24-25"/>
    <s v="07/05/2024"/>
    <n v="2433676.84"/>
    <n v="55"/>
    <x v="2"/>
    <s v="0-180 DAYS"/>
  </r>
  <r>
    <x v="0"/>
    <s v="O"/>
    <x v="68"/>
    <s v="99EXPOR0000E9Z9"/>
    <s v="PIL2/E/51/24-25"/>
    <s v="07/05/2024"/>
    <n v="3034724"/>
    <n v="55"/>
    <x v="2"/>
    <s v="0-180 DAYS"/>
  </r>
  <r>
    <x v="0"/>
    <s v="O"/>
    <x v="3"/>
    <s v="99EXPOR0000E9Z9"/>
    <s v="PIL2/E/52/24-25"/>
    <s v="08/05/2024"/>
    <n v="3091028.29"/>
    <n v="54"/>
    <x v="2"/>
    <s v="0-180 DAYS"/>
  </r>
  <r>
    <x v="0"/>
    <s v="O"/>
    <x v="5"/>
    <s v="99EXPOR0000E9Z9"/>
    <s v="PIL2/E/55/24-25"/>
    <s v="10/05/2024"/>
    <n v="3047940"/>
    <n v="52"/>
    <x v="2"/>
    <s v="0-180 DAYS"/>
  </r>
  <r>
    <x v="0"/>
    <s v="O"/>
    <x v="31"/>
    <s v="99EXPOR0000E9Z9"/>
    <s v="PIL2/E/58/24-25"/>
    <s v="15/05/2024"/>
    <n v="3646624.8"/>
    <n v="47"/>
    <x v="2"/>
    <s v="0-180 DAYS"/>
  </r>
  <r>
    <x v="0"/>
    <s v="O"/>
    <x v="69"/>
    <s v="99EXPOR0000E9Z9"/>
    <s v="PIL2/E/59/24-25"/>
    <s v="15/05/2024"/>
    <n v="1885702"/>
    <n v="47"/>
    <x v="2"/>
    <s v="0-180 DAYS"/>
  </r>
  <r>
    <x v="0"/>
    <s v="O"/>
    <x v="23"/>
    <s v="99EXPOR0000E9Z9"/>
    <s v="PIL2/E/60/24-25"/>
    <s v="16/05/2024"/>
    <n v="3144240.14"/>
    <n v="46"/>
    <x v="2"/>
    <s v="0-180 DAYS"/>
  </r>
  <r>
    <x v="0"/>
    <s v="O"/>
    <x v="17"/>
    <s v="99EXPOR0000E9Z9"/>
    <s v="PIL2/E/62/24-25"/>
    <s v="17/05/2024"/>
    <n v="3211239"/>
    <n v="45"/>
    <x v="2"/>
    <s v="0-180 DAYS"/>
  </r>
  <r>
    <x v="0"/>
    <s v="O"/>
    <x v="17"/>
    <s v="99EXPOR0000E9Z9"/>
    <s v="PIL2/E/63/24-25"/>
    <s v="18/05/2024"/>
    <n v="3182450.43"/>
    <n v="44"/>
    <x v="2"/>
    <s v="0-180 DAYS"/>
  </r>
  <r>
    <x v="0"/>
    <s v="O"/>
    <x v="4"/>
    <s v="99EXPOR0000E9Z9"/>
    <s v="PIL2/TP/001"/>
    <s v="20/05/2024"/>
    <n v="2852239.64"/>
    <n v="42"/>
    <x v="2"/>
    <s v="0-180 DAYS"/>
  </r>
  <r>
    <x v="0"/>
    <s v="O"/>
    <x v="70"/>
    <s v="99EXPOR0000E9Z9"/>
    <s v="PIL2/E/67/24-25"/>
    <s v="22/05/2024"/>
    <n v="2905961.6"/>
    <n v="40"/>
    <x v="2"/>
    <s v="0-180 DAYS"/>
  </r>
  <r>
    <x v="0"/>
    <s v="O"/>
    <x v="69"/>
    <s v="99EXPOR0000E9Z9"/>
    <s v="PIL2/E/68/24-25"/>
    <s v="22/05/2024"/>
    <n v="3059397.61"/>
    <n v="40"/>
    <x v="2"/>
    <s v="0-180 DAYS"/>
  </r>
  <r>
    <x v="0"/>
    <s v="O"/>
    <x v="17"/>
    <s v="99EXPOR0000E9Z9"/>
    <s v="PIL2/E/72/24-25"/>
    <s v="24/05/2024"/>
    <n v="2953911"/>
    <n v="38"/>
    <x v="2"/>
    <s v="0-180 DAYS"/>
  </r>
  <r>
    <x v="0"/>
    <s v="O"/>
    <x v="3"/>
    <s v="99EXPOR0000E9Z9"/>
    <s v="PIL2/E/73/24-25"/>
    <s v="25/05/2024"/>
    <n v="1978545.95"/>
    <n v="37"/>
    <x v="2"/>
    <s v="0-180 DAYS"/>
  </r>
  <r>
    <x v="0"/>
    <s v="O"/>
    <x v="3"/>
    <s v="99EXPOR0000E9Z9"/>
    <s v="PIL2/E/74/24-25"/>
    <s v="25/05/2024"/>
    <n v="212245.2"/>
    <n v="37"/>
    <x v="2"/>
    <s v="0-180 DAYS"/>
  </r>
  <r>
    <x v="0"/>
    <s v="O"/>
    <x v="3"/>
    <s v="99EXPOR0000E9Z9"/>
    <s v="PIL2/E/75/24-25"/>
    <s v="25/05/2024"/>
    <n v="530613"/>
    <n v="37"/>
    <x v="2"/>
    <s v="0-180 DAYS"/>
  </r>
  <r>
    <x v="0"/>
    <s v="O"/>
    <x v="3"/>
    <s v="99EXPOR0000E9Z9"/>
    <s v="PIL2/E/76/24-25"/>
    <s v="25/05/2024"/>
    <n v="2283845.96"/>
    <n v="37"/>
    <x v="2"/>
    <s v="0-180 DAYS"/>
  </r>
  <r>
    <x v="0"/>
    <s v="O"/>
    <x v="71"/>
    <s v="99EXPOR0000E9Z9"/>
    <s v="PIL2/E/81/24-25"/>
    <s v="28/05/2024"/>
    <n v="5395392"/>
    <n v="34"/>
    <x v="2"/>
    <s v="0-180 DAYS"/>
  </r>
  <r>
    <x v="0"/>
    <s v="O"/>
    <x v="4"/>
    <s v="99EXPOR0000E9Z9"/>
    <s v="PIL2/TP/002"/>
    <s v="29/05/2024"/>
    <n v="2852239.77"/>
    <n v="33"/>
    <x v="2"/>
    <s v="0-180 DAYS"/>
  </r>
  <r>
    <x v="0"/>
    <s v="O"/>
    <x v="34"/>
    <s v="99EXPOR0000E9Z9"/>
    <s v="PIL2/E/83/24-25"/>
    <s v="30/05/2024"/>
    <n v="3292776"/>
    <n v="32"/>
    <x v="2"/>
    <s v="0-180 DAYS"/>
  </r>
  <r>
    <x v="0"/>
    <s v="O"/>
    <x v="72"/>
    <s v="99EXPOR0000E9Z9"/>
    <s v="PIL2/E/84/24-25"/>
    <s v="30/05/2024"/>
    <n v="3373578.77"/>
    <n v="32"/>
    <x v="2"/>
    <s v="0-180 DAYS"/>
  </r>
  <r>
    <x v="0"/>
    <s v="O"/>
    <x v="45"/>
    <s v="99EXPOR0000E9Z9"/>
    <s v="PIL2/E/87/24-25"/>
    <s v="31/05/2024"/>
    <n v="1891932.64"/>
    <n v="31"/>
    <x v="2"/>
    <s v="0-180 DAYS"/>
  </r>
  <r>
    <x v="0"/>
    <s v="O"/>
    <x v="73"/>
    <s v="99EXPOR0000E9Z9"/>
    <s v="PIL6/E/34/24-25"/>
    <s v="04/05/2024"/>
    <n v="3318537.6"/>
    <n v="58"/>
    <x v="2"/>
    <s v="0-180 DAYS"/>
  </r>
  <r>
    <x v="0"/>
    <s v="O"/>
    <x v="74"/>
    <s v="99EXPOR0000E9Z9"/>
    <s v="PIL6/E/40/24-25"/>
    <s v="09/05/2024"/>
    <n v="1357730.7000000002"/>
    <n v="53"/>
    <x v="2"/>
    <s v="0-180 DAYS"/>
  </r>
  <r>
    <x v="0"/>
    <s v="O"/>
    <x v="29"/>
    <s v="99EXPOR0000E9Z9"/>
    <s v="PIL6/E/41/24-25"/>
    <s v="10/05/2024"/>
    <n v="3044966.3999999999"/>
    <n v="52"/>
    <x v="2"/>
    <s v="0-180 DAYS"/>
  </r>
  <r>
    <x v="0"/>
    <s v="O"/>
    <x v="3"/>
    <s v="99EXPOR0000E9Z9"/>
    <s v="PIL6/E/44/24-25"/>
    <s v="14/05/2024"/>
    <n v="3082632"/>
    <n v="48"/>
    <x v="2"/>
    <s v="0-180 DAYS"/>
  </r>
  <r>
    <x v="0"/>
    <s v="O"/>
    <x v="35"/>
    <s v="99EXPOR0000E9Z9"/>
    <s v="PIL6/E/43/24-25"/>
    <s v="14/05/2024"/>
    <n v="3354014.3"/>
    <n v="48"/>
    <x v="2"/>
    <s v="0-180 DAYS"/>
  </r>
  <r>
    <x v="0"/>
    <s v="O"/>
    <x v="75"/>
    <s v="99EXPOR0000E9Z9"/>
    <s v="PIL6/E/45/24-25"/>
    <s v="15/05/2024"/>
    <n v="1862808"/>
    <n v="47"/>
    <x v="2"/>
    <s v="0-180 DAYS"/>
  </r>
  <r>
    <x v="0"/>
    <s v="O"/>
    <x v="26"/>
    <s v="99EXPOR0000E9Z9"/>
    <s v="PIL6/E/46/24-25"/>
    <s v="16/05/2024"/>
    <n v="3586646.39"/>
    <n v="46"/>
    <x v="2"/>
    <s v="0-180 DAYS"/>
  </r>
  <r>
    <x v="0"/>
    <s v="O"/>
    <x v="35"/>
    <s v="99EXPOR0000E9Z9"/>
    <s v="PIL6/E/47/24-25"/>
    <s v="17/05/2024"/>
    <n v="3636476.03"/>
    <n v="45"/>
    <x v="2"/>
    <s v="0-180 DAYS"/>
  </r>
  <r>
    <x v="0"/>
    <s v="O"/>
    <x v="76"/>
    <s v="99EXPOR0000E9Z9"/>
    <s v="PIL6/E/48/24-25"/>
    <s v="20/05/2024"/>
    <n v="1804823.15"/>
    <n v="42"/>
    <x v="2"/>
    <s v="0-180 DAYS"/>
  </r>
  <r>
    <x v="0"/>
    <s v="O"/>
    <x v="29"/>
    <s v="99EXPOR0000E9Z9"/>
    <s v="PIL6/E/49/24-25"/>
    <s v="22/05/2024"/>
    <n v="3046809.6000000001"/>
    <n v="40"/>
    <x v="2"/>
    <s v="0-180 DAYS"/>
  </r>
  <r>
    <x v="0"/>
    <s v="O"/>
    <x v="77"/>
    <s v="99EXPOR0000E9Z9"/>
    <s v="PIL6/E/50/24-25"/>
    <s v="24/05/2024"/>
    <n v="3821283.76"/>
    <n v="38"/>
    <x v="2"/>
    <s v="0-180 DAYS"/>
  </r>
  <r>
    <x v="0"/>
    <s v="O"/>
    <x v="78"/>
    <s v="99EXPOR0000E9Z9"/>
    <s v="PIL6/E/51/24-25"/>
    <s v="26/05/2024"/>
    <n v="2022897.4"/>
    <n v="36"/>
    <x v="2"/>
    <s v="0-180 DAYS"/>
  </r>
  <r>
    <x v="3"/>
    <s v="G"/>
    <x v="79"/>
    <s v="99EXPOR0000E9Z9"/>
    <s v="June-24"/>
    <d v="2024-06-01T00:00:00"/>
    <n v="33691755.010000013"/>
    <n v="30"/>
    <x v="4"/>
    <s v="0-180 DAYS"/>
  </r>
  <r>
    <x v="3"/>
    <s v="G"/>
    <x v="80"/>
    <s v="99EXPOR0000E9Z9"/>
    <s v="June-24"/>
    <d v="2024-06-01T00:00:00"/>
    <n v="41529137.147555202"/>
    <n v="30"/>
    <x v="4"/>
    <s v="0-180 DAYS"/>
  </r>
  <r>
    <x v="0"/>
    <s v="O"/>
    <x v="20"/>
    <s v="99EXPOR0000E9Z9"/>
    <s v="PIL1/E/232/24-25"/>
    <d v="2024-06-01T00:00:00"/>
    <n v="32280.2"/>
    <n v="30"/>
    <x v="2"/>
    <s v="0-180 DAYS"/>
  </r>
  <r>
    <x v="0"/>
    <s v="O"/>
    <x v="62"/>
    <s v="99EXPOR0000E9Z9"/>
    <s v="PIL1/E/238/24-25"/>
    <d v="2024-06-03T00:00:00"/>
    <n v="3187273.28"/>
    <n v="28"/>
    <x v="2"/>
    <s v="0-180 DAYS"/>
  </r>
  <r>
    <x v="0"/>
    <s v="O"/>
    <x v="23"/>
    <s v="99EXPOR0000E9Z9"/>
    <s v="PIL1/E/242/24-25"/>
    <d v="2024-06-04T00:00:00"/>
    <n v="3363893.48"/>
    <n v="27"/>
    <x v="2"/>
    <s v="0-180 DAYS"/>
  </r>
  <r>
    <x v="0"/>
    <s v="O"/>
    <x v="40"/>
    <s v="99EXPOR0000E9Z9"/>
    <s v="PIL1/E/254/24-25"/>
    <d v="2024-06-07T00:00:00"/>
    <n v="3210166.4"/>
    <n v="24"/>
    <x v="2"/>
    <s v="0-180 DAYS"/>
  </r>
  <r>
    <x v="0"/>
    <s v="O"/>
    <x v="81"/>
    <s v="99EXPOR0000E9Z9"/>
    <s v="PIL1/E/253/24-25"/>
    <d v="2024-06-07T00:00:00"/>
    <n v="22677"/>
    <n v="24"/>
    <x v="2"/>
    <s v="0-180 DAYS"/>
  </r>
  <r>
    <x v="0"/>
    <s v="O"/>
    <x v="42"/>
    <s v="99EXPOR0000E9Z9"/>
    <s v="PIL1/E/260/24-25"/>
    <d v="2024-06-08T00:00:00"/>
    <n v="3324650.61"/>
    <n v="23"/>
    <x v="2"/>
    <s v="0-180 DAYS"/>
  </r>
  <r>
    <x v="0"/>
    <s v="O"/>
    <x v="42"/>
    <s v="99EXPOR0000E9Z9"/>
    <s v="PIL1/E/261/24-25"/>
    <d v="2024-06-08T00:00:00"/>
    <n v="178153.5"/>
    <n v="23"/>
    <x v="2"/>
    <s v="0-180 DAYS"/>
  </r>
  <r>
    <x v="0"/>
    <s v="O"/>
    <x v="40"/>
    <s v="99EXPOR0000E9Z9"/>
    <s v="PIL1/E/259/24-25"/>
    <d v="2024-06-08T00:00:00"/>
    <n v="3081872.08"/>
    <n v="23"/>
    <x v="2"/>
    <s v="0-180 DAYS"/>
  </r>
  <r>
    <x v="0"/>
    <s v="O"/>
    <x v="40"/>
    <s v="99EXPOR0000E9Z9"/>
    <s v="PIL1/E/270/24-25"/>
    <d v="2024-06-13T00:00:00"/>
    <n v="2889628.84"/>
    <n v="18"/>
    <x v="2"/>
    <s v="0-180 DAYS"/>
  </r>
  <r>
    <x v="0"/>
    <s v="O"/>
    <x v="18"/>
    <s v="99EXPOR0000E9Z9"/>
    <s v="PIL1/E/275/24-25"/>
    <d v="2024-06-14T00:00:00"/>
    <n v="3090967.99"/>
    <n v="17"/>
    <x v="2"/>
    <s v="0-180 DAYS"/>
  </r>
  <r>
    <x v="0"/>
    <s v="O"/>
    <x v="18"/>
    <s v="99EXPOR0000E9Z9"/>
    <s v="PIL1/E/276/24-25"/>
    <d v="2024-06-14T00:00:00"/>
    <n v="3110844.86"/>
    <n v="17"/>
    <x v="2"/>
    <s v="0-180 DAYS"/>
  </r>
  <r>
    <x v="0"/>
    <s v="O"/>
    <x v="40"/>
    <s v="99EXPOR0000E9Z9"/>
    <s v="PIL1/E/277/24-25"/>
    <d v="2024-06-14T00:00:00"/>
    <n v="2922421.04"/>
    <n v="17"/>
    <x v="2"/>
    <s v="0-180 DAYS"/>
  </r>
  <r>
    <x v="0"/>
    <s v="O"/>
    <x v="81"/>
    <s v="99EXPOR0000E9Z9"/>
    <s v="PIL1/E/278/24-25"/>
    <d v="2024-06-14T00:00:00"/>
    <n v="8916.42"/>
    <n v="17"/>
    <x v="2"/>
    <s v="0-180 DAYS"/>
  </r>
  <r>
    <x v="0"/>
    <s v="O"/>
    <x v="73"/>
    <s v="99EXPOR0000E9Z9"/>
    <s v="PIL1/JW/006"/>
    <d v="2024-06-14T00:00:00"/>
    <n v="2991475.3"/>
    <n v="17"/>
    <x v="2"/>
    <s v="0-180 DAYS"/>
  </r>
  <r>
    <x v="0"/>
    <s v="O"/>
    <x v="18"/>
    <s v="99EXPOR0000E9Z9"/>
    <s v="PIL1/E/284/24-25"/>
    <d v="2024-06-15T00:00:00"/>
    <n v="2911121.36"/>
    <n v="16"/>
    <x v="2"/>
    <s v="0-180 DAYS"/>
  </r>
  <r>
    <x v="0"/>
    <s v="O"/>
    <x v="81"/>
    <s v="99EXPOR0000E9Z9"/>
    <s v="PIL1/E/281/24-25"/>
    <d v="2024-06-15T00:00:00"/>
    <n v="206543"/>
    <n v="16"/>
    <x v="2"/>
    <s v="0-180 DAYS"/>
  </r>
  <r>
    <x v="0"/>
    <s v="O"/>
    <x v="81"/>
    <s v="99EXPOR0000E9Z9"/>
    <s v="PIL1/E/282/24-25"/>
    <d v="2024-06-15T00:00:00"/>
    <n v="5075.58"/>
    <n v="16"/>
    <x v="2"/>
    <s v="0-180 DAYS"/>
  </r>
  <r>
    <x v="0"/>
    <s v="O"/>
    <x v="18"/>
    <s v="99EXPOR0000E9Z9"/>
    <s v="PIL1/E/286/24-25"/>
    <d v="2024-06-16T00:00:00"/>
    <n v="2873581.31"/>
    <n v="15"/>
    <x v="2"/>
    <s v="0-180 DAYS"/>
  </r>
  <r>
    <x v="0"/>
    <s v="O"/>
    <x v="81"/>
    <s v="99EXPOR0000E9Z9"/>
    <s v="PIL1/E/287/24-25"/>
    <d v="2024-06-17T00:00:00"/>
    <n v="21454"/>
    <n v="14"/>
    <x v="2"/>
    <s v="0-180 DAYS"/>
  </r>
  <r>
    <x v="0"/>
    <s v="O"/>
    <x v="81"/>
    <s v="99EXPOR0000E9Z9"/>
    <s v="PIL1/E/289/24-25"/>
    <d v="2024-06-17T00:00:00"/>
    <n v="172402"/>
    <n v="14"/>
    <x v="2"/>
    <s v="0-180 DAYS"/>
  </r>
  <r>
    <x v="0"/>
    <s v="O"/>
    <x v="23"/>
    <s v="99EXPOR0000E9Z9"/>
    <s v="PIL1/E/288/24-25"/>
    <d v="2024-06-17T00:00:00"/>
    <n v="2988049.44"/>
    <n v="14"/>
    <x v="2"/>
    <s v="0-180 DAYS"/>
  </r>
  <r>
    <x v="0"/>
    <s v="O"/>
    <x v="65"/>
    <s v="99EXPOR0000E9Z9"/>
    <s v="PIL1/E/295/24-25"/>
    <d v="2024-06-18T00:00:00"/>
    <n v="3009283.2"/>
    <n v="13"/>
    <x v="2"/>
    <s v="0-180 DAYS"/>
  </r>
  <r>
    <x v="0"/>
    <s v="O"/>
    <x v="65"/>
    <s v="99EXPOR0000E9Z9"/>
    <s v="PIL1/E/296/24-25"/>
    <d v="2024-06-18T00:00:00"/>
    <n v="3009283.2"/>
    <n v="13"/>
    <x v="2"/>
    <s v="0-180 DAYS"/>
  </r>
  <r>
    <x v="0"/>
    <s v="O"/>
    <x v="65"/>
    <s v="99EXPOR0000E9Z9"/>
    <s v="PIL1/E/297/24-25"/>
    <d v="2024-06-18T00:00:00"/>
    <n v="3009283.2"/>
    <n v="13"/>
    <x v="2"/>
    <s v="0-180 DAYS"/>
  </r>
  <r>
    <x v="0"/>
    <s v="O"/>
    <x v="26"/>
    <s v="99EXPOR0000E9Z9"/>
    <s v="PIL1/E/298/24-25"/>
    <d v="2024-06-19T00:00:00"/>
    <n v="3550041.53"/>
    <n v="12"/>
    <x v="2"/>
    <s v="0-180 DAYS"/>
  </r>
  <r>
    <x v="0"/>
    <s v="O"/>
    <x v="82"/>
    <s v="99EXPOR0000E9Z9"/>
    <s v="PIL1/E/299/24-25"/>
    <d v="2024-06-19T00:00:00"/>
    <n v="2797513.32"/>
    <n v="12"/>
    <x v="2"/>
    <s v="0-180 DAYS"/>
  </r>
  <r>
    <x v="0"/>
    <s v="O"/>
    <x v="81"/>
    <s v="99EXPOR0000E9Z9"/>
    <s v="PIL1/E/301/24-25"/>
    <d v="2024-06-20T00:00:00"/>
    <n v="152847"/>
    <n v="11"/>
    <x v="2"/>
    <s v="0-180 DAYS"/>
  </r>
  <r>
    <x v="0"/>
    <s v="O"/>
    <x v="18"/>
    <s v="99EXPOR0000E9Z9"/>
    <s v="PIL1/E/312/24-25"/>
    <d v="2024-06-22T00:00:00"/>
    <n v="3116956.43"/>
    <n v="9"/>
    <x v="2"/>
    <s v="0-180 DAYS"/>
  </r>
  <r>
    <x v="0"/>
    <s v="O"/>
    <x v="81"/>
    <s v="99EXPOR0000E9Z9"/>
    <s v="PIL1/E/311/24-25"/>
    <d v="2024-06-22T00:00:00"/>
    <n v="85749"/>
    <n v="9"/>
    <x v="2"/>
    <s v="0-180 DAYS"/>
  </r>
  <r>
    <x v="0"/>
    <s v="O"/>
    <x v="20"/>
    <s v="99EXPOR0000E9Z9"/>
    <s v="PIL1/JW/007"/>
    <d v="2024-06-22T00:00:00"/>
    <n v="3465210.44"/>
    <n v="9"/>
    <x v="2"/>
    <s v="0-180 DAYS"/>
  </r>
  <r>
    <x v="0"/>
    <s v="O"/>
    <x v="3"/>
    <s v="99EXPOR0000E9Z9"/>
    <s v="PIL1/JW/008"/>
    <d v="2024-06-22T00:00:00"/>
    <n v="4073311.78"/>
    <n v="9"/>
    <x v="2"/>
    <s v="0-180 DAYS"/>
  </r>
  <r>
    <x v="0"/>
    <s v="O"/>
    <x v="18"/>
    <s v="99EXPOR0000E9Z9"/>
    <s v="PIL1/E/313/24-25"/>
    <d v="2024-06-23T00:00:00"/>
    <n v="2857193.47"/>
    <n v="8"/>
    <x v="2"/>
    <s v="0-180 DAYS"/>
  </r>
  <r>
    <x v="0"/>
    <s v="O"/>
    <x v="40"/>
    <s v="99EXPOR0000E9Z9"/>
    <s v="PIL1/E/319/24-25"/>
    <d v="2024-06-24T00:00:00"/>
    <n v="2848213.2"/>
    <n v="7"/>
    <x v="2"/>
    <s v="0-180 DAYS"/>
  </r>
  <r>
    <x v="0"/>
    <s v="O"/>
    <x v="20"/>
    <s v="99EXPOR0000E9Z9"/>
    <s v="PIL1/JW/009"/>
    <d v="2024-06-27T00:00:00"/>
    <n v="3370080"/>
    <n v="4"/>
    <x v="2"/>
    <s v="0-180 DAYS"/>
  </r>
  <r>
    <x v="0"/>
    <s v="O"/>
    <x v="83"/>
    <s v="99EXPOR0000E9Z9"/>
    <s v="PIL1/E/333/24-25"/>
    <d v="2024-06-28T00:00:00"/>
    <n v="4085809"/>
    <n v="3"/>
    <x v="2"/>
    <s v="0-180 DAYS"/>
  </r>
  <r>
    <x v="0"/>
    <s v="O"/>
    <x v="20"/>
    <s v="99EXPOR0000E9Z9"/>
    <s v="PIL1/JW/010"/>
    <d v="2024-06-28T00:00:00"/>
    <n v="3549255.92"/>
    <n v="3"/>
    <x v="2"/>
    <s v="0-180 DAYS"/>
  </r>
  <r>
    <x v="0"/>
    <s v="O"/>
    <x v="20"/>
    <s v="99EXPOR0000E9Z9"/>
    <s v="PIL1/JW/011"/>
    <d v="2024-06-28T00:00:00"/>
    <n v="3437408.91"/>
    <n v="3"/>
    <x v="2"/>
    <s v="0-180 DAYS"/>
  </r>
  <r>
    <x v="0"/>
    <s v="O"/>
    <x v="20"/>
    <s v="99EXPOR0000E9Z9"/>
    <s v="PIL1/JW/012"/>
    <d v="2024-06-29T00:00:00"/>
    <n v="3529419.53"/>
    <n v="2"/>
    <x v="2"/>
    <s v="0-180 DAYS"/>
  </r>
  <r>
    <x v="0"/>
    <s v="O"/>
    <x v="32"/>
    <s v="99EXPOR0000E9Z9"/>
    <s v="PIL2/E/88/24-25"/>
    <d v="2024-06-01T00:00:00"/>
    <n v="3148886.1"/>
    <n v="30"/>
    <x v="2"/>
    <s v="0-180 DAYS"/>
  </r>
  <r>
    <x v="0"/>
    <s v="O"/>
    <x v="29"/>
    <s v="99EXPOR0000E9Z9"/>
    <s v="PIL2/E/90/24-25"/>
    <d v="2024-06-02T00:00:00"/>
    <n v="1638486.66"/>
    <n v="29"/>
    <x v="2"/>
    <s v="0-180 DAYS"/>
  </r>
  <r>
    <x v="0"/>
    <s v="O"/>
    <x v="29"/>
    <s v="99EXPOR0000E9Z9"/>
    <s v="PIL2/E/91/24-25"/>
    <d v="2024-06-02T00:00:00"/>
    <n v="1332185.76"/>
    <n v="29"/>
    <x v="2"/>
    <s v="0-180 DAYS"/>
  </r>
  <r>
    <x v="0"/>
    <s v="O"/>
    <x v="84"/>
    <s v="99EXPOR0000E9Z9"/>
    <s v="PIL2/E/89/24-25"/>
    <d v="2024-06-02T00:00:00"/>
    <n v="3352284"/>
    <n v="29"/>
    <x v="2"/>
    <s v="0-180 DAYS"/>
  </r>
  <r>
    <x v="0"/>
    <s v="O"/>
    <x v="4"/>
    <s v="99EXPOR0000E9Z9"/>
    <s v="PIL2/TP/003"/>
    <d v="2024-06-03T00:00:00"/>
    <n v="3101110.83"/>
    <n v="28"/>
    <x v="2"/>
    <s v="0-180 DAYS"/>
  </r>
  <r>
    <x v="0"/>
    <s v="O"/>
    <x v="72"/>
    <s v="99EXPOR0000E9Z9"/>
    <s v="PIL2/E/95/24-25"/>
    <d v="2024-06-04T00:00:00"/>
    <n v="74432.11"/>
    <n v="27"/>
    <x v="2"/>
    <s v="0-180 DAYS"/>
  </r>
  <r>
    <x v="0"/>
    <s v="O"/>
    <x v="85"/>
    <s v="99EXPOR0000E9Z9"/>
    <s v="PIL2/E/97/24-25"/>
    <d v="2024-06-06T00:00:00"/>
    <n v="3246515.84"/>
    <n v="25"/>
    <x v="2"/>
    <s v="0-180 DAYS"/>
  </r>
  <r>
    <x v="0"/>
    <s v="O"/>
    <x v="5"/>
    <s v="99EXPOR0000E9Z9"/>
    <s v="PIL2/E/99/24-25"/>
    <d v="2024-06-08T00:00:00"/>
    <n v="1757595.84"/>
    <n v="23"/>
    <x v="2"/>
    <s v="0-180 DAYS"/>
  </r>
  <r>
    <x v="0"/>
    <s v="O"/>
    <x v="71"/>
    <s v="99EXPOR0000E9Z9"/>
    <s v="PIL2/E/101/24-25"/>
    <d v="2024-06-09T00:00:00"/>
    <n v="5392128"/>
    <n v="22"/>
    <x v="2"/>
    <s v="0-180 DAYS"/>
  </r>
  <r>
    <x v="0"/>
    <s v="O"/>
    <x v="4"/>
    <s v="99EXPOR0000E9Z9"/>
    <s v="PIL2/TP/004"/>
    <d v="2024-06-10T00:00:00"/>
    <n v="3321129.89"/>
    <n v="21"/>
    <x v="2"/>
    <s v="0-180 DAYS"/>
  </r>
  <r>
    <x v="0"/>
    <s v="O"/>
    <x v="4"/>
    <s v="99EXPOR0000E9Z9"/>
    <s v="PIL2/TP/005"/>
    <d v="2024-06-12T00:00:00"/>
    <n v="2850643.61"/>
    <n v="19"/>
    <x v="2"/>
    <s v="0-180 DAYS"/>
  </r>
  <r>
    <x v="0"/>
    <s v="O"/>
    <x v="4"/>
    <s v="99EXPOR0000E9Z9"/>
    <s v="PIL2/E/109/24-25"/>
    <d v="2024-06-14T00:00:00"/>
    <n v="2600130.2400000002"/>
    <n v="17"/>
    <x v="2"/>
    <s v="0-180 DAYS"/>
  </r>
  <r>
    <x v="0"/>
    <s v="O"/>
    <x v="4"/>
    <s v="99EXPOR0000E9Z9"/>
    <s v="PIL2/TP/006"/>
    <d v="2024-06-14T00:00:00"/>
    <n v="3257128.35"/>
    <n v="17"/>
    <x v="2"/>
    <s v="0-180 DAYS"/>
  </r>
  <r>
    <x v="0"/>
    <s v="O"/>
    <x v="29"/>
    <s v="99EXPOR0000E9Z9"/>
    <s v="PIL2/E/110/24-25"/>
    <d v="2024-06-15T00:00:00"/>
    <n v="3123498.35"/>
    <n v="16"/>
    <x v="2"/>
    <s v="0-180 DAYS"/>
  </r>
  <r>
    <x v="0"/>
    <s v="O"/>
    <x v="86"/>
    <s v="99EXPOR0000E9Z9"/>
    <s v="PIL2/E/112/24-25"/>
    <d v="2024-06-18T00:00:00"/>
    <n v="3045817.61"/>
    <n v="13"/>
    <x v="2"/>
    <s v="0-180 DAYS"/>
  </r>
  <r>
    <x v="0"/>
    <s v="O"/>
    <x v="4"/>
    <s v="99EXPOR0000E9Z9"/>
    <s v="PIL2/TP/007"/>
    <d v="2024-06-18T00:00:00"/>
    <n v="2850644.2"/>
    <n v="13"/>
    <x v="2"/>
    <s v="0-180 DAYS"/>
  </r>
  <r>
    <x v="0"/>
    <s v="O"/>
    <x v="4"/>
    <s v="99EXPOR0000E9Z9"/>
    <s v="PIL2/TP/008"/>
    <d v="2024-06-19T00:00:00"/>
    <n v="3272804.82"/>
    <n v="12"/>
    <x v="2"/>
    <s v="0-180 DAYS"/>
  </r>
  <r>
    <x v="0"/>
    <s v="O"/>
    <x v="31"/>
    <s v="99EXPOR0000E9Z9"/>
    <s v="PIL2/E/117/24-25"/>
    <d v="2024-06-22T00:00:00"/>
    <n v="3126641.28"/>
    <n v="9"/>
    <x v="2"/>
    <s v="0-180 DAYS"/>
  </r>
  <r>
    <x v="0"/>
    <s v="O"/>
    <x v="4"/>
    <s v="99EXPOR0000E9Z9"/>
    <s v="PIL2/E/119/24-25"/>
    <d v="2024-06-25T00:00:00"/>
    <n v="3770547.85"/>
    <n v="6"/>
    <x v="2"/>
    <s v="0-180 DAYS"/>
  </r>
  <r>
    <x v="0"/>
    <s v="O"/>
    <x v="50"/>
    <s v="99EXPOR0000E9Z9"/>
    <s v="PIL2/E/120/24-25"/>
    <d v="2024-06-27T00:00:00"/>
    <n v="3085684.88"/>
    <n v="4"/>
    <x v="2"/>
    <s v="0-180 DAYS"/>
  </r>
  <r>
    <x v="0"/>
    <s v="O"/>
    <x v="78"/>
    <s v="99EXPOR0000E9Z9"/>
    <s v="PIL2/E/121/24-25"/>
    <d v="2024-06-30T00:00:00"/>
    <n v="2976259.72"/>
    <n v="1"/>
    <x v="2"/>
    <s v="0-180 DAYS"/>
  </r>
  <r>
    <x v="0"/>
    <s v="O"/>
    <x v="77"/>
    <s v="99EXPOR0000E9Z9"/>
    <s v="PIL6/E/61/24-25"/>
    <d v="2024-06-07T00:00:00"/>
    <n v="1561708.0499999998"/>
    <n v="24"/>
    <x v="2"/>
    <s v="0-180 DAYS"/>
  </r>
  <r>
    <x v="0"/>
    <s v="O"/>
    <x v="26"/>
    <s v="99EXPOR0000E9Z9"/>
    <s v="PIL6/E/64/24-25"/>
    <d v="2024-06-08T00:00:00"/>
    <n v="3059040.61"/>
    <n v="23"/>
    <x v="2"/>
    <s v="0-180 DAYS"/>
  </r>
  <r>
    <x v="0"/>
    <s v="O"/>
    <x v="75"/>
    <s v="99EXPOR0000E9Z9"/>
    <s v="PIL6/E/65/24-25"/>
    <d v="2024-06-10T00:00:00"/>
    <n v="3066772.8"/>
    <n v="21"/>
    <x v="2"/>
    <s v="0-180 DAYS"/>
  </r>
  <r>
    <x v="0"/>
    <s v="O"/>
    <x v="26"/>
    <s v="99EXPOR0000E9Z9"/>
    <s v="PIL6/E/67/24-25"/>
    <d v="2024-06-11T00:00:00"/>
    <n v="3095552.35"/>
    <n v="20"/>
    <x v="2"/>
    <s v="0-180 DAYS"/>
  </r>
  <r>
    <x v="0"/>
    <s v="O"/>
    <x v="76"/>
    <s v="99EXPOR0000E9Z9"/>
    <s v="PIL6/E/72/24-25"/>
    <d v="2024-06-17T00:00:00"/>
    <n v="3193314.42"/>
    <n v="14"/>
    <x v="2"/>
    <s v="0-180 DAYS"/>
  </r>
  <r>
    <x v="0"/>
    <s v="O"/>
    <x v="73"/>
    <s v="99EXPOR0000E9Z9"/>
    <s v="PIL6/E/73/24-25"/>
    <d v="2024-06-18T00:00:00"/>
    <n v="3112368"/>
    <n v="13"/>
    <x v="2"/>
    <s v="0-180 DAYS"/>
  </r>
  <r>
    <x v="0"/>
    <s v="O"/>
    <x v="29"/>
    <s v="99EXPOR0000E9Z9"/>
    <s v="PIL6/E/74/24-25"/>
    <d v="2024-06-19T00:00:00"/>
    <n v="3058446.72"/>
    <n v="12"/>
    <x v="2"/>
    <s v="0-180 DAYS"/>
  </r>
  <r>
    <x v="0"/>
    <s v="O"/>
    <x v="35"/>
    <s v="99EXPOR0000E9Z9"/>
    <s v="PIL6/E/77/24-25"/>
    <d v="2024-06-22T00:00:00"/>
    <n v="3401682.76"/>
    <n v="9"/>
    <x v="2"/>
    <s v="0-180 DAYS"/>
  </r>
  <r>
    <x v="0"/>
    <s v="O"/>
    <x v="35"/>
    <s v="99EXPOR0000E9Z9"/>
    <s v="PIL6/E/78/24-25"/>
    <d v="2024-06-22T00:00:00"/>
    <n v="3359821.08"/>
    <n v="9"/>
    <x v="2"/>
    <s v="0-180 DAYS"/>
  </r>
  <r>
    <x v="0"/>
    <s v="O"/>
    <x v="23"/>
    <s v="99EXPOR0000E9Z9"/>
    <s v="PIL6/E/80/24-25"/>
    <d v="2024-06-25T00:00:00"/>
    <n v="4080118.04"/>
    <n v="6"/>
    <x v="2"/>
    <s v="0-180 DAYS"/>
  </r>
  <r>
    <x v="0"/>
    <s v="O"/>
    <x v="74"/>
    <s v="99EXPOR0000E9Z9"/>
    <s v="PIL6/E/82/24-25"/>
    <d v="2024-06-27T00:00:00"/>
    <n v="3626422.42"/>
    <n v="4"/>
    <x v="2"/>
    <s v="0-180 DAYS"/>
  </r>
  <r>
    <x v="0"/>
    <s v="O"/>
    <x v="81"/>
    <s v="99EXPOR0000E9Z9"/>
    <s v="PIL6/E/84/24-25"/>
    <d v="2024-06-28T00:00:00"/>
    <n v="9030.9599999999991"/>
    <n v="3"/>
    <x v="2"/>
    <s v="0-180 DAYS"/>
  </r>
  <r>
    <x v="0"/>
    <s v="O"/>
    <x v="77"/>
    <s v="99EXPOR0000E9Z9"/>
    <s v="PIL6/E/83/24-25"/>
    <d v="2024-06-28T00:00:00"/>
    <n v="3699311.86"/>
    <n v="3"/>
    <x v="2"/>
    <s v="0-180 DAYS"/>
  </r>
  <r>
    <x v="0"/>
    <s v="O"/>
    <x v="73"/>
    <s v="99EXPOR0000E9Z9"/>
    <s v="PIL6/E/85/24-25"/>
    <d v="2024-06-29T00:00:00"/>
    <n v="3408026.44"/>
    <n v="2"/>
    <x v="2"/>
    <s v="0-180 DAYS"/>
  </r>
  <r>
    <x v="0"/>
    <s v="O"/>
    <x v="23"/>
    <s v="99EXPOR0000E9Z9"/>
    <s v="PIL1/TP/010"/>
    <d v="2024-06-11T00:00:00"/>
    <n v="2980860.82"/>
    <n v="20"/>
    <x v="2"/>
    <s v="0-180 DAYS"/>
  </r>
  <r>
    <x v="1"/>
    <s v="O"/>
    <x v="38"/>
    <s v="24AFOPG7793M1ZO"/>
    <s v="PIL1/D/381"/>
    <d v="2024-06-01T00:00:00"/>
    <n v="2545243.88"/>
    <n v="30"/>
    <x v="4"/>
    <s v="0-180 DAYS"/>
  </r>
  <r>
    <x v="2"/>
    <s v="R"/>
    <x v="56"/>
    <s v="24AAFCP2956A1ZR"/>
    <s v="PIL1/D/382"/>
    <d v="2024-06-01T00:00:00"/>
    <n v="1443808.99"/>
    <n v="30"/>
    <x v="4"/>
    <s v="0-180 DAYS"/>
  </r>
  <r>
    <x v="2"/>
    <s v="R"/>
    <x v="56"/>
    <s v="24AAFCP2956A1ZR"/>
    <s v="PIL1/D/383"/>
    <d v="2024-06-01T00:00:00"/>
    <n v="9394.24"/>
    <n v="30"/>
    <x v="4"/>
    <s v="0-180 DAYS"/>
  </r>
  <r>
    <x v="2"/>
    <s v="R"/>
    <x v="56"/>
    <s v="24AAFCP2956A1ZR"/>
    <s v="PIL1/D/384"/>
    <d v="2024-06-01T00:00:00"/>
    <n v="21016.6"/>
    <n v="30"/>
    <x v="4"/>
    <s v="0-180 DAYS"/>
  </r>
  <r>
    <x v="2"/>
    <s v="R"/>
    <x v="56"/>
    <s v="24AAFCP2956A1ZR"/>
    <s v="PIL1/D/387"/>
    <d v="2024-06-02T00:00:00"/>
    <n v="601042.86"/>
    <n v="29"/>
    <x v="4"/>
    <s v="0-180 DAYS"/>
  </r>
  <r>
    <x v="2"/>
    <s v="R"/>
    <x v="56"/>
    <s v="24AAFCP2956A1ZR"/>
    <s v="PIL1/D/388"/>
    <d v="2024-06-02T00:00:00"/>
    <n v="4753.76"/>
    <n v="29"/>
    <x v="4"/>
    <s v="0-180 DAYS"/>
  </r>
  <r>
    <x v="2"/>
    <s v="R"/>
    <x v="56"/>
    <s v="24AAFCP2956A1ZR"/>
    <s v="PIL1/D/393"/>
    <d v="2024-06-02T00:00:00"/>
    <n v="110001"/>
    <n v="29"/>
    <x v="4"/>
    <s v="0-180 DAYS"/>
  </r>
  <r>
    <x v="2"/>
    <s v="R"/>
    <x v="56"/>
    <s v="24AAFCP2956A1ZR"/>
    <s v="PIL1/D/394"/>
    <d v="2024-06-02T00:00:00"/>
    <n v="93877.84"/>
    <n v="29"/>
    <x v="4"/>
    <s v="0-180 DAYS"/>
  </r>
  <r>
    <x v="2"/>
    <s v="R"/>
    <x v="56"/>
    <s v="24AAFCP2956A1ZR"/>
    <s v="PIL1/D/395"/>
    <d v="2024-06-03T00:00:00"/>
    <n v="5126.1000000000004"/>
    <n v="28"/>
    <x v="4"/>
    <s v="0-180 DAYS"/>
  </r>
  <r>
    <x v="2"/>
    <s v="R"/>
    <x v="56"/>
    <s v="24AAFCP2956A1ZR"/>
    <s v="PIL1/D/396"/>
    <d v="2024-06-03T00:00:00"/>
    <n v="1132557.45"/>
    <n v="28"/>
    <x v="4"/>
    <s v="0-180 DAYS"/>
  </r>
  <r>
    <x v="2"/>
    <s v="R"/>
    <x v="56"/>
    <s v="24AAFCP2956A1ZR"/>
    <s v="PIL1/D/397"/>
    <d v="2024-06-03T00:00:00"/>
    <n v="8489"/>
    <n v="28"/>
    <x v="4"/>
    <s v="0-180 DAYS"/>
  </r>
  <r>
    <x v="1"/>
    <s v="O"/>
    <x v="87"/>
    <s v="27BCGPD5673M1Z7"/>
    <s v="PIL1/D/400"/>
    <d v="2024-06-03T00:00:00"/>
    <n v="2037535.5"/>
    <n v="28"/>
    <x v="4"/>
    <s v="0-180 DAYS"/>
  </r>
  <r>
    <x v="2"/>
    <s v="R"/>
    <x v="56"/>
    <s v="24AAFCP2956A1ZR"/>
    <s v="PIL1/D/402"/>
    <d v="2024-06-04T00:00:00"/>
    <n v="14873.65"/>
    <n v="27"/>
    <x v="4"/>
    <s v="0-180 DAYS"/>
  </r>
  <r>
    <x v="2"/>
    <s v="R"/>
    <x v="56"/>
    <s v="24AAFCP2956A1ZR"/>
    <s v="PIL1/D/403"/>
    <d v="2024-06-04T00:00:00"/>
    <n v="498102.12"/>
    <n v="27"/>
    <x v="4"/>
    <s v="0-180 DAYS"/>
  </r>
  <r>
    <x v="2"/>
    <s v="R"/>
    <x v="56"/>
    <s v="24AAFCP2956A1ZR"/>
    <s v="PIL1/D/404"/>
    <d v="2024-06-04T00:00:00"/>
    <n v="6451.96"/>
    <n v="27"/>
    <x v="4"/>
    <s v="0-180 DAYS"/>
  </r>
  <r>
    <x v="2"/>
    <s v="R"/>
    <x v="56"/>
    <s v="24AAFCP2956A1ZR"/>
    <s v="PIL1/D/406"/>
    <d v="2024-06-04T00:00:00"/>
    <n v="318739.21000000002"/>
    <n v="27"/>
    <x v="4"/>
    <s v="0-180 DAYS"/>
  </r>
  <r>
    <x v="2"/>
    <s v="R"/>
    <x v="56"/>
    <s v="24AAFCP2956A1ZR"/>
    <s v="PIL1/D/405"/>
    <d v="2024-06-04T00:00:00"/>
    <n v="33550"/>
    <n v="27"/>
    <x v="4"/>
    <s v="0-180 DAYS"/>
  </r>
  <r>
    <x v="1"/>
    <s v="O"/>
    <x v="51"/>
    <s v="24AAACZ0580B1ZS"/>
    <s v="PIL1/D/416"/>
    <d v="2024-06-05T00:00:00"/>
    <n v="209214"/>
    <n v="26"/>
    <x v="4"/>
    <s v="0-180 DAYS"/>
  </r>
  <r>
    <x v="1"/>
    <s v="O"/>
    <x v="51"/>
    <s v="24AAACZ0580B1ZS"/>
    <s v="PIL1/D/417"/>
    <d v="2024-06-05T00:00:00"/>
    <n v="97173"/>
    <n v="26"/>
    <x v="4"/>
    <s v="0-180 DAYS"/>
  </r>
  <r>
    <x v="2"/>
    <s v="R"/>
    <x v="56"/>
    <s v="24AAFCP2956A1ZR"/>
    <s v="PIL1/D/407"/>
    <d v="2024-06-05T00:00:00"/>
    <n v="7745.84"/>
    <n v="26"/>
    <x v="4"/>
    <s v="0-180 DAYS"/>
  </r>
  <r>
    <x v="2"/>
    <s v="R"/>
    <x v="56"/>
    <s v="24AAFCP2956A1ZR"/>
    <s v="PIL1/D/409"/>
    <d v="2024-06-05T00:00:00"/>
    <n v="291883.46999999997"/>
    <n v="26"/>
    <x v="4"/>
    <s v="0-180 DAYS"/>
  </r>
  <r>
    <x v="2"/>
    <s v="R"/>
    <x v="56"/>
    <s v="24AAFCP2956A1ZR"/>
    <s v="PIL1/D/411"/>
    <d v="2024-06-05T00:00:00"/>
    <n v="906597.25"/>
    <n v="26"/>
    <x v="4"/>
    <s v="0-180 DAYS"/>
  </r>
  <r>
    <x v="2"/>
    <s v="R"/>
    <x v="56"/>
    <s v="24AAFCP2956A1ZR"/>
    <s v="PIL1/D/412"/>
    <d v="2024-06-05T00:00:00"/>
    <n v="5545.72"/>
    <n v="26"/>
    <x v="4"/>
    <s v="0-180 DAYS"/>
  </r>
  <r>
    <x v="1"/>
    <s v="O"/>
    <x v="38"/>
    <s v="24AFOPG7793M1ZO"/>
    <s v="PIL1/D/418"/>
    <d v="2024-06-06T00:00:00"/>
    <n v="477089.54"/>
    <n v="25"/>
    <x v="4"/>
    <s v="0-180 DAYS"/>
  </r>
  <r>
    <x v="2"/>
    <s v="R"/>
    <x v="56"/>
    <s v="24AAFCP2956A1ZR"/>
    <s v="PIL1/D/421"/>
    <d v="2024-06-06T00:00:00"/>
    <n v="444543.33"/>
    <n v="25"/>
    <x v="4"/>
    <s v="0-180 DAYS"/>
  </r>
  <r>
    <x v="2"/>
    <s v="R"/>
    <x v="56"/>
    <s v="24AAFCP2956A1ZR"/>
    <s v="PIL1/D/422"/>
    <d v="2024-06-06T00:00:00"/>
    <n v="3398.4"/>
    <n v="25"/>
    <x v="4"/>
    <s v="0-180 DAYS"/>
  </r>
  <r>
    <x v="2"/>
    <s v="R"/>
    <x v="56"/>
    <s v="24AAFCP2956A1ZR"/>
    <s v="PIL1/D/423"/>
    <d v="2024-06-06T00:00:00"/>
    <n v="31075"/>
    <n v="25"/>
    <x v="4"/>
    <s v="0-180 DAYS"/>
  </r>
  <r>
    <x v="2"/>
    <s v="R"/>
    <x v="56"/>
    <s v="24AAFCP2956A1ZR"/>
    <s v="PIL1/D/424"/>
    <d v="2024-06-07T00:00:00"/>
    <n v="12548.66"/>
    <n v="24"/>
    <x v="4"/>
    <s v="0-180 DAYS"/>
  </r>
  <r>
    <x v="2"/>
    <s v="R"/>
    <x v="56"/>
    <s v="24AAFCP2956A1ZR"/>
    <s v="PIL1/D/425"/>
    <d v="2024-06-07T00:00:00"/>
    <n v="23816"/>
    <n v="24"/>
    <x v="4"/>
    <s v="0-180 DAYS"/>
  </r>
  <r>
    <x v="2"/>
    <s v="R"/>
    <x v="56"/>
    <s v="24AAFCP2956A1ZR"/>
    <s v="PIL1/D/426"/>
    <d v="2024-06-07T00:00:00"/>
    <n v="12167.6"/>
    <n v="24"/>
    <x v="4"/>
    <s v="0-180 DAYS"/>
  </r>
  <r>
    <x v="2"/>
    <s v="R"/>
    <x v="56"/>
    <s v="24AAFCP2956A1ZR"/>
    <s v="PIL1/D/427"/>
    <d v="2024-06-07T00:00:00"/>
    <n v="1055050.03"/>
    <n v="24"/>
    <x v="4"/>
    <s v="0-180 DAYS"/>
  </r>
  <r>
    <x v="2"/>
    <s v="R"/>
    <x v="56"/>
    <s v="24AAFCP2956A1ZR"/>
    <s v="PIL1/D/432"/>
    <d v="2024-06-08T00:00:00"/>
    <n v="639925.77"/>
    <n v="23"/>
    <x v="4"/>
    <s v="0-180 DAYS"/>
  </r>
  <r>
    <x v="2"/>
    <s v="R"/>
    <x v="56"/>
    <s v="24AAFCP2956A1ZR"/>
    <s v="PIL1/D/434"/>
    <d v="2024-06-08T00:00:00"/>
    <n v="415853.48"/>
    <n v="23"/>
    <x v="4"/>
    <s v="0-180 DAYS"/>
  </r>
  <r>
    <x v="2"/>
    <s v="R"/>
    <x v="56"/>
    <s v="24AAFCP2956A1ZR"/>
    <s v="PIL1/D/435"/>
    <d v="2024-06-08T00:00:00"/>
    <n v="110001"/>
    <n v="23"/>
    <x v="4"/>
    <s v="0-180 DAYS"/>
  </r>
  <r>
    <x v="2"/>
    <s v="R"/>
    <x v="56"/>
    <s v="24AAFCP2956A1ZR"/>
    <s v="PIL1/D/436"/>
    <d v="2024-06-08T00:00:00"/>
    <n v="1032351.65"/>
    <n v="23"/>
    <x v="4"/>
    <s v="0-180 DAYS"/>
  </r>
  <r>
    <x v="2"/>
    <s v="R"/>
    <x v="56"/>
    <s v="24AAFCP2956A1ZR"/>
    <s v="PIL1/D/439"/>
    <d v="2024-06-09T00:00:00"/>
    <n v="33177.78"/>
    <n v="22"/>
    <x v="4"/>
    <s v="0-180 DAYS"/>
  </r>
  <r>
    <x v="2"/>
    <s v="R"/>
    <x v="56"/>
    <s v="24AAFCP2956A1ZR"/>
    <s v="PIL1/D/440"/>
    <d v="2024-06-09T00:00:00"/>
    <n v="12733"/>
    <n v="22"/>
    <x v="4"/>
    <s v="0-180 DAYS"/>
  </r>
  <r>
    <x v="2"/>
    <s v="R"/>
    <x v="56"/>
    <s v="24AAFCP2956A1ZR"/>
    <s v="PIL1/D/441"/>
    <d v="2024-06-09T00:00:00"/>
    <n v="1060755.02"/>
    <n v="22"/>
    <x v="4"/>
    <s v="0-180 DAYS"/>
  </r>
  <r>
    <x v="1"/>
    <s v="O"/>
    <x v="38"/>
    <s v="24AFOPG7793M1ZO"/>
    <s v="PIL1/D/446"/>
    <d v="2024-06-10T00:00:00"/>
    <n v="477090.02"/>
    <n v="21"/>
    <x v="4"/>
    <s v="0-180 DAYS"/>
  </r>
  <r>
    <x v="1"/>
    <s v="O"/>
    <x v="38"/>
    <s v="24AFOPG7793M1ZO"/>
    <s v="PIL1/D/447"/>
    <d v="2024-06-10T00:00:00"/>
    <n v="1113390.18"/>
    <n v="21"/>
    <x v="4"/>
    <s v="0-180 DAYS"/>
  </r>
  <r>
    <x v="2"/>
    <s v="R"/>
    <x v="56"/>
    <s v="24AAFCP2956A1ZR"/>
    <s v="PIL1/D/442"/>
    <d v="2024-06-10T00:00:00"/>
    <n v="157665.69"/>
    <n v="21"/>
    <x v="4"/>
    <s v="0-180 DAYS"/>
  </r>
  <r>
    <x v="2"/>
    <s v="R"/>
    <x v="56"/>
    <s v="24AAFCP2956A1ZR"/>
    <s v="PIL1/D/443"/>
    <d v="2024-06-10T00:00:00"/>
    <n v="1951.11"/>
    <n v="21"/>
    <x v="4"/>
    <s v="0-180 DAYS"/>
  </r>
  <r>
    <x v="2"/>
    <s v="R"/>
    <x v="56"/>
    <s v="24AAFCP2956A1ZR"/>
    <s v="PIL1/D/444"/>
    <d v="2024-06-10T00:00:00"/>
    <n v="31879.43"/>
    <n v="21"/>
    <x v="4"/>
    <s v="0-180 DAYS"/>
  </r>
  <r>
    <x v="2"/>
    <s v="R"/>
    <x v="56"/>
    <s v="24AAFCP2956A1ZR"/>
    <s v="PIL1/D/449"/>
    <d v="2024-06-10T00:00:00"/>
    <n v="947149.59"/>
    <n v="21"/>
    <x v="4"/>
    <s v="0-180 DAYS"/>
  </r>
  <r>
    <x v="2"/>
    <s v="R"/>
    <x v="56"/>
    <s v="24AAFCP2956A1ZR"/>
    <s v="PIL1/D/450"/>
    <d v="2024-06-10T00:00:00"/>
    <n v="5659"/>
    <n v="21"/>
    <x v="4"/>
    <s v="0-180 DAYS"/>
  </r>
  <r>
    <x v="2"/>
    <s v="R"/>
    <x v="56"/>
    <s v="24AAFCP2956A1ZR"/>
    <s v="PIL1/D/448"/>
    <d v="2024-06-10T00:00:00"/>
    <n v="33000"/>
    <n v="21"/>
    <x v="4"/>
    <s v="0-180 DAYS"/>
  </r>
  <r>
    <x v="1"/>
    <s v="O"/>
    <x v="88"/>
    <s v="24AGUPS7962F1ZO"/>
    <s v="PIL1/D/453"/>
    <d v="2024-06-11T00:00:00"/>
    <n v="25980.06"/>
    <n v="20"/>
    <x v="4"/>
    <s v="0-180 DAYS"/>
  </r>
  <r>
    <x v="1"/>
    <s v="O"/>
    <x v="38"/>
    <s v="24AFOPG7793M1ZO"/>
    <s v="PIL1/D/458"/>
    <d v="2024-06-11T00:00:00"/>
    <n v="1761921.62"/>
    <n v="20"/>
    <x v="4"/>
    <s v="0-180 DAYS"/>
  </r>
  <r>
    <x v="1"/>
    <s v="O"/>
    <x v="38"/>
    <s v="24AFOPG7793M1ZO"/>
    <s v="PIL1/D/459"/>
    <d v="2024-06-11T00:00:00"/>
    <n v="587307.19999999995"/>
    <n v="20"/>
    <x v="4"/>
    <s v="0-180 DAYS"/>
  </r>
  <r>
    <x v="2"/>
    <s v="R"/>
    <x v="56"/>
    <s v="24AAFCP2956A1ZR"/>
    <s v="PIL1/D/454"/>
    <d v="2024-06-11T00:00:00"/>
    <n v="523588.52"/>
    <n v="20"/>
    <x v="4"/>
    <s v="0-180 DAYS"/>
  </r>
  <r>
    <x v="2"/>
    <s v="R"/>
    <x v="56"/>
    <s v="24AAFCP2956A1ZR"/>
    <s v="PIL1/D/455"/>
    <d v="2024-06-11T00:00:00"/>
    <n v="14204.64"/>
    <n v="20"/>
    <x v="4"/>
    <s v="0-180 DAYS"/>
  </r>
  <r>
    <x v="2"/>
    <s v="R"/>
    <x v="56"/>
    <s v="24AAFCP2956A1ZR"/>
    <s v="PIL1/D/456"/>
    <d v="2024-06-11T00:00:00"/>
    <n v="1633807.96"/>
    <n v="20"/>
    <x v="4"/>
    <s v="0-180 DAYS"/>
  </r>
  <r>
    <x v="2"/>
    <s v="R"/>
    <x v="56"/>
    <s v="24AAFCP2956A1ZR"/>
    <s v="PIL1/D/465"/>
    <d v="2024-06-12T00:00:00"/>
    <n v="121409.98"/>
    <n v="19"/>
    <x v="4"/>
    <s v="0-180 DAYS"/>
  </r>
  <r>
    <x v="2"/>
    <s v="R"/>
    <x v="56"/>
    <s v="24AAFCP2956A1ZR"/>
    <s v="PIL1/D/466"/>
    <d v="2024-06-12T00:00:00"/>
    <n v="95349.55"/>
    <n v="19"/>
    <x v="4"/>
    <s v="0-180 DAYS"/>
  </r>
  <r>
    <x v="2"/>
    <s v="R"/>
    <x v="56"/>
    <s v="24AAFCP2956A1ZR"/>
    <s v="PIL1/D/464"/>
    <d v="2024-06-12T00:00:00"/>
    <n v="22000"/>
    <n v="19"/>
    <x v="4"/>
    <s v="0-180 DAYS"/>
  </r>
  <r>
    <x v="1"/>
    <s v="O"/>
    <x v="38"/>
    <s v="24AFOPG7793M1ZO"/>
    <s v="PIL1/D/470"/>
    <d v="2024-06-13T00:00:00"/>
    <n v="1250666.6000000001"/>
    <n v="18"/>
    <x v="4"/>
    <s v="0-180 DAYS"/>
  </r>
  <r>
    <x v="2"/>
    <s v="R"/>
    <x v="56"/>
    <s v="24AAFCP2956A1ZR"/>
    <s v="PIL1/D/474"/>
    <d v="2024-06-13T00:00:00"/>
    <n v="9450.8799999999992"/>
    <n v="18"/>
    <x v="4"/>
    <s v="0-180 DAYS"/>
  </r>
  <r>
    <x v="2"/>
    <s v="R"/>
    <x v="56"/>
    <s v="24AAFCP2956A1ZR"/>
    <s v="PIL1/D/475"/>
    <d v="2024-06-13T00:00:00"/>
    <n v="809853.37"/>
    <n v="18"/>
    <x v="4"/>
    <s v="0-180 DAYS"/>
  </r>
  <r>
    <x v="2"/>
    <s v="R"/>
    <x v="56"/>
    <s v="24AAFCP2956A1ZR"/>
    <s v="PIL1/D/471"/>
    <d v="2024-06-13T00:00:00"/>
    <n v="40975"/>
    <n v="18"/>
    <x v="4"/>
    <s v="0-180 DAYS"/>
  </r>
  <r>
    <x v="1"/>
    <s v="O"/>
    <x v="38"/>
    <s v="24AFOPG7793M1ZO"/>
    <s v="PIL1/D/476"/>
    <d v="2024-06-14T00:00:00"/>
    <n v="1201731.3999999999"/>
    <n v="17"/>
    <x v="4"/>
    <s v="0-180 DAYS"/>
  </r>
  <r>
    <x v="2"/>
    <s v="R"/>
    <x v="56"/>
    <s v="24AAFCP2956A1ZR"/>
    <s v="PIL1/D/477"/>
    <d v="2024-06-14T00:00:00"/>
    <n v="23816"/>
    <n v="17"/>
    <x v="4"/>
    <s v="0-180 DAYS"/>
  </r>
  <r>
    <x v="2"/>
    <s v="R"/>
    <x v="56"/>
    <s v="24AAFCP2956A1ZR"/>
    <s v="PIL1/D/479"/>
    <d v="2024-06-14T00:00:00"/>
    <n v="970599.75"/>
    <n v="17"/>
    <x v="4"/>
    <s v="0-180 DAYS"/>
  </r>
  <r>
    <x v="2"/>
    <s v="R"/>
    <x v="56"/>
    <s v="24AAFCP2956A1ZR"/>
    <s v="PIL1/D/480"/>
    <d v="2024-06-14T00:00:00"/>
    <n v="7865.96"/>
    <n v="17"/>
    <x v="4"/>
    <s v="0-180 DAYS"/>
  </r>
  <r>
    <x v="2"/>
    <s v="R"/>
    <x v="56"/>
    <s v="24AAFCP2956A1ZR"/>
    <s v="PIL1/D/484"/>
    <d v="2024-06-15T00:00:00"/>
    <n v="623009.65"/>
    <n v="16"/>
    <x v="4"/>
    <s v="0-180 DAYS"/>
  </r>
  <r>
    <x v="2"/>
    <s v="R"/>
    <x v="56"/>
    <s v="24AAFCP2956A1ZR"/>
    <s v="PIL1/D/485"/>
    <d v="2024-06-15T00:00:00"/>
    <n v="63775.74"/>
    <n v="16"/>
    <x v="4"/>
    <s v="0-180 DAYS"/>
  </r>
  <r>
    <x v="2"/>
    <s v="R"/>
    <x v="56"/>
    <s v="24AAFCP2956A1ZR"/>
    <s v="PIL1/D/486"/>
    <d v="2024-06-15T00:00:00"/>
    <n v="549469"/>
    <n v="16"/>
    <x v="4"/>
    <s v="0-180 DAYS"/>
  </r>
  <r>
    <x v="2"/>
    <s v="R"/>
    <x v="56"/>
    <s v="24AAFCP2956A1ZR"/>
    <s v="PIL1/D/489"/>
    <d v="2024-06-16T00:00:00"/>
    <n v="1009248.37"/>
    <n v="15"/>
    <x v="4"/>
    <s v="0-180 DAYS"/>
  </r>
  <r>
    <x v="2"/>
    <s v="R"/>
    <x v="56"/>
    <s v="24AAFCP2956A1ZR"/>
    <s v="PIL1/D/490"/>
    <d v="2024-06-16T00:00:00"/>
    <n v="12676.36"/>
    <n v="15"/>
    <x v="4"/>
    <s v="0-180 DAYS"/>
  </r>
  <r>
    <x v="2"/>
    <s v="R"/>
    <x v="56"/>
    <s v="24AAFCP2956A1ZR"/>
    <s v="PIL1/D/493"/>
    <d v="2024-06-16T00:00:00"/>
    <n v="169979.39"/>
    <n v="15"/>
    <x v="4"/>
    <s v="0-180 DAYS"/>
  </r>
  <r>
    <x v="1"/>
    <s v="O"/>
    <x v="88"/>
    <s v="24AGUPS7962F1ZO"/>
    <s v="PIL1/D/494"/>
    <d v="2024-06-17T00:00:00"/>
    <n v="70223.58"/>
    <n v="14"/>
    <x v="4"/>
    <s v="0-180 DAYS"/>
  </r>
  <r>
    <x v="2"/>
    <s v="R"/>
    <x v="56"/>
    <s v="24AAFCP2956A1ZR"/>
    <s v="PIL1/D/495"/>
    <d v="2024-06-17T00:00:00"/>
    <n v="33000"/>
    <n v="14"/>
    <x v="4"/>
    <s v="0-180 DAYS"/>
  </r>
  <r>
    <x v="2"/>
    <s v="R"/>
    <x v="56"/>
    <s v="24AAFCP2956A1ZR"/>
    <s v="PIL1/D/496"/>
    <d v="2024-06-18T00:00:00"/>
    <n v="551690.86"/>
    <n v="13"/>
    <x v="4"/>
    <s v="0-180 DAYS"/>
  </r>
  <r>
    <x v="2"/>
    <s v="R"/>
    <x v="56"/>
    <s v="24AAFCP2956A1ZR"/>
    <s v="PIL1/D/497"/>
    <d v="2024-06-18T00:00:00"/>
    <n v="29329.19"/>
    <n v="13"/>
    <x v="4"/>
    <s v="0-180 DAYS"/>
  </r>
  <r>
    <x v="2"/>
    <s v="R"/>
    <x v="56"/>
    <s v="24AAFCP2956A1ZR"/>
    <s v="PIL1/D/498"/>
    <d v="2024-06-18T00:00:00"/>
    <n v="1753876.45"/>
    <n v="13"/>
    <x v="4"/>
    <s v="0-180 DAYS"/>
  </r>
  <r>
    <x v="2"/>
    <s v="R"/>
    <x v="56"/>
    <s v="24AAFCP2956A1ZR"/>
    <s v="PIL1/D/499"/>
    <d v="2024-06-18T00:00:00"/>
    <n v="11374.64"/>
    <n v="13"/>
    <x v="4"/>
    <s v="0-180 DAYS"/>
  </r>
  <r>
    <x v="1"/>
    <s v="O"/>
    <x v="51"/>
    <s v="24AAACZ0580B1ZS"/>
    <s v="PIL1/D/502"/>
    <d v="2024-06-19T00:00:00"/>
    <n v="326270"/>
    <n v="12"/>
    <x v="4"/>
    <s v="0-180 DAYS"/>
  </r>
  <r>
    <x v="2"/>
    <s v="R"/>
    <x v="56"/>
    <s v="24AAFCP2956A1ZR"/>
    <s v="PIL1/D/503"/>
    <d v="2024-06-19T00:00:00"/>
    <n v="727808.2"/>
    <n v="12"/>
    <x v="4"/>
    <s v="0-180 DAYS"/>
  </r>
  <r>
    <x v="2"/>
    <s v="R"/>
    <x v="56"/>
    <s v="24AAFCP2956A1ZR"/>
    <s v="PIL1/D/504"/>
    <d v="2024-06-19T00:00:00"/>
    <n v="10469.4"/>
    <n v="12"/>
    <x v="4"/>
    <s v="0-180 DAYS"/>
  </r>
  <r>
    <x v="2"/>
    <s v="R"/>
    <x v="56"/>
    <s v="24AAFCP2956A1ZR"/>
    <s v="PIL1/D/506"/>
    <d v="2024-06-19T00:00:00"/>
    <n v="156968.34"/>
    <n v="12"/>
    <x v="4"/>
    <s v="0-180 DAYS"/>
  </r>
  <r>
    <x v="2"/>
    <s v="R"/>
    <x v="56"/>
    <s v="24AAFCP2956A1ZR"/>
    <s v="PIL1/D/505"/>
    <d v="2024-06-19T00:00:00"/>
    <n v="22000"/>
    <n v="12"/>
    <x v="4"/>
    <s v="0-180 DAYS"/>
  </r>
  <r>
    <x v="1"/>
    <s v="O"/>
    <x v="51"/>
    <s v="24AAACZ0580B1ZS"/>
    <s v="PIL1/D/512"/>
    <d v="2024-06-20T00:00:00"/>
    <n v="288279.90000000002"/>
    <n v="11"/>
    <x v="4"/>
    <s v="0-180 DAYS"/>
  </r>
  <r>
    <x v="1"/>
    <s v="O"/>
    <x v="38"/>
    <s v="24AFOPG7793M1ZO"/>
    <s v="PIL1/D/510"/>
    <d v="2024-06-20T00:00:00"/>
    <n v="486521.56"/>
    <n v="11"/>
    <x v="4"/>
    <s v="0-180 DAYS"/>
  </r>
  <r>
    <x v="1"/>
    <s v="O"/>
    <x v="38"/>
    <s v="24AFOPG7793M1ZO"/>
    <s v="PIL1/D/511"/>
    <d v="2024-06-20T00:00:00"/>
    <n v="243261.28"/>
    <n v="11"/>
    <x v="4"/>
    <s v="0-180 DAYS"/>
  </r>
  <r>
    <x v="2"/>
    <s v="R"/>
    <x v="56"/>
    <s v="24AAFCP2956A1ZR"/>
    <s v="PIL1/D/514"/>
    <d v="2024-06-20T00:00:00"/>
    <n v="250624.32"/>
    <n v="11"/>
    <x v="4"/>
    <s v="0-180 DAYS"/>
  </r>
  <r>
    <x v="2"/>
    <s v="R"/>
    <x v="56"/>
    <s v="24AAFCP2956A1ZR"/>
    <s v="PIL1/D/513"/>
    <d v="2024-06-20T00:00:00"/>
    <n v="50325"/>
    <n v="11"/>
    <x v="4"/>
    <s v="0-180 DAYS"/>
  </r>
  <r>
    <x v="1"/>
    <s v="O"/>
    <x v="88"/>
    <s v="24AGUPS7962F1ZO"/>
    <s v="PIL1/D/517"/>
    <d v="2024-06-21T00:00:00"/>
    <n v="24794.74"/>
    <n v="10"/>
    <x v="4"/>
    <s v="0-180 DAYS"/>
  </r>
  <r>
    <x v="2"/>
    <s v="R"/>
    <x v="56"/>
    <s v="24AAFCP2956A1ZR"/>
    <s v="PIL1/D/518"/>
    <d v="2024-06-21T00:00:00"/>
    <n v="10752.6"/>
    <n v="10"/>
    <x v="4"/>
    <s v="0-180 DAYS"/>
  </r>
  <r>
    <x v="2"/>
    <s v="R"/>
    <x v="56"/>
    <s v="24AAFCP2956A1ZR"/>
    <s v="PIL1/D/519"/>
    <d v="2024-06-21T00:00:00"/>
    <n v="964755.9"/>
    <n v="10"/>
    <x v="4"/>
    <s v="0-180 DAYS"/>
  </r>
  <r>
    <x v="1"/>
    <s v="O"/>
    <x v="88"/>
    <s v="24AGUPS7962F1ZO"/>
    <s v="PIL1/D/526"/>
    <d v="2024-06-22T00:00:00"/>
    <n v="104694.32"/>
    <n v="9"/>
    <x v="4"/>
    <s v="0-180 DAYS"/>
  </r>
  <r>
    <x v="1"/>
    <s v="O"/>
    <x v="38"/>
    <s v="24AFOPG7793M1ZO"/>
    <s v="PIL1/D/521"/>
    <d v="2024-06-22T00:00:00"/>
    <n v="304075.8"/>
    <n v="9"/>
    <x v="4"/>
    <s v="0-180 DAYS"/>
  </r>
  <r>
    <x v="1"/>
    <s v="O"/>
    <x v="38"/>
    <s v="24AFOPG7793M1ZO"/>
    <s v="PIL1/D/524"/>
    <d v="2024-06-22T00:00:00"/>
    <n v="608152.18000000005"/>
    <n v="9"/>
    <x v="4"/>
    <s v="0-180 DAYS"/>
  </r>
  <r>
    <x v="1"/>
    <s v="O"/>
    <x v="38"/>
    <s v="24AFOPG7793M1ZO"/>
    <s v="PIL1/D/525"/>
    <d v="2024-06-22T00:00:00"/>
    <n v="304075.8"/>
    <n v="9"/>
    <x v="4"/>
    <s v="0-180 DAYS"/>
  </r>
  <r>
    <x v="2"/>
    <s v="R"/>
    <x v="56"/>
    <s v="24AAFCP2956A1ZR"/>
    <s v="PIL1/D/522"/>
    <d v="2024-06-22T00:00:00"/>
    <n v="177027"/>
    <n v="9"/>
    <x v="4"/>
    <s v="0-180 DAYS"/>
  </r>
  <r>
    <x v="2"/>
    <s v="R"/>
    <x v="56"/>
    <s v="24AAFCP2956A1ZR"/>
    <s v="PIL1/D/529"/>
    <d v="2024-06-22T00:00:00"/>
    <n v="314220.37"/>
    <n v="9"/>
    <x v="4"/>
    <s v="0-180 DAYS"/>
  </r>
  <r>
    <x v="2"/>
    <s v="R"/>
    <x v="56"/>
    <s v="24AAFCP2956A1ZR"/>
    <s v="PIL1/D/523"/>
    <d v="2024-06-22T00:00:00"/>
    <n v="11000"/>
    <n v="9"/>
    <x v="4"/>
    <s v="0-180 DAYS"/>
  </r>
  <r>
    <x v="2"/>
    <s v="R"/>
    <x v="56"/>
    <s v="24AAFCP2956A1ZR"/>
    <s v="PIL1/D/534"/>
    <d v="2024-06-23T00:00:00"/>
    <n v="31830.76"/>
    <n v="8"/>
    <x v="4"/>
    <s v="0-180 DAYS"/>
  </r>
  <r>
    <x v="2"/>
    <s v="R"/>
    <x v="56"/>
    <s v="24AAFCP2956A1ZR"/>
    <s v="PIL1/D/535"/>
    <d v="2024-06-24T00:00:00"/>
    <n v="935599.86"/>
    <n v="7"/>
    <x v="4"/>
    <s v="0-180 DAYS"/>
  </r>
  <r>
    <x v="2"/>
    <s v="R"/>
    <x v="56"/>
    <s v="24AAFCP2956A1ZR"/>
    <s v="PIL1/D/536"/>
    <d v="2024-06-24T00:00:00"/>
    <n v="17691.8"/>
    <n v="7"/>
    <x v="4"/>
    <s v="0-180 DAYS"/>
  </r>
  <r>
    <x v="2"/>
    <s v="R"/>
    <x v="56"/>
    <s v="24AAFCP2956A1ZR"/>
    <s v="PIL1/D/537"/>
    <d v="2024-06-24T00:00:00"/>
    <n v="33542.730000000003"/>
    <n v="7"/>
    <x v="4"/>
    <s v="0-180 DAYS"/>
  </r>
  <r>
    <x v="2"/>
    <s v="R"/>
    <x v="56"/>
    <s v="24AAFCP2956A1ZR"/>
    <s v="PIL1/D/544"/>
    <d v="2024-06-24T00:00:00"/>
    <n v="523178.86"/>
    <n v="7"/>
    <x v="4"/>
    <s v="0-180 DAYS"/>
  </r>
  <r>
    <x v="2"/>
    <s v="R"/>
    <x v="56"/>
    <s v="24AAFCP2956A1ZR"/>
    <s v="PIL1/D/545"/>
    <d v="2024-06-24T00:00:00"/>
    <n v="5602.36"/>
    <n v="7"/>
    <x v="4"/>
    <s v="0-180 DAYS"/>
  </r>
  <r>
    <x v="2"/>
    <s v="R"/>
    <x v="56"/>
    <s v="24AAFCP2956A1ZR"/>
    <s v="PIL1/D/538"/>
    <d v="2024-06-24T00:00:00"/>
    <n v="41360"/>
    <n v="7"/>
    <x v="4"/>
    <s v="0-180 DAYS"/>
  </r>
  <r>
    <x v="2"/>
    <s v="R"/>
    <x v="56"/>
    <s v="24AAFCP2956A1ZR"/>
    <s v="PIL1/D/546"/>
    <d v="2024-06-25T00:00:00"/>
    <n v="190702.39"/>
    <n v="6"/>
    <x v="4"/>
    <s v="0-180 DAYS"/>
  </r>
  <r>
    <x v="2"/>
    <s v="R"/>
    <x v="56"/>
    <s v="24AAFCP2956A1ZR"/>
    <s v="PIL1/D/552"/>
    <d v="2024-06-25T00:00:00"/>
    <n v="1100012.28"/>
    <n v="6"/>
    <x v="4"/>
    <s v="0-180 DAYS"/>
  </r>
  <r>
    <x v="2"/>
    <s v="R"/>
    <x v="56"/>
    <s v="24AAFCP2956A1ZR"/>
    <s v="PIL1/D/553"/>
    <d v="2024-06-25T00:00:00"/>
    <n v="10582.68"/>
    <n v="6"/>
    <x v="4"/>
    <s v="0-180 DAYS"/>
  </r>
  <r>
    <x v="1"/>
    <s v="O"/>
    <x v="38"/>
    <s v="24AFOPG7793M1ZO"/>
    <s v="PIL1/D/558"/>
    <d v="2024-06-26T00:00:00"/>
    <n v="1257446.8999999999"/>
    <n v="5"/>
    <x v="4"/>
    <s v="0-180 DAYS"/>
  </r>
  <r>
    <x v="2"/>
    <s v="R"/>
    <x v="56"/>
    <s v="24AAFCP2956A1ZR"/>
    <s v="PIL1/D/554"/>
    <d v="2024-06-26T00:00:00"/>
    <n v="12505.88"/>
    <n v="5"/>
    <x v="4"/>
    <s v="0-180 DAYS"/>
  </r>
  <r>
    <x v="2"/>
    <s v="R"/>
    <x v="56"/>
    <s v="24AAFCP2956A1ZR"/>
    <s v="PIL1/D/556"/>
    <d v="2024-06-26T00:00:00"/>
    <n v="23816"/>
    <n v="5"/>
    <x v="4"/>
    <s v="0-180 DAYS"/>
  </r>
  <r>
    <x v="2"/>
    <s v="R"/>
    <x v="56"/>
    <s v="24AAFCP2956A1ZR"/>
    <s v="PIL1/D/557"/>
    <d v="2024-06-26T00:00:00"/>
    <n v="197578.1"/>
    <n v="5"/>
    <x v="4"/>
    <s v="0-180 DAYS"/>
  </r>
  <r>
    <x v="2"/>
    <s v="R"/>
    <x v="56"/>
    <s v="24AAFCP2956A1ZR"/>
    <s v="PIL1/D/559"/>
    <d v="2024-06-27T00:00:00"/>
    <n v="163015.78"/>
    <n v="4"/>
    <x v="4"/>
    <s v="0-180 DAYS"/>
  </r>
  <r>
    <x v="2"/>
    <s v="R"/>
    <x v="56"/>
    <s v="24AAFCP2956A1ZR"/>
    <s v="PIL1/D/560"/>
    <d v="2024-06-27T00:00:00"/>
    <n v="76361.34"/>
    <n v="4"/>
    <x v="4"/>
    <s v="0-180 DAYS"/>
  </r>
  <r>
    <x v="2"/>
    <s v="R"/>
    <x v="56"/>
    <s v="24AAFCP2956A1ZR"/>
    <s v="PIL1/D/561"/>
    <d v="2024-06-27T00:00:00"/>
    <n v="179208"/>
    <n v="4"/>
    <x v="4"/>
    <s v="0-180 DAYS"/>
  </r>
  <r>
    <x v="2"/>
    <s v="R"/>
    <x v="56"/>
    <s v="24AAFCP2956A1ZR"/>
    <s v="PIL1/D/563"/>
    <d v="2024-06-27T00:00:00"/>
    <n v="420665.76"/>
    <n v="4"/>
    <x v="4"/>
    <s v="0-180 DAYS"/>
  </r>
  <r>
    <x v="2"/>
    <s v="R"/>
    <x v="56"/>
    <s v="24AAFCP2956A1ZR"/>
    <s v="PIL1/D/564"/>
    <d v="2024-06-27T00:00:00"/>
    <n v="2546.8000000000002"/>
    <n v="4"/>
    <x v="4"/>
    <s v="0-180 DAYS"/>
  </r>
  <r>
    <x v="2"/>
    <s v="R"/>
    <x v="56"/>
    <s v="24AAFCP2956A1ZR"/>
    <s v="PIL1/D/562"/>
    <d v="2024-06-27T00:00:00"/>
    <n v="46200"/>
    <n v="4"/>
    <x v="4"/>
    <s v="0-180 DAYS"/>
  </r>
  <r>
    <x v="1"/>
    <s v="O"/>
    <x v="38"/>
    <s v="24AFOPG7793M1ZO"/>
    <s v="PIL1/D/571"/>
    <d v="2024-06-28T00:00:00"/>
    <n v="2406998.7999999998"/>
    <n v="3"/>
    <x v="4"/>
    <s v="0-180 DAYS"/>
  </r>
  <r>
    <x v="1"/>
    <s v="O"/>
    <x v="38"/>
    <s v="24AFOPG7793M1ZO"/>
    <s v="PIL1/D/572"/>
    <d v="2024-06-28T00:00:00"/>
    <n v="1220701.6100000001"/>
    <n v="3"/>
    <x v="4"/>
    <s v="0-180 DAYS"/>
  </r>
  <r>
    <x v="1"/>
    <s v="O"/>
    <x v="89"/>
    <s v="24ABTFM6563E1ZX"/>
    <s v="PIL1/D/570"/>
    <d v="2024-06-28T00:00:00"/>
    <n v="102762.66"/>
    <n v="3"/>
    <x v="4"/>
    <s v="0-180 DAYS"/>
  </r>
  <r>
    <x v="2"/>
    <s v="R"/>
    <x v="56"/>
    <s v="24AAFCP2956A1ZR"/>
    <s v="PIL1/D/569"/>
    <d v="2024-06-28T00:00:00"/>
    <n v="607206.18000000005"/>
    <n v="3"/>
    <x v="4"/>
    <s v="0-180 DAYS"/>
  </r>
  <r>
    <x v="2"/>
    <s v="R"/>
    <x v="56"/>
    <s v="24AAFCP2956A1ZR"/>
    <s v="PIL1/D/573"/>
    <d v="2024-06-28T00:00:00"/>
    <n v="1269163.1200000001"/>
    <n v="3"/>
    <x v="4"/>
    <s v="0-180 DAYS"/>
  </r>
  <r>
    <x v="2"/>
    <s v="R"/>
    <x v="56"/>
    <s v="24AAFCP2956A1ZR"/>
    <s v="PIL1/D/574"/>
    <d v="2024-06-28T00:00:00"/>
    <n v="16524.88"/>
    <n v="3"/>
    <x v="4"/>
    <s v="0-180 DAYS"/>
  </r>
  <r>
    <x v="1"/>
    <s v="O"/>
    <x v="38"/>
    <s v="24AFOPG7793M1ZO"/>
    <s v="PIL1/D/577"/>
    <d v="2024-06-29T00:00:00"/>
    <n v="1199611.76"/>
    <n v="2"/>
    <x v="4"/>
    <s v="0-180 DAYS"/>
  </r>
  <r>
    <x v="2"/>
    <s v="R"/>
    <x v="56"/>
    <s v="24AAFCP2956A1ZR"/>
    <s v="PIL1/D/578"/>
    <d v="2024-06-29T00:00:00"/>
    <n v="173865.7"/>
    <n v="2"/>
    <x v="4"/>
    <s v="0-180 DAYS"/>
  </r>
  <r>
    <x v="2"/>
    <s v="R"/>
    <x v="56"/>
    <s v="24AAFCP2956A1ZR"/>
    <s v="PIL1/D/579"/>
    <d v="2024-06-29T00:00:00"/>
    <n v="661353.23"/>
    <n v="2"/>
    <x v="4"/>
    <s v="0-180 DAYS"/>
  </r>
  <r>
    <x v="2"/>
    <s v="R"/>
    <x v="56"/>
    <s v="24AAFCP2956A1ZR"/>
    <s v="PIL1/D/580"/>
    <d v="2024-06-29T00:00:00"/>
    <n v="501004.76"/>
    <n v="2"/>
    <x v="4"/>
    <s v="0-180 DAYS"/>
  </r>
  <r>
    <x v="2"/>
    <s v="R"/>
    <x v="56"/>
    <s v="24AAFCP2956A1ZR"/>
    <s v="PIL1/D/581"/>
    <d v="2024-06-29T00:00:00"/>
    <n v="5659"/>
    <n v="2"/>
    <x v="4"/>
    <s v="0-180 DAYS"/>
  </r>
  <r>
    <x v="2"/>
    <s v="R"/>
    <x v="56"/>
    <s v="24AAFCP2956A1ZR"/>
    <s v="PIL1/D/582"/>
    <d v="2024-06-29T00:00:00"/>
    <n v="529659.96"/>
    <n v="2"/>
    <x v="4"/>
    <s v="0-180 DAYS"/>
  </r>
  <r>
    <x v="2"/>
    <s v="R"/>
    <x v="56"/>
    <s v="24AAFCP2956A1ZR"/>
    <s v="PIL1/D/583"/>
    <d v="2024-06-29T00:00:00"/>
    <n v="7527.12"/>
    <n v="2"/>
    <x v="4"/>
    <s v="0-180 DAYS"/>
  </r>
  <r>
    <x v="1"/>
    <s v="O"/>
    <x v="38"/>
    <s v="24AFOPG7793M1ZO"/>
    <s v="PIL1/D/590"/>
    <d v="2024-06-30T00:00:00"/>
    <n v="796563.5"/>
    <n v="1"/>
    <x v="4"/>
    <s v="0-180 DAYS"/>
  </r>
  <r>
    <x v="1"/>
    <s v="O"/>
    <x v="38"/>
    <s v="24AFOPG7793M1ZO"/>
    <s v="PIL1/D/591"/>
    <d v="2024-06-30T00:00:00"/>
    <n v="2404643.16"/>
    <n v="1"/>
    <x v="4"/>
    <s v="0-180 DAYS"/>
  </r>
  <r>
    <x v="2"/>
    <s v="R"/>
    <x v="56"/>
    <s v="24AAFCP2956A1ZR"/>
    <s v="PIL1/D/588"/>
    <d v="2024-06-30T00:00:00"/>
    <n v="1129396.56"/>
    <n v="1"/>
    <x v="4"/>
    <s v="0-180 DAYS"/>
  </r>
  <r>
    <x v="2"/>
    <s v="R"/>
    <x v="56"/>
    <s v="24AAFCP2956A1ZR"/>
    <s v="PIL1/D/589"/>
    <d v="2024-06-30T00:00:00"/>
    <n v="34327.58"/>
    <n v="1"/>
    <x v="4"/>
    <s v="0-180 DAYS"/>
  </r>
  <r>
    <x v="2"/>
    <s v="R"/>
    <x v="56"/>
    <s v="24AAFCP2956A1ZR"/>
    <s v="PIL2/D/227"/>
    <d v="2024-06-03T00:00:00"/>
    <n v="3789600.17"/>
    <n v="28"/>
    <x v="4"/>
    <s v="0-180 DAYS"/>
  </r>
  <r>
    <x v="2"/>
    <s v="R"/>
    <x v="56"/>
    <s v="24AAFCP2956A1ZR"/>
    <s v="PIL2/D/230"/>
    <d v="2024-06-03T00:00:00"/>
    <n v="586018.93000000005"/>
    <n v="28"/>
    <x v="4"/>
    <s v="0-180 DAYS"/>
  </r>
  <r>
    <x v="2"/>
    <s v="R"/>
    <x v="56"/>
    <s v="24AAFCP2956A1ZR"/>
    <s v="PIL2/D/241"/>
    <d v="2024-06-07T00:00:00"/>
    <n v="1203450.5"/>
    <n v="24"/>
    <x v="4"/>
    <s v="0-180 DAYS"/>
  </r>
  <r>
    <x v="2"/>
    <s v="R"/>
    <x v="56"/>
    <s v="24AAFCP2956A1ZR"/>
    <s v="PIL2/D/242"/>
    <d v="2024-06-07T00:00:00"/>
    <n v="3621.89"/>
    <n v="24"/>
    <x v="4"/>
    <s v="0-180 DAYS"/>
  </r>
  <r>
    <x v="1"/>
    <s v="O"/>
    <x v="90"/>
    <s v="24AAACA9713D1Z4"/>
    <s v="PIL2/D/245"/>
    <d v="2024-06-08T00:00:00"/>
    <n v="233197.5"/>
    <n v="23"/>
    <x v="4"/>
    <s v="0-180 DAYS"/>
  </r>
  <r>
    <x v="2"/>
    <s v="R"/>
    <x v="56"/>
    <s v="24AAFCP2956A1ZR"/>
    <s v="PIL2/D/252"/>
    <d v="2024-06-09T00:00:00"/>
    <n v="253656.92"/>
    <n v="22"/>
    <x v="4"/>
    <s v="0-180 DAYS"/>
  </r>
  <r>
    <x v="2"/>
    <s v="R"/>
    <x v="56"/>
    <s v="24AAFCP2956A1ZR"/>
    <s v="PIL2/D/269"/>
    <d v="2024-06-14T00:00:00"/>
    <n v="468511.04"/>
    <n v="17"/>
    <x v="4"/>
    <s v="0-180 DAYS"/>
  </r>
  <r>
    <x v="2"/>
    <s v="R"/>
    <x v="56"/>
    <s v="24AAFCP2956A1ZR"/>
    <s v="PIL2/D/270"/>
    <d v="2024-06-14T00:00:00"/>
    <n v="2942.78"/>
    <n v="17"/>
    <x v="4"/>
    <s v="0-180 DAYS"/>
  </r>
  <r>
    <x v="1"/>
    <s v="O"/>
    <x v="91"/>
    <s v="24ABOFA3165F1ZK"/>
    <s v="PIL2/D/271"/>
    <d v="2024-06-15T00:00:00"/>
    <n v="18408"/>
    <n v="16"/>
    <x v="4"/>
    <s v="0-180 DAYS"/>
  </r>
  <r>
    <x v="2"/>
    <s v="R"/>
    <x v="56"/>
    <s v="24AAFCP2956A1ZR"/>
    <s v="PIL2/D/272"/>
    <d v="2024-06-15T00:00:00"/>
    <n v="724759.48"/>
    <n v="16"/>
    <x v="4"/>
    <s v="0-180 DAYS"/>
  </r>
  <r>
    <x v="2"/>
    <s v="R"/>
    <x v="56"/>
    <s v="24AAFCP2956A1ZR"/>
    <s v="PIL2/D/273"/>
    <d v="2024-06-15T00:00:00"/>
    <n v="1471.39"/>
    <n v="16"/>
    <x v="4"/>
    <s v="0-180 DAYS"/>
  </r>
  <r>
    <x v="1"/>
    <s v="O"/>
    <x v="60"/>
    <s v="24AACCG1856D1Z0"/>
    <s v="PIL2/D/283"/>
    <d v="2024-06-17T00:00:00"/>
    <n v="150482.32999999999"/>
    <n v="14"/>
    <x v="4"/>
    <s v="0-180 DAYS"/>
  </r>
  <r>
    <x v="1"/>
    <s v="O"/>
    <x v="53"/>
    <s v="24AGUPS9760R1ZZ"/>
    <s v="PIL2/D/289"/>
    <d v="2024-06-19T00:00:00"/>
    <n v="502450.5"/>
    <n v="12"/>
    <x v="4"/>
    <s v="0-180 DAYS"/>
  </r>
  <r>
    <x v="2"/>
    <s v="R"/>
    <x v="56"/>
    <s v="24AAFCP2956A1ZR"/>
    <s v="PIL2/D/294"/>
    <d v="2024-06-20T00:00:00"/>
    <n v="575159.18000000005"/>
    <n v="11"/>
    <x v="4"/>
    <s v="0-180 DAYS"/>
  </r>
  <r>
    <x v="2"/>
    <s v="R"/>
    <x v="56"/>
    <s v="24AAFCP2956A1ZR"/>
    <s v="PIL2/D/295"/>
    <d v="2024-06-20T00:00:00"/>
    <n v="1471.39"/>
    <n v="11"/>
    <x v="4"/>
    <s v="0-180 DAYS"/>
  </r>
  <r>
    <x v="1"/>
    <s v="O"/>
    <x v="60"/>
    <s v="24AACCG1856D1Z0"/>
    <s v="PIL2/D/310"/>
    <d v="2024-06-25T00:00:00"/>
    <n v="121196.16"/>
    <n v="6"/>
    <x v="4"/>
    <s v="0-180 DAYS"/>
  </r>
  <r>
    <x v="2"/>
    <s v="R"/>
    <x v="56"/>
    <s v="24AAFCP2956A1ZR"/>
    <s v="PIL2/D/308"/>
    <d v="2024-06-25T00:00:00"/>
    <n v="369866.45"/>
    <n v="6"/>
    <x v="4"/>
    <s v="0-180 DAYS"/>
  </r>
  <r>
    <x v="2"/>
    <s v="R"/>
    <x v="56"/>
    <s v="24AAFCP2956A1ZR"/>
    <s v="PIL2/D/309"/>
    <d v="2024-06-25T00:00:00"/>
    <n v="3678.48"/>
    <n v="6"/>
    <x v="4"/>
    <s v="0-180 DAYS"/>
  </r>
  <r>
    <x v="1"/>
    <s v="O"/>
    <x v="92"/>
    <s v="24AAACC3384Q1ZC"/>
    <s v="PIL2/D/316"/>
    <d v="2024-06-27T00:00:00"/>
    <n v="41117.1"/>
    <n v="4"/>
    <x v="4"/>
    <s v="0-180 DAYS"/>
  </r>
  <r>
    <x v="2"/>
    <s v="R"/>
    <x v="56"/>
    <s v="24AAFCP2956A1ZR"/>
    <s v="PIL2/D/318"/>
    <d v="2024-06-28T00:00:00"/>
    <n v="590679"/>
    <n v="3"/>
    <x v="4"/>
    <s v="0-180 DAYS"/>
  </r>
  <r>
    <x v="2"/>
    <s v="R"/>
    <x v="56"/>
    <s v="24AAFCP2956A1ZR"/>
    <s v="PIL6/D/30"/>
    <d v="2024-06-05T00:00:00"/>
    <n v="682574.29"/>
    <n v="26"/>
    <x v="4"/>
    <s v="0-180 DAYS"/>
  </r>
  <r>
    <x v="2"/>
    <s v="R"/>
    <x v="56"/>
    <s v="24AAFCP2956A1ZR"/>
    <s v="PIL6/D/33"/>
    <d v="2024-06-10T00:00:00"/>
    <n v="7634.02"/>
    <n v="21"/>
    <x v="4"/>
    <s v="0-180 DAYS"/>
  </r>
  <r>
    <x v="2"/>
    <s v="R"/>
    <x v="56"/>
    <s v="24AAFCP2956A1ZR"/>
    <s v="PIL6/D/34"/>
    <d v="2024-06-11T00:00:00"/>
    <n v="17449.2"/>
    <n v="20"/>
    <x v="4"/>
    <s v="0-180 DAYS"/>
  </r>
  <r>
    <x v="2"/>
    <s v="R"/>
    <x v="56"/>
    <s v="24AAFCP2956A1ZR"/>
    <s v="PIL6/D/35"/>
    <d v="2024-06-14T00:00:00"/>
    <n v="1047019.93"/>
    <n v="17"/>
    <x v="4"/>
    <s v="0-180 DAYS"/>
  </r>
  <r>
    <x v="2"/>
    <s v="R"/>
    <x v="56"/>
    <s v="24AAFCP2956A1ZR"/>
    <s v="PIL6/D/36"/>
    <d v="2024-06-18T00:00:00"/>
    <n v="350544.84"/>
    <n v="13"/>
    <x v="4"/>
    <s v="0-180 DAYS"/>
  </r>
  <r>
    <x v="2"/>
    <s v="R"/>
    <x v="56"/>
    <s v="24AAFCP2956A1ZR"/>
    <s v="PIL6/D/38"/>
    <d v="2024-06-22T00:00:00"/>
    <n v="126346.18"/>
    <n v="9"/>
    <x v="4"/>
    <s v="0-180 DAYS"/>
  </r>
  <r>
    <x v="2"/>
    <s v="R"/>
    <x v="56"/>
    <s v="24AAFCP2956A1ZR"/>
    <s v="PIL6/D/39"/>
    <d v="2024-06-25T00:00:00"/>
    <n v="1071.71"/>
    <n v="6"/>
    <x v="4"/>
    <s v="0-180 DAY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s v="26AAACA6143K1ZR"/>
    <s v="AMS/24-25/04750"/>
    <s v="13/02/2025"/>
    <n v="524904"/>
  </r>
  <r>
    <x v="1"/>
    <s v="99EXPOR0000E9Z9"/>
    <s v="INV2025090025"/>
    <s v="03/11/2025"/>
    <n v="613943.67000000004"/>
  </r>
  <r>
    <x v="2"/>
    <s v="99EXPOR0000E9Z9"/>
    <s v="FHWL2512030079"/>
    <s v="08/01/2026"/>
    <n v="49605.599999999999"/>
  </r>
  <r>
    <x v="3"/>
    <s v="06AAACI1681G3ZR"/>
    <s v="HR5567048449"/>
    <s v="21/02/2026"/>
    <n v="214856.89"/>
  </r>
  <r>
    <x v="4"/>
    <s v="27AAECV8365Q1ZC"/>
    <s v="3047/25-26"/>
    <s v="16/02/2026"/>
    <n v="294840"/>
  </r>
  <r>
    <x v="5"/>
    <s v="24ABGCS6274E1ZA"/>
    <s v="SMD/2627/30"/>
    <s v="14/04/2026"/>
    <n v="27435"/>
  </r>
  <r>
    <x v="6"/>
    <s v="26AAACA6143K1ZR"/>
    <s v="AMD/26-27/00223"/>
    <s v="17/04/2026"/>
    <n v="8459"/>
  </r>
  <r>
    <x v="7"/>
    <s v="24AAHFI1010M1ZQ"/>
    <s v="M/105/2026-27"/>
    <s v="18/04/2026"/>
    <n v="9917"/>
  </r>
  <r>
    <x v="8"/>
    <s v="24AADCC6403H1Z2"/>
    <s v="CCPL/26-27/0048"/>
    <s v="23/04/2026"/>
    <n v="7670"/>
  </r>
  <r>
    <x v="9"/>
    <s v="24AAACI1681G2ZU"/>
    <s v="GJ5568001213"/>
    <s v="23/04/2026"/>
    <n v="426333.30000000005"/>
  </r>
  <r>
    <x v="5"/>
    <s v="24ABGCS6274E1ZA"/>
    <s v="SMD/2627/65"/>
    <s v="23/04/2026"/>
    <n v="16225"/>
  </r>
  <r>
    <x v="9"/>
    <s v="24AAACI1681G2ZU"/>
    <s v="GJ5568003472"/>
    <s v="16/05/2026"/>
    <n v="473710"/>
  </r>
  <r>
    <x v="10"/>
    <s v="24AADFB7416Q1Z7"/>
    <n v="9126100948"/>
    <s v="21/04/2026"/>
    <n v="32317"/>
  </r>
  <r>
    <x v="6"/>
    <s v="26AAACA6143K1ZR"/>
    <s v="AMD/26-27/00693"/>
    <s v="11/05/2026"/>
    <n v="30444"/>
  </r>
  <r>
    <x v="9"/>
    <s v="24AAACI1681G2ZU"/>
    <s v="GJ5568003945"/>
    <s v="20/05/2026"/>
    <n v="2304046"/>
  </r>
  <r>
    <x v="10"/>
    <s v="24AADFB7416Q1Z7"/>
    <n v="9126102135"/>
    <s v="19/05/2026"/>
    <n v="920400"/>
  </r>
  <r>
    <x v="4"/>
    <s v="27AAECV8365Q1ZC"/>
    <s v="381/26-27"/>
    <s v="09/05/2026"/>
    <n v="6107"/>
  </r>
  <r>
    <x v="4"/>
    <s v="27AAECV8365Q1ZC"/>
    <s v="388/26-27"/>
    <s v="09/05/2026"/>
    <n v="163819"/>
  </r>
  <r>
    <x v="11"/>
    <s v="24AAECP7231R1ZZ"/>
    <s v="GJ5100035390"/>
    <s v="27/05/2026"/>
    <n v="26847"/>
  </r>
  <r>
    <x v="10"/>
    <s v="24AADFB7416Q1Z7"/>
    <n v="9326100106"/>
    <s v="25/05/2026"/>
    <n v="719210"/>
  </r>
  <r>
    <x v="10"/>
    <s v="24AADFB7416Q1Z7"/>
    <n v="9326100126"/>
    <s v="29/05/2026"/>
    <n v="620680"/>
  </r>
  <r>
    <x v="12"/>
    <s v="24AALCT7420P1ZT"/>
    <s v="TIPL0019/2026-27"/>
    <s v="09/05/2026"/>
    <n v="75652"/>
  </r>
  <r>
    <x v="4"/>
    <s v="27AAECV8365Q1ZC"/>
    <s v="379/26-27"/>
    <s v="09/05/2026"/>
    <n v="129989"/>
  </r>
  <r>
    <x v="4"/>
    <s v="27AAECV8365Q1ZC"/>
    <s v="443/26-27"/>
    <s v="14/05/2026"/>
    <n v="59000"/>
  </r>
  <r>
    <x v="13"/>
    <s v="24AARFC6352J1Z5"/>
    <s v="CPL/26-27/351"/>
    <s v="29/05/2026"/>
    <n v="17408"/>
  </r>
  <r>
    <x v="14"/>
    <s v="27AANCM4946P1ZJ"/>
    <s v="MS10832"/>
    <s v="28/04/2026"/>
    <n v="24286"/>
  </r>
  <r>
    <x v="9"/>
    <s v="24AAACI1681G2ZU"/>
    <s v="GJ5568005373"/>
    <s v="30/05/2026"/>
    <n v="1605326"/>
  </r>
  <r>
    <x v="6"/>
    <s v="26AAACA6143K1ZR"/>
    <s v="AMD/26-27/00959"/>
    <d v="2026-05-26T00:00:00"/>
    <n v="23250"/>
  </r>
  <r>
    <x v="15"/>
    <s v="26ABACS7251D1ZJ"/>
    <s v="SPCXDD2627-0406"/>
    <d v="2026-06-02T00:00:00"/>
    <n v="6154380"/>
  </r>
  <r>
    <x v="10"/>
    <s v="24AADFB7416Q1Z7"/>
    <n v="9126102923"/>
    <d v="2026-06-03T00:00:00"/>
    <n v="294000"/>
  </r>
  <r>
    <x v="13"/>
    <s v="24AARFC6352J1Z5"/>
    <s v="CPL/26-27/380"/>
    <d v="2026-06-02T00:00:00"/>
    <n v="79000"/>
  </r>
  <r>
    <x v="13"/>
    <s v="24AARFC6352J1Z5"/>
    <s v="CPL/26-27/414"/>
    <d v="2026-06-06T00:00:00"/>
    <n v="158000"/>
  </r>
  <r>
    <x v="16"/>
    <s v="07AADCC4879P1ZX"/>
    <s v="180/2026-27"/>
    <d v="2026-06-10T00:00:00"/>
    <n v="5327"/>
  </r>
  <r>
    <x v="17"/>
    <s v="24AAHCP1316J1ZM"/>
    <s v="SPPPL0090/26-27"/>
    <d v="2026-06-10T00:00:00"/>
    <n v="2070513.4"/>
  </r>
  <r>
    <x v="10"/>
    <s v="24AADFB7416Q1Z7"/>
    <n v="9126103475"/>
    <d v="2026-06-13T00:00:00"/>
    <n v="481000"/>
  </r>
  <r>
    <x v="11"/>
    <s v="24AAECP7231R1ZZ"/>
    <s v="GJ5100035631"/>
    <d v="2026-06-17T00:00:00"/>
    <n v="18150"/>
  </r>
  <r>
    <x v="10"/>
    <s v="24AADFB7416Q1Z7"/>
    <n v="9126103638"/>
    <d v="2026-06-16T00:00:00"/>
    <n v="169000"/>
  </r>
  <r>
    <x v="10"/>
    <s v="24AADFB7416Q1Z7"/>
    <n v="9326100451"/>
    <d v="2026-06-23T00:00:00"/>
    <n v="82000"/>
  </r>
  <r>
    <x v="10"/>
    <s v="24AADFB7416Q1Z7"/>
    <n v="9326100477"/>
    <d v="2026-06-27T00:00:00"/>
    <n v="98500"/>
  </r>
  <r>
    <x v="10"/>
    <s v="24AADFB7416Q1Z7"/>
    <n v="9326100477"/>
    <d v="2026-06-27T00:00:00"/>
    <n v="110000"/>
  </r>
  <r>
    <x v="10"/>
    <s v="24AADFB7416Q1Z7"/>
    <n v="9326100477"/>
    <d v="2026-06-27T00:00:00"/>
    <n v="83500"/>
  </r>
  <r>
    <x v="18"/>
    <s v="24AAZFK3399P1Z4"/>
    <s v="CND/26-27/090"/>
    <d v="2026-06-01T00:00:00"/>
    <n v="2209"/>
  </r>
  <r>
    <x v="12"/>
    <s v="24AALCT7420P1ZT"/>
    <s v="TIPL0007/2026-27"/>
    <d v="2026-04-21T00:00:00"/>
    <n v="420000"/>
  </r>
  <r>
    <x v="13"/>
    <s v="24AARFC6352J1Z5"/>
    <s v="CPL/26-27/482"/>
    <d v="2026-06-18T00:00:00"/>
    <n v="79000"/>
  </r>
  <r>
    <x v="4"/>
    <s v="27AAECV8365Q1ZC"/>
    <s v="743/26-27"/>
    <d v="2026-06-09T00:00:00"/>
    <n v="110160"/>
  </r>
  <r>
    <x v="19"/>
    <s v="23BTLPS7416R1ZT"/>
    <s v="25-26/AG/71"/>
    <d v="2026-07-01T00:00:00"/>
    <n v="16143"/>
  </r>
  <r>
    <x v="19"/>
    <s v="23BTLPS7416R1ZT"/>
    <s v="25-26/AG/25"/>
    <d v="2026-07-01T00:00:00"/>
    <n v="32285"/>
  </r>
  <r>
    <x v="19"/>
    <s v="23BTLPS7416R1ZT"/>
    <s v="25-26/AG/67"/>
    <d v="2026-07-01T00:00:00"/>
    <n v="49204"/>
  </r>
  <r>
    <x v="19"/>
    <s v="23BTLPS7416R1ZT"/>
    <s v="25-26/AG/84"/>
    <d v="2026-07-12T00:00:00"/>
    <n v="102160"/>
  </r>
  <r>
    <x v="20"/>
    <s v="99EXPOR0000E9Z9"/>
    <s v="REE603406 [BOE/BOL:2613076/17619251654]"/>
    <d v="2026-07-22T00:00:00"/>
    <n v="1144284.75"/>
  </r>
  <r>
    <x v="20"/>
    <s v="99EXPOR0000E9Z9"/>
    <s v="REE603406 [BOE/BOL:2613076/17619251654]"/>
    <d v="2026-07-22T00:00:00"/>
    <n v="381428.25"/>
  </r>
  <r>
    <x v="21"/>
    <s v="24AAHCA6869P1ZX"/>
    <s v="DOM/T-0663/26-27"/>
    <d v="2026-07-02T00:00:00"/>
    <n v="1789374"/>
  </r>
  <r>
    <x v="21"/>
    <s v="24AAHCA6869P1ZX"/>
    <s v="DOM/T-0665/26-27"/>
    <d v="2026-07-04T00:00:00"/>
    <n v="821468"/>
  </r>
  <r>
    <x v="11"/>
    <s v="24AAECP7231R1ZZ"/>
    <s v="GJ5100035877"/>
    <d v="2026-07-06T00:00:00"/>
    <n v="68300"/>
  </r>
  <r>
    <x v="11"/>
    <s v="24AAECP7231R1ZZ"/>
    <s v="GJ5100035877"/>
    <d v="2026-07-06T00:00:00"/>
    <n v="62700"/>
  </r>
  <r>
    <x v="22"/>
    <s v="24CIAPP4681A1ZK"/>
    <n v="322"/>
    <d v="2026-07-12T00:00:00"/>
    <n v="413715.01"/>
  </r>
  <r>
    <x v="22"/>
    <s v="24CIAPP4681A1ZK"/>
    <n v="322"/>
    <d v="2026-07-12T00:00:00"/>
    <n v="1200"/>
  </r>
  <r>
    <x v="22"/>
    <s v="24CIAPP4681A1ZK"/>
    <n v="357"/>
    <d v="2026-07-23T00:00:00"/>
    <n v="5000"/>
  </r>
  <r>
    <x v="22"/>
    <s v="24CIAPP4681A1ZK"/>
    <n v="375"/>
    <d v="2026-07-23T00:00:00"/>
    <n v="1200"/>
  </r>
  <r>
    <x v="22"/>
    <s v="24CIAPP4681A1ZK"/>
    <n v="375"/>
    <d v="2026-07-23T00:00:00"/>
    <n v="5125"/>
  </r>
  <r>
    <x v="22"/>
    <s v="24CIAPP4681A1ZK"/>
    <n v="404"/>
    <d v="2026-07-30T00:00:00"/>
    <n v="8987"/>
  </r>
  <r>
    <x v="23"/>
    <s v="24CSJPP6974M1ZU"/>
    <n v="344"/>
    <d v="2026-07-18T00:00:00"/>
    <n v="176107.8"/>
  </r>
  <r>
    <x v="23"/>
    <s v="24CSJPP6974M1ZU"/>
    <n v="363"/>
    <d v="2026-07-23T00:00:00"/>
    <n v="24075"/>
  </r>
  <r>
    <x v="23"/>
    <s v="24CSJPP6974M1ZU"/>
    <n v="375"/>
    <d v="2026-07-30T00:00:00"/>
    <n v="14130"/>
  </r>
  <r>
    <x v="23"/>
    <s v="24CSJPP6974M1ZU"/>
    <n v="377"/>
    <d v="2026-07-30T00:00:00"/>
    <n v="5400"/>
  </r>
  <r>
    <x v="13"/>
    <s v="24AARFC6352J1Z5"/>
    <s v="CPL/26-27/661"/>
    <d v="2026-07-10T00:00:00"/>
    <n v="79000"/>
  </r>
  <r>
    <x v="13"/>
    <s v="24AARFC6352J1Z5"/>
    <s v="CPL/26-27/731"/>
    <d v="2026-07-20T00:00:00"/>
    <n v="61600"/>
  </r>
  <r>
    <x v="13"/>
    <s v="24AARFC6352J1Z5"/>
    <s v="CPL/26-27/694"/>
    <d v="2026-07-12T00:00:00"/>
    <n v="158000"/>
  </r>
  <r>
    <x v="10"/>
    <s v="24AADFB7416Q1Z7"/>
    <n v="9126104199"/>
    <d v="2026-07-06T00:00:00"/>
    <n v="82000"/>
  </r>
  <r>
    <x v="10"/>
    <s v="24AADFB7416Q1Z7"/>
    <n v="9126104819"/>
    <d v="2026-07-11T00:00:00"/>
    <n v="379500"/>
  </r>
  <r>
    <x v="10"/>
    <s v="24AADFB7416Q1Z7"/>
    <n v="9126105503"/>
    <d v="2026-07-30T00:00:00"/>
    <n v="102000"/>
  </r>
  <r>
    <x v="10"/>
    <s v="24AADFB7416Q1Z7"/>
    <n v="9126105503"/>
    <d v="2026-07-30T00:00:00"/>
    <n v="235500"/>
  </r>
  <r>
    <x v="24"/>
    <s v="24AASFG0371Q1ZV"/>
    <s v="GC/1212/2627"/>
    <d v="2026-07-04T00:00:00"/>
    <n v="568095"/>
  </r>
  <r>
    <x v="24"/>
    <s v="24AASFG0371Q1ZV"/>
    <s v="GC/1287/2627"/>
    <d v="2026-07-07T00:00:00"/>
    <n v="126000"/>
  </r>
  <r>
    <x v="24"/>
    <s v="24AASFG0371Q1ZV"/>
    <s v="GC/1287/2627"/>
    <d v="2026-07-07T00:00:00"/>
    <n v="146160"/>
  </r>
  <r>
    <x v="25"/>
    <s v="24AAUPR1188G1Z9"/>
    <s v="GST00125"/>
    <d v="2026-07-21T00:00:00"/>
    <n v="32573.5"/>
  </r>
  <r>
    <x v="25"/>
    <s v="24AAUPR1188G1Z9"/>
    <s v="GST00139"/>
    <d v="2026-07-28T00:00:00"/>
    <n v="180965.5"/>
  </r>
  <r>
    <x v="26"/>
    <s v="24AAACJ5701E1Z5"/>
    <s v="DG-261002431"/>
    <d v="2026-07-03T00:00:00"/>
    <n v="907600"/>
  </r>
  <r>
    <x v="26"/>
    <s v="24AAACJ5701E1Z5"/>
    <s v="DG-261003095"/>
    <d v="2026-07-30T00:00:00"/>
    <n v="178000"/>
  </r>
  <r>
    <x v="27"/>
    <s v="24AAACK9111D1Z2"/>
    <s v="KPPL/26-27/720"/>
    <d v="2026-07-10T00:00:00"/>
    <n v="54235.640000000014"/>
  </r>
  <r>
    <x v="27"/>
    <s v="24AAACK9111D1Z2"/>
    <s v="KPPL/26-27/720"/>
    <d v="2026-07-10T00:00:00"/>
    <n v="10427.5"/>
  </r>
  <r>
    <x v="27"/>
    <s v="24AAACK9111D1Z2"/>
    <s v="KPPL/26-27/720"/>
    <d v="2026-07-10T00:00:00"/>
    <n v="22795"/>
  </r>
  <r>
    <x v="27"/>
    <s v="24AAACK9111D1Z2"/>
    <s v="KPPL/26-27/720"/>
    <d v="2026-07-10T00:00:00"/>
    <n v="255110"/>
  </r>
  <r>
    <x v="27"/>
    <s v="24AAACK9111D1Z2"/>
    <s v="KPPL/26-27/720"/>
    <d v="2026-07-10T00:00:00"/>
    <n v="19497"/>
  </r>
  <r>
    <x v="27"/>
    <s v="24AAACK9111D1Z2"/>
    <s v="KPPL/26-27/724"/>
    <d v="2026-07-10T00:00:00"/>
    <n v="21437"/>
  </r>
  <r>
    <x v="27"/>
    <s v="24AAACK9111D1Z2"/>
    <s v="KPPL/26-27/724"/>
    <d v="2026-07-10T00:00:00"/>
    <n v="20855"/>
  </r>
  <r>
    <x v="27"/>
    <s v="24AAACK9111D1Z2"/>
    <s v="KPPL/26-27/724"/>
    <d v="2026-07-10T00:00:00"/>
    <n v="11397.5"/>
  </r>
  <r>
    <x v="27"/>
    <s v="24AAACK9111D1Z2"/>
    <s v="KPPL/26-27/725"/>
    <d v="2026-07-10T00:00:00"/>
    <n v="12949.5"/>
  </r>
  <r>
    <x v="27"/>
    <s v="24AAACK9111D1Z2"/>
    <s v="KPPL/26-27/721"/>
    <d v="2026-07-15T00:00:00"/>
    <n v="21437"/>
  </r>
  <r>
    <x v="27"/>
    <s v="24AAACK9111D1Z2"/>
    <s v="KPPL/26-27/721"/>
    <d v="2026-07-15T00:00:00"/>
    <n v="20855"/>
  </r>
  <r>
    <x v="27"/>
    <s v="24AAACK9111D1Z2"/>
    <s v="KPPL/26-27/795"/>
    <d v="2026-07-18T00:00:00"/>
    <n v="26869"/>
  </r>
  <r>
    <x v="27"/>
    <s v="24AAACK9111D1Z2"/>
    <s v="KPPL/26-27/795"/>
    <d v="2026-07-18T00:00:00"/>
    <n v="127555"/>
  </r>
  <r>
    <x v="27"/>
    <s v="24AAACK9111D1Z2"/>
    <s v="KPPL/26-27/795"/>
    <d v="2026-07-18T00:00:00"/>
    <n v="17460"/>
  </r>
  <r>
    <x v="27"/>
    <s v="24AAACK9111D1Z2"/>
    <s v="KPPL/26-27/824"/>
    <d v="2026-07-23T00:00:00"/>
    <n v="96030"/>
  </r>
  <r>
    <x v="27"/>
    <s v="24AAACK9111D1Z2"/>
    <s v="KPPL/26-27/845"/>
    <d v="2026-07-27T00:00:00"/>
    <n v="4365"/>
  </r>
  <r>
    <x v="27"/>
    <s v="24AAACK9111D1Z2"/>
    <s v="KPPL/26-27/707"/>
    <d v="2026-07-06T00:00:00"/>
    <n v="127555"/>
  </r>
  <r>
    <x v="27"/>
    <s v="24AAACK9111D1Z2"/>
    <s v="KPPL/26-27/871"/>
    <d v="2026-07-27T00:00:00"/>
    <n v="8730"/>
  </r>
  <r>
    <x v="27"/>
    <s v="24AAACK9111D1Z2"/>
    <s v="KPPL/26-27/872"/>
    <d v="2026-07-27T00:00:00"/>
    <n v="11155"/>
  </r>
  <r>
    <x v="27"/>
    <s v="24AAACK9111D1Z2"/>
    <s v="KPPL/26-27/872"/>
    <d v="2026-07-27T00:00:00"/>
    <n v="9554.5"/>
  </r>
  <r>
    <x v="28"/>
    <s v="29AAPCM0864Q1ZI"/>
    <s v="600507747 (01.03.2026)"/>
    <d v="2026-07-21T00:00:00"/>
    <n v="7052366.2000000002"/>
  </r>
  <r>
    <x v="14"/>
    <s v="27AANCM4946P1ZJ"/>
    <s v="MS11660"/>
    <d v="2026-07-17T00:00:00"/>
    <n v="195000"/>
  </r>
  <r>
    <x v="29"/>
    <s v="24AACCL3673P1Z3"/>
    <s v="G052/26-27"/>
    <d v="2026-07-04T00:00:00"/>
    <n v="217579.14"/>
  </r>
  <r>
    <x v="30"/>
    <s v="24AFAPK3878B1ZR"/>
    <s v="RT/26-27/1534"/>
    <d v="2026-07-17T00:00:00"/>
    <n v="1075794"/>
  </r>
  <r>
    <x v="30"/>
    <s v="24AFAPK3878B1ZR"/>
    <s v="RT/26-27/1592"/>
    <d v="2026-07-29T00:00:00"/>
    <n v="436640"/>
  </r>
  <r>
    <x v="30"/>
    <s v="24AFAPK3878B1ZR"/>
    <s v="RT/26-27/1592"/>
    <d v="2026-07-29T00:00:00"/>
    <n v="57553"/>
  </r>
  <r>
    <x v="30"/>
    <s v="24AFAPK3878B1ZR"/>
    <s v="RT/26-27/1592"/>
    <d v="2026-07-29T00:00:00"/>
    <n v="760000"/>
  </r>
  <r>
    <x v="30"/>
    <s v="24AFAPK3878B1ZR"/>
    <s v="RT/26-27/1592"/>
    <d v="2026-07-29T00:00:00"/>
    <n v="213840"/>
  </r>
  <r>
    <x v="30"/>
    <s v="24AFAPK3878B1ZR"/>
    <s v="RT/26-27/1592"/>
    <d v="2026-07-29T00:00:00"/>
    <n v="46766"/>
  </r>
  <r>
    <x v="31"/>
    <s v="24AAACR5055K1ZD"/>
    <n v="24183001056318"/>
    <d v="2026-07-30T00:00:00"/>
    <n v="2195207.42"/>
  </r>
  <r>
    <x v="31"/>
    <s v="24AAACR5055K1ZD"/>
    <n v="24183025011576"/>
    <d v="2026-07-25T00:00:00"/>
    <n v="1376400"/>
  </r>
  <r>
    <x v="31"/>
    <s v="24AAACR5055K1ZD"/>
    <n v="24183002007035"/>
    <d v="2026-07-29T00:00:00"/>
    <n v="2666937"/>
  </r>
  <r>
    <x v="32"/>
    <s v="24AAACR5055K3ZB"/>
    <s v="24286010022416 [BOE/BOL:2665576/0]"/>
    <d v="2026-07-29T00:00:00"/>
    <n v="3218882.36"/>
  </r>
  <r>
    <x v="33"/>
    <s v="24AAUFR2925B1Z9"/>
    <s v="RUD/1303/26-27"/>
    <d v="2026-07-10T00:00:00"/>
    <n v="144300"/>
  </r>
  <r>
    <x v="33"/>
    <s v="24AAUFR2925B1Z9"/>
    <s v="RUD/1440/26-27"/>
    <d v="2026-07-20T00:00:00"/>
    <n v="74000"/>
  </r>
  <r>
    <x v="1"/>
    <s v="N.A."/>
    <s v="INV2026050089 [BOE/BOL:2269626/HDMUSHAZ2E374400]"/>
    <d v="2026-07-09T00:00:00"/>
    <n v="2323414"/>
  </r>
  <r>
    <x v="1"/>
    <s v="N.A."/>
    <s v="INV2026050089 [BOE/BOL:2269626/HDMUSHAZ2E374400]"/>
    <d v="2026-07-09T00:00:00"/>
    <n v="1928872"/>
  </r>
  <r>
    <x v="1"/>
    <s v="N.A."/>
    <s v="INV2026050089 [BOE/BOL:2269626/HDMUSHAZ2E374400]"/>
    <d v="2026-07-09T00:00:00"/>
    <n v="2191900"/>
  </r>
  <r>
    <x v="1"/>
    <s v="N.A."/>
    <s v="INV2026050089 [BOE/BOL:2269626/HDMUSHAZ2E374400]"/>
    <d v="2026-07-09T00:00:00"/>
    <n v="2761794"/>
  </r>
  <r>
    <x v="1"/>
    <s v="N.A."/>
    <s v="INV2026050089 [BOE/BOL:2269626/HDMUSHAZ2E374400]"/>
    <d v="2026-07-09T00:00:00"/>
    <n v="1753520"/>
  </r>
  <r>
    <x v="34"/>
    <s v="24AACCT5064E1ZL"/>
    <s v="TEC/2026-27/024"/>
    <d v="2026-07-23T00:00:00"/>
    <n v="185424.88"/>
  </r>
  <r>
    <x v="34"/>
    <s v="24AACCT5064E1ZL"/>
    <s v="TEC/2026-27/025"/>
    <d v="2026-07-23T00:00:00"/>
    <n v="95400"/>
  </r>
  <r>
    <x v="34"/>
    <s v="24AACCT5064E1ZL"/>
    <s v="TEC/2026-27/027"/>
    <d v="2026-07-30T00:00:00"/>
    <n v="10800"/>
  </r>
  <r>
    <x v="34"/>
    <s v="24AACCT5064E1ZL"/>
    <s v="TEC/2026-27/027"/>
    <d v="2026-07-30T00:00:00"/>
    <n v="15000"/>
  </r>
  <r>
    <x v="34"/>
    <s v="24AACCT5064E1ZL"/>
    <s v="TEC/2026-27/028"/>
    <d v="2026-07-31T00:00:00"/>
    <n v="55800"/>
  </r>
  <r>
    <x v="12"/>
    <s v="24AALCT7420P1ZT"/>
    <s v="TIPL0046/2026-27"/>
    <d v="2026-07-29T00:00:00"/>
    <n v="185149"/>
  </r>
  <r>
    <x v="12"/>
    <s v="24AALCT7420P1ZT"/>
    <s v="TIPL0049/2026-27"/>
    <d v="2026-07-29T00:00:00"/>
    <n v="912500"/>
  </r>
  <r>
    <x v="35"/>
    <s v="24AACCT5137A1ZV"/>
    <s v="GJ2441103827"/>
    <d v="2026-07-05T00:00:00"/>
    <n v="30960"/>
  </r>
  <r>
    <x v="35"/>
    <s v="24AACCT5137A1ZV"/>
    <s v="GJ2441103827"/>
    <d v="2026-07-05T00:00:00"/>
    <n v="25650"/>
  </r>
  <r>
    <x v="35"/>
    <s v="24AACCT5137A1ZV"/>
    <s v="GJ2441103827"/>
    <d v="2026-07-05T00:00:00"/>
    <n v="6620"/>
  </r>
  <r>
    <x v="35"/>
    <s v="24AACCT5137A1ZV"/>
    <s v="GJ2441103827"/>
    <d v="2026-07-05T00:00:00"/>
    <n v="35420"/>
  </r>
  <r>
    <x v="35"/>
    <s v="24AACCT5137A1ZV"/>
    <s v="GJ2441103827"/>
    <d v="2026-07-05T00:00:00"/>
    <n v="23600"/>
  </r>
  <r>
    <x v="35"/>
    <s v="24AACCT5137A1ZV"/>
    <s v="GJ2441103828"/>
    <d v="2026-07-05T00:00:00"/>
    <n v="1098565.3999999999"/>
  </r>
  <r>
    <x v="35"/>
    <s v="24AACCT5137A1ZV"/>
    <s v="GJ2441103969"/>
    <d v="2026-07-06T00:00:00"/>
    <n v="92400"/>
  </r>
  <r>
    <x v="35"/>
    <s v="24AACCT5137A1ZV"/>
    <s v="GJ2441103969"/>
    <d v="2026-07-06T00:00:00"/>
    <n v="18000"/>
  </r>
  <r>
    <x v="35"/>
    <s v="24AACCT5137A1ZV"/>
    <s v="GJ2441103969"/>
    <d v="2026-07-06T00:00:00"/>
    <n v="6000"/>
  </r>
  <r>
    <x v="35"/>
    <s v="24AACCT5137A1ZV"/>
    <s v="GJ2441103969"/>
    <d v="2026-07-06T00:00:00"/>
    <n v="17100"/>
  </r>
  <r>
    <x v="35"/>
    <s v="24AACCT5137A1ZV"/>
    <s v="GJ2441103969"/>
    <d v="2026-07-06T00:00:00"/>
    <n v="30120"/>
  </r>
  <r>
    <x v="35"/>
    <s v="24AACCT5137A1ZV"/>
    <s v="GJ2441104159"/>
    <d v="2026-07-11T00:00:00"/>
    <n v="22400"/>
  </r>
  <r>
    <x v="35"/>
    <s v="24AACCT5137A1ZV"/>
    <s v="GJ2441104227"/>
    <d v="2026-07-12T00:00:00"/>
    <n v="37152"/>
  </r>
  <r>
    <x v="35"/>
    <s v="24AACCT5137A1ZV"/>
    <s v="GJ2441104227"/>
    <d v="2026-07-12T00:00:00"/>
    <n v="71820"/>
  </r>
  <r>
    <x v="35"/>
    <s v="24AACCT5137A1ZV"/>
    <s v="GJ2441104227"/>
    <d v="2026-07-12T00:00:00"/>
    <n v="46340"/>
  </r>
  <r>
    <x v="35"/>
    <s v="24AACCT5137A1ZV"/>
    <s v="GJ2441104227"/>
    <d v="2026-07-12T00:00:00"/>
    <n v="13032"/>
  </r>
  <r>
    <x v="35"/>
    <s v="24AACCT5137A1ZV"/>
    <s v="GJ2441104227"/>
    <d v="2026-07-12T00:00:00"/>
    <n v="148764"/>
  </r>
  <r>
    <x v="35"/>
    <s v="24AACCT5137A1ZV"/>
    <s v="GJ2441104227"/>
    <d v="2026-07-12T00:00:00"/>
    <n v="13040"/>
  </r>
  <r>
    <x v="35"/>
    <s v="24AACCT5137A1ZV"/>
    <s v="GJ2441104282"/>
    <d v="2026-07-12T00:00:00"/>
    <n v="28700"/>
  </r>
  <r>
    <x v="35"/>
    <s v="24AACCT5137A1ZV"/>
    <s v="GJ2441104282"/>
    <d v="2026-07-12T00:00:00"/>
    <n v="22800"/>
  </r>
  <r>
    <x v="35"/>
    <s v="24AACCT5137A1ZV"/>
    <s v="GJ2441104282"/>
    <d v="2026-07-12T00:00:00"/>
    <n v="20080"/>
  </r>
  <r>
    <x v="35"/>
    <s v="24AACCT5137A1ZV"/>
    <s v="GJ2441104282"/>
    <d v="2026-07-12T00:00:00"/>
    <n v="92400"/>
  </r>
  <r>
    <x v="35"/>
    <s v="24AACCT5137A1ZV"/>
    <s v="GJ2441104282"/>
    <d v="2026-07-12T00:00:00"/>
    <n v="28000"/>
  </r>
  <r>
    <x v="35"/>
    <s v="24AACCT5137A1ZV"/>
    <s v="GJ2441104282"/>
    <d v="2026-07-12T00:00:00"/>
    <n v="36000"/>
  </r>
  <r>
    <x v="35"/>
    <s v="24AACCT5137A1ZV"/>
    <s v="GJ2441104282"/>
    <d v="2026-07-12T00:00:00"/>
    <n v="12400"/>
  </r>
  <r>
    <x v="35"/>
    <s v="24AACCT5137A1ZV"/>
    <s v="GJ2431112499"/>
    <d v="2026-07-25T00:00:00"/>
    <n v="11232"/>
  </r>
  <r>
    <x v="35"/>
    <s v="24AACCT5137A1ZV"/>
    <s v="GJ2431112499"/>
    <d v="2026-07-25T00:00:00"/>
    <n v="11600"/>
  </r>
  <r>
    <x v="35"/>
    <s v="24AACCT5137A1ZV"/>
    <s v="GJ2431115375"/>
    <d v="2026-07-25T00:00:00"/>
    <n v="18480"/>
  </r>
  <r>
    <x v="35"/>
    <s v="24AACCT5137A1ZV"/>
    <s v="GJ2431115375"/>
    <d v="2026-07-25T00:00:00"/>
    <n v="10160"/>
  </r>
  <r>
    <x v="35"/>
    <s v="24AACCT5137A1ZV"/>
    <s v="GJ2431115375"/>
    <d v="2026-07-25T00:00:00"/>
    <n v="10160"/>
  </r>
  <r>
    <x v="35"/>
    <s v="24AACCT5137A1ZV"/>
    <s v="GJ2431115375"/>
    <d v="2026-07-25T00:00:00"/>
    <n v="5460"/>
  </r>
  <r>
    <x v="35"/>
    <s v="24AACCT5137A1ZV"/>
    <s v="GJ2431115375"/>
    <d v="2026-07-25T00:00:00"/>
    <n v="10240"/>
  </r>
  <r>
    <x v="35"/>
    <s v="24AACCT5137A1ZV"/>
    <s v="GJ2441104800"/>
    <d v="2026-07-29T00:00:00"/>
    <n v="72600"/>
  </r>
  <r>
    <x v="35"/>
    <s v="24AACCT5137A1ZV"/>
    <s v="GJ2441104800"/>
    <d v="2026-07-29T00:00:00"/>
    <n v="16800"/>
  </r>
  <r>
    <x v="35"/>
    <s v="24AACCT5137A1ZV"/>
    <s v="GJ2441104800"/>
    <d v="2026-07-29T00:00:00"/>
    <n v="13500"/>
  </r>
  <r>
    <x v="35"/>
    <s v="24AACCT5137A1ZV"/>
    <s v="GJ2441104800"/>
    <d v="2026-07-29T00:00:00"/>
    <n v="6200"/>
  </r>
  <r>
    <x v="35"/>
    <s v="24AACCT5137A1ZV"/>
    <s v="GJ2441104800"/>
    <d v="2026-07-29T00:00:00"/>
    <n v="5740"/>
  </r>
  <r>
    <x v="35"/>
    <s v="24AACCT5137A1ZV"/>
    <s v="GJ2441104800"/>
    <d v="2026-07-29T00:00:00"/>
    <n v="11400"/>
  </r>
  <r>
    <x v="35"/>
    <s v="24AACCT5137A1ZV"/>
    <s v="GJ2441104802"/>
    <d v="2026-07-29T00:00:00"/>
    <n v="30960"/>
  </r>
  <r>
    <x v="35"/>
    <s v="24AACCT5137A1ZV"/>
    <s v="GJ2441104802"/>
    <d v="2026-07-29T00:00:00"/>
    <n v="30780"/>
  </r>
  <r>
    <x v="35"/>
    <s v="24AACCT5137A1ZV"/>
    <s v="GJ2441104802"/>
    <d v="2026-07-29T00:00:00"/>
    <n v="46340"/>
  </r>
  <r>
    <x v="35"/>
    <s v="24AACCT5137A1ZV"/>
    <s v="GJ2441104802"/>
    <d v="2026-07-29T00:00:00"/>
    <n v="13032"/>
  </r>
  <r>
    <x v="35"/>
    <s v="24AACCT5137A1ZV"/>
    <s v="GJ2441104802"/>
    <d v="2026-07-29T00:00:00"/>
    <n v="113344"/>
  </r>
  <r>
    <x v="35"/>
    <s v="24AACCT5137A1ZV"/>
    <s v="GJ2441104802"/>
    <d v="2026-07-29T00:00:00"/>
    <n v="6920"/>
  </r>
  <r>
    <x v="35"/>
    <s v="24AACCT5137A1ZV"/>
    <s v="GJ2441104802"/>
    <d v="2026-07-29T00:00:00"/>
    <n v="13040"/>
  </r>
  <r>
    <x v="35"/>
    <s v="24AACCT5137A1ZV"/>
    <s v="GJ2441104802"/>
    <d v="2026-07-29T00:00:00"/>
    <n v="9780"/>
  </r>
  <r>
    <x v="35"/>
    <s v="24AACCT5137A1ZV"/>
    <s v="GJ2441104802"/>
    <d v="2026-07-29T00:00:00"/>
    <n v="20160"/>
  </r>
  <r>
    <x v="36"/>
    <s v="24ASDPP0994K1ZE"/>
    <s v="VK-2627-163"/>
    <d v="2026-07-03T00:00:00"/>
    <n v="61109"/>
  </r>
  <r>
    <x v="36"/>
    <s v="24ASDPP0994K1ZE"/>
    <s v="VK-2627-149"/>
    <d v="2026-07-11T00:00:00"/>
    <n v="1905"/>
  </r>
  <r>
    <x v="4"/>
    <s v="27AAECV8365Q1ZC"/>
    <s v="803/26-27"/>
    <d v="2026-07-04T00:00:00"/>
    <n v="5425"/>
  </r>
  <r>
    <x v="4"/>
    <s v="27AAECV8365Q1ZC"/>
    <s v="450/26-27"/>
    <d v="2026-07-04T00:00:00"/>
    <n v="108096"/>
  </r>
  <r>
    <x v="4"/>
    <s v="27AAECV8365Q1ZC"/>
    <s v="450/26-27"/>
    <d v="2026-07-04T00:00:00"/>
    <n v="6800"/>
  </r>
  <r>
    <x v="4"/>
    <s v="27AAECV8365Q1ZC"/>
    <s v="450/26-27"/>
    <d v="2026-07-04T00:00:00"/>
    <n v="6800"/>
  </r>
  <r>
    <x v="4"/>
    <s v="27AAECV8365Q1ZC"/>
    <s v="450/26-27"/>
    <d v="2026-07-04T00:00:00"/>
    <n v="6800"/>
  </r>
  <r>
    <x v="4"/>
    <s v="27AAECV8365Q1ZC"/>
    <s v="1145/26-27"/>
    <d v="2026-07-24T00:00:00"/>
    <n v="15550"/>
  </r>
  <r>
    <x v="4"/>
    <s v="27AAECV8365Q1ZC"/>
    <s v="1145/26-27"/>
    <d v="2026-07-24T00:00:00"/>
    <n v="14100"/>
  </r>
  <r>
    <x v="4"/>
    <s v="27AAECV8365Q1ZC"/>
    <s v="1145/26-27"/>
    <d v="2026-07-24T00:00:00"/>
    <n v="14250"/>
  </r>
  <r>
    <x v="4"/>
    <s v="27AAECV8365Q1ZC"/>
    <s v="1145/26-27"/>
    <d v="2026-07-24T00:00:00"/>
    <n v="16500"/>
  </r>
  <r>
    <x v="4"/>
    <s v="27AAECV8365Q1ZC"/>
    <s v="1145/26-27"/>
    <d v="2026-07-24T00:00:00"/>
    <n v="32550"/>
  </r>
  <r>
    <x v="4"/>
    <s v="27AAECV8365Q1ZC"/>
    <s v="1145/26-27"/>
    <d v="2026-07-24T00:00:00"/>
    <n v="110160"/>
  </r>
  <r>
    <x v="4"/>
    <s v="27AAECV8365Q1ZC"/>
    <s v="1145/26-27"/>
    <d v="2026-07-24T00:00:00"/>
    <n v="13850"/>
  </r>
  <r>
    <x v="4"/>
    <s v="27AAECV8365Q1ZC"/>
    <s v="1145/26-27"/>
    <d v="2026-07-24T00:00:00"/>
    <n v="14250"/>
  </r>
  <r>
    <x v="4"/>
    <s v="27AAECV8365Q1ZC"/>
    <s v="1145/26-27"/>
    <d v="2026-07-24T00:00:00"/>
    <n v="29750"/>
  </r>
  <r>
    <x v="4"/>
    <s v="27AAECV8365Q1ZC"/>
    <s v="728/26-27"/>
    <d v="2026-07-29T00:00:00"/>
    <n v="5425"/>
  </r>
  <r>
    <x v="4"/>
    <s v="27AAECV8365Q1ZC"/>
    <s v="953/26-27"/>
    <d v="2026-07-04T00:00:00"/>
    <n v="110160"/>
  </r>
  <r>
    <x v="4"/>
    <s v="27AAECV8365Q1ZC"/>
    <s v="1002/26-27"/>
    <d v="2026-07-10T00:00:00"/>
    <n v="10850"/>
  </r>
  <r>
    <x v="4"/>
    <s v="27AAECV8365Q1ZC"/>
    <s v="1002/26-27"/>
    <d v="2026-07-10T00:00:00"/>
    <n v="7000"/>
  </r>
  <r>
    <x v="4"/>
    <s v="27AAECV8365Q1ZC"/>
    <s v="1002/26-27"/>
    <d v="2026-07-10T00:00:00"/>
    <n v="15550"/>
  </r>
  <r>
    <x v="4"/>
    <s v="27AAECV8365Q1ZC"/>
    <s v="1002/26-27"/>
    <d v="2026-07-10T00:00:00"/>
    <n v="14100"/>
  </r>
  <r>
    <x v="4"/>
    <s v="27AAECV8365Q1ZC"/>
    <s v="1002/26-27"/>
    <d v="2026-07-10T00:00:00"/>
    <n v="7125"/>
  </r>
  <r>
    <x v="4"/>
    <s v="27AAECV8365Q1ZC"/>
    <s v="1002/26-27"/>
    <d v="2026-07-10T00:00:00"/>
    <n v="16500"/>
  </r>
  <r>
    <x v="4"/>
    <s v="27AAECV8365Q1ZC"/>
    <s v="1002/26-27"/>
    <d v="2026-07-10T00:00:00"/>
    <n v="7150"/>
  </r>
  <r>
    <x v="4"/>
    <s v="27AAECV8365Q1ZC"/>
    <s v="1002/26-27"/>
    <d v="2026-07-10T00:00:00"/>
    <n v="7125"/>
  </r>
  <r>
    <x v="4"/>
    <s v="27AAECV8365Q1ZC"/>
    <s v="1002/26-27"/>
    <d v="2026-07-10T00:00:00"/>
    <n v="6800"/>
  </r>
  <r>
    <x v="4"/>
    <s v="27AAECV8365Q1ZC"/>
    <s v="1002/26-27"/>
    <d v="2026-07-10T00:00:00"/>
    <n v="13850"/>
  </r>
  <r>
    <x v="37"/>
    <s v="24AABCW3190K1Z7"/>
    <s v="WVPL/1648/26-27"/>
    <d v="2026-07-15T00:00:00"/>
    <n v="9512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6">
  <r>
    <x v="0"/>
    <x v="0"/>
    <x v="0"/>
    <s v="99EXPOR0000E9Z9"/>
    <s v="PIL1/TP/118/19-20"/>
    <s v="11/03/2022"/>
    <n v="3151699.2"/>
    <n v="1367"/>
    <x v="0"/>
    <x v="0"/>
  </r>
  <r>
    <x v="0"/>
    <x v="0"/>
    <x v="1"/>
    <s v="99EXPOR0000E9Z9"/>
    <s v="PIL2/E/225/19-20"/>
    <s v="11/03/2022"/>
    <n v="3151699.2"/>
    <n v="1367"/>
    <x v="0"/>
    <x v="0"/>
  </r>
  <r>
    <x v="1"/>
    <x v="1"/>
    <x v="2"/>
    <s v="99EXPOR0000E9Z9"/>
    <d v="2026-07-01T00:00:00"/>
    <d v="2026-07-31T00:00:00"/>
    <n v="26344440.298192501"/>
    <n v="1"/>
    <x v="1"/>
    <x v="1"/>
  </r>
  <r>
    <x v="1"/>
    <x v="1"/>
    <x v="3"/>
    <s v="99EXPOR0000E9Z9"/>
    <d v="2026-07-01T00:00:00"/>
    <d v="2026-07-31T00:00:00"/>
    <n v="59071026"/>
    <n v="1"/>
    <x v="1"/>
    <x v="1"/>
  </r>
  <r>
    <x v="2"/>
    <x v="0"/>
    <x v="4"/>
    <s v="23BTLPS7416R1ZT"/>
    <s v="4/22-23"/>
    <s v="02/04/2022"/>
    <n v="82517.399999999994"/>
    <n v="1639"/>
    <x v="0"/>
    <x v="0"/>
  </r>
  <r>
    <x v="2"/>
    <x v="0"/>
    <x v="4"/>
    <s v="23BTLPS7416R1ZT"/>
    <s v="PIL2/D/6"/>
    <s v="04/04/2023"/>
    <n v="49754.7"/>
    <n v="1215"/>
    <x v="0"/>
    <x v="0"/>
  </r>
  <r>
    <x v="2"/>
    <x v="0"/>
    <x v="5"/>
    <s v="09ABAFR1522K1Z9"/>
    <s v="PIL2/D/943"/>
    <s v="11/12/2023"/>
    <n v="580857.09"/>
    <n v="993"/>
    <x v="0"/>
    <x v="0"/>
  </r>
  <r>
    <x v="2"/>
    <x v="0"/>
    <x v="6"/>
    <s v="88INDIG0000I8Z8"/>
    <s v="PIL1/D/3487"/>
    <d v="2017-01-25T00:00:00"/>
    <n v="1507988"/>
    <n v="3475"/>
    <x v="0"/>
    <x v="0"/>
  </r>
  <r>
    <x v="2"/>
    <x v="0"/>
    <x v="6"/>
    <s v="88INDIG0000I8Z8"/>
    <s v="PIL1/D/3694"/>
    <s v="10/02/2017"/>
    <n v="2089970"/>
    <n v="3225"/>
    <x v="0"/>
    <x v="0"/>
  </r>
  <r>
    <x v="2"/>
    <x v="0"/>
    <x v="4"/>
    <s v="23BTLPS7416R1ZT"/>
    <s v="PIL2/D/146"/>
    <s v="11/05/2024"/>
    <n v="52321.2"/>
    <n v="634"/>
    <x v="0"/>
    <x v="0"/>
  </r>
  <r>
    <x v="2"/>
    <x v="0"/>
    <x v="7"/>
    <s v="24ABPFA8196D1Z6"/>
    <s v="PIL1/D/1517"/>
    <d v="2024-11-13T00:00:00"/>
    <n v="40000"/>
    <n v="626"/>
    <x v="0"/>
    <x v="0"/>
  </r>
  <r>
    <x v="3"/>
    <x v="2"/>
    <x v="8"/>
    <s v="99EXPOR0000E9Z9"/>
    <s v="PIL2/E/89/25-26"/>
    <d v="2025-06-10T00:00:00"/>
    <n v="89052.020000000019"/>
    <n v="417"/>
    <x v="0"/>
    <x v="0"/>
  </r>
  <r>
    <x v="2"/>
    <x v="0"/>
    <x v="9"/>
    <s v="29ADEPR8799L2ZA"/>
    <s v="PIL1/HSS/2/26-27"/>
    <d v="2026-06-01T00:00:00"/>
    <n v="13608000"/>
    <n v="61"/>
    <x v="1"/>
    <x v="1"/>
  </r>
  <r>
    <x v="2"/>
    <x v="0"/>
    <x v="10"/>
    <s v="24AAHCP1316J1ZM"/>
    <s v="PIL2/D/311"/>
    <d v="2025-07-29T00:00:00"/>
    <n v="43680"/>
    <n v="368"/>
    <x v="0"/>
    <x v="0"/>
  </r>
  <r>
    <x v="3"/>
    <x v="2"/>
    <x v="8"/>
    <s v="99EXPOR0000E9Z9"/>
    <s v="PIL2/E/184/25-26"/>
    <d v="2025-07-30T00:00:00"/>
    <n v="3020702.8"/>
    <n v="367"/>
    <x v="0"/>
    <x v="0"/>
  </r>
  <r>
    <x v="3"/>
    <x v="2"/>
    <x v="8"/>
    <s v="99EXPOR0000E9Z9"/>
    <s v="PIL1/E/660/25-26"/>
    <d v="2025-08-20T00:00:00"/>
    <n v="2013374.8"/>
    <n v="346"/>
    <x v="0"/>
    <x v="0"/>
  </r>
  <r>
    <x v="3"/>
    <x v="2"/>
    <x v="8"/>
    <s v="99EXPOR0000E9Z9"/>
    <s v="PIL1/E/661/25-26"/>
    <d v="2025-08-20T00:00:00"/>
    <n v="443448.97"/>
    <n v="346"/>
    <x v="0"/>
    <x v="0"/>
  </r>
  <r>
    <x v="3"/>
    <x v="2"/>
    <x v="8"/>
    <s v="99EXPOR0000E9Z9"/>
    <s v="PIL1/E/662/25-26"/>
    <d v="2025-08-20T00:00:00"/>
    <n v="102122.27"/>
    <n v="346"/>
    <x v="0"/>
    <x v="0"/>
  </r>
  <r>
    <x v="3"/>
    <x v="2"/>
    <x v="8"/>
    <s v="99EXPOR0000E9Z9"/>
    <s v="PIL1/E/663/25-26"/>
    <d v="2025-08-20T00:00:00"/>
    <n v="287053.3"/>
    <n v="346"/>
    <x v="0"/>
    <x v="0"/>
  </r>
  <r>
    <x v="3"/>
    <x v="2"/>
    <x v="8"/>
    <s v="99EXPOR0000E9Z9"/>
    <s v="PIL1/E/664/25-26"/>
    <d v="2025-08-20T00:00:00"/>
    <n v="136124.5"/>
    <n v="346"/>
    <x v="0"/>
    <x v="0"/>
  </r>
  <r>
    <x v="3"/>
    <x v="2"/>
    <x v="8"/>
    <s v="99EXPOR0000E9Z9"/>
    <s v="PIL1/E/741/25-26"/>
    <d v="2025-09-05T00:00:00"/>
    <n v="2407874.5600000001"/>
    <n v="330"/>
    <x v="0"/>
    <x v="0"/>
  </r>
  <r>
    <x v="3"/>
    <x v="2"/>
    <x v="8"/>
    <s v="99EXPOR0000E9Z9"/>
    <s v="PIL1/E/742/25-26"/>
    <d v="2025-09-05T00:00:00"/>
    <n v="382490.99"/>
    <n v="330"/>
    <x v="0"/>
    <x v="0"/>
  </r>
  <r>
    <x v="3"/>
    <x v="2"/>
    <x v="8"/>
    <s v="99EXPOR0000E9Z9"/>
    <s v="PIL1/E/743/25-26"/>
    <d v="2025-09-05T00:00:00"/>
    <n v="345305.54"/>
    <n v="330"/>
    <x v="0"/>
    <x v="0"/>
  </r>
  <r>
    <x v="2"/>
    <x v="0"/>
    <x v="11"/>
    <s v="29ABOCS2614Q1ZJ"/>
    <s v="PIL1/HSS/20/25-26"/>
    <d v="2025-12-08T00:00:00"/>
    <n v="4925269.8"/>
    <n v="236"/>
    <x v="0"/>
    <x v="0"/>
  </r>
  <r>
    <x v="2"/>
    <x v="0"/>
    <x v="11"/>
    <s v="29ABOCS2614Q1ZJ"/>
    <s v="PIL1/HSS/21/25-26"/>
    <d v="2025-12-08T00:00:00"/>
    <n v="4925269.8"/>
    <n v="236"/>
    <x v="0"/>
    <x v="0"/>
  </r>
  <r>
    <x v="2"/>
    <x v="0"/>
    <x v="12"/>
    <s v="09APZPG7653R1ZJ"/>
    <s v="PIL2/D/719"/>
    <d v="2025-12-14T00:00:00"/>
    <n v="466090.83999999997"/>
    <n v="230"/>
    <x v="0"/>
    <x v="0"/>
  </r>
  <r>
    <x v="2"/>
    <x v="0"/>
    <x v="12"/>
    <s v="09APZPG7653R1ZJ"/>
    <s v="PIL2/D/744"/>
    <d v="2025-12-21T00:00:00"/>
    <n v="820239.24"/>
    <n v="223"/>
    <x v="0"/>
    <x v="0"/>
  </r>
  <r>
    <x v="3"/>
    <x v="2"/>
    <x v="8"/>
    <s v="99EXPOR0000E9Z9"/>
    <s v="PIL1/E/1186/25-26"/>
    <d v="2025-12-17T00:00:00"/>
    <n v="465127.04"/>
    <n v="227"/>
    <x v="0"/>
    <x v="0"/>
  </r>
  <r>
    <x v="0"/>
    <x v="0"/>
    <x v="13"/>
    <s v="99EXPOR0000E9Z9"/>
    <s v="PIL2/E/401/25-26"/>
    <d v="2026-01-17T00:00:00"/>
    <n v="511492.5"/>
    <n v="196"/>
    <x v="0"/>
    <x v="0"/>
  </r>
  <r>
    <x v="0"/>
    <x v="0"/>
    <x v="14"/>
    <s v="99EXPOR0000E9Z9"/>
    <s v="PIL2/E/407/25-26"/>
    <d v="2026-01-20T00:00:00"/>
    <n v="928499.6100000001"/>
    <n v="193"/>
    <x v="0"/>
    <x v="0"/>
  </r>
  <r>
    <x v="0"/>
    <x v="0"/>
    <x v="14"/>
    <s v="99EXPOR0000E9Z9"/>
    <s v="PIL2/E/408/25-26"/>
    <d v="2026-01-20T00:00:00"/>
    <n v="89107.1"/>
    <n v="193"/>
    <x v="0"/>
    <x v="0"/>
  </r>
  <r>
    <x v="0"/>
    <x v="0"/>
    <x v="14"/>
    <s v="99EXPOR0000E9Z9"/>
    <s v="PIL2/E/409/25-26"/>
    <d v="2026-01-20T00:00:00"/>
    <n v="1033261.39"/>
    <n v="193"/>
    <x v="0"/>
    <x v="0"/>
  </r>
  <r>
    <x v="0"/>
    <x v="0"/>
    <x v="14"/>
    <s v="99EXPOR0000E9Z9"/>
    <s v="PIL2/E/410/25-26"/>
    <d v="2026-01-20T00:00:00"/>
    <n v="1266942.32"/>
    <n v="193"/>
    <x v="0"/>
    <x v="0"/>
  </r>
  <r>
    <x v="0"/>
    <x v="0"/>
    <x v="14"/>
    <s v="99EXPOR0000E9Z9"/>
    <s v="PIL2/E/411/25-26"/>
    <d v="2026-01-20T00:00:00"/>
    <n v="1066773.78"/>
    <n v="193"/>
    <x v="0"/>
    <x v="0"/>
  </r>
  <r>
    <x v="0"/>
    <x v="0"/>
    <x v="14"/>
    <s v="99EXPOR0000E9Z9"/>
    <s v="PIL2/E/416/25-26"/>
    <d v="2026-01-25T00:00:00"/>
    <n v="3092993.81"/>
    <n v="188"/>
    <x v="0"/>
    <x v="0"/>
  </r>
  <r>
    <x v="0"/>
    <x v="0"/>
    <x v="14"/>
    <s v="99EXPOR0000E9Z9"/>
    <s v="PIL2/E/424/25-26"/>
    <d v="2026-01-31T00:00:00"/>
    <n v="517808.52"/>
    <n v="182"/>
    <x v="0"/>
    <x v="0"/>
  </r>
  <r>
    <x v="0"/>
    <x v="0"/>
    <x v="14"/>
    <s v="99EXPOR0000E9Z9"/>
    <s v="PIL2/E/425/25-26"/>
    <d v="2026-01-31T00:00:00"/>
    <n v="472167.99"/>
    <n v="182"/>
    <x v="0"/>
    <x v="0"/>
  </r>
  <r>
    <x v="0"/>
    <x v="0"/>
    <x v="14"/>
    <s v="99EXPOR0000E9Z9"/>
    <s v="PIL2/E/426/25-26"/>
    <d v="2026-01-31T00:00:00"/>
    <n v="1557453.95"/>
    <n v="182"/>
    <x v="0"/>
    <x v="0"/>
  </r>
  <r>
    <x v="2"/>
    <x v="0"/>
    <x v="15"/>
    <s v="29AALCV6611Q1ZG"/>
    <s v="PIL/25-26/HSS/23"/>
    <d v="2026-01-08T00:00:00"/>
    <n v="20472507"/>
    <n v="205"/>
    <x v="0"/>
    <x v="0"/>
  </r>
  <r>
    <x v="2"/>
    <x v="0"/>
    <x v="12"/>
    <s v="09APZPG7653R1ZJ"/>
    <s v="PIL2/D/802"/>
    <d v="2026-01-10T00:00:00"/>
    <n v="861614.76"/>
    <n v="203"/>
    <x v="0"/>
    <x v="0"/>
  </r>
  <r>
    <x v="2"/>
    <x v="0"/>
    <x v="12"/>
    <s v="09APZPG7653R1ZJ"/>
    <s v="PIL2/D/867"/>
    <d v="2026-01-31T00:00:00"/>
    <n v="545259.12"/>
    <n v="182"/>
    <x v="0"/>
    <x v="0"/>
  </r>
  <r>
    <x v="0"/>
    <x v="0"/>
    <x v="14"/>
    <s v="99EXPOR0000E9Z9"/>
    <s v="PIL1/E/1438/25-26"/>
    <d v="2026-02-16T00:00:00"/>
    <n v="796272.2"/>
    <n v="166"/>
    <x v="2"/>
    <x v="1"/>
  </r>
  <r>
    <x v="0"/>
    <x v="0"/>
    <x v="14"/>
    <s v="99EXPOR0000E9Z9"/>
    <s v="PIL1/E/1439/25-26"/>
    <d v="2026-02-16T00:00:00"/>
    <n v="686306.61"/>
    <n v="166"/>
    <x v="2"/>
    <x v="1"/>
  </r>
  <r>
    <x v="0"/>
    <x v="0"/>
    <x v="14"/>
    <s v="99EXPOR0000E9Z9"/>
    <s v="PIL1/E/1440/25-26"/>
    <d v="2026-02-16T00:00:00"/>
    <n v="627027.34"/>
    <n v="166"/>
    <x v="2"/>
    <x v="1"/>
  </r>
  <r>
    <x v="0"/>
    <x v="0"/>
    <x v="14"/>
    <s v="99EXPOR0000E9Z9"/>
    <s v="PIL1/E/1441/25-26"/>
    <d v="2026-02-16T00:00:00"/>
    <n v="383813.17"/>
    <n v="166"/>
    <x v="2"/>
    <x v="1"/>
  </r>
  <r>
    <x v="0"/>
    <x v="0"/>
    <x v="14"/>
    <s v="99EXPOR0000E9Z9"/>
    <s v="PIL1/E/1476/25-26"/>
    <d v="2026-02-26T00:00:00"/>
    <n v="872452.28"/>
    <n v="156"/>
    <x v="2"/>
    <x v="1"/>
  </r>
  <r>
    <x v="0"/>
    <x v="0"/>
    <x v="14"/>
    <s v="99EXPOR0000E9Z9"/>
    <s v="PIL1/E/1477/25-26"/>
    <d v="2026-02-26T00:00:00"/>
    <n v="541973.92000000004"/>
    <n v="156"/>
    <x v="2"/>
    <x v="1"/>
  </r>
  <r>
    <x v="0"/>
    <x v="0"/>
    <x v="14"/>
    <s v="99EXPOR0000E9Z9"/>
    <s v="PIL1/E/1478/25-26"/>
    <d v="2026-02-26T00:00:00"/>
    <n v="340716.07"/>
    <n v="156"/>
    <x v="2"/>
    <x v="1"/>
  </r>
  <r>
    <x v="0"/>
    <x v="0"/>
    <x v="14"/>
    <s v="99EXPOR0000E9Z9"/>
    <s v="PIL1/E/1479/25-26"/>
    <d v="2026-02-26T00:00:00"/>
    <n v="429326.74"/>
    <n v="156"/>
    <x v="2"/>
    <x v="1"/>
  </r>
  <r>
    <x v="0"/>
    <x v="0"/>
    <x v="14"/>
    <s v="99EXPOR0000E9Z9"/>
    <s v="PIL1/E/1480/25-26"/>
    <d v="2026-02-26T00:00:00"/>
    <n v="320390.40000000002"/>
    <n v="156"/>
    <x v="2"/>
    <x v="1"/>
  </r>
  <r>
    <x v="0"/>
    <x v="0"/>
    <x v="14"/>
    <s v="99EXPOR0000E9Z9"/>
    <s v="PIL2/E/429/25-26"/>
    <d v="2026-02-04T00:00:00"/>
    <n v="90475.55"/>
    <n v="178"/>
    <x v="2"/>
    <x v="1"/>
  </r>
  <r>
    <x v="0"/>
    <x v="0"/>
    <x v="14"/>
    <s v="99EXPOR0000E9Z9"/>
    <s v="PIL2/E/430/25-26"/>
    <d v="2026-02-04T00:00:00"/>
    <n v="2223085.13"/>
    <n v="178"/>
    <x v="2"/>
    <x v="1"/>
  </r>
  <r>
    <x v="0"/>
    <x v="0"/>
    <x v="14"/>
    <s v="99EXPOR0000E9Z9"/>
    <s v="PIL2/E/432/25-26"/>
    <d v="2026-02-05T00:00:00"/>
    <n v="226322.24"/>
    <n v="177"/>
    <x v="2"/>
    <x v="1"/>
  </r>
  <r>
    <x v="0"/>
    <x v="0"/>
    <x v="14"/>
    <s v="99EXPOR0000E9Z9"/>
    <s v="PIL2/E/433/25-26"/>
    <d v="2026-02-05T00:00:00"/>
    <n v="997138.3"/>
    <n v="177"/>
    <x v="2"/>
    <x v="1"/>
  </r>
  <r>
    <x v="0"/>
    <x v="0"/>
    <x v="14"/>
    <s v="99EXPOR0000E9Z9"/>
    <s v="PIL2/E/434/25-26"/>
    <d v="2026-02-05T00:00:00"/>
    <n v="586562.42000000004"/>
    <n v="177"/>
    <x v="2"/>
    <x v="1"/>
  </r>
  <r>
    <x v="0"/>
    <x v="0"/>
    <x v="14"/>
    <s v="99EXPOR0000E9Z9"/>
    <s v="PIL2/E/435/25-26"/>
    <d v="2026-02-05T00:00:00"/>
    <n v="764710.38"/>
    <n v="177"/>
    <x v="2"/>
    <x v="1"/>
  </r>
  <r>
    <x v="0"/>
    <x v="0"/>
    <x v="14"/>
    <s v="99EXPOR0000E9Z9"/>
    <s v="PIL2/E/440/25-26"/>
    <d v="2026-02-13T00:00:00"/>
    <n v="47492.09"/>
    <n v="169"/>
    <x v="2"/>
    <x v="1"/>
  </r>
  <r>
    <x v="0"/>
    <x v="0"/>
    <x v="14"/>
    <s v="99EXPOR0000E9Z9"/>
    <s v="PIL2/E/441/25-26"/>
    <d v="2026-02-13T00:00:00"/>
    <n v="2141245.42"/>
    <n v="169"/>
    <x v="2"/>
    <x v="1"/>
  </r>
  <r>
    <x v="0"/>
    <x v="0"/>
    <x v="14"/>
    <s v="99EXPOR0000E9Z9"/>
    <s v="PIL2/E/446/25-26"/>
    <d v="2026-02-19T00:00:00"/>
    <n v="635323.69999999995"/>
    <n v="163"/>
    <x v="2"/>
    <x v="1"/>
  </r>
  <r>
    <x v="0"/>
    <x v="0"/>
    <x v="14"/>
    <s v="99EXPOR0000E9Z9"/>
    <s v="PIL2/E/447/25-26"/>
    <d v="2026-02-19T00:00:00"/>
    <n v="90983.84"/>
    <n v="163"/>
    <x v="2"/>
    <x v="1"/>
  </r>
  <r>
    <x v="0"/>
    <x v="0"/>
    <x v="14"/>
    <s v="99EXPOR0000E9Z9"/>
    <s v="PIL2/E/448/25-26"/>
    <d v="2026-02-19T00:00:00"/>
    <n v="1714734.47"/>
    <n v="163"/>
    <x v="2"/>
    <x v="1"/>
  </r>
  <r>
    <x v="2"/>
    <x v="0"/>
    <x v="12"/>
    <s v="09APZPG7653R1ZJ"/>
    <s v="PIL2/D/937"/>
    <d v="2026-02-17T00:00:00"/>
    <n v="967574.04"/>
    <n v="165"/>
    <x v="2"/>
    <x v="1"/>
  </r>
  <r>
    <x v="2"/>
    <x v="0"/>
    <x v="16"/>
    <s v="24AACCT5064E1ZL"/>
    <s v="PIL2/D/945"/>
    <d v="2026-02-20T00:00:00"/>
    <n v="82703.759999999995"/>
    <n v="162"/>
    <x v="2"/>
    <x v="1"/>
  </r>
  <r>
    <x v="0"/>
    <x v="0"/>
    <x v="14"/>
    <s v="99EXPOR0000E9Z9"/>
    <s v="PIL1/E/1560/25-26"/>
    <d v="2026-03-13T00:00:00"/>
    <n v="817496.01"/>
    <n v="141"/>
    <x v="2"/>
    <x v="1"/>
  </r>
  <r>
    <x v="0"/>
    <x v="0"/>
    <x v="14"/>
    <s v="99EXPOR0000E9Z9"/>
    <s v="PIL1/E/1561/25-26"/>
    <d v="2026-03-13T00:00:00"/>
    <n v="687051.82"/>
    <n v="141"/>
    <x v="2"/>
    <x v="1"/>
  </r>
  <r>
    <x v="0"/>
    <x v="0"/>
    <x v="14"/>
    <s v="99EXPOR0000E9Z9"/>
    <s v="PIL1/E/1562/25-26"/>
    <d v="2026-03-13T00:00:00"/>
    <n v="900740.54"/>
    <n v="141"/>
    <x v="2"/>
    <x v="1"/>
  </r>
  <r>
    <x v="0"/>
    <x v="0"/>
    <x v="14"/>
    <s v="99EXPOR0000E9Z9"/>
    <s v="PIL1/E/1563/25-26"/>
    <d v="2026-03-13T00:00:00"/>
    <n v="280790.83"/>
    <n v="141"/>
    <x v="2"/>
    <x v="1"/>
  </r>
  <r>
    <x v="0"/>
    <x v="0"/>
    <x v="17"/>
    <s v="99EXPOR0000E9Z9"/>
    <s v="PIL1/E/1590/25-26"/>
    <d v="2026-03-20T00:00:00"/>
    <n v="127650"/>
    <n v="134"/>
    <x v="2"/>
    <x v="1"/>
  </r>
  <r>
    <x v="0"/>
    <x v="0"/>
    <x v="18"/>
    <s v="99EXPOR0000E9Z9"/>
    <s v="PIL1/E/1593/25-26"/>
    <d v="2026-03-21T00:00:00"/>
    <n v="2308.2000000001863"/>
    <n v="133"/>
    <x v="2"/>
    <x v="1"/>
  </r>
  <r>
    <x v="0"/>
    <x v="0"/>
    <x v="19"/>
    <s v="99EXPOR0000E9Z9"/>
    <s v="PIL1/TP/010"/>
    <d v="2026-03-25T00:00:00"/>
    <n v="5317"/>
    <n v="129"/>
    <x v="2"/>
    <x v="1"/>
  </r>
  <r>
    <x v="0"/>
    <x v="0"/>
    <x v="20"/>
    <s v="99EXPOR0000E9Z9"/>
    <s v="PIL1/E/1628/25-26"/>
    <d v="2026-03-27T00:00:00"/>
    <n v="138825"/>
    <n v="127"/>
    <x v="2"/>
    <x v="1"/>
  </r>
  <r>
    <x v="0"/>
    <x v="0"/>
    <x v="21"/>
    <s v="99EXPOR0000E9Z9"/>
    <s v="PIL1/E/1640/25-26"/>
    <d v="2026-03-29T00:00:00"/>
    <n v="9592.0400000000373"/>
    <n v="125"/>
    <x v="2"/>
    <x v="1"/>
  </r>
  <r>
    <x v="0"/>
    <x v="0"/>
    <x v="22"/>
    <s v="99EXPOR0000E9Z9"/>
    <s v="PIL1/E/1645/25-26"/>
    <d v="2026-03-30T00:00:00"/>
    <n v="2035"/>
    <n v="124"/>
    <x v="2"/>
    <x v="1"/>
  </r>
  <r>
    <x v="0"/>
    <x v="0"/>
    <x v="23"/>
    <s v="99EXPOR0000E9Z9"/>
    <s v="PIL2/E/468/25-26"/>
    <d v="2026-03-10T00:00:00"/>
    <n v="219902.33000000007"/>
    <n v="144"/>
    <x v="2"/>
    <x v="1"/>
  </r>
  <r>
    <x v="0"/>
    <x v="0"/>
    <x v="14"/>
    <s v="99EXPOR0000E9Z9"/>
    <s v="PIL2/E/470/25-26"/>
    <d v="2026-03-13T00:00:00"/>
    <n v="186752.9"/>
    <n v="141"/>
    <x v="2"/>
    <x v="1"/>
  </r>
  <r>
    <x v="0"/>
    <x v="0"/>
    <x v="14"/>
    <s v="99EXPOR0000E9Z9"/>
    <s v="PIL2/E/471/25-26"/>
    <d v="2026-03-13T00:00:00"/>
    <n v="1771276.46"/>
    <n v="141"/>
    <x v="2"/>
    <x v="1"/>
  </r>
  <r>
    <x v="0"/>
    <x v="0"/>
    <x v="14"/>
    <s v="99EXPOR0000E9Z9"/>
    <s v="PIL2/E/472/25-26"/>
    <d v="2026-03-13T00:00:00"/>
    <n v="557732.65"/>
    <n v="141"/>
    <x v="2"/>
    <x v="1"/>
  </r>
  <r>
    <x v="0"/>
    <x v="0"/>
    <x v="24"/>
    <s v="99EXPOR0000E9Z9"/>
    <s v="PIL2/E/476/25-26"/>
    <d v="2026-03-19T00:00:00"/>
    <n v="31380"/>
    <n v="135"/>
    <x v="2"/>
    <x v="1"/>
  </r>
  <r>
    <x v="2"/>
    <x v="0"/>
    <x v="25"/>
    <s v="24AABCA8203F2Z7"/>
    <s v="PIL1/D/3734"/>
    <d v="2026-03-25T00:00:00"/>
    <n v="191642.18"/>
    <n v="129"/>
    <x v="2"/>
    <x v="1"/>
  </r>
  <r>
    <x v="2"/>
    <x v="0"/>
    <x v="26"/>
    <s v="06ABJFM5382K1ZT"/>
    <s v="PIL1/D/3742"/>
    <d v="2026-03-26T00:00:00"/>
    <n v="395000"/>
    <n v="128"/>
    <x v="2"/>
    <x v="1"/>
  </r>
  <r>
    <x v="2"/>
    <x v="0"/>
    <x v="27"/>
    <s v="24AGUPS7962F1ZO"/>
    <s v="PIL1/D/3791"/>
    <d v="2026-03-31T00:00:00"/>
    <n v="437757"/>
    <n v="123"/>
    <x v="2"/>
    <x v="1"/>
  </r>
  <r>
    <x v="2"/>
    <x v="0"/>
    <x v="16"/>
    <s v="24AACCT5064E1ZL"/>
    <s v="PIL2/D/999"/>
    <d v="2026-03-02T00:00:00"/>
    <n v="114651.16"/>
    <n v="152"/>
    <x v="2"/>
    <x v="1"/>
  </r>
  <r>
    <x v="2"/>
    <x v="0"/>
    <x v="12"/>
    <s v="09APZPG7653R1ZJ"/>
    <s v="PIL2/D/1019"/>
    <d v="2026-03-11T00:00:00"/>
    <n v="855186.12"/>
    <n v="143"/>
    <x v="2"/>
    <x v="1"/>
  </r>
  <r>
    <x v="0"/>
    <x v="0"/>
    <x v="22"/>
    <s v="99EXPOR0000E9Z9"/>
    <s v="PIL1/E/91/26-27"/>
    <d v="2026-04-24T00:00:00"/>
    <n v="162364"/>
    <n v="99"/>
    <x v="3"/>
    <x v="1"/>
  </r>
  <r>
    <x v="0"/>
    <x v="0"/>
    <x v="21"/>
    <s v="99EXPOR0000E9Z9"/>
    <s v="PIL1/E/109/26-27"/>
    <d v="2026-04-29T00:00:00"/>
    <n v="4975676.16"/>
    <n v="94"/>
    <x v="3"/>
    <x v="1"/>
  </r>
  <r>
    <x v="0"/>
    <x v="0"/>
    <x v="22"/>
    <s v="99EXPOR0000E9Z9"/>
    <s v="PIL1/E/114/26-27"/>
    <d v="2026-04-30T00:00:00"/>
    <n v="325"/>
    <n v="93"/>
    <x v="3"/>
    <x v="1"/>
  </r>
  <r>
    <x v="0"/>
    <x v="0"/>
    <x v="14"/>
    <s v="99EXPOR0000E9Z9"/>
    <s v="PIL2/E/12/26-27"/>
    <d v="2026-04-16T00:00:00"/>
    <n v="3085142.78"/>
    <n v="107"/>
    <x v="3"/>
    <x v="1"/>
  </r>
  <r>
    <x v="0"/>
    <x v="0"/>
    <x v="22"/>
    <s v="99EXPOR0000E9Z9"/>
    <s v="PIL2/E/16/26-27"/>
    <d v="2026-04-28T00:00:00"/>
    <n v="394345.14"/>
    <n v="95"/>
    <x v="3"/>
    <x v="1"/>
  </r>
  <r>
    <x v="0"/>
    <x v="0"/>
    <x v="14"/>
    <s v="99EXPOR0000E9Z9"/>
    <s v="PIL2/E/17/26-27"/>
    <d v="2026-04-30T00:00:00"/>
    <n v="2394413.38"/>
    <n v="93"/>
    <x v="3"/>
    <x v="1"/>
  </r>
  <r>
    <x v="0"/>
    <x v="0"/>
    <x v="14"/>
    <s v="99EXPOR0000E9Z9"/>
    <s v="PIL2/E/18/26-27"/>
    <d v="2026-04-30T00:00:00"/>
    <n v="112413.4"/>
    <n v="93"/>
    <x v="3"/>
    <x v="1"/>
  </r>
  <r>
    <x v="2"/>
    <x v="0"/>
    <x v="10"/>
    <s v="24AAHCP1316J1ZM"/>
    <s v="PIL1/D/171"/>
    <d v="2026-04-17T00:00:00"/>
    <n v="60793.599999999999"/>
    <n v="106"/>
    <x v="4"/>
    <x v="1"/>
  </r>
  <r>
    <x v="2"/>
    <x v="0"/>
    <x v="12"/>
    <s v="09APZPG7653R1ZJ"/>
    <s v="PIL2/D/2"/>
    <d v="2026-04-02T00:00:00"/>
    <n v="1106497.8"/>
    <n v="121"/>
    <x v="2"/>
    <x v="1"/>
  </r>
  <r>
    <x v="2"/>
    <x v="0"/>
    <x v="12"/>
    <s v="09APZPG7653R1ZJ"/>
    <s v="PIL2/D/3"/>
    <d v="2026-04-02T00:00:00"/>
    <n v="166103.88"/>
    <n v="121"/>
    <x v="2"/>
    <x v="1"/>
  </r>
  <r>
    <x v="2"/>
    <x v="0"/>
    <x v="16"/>
    <s v="24AACCT5064E1ZL"/>
    <s v="PIL2/D/25"/>
    <d v="2026-04-08T00:00:00"/>
    <n v="95325.119999999995"/>
    <n v="115"/>
    <x v="4"/>
    <x v="1"/>
  </r>
  <r>
    <x v="2"/>
    <x v="0"/>
    <x v="16"/>
    <s v="24AACCT5064E1ZL"/>
    <s v="PIL2/D/58"/>
    <d v="2026-04-17T00:00:00"/>
    <n v="74502.84"/>
    <n v="106"/>
    <x v="4"/>
    <x v="1"/>
  </r>
  <r>
    <x v="2"/>
    <x v="0"/>
    <x v="27"/>
    <s v="24AGUPS7962F1ZO"/>
    <s v="PIL1/D/307"/>
    <d v="2026-05-02T00:00:00"/>
    <n v="884518.56"/>
    <n v="91"/>
    <x v="4"/>
    <x v="1"/>
  </r>
  <r>
    <x v="0"/>
    <x v="0"/>
    <x v="28"/>
    <s v="99EXPOR0000E9Z9"/>
    <s v="PIL1/E/135/26-27"/>
    <d v="2026-05-06T00:00:00"/>
    <n v="4528872"/>
    <n v="87"/>
    <x v="3"/>
    <x v="1"/>
  </r>
  <r>
    <x v="0"/>
    <x v="0"/>
    <x v="29"/>
    <s v="99EXPOR0000E9Z9"/>
    <s v="PIL1/E/139/26-27"/>
    <d v="2026-05-07T00:00:00"/>
    <n v="3956712.64"/>
    <n v="86"/>
    <x v="3"/>
    <x v="1"/>
  </r>
  <r>
    <x v="2"/>
    <x v="0"/>
    <x v="25"/>
    <s v="24AABCA8203F2Z7"/>
    <s v="PIL1/D/364"/>
    <d v="2026-05-08T00:00:00"/>
    <n v="193911.66"/>
    <n v="85"/>
    <x v="1"/>
    <x v="1"/>
  </r>
  <r>
    <x v="0"/>
    <x v="0"/>
    <x v="22"/>
    <s v="24AAACO7290H4ZB"/>
    <s v="PIL1/E/145/26-27"/>
    <d v="2026-05-08T00:00:00"/>
    <n v="5775"/>
    <n v="85"/>
    <x v="3"/>
    <x v="1"/>
  </r>
  <r>
    <x v="0"/>
    <x v="0"/>
    <x v="17"/>
    <s v="99EXPOR0000E9Z9"/>
    <s v="PIL1/E/152/26-27"/>
    <d v="2026-05-10T00:00:00"/>
    <n v="4741419.38"/>
    <n v="83"/>
    <x v="3"/>
    <x v="1"/>
  </r>
  <r>
    <x v="2"/>
    <x v="0"/>
    <x v="25"/>
    <s v="24AABCA8203F2Z7"/>
    <s v="PIL1/D/397"/>
    <d v="2026-05-12T00:00:00"/>
    <n v="158025.98000000001"/>
    <n v="81"/>
    <x v="1"/>
    <x v="1"/>
  </r>
  <r>
    <x v="0"/>
    <x v="0"/>
    <x v="14"/>
    <s v="99EXPOR0000E9Z9"/>
    <s v="PIL1/E/173/26-27"/>
    <d v="2026-05-13T00:00:00"/>
    <n v="1116455.56"/>
    <n v="80"/>
    <x v="3"/>
    <x v="1"/>
  </r>
  <r>
    <x v="0"/>
    <x v="0"/>
    <x v="14"/>
    <s v="99EXPOR0000E9Z9"/>
    <s v="PIL1/E/174/26-27"/>
    <d v="2026-05-13T00:00:00"/>
    <n v="856138.44"/>
    <n v="80"/>
    <x v="3"/>
    <x v="1"/>
  </r>
  <r>
    <x v="0"/>
    <x v="0"/>
    <x v="14"/>
    <s v="99EXPOR0000E9Z9"/>
    <s v="PIL1/E/175/26-27"/>
    <d v="2026-05-13T00:00:00"/>
    <n v="942012.45"/>
    <n v="80"/>
    <x v="3"/>
    <x v="1"/>
  </r>
  <r>
    <x v="2"/>
    <x v="0"/>
    <x v="25"/>
    <s v="24AABCA8203F2Z7"/>
    <s v="PIL1/D/424"/>
    <d v="2026-05-15T00:00:00"/>
    <n v="218513.33"/>
    <n v="78"/>
    <x v="1"/>
    <x v="1"/>
  </r>
  <r>
    <x v="2"/>
    <x v="0"/>
    <x v="25"/>
    <s v="24AABCA8203F2Z7"/>
    <s v="PIL1/D/452"/>
    <d v="2026-05-18T00:00:00"/>
    <n v="192335.07"/>
    <n v="75"/>
    <x v="1"/>
    <x v="1"/>
  </r>
  <r>
    <x v="0"/>
    <x v="0"/>
    <x v="28"/>
    <s v="99EXPOR0000E9Z9"/>
    <s v="PIL1/E/212/26-27"/>
    <d v="2026-05-21T00:00:00"/>
    <n v="4520520"/>
    <n v="72"/>
    <x v="3"/>
    <x v="1"/>
  </r>
  <r>
    <x v="0"/>
    <x v="0"/>
    <x v="30"/>
    <s v="99EXPOR0000E9Z9"/>
    <s v="PIL1/E/215/26-27"/>
    <d v="2026-05-22T00:00:00"/>
    <n v="249450.01"/>
    <n v="71"/>
    <x v="3"/>
    <x v="1"/>
  </r>
  <r>
    <x v="2"/>
    <x v="0"/>
    <x v="25"/>
    <s v="24AABCA8203F2Z7"/>
    <s v="PIL1/D/493"/>
    <d v="2026-05-23T00:00:00"/>
    <n v="241942.79"/>
    <n v="70"/>
    <x v="1"/>
    <x v="1"/>
  </r>
  <r>
    <x v="0"/>
    <x v="0"/>
    <x v="31"/>
    <s v="99EXPOR0000E9Z9"/>
    <s v="PIL1/E/226/26-27"/>
    <d v="2026-05-25T00:00:00"/>
    <n v="3303022.52"/>
    <n v="68"/>
    <x v="3"/>
    <x v="1"/>
  </r>
  <r>
    <x v="2"/>
    <x v="0"/>
    <x v="32"/>
    <s v="24ABDFG4062C1ZX"/>
    <s v="PIL1/D/508"/>
    <d v="2026-05-25T00:00:00"/>
    <n v="80960"/>
    <n v="68"/>
    <x v="1"/>
    <x v="1"/>
  </r>
  <r>
    <x v="2"/>
    <x v="0"/>
    <x v="25"/>
    <s v="24AABCA8203F2Z7"/>
    <s v="PIL1/D/526"/>
    <d v="2026-05-27T00:00:00"/>
    <n v="259672.23"/>
    <n v="66"/>
    <x v="1"/>
    <x v="1"/>
  </r>
  <r>
    <x v="0"/>
    <x v="0"/>
    <x v="33"/>
    <s v="99EXPOR0000E9Z9"/>
    <s v="PIL1/E/229/26-27"/>
    <d v="2026-05-27T00:00:00"/>
    <n v="596560.79999999981"/>
    <n v="66"/>
    <x v="3"/>
    <x v="1"/>
  </r>
  <r>
    <x v="0"/>
    <x v="0"/>
    <x v="14"/>
    <s v="99EXPOR0000E9Z9"/>
    <s v="PIL2/E/19/26-27"/>
    <d v="2026-05-02T00:00:00"/>
    <n v="1506292.2"/>
    <n v="91"/>
    <x v="3"/>
    <x v="1"/>
  </r>
  <r>
    <x v="0"/>
    <x v="0"/>
    <x v="14"/>
    <s v="99EXPOR0000E9Z9"/>
    <s v="PIL2/E/20/26-27"/>
    <d v="2026-05-02T00:00:00"/>
    <n v="1348218.03"/>
    <n v="91"/>
    <x v="3"/>
    <x v="1"/>
  </r>
  <r>
    <x v="0"/>
    <x v="0"/>
    <x v="34"/>
    <s v="99EXPOR0000E9Z9"/>
    <s v="PIL2/E/21/26-27"/>
    <d v="2026-05-07T00:00:00"/>
    <n v="4045054.86"/>
    <n v="86"/>
    <x v="3"/>
    <x v="1"/>
  </r>
  <r>
    <x v="0"/>
    <x v="0"/>
    <x v="28"/>
    <s v="99EXPOR0000E9Z9"/>
    <s v="PIL2/E/22/26-27"/>
    <d v="2026-05-14T00:00:00"/>
    <n v="4663150.2"/>
    <n v="79"/>
    <x v="3"/>
    <x v="1"/>
  </r>
  <r>
    <x v="2"/>
    <x v="0"/>
    <x v="35"/>
    <s v="24AAJCP0137B1Z0"/>
    <s v="PIL2/D/147"/>
    <d v="2026-05-16T00:00:00"/>
    <n v="849600"/>
    <n v="77"/>
    <x v="1"/>
    <x v="1"/>
  </r>
  <r>
    <x v="0"/>
    <x v="0"/>
    <x v="22"/>
    <s v="24AAACO7290H4ZB"/>
    <s v="PIL2/E/25/26-27"/>
    <d v="2026-05-18T00:00:00"/>
    <n v="884826.39"/>
    <n v="75"/>
    <x v="3"/>
    <x v="1"/>
  </r>
  <r>
    <x v="2"/>
    <x v="0"/>
    <x v="36"/>
    <s v="24AACCA4884D1ZW"/>
    <s v="PIL2/D/151"/>
    <d v="2026-05-19T00:00:00"/>
    <n v="206500"/>
    <n v="74"/>
    <x v="1"/>
    <x v="1"/>
  </r>
  <r>
    <x v="0"/>
    <x v="0"/>
    <x v="14"/>
    <s v="99EXPOR0000E9Z9"/>
    <s v="PIL2/E/27/26-27"/>
    <d v="2026-05-20T00:00:00"/>
    <n v="2256022.2400000002"/>
    <n v="73"/>
    <x v="3"/>
    <x v="1"/>
  </r>
  <r>
    <x v="0"/>
    <x v="0"/>
    <x v="14"/>
    <s v="99EXPOR0000E9Z9"/>
    <s v="PIL2/E/28/26-27"/>
    <d v="2026-05-20T00:00:00"/>
    <n v="712587.09"/>
    <n v="73"/>
    <x v="3"/>
    <x v="1"/>
  </r>
  <r>
    <x v="0"/>
    <x v="0"/>
    <x v="14"/>
    <s v="99EXPOR0000E9Z9"/>
    <s v="PIL2/E/29/26-27"/>
    <d v="2026-05-20T00:00:00"/>
    <n v="101104.49"/>
    <n v="73"/>
    <x v="3"/>
    <x v="1"/>
  </r>
  <r>
    <x v="0"/>
    <x v="0"/>
    <x v="14"/>
    <s v="99EXPOR0000E9Z9"/>
    <s v="PIL2/E/30/26-27"/>
    <d v="2026-05-20T00:00:00"/>
    <n v="3109048.79"/>
    <n v="73"/>
    <x v="3"/>
    <x v="1"/>
  </r>
  <r>
    <x v="0"/>
    <x v="0"/>
    <x v="34"/>
    <s v="99EXPOR0000E9Z9"/>
    <s v="PIL2/E/32/26-27"/>
    <d v="2026-05-22T00:00:00"/>
    <n v="4407861.51"/>
    <n v="71"/>
    <x v="3"/>
    <x v="1"/>
  </r>
  <r>
    <x v="0"/>
    <x v="0"/>
    <x v="37"/>
    <s v="99EXPOR0000E9Z9"/>
    <s v="PIL2/E/33/26-27"/>
    <d v="2026-05-27T00:00:00"/>
    <n v="1667286.6400000001"/>
    <n v="66"/>
    <x v="3"/>
    <x v="1"/>
  </r>
  <r>
    <x v="0"/>
    <x v="0"/>
    <x v="14"/>
    <s v="99EXPOR0000E9Z9"/>
    <s v="PIL2/E/35/26-27"/>
    <d v="2026-05-28T00:00:00"/>
    <n v="108307.11"/>
    <n v="65"/>
    <x v="3"/>
    <x v="1"/>
  </r>
  <r>
    <x v="0"/>
    <x v="0"/>
    <x v="14"/>
    <s v="99EXPOR0000E9Z9"/>
    <s v="PIL2/E/36/26-27"/>
    <d v="2026-05-28T00:00:00"/>
    <n v="1664664.16"/>
    <n v="65"/>
    <x v="3"/>
    <x v="1"/>
  </r>
  <r>
    <x v="0"/>
    <x v="0"/>
    <x v="14"/>
    <s v="99EXPOR0000E9Z9"/>
    <s v="PIL2/E/37/26-27"/>
    <d v="2026-05-28T00:00:00"/>
    <n v="1179699.76"/>
    <n v="65"/>
    <x v="3"/>
    <x v="1"/>
  </r>
  <r>
    <x v="2"/>
    <x v="0"/>
    <x v="25"/>
    <s v="24AABCA8203F2Z7"/>
    <s v="PIL1/D/587"/>
    <d v="2026-06-02T00:00:00"/>
    <n v="254936.21"/>
    <n v="60"/>
    <x v="1"/>
    <x v="1"/>
  </r>
  <r>
    <x v="2"/>
    <x v="0"/>
    <x v="38"/>
    <s v="27AARCA5532H1ZG"/>
    <s v="PIL1/D/605"/>
    <d v="2026-06-03T00:00:00"/>
    <n v="440040.72"/>
    <n v="59"/>
    <x v="1"/>
    <x v="1"/>
  </r>
  <r>
    <x v="0"/>
    <x v="0"/>
    <x v="39"/>
    <s v="99EXPOR0000E9Z9"/>
    <s v="PIL1/E/250/26-27"/>
    <d v="2026-06-03T00:00:00"/>
    <n v="119477.72"/>
    <n v="59"/>
    <x v="3"/>
    <x v="1"/>
  </r>
  <r>
    <x v="0"/>
    <x v="0"/>
    <x v="28"/>
    <s v="99EXPOR0000E9Z9"/>
    <s v="PIL1/E/249/26-27"/>
    <d v="2026-06-03T00:00:00"/>
    <n v="4372227.5310000004"/>
    <n v="59"/>
    <x v="3"/>
    <x v="1"/>
  </r>
  <r>
    <x v="0"/>
    <x v="0"/>
    <x v="28"/>
    <s v="99EXPOR0000E9Z9"/>
    <s v="PIL1/E/249/26-27"/>
    <d v="2026-06-03T00:00:00"/>
    <n v="251820.46400000001"/>
    <n v="59"/>
    <x v="3"/>
    <x v="1"/>
  </r>
  <r>
    <x v="2"/>
    <x v="0"/>
    <x v="25"/>
    <s v="24AABCA8203F2Z7"/>
    <s v="PIL1/D/612"/>
    <d v="2026-06-04T00:00:00"/>
    <n v="196908.27"/>
    <n v="58"/>
    <x v="1"/>
    <x v="1"/>
  </r>
  <r>
    <x v="2"/>
    <x v="0"/>
    <x v="32"/>
    <s v="24ABDFG4062C1ZX"/>
    <s v="PIL1/D/624"/>
    <d v="2026-06-05T00:00:00"/>
    <n v="449775"/>
    <n v="57"/>
    <x v="1"/>
    <x v="1"/>
  </r>
  <r>
    <x v="0"/>
    <x v="0"/>
    <x v="22"/>
    <s v="24AAACO7290H4ZB"/>
    <s v="PIL1/E/253/26-27"/>
    <d v="2026-06-05T00:00:00"/>
    <n v="4040"/>
    <n v="57"/>
    <x v="3"/>
    <x v="1"/>
  </r>
  <r>
    <x v="0"/>
    <x v="0"/>
    <x v="22"/>
    <s v="24AAACO7290H4ZB"/>
    <s v="PIL1/E/254/26-27"/>
    <d v="2026-06-05T00:00:00"/>
    <n v="1705"/>
    <n v="57"/>
    <x v="3"/>
    <x v="1"/>
  </r>
  <r>
    <x v="2"/>
    <x v="0"/>
    <x v="40"/>
    <s v="27BCGPD5673M1Z7"/>
    <s v="PIL1/D/642"/>
    <d v="2026-06-07T00:00:00"/>
    <n v="1068286"/>
    <n v="55"/>
    <x v="1"/>
    <x v="1"/>
  </r>
  <r>
    <x v="2"/>
    <x v="0"/>
    <x v="25"/>
    <s v="24AABCA8203F2Z7"/>
    <s v="PIL1/D/654"/>
    <d v="2026-06-08T00:00:00"/>
    <n v="148211.88"/>
    <n v="54"/>
    <x v="1"/>
    <x v="1"/>
  </r>
  <r>
    <x v="0"/>
    <x v="0"/>
    <x v="14"/>
    <s v="99EXPOR0000E9Z9"/>
    <s v="PIL1/E/264/26-27"/>
    <d v="2026-06-08T00:00:00"/>
    <n v="719779.48899999994"/>
    <n v="54"/>
    <x v="3"/>
    <x v="1"/>
  </r>
  <r>
    <x v="0"/>
    <x v="0"/>
    <x v="14"/>
    <s v="99EXPOR0000E9Z9"/>
    <s v="PIL1/E/265/26-27"/>
    <d v="2026-06-08T00:00:00"/>
    <n v="306081.91899999999"/>
    <n v="54"/>
    <x v="3"/>
    <x v="1"/>
  </r>
  <r>
    <x v="0"/>
    <x v="0"/>
    <x v="14"/>
    <s v="99EXPOR0000E9Z9"/>
    <s v="PIL1/E/266/26-27"/>
    <d v="2026-06-08T00:00:00"/>
    <n v="717358.59"/>
    <n v="54"/>
    <x v="3"/>
    <x v="1"/>
  </r>
  <r>
    <x v="0"/>
    <x v="0"/>
    <x v="14"/>
    <s v="99EXPOR0000E9Z9"/>
    <s v="PIL1/E/267/26-27"/>
    <d v="2026-06-08T00:00:00"/>
    <n v="241662.85"/>
    <n v="54"/>
    <x v="3"/>
    <x v="1"/>
  </r>
  <r>
    <x v="0"/>
    <x v="0"/>
    <x v="14"/>
    <s v="99EXPOR0000E9Z9"/>
    <s v="PIL1/E/268/26-27"/>
    <d v="2026-06-08T00:00:00"/>
    <n v="35507.277942274901"/>
    <n v="54"/>
    <x v="3"/>
    <x v="1"/>
  </r>
  <r>
    <x v="0"/>
    <x v="0"/>
    <x v="14"/>
    <s v="99EXPOR0000E9Z9"/>
    <s v="PIL1/E/268/26-27"/>
    <d v="2026-06-08T00:00:00"/>
    <n v="664668.718057725"/>
    <n v="54"/>
    <x v="3"/>
    <x v="1"/>
  </r>
  <r>
    <x v="0"/>
    <x v="0"/>
    <x v="34"/>
    <s v="99EXPOR0000E9Z9"/>
    <s v="PIL1/JW/004"/>
    <d v="2026-06-12T00:00:00"/>
    <n v="3984172.7987059602"/>
    <n v="50"/>
    <x v="3"/>
    <x v="1"/>
  </r>
  <r>
    <x v="0"/>
    <x v="0"/>
    <x v="34"/>
    <s v="99EXPOR0000E9Z9"/>
    <s v="PIL1/JW/005"/>
    <d v="2026-06-12T00:00:00"/>
    <n v="465484.50151839998"/>
    <n v="50"/>
    <x v="3"/>
    <x v="1"/>
  </r>
  <r>
    <x v="0"/>
    <x v="0"/>
    <x v="14"/>
    <s v="99EXPOR0000E9Z9"/>
    <s v="PIL1/E/280/26-27"/>
    <d v="2026-06-14T00:00:00"/>
    <n v="638573.55900000001"/>
    <n v="48"/>
    <x v="3"/>
    <x v="1"/>
  </r>
  <r>
    <x v="0"/>
    <x v="0"/>
    <x v="14"/>
    <s v="99EXPOR0000E9Z9"/>
    <s v="PIL1/E/281/26-27"/>
    <d v="2026-06-14T00:00:00"/>
    <n v="974290.85"/>
    <n v="48"/>
    <x v="3"/>
    <x v="1"/>
  </r>
  <r>
    <x v="0"/>
    <x v="0"/>
    <x v="14"/>
    <s v="99EXPOR0000E9Z9"/>
    <s v="PIL1/E/282/26-27"/>
    <d v="2026-06-14T00:00:00"/>
    <n v="1180139.389"/>
    <n v="48"/>
    <x v="3"/>
    <x v="1"/>
  </r>
  <r>
    <x v="0"/>
    <x v="0"/>
    <x v="17"/>
    <s v="99EXPOR0000E9Z9"/>
    <s v="PIL1/E/289/26-27"/>
    <d v="2026-06-15T00:00:00"/>
    <n v="5052855.5999999996"/>
    <n v="47"/>
    <x v="3"/>
    <x v="1"/>
  </r>
  <r>
    <x v="2"/>
    <x v="0"/>
    <x v="41"/>
    <s v="24AANFJ8866A1Z6"/>
    <s v="PIL1/D/721"/>
    <d v="2026-06-16T00:00:00"/>
    <n v="50000"/>
    <n v="46"/>
    <x v="1"/>
    <x v="1"/>
  </r>
  <r>
    <x v="3"/>
    <x v="2"/>
    <x v="42"/>
    <s v="24AAFCP2956A1ZR"/>
    <s v="PIL1/D/747"/>
    <d v="2026-06-18T00:00:00"/>
    <n v="59156.2"/>
    <n v="44"/>
    <x v="1"/>
    <x v="1"/>
  </r>
  <r>
    <x v="3"/>
    <x v="2"/>
    <x v="42"/>
    <s v="24AAFCP2956A1ZR"/>
    <s v="PIL1/D/747"/>
    <d v="2026-06-18T00:00:00"/>
    <n v="88053.04"/>
    <n v="44"/>
    <x v="1"/>
    <x v="1"/>
  </r>
  <r>
    <x v="3"/>
    <x v="2"/>
    <x v="42"/>
    <s v="24AAFCP2956A1ZR"/>
    <s v="PIL1/D/747"/>
    <d v="2026-06-18T00:00:00"/>
    <n v="114402.26"/>
    <n v="44"/>
    <x v="1"/>
    <x v="1"/>
  </r>
  <r>
    <x v="3"/>
    <x v="2"/>
    <x v="42"/>
    <s v="24AAFCP2956A1ZR"/>
    <s v="PIL1/D/747"/>
    <d v="2026-06-18T00:00:00"/>
    <n v="7620.74"/>
    <n v="44"/>
    <x v="1"/>
    <x v="1"/>
  </r>
  <r>
    <x v="3"/>
    <x v="2"/>
    <x v="42"/>
    <s v="24AAFCP2956A1ZR"/>
    <s v="PIL1/D/756"/>
    <d v="2026-06-19T00:00:00"/>
    <n v="5952"/>
    <n v="43"/>
    <x v="1"/>
    <x v="1"/>
  </r>
  <r>
    <x v="3"/>
    <x v="2"/>
    <x v="42"/>
    <s v="24AAFCP2956A1ZR"/>
    <s v="PIL1/D/757"/>
    <d v="2026-06-19T00:00:00"/>
    <n v="103878.47"/>
    <n v="43"/>
    <x v="1"/>
    <x v="1"/>
  </r>
  <r>
    <x v="3"/>
    <x v="2"/>
    <x v="42"/>
    <s v="24AAFCP2956A1ZR"/>
    <s v="PIL1/D/757"/>
    <d v="2026-06-19T00:00:00"/>
    <n v="30651.78"/>
    <n v="43"/>
    <x v="1"/>
    <x v="1"/>
  </r>
  <r>
    <x v="3"/>
    <x v="2"/>
    <x v="42"/>
    <s v="24AAFCP2956A1ZR"/>
    <s v="PIL1/D/757"/>
    <d v="2026-06-19T00:00:00"/>
    <n v="463755.78"/>
    <n v="43"/>
    <x v="1"/>
    <x v="1"/>
  </r>
  <r>
    <x v="3"/>
    <x v="2"/>
    <x v="42"/>
    <s v="24AAFCP2956A1ZR"/>
    <s v="PIL1/D/757"/>
    <d v="2026-06-19T00:00:00"/>
    <n v="75051.92"/>
    <n v="43"/>
    <x v="1"/>
    <x v="1"/>
  </r>
  <r>
    <x v="3"/>
    <x v="2"/>
    <x v="42"/>
    <s v="24AAFCP2956A1ZR"/>
    <s v="PIL1/D/757"/>
    <d v="2026-06-19T00:00:00"/>
    <n v="43143.05"/>
    <n v="43"/>
    <x v="1"/>
    <x v="1"/>
  </r>
  <r>
    <x v="3"/>
    <x v="2"/>
    <x v="42"/>
    <s v="24AAFCP2956A1ZR"/>
    <s v="PIL1/D/757"/>
    <d v="2026-06-19T00:00:00"/>
    <n v="258682.96"/>
    <n v="43"/>
    <x v="1"/>
    <x v="1"/>
  </r>
  <r>
    <x v="3"/>
    <x v="2"/>
    <x v="42"/>
    <s v="24AAFCP2956A1ZR"/>
    <s v="PIL1/D/757"/>
    <d v="2026-06-19T00:00:00"/>
    <n v="62506.26"/>
    <n v="43"/>
    <x v="1"/>
    <x v="1"/>
  </r>
  <r>
    <x v="3"/>
    <x v="2"/>
    <x v="42"/>
    <s v="24AAFCP2956A1ZR"/>
    <s v="PIL1/D/757"/>
    <d v="2026-06-19T00:00:00"/>
    <n v="4861.5"/>
    <n v="43"/>
    <x v="1"/>
    <x v="1"/>
  </r>
  <r>
    <x v="3"/>
    <x v="2"/>
    <x v="42"/>
    <s v="24AAFCP2956A1ZR"/>
    <s v="PIL1/D/765"/>
    <d v="2026-06-20T00:00:00"/>
    <n v="2352"/>
    <n v="42"/>
    <x v="1"/>
    <x v="1"/>
  </r>
  <r>
    <x v="3"/>
    <x v="2"/>
    <x v="42"/>
    <s v="24AAFCP2956A1ZR"/>
    <s v="PIL1/D/768"/>
    <d v="2026-06-20T00:00:00"/>
    <n v="7670.01"/>
    <n v="42"/>
    <x v="1"/>
    <x v="1"/>
  </r>
  <r>
    <x v="3"/>
    <x v="2"/>
    <x v="42"/>
    <s v="24AAFCP2956A1ZR"/>
    <s v="PIL1/D/768"/>
    <d v="2026-06-20T00:00:00"/>
    <n v="36207.129999999997"/>
    <n v="42"/>
    <x v="1"/>
    <x v="1"/>
  </r>
  <r>
    <x v="3"/>
    <x v="2"/>
    <x v="42"/>
    <s v="24AAFCP2956A1ZR"/>
    <s v="PIL1/D/768"/>
    <d v="2026-06-20T00:00:00"/>
    <n v="121764.33"/>
    <n v="42"/>
    <x v="1"/>
    <x v="1"/>
  </r>
  <r>
    <x v="3"/>
    <x v="2"/>
    <x v="42"/>
    <s v="24AAFCP2956A1ZR"/>
    <s v="PIL1/D/768"/>
    <d v="2026-06-20T00:00:00"/>
    <n v="335035.44"/>
    <n v="42"/>
    <x v="1"/>
    <x v="1"/>
  </r>
  <r>
    <x v="3"/>
    <x v="2"/>
    <x v="42"/>
    <s v="24AAFCP2956A1ZR"/>
    <s v="PIL1/D/768"/>
    <d v="2026-06-20T00:00:00"/>
    <n v="100031.14"/>
    <n v="42"/>
    <x v="1"/>
    <x v="1"/>
  </r>
  <r>
    <x v="3"/>
    <x v="2"/>
    <x v="42"/>
    <s v="24AAFCP2956A1ZR"/>
    <s v="PIL1/D/768"/>
    <d v="2026-06-20T00:00:00"/>
    <n v="84950.5"/>
    <n v="42"/>
    <x v="1"/>
    <x v="1"/>
  </r>
  <r>
    <x v="3"/>
    <x v="2"/>
    <x v="42"/>
    <s v="24AAFCP2956A1ZR"/>
    <s v="PIL1/D/768"/>
    <d v="2026-06-20T00:00:00"/>
    <n v="113027.6"/>
    <n v="42"/>
    <x v="1"/>
    <x v="1"/>
  </r>
  <r>
    <x v="3"/>
    <x v="2"/>
    <x v="42"/>
    <s v="24AAFCP2956A1ZR"/>
    <s v="PIL1/D/768"/>
    <d v="2026-06-20T00:00:00"/>
    <n v="6931.58"/>
    <n v="42"/>
    <x v="1"/>
    <x v="1"/>
  </r>
  <r>
    <x v="3"/>
    <x v="2"/>
    <x v="42"/>
    <s v="24AAFCP2956A1ZR"/>
    <s v="PIL1/D/766"/>
    <d v="2026-06-20T00:00:00"/>
    <n v="27250"/>
    <n v="42"/>
    <x v="1"/>
    <x v="1"/>
  </r>
  <r>
    <x v="0"/>
    <x v="0"/>
    <x v="43"/>
    <s v="99EXPOR0000E9Z9"/>
    <s v="PIL1/E/299/26-27"/>
    <d v="2026-06-21T00:00:00"/>
    <n v="3476296.99"/>
    <n v="41"/>
    <x v="3"/>
    <x v="1"/>
  </r>
  <r>
    <x v="3"/>
    <x v="2"/>
    <x v="42"/>
    <s v="24AAFCP2956A1ZR"/>
    <s v="PIL1/D/774"/>
    <d v="2026-06-21T00:00:00"/>
    <n v="3264"/>
    <n v="41"/>
    <x v="1"/>
    <x v="1"/>
  </r>
  <r>
    <x v="3"/>
    <x v="2"/>
    <x v="42"/>
    <s v="24AAFCP2956A1ZR"/>
    <s v="PIL1/D/775"/>
    <d v="2026-06-21T00:00:00"/>
    <n v="71506.16"/>
    <n v="41"/>
    <x v="1"/>
    <x v="1"/>
  </r>
  <r>
    <x v="3"/>
    <x v="2"/>
    <x v="42"/>
    <s v="24AAFCP2956A1ZR"/>
    <s v="PIL1/D/775"/>
    <d v="2026-06-21T00:00:00"/>
    <n v="219792.86"/>
    <n v="41"/>
    <x v="1"/>
    <x v="1"/>
  </r>
  <r>
    <x v="3"/>
    <x v="2"/>
    <x v="42"/>
    <s v="24AAFCP2956A1ZR"/>
    <s v="PIL1/D/775"/>
    <d v="2026-06-21T00:00:00"/>
    <n v="3334.07"/>
    <n v="41"/>
    <x v="1"/>
    <x v="1"/>
  </r>
  <r>
    <x v="3"/>
    <x v="2"/>
    <x v="42"/>
    <s v="24AAFCP2956A1ZR"/>
    <s v="PIL1/D/775"/>
    <d v="2026-06-21T00:00:00"/>
    <n v="38692.82"/>
    <n v="41"/>
    <x v="1"/>
    <x v="1"/>
  </r>
  <r>
    <x v="3"/>
    <x v="2"/>
    <x v="42"/>
    <s v="24AAFCP2956A1ZR"/>
    <s v="PIL1/D/775"/>
    <d v="2026-06-21T00:00:00"/>
    <n v="168884.62"/>
    <n v="41"/>
    <x v="1"/>
    <x v="1"/>
  </r>
  <r>
    <x v="3"/>
    <x v="2"/>
    <x v="42"/>
    <s v="24AAFCP2956A1ZR"/>
    <s v="PIL1/D/777"/>
    <d v="2026-06-21T00:00:00"/>
    <n v="57679.85"/>
    <n v="41"/>
    <x v="1"/>
    <x v="1"/>
  </r>
  <r>
    <x v="3"/>
    <x v="2"/>
    <x v="42"/>
    <s v="24AAFCP2956A1ZR"/>
    <s v="PIL1/D/781"/>
    <d v="2026-06-22T00:00:00"/>
    <n v="210000"/>
    <n v="40"/>
    <x v="1"/>
    <x v="1"/>
  </r>
  <r>
    <x v="3"/>
    <x v="2"/>
    <x v="42"/>
    <s v="24AAFCP2956A1ZR"/>
    <s v="PIL1/D/783"/>
    <d v="2026-06-22T00:00:00"/>
    <n v="299700"/>
    <n v="40"/>
    <x v="1"/>
    <x v="1"/>
  </r>
  <r>
    <x v="3"/>
    <x v="2"/>
    <x v="42"/>
    <s v="24AAFCP2956A1ZR"/>
    <s v="PIL1/D/783"/>
    <d v="2026-06-22T00:00:00"/>
    <n v="341875"/>
    <n v="40"/>
    <x v="1"/>
    <x v="1"/>
  </r>
  <r>
    <x v="3"/>
    <x v="2"/>
    <x v="42"/>
    <s v="24AAFCP2956A1ZR"/>
    <s v="PIL1/D/787"/>
    <d v="2026-06-23T00:00:00"/>
    <n v="115532.54"/>
    <n v="39"/>
    <x v="1"/>
    <x v="1"/>
  </r>
  <r>
    <x v="3"/>
    <x v="2"/>
    <x v="42"/>
    <s v="24AAFCP2956A1ZR"/>
    <s v="PIL1/D/787"/>
    <d v="2026-06-23T00:00:00"/>
    <n v="115973.63"/>
    <n v="39"/>
    <x v="1"/>
    <x v="1"/>
  </r>
  <r>
    <x v="3"/>
    <x v="2"/>
    <x v="42"/>
    <s v="24AAFCP2956A1ZR"/>
    <s v="PIL1/D/787"/>
    <d v="2026-06-23T00:00:00"/>
    <n v="302671.44"/>
    <n v="39"/>
    <x v="1"/>
    <x v="1"/>
  </r>
  <r>
    <x v="3"/>
    <x v="2"/>
    <x v="42"/>
    <s v="24AAFCP2956A1ZR"/>
    <s v="PIL1/D/787"/>
    <d v="2026-06-23T00:00:00"/>
    <n v="301661.5"/>
    <n v="39"/>
    <x v="1"/>
    <x v="1"/>
  </r>
  <r>
    <x v="3"/>
    <x v="2"/>
    <x v="42"/>
    <s v="24AAFCP2956A1ZR"/>
    <s v="PIL1/D/787"/>
    <d v="2026-06-23T00:00:00"/>
    <n v="55472.32"/>
    <n v="39"/>
    <x v="1"/>
    <x v="1"/>
  </r>
  <r>
    <x v="3"/>
    <x v="2"/>
    <x v="42"/>
    <s v="24AAFCP2956A1ZR"/>
    <s v="PIL1/D/795"/>
    <d v="2026-06-23T00:00:00"/>
    <n v="9696"/>
    <n v="39"/>
    <x v="1"/>
    <x v="1"/>
  </r>
  <r>
    <x v="3"/>
    <x v="2"/>
    <x v="42"/>
    <s v="24AAFCP2956A1ZR"/>
    <s v="PIL1/D/796"/>
    <d v="2026-06-23T00:00:00"/>
    <n v="47823.6"/>
    <n v="39"/>
    <x v="1"/>
    <x v="1"/>
  </r>
  <r>
    <x v="3"/>
    <x v="2"/>
    <x v="42"/>
    <s v="24AAFCP2956A1ZR"/>
    <s v="PIL1/D/796"/>
    <d v="2026-06-23T00:00:00"/>
    <n v="100906.42"/>
    <n v="39"/>
    <x v="1"/>
    <x v="1"/>
  </r>
  <r>
    <x v="3"/>
    <x v="2"/>
    <x v="42"/>
    <s v="24AAFCP2956A1ZR"/>
    <s v="PIL1/D/796"/>
    <d v="2026-06-23T00:00:00"/>
    <n v="103675.8"/>
    <n v="39"/>
    <x v="1"/>
    <x v="1"/>
  </r>
  <r>
    <x v="3"/>
    <x v="2"/>
    <x v="42"/>
    <s v="24AAFCP2956A1ZR"/>
    <s v="PIL1/D/796"/>
    <d v="2026-06-23T00:00:00"/>
    <n v="87550.57"/>
    <n v="39"/>
    <x v="1"/>
    <x v="1"/>
  </r>
  <r>
    <x v="3"/>
    <x v="2"/>
    <x v="42"/>
    <s v="24AAFCP2956A1ZR"/>
    <s v="PIL1/D/796"/>
    <d v="2026-06-23T00:00:00"/>
    <n v="104623.34"/>
    <n v="39"/>
    <x v="1"/>
    <x v="1"/>
  </r>
  <r>
    <x v="3"/>
    <x v="2"/>
    <x v="42"/>
    <s v="24AAFCP2956A1ZR"/>
    <s v="PIL1/D/796"/>
    <d v="2026-06-23T00:00:00"/>
    <n v="36001.410000000003"/>
    <n v="39"/>
    <x v="1"/>
    <x v="1"/>
  </r>
  <r>
    <x v="3"/>
    <x v="2"/>
    <x v="42"/>
    <s v="24AAFCP2956A1ZR"/>
    <s v="PIL1/D/797"/>
    <d v="2026-06-23T00:00:00"/>
    <n v="341875"/>
    <n v="39"/>
    <x v="1"/>
    <x v="1"/>
  </r>
  <r>
    <x v="3"/>
    <x v="2"/>
    <x v="42"/>
    <s v="24AAFCP2956A1ZR"/>
    <s v="PIL1/D/794"/>
    <d v="2026-06-23T00:00:00"/>
    <n v="29500"/>
    <n v="39"/>
    <x v="1"/>
    <x v="1"/>
  </r>
  <r>
    <x v="3"/>
    <x v="2"/>
    <x v="42"/>
    <s v="24AAFCP2956A1ZR"/>
    <s v="PIL1/D/805"/>
    <d v="2026-06-24T00:00:00"/>
    <n v="6240"/>
    <n v="38"/>
    <x v="1"/>
    <x v="1"/>
  </r>
  <r>
    <x v="3"/>
    <x v="2"/>
    <x v="42"/>
    <s v="24AAFCP2956A1ZR"/>
    <s v="PIL1/D/806"/>
    <d v="2026-06-24T00:00:00"/>
    <n v="26248.639999999999"/>
    <n v="38"/>
    <x v="1"/>
    <x v="1"/>
  </r>
  <r>
    <x v="3"/>
    <x v="2"/>
    <x v="42"/>
    <s v="24AAFCP2956A1ZR"/>
    <s v="PIL1/D/806"/>
    <d v="2026-06-24T00:00:00"/>
    <n v="69343.960000000006"/>
    <n v="38"/>
    <x v="1"/>
    <x v="1"/>
  </r>
  <r>
    <x v="3"/>
    <x v="2"/>
    <x v="42"/>
    <s v="24AAFCP2956A1ZR"/>
    <s v="PIL1/D/806"/>
    <d v="2026-06-24T00:00:00"/>
    <n v="355019.22"/>
    <n v="38"/>
    <x v="1"/>
    <x v="1"/>
  </r>
  <r>
    <x v="3"/>
    <x v="2"/>
    <x v="42"/>
    <s v="24AAFCP2956A1ZR"/>
    <s v="PIL1/D/806"/>
    <d v="2026-06-24T00:00:00"/>
    <n v="64960.32"/>
    <n v="38"/>
    <x v="1"/>
    <x v="1"/>
  </r>
  <r>
    <x v="3"/>
    <x v="2"/>
    <x v="42"/>
    <s v="24AAFCP2956A1ZR"/>
    <s v="PIL1/D/806"/>
    <d v="2026-06-24T00:00:00"/>
    <n v="44577.599999999999"/>
    <n v="38"/>
    <x v="1"/>
    <x v="1"/>
  </r>
  <r>
    <x v="3"/>
    <x v="2"/>
    <x v="42"/>
    <s v="24AAFCP2956A1ZR"/>
    <s v="PIL1/D/806"/>
    <d v="2026-06-24T00:00:00"/>
    <n v="4533.0200000000004"/>
    <n v="38"/>
    <x v="1"/>
    <x v="1"/>
  </r>
  <r>
    <x v="3"/>
    <x v="2"/>
    <x v="42"/>
    <s v="24AAFCP2956A1ZR"/>
    <s v="PIL1/D/807"/>
    <d v="2026-06-24T00:00:00"/>
    <n v="94894.24"/>
    <n v="38"/>
    <x v="1"/>
    <x v="1"/>
  </r>
  <r>
    <x v="2"/>
    <x v="0"/>
    <x v="25"/>
    <s v="24AABCA8203F2Z7"/>
    <s v="PIL1/D/808"/>
    <d v="2026-06-25T00:00:00"/>
    <n v="10400"/>
    <n v="37"/>
    <x v="1"/>
    <x v="1"/>
  </r>
  <r>
    <x v="0"/>
    <x v="0"/>
    <x v="29"/>
    <s v="99EXPOR0000E9Z9"/>
    <s v="PIL1/E/312/26-27"/>
    <d v="2026-06-25T00:00:00"/>
    <n v="3969285.6"/>
    <n v="37"/>
    <x v="3"/>
    <x v="1"/>
  </r>
  <r>
    <x v="3"/>
    <x v="2"/>
    <x v="42"/>
    <s v="24AAFCP2956A1ZR"/>
    <s v="PIL1/D/812"/>
    <d v="2026-06-25T00:00:00"/>
    <n v="78302.2"/>
    <n v="37"/>
    <x v="1"/>
    <x v="1"/>
  </r>
  <r>
    <x v="2"/>
    <x v="0"/>
    <x v="25"/>
    <s v="24AABCA8203F2Z7"/>
    <s v="PIL1/D/826"/>
    <d v="2026-06-26T00:00:00"/>
    <n v="13000"/>
    <n v="36"/>
    <x v="1"/>
    <x v="1"/>
  </r>
  <r>
    <x v="2"/>
    <x v="0"/>
    <x v="25"/>
    <s v="24AABCA8203F2Z7"/>
    <s v="PIL1/D/827"/>
    <d v="2026-06-26T00:00:00"/>
    <n v="221713.7"/>
    <n v="36"/>
    <x v="1"/>
    <x v="1"/>
  </r>
  <r>
    <x v="3"/>
    <x v="2"/>
    <x v="42"/>
    <s v="24AAFCP2956A1ZR"/>
    <s v="PIL1/D/823"/>
    <d v="2026-06-26T00:00:00"/>
    <n v="2640"/>
    <n v="36"/>
    <x v="1"/>
    <x v="1"/>
  </r>
  <r>
    <x v="3"/>
    <x v="2"/>
    <x v="42"/>
    <s v="24AAFCP2956A1ZR"/>
    <s v="PIL1/D/824"/>
    <d v="2026-06-26T00:00:00"/>
    <n v="56676.59"/>
    <n v="36"/>
    <x v="1"/>
    <x v="1"/>
  </r>
  <r>
    <x v="3"/>
    <x v="2"/>
    <x v="42"/>
    <s v="24AAFCP2956A1ZR"/>
    <s v="PIL1/D/824"/>
    <d v="2026-06-26T00:00:00"/>
    <n v="163462.35"/>
    <n v="36"/>
    <x v="1"/>
    <x v="1"/>
  </r>
  <r>
    <x v="3"/>
    <x v="2"/>
    <x v="42"/>
    <s v="24AAFCP2956A1ZR"/>
    <s v="PIL1/D/824"/>
    <d v="2026-06-26T00:00:00"/>
    <n v="171017.64"/>
    <n v="36"/>
    <x v="1"/>
    <x v="1"/>
  </r>
  <r>
    <x v="3"/>
    <x v="2"/>
    <x v="42"/>
    <s v="24AAFCP2956A1ZR"/>
    <s v="PIL1/D/824"/>
    <d v="2026-06-26T00:00:00"/>
    <n v="67423.179999999993"/>
    <n v="36"/>
    <x v="1"/>
    <x v="1"/>
  </r>
  <r>
    <x v="3"/>
    <x v="2"/>
    <x v="42"/>
    <s v="24AAFCP2956A1ZR"/>
    <s v="PIL1/D/824"/>
    <d v="2026-06-26T00:00:00"/>
    <n v="9805.1299999999992"/>
    <n v="36"/>
    <x v="1"/>
    <x v="1"/>
  </r>
  <r>
    <x v="3"/>
    <x v="2"/>
    <x v="42"/>
    <s v="24AAFCP2956A1ZR"/>
    <s v="PIL1/D/824"/>
    <d v="2026-06-26T00:00:00"/>
    <n v="170491.96"/>
    <n v="36"/>
    <x v="1"/>
    <x v="1"/>
  </r>
  <r>
    <x v="3"/>
    <x v="2"/>
    <x v="42"/>
    <s v="24AAFCP2956A1ZR"/>
    <s v="PIL1/D/824"/>
    <d v="2026-06-26T00:00:00"/>
    <n v="452.88"/>
    <n v="36"/>
    <x v="1"/>
    <x v="1"/>
  </r>
  <r>
    <x v="3"/>
    <x v="2"/>
    <x v="42"/>
    <s v="24AAFCP2956A1ZR"/>
    <s v="PIL1/D/819"/>
    <d v="2026-06-26T00:00:00"/>
    <n v="17000"/>
    <n v="36"/>
    <x v="1"/>
    <x v="1"/>
  </r>
  <r>
    <x v="0"/>
    <x v="0"/>
    <x v="14"/>
    <s v="99EXPOR0000E9Z9"/>
    <s v="PIL1/E/316/26-27"/>
    <d v="2026-06-27T00:00:00"/>
    <n v="1413668.88"/>
    <n v="35"/>
    <x v="3"/>
    <x v="1"/>
  </r>
  <r>
    <x v="0"/>
    <x v="0"/>
    <x v="14"/>
    <s v="99EXPOR0000E9Z9"/>
    <s v="PIL1/E/317/26-27"/>
    <d v="2026-06-27T00:00:00"/>
    <n v="1333719.504"/>
    <n v="35"/>
    <x v="3"/>
    <x v="1"/>
  </r>
  <r>
    <x v="0"/>
    <x v="0"/>
    <x v="14"/>
    <s v="99EXPOR0000E9Z9"/>
    <s v="PIL1/E/318/26-27"/>
    <d v="2026-06-27T00:00:00"/>
    <n v="812211.19200000004"/>
    <n v="35"/>
    <x v="3"/>
    <x v="1"/>
  </r>
  <r>
    <x v="3"/>
    <x v="2"/>
    <x v="42"/>
    <s v="24AAFCP2956A1ZR"/>
    <s v="PIL1/D/837"/>
    <d v="2026-06-27T00:00:00"/>
    <n v="624"/>
    <n v="35"/>
    <x v="1"/>
    <x v="1"/>
  </r>
  <r>
    <x v="3"/>
    <x v="2"/>
    <x v="42"/>
    <s v="24AAFCP2956A1ZR"/>
    <s v="PIL1/D/838"/>
    <d v="2026-06-27T00:00:00"/>
    <n v="53439.25"/>
    <n v="35"/>
    <x v="1"/>
    <x v="1"/>
  </r>
  <r>
    <x v="3"/>
    <x v="2"/>
    <x v="42"/>
    <s v="24AAFCP2956A1ZR"/>
    <s v="PIL1/D/838"/>
    <d v="2026-06-27T00:00:00"/>
    <n v="40776.239999999998"/>
    <n v="35"/>
    <x v="1"/>
    <x v="1"/>
  </r>
  <r>
    <x v="3"/>
    <x v="2"/>
    <x v="42"/>
    <s v="24AAFCP2956A1ZR"/>
    <s v="PIL1/D/838"/>
    <d v="2026-06-27T00:00:00"/>
    <n v="4549.45"/>
    <n v="35"/>
    <x v="1"/>
    <x v="1"/>
  </r>
  <r>
    <x v="3"/>
    <x v="2"/>
    <x v="42"/>
    <s v="24AAFCP2956A1ZR"/>
    <s v="PIL1/D/838"/>
    <d v="2026-06-27T00:00:00"/>
    <n v="46898.57"/>
    <n v="35"/>
    <x v="1"/>
    <x v="1"/>
  </r>
  <r>
    <x v="3"/>
    <x v="2"/>
    <x v="42"/>
    <s v="24AAFCP2956A1ZR"/>
    <s v="PIL1/D/838"/>
    <d v="2026-06-27T00:00:00"/>
    <n v="64654.84"/>
    <n v="35"/>
    <x v="1"/>
    <x v="1"/>
  </r>
  <r>
    <x v="3"/>
    <x v="2"/>
    <x v="42"/>
    <s v="24AAFCP2956A1ZR"/>
    <s v="PIL1/D/841"/>
    <d v="2026-06-28T00:00:00"/>
    <n v="400818.62"/>
    <n v="34"/>
    <x v="1"/>
    <x v="1"/>
  </r>
  <r>
    <x v="3"/>
    <x v="2"/>
    <x v="42"/>
    <s v="24AAFCP2956A1ZR"/>
    <s v="PIL1/D/841"/>
    <d v="2026-06-28T00:00:00"/>
    <n v="39830.839999999997"/>
    <n v="34"/>
    <x v="1"/>
    <x v="1"/>
  </r>
  <r>
    <x v="3"/>
    <x v="2"/>
    <x v="42"/>
    <s v="24AAFCP2956A1ZR"/>
    <s v="PIL1/D/843"/>
    <d v="2026-06-28T00:00:00"/>
    <n v="3840"/>
    <n v="34"/>
    <x v="1"/>
    <x v="1"/>
  </r>
  <r>
    <x v="3"/>
    <x v="2"/>
    <x v="42"/>
    <s v="24AAFCP2956A1ZR"/>
    <s v="PIL1/D/844"/>
    <d v="2026-06-28T00:00:00"/>
    <n v="4303.09"/>
    <n v="34"/>
    <x v="1"/>
    <x v="1"/>
  </r>
  <r>
    <x v="3"/>
    <x v="2"/>
    <x v="42"/>
    <s v="24AAFCP2956A1ZR"/>
    <s v="PIL1/D/844"/>
    <d v="2026-06-28T00:00:00"/>
    <n v="80005.210000000006"/>
    <n v="34"/>
    <x v="1"/>
    <x v="1"/>
  </r>
  <r>
    <x v="3"/>
    <x v="2"/>
    <x v="42"/>
    <s v="24AAFCP2956A1ZR"/>
    <s v="PIL1/D/844"/>
    <d v="2026-06-28T00:00:00"/>
    <n v="45910.28"/>
    <n v="34"/>
    <x v="1"/>
    <x v="1"/>
  </r>
  <r>
    <x v="3"/>
    <x v="2"/>
    <x v="42"/>
    <s v="24AAFCP2956A1ZR"/>
    <s v="PIL1/D/844"/>
    <d v="2026-06-28T00:00:00"/>
    <n v="399262.36"/>
    <n v="34"/>
    <x v="1"/>
    <x v="1"/>
  </r>
  <r>
    <x v="3"/>
    <x v="2"/>
    <x v="42"/>
    <s v="24AAFCP2956A1ZR"/>
    <s v="PIL1/D/847"/>
    <d v="2026-06-28T00:00:00"/>
    <n v="36000"/>
    <n v="34"/>
    <x v="1"/>
    <x v="1"/>
  </r>
  <r>
    <x v="2"/>
    <x v="0"/>
    <x v="40"/>
    <s v="27BCGPD5673M1Z7"/>
    <s v="PIL1/D/848"/>
    <d v="2026-06-28T00:00:00"/>
    <n v="1999800"/>
    <n v="34"/>
    <x v="1"/>
    <x v="1"/>
  </r>
  <r>
    <x v="3"/>
    <x v="2"/>
    <x v="42"/>
    <s v="24AAFCP2956A1ZR"/>
    <s v="PIL1/D/858"/>
    <d v="2026-06-29T00:00:00"/>
    <n v="1104"/>
    <n v="33"/>
    <x v="1"/>
    <x v="1"/>
  </r>
  <r>
    <x v="3"/>
    <x v="2"/>
    <x v="42"/>
    <s v="24AAFCP2956A1ZR"/>
    <s v="PIL1/D/859"/>
    <d v="2026-06-29T00:00:00"/>
    <n v="565369.15"/>
    <n v="33"/>
    <x v="1"/>
    <x v="1"/>
  </r>
  <r>
    <x v="3"/>
    <x v="2"/>
    <x v="42"/>
    <s v="24AAFCP2956A1ZR"/>
    <s v="PIL1/D/859"/>
    <d v="2026-06-29T00:00:00"/>
    <n v="80188.5"/>
    <n v="33"/>
    <x v="1"/>
    <x v="1"/>
  </r>
  <r>
    <x v="3"/>
    <x v="2"/>
    <x v="42"/>
    <s v="24AAFCP2956A1ZR"/>
    <s v="PIL1/D/859"/>
    <d v="2026-06-29T00:00:00"/>
    <n v="4319.51"/>
    <n v="33"/>
    <x v="1"/>
    <x v="1"/>
  </r>
  <r>
    <x v="3"/>
    <x v="2"/>
    <x v="42"/>
    <s v="24AAFCP2956A1ZR"/>
    <s v="PIL1/D/859"/>
    <d v="2026-06-29T00:00:00"/>
    <n v="78598.53"/>
    <n v="33"/>
    <x v="1"/>
    <x v="1"/>
  </r>
  <r>
    <x v="3"/>
    <x v="2"/>
    <x v="42"/>
    <s v="24AAFCP2956A1ZR"/>
    <s v="PIL1/D/859"/>
    <d v="2026-06-29T00:00:00"/>
    <n v="36229.93"/>
    <n v="33"/>
    <x v="1"/>
    <x v="1"/>
  </r>
  <r>
    <x v="2"/>
    <x v="0"/>
    <x v="26"/>
    <s v="06ABJFM5382K1ZT"/>
    <s v="PIL1/D/870"/>
    <d v="2026-06-30T00:00:00"/>
    <n v="2190000"/>
    <n v="32"/>
    <x v="1"/>
    <x v="1"/>
  </r>
  <r>
    <x v="3"/>
    <x v="2"/>
    <x v="42"/>
    <s v="24AAFCP2956A1ZR"/>
    <s v="PIL1/D/860"/>
    <d v="2026-06-30T00:00:00"/>
    <n v="57396.5"/>
    <n v="32"/>
    <x v="1"/>
    <x v="1"/>
  </r>
  <r>
    <x v="3"/>
    <x v="2"/>
    <x v="42"/>
    <s v="24AAFCP2956A1ZR"/>
    <s v="PIL1/D/861"/>
    <d v="2026-06-30T00:00:00"/>
    <n v="105781.84"/>
    <n v="32"/>
    <x v="1"/>
    <x v="1"/>
  </r>
  <r>
    <x v="3"/>
    <x v="2"/>
    <x v="42"/>
    <s v="24AAFCP2956A1ZR"/>
    <s v="PIL1/D/861"/>
    <d v="2026-06-30T00:00:00"/>
    <n v="149230.88"/>
    <n v="32"/>
    <x v="1"/>
    <x v="1"/>
  </r>
  <r>
    <x v="3"/>
    <x v="2"/>
    <x v="42"/>
    <s v="24AAFCP2956A1ZR"/>
    <s v="PIL1/D/871"/>
    <d v="2026-06-30T00:00:00"/>
    <n v="4800"/>
    <n v="32"/>
    <x v="1"/>
    <x v="1"/>
  </r>
  <r>
    <x v="3"/>
    <x v="2"/>
    <x v="42"/>
    <s v="24AAFCP2956A1ZR"/>
    <s v="PIL1/D/872"/>
    <d v="2026-06-30T00:00:00"/>
    <n v="3547.58"/>
    <n v="32"/>
    <x v="1"/>
    <x v="1"/>
  </r>
  <r>
    <x v="3"/>
    <x v="2"/>
    <x v="42"/>
    <s v="24AAFCP2956A1ZR"/>
    <s v="PIL1/D/872"/>
    <d v="2026-06-30T00:00:00"/>
    <n v="43798.95"/>
    <n v="32"/>
    <x v="1"/>
    <x v="1"/>
  </r>
  <r>
    <x v="3"/>
    <x v="2"/>
    <x v="42"/>
    <s v="24AAFCP2956A1ZR"/>
    <s v="PIL1/D/872"/>
    <d v="2026-06-30T00:00:00"/>
    <n v="9805.91"/>
    <n v="32"/>
    <x v="1"/>
    <x v="1"/>
  </r>
  <r>
    <x v="3"/>
    <x v="2"/>
    <x v="42"/>
    <s v="24AAFCP2956A1ZR"/>
    <s v="PIL1/D/872"/>
    <d v="2026-06-30T00:00:00"/>
    <n v="597361.38"/>
    <n v="32"/>
    <x v="1"/>
    <x v="1"/>
  </r>
  <r>
    <x v="3"/>
    <x v="2"/>
    <x v="42"/>
    <s v="24AAFCP2956A1ZR"/>
    <s v="PIL1/D/873"/>
    <d v="2026-06-30T00:00:00"/>
    <n v="210000"/>
    <n v="32"/>
    <x v="1"/>
    <x v="1"/>
  </r>
  <r>
    <x v="3"/>
    <x v="2"/>
    <x v="42"/>
    <s v="24AAFCP2956A1ZR"/>
    <s v="PIL1/D/873"/>
    <d v="2026-06-30T00:00:00"/>
    <n v="618750"/>
    <n v="32"/>
    <x v="1"/>
    <x v="1"/>
  </r>
  <r>
    <x v="0"/>
    <x v="0"/>
    <x v="22"/>
    <s v="24AAACO7290H4ZB"/>
    <s v="PIL2/E/43/26-27"/>
    <d v="2026-06-02T00:00:00"/>
    <n v="518345.59499999997"/>
    <n v="60"/>
    <x v="3"/>
    <x v="1"/>
  </r>
  <r>
    <x v="3"/>
    <x v="2"/>
    <x v="42"/>
    <s v="24AAFCP2956A1ZR"/>
    <s v="PIL2/D/198"/>
    <d v="2026-06-02T00:00:00"/>
    <n v="745786.14"/>
    <n v="60"/>
    <x v="1"/>
    <x v="1"/>
  </r>
  <r>
    <x v="3"/>
    <x v="2"/>
    <x v="42"/>
    <s v="24AAFCP2956A1ZR"/>
    <s v="PIL2/D/198"/>
    <d v="2026-06-02T00:00:00"/>
    <n v="659634.88"/>
    <n v="60"/>
    <x v="1"/>
    <x v="1"/>
  </r>
  <r>
    <x v="3"/>
    <x v="2"/>
    <x v="42"/>
    <s v="24AAFCP2956A1ZR"/>
    <s v="PIL2/D/198"/>
    <d v="2026-06-02T00:00:00"/>
    <n v="1254741.8400000001"/>
    <n v="60"/>
    <x v="1"/>
    <x v="1"/>
  </r>
  <r>
    <x v="3"/>
    <x v="2"/>
    <x v="42"/>
    <s v="24AAFCP2956A1ZR"/>
    <s v="PIL2/D/198"/>
    <d v="2026-06-02T00:00:00"/>
    <n v="825231.88"/>
    <n v="60"/>
    <x v="1"/>
    <x v="1"/>
  </r>
  <r>
    <x v="3"/>
    <x v="2"/>
    <x v="42"/>
    <s v="24AAFCP2956A1ZR"/>
    <s v="PIL2/D/198"/>
    <d v="2026-06-02T00:00:00"/>
    <n v="624636.13"/>
    <n v="60"/>
    <x v="1"/>
    <x v="1"/>
  </r>
  <r>
    <x v="3"/>
    <x v="2"/>
    <x v="42"/>
    <s v="24AAFCP2956A1ZR"/>
    <s v="PIL2/D/201"/>
    <d v="2026-06-02T00:00:00"/>
    <n v="777.6"/>
    <n v="60"/>
    <x v="1"/>
    <x v="1"/>
  </r>
  <r>
    <x v="3"/>
    <x v="2"/>
    <x v="42"/>
    <s v="24AAFCP2956A1ZR"/>
    <s v="PIL2/D/201"/>
    <d v="2026-06-02T00:00:00"/>
    <n v="4235.3999999999996"/>
    <n v="60"/>
    <x v="1"/>
    <x v="1"/>
  </r>
  <r>
    <x v="0"/>
    <x v="0"/>
    <x v="34"/>
    <s v="99EXPOR0000E9Z9"/>
    <s v="PIL2/E/44/26-27"/>
    <d v="2026-06-04T00:00:00"/>
    <n v="2424877.56"/>
    <n v="58"/>
    <x v="3"/>
    <x v="1"/>
  </r>
  <r>
    <x v="0"/>
    <x v="0"/>
    <x v="34"/>
    <s v="99EXPOR0000E9Z9"/>
    <s v="PIL2/E/44/26-27"/>
    <d v="2026-06-04T00:00:00"/>
    <n v="980720.125"/>
    <n v="58"/>
    <x v="3"/>
    <x v="1"/>
  </r>
  <r>
    <x v="0"/>
    <x v="0"/>
    <x v="34"/>
    <s v="99EXPOR0000E9Z9"/>
    <s v="PIL2/E/44/26-27"/>
    <d v="2026-06-04T00:00:00"/>
    <n v="1063282.5"/>
    <n v="58"/>
    <x v="3"/>
    <x v="1"/>
  </r>
  <r>
    <x v="2"/>
    <x v="0"/>
    <x v="44"/>
    <s v="19AACCA2120N1ZT"/>
    <s v="PIL2/D/213"/>
    <d v="2026-06-05T00:00:00"/>
    <n v="1224416"/>
    <n v="57"/>
    <x v="1"/>
    <x v="1"/>
  </r>
  <r>
    <x v="2"/>
    <x v="0"/>
    <x v="44"/>
    <s v="19AACCA2120N1ZT"/>
    <s v="PIL2/D/213"/>
    <d v="2026-06-05T00:00:00"/>
    <n v="226420"/>
    <n v="57"/>
    <x v="1"/>
    <x v="1"/>
  </r>
  <r>
    <x v="0"/>
    <x v="0"/>
    <x v="14"/>
    <s v="99EXPOR0000E9Z9"/>
    <s v="PIL2/E/45/26-27"/>
    <d v="2026-06-05T00:00:00"/>
    <n v="2538764.7999999998"/>
    <n v="57"/>
    <x v="3"/>
    <x v="1"/>
  </r>
  <r>
    <x v="0"/>
    <x v="0"/>
    <x v="14"/>
    <s v="99EXPOR0000E9Z9"/>
    <s v="PIL2/E/46/26-27"/>
    <d v="2026-06-05T00:00:00"/>
    <n v="562446.94464823103"/>
    <n v="57"/>
    <x v="3"/>
    <x v="1"/>
  </r>
  <r>
    <x v="0"/>
    <x v="0"/>
    <x v="14"/>
    <s v="99EXPOR0000E9Z9"/>
    <s v="PIL2/E/46/26-27"/>
    <d v="2026-06-05T00:00:00"/>
    <n v="227805.28435176899"/>
    <n v="57"/>
    <x v="3"/>
    <x v="1"/>
  </r>
  <r>
    <x v="0"/>
    <x v="0"/>
    <x v="45"/>
    <s v="99EXPOR0000E9Z9"/>
    <s v="PIL2/E/49/26-27"/>
    <d v="2026-06-06T00:00:00"/>
    <n v="49035"/>
    <n v="56"/>
    <x v="3"/>
    <x v="1"/>
  </r>
  <r>
    <x v="3"/>
    <x v="2"/>
    <x v="42"/>
    <s v="24AAFCP2956A1ZR"/>
    <s v="PIL2/D/221"/>
    <d v="2026-06-06T00:00:00"/>
    <n v="130662"/>
    <n v="56"/>
    <x v="1"/>
    <x v="1"/>
  </r>
  <r>
    <x v="3"/>
    <x v="2"/>
    <x v="42"/>
    <s v="24AAFCP2956A1ZR"/>
    <s v="PIL2/D/221"/>
    <d v="2026-06-06T00:00:00"/>
    <n v="629259.80000000005"/>
    <n v="56"/>
    <x v="1"/>
    <x v="1"/>
  </r>
  <r>
    <x v="3"/>
    <x v="2"/>
    <x v="42"/>
    <s v="24AAFCP2956A1ZR"/>
    <s v="PIL2/D/221"/>
    <d v="2026-06-06T00:00:00"/>
    <n v="32580"/>
    <n v="56"/>
    <x v="1"/>
    <x v="1"/>
  </r>
  <r>
    <x v="2"/>
    <x v="0"/>
    <x v="46"/>
    <s v="24AAACC7852K1ZJ"/>
    <s v="PIL2/D/240"/>
    <d v="2026-06-10T00:00:00"/>
    <n v="9486"/>
    <n v="52"/>
    <x v="1"/>
    <x v="1"/>
  </r>
  <r>
    <x v="3"/>
    <x v="2"/>
    <x v="42"/>
    <s v="24AAFCP2956A1ZR"/>
    <s v="PIL2/D/246"/>
    <d v="2026-06-12T00:00:00"/>
    <n v="112482.48"/>
    <n v="50"/>
    <x v="1"/>
    <x v="1"/>
  </r>
  <r>
    <x v="3"/>
    <x v="2"/>
    <x v="42"/>
    <s v="24AAFCP2956A1ZR"/>
    <s v="PIL2/D/246"/>
    <d v="2026-06-12T00:00:00"/>
    <n v="654131.86"/>
    <n v="50"/>
    <x v="1"/>
    <x v="1"/>
  </r>
  <r>
    <x v="2"/>
    <x v="0"/>
    <x v="12"/>
    <s v="09APZPG7653R1ZJ"/>
    <s v="PIL2/D/251"/>
    <d v="2026-06-13T00:00:00"/>
    <n v="990216"/>
    <n v="49"/>
    <x v="1"/>
    <x v="1"/>
  </r>
  <r>
    <x v="2"/>
    <x v="0"/>
    <x v="12"/>
    <s v="09APZPG7653R1ZJ"/>
    <s v="PIL2/D/251"/>
    <d v="2026-06-13T00:00:00"/>
    <n v="221580"/>
    <n v="49"/>
    <x v="1"/>
    <x v="1"/>
  </r>
  <r>
    <x v="3"/>
    <x v="2"/>
    <x v="42"/>
    <s v="24AAFCP2956A1ZR"/>
    <s v="PIL2/D/257"/>
    <d v="2026-06-15T00:00:00"/>
    <n v="770359.08"/>
    <n v="47"/>
    <x v="1"/>
    <x v="1"/>
  </r>
  <r>
    <x v="3"/>
    <x v="2"/>
    <x v="42"/>
    <s v="24AAFCP2956A1ZR"/>
    <s v="PIL2/D/257"/>
    <d v="2026-06-15T00:00:00"/>
    <n v="2140106.46"/>
    <n v="47"/>
    <x v="1"/>
    <x v="1"/>
  </r>
  <r>
    <x v="3"/>
    <x v="2"/>
    <x v="42"/>
    <s v="24AAFCP2956A1ZR"/>
    <s v="PIL2/D/257"/>
    <d v="2026-06-15T00:00:00"/>
    <n v="776681.02"/>
    <n v="47"/>
    <x v="1"/>
    <x v="1"/>
  </r>
  <r>
    <x v="3"/>
    <x v="2"/>
    <x v="42"/>
    <s v="24AAFCP2956A1ZR"/>
    <s v="PIL2/D/257"/>
    <d v="2026-06-15T00:00:00"/>
    <n v="1504055.74"/>
    <n v="47"/>
    <x v="1"/>
    <x v="1"/>
  </r>
  <r>
    <x v="3"/>
    <x v="2"/>
    <x v="42"/>
    <s v="24AAFCP2956A1ZR"/>
    <s v="PIL2/D/259"/>
    <d v="2026-06-15T00:00:00"/>
    <n v="363682"/>
    <n v="47"/>
    <x v="1"/>
    <x v="1"/>
  </r>
  <r>
    <x v="3"/>
    <x v="2"/>
    <x v="42"/>
    <s v="24AAFCP2956A1ZR"/>
    <s v="PIL2/D/260"/>
    <d v="2026-06-15T00:00:00"/>
    <n v="3504"/>
    <n v="47"/>
    <x v="1"/>
    <x v="1"/>
  </r>
  <r>
    <x v="3"/>
    <x v="2"/>
    <x v="42"/>
    <s v="24AAFCP2956A1ZR"/>
    <s v="PIL2/D/263"/>
    <d v="2026-06-16T00:00:00"/>
    <n v="1867091.2"/>
    <n v="46"/>
    <x v="1"/>
    <x v="1"/>
  </r>
  <r>
    <x v="3"/>
    <x v="2"/>
    <x v="42"/>
    <s v="24AAFCP2956A1ZR"/>
    <s v="PIL2/D/263"/>
    <d v="2026-06-16T00:00:00"/>
    <n v="691634.7"/>
    <n v="46"/>
    <x v="1"/>
    <x v="1"/>
  </r>
  <r>
    <x v="3"/>
    <x v="2"/>
    <x v="42"/>
    <s v="24AAFCP2956A1ZR"/>
    <s v="PIL2/D/263"/>
    <d v="2026-06-16T00:00:00"/>
    <n v="1001163.03"/>
    <n v="46"/>
    <x v="1"/>
    <x v="1"/>
  </r>
  <r>
    <x v="3"/>
    <x v="2"/>
    <x v="42"/>
    <s v="24AAFCP2956A1ZR"/>
    <s v="PIL2/D/263"/>
    <d v="2026-06-16T00:00:00"/>
    <n v="525135.6"/>
    <n v="46"/>
    <x v="1"/>
    <x v="1"/>
  </r>
  <r>
    <x v="3"/>
    <x v="2"/>
    <x v="42"/>
    <s v="24AAFCP2956A1ZR"/>
    <s v="PIL2/D/263"/>
    <d v="2026-06-16T00:00:00"/>
    <n v="587569.5"/>
    <n v="46"/>
    <x v="1"/>
    <x v="1"/>
  </r>
  <r>
    <x v="0"/>
    <x v="0"/>
    <x v="18"/>
    <s v="99EXPOR0000E9Z9"/>
    <s v="PIL2/E/65/26-27"/>
    <d v="2026-06-19T00:00:00"/>
    <n v="5209153.6179999998"/>
    <n v="43"/>
    <x v="3"/>
    <x v="1"/>
  </r>
  <r>
    <x v="0"/>
    <x v="0"/>
    <x v="14"/>
    <s v="99EXPOR0000E9Z9"/>
    <s v="PIL2/E/66/26-27"/>
    <d v="2026-06-19T00:00:00"/>
    <n v="516154.39199999999"/>
    <n v="43"/>
    <x v="3"/>
    <x v="1"/>
  </r>
  <r>
    <x v="0"/>
    <x v="0"/>
    <x v="14"/>
    <s v="99EXPOR0000E9Z9"/>
    <s v="PIL2/E/67/26-27"/>
    <d v="2026-06-19T00:00:00"/>
    <n v="3174069.6"/>
    <n v="43"/>
    <x v="3"/>
    <x v="1"/>
  </r>
  <r>
    <x v="0"/>
    <x v="0"/>
    <x v="14"/>
    <s v="99EXPOR0000E9Z9"/>
    <s v="PIL2/E/68/26-27"/>
    <d v="2026-06-19T00:00:00"/>
    <n v="168293.736"/>
    <n v="43"/>
    <x v="3"/>
    <x v="1"/>
  </r>
  <r>
    <x v="0"/>
    <x v="0"/>
    <x v="14"/>
    <s v="99EXPOR0000E9Z9"/>
    <s v="PIL2/E/69/26-27"/>
    <d v="2026-06-19T00:00:00"/>
    <n v="49101.624000000003"/>
    <n v="43"/>
    <x v="3"/>
    <x v="1"/>
  </r>
  <r>
    <x v="0"/>
    <x v="0"/>
    <x v="14"/>
    <s v="99EXPOR0000E9Z9"/>
    <s v="PIL2/E/70/26-27"/>
    <d v="2026-06-19T00:00:00"/>
    <n v="1626300"/>
    <n v="43"/>
    <x v="3"/>
    <x v="1"/>
  </r>
  <r>
    <x v="0"/>
    <x v="0"/>
    <x v="14"/>
    <s v="99EXPOR0000E9Z9"/>
    <s v="PIL2/E/71/26-27"/>
    <d v="2026-06-19T00:00:00"/>
    <n v="1329316.7092919"/>
    <n v="43"/>
    <x v="3"/>
    <x v="1"/>
  </r>
  <r>
    <x v="0"/>
    <x v="0"/>
    <x v="14"/>
    <s v="99EXPOR0000E9Z9"/>
    <s v="PIL2/E/71/26-27"/>
    <d v="2026-06-19T00:00:00"/>
    <n v="43623.066708103601"/>
    <n v="43"/>
    <x v="3"/>
    <x v="1"/>
  </r>
  <r>
    <x v="0"/>
    <x v="0"/>
    <x v="22"/>
    <s v="24AAACO7290H4ZB"/>
    <s v="PIL2/E/72/26-27"/>
    <d v="2026-06-22T00:00:00"/>
    <n v="365714.8"/>
    <n v="40"/>
    <x v="3"/>
    <x v="1"/>
  </r>
  <r>
    <x v="3"/>
    <x v="2"/>
    <x v="42"/>
    <s v="24AAFCP2956A1ZR"/>
    <s v="PIL2/D/286"/>
    <d v="2026-06-22T00:00:00"/>
    <n v="26986.400000000001"/>
    <n v="40"/>
    <x v="1"/>
    <x v="1"/>
  </r>
  <r>
    <x v="3"/>
    <x v="2"/>
    <x v="42"/>
    <s v="24AAFCP2956A1ZR"/>
    <s v="PIL2/D/286"/>
    <d v="2026-06-22T00:00:00"/>
    <n v="1080000"/>
    <n v="40"/>
    <x v="1"/>
    <x v="1"/>
  </r>
  <r>
    <x v="3"/>
    <x v="2"/>
    <x v="42"/>
    <s v="24AAFCP2956A1ZR"/>
    <s v="PIL2/D/286"/>
    <d v="2026-06-22T00:00:00"/>
    <n v="261324"/>
    <n v="40"/>
    <x v="1"/>
    <x v="1"/>
  </r>
  <r>
    <x v="3"/>
    <x v="2"/>
    <x v="42"/>
    <s v="24AAFCP2956A1ZR"/>
    <s v="PIL2/D/287"/>
    <d v="2026-06-22T00:00:00"/>
    <n v="3552"/>
    <n v="40"/>
    <x v="1"/>
    <x v="1"/>
  </r>
  <r>
    <x v="3"/>
    <x v="2"/>
    <x v="42"/>
    <s v="24AAFCP2956A1ZR"/>
    <s v="PIL2/D/288"/>
    <d v="2026-06-22T00:00:00"/>
    <n v="182388.29"/>
    <n v="40"/>
    <x v="1"/>
    <x v="1"/>
  </r>
  <r>
    <x v="0"/>
    <x v="0"/>
    <x v="47"/>
    <s v="99EXPOR0000E9Z9"/>
    <s v="PIL2/E/73/26-27"/>
    <d v="2026-06-23T00:00:00"/>
    <n v="4502628"/>
    <n v="39"/>
    <x v="3"/>
    <x v="1"/>
  </r>
  <r>
    <x v="3"/>
    <x v="2"/>
    <x v="42"/>
    <s v="24AAFCP2956A1ZR"/>
    <s v="PIL2/D/302"/>
    <d v="2026-06-25T00:00:00"/>
    <n v="4681832.75"/>
    <n v="37"/>
    <x v="1"/>
    <x v="1"/>
  </r>
  <r>
    <x v="3"/>
    <x v="2"/>
    <x v="42"/>
    <s v="24AAFCP2956A1ZR"/>
    <s v="PIL2/D/308"/>
    <d v="2026-06-26T00:00:00"/>
    <n v="256200"/>
    <n v="36"/>
    <x v="1"/>
    <x v="1"/>
  </r>
  <r>
    <x v="3"/>
    <x v="2"/>
    <x v="42"/>
    <s v="24AAFCP2956A1ZR"/>
    <s v="PIL2/D/309"/>
    <d v="2026-06-26T00:00:00"/>
    <n v="2688"/>
    <n v="36"/>
    <x v="1"/>
    <x v="1"/>
  </r>
  <r>
    <x v="0"/>
    <x v="0"/>
    <x v="34"/>
    <s v="99EXPOR0000E9Z9"/>
    <s v="PIL2/E/77/26-27"/>
    <d v="2026-06-26T00:00:00"/>
    <n v="4384411.2"/>
    <n v="36"/>
    <x v="3"/>
    <x v="1"/>
  </r>
  <r>
    <x v="0"/>
    <x v="0"/>
    <x v="34"/>
    <s v="99EXPOR0000E9Z9"/>
    <s v="PIL2/E/77/26-27"/>
    <d v="2026-06-26T00:00:00"/>
    <n v="1152513.648"/>
    <n v="36"/>
    <x v="3"/>
    <x v="1"/>
  </r>
  <r>
    <x v="2"/>
    <x v="0"/>
    <x v="25"/>
    <s v="24AABCA8203F2Z7"/>
    <s v="PIL1/D/894"/>
    <d v="2026-07-03T00:00:00"/>
    <n v="52000"/>
    <n v="29"/>
    <x v="1"/>
    <x v="1"/>
  </r>
  <r>
    <x v="0"/>
    <x v="0"/>
    <x v="17"/>
    <s v="99EXPOR0000E9Z9"/>
    <s v="PIL1/E/343/26-27"/>
    <d v="2026-07-05T00:00:00"/>
    <n v="4623201"/>
    <n v="27"/>
    <x v="3"/>
    <x v="1"/>
  </r>
  <r>
    <x v="0"/>
    <x v="0"/>
    <x v="48"/>
    <s v="99EXPOR0000E9Z9"/>
    <s v="PIL1/E/346/26-27"/>
    <d v="2026-07-06T00:00:00"/>
    <n v="3975339.5"/>
    <n v="26"/>
    <x v="3"/>
    <x v="1"/>
  </r>
  <r>
    <x v="2"/>
    <x v="0"/>
    <x v="40"/>
    <s v="27BCGPD5673M1Z7"/>
    <s v="PIL1/D/936"/>
    <d v="2026-07-06T00:00:00"/>
    <n v="1992000"/>
    <n v="26"/>
    <x v="1"/>
    <x v="1"/>
  </r>
  <r>
    <x v="0"/>
    <x v="0"/>
    <x v="49"/>
    <s v="99EXPOR0000E9Z9"/>
    <s v="PIL1/E/349/26-27"/>
    <d v="2026-07-08T00:00:00"/>
    <n v="4862748"/>
    <n v="24"/>
    <x v="3"/>
    <x v="1"/>
  </r>
  <r>
    <x v="2"/>
    <x v="0"/>
    <x v="25"/>
    <s v="24AABCA8203F2Z7"/>
    <s v="PIL1/D/1009"/>
    <d v="2026-07-11T00:00:00"/>
    <n v="213942.96"/>
    <n v="21"/>
    <x v="1"/>
    <x v="1"/>
  </r>
  <r>
    <x v="0"/>
    <x v="0"/>
    <x v="22"/>
    <s v="24AAACO7290H4ZB"/>
    <s v="PIL1/E/367/26-27"/>
    <d v="2026-07-12T00:00:00"/>
    <n v="545324"/>
    <n v="20"/>
    <x v="3"/>
    <x v="1"/>
  </r>
  <r>
    <x v="0"/>
    <x v="0"/>
    <x v="22"/>
    <s v="24AAACO7290H4ZB"/>
    <s v="PIL1/E/367/26-27"/>
    <d v="2026-07-12T00:00:00"/>
    <n v="39750"/>
    <n v="20"/>
    <x v="3"/>
    <x v="1"/>
  </r>
  <r>
    <x v="0"/>
    <x v="0"/>
    <x v="22"/>
    <s v="24AAACO7290H4ZB"/>
    <s v="PIL1/E/367/26-27"/>
    <d v="2026-07-12T00:00:00"/>
    <n v="10800"/>
    <n v="20"/>
    <x v="3"/>
    <x v="1"/>
  </r>
  <r>
    <x v="0"/>
    <x v="0"/>
    <x v="22"/>
    <s v="24AAACO7290H4ZB"/>
    <s v="PIL1/E/367/26-27"/>
    <d v="2026-07-12T00:00:00"/>
    <n v="11800"/>
    <n v="20"/>
    <x v="3"/>
    <x v="1"/>
  </r>
  <r>
    <x v="0"/>
    <x v="0"/>
    <x v="22"/>
    <s v="24AAACO7290H4ZB"/>
    <s v="PIL1/E/367/26-27"/>
    <d v="2026-07-12T00:00:00"/>
    <n v="52800"/>
    <n v="20"/>
    <x v="3"/>
    <x v="1"/>
  </r>
  <r>
    <x v="0"/>
    <x v="0"/>
    <x v="22"/>
    <s v="24AAACO7290H4ZB"/>
    <s v="PIL1/E/372/26-27"/>
    <d v="2026-07-13T00:00:00"/>
    <n v="1610000"/>
    <n v="19"/>
    <x v="3"/>
    <x v="1"/>
  </r>
  <r>
    <x v="0"/>
    <x v="0"/>
    <x v="22"/>
    <s v="24AAACO7290H4ZB"/>
    <s v="PIL1/E/375/26-27"/>
    <d v="2026-07-14T00:00:00"/>
    <n v="612800"/>
    <n v="18"/>
    <x v="3"/>
    <x v="1"/>
  </r>
  <r>
    <x v="0"/>
    <x v="0"/>
    <x v="22"/>
    <s v="24AAACO7290H4ZB"/>
    <s v="PIL1/E/375/26-27"/>
    <d v="2026-07-14T00:00:00"/>
    <n v="1283400"/>
    <n v="18"/>
    <x v="3"/>
    <x v="1"/>
  </r>
  <r>
    <x v="2"/>
    <x v="0"/>
    <x v="50"/>
    <s v="29AAECM2812R1ZZ"/>
    <s v="PIL/26-27/HSS/3"/>
    <d v="2026-07-15T00:00:00"/>
    <n v="17125800"/>
    <n v="17"/>
    <x v="1"/>
    <x v="1"/>
  </r>
  <r>
    <x v="2"/>
    <x v="0"/>
    <x v="51"/>
    <s v="24AAICM7843C1ZJ"/>
    <s v="PIL1/D/1090"/>
    <d v="2026-07-17T00:00:00"/>
    <n v="274660"/>
    <n v="15"/>
    <x v="1"/>
    <x v="1"/>
  </r>
  <r>
    <x v="2"/>
    <x v="0"/>
    <x v="51"/>
    <s v="24AAICM7843C1ZJ"/>
    <s v="PIL1/D/1090"/>
    <d v="2026-07-17T00:00:00"/>
    <n v="174375"/>
    <n v="15"/>
    <x v="1"/>
    <x v="1"/>
  </r>
  <r>
    <x v="0"/>
    <x v="0"/>
    <x v="22"/>
    <s v="24AAACO7290H4ZB"/>
    <s v="PIL1/E/385/26-27"/>
    <d v="2026-07-17T00:00:00"/>
    <n v="145000"/>
    <n v="15"/>
    <x v="3"/>
    <x v="1"/>
  </r>
  <r>
    <x v="2"/>
    <x v="0"/>
    <x v="40"/>
    <s v="27BCGPD5673M1Z7"/>
    <s v="PIL1/D/1110"/>
    <d v="2026-07-18T00:00:00"/>
    <n v="1962000"/>
    <n v="14"/>
    <x v="1"/>
    <x v="1"/>
  </r>
  <r>
    <x v="2"/>
    <x v="0"/>
    <x v="41"/>
    <s v="24AANFJ8866A1Z6"/>
    <s v="PIL1/D/1119"/>
    <d v="2026-07-20T00:00:00"/>
    <n v="297980"/>
    <n v="12"/>
    <x v="1"/>
    <x v="1"/>
  </r>
  <r>
    <x v="0"/>
    <x v="0"/>
    <x v="52"/>
    <s v="99EXPOR0000E9Z9"/>
    <s v="PIL1/E/401/26-27"/>
    <d v="2026-07-21T00:00:00"/>
    <n v="1257114.2919999999"/>
    <n v="11"/>
    <x v="3"/>
    <x v="1"/>
  </r>
  <r>
    <x v="0"/>
    <x v="0"/>
    <x v="52"/>
    <s v="99EXPOR0000E9Z9"/>
    <s v="PIL1/E/401/26-27"/>
    <d v="2026-07-21T00:00:00"/>
    <n v="3653823.108"/>
    <n v="11"/>
    <x v="3"/>
    <x v="1"/>
  </r>
  <r>
    <x v="2"/>
    <x v="0"/>
    <x v="53"/>
    <s v="24AAXPA0141K1ZV"/>
    <s v="PIL1/D/1138"/>
    <d v="2026-07-21T00:00:00"/>
    <n v="7881"/>
    <n v="11"/>
    <x v="1"/>
    <x v="1"/>
  </r>
  <r>
    <x v="0"/>
    <x v="0"/>
    <x v="54"/>
    <s v="99EXPOR0000E9Z9"/>
    <s v="PIL1/E/395/26-27"/>
    <d v="2026-07-21T00:00:00"/>
    <n v="1726506.7599999998"/>
    <n v="11"/>
    <x v="3"/>
    <x v="1"/>
  </r>
  <r>
    <x v="0"/>
    <x v="0"/>
    <x v="22"/>
    <s v="24AAACO7290H4ZB"/>
    <s v="PIL1/E/399/26-27"/>
    <d v="2026-07-21T00:00:00"/>
    <n v="575000"/>
    <n v="11"/>
    <x v="3"/>
    <x v="1"/>
  </r>
  <r>
    <x v="0"/>
    <x v="0"/>
    <x v="22"/>
    <s v="24AAACO7290H4ZB"/>
    <s v="PIL1/E/399/26-27"/>
    <d v="2026-07-21T00:00:00"/>
    <n v="18100"/>
    <n v="11"/>
    <x v="3"/>
    <x v="1"/>
  </r>
  <r>
    <x v="0"/>
    <x v="0"/>
    <x v="22"/>
    <s v="24AAACO7290H4ZB"/>
    <s v="PIL1/E/399/26-27"/>
    <d v="2026-07-21T00:00:00"/>
    <n v="42625"/>
    <n v="11"/>
    <x v="3"/>
    <x v="1"/>
  </r>
  <r>
    <x v="0"/>
    <x v="0"/>
    <x v="55"/>
    <s v="99EXPOR0000E9Z9"/>
    <s v="PIL1/E/246/26-27"/>
    <d v="2026-07-01T00:00:00"/>
    <n v="4828109.3499999996"/>
    <n v="31"/>
    <x v="3"/>
    <x v="1"/>
  </r>
  <r>
    <x v="0"/>
    <x v="0"/>
    <x v="55"/>
    <s v="99EXPOR0000E9Z9"/>
    <s v="PIL1/E/396/26-27"/>
    <d v="2026-07-21T00:00:00"/>
    <n v="5144637"/>
    <n v="11"/>
    <x v="3"/>
    <x v="1"/>
  </r>
  <r>
    <x v="0"/>
    <x v="0"/>
    <x v="22"/>
    <s v="24AAACO7290H4ZB"/>
    <s v="PIL1/E/405/26-27"/>
    <d v="2026-07-22T00:00:00"/>
    <n v="54532.4"/>
    <n v="10"/>
    <x v="3"/>
    <x v="1"/>
  </r>
  <r>
    <x v="2"/>
    <x v="0"/>
    <x v="27"/>
    <s v="24AGUPS7962F1ZO"/>
    <s v="PIL1/D/1160"/>
    <d v="2026-07-23T00:00:00"/>
    <n v="66886"/>
    <n v="9"/>
    <x v="1"/>
    <x v="1"/>
  </r>
  <r>
    <x v="0"/>
    <x v="0"/>
    <x v="33"/>
    <s v="99EXPOR0000E9Z9"/>
    <s v="PIL1/E/406/26-27"/>
    <d v="2026-07-23T00:00:00"/>
    <n v="4910329.8"/>
    <n v="9"/>
    <x v="3"/>
    <x v="1"/>
  </r>
  <r>
    <x v="0"/>
    <x v="0"/>
    <x v="22"/>
    <s v="24AAACO7290H4ZB"/>
    <s v="PIL1/E/408/26-27"/>
    <d v="2026-07-23T00:00:00"/>
    <n v="136331"/>
    <n v="9"/>
    <x v="3"/>
    <x v="1"/>
  </r>
  <r>
    <x v="0"/>
    <x v="0"/>
    <x v="33"/>
    <s v="99EXPOR0000E9Z9"/>
    <s v="PIL1/E/416/26-27"/>
    <d v="2026-07-24T00:00:00"/>
    <n v="472160.707619772"/>
    <n v="8"/>
    <x v="3"/>
    <x v="1"/>
  </r>
  <r>
    <x v="0"/>
    <x v="0"/>
    <x v="33"/>
    <s v="99EXPOR0000E9Z9"/>
    <s v="PIL1/E/416/26-27"/>
    <d v="2026-07-24T00:00:00"/>
    <n v="5162061.8923802301"/>
    <n v="8"/>
    <x v="3"/>
    <x v="1"/>
  </r>
  <r>
    <x v="0"/>
    <x v="0"/>
    <x v="28"/>
    <s v="99EXPOR0000E9Z9"/>
    <s v="PIL1/E/418/26-27"/>
    <d v="2026-07-24T00:00:00"/>
    <n v="4065984"/>
    <n v="8"/>
    <x v="3"/>
    <x v="1"/>
  </r>
  <r>
    <x v="0"/>
    <x v="0"/>
    <x v="49"/>
    <s v="99EXPOR0000E9Z9"/>
    <s v="PIL1/E/417/26-27"/>
    <d v="2026-07-24T00:00:00"/>
    <n v="4863368.4000000004"/>
    <n v="8"/>
    <x v="3"/>
    <x v="1"/>
  </r>
  <r>
    <x v="0"/>
    <x v="0"/>
    <x v="28"/>
    <s v="99EXPOR0000E9Z9"/>
    <s v="PIL1/E/421/26-27"/>
    <d v="2026-07-25T00:00:00"/>
    <n v="4065984"/>
    <n v="7"/>
    <x v="3"/>
    <x v="1"/>
  </r>
  <r>
    <x v="2"/>
    <x v="0"/>
    <x v="27"/>
    <s v="24AGUPS7962F1ZO"/>
    <s v="PIL1/D/1195"/>
    <d v="2026-07-27T00:00:00"/>
    <n v="52598.5"/>
    <n v="5"/>
    <x v="1"/>
    <x v="1"/>
  </r>
  <r>
    <x v="2"/>
    <x v="0"/>
    <x v="27"/>
    <s v="24AGUPS7962F1ZO"/>
    <s v="PIL1/D/1195"/>
    <d v="2026-07-27T00:00:00"/>
    <n v="121317"/>
    <n v="5"/>
    <x v="1"/>
    <x v="1"/>
  </r>
  <r>
    <x v="0"/>
    <x v="0"/>
    <x v="56"/>
    <s v="99EXPOR0000E9Z9"/>
    <s v="PIL1/JW/006"/>
    <d v="2026-07-29T00:00:00"/>
    <n v="5314827.8118421799"/>
    <n v="3"/>
    <x v="3"/>
    <x v="1"/>
  </r>
  <r>
    <x v="0"/>
    <x v="0"/>
    <x v="56"/>
    <s v="99EXPOR0000E9Z9"/>
    <s v="PIL1/JW/007"/>
    <d v="2026-07-30T00:00:00"/>
    <n v="5041034.2581605101"/>
    <n v="2"/>
    <x v="3"/>
    <x v="1"/>
  </r>
  <r>
    <x v="0"/>
    <x v="0"/>
    <x v="56"/>
    <s v="99EXPOR0000E9Z9"/>
    <s v="PIL1/JW/008"/>
    <d v="2026-07-31T00:00:00"/>
    <n v="5276771.8971848497"/>
    <n v="1"/>
    <x v="3"/>
    <x v="1"/>
  </r>
  <r>
    <x v="0"/>
    <x v="0"/>
    <x v="22"/>
    <s v="24AAACO7290H4ZB"/>
    <s v="PIL2/E/79/26-27"/>
    <d v="2026-07-01T00:00:00"/>
    <n v="720600"/>
    <n v="31"/>
    <x v="3"/>
    <x v="1"/>
  </r>
  <r>
    <x v="0"/>
    <x v="0"/>
    <x v="14"/>
    <s v="99EXPOR0000E9Z9"/>
    <s v="PIL2/E/80/26-27"/>
    <d v="2026-07-05T00:00:00"/>
    <n v="1513241.4"/>
    <n v="27"/>
    <x v="3"/>
    <x v="1"/>
  </r>
  <r>
    <x v="0"/>
    <x v="0"/>
    <x v="14"/>
    <s v="99EXPOR0000E9Z9"/>
    <s v="PIL2/E/81/26-27"/>
    <d v="2026-07-05T00:00:00"/>
    <n v="1383932.77"/>
    <n v="27"/>
    <x v="3"/>
    <x v="1"/>
  </r>
  <r>
    <x v="0"/>
    <x v="0"/>
    <x v="14"/>
    <s v="99EXPOR0000E9Z9"/>
    <s v="PIL2/E/82/26-27"/>
    <d v="2026-07-05T00:00:00"/>
    <n v="385580.10561273998"/>
    <n v="27"/>
    <x v="3"/>
    <x v="1"/>
  </r>
  <r>
    <x v="0"/>
    <x v="0"/>
    <x v="14"/>
    <s v="99EXPOR0000E9Z9"/>
    <s v="PIL2/E/82/26-27"/>
    <d v="2026-07-05T00:00:00"/>
    <n v="27709.529387260201"/>
    <n v="27"/>
    <x v="3"/>
    <x v="1"/>
  </r>
  <r>
    <x v="0"/>
    <x v="0"/>
    <x v="14"/>
    <s v="99EXPOR0000E9Z9"/>
    <s v="PIL2/E/83/26-27"/>
    <d v="2026-07-05T00:00:00"/>
    <n v="3278056.7050000001"/>
    <n v="27"/>
    <x v="3"/>
    <x v="1"/>
  </r>
  <r>
    <x v="2"/>
    <x v="0"/>
    <x v="57"/>
    <s v="24AACCH0908F1Z4"/>
    <s v="PIL2/D/338"/>
    <d v="2026-07-05T00:00:00"/>
    <n v="556155"/>
    <n v="27"/>
    <x v="1"/>
    <x v="1"/>
  </r>
  <r>
    <x v="2"/>
    <x v="0"/>
    <x v="58"/>
    <s v="08AAECI5510Q1Z8"/>
    <s v="PIL2/D/342"/>
    <d v="2026-07-06T00:00:00"/>
    <n v="1096520.3999999999"/>
    <n v="26"/>
    <x v="1"/>
    <x v="1"/>
  </r>
  <r>
    <x v="0"/>
    <x v="0"/>
    <x v="59"/>
    <s v="99EXPOR0000E9Z9"/>
    <s v="PIL2/E/84/26-27"/>
    <d v="2026-07-06T00:00:00"/>
    <n v="126933.125"/>
    <n v="26"/>
    <x v="3"/>
    <x v="1"/>
  </r>
  <r>
    <x v="2"/>
    <x v="0"/>
    <x v="60"/>
    <s v="24AAECC8690B1ZS"/>
    <s v="PIL2/D/345"/>
    <d v="2026-07-07T00:00:00"/>
    <n v="235000"/>
    <n v="25"/>
    <x v="1"/>
    <x v="1"/>
  </r>
  <r>
    <x v="0"/>
    <x v="0"/>
    <x v="14"/>
    <s v="99EXPOR0000E9Z9"/>
    <s v="PIL2/E/85/26-27"/>
    <d v="2026-07-07T00:00:00"/>
    <n v="2919915.24"/>
    <n v="25"/>
    <x v="3"/>
    <x v="1"/>
  </r>
  <r>
    <x v="2"/>
    <x v="0"/>
    <x v="61"/>
    <s v="24AOTPA1124N1ZZ"/>
    <s v="PIL2/D/343"/>
    <d v="2026-07-07T00:00:00"/>
    <n v="1547"/>
    <n v="25"/>
    <x v="1"/>
    <x v="1"/>
  </r>
  <r>
    <x v="0"/>
    <x v="0"/>
    <x v="59"/>
    <s v="99EXPOR0000E9Z9"/>
    <s v="PIL2/E/86/26-27"/>
    <d v="2026-07-08T00:00:00"/>
    <n v="4852439.625"/>
    <n v="24"/>
    <x v="3"/>
    <x v="1"/>
  </r>
  <r>
    <x v="2"/>
    <x v="0"/>
    <x v="62"/>
    <s v="24AAACC7852K2ZI"/>
    <s v="PIL2/E/88/26-27"/>
    <d v="2026-07-13T00:00:00"/>
    <n v="1201006"/>
    <n v="19"/>
    <x v="1"/>
    <x v="1"/>
  </r>
  <r>
    <x v="2"/>
    <x v="0"/>
    <x v="62"/>
    <s v="24AAACC7852K2ZI"/>
    <s v="PIL2/E/89/26-27"/>
    <d v="2026-07-13T00:00:00"/>
    <n v="1090992"/>
    <n v="19"/>
    <x v="1"/>
    <x v="1"/>
  </r>
  <r>
    <x v="0"/>
    <x v="0"/>
    <x v="14"/>
    <s v="99EXPOR0000E9Z9"/>
    <s v="PIL2/E/92/26-27"/>
    <d v="2026-07-15T00:00:00"/>
    <n v="686278.00993730396"/>
    <n v="17"/>
    <x v="3"/>
    <x v="1"/>
  </r>
  <r>
    <x v="0"/>
    <x v="0"/>
    <x v="14"/>
    <s v="99EXPOR0000E9Z9"/>
    <s v="PIL2/E/92/26-27"/>
    <d v="2026-07-15T00:00:00"/>
    <n v="39505.455062695903"/>
    <n v="17"/>
    <x v="3"/>
    <x v="1"/>
  </r>
  <r>
    <x v="0"/>
    <x v="0"/>
    <x v="14"/>
    <s v="99EXPOR0000E9Z9"/>
    <s v="PIL2/E/93/26-27"/>
    <d v="2026-07-15T00:00:00"/>
    <n v="409112.03398876399"/>
    <n v="17"/>
    <x v="3"/>
    <x v="1"/>
  </r>
  <r>
    <x v="0"/>
    <x v="0"/>
    <x v="14"/>
    <s v="99EXPOR0000E9Z9"/>
    <s v="PIL2/E/93/26-27"/>
    <d v="2026-07-15T00:00:00"/>
    <n v="242149.676805778"/>
    <n v="17"/>
    <x v="3"/>
    <x v="1"/>
  </r>
  <r>
    <x v="0"/>
    <x v="0"/>
    <x v="14"/>
    <s v="99EXPOR0000E9Z9"/>
    <s v="PIL2/E/93/26-27"/>
    <d v="2026-07-15T00:00:00"/>
    <n v="121384.88920545801"/>
    <n v="17"/>
    <x v="3"/>
    <x v="1"/>
  </r>
  <r>
    <x v="0"/>
    <x v="0"/>
    <x v="14"/>
    <s v="99EXPOR0000E9Z9"/>
    <s v="PIL2/E/94/26-27"/>
    <d v="2026-07-15T00:00:00"/>
    <n v="1224470.3899999999"/>
    <n v="17"/>
    <x v="3"/>
    <x v="1"/>
  </r>
  <r>
    <x v="0"/>
    <x v="0"/>
    <x v="34"/>
    <s v="99EXPOR0000E9Z9"/>
    <s v="PIL2/E/96/26-27"/>
    <d v="2026-07-17T00:00:00"/>
    <n v="4252098.3360000001"/>
    <n v="15"/>
    <x v="3"/>
    <x v="1"/>
  </r>
  <r>
    <x v="0"/>
    <x v="0"/>
    <x v="22"/>
    <s v="24AAACO7290H4ZB"/>
    <s v="PIL2/E/97/26-27"/>
    <d v="2026-07-18T00:00:00"/>
    <n v="142165.32"/>
    <n v="14"/>
    <x v="3"/>
    <x v="1"/>
  </r>
  <r>
    <x v="0"/>
    <x v="0"/>
    <x v="22"/>
    <s v="24AAACO7290H4ZB"/>
    <s v="PIL2/E/97/26-27"/>
    <d v="2026-07-18T00:00:00"/>
    <n v="603564.95200000005"/>
    <n v="14"/>
    <x v="3"/>
    <x v="1"/>
  </r>
  <r>
    <x v="2"/>
    <x v="0"/>
    <x v="36"/>
    <s v="24AACCA4884D1ZW"/>
    <s v="PIL2/D/393"/>
    <d v="2026-07-20T00:00:00"/>
    <n v="1320000"/>
    <n v="12"/>
    <x v="1"/>
    <x v="1"/>
  </r>
  <r>
    <x v="2"/>
    <x v="0"/>
    <x v="36"/>
    <s v="24AACCA4884D1ZW"/>
    <s v="PIL2/D/394"/>
    <d v="2026-07-20T00:00:00"/>
    <n v="1320000"/>
    <n v="12"/>
    <x v="1"/>
    <x v="1"/>
  </r>
  <r>
    <x v="0"/>
    <x v="0"/>
    <x v="28"/>
    <s v="99EXPOR0000E9Z9"/>
    <s v="PIL2/E/98/26-27"/>
    <d v="2026-07-25T00:00:00"/>
    <n v="3909600"/>
    <n v="7"/>
    <x v="3"/>
    <x v="1"/>
  </r>
  <r>
    <x v="0"/>
    <x v="0"/>
    <x v="28"/>
    <s v="99EXPOR0000E9Z9"/>
    <s v="PIL2/E/99/26-27"/>
    <d v="2026-07-25T00:00:00"/>
    <n v="4065984"/>
    <n v="7"/>
    <x v="3"/>
    <x v="1"/>
  </r>
  <r>
    <x v="0"/>
    <x v="0"/>
    <x v="28"/>
    <s v="99EXPOR0000E9Z9"/>
    <s v="PIL2/E/100/26-27"/>
    <d v="2026-07-26T00:00:00"/>
    <n v="4065984"/>
    <n v="6"/>
    <x v="3"/>
    <x v="1"/>
  </r>
  <r>
    <x v="0"/>
    <x v="0"/>
    <x v="63"/>
    <s v="99EXPOR0000E9Z9"/>
    <s v="PIL2/E/101/26-27"/>
    <d v="2026-07-26T00:00:00"/>
    <n v="6287176.96"/>
    <n v="6"/>
    <x v="3"/>
    <x v="1"/>
  </r>
  <r>
    <x v="0"/>
    <x v="0"/>
    <x v="63"/>
    <s v="99EXPOR0000E9Z9"/>
    <s v="PIL2/E/102/26-27"/>
    <d v="2026-07-27T00:00:00"/>
    <n v="6052942.6600000001"/>
    <n v="5"/>
    <x v="3"/>
    <x v="1"/>
  </r>
  <r>
    <x v="0"/>
    <x v="0"/>
    <x v="14"/>
    <s v="99EXPOR0000E9Z9"/>
    <s v="PIL2/E/103/26-27"/>
    <d v="2026-07-28T00:00:00"/>
    <n v="778642.92"/>
    <n v="4"/>
    <x v="3"/>
    <x v="1"/>
  </r>
  <r>
    <x v="0"/>
    <x v="0"/>
    <x v="14"/>
    <s v="99EXPOR0000E9Z9"/>
    <s v="PIL2/E/104/26-27"/>
    <d v="2026-07-28T00:00:00"/>
    <n v="542970.86907798203"/>
    <n v="4"/>
    <x v="3"/>
    <x v="1"/>
  </r>
  <r>
    <x v="0"/>
    <x v="0"/>
    <x v="14"/>
    <s v="99EXPOR0000E9Z9"/>
    <s v="PIL2/E/104/26-27"/>
    <d v="2026-07-28T00:00:00"/>
    <n v="49685.816922017802"/>
    <n v="4"/>
    <x v="3"/>
    <x v="1"/>
  </r>
  <r>
    <x v="0"/>
    <x v="0"/>
    <x v="14"/>
    <s v="99EXPOR0000E9Z9"/>
    <s v="PIL2/E/105/26-27"/>
    <d v="2026-07-28T00:00:00"/>
    <n v="1262245.5162368901"/>
    <n v="4"/>
    <x v="3"/>
    <x v="1"/>
  </r>
  <r>
    <x v="0"/>
    <x v="0"/>
    <x v="14"/>
    <s v="99EXPOR0000E9Z9"/>
    <s v="PIL2/E/105/26-27"/>
    <d v="2026-07-28T00:00:00"/>
    <n v="286494.68526311102"/>
    <n v="4"/>
    <x v="3"/>
    <x v="1"/>
  </r>
  <r>
    <x v="0"/>
    <x v="0"/>
    <x v="14"/>
    <s v="99EXPOR0000E9Z9"/>
    <s v="PIL2/E/106/26-27"/>
    <d v="2026-07-29T00:00:00"/>
    <n v="428591.49900000001"/>
    <n v="3"/>
    <x v="3"/>
    <x v="1"/>
  </r>
  <r>
    <x v="0"/>
    <x v="0"/>
    <x v="14"/>
    <s v="99EXPOR0000E9Z9"/>
    <s v="PIL2/E/107/26-27"/>
    <d v="2026-07-29T00:00:00"/>
    <n v="287765.25826573698"/>
    <n v="3"/>
    <x v="3"/>
    <x v="1"/>
  </r>
  <r>
    <x v="0"/>
    <x v="0"/>
    <x v="14"/>
    <s v="99EXPOR0000E9Z9"/>
    <s v="PIL2/E/107/26-27"/>
    <d v="2026-07-29T00:00:00"/>
    <n v="292987.85823426303"/>
    <n v="3"/>
    <x v="3"/>
    <x v="1"/>
  </r>
  <r>
    <x v="0"/>
    <x v="0"/>
    <x v="14"/>
    <s v="99EXPOR0000E9Z9"/>
    <s v="PIL2/E/108/26-27"/>
    <d v="2026-07-29T00:00:00"/>
    <n v="2288031.9500000002"/>
    <n v="3"/>
    <x v="3"/>
    <x v="1"/>
  </r>
  <r>
    <x v="0"/>
    <x v="0"/>
    <x v="14"/>
    <s v="99EXPOR0000E9Z9"/>
    <s v="PIL2/E/109/26-27"/>
    <d v="2026-07-29T00:00:00"/>
    <n v="353297.67550000001"/>
    <n v="3"/>
    <x v="3"/>
    <x v="1"/>
  </r>
  <r>
    <x v="0"/>
    <x v="0"/>
    <x v="28"/>
    <s v="99EXPOR0000E9Z9"/>
    <s v="PIL2/E/110/26-27"/>
    <d v="2026-07-31T00:00:00"/>
    <n v="3451148.358"/>
    <n v="1"/>
    <x v="3"/>
    <x v="1"/>
  </r>
  <r>
    <x v="0"/>
    <x v="0"/>
    <x v="28"/>
    <s v="99EXPOR0000E9Z9"/>
    <s v="PIL2/E/110/26-27"/>
    <d v="2026-07-31T00:00:00"/>
    <n v="855884.20200000005"/>
    <n v="1"/>
    <x v="3"/>
    <x v="1"/>
  </r>
  <r>
    <x v="2"/>
    <x v="0"/>
    <x v="64"/>
    <s v="24AAQFP6007J1Z1"/>
    <s v="PIL2/D/428"/>
    <d v="2026-07-31T00:00:00"/>
    <n v="67035"/>
    <n v="1"/>
    <x v="1"/>
    <x v="1"/>
  </r>
  <r>
    <x v="2"/>
    <x v="0"/>
    <x v="65"/>
    <s v="24AQFPK7389H1ZH"/>
    <s v="PIL2/D/429"/>
    <d v="2026-07-31T00:00:00"/>
    <n v="802400"/>
    <n v="1"/>
    <x v="1"/>
    <x v="1"/>
  </r>
  <r>
    <x v="0"/>
    <x v="0"/>
    <x v="34"/>
    <s v="99EXPOR0000E9Z9"/>
    <s v="PIL2/E/112/26-27"/>
    <d v="2026-07-31T00:00:00"/>
    <n v="3701181.3960000002"/>
    <n v="1"/>
    <x v="3"/>
    <x v="1"/>
  </r>
  <r>
    <x v="3"/>
    <x v="2"/>
    <x v="42"/>
    <s v="24AAFCP2956A1ZR"/>
    <s v="PIL2/D/327"/>
    <d v="2026-06-30T00:00:00"/>
    <n v="132004"/>
    <n v="32"/>
    <x v="1"/>
    <x v="1"/>
  </r>
  <r>
    <x v="3"/>
    <x v="2"/>
    <x v="42"/>
    <s v="24AAFCP2956A1ZR"/>
    <s v="PIL2/D/327"/>
    <d v="2026-06-30T00:00:00"/>
    <n v="52011.6"/>
    <n v="32"/>
    <x v="1"/>
    <x v="1"/>
  </r>
  <r>
    <x v="3"/>
    <x v="2"/>
    <x v="42"/>
    <s v="24AAFCP2956A1ZR"/>
    <s v="PIL2/D/328"/>
    <d v="2026-06-30T00:00:00"/>
    <n v="2448"/>
    <n v="32"/>
    <x v="1"/>
    <x v="1"/>
  </r>
  <r>
    <x v="3"/>
    <x v="2"/>
    <x v="42"/>
    <s v="24AAFCP2956A1ZR"/>
    <s v="PIL1/D/878"/>
    <d v="2026-07-01T00:00:00"/>
    <n v="230099.16"/>
    <n v="31"/>
    <x v="1"/>
    <x v="1"/>
  </r>
  <r>
    <x v="3"/>
    <x v="2"/>
    <x v="42"/>
    <s v="24AAFCP2956A1ZR"/>
    <s v="PIL1/D/885"/>
    <d v="2026-07-02T00:00:00"/>
    <n v="5828.92"/>
    <n v="30"/>
    <x v="1"/>
    <x v="1"/>
  </r>
  <r>
    <x v="3"/>
    <x v="2"/>
    <x v="42"/>
    <s v="24AAFCP2956A1ZR"/>
    <s v="PIL1/D/886"/>
    <d v="2026-07-02T00:00:00"/>
    <n v="691443.07"/>
    <n v="30"/>
    <x v="1"/>
    <x v="1"/>
  </r>
  <r>
    <x v="3"/>
    <x v="2"/>
    <x v="42"/>
    <s v="24AAFCP2956A1ZR"/>
    <s v="PIL1/D/883"/>
    <d v="2026-07-02T00:00:00"/>
    <n v="43790"/>
    <n v="30"/>
    <x v="1"/>
    <x v="1"/>
  </r>
  <r>
    <x v="3"/>
    <x v="2"/>
    <x v="42"/>
    <s v="24AAFCP2956A1ZR"/>
    <s v="PIL1/D/897"/>
    <d v="2026-07-03T00:00:00"/>
    <n v="65841.94"/>
    <n v="29"/>
    <x v="1"/>
    <x v="1"/>
  </r>
  <r>
    <x v="3"/>
    <x v="2"/>
    <x v="42"/>
    <s v="24AAFCP2956A1ZR"/>
    <s v="PIL1/D/899"/>
    <d v="2026-07-03T00:00:00"/>
    <n v="1301.72"/>
    <n v="29"/>
    <x v="1"/>
    <x v="1"/>
  </r>
  <r>
    <x v="3"/>
    <x v="2"/>
    <x v="42"/>
    <s v="24AAFCP2956A1ZR"/>
    <s v="PIL1/D/900"/>
    <d v="2026-07-03T00:00:00"/>
    <n v="957235.11"/>
    <n v="29"/>
    <x v="1"/>
    <x v="1"/>
  </r>
  <r>
    <x v="3"/>
    <x v="2"/>
    <x v="42"/>
    <s v="24AAFCP2956A1ZR"/>
    <s v="PIL1/D/901"/>
    <d v="2026-07-03T00:00:00"/>
    <n v="3395.4"/>
    <n v="29"/>
    <x v="1"/>
    <x v="1"/>
  </r>
  <r>
    <x v="3"/>
    <x v="2"/>
    <x v="42"/>
    <s v="24AAFCP2956A1ZR"/>
    <s v="PIL1/D/902"/>
    <d v="2026-07-03T00:00:00"/>
    <n v="573600.22"/>
    <n v="29"/>
    <x v="1"/>
    <x v="1"/>
  </r>
  <r>
    <x v="3"/>
    <x v="2"/>
    <x v="42"/>
    <s v="24AAFCP2956A1ZR"/>
    <s v="PIL1/D/909"/>
    <d v="2026-07-04T00:00:00"/>
    <n v="167436.94"/>
    <n v="28"/>
    <x v="1"/>
    <x v="1"/>
  </r>
  <r>
    <x v="3"/>
    <x v="2"/>
    <x v="42"/>
    <s v="24AAFCP2956A1ZR"/>
    <s v="PIL1/D/910"/>
    <d v="2026-07-04T00:00:00"/>
    <n v="911020.37"/>
    <n v="28"/>
    <x v="1"/>
    <x v="1"/>
  </r>
  <r>
    <x v="3"/>
    <x v="2"/>
    <x v="42"/>
    <s v="24AAFCP2956A1ZR"/>
    <s v="PIL1/D/911"/>
    <d v="2026-07-04T00:00:00"/>
    <n v="2433.52"/>
    <n v="28"/>
    <x v="1"/>
    <x v="1"/>
  </r>
  <r>
    <x v="3"/>
    <x v="2"/>
    <x v="42"/>
    <s v="24AAFCP2956A1ZR"/>
    <s v="PIL1/D/912"/>
    <d v="2026-07-04T00:00:00"/>
    <n v="349682.9"/>
    <n v="28"/>
    <x v="1"/>
    <x v="1"/>
  </r>
  <r>
    <x v="3"/>
    <x v="2"/>
    <x v="42"/>
    <s v="24AAFCP2956A1ZR"/>
    <s v="PIL1/D/920"/>
    <d v="2026-07-05T00:00:00"/>
    <n v="2716.72"/>
    <n v="27"/>
    <x v="1"/>
    <x v="1"/>
  </r>
  <r>
    <x v="3"/>
    <x v="2"/>
    <x v="42"/>
    <s v="24AAFCP2956A1ZR"/>
    <s v="PIL1/D/921"/>
    <d v="2026-07-05T00:00:00"/>
    <n v="240398.6"/>
    <n v="27"/>
    <x v="1"/>
    <x v="1"/>
  </r>
  <r>
    <x v="3"/>
    <x v="2"/>
    <x v="42"/>
    <s v="24AAFCP2956A1ZR"/>
    <s v="PIL1/D/922"/>
    <d v="2026-07-05T00:00:00"/>
    <n v="70867.259999999995"/>
    <n v="27"/>
    <x v="1"/>
    <x v="1"/>
  </r>
  <r>
    <x v="3"/>
    <x v="2"/>
    <x v="42"/>
    <s v="24AAFCP2956A1ZR"/>
    <s v="PIL1/D/927"/>
    <d v="2026-07-05T00:00:00"/>
    <n v="5005.72"/>
    <n v="27"/>
    <x v="1"/>
    <x v="1"/>
  </r>
  <r>
    <x v="3"/>
    <x v="2"/>
    <x v="42"/>
    <s v="24AAFCP2956A1ZR"/>
    <s v="PIL1/D/923"/>
    <d v="2026-07-05T00:00:00"/>
    <n v="37410"/>
    <n v="27"/>
    <x v="1"/>
    <x v="1"/>
  </r>
  <r>
    <x v="3"/>
    <x v="2"/>
    <x v="42"/>
    <s v="24AAFCP2956A1ZR"/>
    <s v="PIL1/D/937"/>
    <d v="2026-07-06T00:00:00"/>
    <n v="3452.04"/>
    <n v="26"/>
    <x v="1"/>
    <x v="1"/>
  </r>
  <r>
    <x v="3"/>
    <x v="2"/>
    <x v="42"/>
    <s v="24AAFCP2956A1ZR"/>
    <s v="PIL1/D/938"/>
    <d v="2026-07-06T00:00:00"/>
    <n v="323469.7"/>
    <n v="26"/>
    <x v="1"/>
    <x v="1"/>
  </r>
  <r>
    <x v="3"/>
    <x v="2"/>
    <x v="42"/>
    <s v="24AAFCP2956A1ZR"/>
    <s v="PIL1/D/939"/>
    <d v="2026-07-06T00:00:00"/>
    <n v="94888.26"/>
    <n v="26"/>
    <x v="1"/>
    <x v="1"/>
  </r>
  <r>
    <x v="3"/>
    <x v="2"/>
    <x v="42"/>
    <s v="24AAFCP2956A1ZR"/>
    <s v="PIL1/D/940"/>
    <d v="2026-07-06T00:00:00"/>
    <n v="68667.75"/>
    <n v="26"/>
    <x v="1"/>
    <x v="1"/>
  </r>
  <r>
    <x v="3"/>
    <x v="2"/>
    <x v="42"/>
    <s v="24AAFCP2956A1ZR"/>
    <s v="PIL1/D/947"/>
    <d v="2026-07-07T00:00:00"/>
    <n v="445109"/>
    <n v="25"/>
    <x v="1"/>
    <x v="1"/>
  </r>
  <r>
    <x v="3"/>
    <x v="2"/>
    <x v="42"/>
    <s v="24AAFCP2956A1ZR"/>
    <s v="PIL1/D/956"/>
    <d v="2026-07-07T00:00:00"/>
    <n v="4753.76"/>
    <n v="25"/>
    <x v="1"/>
    <x v="1"/>
  </r>
  <r>
    <x v="3"/>
    <x v="2"/>
    <x v="42"/>
    <s v="24AAFCP2956A1ZR"/>
    <s v="PIL1/D/957"/>
    <d v="2026-07-07T00:00:00"/>
    <n v="649609.74"/>
    <n v="25"/>
    <x v="1"/>
    <x v="1"/>
  </r>
  <r>
    <x v="3"/>
    <x v="2"/>
    <x v="42"/>
    <s v="24AAFCP2956A1ZR"/>
    <s v="PIL1/D/955"/>
    <d v="2026-07-07T00:00:00"/>
    <n v="31320"/>
    <n v="25"/>
    <x v="1"/>
    <x v="1"/>
  </r>
  <r>
    <x v="3"/>
    <x v="2"/>
    <x v="42"/>
    <s v="24AAFCP2956A1ZR"/>
    <s v="PIL1/D/963"/>
    <d v="2026-07-08T00:00:00"/>
    <n v="18746"/>
    <n v="24"/>
    <x v="1"/>
    <x v="1"/>
  </r>
  <r>
    <x v="3"/>
    <x v="2"/>
    <x v="42"/>
    <s v="24AAFCP2956A1ZR"/>
    <s v="PIL1/D/970"/>
    <d v="2026-07-08T00:00:00"/>
    <n v="5093.6000000000004"/>
    <n v="24"/>
    <x v="1"/>
    <x v="1"/>
  </r>
  <r>
    <x v="3"/>
    <x v="2"/>
    <x v="42"/>
    <s v="24AAFCP2956A1ZR"/>
    <s v="PIL1/D/971"/>
    <d v="2026-07-08T00:00:00"/>
    <n v="707610.21"/>
    <n v="24"/>
    <x v="1"/>
    <x v="1"/>
  </r>
  <r>
    <x v="3"/>
    <x v="2"/>
    <x v="42"/>
    <s v="24AAFCP2956A1ZR"/>
    <s v="PIL1/D/972"/>
    <d v="2026-07-08T00:00:00"/>
    <n v="18618.669999999998"/>
    <n v="24"/>
    <x v="1"/>
    <x v="1"/>
  </r>
  <r>
    <x v="3"/>
    <x v="2"/>
    <x v="42"/>
    <s v="24AAFCP2956A1ZR"/>
    <s v="PIL1/D/973"/>
    <d v="2026-07-08T00:00:00"/>
    <n v="322692"/>
    <n v="24"/>
    <x v="1"/>
    <x v="1"/>
  </r>
  <r>
    <x v="3"/>
    <x v="2"/>
    <x v="42"/>
    <s v="24AAFCP2956A1ZR"/>
    <s v="PIL1/D/979"/>
    <d v="2026-07-09T00:00:00"/>
    <n v="247353.38"/>
    <n v="23"/>
    <x v="1"/>
    <x v="1"/>
  </r>
  <r>
    <x v="3"/>
    <x v="2"/>
    <x v="42"/>
    <s v="24AAFCP2956A1ZR"/>
    <s v="PIL1/D/983"/>
    <d v="2026-07-09T00:00:00"/>
    <n v="2030.72"/>
    <n v="23"/>
    <x v="1"/>
    <x v="1"/>
  </r>
  <r>
    <x v="3"/>
    <x v="2"/>
    <x v="42"/>
    <s v="24AAFCP2956A1ZR"/>
    <s v="PIL1/D/984"/>
    <d v="2026-07-09T00:00:00"/>
    <n v="1301.72"/>
    <n v="23"/>
    <x v="1"/>
    <x v="1"/>
  </r>
  <r>
    <x v="3"/>
    <x v="2"/>
    <x v="42"/>
    <s v="24AAFCP2956A1ZR"/>
    <s v="PIL1/D/985"/>
    <d v="2026-07-09T00:00:00"/>
    <n v="153271.56"/>
    <n v="23"/>
    <x v="1"/>
    <x v="1"/>
  </r>
  <r>
    <x v="3"/>
    <x v="2"/>
    <x v="42"/>
    <s v="24AAFCP2956A1ZR"/>
    <s v="PIL1/D/988"/>
    <d v="2026-07-09T00:00:00"/>
    <n v="803670.9"/>
    <n v="23"/>
    <x v="1"/>
    <x v="1"/>
  </r>
  <r>
    <x v="3"/>
    <x v="2"/>
    <x v="42"/>
    <s v="24AAFCP2956A1ZR"/>
    <s v="PIL1/D/1001"/>
    <d v="2026-07-10T00:00:00"/>
    <n v="5432.44"/>
    <n v="22"/>
    <x v="1"/>
    <x v="1"/>
  </r>
  <r>
    <x v="3"/>
    <x v="2"/>
    <x v="42"/>
    <s v="24AAFCP2956A1ZR"/>
    <s v="PIL1/D/1002"/>
    <d v="2026-07-10T00:00:00"/>
    <n v="1805410.86"/>
    <n v="22"/>
    <x v="1"/>
    <x v="1"/>
  </r>
  <r>
    <x v="3"/>
    <x v="2"/>
    <x v="42"/>
    <s v="24AAFCP2956A1ZR"/>
    <s v="PIL1/D/1004"/>
    <d v="2026-07-10T00:00:00"/>
    <n v="18089.580000000002"/>
    <n v="22"/>
    <x v="1"/>
    <x v="1"/>
  </r>
  <r>
    <x v="3"/>
    <x v="2"/>
    <x v="42"/>
    <s v="24AAFCP2956A1ZR"/>
    <s v="PIL1/D/994"/>
    <d v="2026-07-10T00:00:00"/>
    <n v="112944.83"/>
    <n v="22"/>
    <x v="1"/>
    <x v="1"/>
  </r>
  <r>
    <x v="3"/>
    <x v="2"/>
    <x v="42"/>
    <s v="24AAFCP2956A1ZR"/>
    <s v="PIL1/D/995"/>
    <d v="2026-07-10T00:00:00"/>
    <n v="33389.57"/>
    <n v="22"/>
    <x v="1"/>
    <x v="1"/>
  </r>
  <r>
    <x v="3"/>
    <x v="2"/>
    <x v="42"/>
    <s v="24AAFCP2956A1ZR"/>
    <s v="PIL1/D/996"/>
    <d v="2026-07-10T00:00:00"/>
    <n v="34800"/>
    <n v="22"/>
    <x v="1"/>
    <x v="1"/>
  </r>
  <r>
    <x v="3"/>
    <x v="2"/>
    <x v="42"/>
    <s v="24AAFCP2956A1ZR"/>
    <s v="PIL1/D/1010"/>
    <d v="2026-07-11T00:00:00"/>
    <n v="1435.02"/>
    <n v="21"/>
    <x v="1"/>
    <x v="1"/>
  </r>
  <r>
    <x v="3"/>
    <x v="2"/>
    <x v="42"/>
    <s v="24AAFCP2956A1ZR"/>
    <s v="PIL1/D/1016"/>
    <d v="2026-07-11T00:00:00"/>
    <n v="2037.04"/>
    <n v="21"/>
    <x v="1"/>
    <x v="1"/>
  </r>
  <r>
    <x v="3"/>
    <x v="2"/>
    <x v="42"/>
    <s v="24AAFCP2956A1ZR"/>
    <s v="PIL1/D/1017"/>
    <d v="2026-07-11T00:00:00"/>
    <n v="861013.23"/>
    <n v="21"/>
    <x v="1"/>
    <x v="1"/>
  </r>
  <r>
    <x v="3"/>
    <x v="2"/>
    <x v="42"/>
    <s v="24AAFCP2956A1ZR"/>
    <s v="PIL1/D/1022"/>
    <d v="2026-07-12T00:00:00"/>
    <n v="121291.72"/>
    <n v="20"/>
    <x v="1"/>
    <x v="1"/>
  </r>
  <r>
    <x v="3"/>
    <x v="2"/>
    <x v="42"/>
    <s v="24AAFCP2956A1ZR"/>
    <s v="PIL1/D/1025"/>
    <d v="2026-07-12T00:00:00"/>
    <n v="247590"/>
    <n v="20"/>
    <x v="1"/>
    <x v="1"/>
  </r>
  <r>
    <x v="3"/>
    <x v="2"/>
    <x v="42"/>
    <s v="24AAFCP2956A1ZR"/>
    <s v="PIL1/D/1026"/>
    <d v="2026-07-12T00:00:00"/>
    <n v="5319.16"/>
    <n v="20"/>
    <x v="1"/>
    <x v="1"/>
  </r>
  <r>
    <x v="3"/>
    <x v="2"/>
    <x v="42"/>
    <s v="24AAFCP2956A1ZR"/>
    <s v="PIL1/D/1027"/>
    <d v="2026-07-12T00:00:00"/>
    <n v="661076.56000000006"/>
    <n v="20"/>
    <x v="1"/>
    <x v="1"/>
  </r>
  <r>
    <x v="3"/>
    <x v="2"/>
    <x v="42"/>
    <s v="24AAFCP2956A1ZR"/>
    <s v="PIL1/D/1030"/>
    <d v="2026-07-13T00:00:00"/>
    <n v="11205.38"/>
    <n v="19"/>
    <x v="1"/>
    <x v="1"/>
  </r>
  <r>
    <x v="3"/>
    <x v="2"/>
    <x v="42"/>
    <s v="24AAFCP2956A1ZR"/>
    <s v="PIL1/D/1037"/>
    <d v="2026-07-13T00:00:00"/>
    <n v="9394.24"/>
    <n v="19"/>
    <x v="1"/>
    <x v="1"/>
  </r>
  <r>
    <x v="3"/>
    <x v="2"/>
    <x v="42"/>
    <s v="24AAFCP2956A1ZR"/>
    <s v="PIL1/D/1038"/>
    <d v="2026-07-13T00:00:00"/>
    <n v="1030683.1"/>
    <n v="19"/>
    <x v="1"/>
    <x v="1"/>
  </r>
  <r>
    <x v="3"/>
    <x v="2"/>
    <x v="42"/>
    <s v="24AAFCP2956A1ZR"/>
    <s v="PIL1/D/1049"/>
    <d v="2026-07-14T00:00:00"/>
    <n v="187218.53"/>
    <n v="18"/>
    <x v="1"/>
    <x v="1"/>
  </r>
  <r>
    <x v="3"/>
    <x v="2"/>
    <x v="42"/>
    <s v="24AAFCP2956A1ZR"/>
    <s v="PIL1/D/1053"/>
    <d v="2026-07-14T00:00:00"/>
    <n v="1435.02"/>
    <n v="18"/>
    <x v="1"/>
    <x v="1"/>
  </r>
  <r>
    <x v="3"/>
    <x v="2"/>
    <x v="42"/>
    <s v="24AAFCP2956A1ZR"/>
    <s v="PIL1/D/1056"/>
    <d v="2026-07-14T00:00:00"/>
    <n v="341910"/>
    <n v="18"/>
    <x v="1"/>
    <x v="1"/>
  </r>
  <r>
    <x v="3"/>
    <x v="2"/>
    <x v="42"/>
    <s v="24AAFCP2956A1ZR"/>
    <s v="PIL1/D/1055"/>
    <d v="2026-07-14T00:00:00"/>
    <n v="34800"/>
    <n v="18"/>
    <x v="1"/>
    <x v="1"/>
  </r>
  <r>
    <x v="3"/>
    <x v="2"/>
    <x v="42"/>
    <s v="24AAFCP2956A1ZR"/>
    <s v="PIL1/D/1058"/>
    <d v="2026-07-15T00:00:00"/>
    <n v="1117005.1200000001"/>
    <n v="17"/>
    <x v="1"/>
    <x v="1"/>
  </r>
  <r>
    <x v="3"/>
    <x v="2"/>
    <x v="42"/>
    <s v="24AAFCP2956A1ZR"/>
    <s v="PIL1/D/1059"/>
    <d v="2026-07-15T00:00:00"/>
    <n v="6395.32"/>
    <n v="17"/>
    <x v="1"/>
    <x v="1"/>
  </r>
  <r>
    <x v="3"/>
    <x v="2"/>
    <x v="42"/>
    <s v="24AAFCP2956A1ZR"/>
    <s v="PIL1/D/1074"/>
    <d v="2026-07-16T00:00:00"/>
    <n v="836957.05"/>
    <n v="16"/>
    <x v="1"/>
    <x v="1"/>
  </r>
  <r>
    <x v="3"/>
    <x v="2"/>
    <x v="42"/>
    <s v="24AAFCP2956A1ZR"/>
    <s v="PIL1/D/1081"/>
    <d v="2026-07-17T00:00:00"/>
    <n v="293335"/>
    <n v="15"/>
    <x v="1"/>
    <x v="1"/>
  </r>
  <r>
    <x v="3"/>
    <x v="2"/>
    <x v="42"/>
    <s v="24AAFCP2956A1ZR"/>
    <s v="PIL1/D/1083"/>
    <d v="2026-07-17T00:00:00"/>
    <n v="137943"/>
    <n v="15"/>
    <x v="1"/>
    <x v="1"/>
  </r>
  <r>
    <x v="3"/>
    <x v="2"/>
    <x v="42"/>
    <s v="24AAFCP2956A1ZR"/>
    <s v="PIL1/D/1091"/>
    <d v="2026-07-17T00:00:00"/>
    <n v="3338.76"/>
    <n v="15"/>
    <x v="1"/>
    <x v="1"/>
  </r>
  <r>
    <x v="3"/>
    <x v="2"/>
    <x v="42"/>
    <s v="24AAFCP2956A1ZR"/>
    <s v="PIL1/D/1092"/>
    <d v="2026-07-17T00:00:00"/>
    <n v="1584.92"/>
    <n v="15"/>
    <x v="1"/>
    <x v="1"/>
  </r>
  <r>
    <x v="3"/>
    <x v="2"/>
    <x v="42"/>
    <s v="24AAFCP2956A1ZR"/>
    <s v="PIL1/D/1095"/>
    <d v="2026-07-17T00:00:00"/>
    <n v="829201.95"/>
    <n v="15"/>
    <x v="1"/>
    <x v="1"/>
  </r>
  <r>
    <x v="3"/>
    <x v="2"/>
    <x v="42"/>
    <s v="24AAFCP2956A1ZR"/>
    <s v="PIL1/D/1082"/>
    <d v="2026-07-17T00:00:00"/>
    <n v="58000"/>
    <n v="15"/>
    <x v="1"/>
    <x v="1"/>
  </r>
  <r>
    <x v="3"/>
    <x v="2"/>
    <x v="42"/>
    <s v="24AAFCP2956A1ZR"/>
    <s v="PIL1/D/1097"/>
    <d v="2026-07-18T00:00:00"/>
    <n v="372516.25"/>
    <n v="14"/>
    <x v="1"/>
    <x v="1"/>
  </r>
  <r>
    <x v="3"/>
    <x v="2"/>
    <x v="42"/>
    <s v="24AAFCP2956A1ZR"/>
    <s v="PIL1/D/1099"/>
    <d v="2026-07-18T00:00:00"/>
    <n v="1286731"/>
    <n v="14"/>
    <x v="1"/>
    <x v="1"/>
  </r>
  <r>
    <x v="3"/>
    <x v="2"/>
    <x v="42"/>
    <s v="24AAFCP2956A1ZR"/>
    <s v="PIL1/D/1106"/>
    <d v="2026-07-18T00:00:00"/>
    <n v="40219.050000000003"/>
    <n v="14"/>
    <x v="1"/>
    <x v="1"/>
  </r>
  <r>
    <x v="3"/>
    <x v="2"/>
    <x v="42"/>
    <s v="24AAFCP2956A1ZR"/>
    <s v="PIL1/D/1108"/>
    <d v="2026-07-18T00:00:00"/>
    <n v="1358.36"/>
    <n v="14"/>
    <x v="1"/>
    <x v="1"/>
  </r>
  <r>
    <x v="3"/>
    <x v="2"/>
    <x v="42"/>
    <s v="24AAFCP2956A1ZR"/>
    <s v="PIL1/D/1109"/>
    <d v="2026-07-18T00:00:00"/>
    <n v="1083589.8500000001"/>
    <n v="14"/>
    <x v="1"/>
    <x v="1"/>
  </r>
  <r>
    <x v="3"/>
    <x v="2"/>
    <x v="42"/>
    <s v="24AAFCP2956A1ZR"/>
    <s v="PIL1/D/1114"/>
    <d v="2026-07-19T00:00:00"/>
    <n v="8602.2800000000007"/>
    <n v="13"/>
    <x v="1"/>
    <x v="1"/>
  </r>
  <r>
    <x v="3"/>
    <x v="2"/>
    <x v="42"/>
    <s v="24AAFCP2956A1ZR"/>
    <s v="PIL1/D/1115"/>
    <d v="2026-07-19T00:00:00"/>
    <n v="1507938.9"/>
    <n v="13"/>
    <x v="1"/>
    <x v="1"/>
  </r>
  <r>
    <x v="3"/>
    <x v="2"/>
    <x v="42"/>
    <s v="24AAFCP2956A1ZR"/>
    <s v="PIL1/D/1120"/>
    <d v="2026-07-20T00:00:00"/>
    <n v="628259.5"/>
    <n v="12"/>
    <x v="1"/>
    <x v="1"/>
  </r>
  <r>
    <x v="3"/>
    <x v="2"/>
    <x v="42"/>
    <s v="24AAFCP2956A1ZR"/>
    <s v="PIL1/D/1123"/>
    <d v="2026-07-20T00:00:00"/>
    <n v="428399.91"/>
    <n v="12"/>
    <x v="1"/>
    <x v="1"/>
  </r>
  <r>
    <x v="3"/>
    <x v="2"/>
    <x v="42"/>
    <s v="24AAFCP2956A1ZR"/>
    <s v="PIL1/D/1124"/>
    <d v="2026-07-20T00:00:00"/>
    <n v="1131.8"/>
    <n v="12"/>
    <x v="1"/>
    <x v="1"/>
  </r>
  <r>
    <x v="3"/>
    <x v="2"/>
    <x v="42"/>
    <s v="24AAFCP2956A1ZR"/>
    <s v="PIL1/D/1125"/>
    <d v="2026-07-20T00:00:00"/>
    <n v="1471.64"/>
    <n v="12"/>
    <x v="1"/>
    <x v="1"/>
  </r>
  <r>
    <x v="3"/>
    <x v="2"/>
    <x v="42"/>
    <s v="24AAFCP2956A1ZR"/>
    <s v="PIL1/D/1126"/>
    <d v="2026-07-20T00:00:00"/>
    <n v="52153.4"/>
    <n v="12"/>
    <x v="1"/>
    <x v="1"/>
  </r>
  <r>
    <x v="3"/>
    <x v="2"/>
    <x v="42"/>
    <s v="24AAFCP2956A1ZR"/>
    <s v="PIL1/D/1132"/>
    <d v="2026-07-21T00:00:00"/>
    <n v="284778.27"/>
    <n v="11"/>
    <x v="1"/>
    <x v="1"/>
  </r>
  <r>
    <x v="3"/>
    <x v="2"/>
    <x v="42"/>
    <s v="24AAFCP2956A1ZR"/>
    <s v="PIL1/D/1135"/>
    <d v="2026-07-21T00:00:00"/>
    <n v="275886"/>
    <n v="11"/>
    <x v="1"/>
    <x v="1"/>
  </r>
  <r>
    <x v="3"/>
    <x v="2"/>
    <x v="42"/>
    <s v="24AAFCP2956A1ZR"/>
    <s v="PIL1/D/1139"/>
    <d v="2026-07-21T00:00:00"/>
    <n v="10979.16"/>
    <n v="11"/>
    <x v="1"/>
    <x v="1"/>
  </r>
  <r>
    <x v="3"/>
    <x v="2"/>
    <x v="42"/>
    <s v="24AAFCP2956A1ZR"/>
    <s v="PIL1/D/1140"/>
    <d v="2026-07-21T00:00:00"/>
    <n v="1208385.05"/>
    <n v="11"/>
    <x v="1"/>
    <x v="1"/>
  </r>
  <r>
    <x v="3"/>
    <x v="2"/>
    <x v="42"/>
    <s v="24AAFCP2956A1ZR"/>
    <s v="PIL1/D/1150"/>
    <d v="2026-07-22T00:00:00"/>
    <n v="1810.48"/>
    <n v="10"/>
    <x v="1"/>
    <x v="1"/>
  </r>
  <r>
    <x v="3"/>
    <x v="2"/>
    <x v="42"/>
    <s v="24AAFCP2956A1ZR"/>
    <s v="PIL1/D/1151"/>
    <d v="2026-07-22T00:00:00"/>
    <n v="671069.69999999995"/>
    <n v="10"/>
    <x v="1"/>
    <x v="1"/>
  </r>
  <r>
    <x v="3"/>
    <x v="2"/>
    <x v="42"/>
    <s v="24AAFCP2956A1ZR"/>
    <s v="PIL1/D/1153"/>
    <d v="2026-07-22T00:00:00"/>
    <n v="18274"/>
    <n v="10"/>
    <x v="1"/>
    <x v="1"/>
  </r>
  <r>
    <x v="3"/>
    <x v="2"/>
    <x v="42"/>
    <s v="24AAFCP2956A1ZR"/>
    <s v="PIL1/D/1154"/>
    <d v="2026-07-22T00:00:00"/>
    <n v="260102.12"/>
    <n v="10"/>
    <x v="1"/>
    <x v="1"/>
  </r>
  <r>
    <x v="3"/>
    <x v="2"/>
    <x v="42"/>
    <s v="24AAFCP2956A1ZR"/>
    <s v="PIL1/D/1163"/>
    <d v="2026-07-23T00:00:00"/>
    <n v="433999.96"/>
    <n v="9"/>
    <x v="1"/>
    <x v="1"/>
  </r>
  <r>
    <x v="3"/>
    <x v="2"/>
    <x v="42"/>
    <s v="24AAFCP2956A1ZR"/>
    <s v="PIL1/D/1166"/>
    <d v="2026-07-24T00:00:00"/>
    <n v="157214.20000000001"/>
    <n v="8"/>
    <x v="1"/>
    <x v="1"/>
  </r>
  <r>
    <x v="3"/>
    <x v="2"/>
    <x v="42"/>
    <s v="24AAFCP2956A1ZR"/>
    <s v="PIL1/D/1170"/>
    <d v="2026-07-24T00:00:00"/>
    <n v="733338"/>
    <n v="8"/>
    <x v="1"/>
    <x v="1"/>
  </r>
  <r>
    <x v="3"/>
    <x v="2"/>
    <x v="42"/>
    <s v="24AAFCP2956A1ZR"/>
    <s v="PIL1/D/1178"/>
    <d v="2026-07-25T00:00:00"/>
    <n v="2263.6"/>
    <n v="7"/>
    <x v="1"/>
    <x v="1"/>
  </r>
  <r>
    <x v="3"/>
    <x v="2"/>
    <x v="42"/>
    <s v="24AAFCP2956A1ZR"/>
    <s v="PIL1/D/1179"/>
    <d v="2026-07-25T00:00:00"/>
    <n v="1062679.71"/>
    <n v="7"/>
    <x v="1"/>
    <x v="1"/>
  </r>
  <r>
    <x v="3"/>
    <x v="2"/>
    <x v="42"/>
    <s v="24AAFCP2956A1ZR"/>
    <s v="PIL1/D/1181"/>
    <d v="2026-07-26T00:00:00"/>
    <n v="70185.259999999995"/>
    <n v="6"/>
    <x v="1"/>
    <x v="1"/>
  </r>
  <r>
    <x v="3"/>
    <x v="2"/>
    <x v="42"/>
    <s v="24AAFCP2956A1ZR"/>
    <s v="PIL1/D/1184"/>
    <d v="2026-07-26T00:00:00"/>
    <n v="5772.28"/>
    <n v="6"/>
    <x v="1"/>
    <x v="1"/>
  </r>
  <r>
    <x v="3"/>
    <x v="2"/>
    <x v="42"/>
    <s v="24AAFCP2956A1ZR"/>
    <s v="PIL1/D/1185"/>
    <d v="2026-07-26T00:00:00"/>
    <n v="559881.22"/>
    <n v="6"/>
    <x v="1"/>
    <x v="1"/>
  </r>
  <r>
    <x v="3"/>
    <x v="2"/>
    <x v="42"/>
    <s v="24AAFCP2956A1ZR"/>
    <s v="PIL1/D/1192"/>
    <d v="2026-07-27T00:00:00"/>
    <n v="2213.5"/>
    <n v="5"/>
    <x v="1"/>
    <x v="1"/>
  </r>
  <r>
    <x v="3"/>
    <x v="2"/>
    <x v="42"/>
    <s v="24AAFCP2956A1ZR"/>
    <s v="PIL1/D/1193"/>
    <d v="2026-07-27T00:00:00"/>
    <n v="15393.08"/>
    <n v="5"/>
    <x v="1"/>
    <x v="1"/>
  </r>
  <r>
    <x v="3"/>
    <x v="2"/>
    <x v="42"/>
    <s v="24AAFCP2956A1ZR"/>
    <s v="PIL1/D/1194"/>
    <d v="2026-07-27T00:00:00"/>
    <n v="1585746.58"/>
    <n v="5"/>
    <x v="1"/>
    <x v="1"/>
  </r>
  <r>
    <x v="3"/>
    <x v="2"/>
    <x v="42"/>
    <s v="24AAFCP2956A1ZR"/>
    <s v="PIL1/D/1199"/>
    <d v="2026-07-28T00:00:00"/>
    <n v="163834.5"/>
    <n v="4"/>
    <x v="1"/>
    <x v="1"/>
  </r>
  <r>
    <x v="3"/>
    <x v="2"/>
    <x v="42"/>
    <s v="24AAFCP2956A1ZR"/>
    <s v="PIL1/D/1211"/>
    <d v="2026-07-29T00:00:00"/>
    <n v="530907.22"/>
    <n v="3"/>
    <x v="1"/>
    <x v="1"/>
  </r>
  <r>
    <x v="3"/>
    <x v="2"/>
    <x v="42"/>
    <s v="24AAFCP2956A1ZR"/>
    <s v="PIL1/D/1212"/>
    <d v="2026-07-29T00:00:00"/>
    <n v="622.04"/>
    <n v="3"/>
    <x v="1"/>
    <x v="1"/>
  </r>
  <r>
    <x v="3"/>
    <x v="2"/>
    <x v="42"/>
    <s v="24AAFCP2956A1ZR"/>
    <s v="PIL1/D/1214"/>
    <d v="2026-07-29T00:00:00"/>
    <n v="235304.41"/>
    <n v="3"/>
    <x v="1"/>
    <x v="1"/>
  </r>
  <r>
    <x v="3"/>
    <x v="2"/>
    <x v="42"/>
    <s v="24AAFCP2956A1ZR"/>
    <s v="PIL1/D/1218"/>
    <d v="2026-07-30T00:00:00"/>
    <n v="1114717.83"/>
    <n v="2"/>
    <x v="1"/>
    <x v="1"/>
  </r>
  <r>
    <x v="3"/>
    <x v="2"/>
    <x v="42"/>
    <s v="24AAFCP2956A1ZR"/>
    <s v="PIL1/D/1223"/>
    <d v="2026-07-30T00:00:00"/>
    <n v="2830"/>
    <n v="2"/>
    <x v="1"/>
    <x v="1"/>
  </r>
  <r>
    <x v="3"/>
    <x v="2"/>
    <x v="42"/>
    <s v="24AAFCP2956A1ZR"/>
    <s v="PIL1/D/1224"/>
    <d v="2026-07-30T00:00:00"/>
    <n v="336057.34"/>
    <n v="2"/>
    <x v="1"/>
    <x v="1"/>
  </r>
  <r>
    <x v="3"/>
    <x v="2"/>
    <x v="42"/>
    <s v="24AAFCP2956A1ZR"/>
    <s v="PIL1/D/1225"/>
    <d v="2026-07-30T00:00:00"/>
    <n v="198956"/>
    <n v="2"/>
    <x v="1"/>
    <x v="1"/>
  </r>
  <r>
    <x v="3"/>
    <x v="2"/>
    <x v="42"/>
    <s v="24AAFCP2956A1ZR"/>
    <s v="PIL1/D/1235"/>
    <d v="2026-07-31T00:00:00"/>
    <n v="9620.7999999999993"/>
    <n v="1"/>
    <x v="1"/>
    <x v="1"/>
  </r>
  <r>
    <x v="3"/>
    <x v="2"/>
    <x v="42"/>
    <s v="24AAFCP2956A1ZR"/>
    <s v="PIL1/D/1236"/>
    <d v="2026-07-31T00:00:00"/>
    <n v="1024257.02"/>
    <n v="1"/>
    <x v="1"/>
    <x v="1"/>
  </r>
  <r>
    <x v="3"/>
    <x v="2"/>
    <x v="42"/>
    <s v="24AAFCP2956A1ZR"/>
    <s v="PIL2/D/347"/>
    <d v="2026-07-07T00:00:00"/>
    <n v="816104.72"/>
    <n v="25"/>
    <x v="1"/>
    <x v="1"/>
  </r>
  <r>
    <x v="3"/>
    <x v="2"/>
    <x v="42"/>
    <s v="24AAFCP2956A1ZR"/>
    <s v="PIL2/D/348"/>
    <d v="2026-07-07T00:00:00"/>
    <n v="4244.3999999999996"/>
    <n v="25"/>
    <x v="1"/>
    <x v="1"/>
  </r>
  <r>
    <x v="3"/>
    <x v="2"/>
    <x v="42"/>
    <s v="24AAFCP2956A1ZR"/>
    <s v="PIL2/D/356"/>
    <d v="2026-07-10T00:00:00"/>
    <n v="2043057.22"/>
    <n v="22"/>
    <x v="1"/>
    <x v="1"/>
  </r>
  <r>
    <x v="3"/>
    <x v="2"/>
    <x v="42"/>
    <s v="24AAFCP2956A1ZR"/>
    <s v="PIL2/D/367"/>
    <d v="2026-07-12T00:00:00"/>
    <n v="235894.32"/>
    <n v="20"/>
    <x v="1"/>
    <x v="1"/>
  </r>
  <r>
    <x v="3"/>
    <x v="2"/>
    <x v="42"/>
    <s v="24AAFCP2956A1ZR"/>
    <s v="PIL2/D/368"/>
    <d v="2026-07-12T00:00:00"/>
    <n v="2490.0500000000002"/>
    <n v="20"/>
    <x v="1"/>
    <x v="1"/>
  </r>
  <r>
    <x v="3"/>
    <x v="2"/>
    <x v="42"/>
    <s v="24AAFCP2956A1ZR"/>
    <s v="PIL2/D/378"/>
    <d v="2026-07-15T00:00:00"/>
    <n v="1490633.26"/>
    <n v="17"/>
    <x v="1"/>
    <x v="1"/>
  </r>
  <r>
    <x v="3"/>
    <x v="2"/>
    <x v="42"/>
    <s v="24AAFCP2956A1ZR"/>
    <s v="PIL2/D/379"/>
    <d v="2026-07-15T00:00:00"/>
    <n v="530550"/>
    <n v="17"/>
    <x v="1"/>
    <x v="1"/>
  </r>
  <r>
    <x v="3"/>
    <x v="2"/>
    <x v="42"/>
    <s v="24AAFCP2956A1ZR"/>
    <s v="PIL2/D/385"/>
    <d v="2026-07-16T00:00:00"/>
    <n v="1201815.04"/>
    <n v="16"/>
    <x v="1"/>
    <x v="1"/>
  </r>
  <r>
    <x v="3"/>
    <x v="2"/>
    <x v="42"/>
    <s v="24AAFCP2956A1ZR"/>
    <s v="PIL2/D/391"/>
    <d v="2026-07-18T00:00:00"/>
    <n v="342800.16"/>
    <n v="14"/>
    <x v="1"/>
    <x v="1"/>
  </r>
  <r>
    <x v="3"/>
    <x v="2"/>
    <x v="42"/>
    <s v="24AAFCP2956A1ZR"/>
    <s v="PIL2/D/396"/>
    <d v="2026-07-20T00:00:00"/>
    <n v="653281.4"/>
    <n v="12"/>
    <x v="1"/>
    <x v="1"/>
  </r>
  <r>
    <x v="3"/>
    <x v="2"/>
    <x v="42"/>
    <s v="24AAFCP2956A1ZR"/>
    <s v="PIL2/D/397"/>
    <d v="2026-07-20T00:00:00"/>
    <n v="4640.54"/>
    <n v="12"/>
    <x v="1"/>
    <x v="1"/>
  </r>
  <r>
    <x v="3"/>
    <x v="2"/>
    <x v="42"/>
    <s v="24AAFCP2956A1ZR"/>
    <s v="PIL2/D/409"/>
    <d v="2026-07-26T00:00:00"/>
    <n v="5227404.18"/>
    <n v="6"/>
    <x v="1"/>
    <x v="1"/>
  </r>
  <r>
    <x v="3"/>
    <x v="2"/>
    <x v="42"/>
    <s v="24AAFCP2956A1ZR"/>
    <s v="PIL2/D/412"/>
    <d v="2026-07-27T00:00:00"/>
    <n v="1008411.5"/>
    <n v="5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25524-9A16-48F0-8D67-35EC977554D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10"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Value (maximum 2 decimal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CDA10-0298-497B-B743-898DC4AAC5A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D16" firstHeaderRow="1" firstDataRow="2" firstDataCol="1"/>
  <pivotFields count="10"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Value (maximum 2 decimal)" fld="6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54944-713E-478D-A363-C89215EC41C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2" firstHeaderRow="1" firstDataRow="2" firstDataCol="1"/>
  <pivotFields count="10">
    <pivotField axis="axisRow" showAll="0">
      <items count="5">
        <item x="2"/>
        <item x="3"/>
        <item x="1"/>
        <item x="0"/>
        <item t="default"/>
      </items>
    </pivotField>
    <pivotField showAll="0"/>
    <pivotField axis="axisRow" showAll="0">
      <items count="99">
        <item x="51"/>
        <item x="48"/>
        <item x="58"/>
        <item x="0"/>
        <item x="29"/>
        <item x="6"/>
        <item x="7"/>
        <item x="91"/>
        <item x="31"/>
        <item x="59"/>
        <item x="8"/>
        <item x="90"/>
        <item x="28"/>
        <item x="84"/>
        <item x="47"/>
        <item x="78"/>
        <item x="24"/>
        <item m="1" x="97"/>
        <item x="34"/>
        <item x="85"/>
        <item x="5"/>
        <item x="92"/>
        <item m="1" x="93"/>
        <item x="1"/>
        <item x="39"/>
        <item x="18"/>
        <item x="25"/>
        <item x="64"/>
        <item x="61"/>
        <item x="55"/>
        <item x="88"/>
        <item x="33"/>
        <item x="36"/>
        <item x="80"/>
        <item x="9"/>
        <item x="3"/>
        <item x="45"/>
        <item x="74"/>
        <item x="19"/>
        <item x="83"/>
        <item x="60"/>
        <item x="30"/>
        <item x="79"/>
        <item x="72"/>
        <item x="10"/>
        <item x="67"/>
        <item x="38"/>
        <item x="70"/>
        <item x="17"/>
        <item x="11"/>
        <item x="41"/>
        <item x="21"/>
        <item x="75"/>
        <item x="62"/>
        <item x="12"/>
        <item x="89"/>
        <item x="42"/>
        <item x="37"/>
        <item x="65"/>
        <item x="52"/>
        <item x="43"/>
        <item x="22"/>
        <item x="40"/>
        <item x="76"/>
        <item m="1" x="95"/>
        <item x="15"/>
        <item x="32"/>
        <item x="69"/>
        <item x="50"/>
        <item x="71"/>
        <item x="16"/>
        <item x="81"/>
        <item x="56"/>
        <item x="46"/>
        <item x="20"/>
        <item x="26"/>
        <item x="35"/>
        <item x="13"/>
        <item x="44"/>
        <item m="1" x="96"/>
        <item x="87"/>
        <item x="23"/>
        <item x="14"/>
        <item x="68"/>
        <item x="73"/>
        <item x="57"/>
        <item x="53"/>
        <item x="49"/>
        <item x="82"/>
        <item x="2"/>
        <item x="86"/>
        <item x="4"/>
        <item x="66"/>
        <item x="27"/>
        <item m="1" x="94"/>
        <item x="77"/>
        <item x="54"/>
        <item x="63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6">
        <item x="2"/>
        <item x="1"/>
        <item x="4"/>
        <item x="3"/>
        <item x="0"/>
        <item t="default"/>
      </items>
    </pivotField>
    <pivotField showAll="0"/>
  </pivotFields>
  <rowFields count="2">
    <field x="0"/>
    <field x="2"/>
  </rowFields>
  <rowItems count="98">
    <i>
      <x/>
    </i>
    <i r="1">
      <x v="70"/>
    </i>
    <i r="1">
      <x v="72"/>
    </i>
    <i>
      <x v="1"/>
    </i>
    <i r="1">
      <x v="33"/>
    </i>
    <i r="1">
      <x v="42"/>
    </i>
    <i>
      <x v="2"/>
    </i>
    <i r="1">
      <x/>
    </i>
    <i r="1">
      <x v="2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21"/>
    </i>
    <i r="1">
      <x v="28"/>
    </i>
    <i r="1">
      <x v="29"/>
    </i>
    <i r="1">
      <x v="30"/>
    </i>
    <i r="1">
      <x v="34"/>
    </i>
    <i r="1">
      <x v="40"/>
    </i>
    <i r="1">
      <x v="44"/>
    </i>
    <i r="1">
      <x v="46"/>
    </i>
    <i r="1">
      <x v="49"/>
    </i>
    <i r="1">
      <x v="54"/>
    </i>
    <i r="1">
      <x v="55"/>
    </i>
    <i r="1">
      <x v="57"/>
    </i>
    <i r="1">
      <x v="59"/>
    </i>
    <i r="1">
      <x v="65"/>
    </i>
    <i r="1">
      <x v="77"/>
    </i>
    <i r="1">
      <x v="80"/>
    </i>
    <i r="1">
      <x v="82"/>
    </i>
    <i r="1">
      <x v="85"/>
    </i>
    <i r="1">
      <x v="86"/>
    </i>
    <i r="1">
      <x v="96"/>
    </i>
    <i>
      <x v="3"/>
    </i>
    <i r="1">
      <x v="1"/>
    </i>
    <i r="1">
      <x v="3"/>
    </i>
    <i r="1">
      <x v="4"/>
    </i>
    <i r="1">
      <x v="8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3"/>
    </i>
    <i r="1">
      <x v="24"/>
    </i>
    <i r="1">
      <x v="25"/>
    </i>
    <i r="1">
      <x v="26"/>
    </i>
    <i r="1">
      <x v="27"/>
    </i>
    <i r="1">
      <x v="31"/>
    </i>
    <i r="1">
      <x v="32"/>
    </i>
    <i r="1">
      <x v="35"/>
    </i>
    <i r="1">
      <x v="36"/>
    </i>
    <i r="1">
      <x v="37"/>
    </i>
    <i r="1">
      <x v="38"/>
    </i>
    <i r="1">
      <x v="39"/>
    </i>
    <i r="1">
      <x v="41"/>
    </i>
    <i r="1">
      <x v="43"/>
    </i>
    <i r="1">
      <x v="45"/>
    </i>
    <i r="1">
      <x v="47"/>
    </i>
    <i r="1">
      <x v="48"/>
    </i>
    <i r="1">
      <x v="50"/>
    </i>
    <i r="1">
      <x v="51"/>
    </i>
    <i r="1">
      <x v="52"/>
    </i>
    <i r="1">
      <x v="53"/>
    </i>
    <i r="1">
      <x v="56"/>
    </i>
    <i r="1">
      <x v="58"/>
    </i>
    <i r="1">
      <x v="60"/>
    </i>
    <i r="1">
      <x v="61"/>
    </i>
    <i r="1">
      <x v="62"/>
    </i>
    <i r="1">
      <x v="63"/>
    </i>
    <i r="1">
      <x v="66"/>
    </i>
    <i r="1">
      <x v="67"/>
    </i>
    <i r="1">
      <x v="68"/>
    </i>
    <i r="1">
      <x v="69"/>
    </i>
    <i r="1">
      <x v="71"/>
    </i>
    <i r="1">
      <x v="73"/>
    </i>
    <i r="1">
      <x v="74"/>
    </i>
    <i r="1">
      <x v="75"/>
    </i>
    <i r="1">
      <x v="76"/>
    </i>
    <i r="1">
      <x v="78"/>
    </i>
    <i r="1">
      <x v="81"/>
    </i>
    <i r="1">
      <x v="83"/>
    </i>
    <i r="1">
      <x v="84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5"/>
    </i>
    <i r="1">
      <x v="97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Value (maximum 2 decimal)" fld="6" baseField="0" baseItem="0" numFmtId="167"/>
  </dataFields>
  <formats count="16">
    <format dxfId="214">
      <pivotArea outline="0" collapsedLevelsAreSubtotals="1" fieldPosition="0"/>
    </format>
    <format dxfId="213">
      <pivotArea field="8" type="button" dataOnly="0" labelOnly="1" outline="0" axis="axisCol" fieldPosition="0"/>
    </format>
    <format dxfId="212">
      <pivotArea type="topRight" dataOnly="0" labelOnly="1" outline="0" fieldPosition="0"/>
    </format>
    <format dxfId="211">
      <pivotArea dataOnly="0" labelOnly="1" fieldPosition="0">
        <references count="1">
          <reference field="8" count="0"/>
        </references>
      </pivotArea>
    </format>
    <format dxfId="210">
      <pivotArea dataOnly="0" labelOnly="1" grandCol="1" outline="0" fieldPosition="0"/>
    </format>
    <format dxfId="209">
      <pivotArea dataOnly="0" labelOnly="1" fieldPosition="0">
        <references count="2">
          <reference field="0" count="1" selected="0">
            <x v="3"/>
          </reference>
          <reference field="2" count="1">
            <x v="4"/>
          </reference>
        </references>
      </pivotArea>
    </format>
    <format dxfId="208">
      <pivotArea dataOnly="0" labelOnly="1" fieldPosition="0">
        <references count="2">
          <reference field="0" count="1" selected="0">
            <x v="3"/>
          </reference>
          <reference field="2" count="1">
            <x v="8"/>
          </reference>
        </references>
      </pivotArea>
    </format>
    <format dxfId="207">
      <pivotArea dataOnly="0" labelOnly="1" fieldPosition="0">
        <references count="2">
          <reference field="0" count="1" selected="0">
            <x v="3"/>
          </reference>
          <reference field="2" count="1">
            <x v="25"/>
          </reference>
        </references>
      </pivotArea>
    </format>
    <format dxfId="206">
      <pivotArea dataOnly="0" labelOnly="1" fieldPosition="0">
        <references count="2">
          <reference field="0" count="1" selected="0">
            <x v="3"/>
          </reference>
          <reference field="2" count="1">
            <x v="35"/>
          </reference>
        </references>
      </pivotArea>
    </format>
    <format dxfId="205">
      <pivotArea dataOnly="0" labelOnly="1" fieldPosition="0">
        <references count="2">
          <reference field="0" count="1" selected="0">
            <x v="3"/>
          </reference>
          <reference field="2" count="1">
            <x v="76"/>
          </reference>
        </references>
      </pivotArea>
    </format>
    <format dxfId="204">
      <pivotArea dataOnly="0" labelOnly="1" fieldPosition="0">
        <references count="2">
          <reference field="0" count="1" selected="0">
            <x v="3"/>
          </reference>
          <reference field="2" count="1">
            <x v="81"/>
          </reference>
        </references>
      </pivotArea>
    </format>
    <format dxfId="203">
      <pivotArea dataOnly="0" labelOnly="1" fieldPosition="0">
        <references count="2">
          <reference field="0" count="1" selected="0">
            <x v="3"/>
          </reference>
          <reference field="2" count="1">
            <x v="18"/>
          </reference>
        </references>
      </pivotArea>
    </format>
    <format dxfId="202">
      <pivotArea dataOnly="0" labelOnly="1" fieldPosition="0">
        <references count="2">
          <reference field="0" count="1" selected="0">
            <x v="3"/>
          </reference>
          <reference field="2" count="1">
            <x v="26"/>
          </reference>
        </references>
      </pivotArea>
    </format>
    <format dxfId="201">
      <pivotArea dataOnly="0" labelOnly="1" fieldPosition="0">
        <references count="2">
          <reference field="0" count="1" selected="0">
            <x v="3"/>
          </reference>
          <reference field="2" count="1">
            <x v="15"/>
          </reference>
        </references>
      </pivotArea>
    </format>
    <format dxfId="200">
      <pivotArea dataOnly="0" labelOnly="1" fieldPosition="0">
        <references count="2">
          <reference field="0" count="1" selected="0">
            <x v="3"/>
          </reference>
          <reference field="2" count="1">
            <x v="20"/>
          </reference>
        </references>
      </pivotArea>
    </format>
    <format dxfId="199">
      <pivotArea field="2" grandCol="1" collapsedLevelsAreSubtotals="1" axis="axisRow" fieldPosition="1">
        <references count="2">
          <reference field="0" count="1" selected="0">
            <x v="3"/>
          </reference>
          <reference field="2" count="61">
            <x v="1"/>
            <x v="3"/>
            <x v="4"/>
            <x v="8"/>
            <x v="12"/>
            <x v="13"/>
            <x v="14"/>
            <x v="15"/>
            <x v="16"/>
            <x v="18"/>
            <x v="19"/>
            <x v="20"/>
            <x v="23"/>
            <x v="24"/>
            <x v="25"/>
            <x v="26"/>
            <x v="27"/>
            <x v="31"/>
            <x v="32"/>
            <x v="35"/>
            <x v="36"/>
            <x v="37"/>
            <x v="38"/>
            <x v="39"/>
            <x v="41"/>
            <x v="43"/>
            <x v="45"/>
            <x v="47"/>
            <x v="48"/>
            <x v="50"/>
            <x v="51"/>
            <x v="52"/>
            <x v="53"/>
            <x v="56"/>
            <x v="58"/>
            <x v="60"/>
            <x v="61"/>
            <x v="62"/>
            <x v="63"/>
            <x v="66"/>
            <x v="67"/>
            <x v="68"/>
            <x v="69"/>
            <x v="71"/>
            <x v="73"/>
            <x v="74"/>
            <x v="75"/>
            <x v="76"/>
            <x v="78"/>
            <x v="81"/>
            <x v="83"/>
            <x v="84"/>
            <x v="87"/>
            <x v="88"/>
            <x v="89"/>
            <x v="90"/>
            <x v="91"/>
            <x v="92"/>
            <x v="93"/>
            <x v="95"/>
            <x v="9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F9E6E-8D99-4F4C-9DA8-7C727AFECAA6}" name="PivotTable4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>
  <location ref="A4:G76" firstHeaderRow="1" firstDataRow="2" firstDataCol="1"/>
  <pivotFields count="10">
    <pivotField axis="axisRow" showAll="0">
      <items count="5">
        <item x="3"/>
        <item x="1"/>
        <item x="2"/>
        <item x="0"/>
        <item t="default"/>
      </items>
    </pivotField>
    <pivotField showAll="0"/>
    <pivotField axis="axisRow" showAll="0">
      <items count="67">
        <item x="0"/>
        <item x="7"/>
        <item x="4"/>
        <item x="44"/>
        <item x="31"/>
        <item x="23"/>
        <item x="1"/>
        <item x="46"/>
        <item x="27"/>
        <item x="2"/>
        <item x="14"/>
        <item x="24"/>
        <item x="29"/>
        <item x="28"/>
        <item x="43"/>
        <item x="49"/>
        <item x="52"/>
        <item x="54"/>
        <item x="12"/>
        <item x="8"/>
        <item x="42"/>
        <item x="56"/>
        <item x="5"/>
        <item x="40"/>
        <item x="6"/>
        <item x="34"/>
        <item x="22"/>
        <item x="19"/>
        <item x="21"/>
        <item x="55"/>
        <item x="30"/>
        <item x="9"/>
        <item x="10"/>
        <item x="59"/>
        <item x="33"/>
        <item x="45"/>
        <item x="38"/>
        <item x="17"/>
        <item x="11"/>
        <item x="16"/>
        <item x="39"/>
        <item x="13"/>
        <item x="15"/>
        <item x="26"/>
        <item x="25"/>
        <item x="18"/>
        <item x="35"/>
        <item x="20"/>
        <item x="37"/>
        <item x="3"/>
        <item x="32"/>
        <item x="36"/>
        <item x="41"/>
        <item x="47"/>
        <item x="48"/>
        <item x="50"/>
        <item x="51"/>
        <item x="53"/>
        <item x="61"/>
        <item x="57"/>
        <item x="58"/>
        <item x="60"/>
        <item x="62"/>
        <item x="65"/>
        <item x="63"/>
        <item x="64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6">
        <item x="3"/>
        <item x="2"/>
        <item x="1"/>
        <item x="4"/>
        <item x="0"/>
        <item t="default"/>
      </items>
    </pivotField>
    <pivotField showAll="0"/>
  </pivotFields>
  <rowFields count="2">
    <field x="0"/>
    <field x="2"/>
  </rowFields>
  <rowItems count="71">
    <i>
      <x/>
    </i>
    <i r="1">
      <x v="19"/>
    </i>
    <i r="1">
      <x v="20"/>
    </i>
    <i>
      <x v="1"/>
    </i>
    <i r="1">
      <x v="9"/>
    </i>
    <i r="1">
      <x v="49"/>
    </i>
    <i>
      <x v="2"/>
    </i>
    <i r="1">
      <x v="1"/>
    </i>
    <i r="1">
      <x v="2"/>
    </i>
    <i r="1">
      <x v="3"/>
    </i>
    <i r="1">
      <x v="7"/>
    </i>
    <i r="1">
      <x v="8"/>
    </i>
    <i r="1">
      <x v="18"/>
    </i>
    <i r="1">
      <x v="22"/>
    </i>
    <i r="1">
      <x v="23"/>
    </i>
    <i r="1">
      <x v="24"/>
    </i>
    <i r="1">
      <x v="31"/>
    </i>
    <i r="1">
      <x v="32"/>
    </i>
    <i r="1">
      <x v="36"/>
    </i>
    <i r="1">
      <x v="38"/>
    </i>
    <i r="1">
      <x v="39"/>
    </i>
    <i r="1">
      <x v="42"/>
    </i>
    <i r="1">
      <x v="43"/>
    </i>
    <i r="1">
      <x v="44"/>
    </i>
    <i r="1">
      <x v="46"/>
    </i>
    <i r="1">
      <x v="50"/>
    </i>
    <i r="1">
      <x v="51"/>
    </i>
    <i r="1">
      <x v="52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5"/>
    </i>
    <i>
      <x v="3"/>
    </i>
    <i r="1">
      <x/>
    </i>
    <i r="1">
      <x v="4"/>
    </i>
    <i r="1">
      <x v="5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21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 r="1">
      <x v="34"/>
    </i>
    <i r="1">
      <x v="35"/>
    </i>
    <i r="1">
      <x v="37"/>
    </i>
    <i r="1">
      <x v="40"/>
    </i>
    <i r="1">
      <x v="41"/>
    </i>
    <i r="1">
      <x v="45"/>
    </i>
    <i r="1">
      <x v="47"/>
    </i>
    <i r="1">
      <x v="48"/>
    </i>
    <i r="1">
      <x v="53"/>
    </i>
    <i r="1">
      <x v="54"/>
    </i>
    <i r="1">
      <x v="6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Value (maximum 2 decimal)" fld="6" baseField="0" baseItem="0" numFmtId="167"/>
  </dataFields>
  <formats count="77">
    <format dxfId="198">
      <pivotArea outline="0" collapsedLevelsAreSubtotals="1" fieldPosition="0"/>
    </format>
    <format dxfId="197">
      <pivotArea field="8" type="button" dataOnly="0" labelOnly="1" outline="0" axis="axisCol" fieldPosition="0"/>
    </format>
    <format dxfId="196">
      <pivotArea type="topRight" dataOnly="0" labelOnly="1" outline="0" fieldPosition="0"/>
    </format>
    <format dxfId="195">
      <pivotArea dataOnly="0" labelOnly="1" fieldPosition="0">
        <references count="1">
          <reference field="8" count="0"/>
        </references>
      </pivotArea>
    </format>
    <format dxfId="194">
      <pivotArea dataOnly="0" labelOnly="1" grandCol="1" outline="0" fieldPosition="0"/>
    </format>
    <format dxfId="193">
      <pivotArea type="all" dataOnly="0" outline="0" fieldPosition="0"/>
    </format>
    <format dxfId="192">
      <pivotArea outline="0" collapsedLevelsAreSubtotals="1" fieldPosition="0"/>
    </format>
    <format dxfId="191">
      <pivotArea type="origin" dataOnly="0" labelOnly="1" outline="0" fieldPosition="0"/>
    </format>
    <format dxfId="190">
      <pivotArea field="8" type="button" dataOnly="0" labelOnly="1" outline="0" axis="axisCol" fieldPosition="0"/>
    </format>
    <format dxfId="189">
      <pivotArea type="topRight" dataOnly="0" labelOnly="1" outline="0" fieldPosition="0"/>
    </format>
    <format dxfId="188">
      <pivotArea field="0" type="button" dataOnly="0" labelOnly="1" outline="0" axis="axisRow" fieldPosition="0"/>
    </format>
    <format dxfId="187">
      <pivotArea dataOnly="0" labelOnly="1" fieldPosition="0">
        <references count="1">
          <reference field="0" count="0"/>
        </references>
      </pivotArea>
    </format>
    <format dxfId="186">
      <pivotArea dataOnly="0" labelOnly="1" grandRow="1" outline="0" fieldPosition="0"/>
    </format>
    <format dxfId="185">
      <pivotArea dataOnly="0" labelOnly="1" fieldPosition="0">
        <references count="2">
          <reference field="0" count="1" selected="0">
            <x v="0"/>
          </reference>
          <reference field="2" count="2">
            <x v="19"/>
            <x v="20"/>
          </reference>
        </references>
      </pivotArea>
    </format>
    <format dxfId="184">
      <pivotArea dataOnly="0" labelOnly="1" fieldPosition="0">
        <references count="2">
          <reference field="0" count="1" selected="0">
            <x v="1"/>
          </reference>
          <reference field="2" count="1">
            <x v="9"/>
          </reference>
        </references>
      </pivotArea>
    </format>
    <format dxfId="183">
      <pivotArea dataOnly="0" labelOnly="1" fieldPosition="0">
        <references count="2">
          <reference field="0" count="1" selected="0">
            <x v="3"/>
          </reference>
          <reference field="2" count="15">
            <x v="0"/>
            <x v="4"/>
            <x v="5"/>
            <x v="6"/>
            <x v="10"/>
            <x v="11"/>
            <x v="12"/>
            <x v="13"/>
            <x v="14"/>
            <x v="15"/>
            <x v="17"/>
            <x v="21"/>
            <x v="25"/>
            <x v="26"/>
            <x v="27"/>
          </reference>
        </references>
      </pivotArea>
    </format>
    <format dxfId="182">
      <pivotArea dataOnly="0" labelOnly="1" fieldPosition="0">
        <references count="1">
          <reference field="8" count="0"/>
        </references>
      </pivotArea>
    </format>
    <format dxfId="181">
      <pivotArea dataOnly="0" labelOnly="1" grandCol="1" outline="0" fieldPosition="0"/>
    </format>
    <format dxfId="180">
      <pivotArea field="2" grandCol="1" collapsedLevelsAreSubtotals="1" axis="axisRow" fieldPosition="1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  <format dxfId="179">
      <pivotArea dataOnly="0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  <format dxfId="178">
      <pivotArea dataOnly="0" labelOnly="1" fieldPosition="0">
        <references count="2">
          <reference field="0" count="1" selected="0">
            <x v="3"/>
          </reference>
          <reference field="2" count="1">
            <x v="5"/>
          </reference>
        </references>
      </pivotArea>
    </format>
    <format dxfId="177">
      <pivotArea dataOnly="0" labelOnly="1" fieldPosition="0">
        <references count="2">
          <reference field="0" count="1" selected="0">
            <x v="3"/>
          </reference>
          <reference field="2" count="1">
            <x v="10"/>
          </reference>
        </references>
      </pivotArea>
    </format>
    <format dxfId="176">
      <pivotArea dataOnly="0" labelOnly="1" fieldPosition="0">
        <references count="2">
          <reference field="0" count="1" selected="0">
            <x v="3"/>
          </reference>
          <reference field="2" count="1">
            <x v="21"/>
          </reference>
        </references>
      </pivotArea>
    </format>
    <format dxfId="175">
      <pivotArea dataOnly="0" labelOnly="1" fieldPosition="0">
        <references count="2">
          <reference field="0" count="1" selected="0">
            <x v="3"/>
          </reference>
          <reference field="2" count="1">
            <x v="27"/>
          </reference>
        </references>
      </pivotArea>
    </format>
    <format dxfId="174">
      <pivotArea type="all" dataOnly="0" outline="0" fieldPosition="0"/>
    </format>
    <format dxfId="173">
      <pivotArea outline="0" collapsedLevelsAreSubtotals="1" fieldPosition="0"/>
    </format>
    <format dxfId="172">
      <pivotArea type="origin" dataOnly="0" labelOnly="1" outline="0" fieldPosition="0"/>
    </format>
    <format dxfId="171">
      <pivotArea field="8" type="button" dataOnly="0" labelOnly="1" outline="0" axis="axisCol" fieldPosition="0"/>
    </format>
    <format dxfId="170">
      <pivotArea type="topRight" dataOnly="0" labelOnly="1" outline="0" fieldPosition="0"/>
    </format>
    <format dxfId="169">
      <pivotArea field="0" type="button" dataOnly="0" labelOnly="1" outline="0" axis="axisRow" fieldPosition="0"/>
    </format>
    <format dxfId="168">
      <pivotArea dataOnly="0" labelOnly="1" fieldPosition="0">
        <references count="1">
          <reference field="0" count="0"/>
        </references>
      </pivotArea>
    </format>
    <format dxfId="167">
      <pivotArea dataOnly="0" labelOnly="1" grandRow="1" outline="0" fieldPosition="0"/>
    </format>
    <format dxfId="166">
      <pivotArea dataOnly="0" labelOnly="1" fieldPosition="0">
        <references count="2">
          <reference field="0" count="1" selected="0">
            <x v="0"/>
          </reference>
          <reference field="2" count="2">
            <x v="19"/>
            <x v="20"/>
          </reference>
        </references>
      </pivotArea>
    </format>
    <format dxfId="165">
      <pivotArea dataOnly="0" labelOnly="1" fieldPosition="0">
        <references count="2">
          <reference field="0" count="1" selected="0">
            <x v="1"/>
          </reference>
          <reference field="2" count="1">
            <x v="9"/>
          </reference>
        </references>
      </pivotArea>
    </format>
    <format dxfId="164">
      <pivotArea dataOnly="0" labelOnly="1" fieldPosition="0">
        <references count="2">
          <reference field="0" count="1" selected="0">
            <x v="2"/>
          </reference>
          <reference field="2" count="11">
            <x v="1"/>
            <x v="2"/>
            <x v="3"/>
            <x v="7"/>
            <x v="8"/>
            <x v="18"/>
            <x v="22"/>
            <x v="23"/>
            <x v="24"/>
            <x v="31"/>
            <x v="32"/>
          </reference>
        </references>
      </pivotArea>
    </format>
    <format dxfId="163">
      <pivotArea dataOnly="0" labelOnly="1" fieldPosition="0">
        <references count="2">
          <reference field="0" count="1" selected="0">
            <x v="3"/>
          </reference>
          <reference field="2" count="19">
            <x v="0"/>
            <x v="4"/>
            <x v="5"/>
            <x v="6"/>
            <x v="10"/>
            <x v="11"/>
            <x v="12"/>
            <x v="13"/>
            <x v="14"/>
            <x v="15"/>
            <x v="16"/>
            <x v="17"/>
            <x v="21"/>
            <x v="25"/>
            <x v="26"/>
            <x v="27"/>
            <x v="28"/>
            <x v="29"/>
            <x v="30"/>
          </reference>
        </references>
      </pivotArea>
    </format>
    <format dxfId="162">
      <pivotArea dataOnly="0" labelOnly="1" fieldPosition="0">
        <references count="1">
          <reference field="8" count="0"/>
        </references>
      </pivotArea>
    </format>
    <format dxfId="161">
      <pivotArea dataOnly="0" labelOnly="1" grandCol="1" outline="0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type="origin" dataOnly="0" labelOnly="1" outline="0" fieldPosition="0"/>
    </format>
    <format dxfId="157">
      <pivotArea field="8" type="button" dataOnly="0" labelOnly="1" outline="0" axis="axisCol" fieldPosition="0"/>
    </format>
    <format dxfId="156">
      <pivotArea type="topRight" dataOnly="0" labelOnly="1" outline="0" fieldPosition="0"/>
    </format>
    <format dxfId="155">
      <pivotArea field="0" type="button" dataOnly="0" labelOnly="1" outline="0" axis="axisRow" fieldPosition="0"/>
    </format>
    <format dxfId="154">
      <pivotArea dataOnly="0" labelOnly="1" fieldPosition="0">
        <references count="1">
          <reference field="0" count="0"/>
        </references>
      </pivotArea>
    </format>
    <format dxfId="153">
      <pivotArea dataOnly="0" labelOnly="1" grandRow="1" outline="0" fieldPosition="0"/>
    </format>
    <format dxfId="152">
      <pivotArea dataOnly="0" labelOnly="1" fieldPosition="0">
        <references count="2">
          <reference field="0" count="1" selected="0">
            <x v="0"/>
          </reference>
          <reference field="2" count="2">
            <x v="19"/>
            <x v="20"/>
          </reference>
        </references>
      </pivotArea>
    </format>
    <format dxfId="151">
      <pivotArea dataOnly="0" labelOnly="1" fieldPosition="0">
        <references count="2">
          <reference field="0" count="1" selected="0">
            <x v="1"/>
          </reference>
          <reference field="2" count="1">
            <x v="9"/>
          </reference>
        </references>
      </pivotArea>
    </format>
    <format dxfId="150">
      <pivotArea dataOnly="0" labelOnly="1" fieldPosition="0">
        <references count="2">
          <reference field="0" count="1" selected="0">
            <x v="2"/>
          </reference>
          <reference field="2" count="11">
            <x v="1"/>
            <x v="2"/>
            <x v="3"/>
            <x v="7"/>
            <x v="8"/>
            <x v="18"/>
            <x v="22"/>
            <x v="23"/>
            <x v="24"/>
            <x v="31"/>
            <x v="32"/>
          </reference>
        </references>
      </pivotArea>
    </format>
    <format dxfId="149">
      <pivotArea dataOnly="0" labelOnly="1" fieldPosition="0">
        <references count="2">
          <reference field="0" count="1" selected="0">
            <x v="3"/>
          </reference>
          <reference field="2" count="19">
            <x v="0"/>
            <x v="4"/>
            <x v="5"/>
            <x v="6"/>
            <x v="10"/>
            <x v="11"/>
            <x v="12"/>
            <x v="13"/>
            <x v="14"/>
            <x v="15"/>
            <x v="16"/>
            <x v="17"/>
            <x v="21"/>
            <x v="25"/>
            <x v="26"/>
            <x v="27"/>
            <x v="28"/>
            <x v="29"/>
            <x v="30"/>
          </reference>
        </references>
      </pivotArea>
    </format>
    <format dxfId="148">
      <pivotArea dataOnly="0" labelOnly="1" fieldPosition="0">
        <references count="1">
          <reference field="8" count="0"/>
        </references>
      </pivotArea>
    </format>
    <format dxfId="147">
      <pivotArea dataOnly="0" labelOnly="1" grandCol="1" outline="0" fieldPosition="0"/>
    </format>
    <format dxfId="146">
      <pivotArea type="all" dataOnly="0" outline="0" fieldPosition="0"/>
    </format>
    <format dxfId="145">
      <pivotArea dataOnly="0" labelOnly="1" fieldPosition="0">
        <references count="2">
          <reference field="0" count="1" selected="0">
            <x v="3"/>
          </reference>
          <reference field="2" count="22">
            <x v="0"/>
            <x v="4"/>
            <x v="5"/>
            <x v="6"/>
            <x v="10"/>
            <x v="11"/>
            <x v="12"/>
            <x v="13"/>
            <x v="14"/>
            <x v="15"/>
            <x v="16"/>
            <x v="17"/>
            <x v="21"/>
            <x v="25"/>
            <x v="26"/>
            <x v="27"/>
            <x v="28"/>
            <x v="29"/>
            <x v="30"/>
            <x v="33"/>
            <x v="34"/>
            <x v="35"/>
          </reference>
        </references>
      </pivotArea>
    </format>
    <format dxfId="144">
      <pivotArea collapsedLevelsAreSubtotals="1" fieldPosition="0">
        <references count="3">
          <reference field="0" count="1" selected="0">
            <x v="3"/>
          </reference>
          <reference field="2" count="1">
            <x v="10"/>
          </reference>
          <reference field="8" count="1" selected="0">
            <x v="1"/>
          </reference>
        </references>
      </pivotArea>
    </format>
    <format dxfId="143">
      <pivotArea collapsedLevelsAreSubtotals="1" fieldPosition="0">
        <references count="3">
          <reference field="0" count="1" selected="0">
            <x v="3"/>
          </reference>
          <reference field="2" count="1">
            <x v="10"/>
          </reference>
          <reference field="8" count="1" selected="0">
            <x v="4"/>
          </reference>
        </references>
      </pivotArea>
    </format>
    <format dxfId="142">
      <pivotArea collapsedLevelsAreSubtotals="1" fieldPosition="0">
        <references count="3">
          <reference field="0" count="1" selected="0">
            <x v="3"/>
          </reference>
          <reference field="2" count="1">
            <x v="10"/>
          </reference>
          <reference field="8" count="1" selected="0">
            <x v="1"/>
          </reference>
        </references>
      </pivotArea>
    </format>
    <format dxfId="141">
      <pivotArea collapsedLevelsAreSubtotals="1" fieldPosition="0">
        <references count="3">
          <reference field="0" count="1" selected="0">
            <x v="3"/>
          </reference>
          <reference field="2" count="1">
            <x v="10"/>
          </reference>
          <reference field="8" count="1" selected="0">
            <x v="4"/>
          </reference>
        </references>
      </pivotArea>
    </format>
    <format dxfId="140">
      <pivotArea collapsedLevelsAreSubtotals="1" fieldPosition="0">
        <references count="3">
          <reference field="0" count="1" selected="0">
            <x v="3"/>
          </reference>
          <reference field="2" count="1">
            <x v="10"/>
          </reference>
          <reference field="8" count="1" selected="0">
            <x v="1"/>
          </reference>
        </references>
      </pivotArea>
    </format>
    <format dxfId="139">
      <pivotArea collapsedLevelsAreSubtotals="1" fieldPosition="0">
        <references count="3">
          <reference field="0" count="1" selected="0">
            <x v="3"/>
          </reference>
          <reference field="2" count="1">
            <x v="10"/>
          </reference>
          <reference field="8" count="1" selected="0">
            <x v="4"/>
          </reference>
        </references>
      </pivotArea>
    </format>
    <format dxfId="138">
      <pivotArea collapsedLevelsAreSubtotals="1" fieldPosition="0">
        <references count="3">
          <reference field="0" count="1" selected="0">
            <x v="3"/>
          </reference>
          <reference field="2" count="1">
            <x v="10"/>
          </reference>
          <reference field="8" count="4" selected="0">
            <x v="1"/>
            <x v="2"/>
            <x v="3"/>
            <x v="4"/>
          </reference>
        </references>
      </pivotArea>
    </format>
    <format dxfId="137">
      <pivotArea collapsedLevelsAreSubtotals="1" fieldPosition="0">
        <references count="3">
          <reference field="0" count="1" selected="0">
            <x v="3"/>
          </reference>
          <reference field="2" count="1">
            <x v="10"/>
          </reference>
          <reference field="8" count="4" selected="0">
            <x v="1"/>
            <x v="2"/>
            <x v="3"/>
            <x v="4"/>
          </reference>
        </references>
      </pivotArea>
    </format>
    <format dxfId="136">
      <pivotArea collapsedLevelsAreSubtotals="1" fieldPosition="0">
        <references count="3">
          <reference field="0" count="1" selected="0">
            <x v="3"/>
          </reference>
          <reference field="2" count="1">
            <x v="10"/>
          </reference>
          <reference field="8" count="4" selected="0">
            <x v="1"/>
            <x v="2"/>
            <x v="3"/>
            <x v="4"/>
          </reference>
        </references>
      </pivotArea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8" type="button" dataOnly="0" labelOnly="1" outline="0" axis="axisCol" fieldPosition="0"/>
    </format>
    <format dxfId="131">
      <pivotArea type="topRight" dataOnly="0" labelOnly="1" outline="0" fieldPosition="0"/>
    </format>
    <format dxfId="130">
      <pivotArea field="0" type="button" dataOnly="0" labelOnly="1" outline="0" axis="axisRow" fieldPosition="0"/>
    </format>
    <format dxfId="129">
      <pivotArea dataOnly="0" labelOnly="1" fieldPosition="0">
        <references count="1">
          <reference field="0" count="0"/>
        </references>
      </pivotArea>
    </format>
    <format dxfId="128">
      <pivotArea dataOnly="0" labelOnly="1" grandRow="1" outline="0" fieldPosition="0"/>
    </format>
    <format dxfId="127">
      <pivotArea dataOnly="0" labelOnly="1" fieldPosition="0">
        <references count="2">
          <reference field="0" count="1" selected="0">
            <x v="0"/>
          </reference>
          <reference field="2" count="2">
            <x v="19"/>
            <x v="20"/>
          </reference>
        </references>
      </pivotArea>
    </format>
    <format dxfId="126">
      <pivotArea dataOnly="0" labelOnly="1" fieldPosition="0">
        <references count="2">
          <reference field="0" count="1" selected="0">
            <x v="1"/>
          </reference>
          <reference field="2" count="2">
            <x v="9"/>
            <x v="49"/>
          </reference>
        </references>
      </pivotArea>
    </format>
    <format dxfId="125">
      <pivotArea dataOnly="0" labelOnly="1" fieldPosition="0">
        <references count="2">
          <reference field="0" count="1" selected="0">
            <x v="2"/>
          </reference>
          <reference field="2" count="32">
            <x v="1"/>
            <x v="2"/>
            <x v="3"/>
            <x v="7"/>
            <x v="8"/>
            <x v="18"/>
            <x v="22"/>
            <x v="23"/>
            <x v="24"/>
            <x v="26"/>
            <x v="31"/>
            <x v="32"/>
            <x v="36"/>
            <x v="38"/>
            <x v="39"/>
            <x v="42"/>
            <x v="43"/>
            <x v="44"/>
            <x v="46"/>
            <x v="50"/>
            <x v="51"/>
            <x v="52"/>
            <x v="55"/>
            <x v="56"/>
            <x v="57"/>
            <x v="58"/>
            <x v="59"/>
            <x v="60"/>
            <x v="61"/>
            <x v="62"/>
            <x v="63"/>
            <x v="65"/>
          </reference>
        </references>
      </pivotArea>
    </format>
    <format dxfId="124">
      <pivotArea dataOnly="0" labelOnly="1" fieldPosition="0">
        <references count="2">
          <reference field="0" count="1" selected="0">
            <x v="3"/>
          </reference>
          <reference field="2" count="31">
            <x v="0"/>
            <x v="4"/>
            <x v="5"/>
            <x v="6"/>
            <x v="10"/>
            <x v="11"/>
            <x v="12"/>
            <x v="13"/>
            <x v="14"/>
            <x v="15"/>
            <x v="16"/>
            <x v="17"/>
            <x v="21"/>
            <x v="25"/>
            <x v="26"/>
            <x v="27"/>
            <x v="28"/>
            <x v="29"/>
            <x v="30"/>
            <x v="33"/>
            <x v="34"/>
            <x v="35"/>
            <x v="37"/>
            <x v="40"/>
            <x v="41"/>
            <x v="45"/>
            <x v="47"/>
            <x v="48"/>
            <x v="53"/>
            <x v="54"/>
            <x v="64"/>
          </reference>
        </references>
      </pivotArea>
    </format>
    <format dxfId="123">
      <pivotArea dataOnly="0" labelOnly="1" fieldPosition="0">
        <references count="1">
          <reference field="8" count="0"/>
        </references>
      </pivotArea>
    </format>
    <format dxfId="122">
      <pivotArea dataOnly="0" labelOnly="1" grandCol="1" outline="0" fieldPosition="0"/>
    </format>
  </format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AE5AF-C59F-43BD-B22B-F02921AE443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D18" firstHeaderRow="1" firstDataRow="2" firstDataCol="1"/>
  <pivotFields count="10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Value (maximum 2 decimal)" fld="6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921C8-C1F0-41EC-B56B-335472C5DB98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10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Value (maximum 2 decimal)" fld="6" baseField="0" baseItem="0" numFmtId="172"/>
  </dataFields>
  <formats count="1">
    <format dxfId="1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C52E7-BFC8-4A81-BDEC-7BF1972C3A3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2" firstHeaderRow="1" firstDataRow="1" firstDataCol="1"/>
  <pivotFields count="5">
    <pivotField axis="axisRow" showAll="0">
      <items count="39">
        <item x="6"/>
        <item x="0"/>
        <item x="11"/>
        <item x="16"/>
        <item x="13"/>
        <item x="10"/>
        <item x="8"/>
        <item x="9"/>
        <item x="3"/>
        <item x="7"/>
        <item x="18"/>
        <item x="14"/>
        <item x="31"/>
        <item x="32"/>
        <item x="5"/>
        <item x="15"/>
        <item x="1"/>
        <item x="17"/>
        <item x="12"/>
        <item x="4"/>
        <item x="2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3"/>
        <item x="34"/>
        <item x="35"/>
        <item x="36"/>
        <item x="37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Sum of Bill Amount" fld="4" baseField="0" baseItem="0" numFmtId="172"/>
  </dataFields>
  <formats count="2">
    <format dxfId="120">
      <pivotArea outline="0" collapsedLevelsAreSubtotals="1" fieldPosition="0"/>
    </format>
    <format dxfId="1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48"/>
  <sheetViews>
    <sheetView workbookViewId="0"/>
  </sheetViews>
  <sheetFormatPr defaultRowHeight="14.5" x14ac:dyDescent="0.35"/>
  <cols>
    <col min="3" max="3" width="34.26953125" bestFit="1" customWidth="1"/>
    <col min="4" max="4" width="17.81640625" bestFit="1" customWidth="1"/>
    <col min="5" max="5" width="16.453125" bestFit="1" customWidth="1"/>
    <col min="6" max="6" width="17.453125" bestFit="1" customWidth="1"/>
    <col min="7" max="7" width="24.26953125" bestFit="1" customWidth="1"/>
    <col min="8" max="8" width="5.7265625" customWidth="1"/>
    <col min="9" max="9" width="6.90625" customWidth="1"/>
  </cols>
  <sheetData>
    <row r="1" spans="1:11" ht="15" thickBot="1" x14ac:dyDescent="0.4">
      <c r="E1">
        <f>COUNT(E3:E648)</f>
        <v>2</v>
      </c>
      <c r="G1" s="47">
        <f>SUBTOTAL(9,G3:G648)/10^0</f>
        <v>980396721.48500049</v>
      </c>
      <c r="H1" s="47"/>
      <c r="I1" s="47"/>
    </row>
    <row r="2" spans="1:11" x14ac:dyDescent="0.35">
      <c r="A2" t="s">
        <v>787</v>
      </c>
      <c r="B2" t="s">
        <v>478</v>
      </c>
      <c r="C2" s="27" t="s">
        <v>472</v>
      </c>
      <c r="D2" s="28" t="s">
        <v>473</v>
      </c>
      <c r="E2" s="29" t="s">
        <v>474</v>
      </c>
      <c r="F2" s="28" t="s">
        <v>475</v>
      </c>
      <c r="G2" s="30" t="s">
        <v>476</v>
      </c>
      <c r="H2" s="30"/>
      <c r="I2" s="30"/>
      <c r="J2" s="31" t="s">
        <v>483</v>
      </c>
      <c r="K2" s="32" t="s">
        <v>484</v>
      </c>
    </row>
    <row r="3" spans="1:11" x14ac:dyDescent="0.35">
      <c r="A3" t="s">
        <v>790</v>
      </c>
      <c r="B3" t="s">
        <v>477</v>
      </c>
      <c r="C3" s="1" t="s">
        <v>0</v>
      </c>
      <c r="D3" s="2" t="s">
        <v>1</v>
      </c>
      <c r="E3" s="3" t="s">
        <v>2</v>
      </c>
      <c r="F3" s="4">
        <v>44653</v>
      </c>
      <c r="G3" s="5">
        <v>82517.399999999994</v>
      </c>
      <c r="H3" s="50" t="s">
        <v>791</v>
      </c>
      <c r="I3" t="s">
        <v>790</v>
      </c>
      <c r="J3">
        <v>305</v>
      </c>
      <c r="K3" t="s">
        <v>479</v>
      </c>
    </row>
    <row r="4" spans="1:11" x14ac:dyDescent="0.35">
      <c r="A4" t="s">
        <v>790</v>
      </c>
      <c r="B4" t="s">
        <v>477</v>
      </c>
      <c r="C4" s="1" t="s">
        <v>3</v>
      </c>
      <c r="D4" s="2" t="s">
        <v>4</v>
      </c>
      <c r="E4" s="3">
        <v>754</v>
      </c>
      <c r="F4" s="4">
        <v>44853</v>
      </c>
      <c r="G4" s="5">
        <v>6364.8100000000559</v>
      </c>
      <c r="H4" s="50" t="s">
        <v>791</v>
      </c>
      <c r="I4" t="s">
        <v>790</v>
      </c>
      <c r="J4">
        <v>105</v>
      </c>
      <c r="K4" t="s">
        <v>480</v>
      </c>
    </row>
    <row r="5" spans="1:11" x14ac:dyDescent="0.35">
      <c r="A5" t="s">
        <v>790</v>
      </c>
      <c r="B5" t="s">
        <v>477</v>
      </c>
      <c r="C5" s="1" t="s">
        <v>5</v>
      </c>
      <c r="D5" s="2" t="s">
        <v>6</v>
      </c>
      <c r="E5" s="3">
        <v>770</v>
      </c>
      <c r="F5" s="4">
        <v>44855</v>
      </c>
      <c r="G5" s="6">
        <v>14691</v>
      </c>
      <c r="H5" s="50" t="s">
        <v>791</v>
      </c>
      <c r="I5" t="s">
        <v>790</v>
      </c>
      <c r="J5">
        <v>103</v>
      </c>
      <c r="K5" t="s">
        <v>480</v>
      </c>
    </row>
    <row r="6" spans="1:11" x14ac:dyDescent="0.35">
      <c r="A6" t="s">
        <v>790</v>
      </c>
      <c r="B6" t="s">
        <v>477</v>
      </c>
      <c r="C6" s="1" t="s">
        <v>7</v>
      </c>
      <c r="D6" s="2" t="s">
        <v>8</v>
      </c>
      <c r="E6" s="2" t="s">
        <v>9</v>
      </c>
      <c r="F6" s="7">
        <v>44874</v>
      </c>
      <c r="G6" s="8">
        <v>48139.81</v>
      </c>
      <c r="H6" s="50" t="s">
        <v>791</v>
      </c>
      <c r="I6" t="s">
        <v>790</v>
      </c>
      <c r="J6">
        <v>84</v>
      </c>
      <c r="K6" t="s">
        <v>481</v>
      </c>
    </row>
    <row r="7" spans="1:11" x14ac:dyDescent="0.35">
      <c r="A7" t="s">
        <v>790</v>
      </c>
      <c r="B7" t="s">
        <v>477</v>
      </c>
      <c r="C7" s="9" t="s">
        <v>10</v>
      </c>
      <c r="D7" s="2" t="s">
        <v>11</v>
      </c>
      <c r="E7" s="10" t="s">
        <v>12</v>
      </c>
      <c r="F7" s="4">
        <v>44893</v>
      </c>
      <c r="G7" s="8">
        <v>15920</v>
      </c>
      <c r="H7" s="50" t="s">
        <v>791</v>
      </c>
      <c r="I7" t="s">
        <v>790</v>
      </c>
      <c r="J7">
        <v>65</v>
      </c>
      <c r="K7" t="s">
        <v>481</v>
      </c>
    </row>
    <row r="8" spans="1:11" x14ac:dyDescent="0.35">
      <c r="A8" t="s">
        <v>790</v>
      </c>
      <c r="B8" t="s">
        <v>477</v>
      </c>
      <c r="C8" s="1" t="s">
        <v>13</v>
      </c>
      <c r="D8" s="2" t="s">
        <v>14</v>
      </c>
      <c r="E8" s="3" t="s">
        <v>15</v>
      </c>
      <c r="F8" s="4">
        <v>44337</v>
      </c>
      <c r="G8" s="8">
        <v>81031.210000000006</v>
      </c>
      <c r="H8" s="50" t="s">
        <v>791</v>
      </c>
      <c r="I8" t="s">
        <v>790</v>
      </c>
      <c r="J8">
        <v>621</v>
      </c>
      <c r="K8" t="s">
        <v>479</v>
      </c>
    </row>
    <row r="9" spans="1:11" x14ac:dyDescent="0.35">
      <c r="A9" t="s">
        <v>790</v>
      </c>
      <c r="B9" t="s">
        <v>477</v>
      </c>
      <c r="C9" s="1" t="s">
        <v>16</v>
      </c>
      <c r="D9" s="2" t="s">
        <v>17</v>
      </c>
      <c r="E9" s="10" t="s">
        <v>18</v>
      </c>
      <c r="F9" s="7">
        <v>44874</v>
      </c>
      <c r="G9" s="11">
        <v>378034.9</v>
      </c>
      <c r="H9" s="50" t="s">
        <v>791</v>
      </c>
      <c r="I9" t="s">
        <v>790</v>
      </c>
      <c r="J9">
        <v>84</v>
      </c>
      <c r="K9" t="s">
        <v>481</v>
      </c>
    </row>
    <row r="10" spans="1:11" x14ac:dyDescent="0.35">
      <c r="A10" t="s">
        <v>790</v>
      </c>
      <c r="B10" t="s">
        <v>477</v>
      </c>
      <c r="C10" s="1" t="s">
        <v>16</v>
      </c>
      <c r="D10" s="2" t="s">
        <v>17</v>
      </c>
      <c r="E10" s="10" t="s">
        <v>19</v>
      </c>
      <c r="F10" s="7">
        <v>44892</v>
      </c>
      <c r="G10" s="11">
        <v>932696.82</v>
      </c>
      <c r="H10" s="50" t="s">
        <v>791</v>
      </c>
      <c r="I10" t="s">
        <v>790</v>
      </c>
      <c r="J10">
        <v>66</v>
      </c>
      <c r="K10" t="s">
        <v>481</v>
      </c>
    </row>
    <row r="11" spans="1:11" x14ac:dyDescent="0.35">
      <c r="A11" t="s">
        <v>790</v>
      </c>
      <c r="B11" t="s">
        <v>477</v>
      </c>
      <c r="C11" s="1" t="s">
        <v>20</v>
      </c>
      <c r="D11" s="2" t="s">
        <v>21</v>
      </c>
      <c r="E11" s="3" t="s">
        <v>22</v>
      </c>
      <c r="F11" s="4">
        <v>44600</v>
      </c>
      <c r="G11" s="8">
        <v>978730</v>
      </c>
      <c r="H11" s="50" t="s">
        <v>791</v>
      </c>
      <c r="I11" t="s">
        <v>790</v>
      </c>
      <c r="J11">
        <v>358</v>
      </c>
      <c r="K11" t="s">
        <v>479</v>
      </c>
    </row>
    <row r="12" spans="1:11" x14ac:dyDescent="0.35">
      <c r="A12" t="s">
        <v>790</v>
      </c>
      <c r="B12" t="s">
        <v>477</v>
      </c>
      <c r="C12" s="1" t="s">
        <v>20</v>
      </c>
      <c r="D12" s="2" t="s">
        <v>21</v>
      </c>
      <c r="E12" s="3" t="s">
        <v>23</v>
      </c>
      <c r="F12" s="4">
        <v>44600</v>
      </c>
      <c r="G12" s="8">
        <v>1039965</v>
      </c>
      <c r="H12" s="50" t="s">
        <v>791</v>
      </c>
      <c r="I12" t="s">
        <v>790</v>
      </c>
      <c r="J12">
        <v>358</v>
      </c>
      <c r="K12" t="s">
        <v>479</v>
      </c>
    </row>
    <row r="13" spans="1:11" x14ac:dyDescent="0.35">
      <c r="A13" t="s">
        <v>790</v>
      </c>
      <c r="B13" t="s">
        <v>477</v>
      </c>
      <c r="C13" s="1" t="s">
        <v>20</v>
      </c>
      <c r="D13" s="2" t="s">
        <v>21</v>
      </c>
      <c r="E13" s="3" t="s">
        <v>24</v>
      </c>
      <c r="F13" s="4">
        <v>44607</v>
      </c>
      <c r="G13" s="8">
        <v>1160694.02</v>
      </c>
      <c r="H13" s="50" t="s">
        <v>791</v>
      </c>
      <c r="I13" t="s">
        <v>790</v>
      </c>
      <c r="J13">
        <v>351</v>
      </c>
      <c r="K13" t="s">
        <v>479</v>
      </c>
    </row>
    <row r="14" spans="1:11" x14ac:dyDescent="0.35">
      <c r="A14" t="s">
        <v>790</v>
      </c>
      <c r="B14" t="s">
        <v>477</v>
      </c>
      <c r="C14" s="1" t="s">
        <v>20</v>
      </c>
      <c r="D14" s="2" t="s">
        <v>21</v>
      </c>
      <c r="E14" s="3" t="s">
        <v>25</v>
      </c>
      <c r="F14" s="4">
        <v>44613</v>
      </c>
      <c r="G14" s="8">
        <v>1075361.1399999999</v>
      </c>
      <c r="H14" s="50" t="s">
        <v>791</v>
      </c>
      <c r="I14" t="s">
        <v>790</v>
      </c>
      <c r="J14">
        <v>345</v>
      </c>
      <c r="K14" t="s">
        <v>479</v>
      </c>
    </row>
    <row r="15" spans="1:11" x14ac:dyDescent="0.35">
      <c r="A15" t="s">
        <v>790</v>
      </c>
      <c r="B15" t="s">
        <v>477</v>
      </c>
      <c r="C15" s="1" t="s">
        <v>26</v>
      </c>
      <c r="D15" s="2" t="s">
        <v>27</v>
      </c>
      <c r="E15" s="10" t="s">
        <v>28</v>
      </c>
      <c r="F15" s="7">
        <v>44823</v>
      </c>
      <c r="G15" s="8">
        <v>337559.54</v>
      </c>
      <c r="H15" s="50" t="s">
        <v>791</v>
      </c>
      <c r="I15" t="s">
        <v>790</v>
      </c>
      <c r="J15">
        <v>135</v>
      </c>
      <c r="K15" t="s">
        <v>482</v>
      </c>
    </row>
    <row r="16" spans="1:11" x14ac:dyDescent="0.35">
      <c r="A16" t="s">
        <v>790</v>
      </c>
      <c r="B16" t="s">
        <v>477</v>
      </c>
      <c r="C16" s="1" t="s">
        <v>29</v>
      </c>
      <c r="D16" s="2" t="s">
        <v>30</v>
      </c>
      <c r="E16" s="3" t="s">
        <v>31</v>
      </c>
      <c r="F16" s="4">
        <v>43651</v>
      </c>
      <c r="G16" s="8">
        <v>390776.34</v>
      </c>
      <c r="H16" s="50" t="s">
        <v>791</v>
      </c>
      <c r="I16" t="s">
        <v>790</v>
      </c>
      <c r="J16">
        <v>1307</v>
      </c>
      <c r="K16" t="s">
        <v>479</v>
      </c>
    </row>
    <row r="17" spans="1:11" x14ac:dyDescent="0.35">
      <c r="A17" t="s">
        <v>790</v>
      </c>
      <c r="B17" t="s">
        <v>477</v>
      </c>
      <c r="C17" s="1" t="s">
        <v>32</v>
      </c>
      <c r="D17" s="2" t="s">
        <v>33</v>
      </c>
      <c r="E17" s="3" t="s">
        <v>34</v>
      </c>
      <c r="F17" s="4">
        <v>44732</v>
      </c>
      <c r="G17" s="8">
        <v>406</v>
      </c>
      <c r="H17" s="50" t="s">
        <v>791</v>
      </c>
      <c r="I17" t="s">
        <v>790</v>
      </c>
      <c r="J17">
        <v>226</v>
      </c>
      <c r="K17" t="s">
        <v>479</v>
      </c>
    </row>
    <row r="18" spans="1:11" x14ac:dyDescent="0.35">
      <c r="A18" t="s">
        <v>790</v>
      </c>
      <c r="B18" t="s">
        <v>477</v>
      </c>
      <c r="C18" s="1" t="s">
        <v>35</v>
      </c>
      <c r="D18" s="2" t="s">
        <v>36</v>
      </c>
      <c r="E18" s="2" t="s">
        <v>37</v>
      </c>
      <c r="F18" s="4">
        <v>44842</v>
      </c>
      <c r="G18" s="8">
        <v>117018</v>
      </c>
      <c r="H18" s="50" t="s">
        <v>791</v>
      </c>
      <c r="I18" t="s">
        <v>790</v>
      </c>
      <c r="J18">
        <v>116</v>
      </c>
      <c r="K18" t="s">
        <v>480</v>
      </c>
    </row>
    <row r="19" spans="1:11" x14ac:dyDescent="0.35">
      <c r="A19" t="s">
        <v>790</v>
      </c>
      <c r="B19" t="s">
        <v>477</v>
      </c>
      <c r="C19" s="1" t="s">
        <v>38</v>
      </c>
      <c r="D19" s="2" t="s">
        <v>39</v>
      </c>
      <c r="E19" s="2" t="s">
        <v>40</v>
      </c>
      <c r="F19" s="4">
        <v>42760</v>
      </c>
      <c r="G19" s="8">
        <v>1507988</v>
      </c>
      <c r="H19" s="50" t="s">
        <v>791</v>
      </c>
      <c r="I19" t="s">
        <v>790</v>
      </c>
      <c r="J19">
        <v>2198</v>
      </c>
      <c r="K19" t="s">
        <v>479</v>
      </c>
    </row>
    <row r="20" spans="1:11" x14ac:dyDescent="0.35">
      <c r="A20" t="s">
        <v>790</v>
      </c>
      <c r="B20" t="s">
        <v>477</v>
      </c>
      <c r="C20" s="1" t="s">
        <v>38</v>
      </c>
      <c r="D20" s="2" t="s">
        <v>39</v>
      </c>
      <c r="E20" s="2" t="s">
        <v>41</v>
      </c>
      <c r="F20" s="4">
        <v>42776</v>
      </c>
      <c r="G20" s="8">
        <v>2089970</v>
      </c>
      <c r="H20" s="50" t="s">
        <v>791</v>
      </c>
      <c r="I20" t="s">
        <v>790</v>
      </c>
      <c r="J20">
        <v>2182</v>
      </c>
      <c r="K20" t="s">
        <v>479</v>
      </c>
    </row>
    <row r="21" spans="1:11" x14ac:dyDescent="0.35">
      <c r="A21" t="s">
        <v>790</v>
      </c>
      <c r="B21" t="s">
        <v>477</v>
      </c>
      <c r="C21" s="9" t="s">
        <v>42</v>
      </c>
      <c r="D21" s="2" t="s">
        <v>43</v>
      </c>
      <c r="E21" s="10" t="s">
        <v>44</v>
      </c>
      <c r="F21" s="7">
        <v>44880</v>
      </c>
      <c r="G21" s="8">
        <v>73514</v>
      </c>
      <c r="H21" s="50" t="s">
        <v>791</v>
      </c>
      <c r="I21" t="s">
        <v>790</v>
      </c>
      <c r="J21">
        <v>78</v>
      </c>
      <c r="K21" t="s">
        <v>481</v>
      </c>
    </row>
    <row r="22" spans="1:11" x14ac:dyDescent="0.35">
      <c r="A22" t="s">
        <v>790</v>
      </c>
      <c r="B22" t="s">
        <v>477</v>
      </c>
      <c r="C22" s="1" t="s">
        <v>45</v>
      </c>
      <c r="D22" s="2" t="s">
        <v>46</v>
      </c>
      <c r="E22" s="2" t="s">
        <v>47</v>
      </c>
      <c r="F22" s="4">
        <v>44520</v>
      </c>
      <c r="G22" s="8">
        <v>10902</v>
      </c>
      <c r="H22" s="50" t="s">
        <v>791</v>
      </c>
      <c r="I22" t="s">
        <v>790</v>
      </c>
      <c r="J22">
        <v>438</v>
      </c>
      <c r="K22" t="s">
        <v>479</v>
      </c>
    </row>
    <row r="23" spans="1:11" x14ac:dyDescent="0.35">
      <c r="A23" t="s">
        <v>790</v>
      </c>
      <c r="B23" t="s">
        <v>477</v>
      </c>
      <c r="C23" s="1" t="s">
        <v>48</v>
      </c>
      <c r="D23" s="2" t="s">
        <v>49</v>
      </c>
      <c r="E23" s="2" t="s">
        <v>50</v>
      </c>
      <c r="F23" s="4">
        <v>44777</v>
      </c>
      <c r="G23" s="8">
        <v>772.86999999999534</v>
      </c>
      <c r="H23" s="50" t="s">
        <v>791</v>
      </c>
      <c r="I23" t="s">
        <v>790</v>
      </c>
      <c r="J23">
        <v>181</v>
      </c>
      <c r="K23" t="s">
        <v>479</v>
      </c>
    </row>
    <row r="24" spans="1:11" x14ac:dyDescent="0.35">
      <c r="A24" t="s">
        <v>790</v>
      </c>
      <c r="B24" t="s">
        <v>477</v>
      </c>
      <c r="C24" s="1" t="s">
        <v>51</v>
      </c>
      <c r="D24" s="2" t="s">
        <v>52</v>
      </c>
      <c r="E24" s="2" t="s">
        <v>53</v>
      </c>
      <c r="F24" s="4">
        <v>44798</v>
      </c>
      <c r="G24" s="8">
        <v>13295</v>
      </c>
      <c r="H24" s="50" t="s">
        <v>791</v>
      </c>
      <c r="I24" t="s">
        <v>790</v>
      </c>
      <c r="J24">
        <v>160</v>
      </c>
      <c r="K24" t="s">
        <v>482</v>
      </c>
    </row>
    <row r="25" spans="1:11" x14ac:dyDescent="0.35">
      <c r="A25" t="s">
        <v>790</v>
      </c>
      <c r="B25" t="s">
        <v>477</v>
      </c>
      <c r="C25" s="1" t="s">
        <v>54</v>
      </c>
      <c r="D25" s="2" t="s">
        <v>52</v>
      </c>
      <c r="E25" s="10" t="s">
        <v>55</v>
      </c>
      <c r="F25" s="7">
        <v>44882</v>
      </c>
      <c r="G25" s="11">
        <v>4899</v>
      </c>
      <c r="H25" s="50" t="s">
        <v>791</v>
      </c>
      <c r="I25" t="s">
        <v>790</v>
      </c>
      <c r="J25">
        <v>76</v>
      </c>
      <c r="K25" t="s">
        <v>481</v>
      </c>
    </row>
    <row r="26" spans="1:11" x14ac:dyDescent="0.35">
      <c r="A26" t="s">
        <v>790</v>
      </c>
      <c r="B26" t="s">
        <v>477</v>
      </c>
      <c r="C26" s="1" t="s">
        <v>56</v>
      </c>
      <c r="D26" s="2" t="s">
        <v>57</v>
      </c>
      <c r="E26" s="10" t="s">
        <v>58</v>
      </c>
      <c r="F26" s="7">
        <v>44876</v>
      </c>
      <c r="G26" s="12">
        <v>4276800</v>
      </c>
      <c r="H26" s="50" t="s">
        <v>791</v>
      </c>
      <c r="I26" t="s">
        <v>790</v>
      </c>
      <c r="J26">
        <v>82</v>
      </c>
      <c r="K26" t="s">
        <v>481</v>
      </c>
    </row>
    <row r="27" spans="1:11" x14ac:dyDescent="0.35">
      <c r="A27" t="s">
        <v>790</v>
      </c>
      <c r="B27" t="s">
        <v>477</v>
      </c>
      <c r="C27" s="1" t="s">
        <v>56</v>
      </c>
      <c r="D27" s="2" t="s">
        <v>57</v>
      </c>
      <c r="E27" s="10" t="s">
        <v>59</v>
      </c>
      <c r="F27" s="7">
        <v>44878</v>
      </c>
      <c r="G27" s="12">
        <v>211353.89</v>
      </c>
      <c r="H27" s="50" t="s">
        <v>791</v>
      </c>
      <c r="I27" t="s">
        <v>790</v>
      </c>
      <c r="J27">
        <v>80</v>
      </c>
      <c r="K27" t="s">
        <v>481</v>
      </c>
    </row>
    <row r="28" spans="1:11" x14ac:dyDescent="0.35">
      <c r="A28" t="s">
        <v>790</v>
      </c>
      <c r="B28" t="s">
        <v>477</v>
      </c>
      <c r="C28" s="1" t="s">
        <v>56</v>
      </c>
      <c r="D28" s="2" t="s">
        <v>57</v>
      </c>
      <c r="E28" s="10" t="s">
        <v>60</v>
      </c>
      <c r="F28" s="7">
        <v>44878</v>
      </c>
      <c r="G28" s="12">
        <v>2546.8000000000002</v>
      </c>
      <c r="H28" s="50" t="s">
        <v>791</v>
      </c>
      <c r="I28" t="s">
        <v>790</v>
      </c>
      <c r="J28">
        <v>80</v>
      </c>
      <c r="K28" t="s">
        <v>481</v>
      </c>
    </row>
    <row r="29" spans="1:11" x14ac:dyDescent="0.35">
      <c r="A29" t="s">
        <v>790</v>
      </c>
      <c r="B29" t="s">
        <v>477</v>
      </c>
      <c r="C29" s="1" t="s">
        <v>56</v>
      </c>
      <c r="D29" s="2" t="s">
        <v>57</v>
      </c>
      <c r="E29" s="10" t="s">
        <v>61</v>
      </c>
      <c r="F29" s="7">
        <v>44878</v>
      </c>
      <c r="G29" s="12">
        <v>1327716.6000000001</v>
      </c>
      <c r="H29" s="50" t="s">
        <v>791</v>
      </c>
      <c r="I29" t="s">
        <v>790</v>
      </c>
      <c r="J29">
        <v>80</v>
      </c>
      <c r="K29" t="s">
        <v>481</v>
      </c>
    </row>
    <row r="30" spans="1:11" x14ac:dyDescent="0.35">
      <c r="A30" t="s">
        <v>790</v>
      </c>
      <c r="B30" t="s">
        <v>477</v>
      </c>
      <c r="C30" s="1" t="s">
        <v>56</v>
      </c>
      <c r="D30" s="2" t="s">
        <v>57</v>
      </c>
      <c r="E30" s="10" t="s">
        <v>62</v>
      </c>
      <c r="F30" s="7">
        <v>44878</v>
      </c>
      <c r="G30" s="12">
        <v>5324.16</v>
      </c>
      <c r="H30" s="50" t="s">
        <v>791</v>
      </c>
      <c r="I30" t="s">
        <v>790</v>
      </c>
      <c r="J30">
        <v>80</v>
      </c>
      <c r="K30" t="s">
        <v>481</v>
      </c>
    </row>
    <row r="31" spans="1:11" x14ac:dyDescent="0.35">
      <c r="A31" t="s">
        <v>790</v>
      </c>
      <c r="B31" t="s">
        <v>477</v>
      </c>
      <c r="C31" s="1" t="s">
        <v>56</v>
      </c>
      <c r="D31" s="2" t="s">
        <v>57</v>
      </c>
      <c r="E31" s="10" t="s">
        <v>63</v>
      </c>
      <c r="F31" s="7">
        <v>44879</v>
      </c>
      <c r="G31" s="12">
        <v>563310.98</v>
      </c>
      <c r="H31" s="50" t="s">
        <v>791</v>
      </c>
      <c r="I31" t="s">
        <v>790</v>
      </c>
      <c r="J31">
        <v>79</v>
      </c>
      <c r="K31" t="s">
        <v>481</v>
      </c>
    </row>
    <row r="32" spans="1:11" x14ac:dyDescent="0.35">
      <c r="A32" t="s">
        <v>790</v>
      </c>
      <c r="B32" t="s">
        <v>477</v>
      </c>
      <c r="C32" s="1" t="s">
        <v>56</v>
      </c>
      <c r="D32" s="2" t="s">
        <v>57</v>
      </c>
      <c r="E32" s="10" t="s">
        <v>64</v>
      </c>
      <c r="F32" s="7">
        <v>44879</v>
      </c>
      <c r="G32" s="12">
        <v>6225.4</v>
      </c>
      <c r="H32" s="50" t="s">
        <v>791</v>
      </c>
      <c r="I32" t="s">
        <v>790</v>
      </c>
      <c r="J32">
        <v>79</v>
      </c>
      <c r="K32" t="s">
        <v>481</v>
      </c>
    </row>
    <row r="33" spans="1:11" x14ac:dyDescent="0.35">
      <c r="A33" t="s">
        <v>790</v>
      </c>
      <c r="B33" t="s">
        <v>477</v>
      </c>
      <c r="C33" s="1" t="s">
        <v>56</v>
      </c>
      <c r="D33" s="2" t="s">
        <v>57</v>
      </c>
      <c r="E33" s="10" t="s">
        <v>65</v>
      </c>
      <c r="F33" s="7">
        <v>44879</v>
      </c>
      <c r="G33" s="12">
        <v>1299252.22</v>
      </c>
      <c r="H33" s="50" t="s">
        <v>791</v>
      </c>
      <c r="I33" t="s">
        <v>790</v>
      </c>
      <c r="J33">
        <v>79</v>
      </c>
      <c r="K33" t="s">
        <v>481</v>
      </c>
    </row>
    <row r="34" spans="1:11" x14ac:dyDescent="0.35">
      <c r="A34" t="s">
        <v>790</v>
      </c>
      <c r="B34" t="s">
        <v>477</v>
      </c>
      <c r="C34" s="1" t="s">
        <v>56</v>
      </c>
      <c r="D34" s="2" t="s">
        <v>57</v>
      </c>
      <c r="E34" s="10" t="s">
        <v>66</v>
      </c>
      <c r="F34" s="7">
        <v>44880</v>
      </c>
      <c r="G34" s="12">
        <v>348640.9</v>
      </c>
      <c r="H34" s="50" t="s">
        <v>791</v>
      </c>
      <c r="I34" t="s">
        <v>790</v>
      </c>
      <c r="J34">
        <v>78</v>
      </c>
      <c r="K34" t="s">
        <v>481</v>
      </c>
    </row>
    <row r="35" spans="1:11" x14ac:dyDescent="0.35">
      <c r="A35" t="s">
        <v>790</v>
      </c>
      <c r="B35" t="s">
        <v>477</v>
      </c>
      <c r="C35" s="1" t="s">
        <v>56</v>
      </c>
      <c r="D35" s="2" t="s">
        <v>57</v>
      </c>
      <c r="E35" s="10" t="s">
        <v>67</v>
      </c>
      <c r="F35" s="7">
        <v>44880</v>
      </c>
      <c r="G35" s="12">
        <v>5489.08</v>
      </c>
      <c r="H35" s="50" t="s">
        <v>791</v>
      </c>
      <c r="I35" t="s">
        <v>790</v>
      </c>
      <c r="J35">
        <v>78</v>
      </c>
      <c r="K35" t="s">
        <v>481</v>
      </c>
    </row>
    <row r="36" spans="1:11" x14ac:dyDescent="0.35">
      <c r="A36" t="s">
        <v>790</v>
      </c>
      <c r="B36" t="s">
        <v>477</v>
      </c>
      <c r="C36" s="1" t="s">
        <v>56</v>
      </c>
      <c r="D36" s="2" t="s">
        <v>57</v>
      </c>
      <c r="E36" s="10" t="s">
        <v>68</v>
      </c>
      <c r="F36" s="7">
        <v>44881</v>
      </c>
      <c r="G36" s="12">
        <v>737965.06</v>
      </c>
      <c r="H36" s="50" t="s">
        <v>791</v>
      </c>
      <c r="I36" t="s">
        <v>790</v>
      </c>
      <c r="J36">
        <v>77</v>
      </c>
      <c r="K36" t="s">
        <v>481</v>
      </c>
    </row>
    <row r="37" spans="1:11" x14ac:dyDescent="0.35">
      <c r="A37" t="s">
        <v>790</v>
      </c>
      <c r="B37" t="s">
        <v>477</v>
      </c>
      <c r="C37" s="1" t="s">
        <v>56</v>
      </c>
      <c r="D37" s="2" t="s">
        <v>57</v>
      </c>
      <c r="E37" s="10" t="s">
        <v>69</v>
      </c>
      <c r="F37" s="7">
        <v>44881</v>
      </c>
      <c r="G37" s="12">
        <v>7922.6</v>
      </c>
      <c r="H37" s="50" t="s">
        <v>791</v>
      </c>
      <c r="I37" t="s">
        <v>790</v>
      </c>
      <c r="J37">
        <v>77</v>
      </c>
      <c r="K37" t="s">
        <v>481</v>
      </c>
    </row>
    <row r="38" spans="1:11" x14ac:dyDescent="0.35">
      <c r="A38" t="s">
        <v>790</v>
      </c>
      <c r="B38" t="s">
        <v>477</v>
      </c>
      <c r="C38" s="1" t="s">
        <v>56</v>
      </c>
      <c r="D38" s="2" t="s">
        <v>57</v>
      </c>
      <c r="E38" s="10" t="s">
        <v>70</v>
      </c>
      <c r="F38" s="7">
        <v>44881</v>
      </c>
      <c r="G38" s="12">
        <v>230482.87</v>
      </c>
      <c r="H38" s="50" t="s">
        <v>791</v>
      </c>
      <c r="I38" t="s">
        <v>790</v>
      </c>
      <c r="J38">
        <v>77</v>
      </c>
      <c r="K38" t="s">
        <v>481</v>
      </c>
    </row>
    <row r="39" spans="1:11" x14ac:dyDescent="0.35">
      <c r="A39" t="s">
        <v>790</v>
      </c>
      <c r="B39" t="s">
        <v>477</v>
      </c>
      <c r="C39" s="1" t="s">
        <v>56</v>
      </c>
      <c r="D39" s="2" t="s">
        <v>57</v>
      </c>
      <c r="E39" s="10" t="s">
        <v>71</v>
      </c>
      <c r="F39" s="7">
        <v>44881</v>
      </c>
      <c r="G39" s="12">
        <v>16034.4</v>
      </c>
      <c r="H39" s="50" t="s">
        <v>791</v>
      </c>
      <c r="I39" t="s">
        <v>790</v>
      </c>
      <c r="J39">
        <v>77</v>
      </c>
      <c r="K39" t="s">
        <v>481</v>
      </c>
    </row>
    <row r="40" spans="1:11" x14ac:dyDescent="0.35">
      <c r="A40" t="s">
        <v>790</v>
      </c>
      <c r="B40" t="s">
        <v>477</v>
      </c>
      <c r="C40" s="1" t="s">
        <v>56</v>
      </c>
      <c r="D40" s="2" t="s">
        <v>57</v>
      </c>
      <c r="E40" s="10" t="s">
        <v>72</v>
      </c>
      <c r="F40" s="7">
        <v>44882</v>
      </c>
      <c r="G40" s="12">
        <v>120237.56</v>
      </c>
      <c r="H40" s="50" t="s">
        <v>791</v>
      </c>
      <c r="I40" t="s">
        <v>790</v>
      </c>
      <c r="J40">
        <v>76</v>
      </c>
      <c r="K40" t="s">
        <v>481</v>
      </c>
    </row>
    <row r="41" spans="1:11" x14ac:dyDescent="0.35">
      <c r="A41" t="s">
        <v>790</v>
      </c>
      <c r="B41" t="s">
        <v>477</v>
      </c>
      <c r="C41" s="1" t="s">
        <v>56</v>
      </c>
      <c r="D41" s="2" t="s">
        <v>57</v>
      </c>
      <c r="E41" s="10" t="s">
        <v>73</v>
      </c>
      <c r="F41" s="7">
        <v>44882</v>
      </c>
      <c r="G41" s="12">
        <v>368560.02</v>
      </c>
      <c r="H41" s="50" t="s">
        <v>791</v>
      </c>
      <c r="I41" t="s">
        <v>790</v>
      </c>
      <c r="J41">
        <v>76</v>
      </c>
      <c r="K41" t="s">
        <v>481</v>
      </c>
    </row>
    <row r="42" spans="1:11" x14ac:dyDescent="0.35">
      <c r="A42" t="s">
        <v>790</v>
      </c>
      <c r="B42" t="s">
        <v>477</v>
      </c>
      <c r="C42" s="1" t="s">
        <v>56</v>
      </c>
      <c r="D42" s="2" t="s">
        <v>57</v>
      </c>
      <c r="E42" s="10" t="s">
        <v>74</v>
      </c>
      <c r="F42" s="7">
        <v>44882</v>
      </c>
      <c r="G42" s="12">
        <v>9790.7199999999993</v>
      </c>
      <c r="H42" s="50" t="s">
        <v>791</v>
      </c>
      <c r="I42" t="s">
        <v>790</v>
      </c>
      <c r="J42">
        <v>76</v>
      </c>
      <c r="K42" t="s">
        <v>481</v>
      </c>
    </row>
    <row r="43" spans="1:11" x14ac:dyDescent="0.35">
      <c r="A43" t="s">
        <v>790</v>
      </c>
      <c r="B43" t="s">
        <v>477</v>
      </c>
      <c r="C43" s="1" t="s">
        <v>56</v>
      </c>
      <c r="D43" s="2" t="s">
        <v>57</v>
      </c>
      <c r="E43" s="10" t="s">
        <v>75</v>
      </c>
      <c r="F43" s="7">
        <v>44882</v>
      </c>
      <c r="G43" s="12">
        <v>52348</v>
      </c>
      <c r="H43" s="50" t="s">
        <v>791</v>
      </c>
      <c r="I43" t="s">
        <v>790</v>
      </c>
      <c r="J43">
        <v>76</v>
      </c>
      <c r="K43" t="s">
        <v>481</v>
      </c>
    </row>
    <row r="44" spans="1:11" x14ac:dyDescent="0.35">
      <c r="A44" t="s">
        <v>790</v>
      </c>
      <c r="B44" t="s">
        <v>477</v>
      </c>
      <c r="C44" s="1" t="s">
        <v>56</v>
      </c>
      <c r="D44" s="2" t="s">
        <v>57</v>
      </c>
      <c r="E44" s="10" t="s">
        <v>76</v>
      </c>
      <c r="F44" s="7">
        <v>44882</v>
      </c>
      <c r="G44" s="12">
        <v>331063</v>
      </c>
      <c r="H44" s="50" t="s">
        <v>791</v>
      </c>
      <c r="I44" t="s">
        <v>790</v>
      </c>
      <c r="J44">
        <v>76</v>
      </c>
      <c r="K44" t="s">
        <v>481</v>
      </c>
    </row>
    <row r="45" spans="1:11" x14ac:dyDescent="0.35">
      <c r="A45" t="s">
        <v>790</v>
      </c>
      <c r="B45" t="s">
        <v>477</v>
      </c>
      <c r="C45" s="1" t="s">
        <v>56</v>
      </c>
      <c r="D45" s="2" t="s">
        <v>57</v>
      </c>
      <c r="E45" s="10" t="s">
        <v>77</v>
      </c>
      <c r="F45" s="7">
        <v>44882</v>
      </c>
      <c r="G45" s="12">
        <v>119411.48</v>
      </c>
      <c r="H45" s="50" t="s">
        <v>791</v>
      </c>
      <c r="I45" t="s">
        <v>790</v>
      </c>
      <c r="J45">
        <v>76</v>
      </c>
      <c r="K45" t="s">
        <v>481</v>
      </c>
    </row>
    <row r="46" spans="1:11" x14ac:dyDescent="0.35">
      <c r="A46" t="s">
        <v>790</v>
      </c>
      <c r="B46" t="s">
        <v>477</v>
      </c>
      <c r="C46" s="1" t="s">
        <v>56</v>
      </c>
      <c r="D46" s="2" t="s">
        <v>57</v>
      </c>
      <c r="E46" s="10" t="s">
        <v>78</v>
      </c>
      <c r="F46" s="7">
        <v>44882</v>
      </c>
      <c r="G46" s="12">
        <v>3961.44</v>
      </c>
      <c r="H46" s="50" t="s">
        <v>791</v>
      </c>
      <c r="I46" t="s">
        <v>790</v>
      </c>
      <c r="J46">
        <v>76</v>
      </c>
      <c r="K46" t="s">
        <v>481</v>
      </c>
    </row>
    <row r="47" spans="1:11" x14ac:dyDescent="0.35">
      <c r="A47" t="s">
        <v>790</v>
      </c>
      <c r="B47" t="s">
        <v>477</v>
      </c>
      <c r="C47" s="1" t="s">
        <v>56</v>
      </c>
      <c r="D47" s="2" t="s">
        <v>57</v>
      </c>
      <c r="E47" s="10" t="s">
        <v>79</v>
      </c>
      <c r="F47" s="7">
        <v>44883</v>
      </c>
      <c r="G47" s="12">
        <v>971017.1</v>
      </c>
      <c r="H47" s="50" t="s">
        <v>791</v>
      </c>
      <c r="I47" t="s">
        <v>790</v>
      </c>
      <c r="J47">
        <v>75</v>
      </c>
      <c r="K47" t="s">
        <v>481</v>
      </c>
    </row>
    <row r="48" spans="1:11" x14ac:dyDescent="0.35">
      <c r="A48" t="s">
        <v>790</v>
      </c>
      <c r="B48" t="s">
        <v>477</v>
      </c>
      <c r="C48" s="1" t="s">
        <v>56</v>
      </c>
      <c r="D48" s="2" t="s">
        <v>57</v>
      </c>
      <c r="E48" s="10" t="s">
        <v>80</v>
      </c>
      <c r="F48" s="7">
        <v>44883</v>
      </c>
      <c r="G48" s="12">
        <v>12789.64</v>
      </c>
      <c r="H48" s="50" t="s">
        <v>791</v>
      </c>
      <c r="I48" t="s">
        <v>790</v>
      </c>
      <c r="J48">
        <v>75</v>
      </c>
      <c r="K48" t="s">
        <v>481</v>
      </c>
    </row>
    <row r="49" spans="1:11" x14ac:dyDescent="0.35">
      <c r="A49" t="s">
        <v>790</v>
      </c>
      <c r="B49" t="s">
        <v>477</v>
      </c>
      <c r="C49" s="1" t="s">
        <v>56</v>
      </c>
      <c r="D49" s="2" t="s">
        <v>57</v>
      </c>
      <c r="E49" s="10" t="s">
        <v>81</v>
      </c>
      <c r="F49" s="7">
        <v>44885</v>
      </c>
      <c r="G49" s="12">
        <v>502452.74</v>
      </c>
      <c r="H49" s="50" t="s">
        <v>791</v>
      </c>
      <c r="I49" t="s">
        <v>790</v>
      </c>
      <c r="J49">
        <v>73</v>
      </c>
      <c r="K49" t="s">
        <v>481</v>
      </c>
    </row>
    <row r="50" spans="1:11" x14ac:dyDescent="0.35">
      <c r="A50" t="s">
        <v>790</v>
      </c>
      <c r="B50" t="s">
        <v>477</v>
      </c>
      <c r="C50" s="1" t="s">
        <v>56</v>
      </c>
      <c r="D50" s="2" t="s">
        <v>57</v>
      </c>
      <c r="E50" s="10" t="s">
        <v>82</v>
      </c>
      <c r="F50" s="7">
        <v>44885</v>
      </c>
      <c r="G50" s="12">
        <v>2093.6799999999998</v>
      </c>
      <c r="H50" s="50" t="s">
        <v>791</v>
      </c>
      <c r="I50" t="s">
        <v>790</v>
      </c>
      <c r="J50">
        <v>73</v>
      </c>
      <c r="K50" t="s">
        <v>481</v>
      </c>
    </row>
    <row r="51" spans="1:11" x14ac:dyDescent="0.35">
      <c r="A51" t="s">
        <v>790</v>
      </c>
      <c r="B51" t="s">
        <v>477</v>
      </c>
      <c r="C51" s="1" t="s">
        <v>56</v>
      </c>
      <c r="D51" s="2" t="s">
        <v>57</v>
      </c>
      <c r="E51" s="10" t="s">
        <v>83</v>
      </c>
      <c r="F51" s="7">
        <v>44885</v>
      </c>
      <c r="G51" s="12">
        <v>64962.84</v>
      </c>
      <c r="H51" s="50" t="s">
        <v>791</v>
      </c>
      <c r="I51" t="s">
        <v>790</v>
      </c>
      <c r="J51">
        <v>73</v>
      </c>
      <c r="K51" t="s">
        <v>481</v>
      </c>
    </row>
    <row r="52" spans="1:11" x14ac:dyDescent="0.35">
      <c r="A52" t="s">
        <v>790</v>
      </c>
      <c r="B52" t="s">
        <v>477</v>
      </c>
      <c r="C52" s="1" t="s">
        <v>56</v>
      </c>
      <c r="D52" s="2" t="s">
        <v>57</v>
      </c>
      <c r="E52" s="10" t="s">
        <v>84</v>
      </c>
      <c r="F52" s="7">
        <v>44885</v>
      </c>
      <c r="G52" s="12">
        <v>1301.72</v>
      </c>
      <c r="H52" s="50" t="s">
        <v>791</v>
      </c>
      <c r="I52" t="s">
        <v>790</v>
      </c>
      <c r="J52">
        <v>73</v>
      </c>
      <c r="K52" t="s">
        <v>481</v>
      </c>
    </row>
    <row r="53" spans="1:11" x14ac:dyDescent="0.35">
      <c r="A53" t="s">
        <v>790</v>
      </c>
      <c r="B53" t="s">
        <v>477</v>
      </c>
      <c r="C53" s="1" t="s">
        <v>56</v>
      </c>
      <c r="D53" s="2" t="s">
        <v>57</v>
      </c>
      <c r="E53" s="10" t="s">
        <v>85</v>
      </c>
      <c r="F53" s="7">
        <v>44886</v>
      </c>
      <c r="G53" s="12">
        <v>352051.96</v>
      </c>
      <c r="H53" s="50" t="s">
        <v>791</v>
      </c>
      <c r="I53" t="s">
        <v>790</v>
      </c>
      <c r="J53">
        <v>72</v>
      </c>
      <c r="K53" t="s">
        <v>481</v>
      </c>
    </row>
    <row r="54" spans="1:11" x14ac:dyDescent="0.35">
      <c r="A54" t="s">
        <v>790</v>
      </c>
      <c r="B54" t="s">
        <v>477</v>
      </c>
      <c r="C54" s="1" t="s">
        <v>56</v>
      </c>
      <c r="D54" s="2" t="s">
        <v>57</v>
      </c>
      <c r="E54" s="10" t="s">
        <v>86</v>
      </c>
      <c r="F54" s="7">
        <v>44886</v>
      </c>
      <c r="G54" s="12">
        <v>4130.72</v>
      </c>
      <c r="H54" s="50" t="s">
        <v>791</v>
      </c>
      <c r="I54" t="s">
        <v>790</v>
      </c>
      <c r="J54">
        <v>72</v>
      </c>
      <c r="K54" t="s">
        <v>481</v>
      </c>
    </row>
    <row r="55" spans="1:11" x14ac:dyDescent="0.35">
      <c r="A55" t="s">
        <v>790</v>
      </c>
      <c r="B55" t="s">
        <v>477</v>
      </c>
      <c r="C55" s="1" t="s">
        <v>56</v>
      </c>
      <c r="D55" s="2" t="s">
        <v>57</v>
      </c>
      <c r="E55" s="10" t="s">
        <v>87</v>
      </c>
      <c r="F55" s="7">
        <v>44886</v>
      </c>
      <c r="G55" s="12">
        <v>17873.8</v>
      </c>
      <c r="H55" s="50" t="s">
        <v>791</v>
      </c>
      <c r="I55" t="s">
        <v>790</v>
      </c>
      <c r="J55">
        <v>72</v>
      </c>
      <c r="K55" t="s">
        <v>481</v>
      </c>
    </row>
    <row r="56" spans="1:11" x14ac:dyDescent="0.35">
      <c r="A56" t="s">
        <v>790</v>
      </c>
      <c r="B56" t="s">
        <v>477</v>
      </c>
      <c r="C56" s="1" t="s">
        <v>56</v>
      </c>
      <c r="D56" s="2" t="s">
        <v>57</v>
      </c>
      <c r="E56" s="10" t="s">
        <v>88</v>
      </c>
      <c r="F56" s="7">
        <v>44886</v>
      </c>
      <c r="G56" s="12">
        <v>183261.74</v>
      </c>
      <c r="H56" s="50" t="s">
        <v>791</v>
      </c>
      <c r="I56" t="s">
        <v>790</v>
      </c>
      <c r="J56">
        <v>72</v>
      </c>
      <c r="K56" t="s">
        <v>481</v>
      </c>
    </row>
    <row r="57" spans="1:11" x14ac:dyDescent="0.35">
      <c r="A57" t="s">
        <v>790</v>
      </c>
      <c r="B57" t="s">
        <v>477</v>
      </c>
      <c r="C57" s="1" t="s">
        <v>56</v>
      </c>
      <c r="D57" s="2" t="s">
        <v>57</v>
      </c>
      <c r="E57" s="10" t="s">
        <v>89</v>
      </c>
      <c r="F57" s="7">
        <v>44886</v>
      </c>
      <c r="G57" s="12">
        <v>2490.16</v>
      </c>
      <c r="H57" s="50" t="s">
        <v>791</v>
      </c>
      <c r="I57" t="s">
        <v>790</v>
      </c>
      <c r="J57">
        <v>72</v>
      </c>
      <c r="K57" t="s">
        <v>481</v>
      </c>
    </row>
    <row r="58" spans="1:11" x14ac:dyDescent="0.35">
      <c r="A58" t="s">
        <v>790</v>
      </c>
      <c r="B58" t="s">
        <v>477</v>
      </c>
      <c r="C58" s="1" t="s">
        <v>56</v>
      </c>
      <c r="D58" s="2" t="s">
        <v>57</v>
      </c>
      <c r="E58" s="10" t="s">
        <v>90</v>
      </c>
      <c r="F58" s="7">
        <v>44887</v>
      </c>
      <c r="G58" s="12">
        <v>546937.16</v>
      </c>
      <c r="H58" s="50" t="s">
        <v>791</v>
      </c>
      <c r="I58" t="s">
        <v>790</v>
      </c>
      <c r="J58">
        <v>71</v>
      </c>
      <c r="K58" t="s">
        <v>481</v>
      </c>
    </row>
    <row r="59" spans="1:11" x14ac:dyDescent="0.35">
      <c r="A59" t="s">
        <v>790</v>
      </c>
      <c r="B59" t="s">
        <v>477</v>
      </c>
      <c r="C59" s="1" t="s">
        <v>56</v>
      </c>
      <c r="D59" s="2" t="s">
        <v>57</v>
      </c>
      <c r="E59" s="10" t="s">
        <v>91</v>
      </c>
      <c r="F59" s="7">
        <v>44887</v>
      </c>
      <c r="G59" s="12">
        <v>2093.6799999999998</v>
      </c>
      <c r="H59" s="50" t="s">
        <v>791</v>
      </c>
      <c r="I59" t="s">
        <v>790</v>
      </c>
      <c r="J59">
        <v>71</v>
      </c>
      <c r="K59" t="s">
        <v>481</v>
      </c>
    </row>
    <row r="60" spans="1:11" x14ac:dyDescent="0.35">
      <c r="A60" t="s">
        <v>790</v>
      </c>
      <c r="B60" t="s">
        <v>477</v>
      </c>
      <c r="C60" s="1" t="s">
        <v>56</v>
      </c>
      <c r="D60" s="2" t="s">
        <v>57</v>
      </c>
      <c r="E60" s="10" t="s">
        <v>92</v>
      </c>
      <c r="F60" s="7">
        <v>44888</v>
      </c>
      <c r="G60" s="12">
        <v>841121.04</v>
      </c>
      <c r="H60" s="50" t="s">
        <v>791</v>
      </c>
      <c r="I60" t="s">
        <v>790</v>
      </c>
      <c r="J60">
        <v>70</v>
      </c>
      <c r="K60" t="s">
        <v>481</v>
      </c>
    </row>
    <row r="61" spans="1:11" x14ac:dyDescent="0.35">
      <c r="A61" t="s">
        <v>790</v>
      </c>
      <c r="B61" t="s">
        <v>477</v>
      </c>
      <c r="C61" s="1" t="s">
        <v>56</v>
      </c>
      <c r="D61" s="2" t="s">
        <v>57</v>
      </c>
      <c r="E61" s="10" t="s">
        <v>93</v>
      </c>
      <c r="F61" s="7">
        <v>44888</v>
      </c>
      <c r="G61" s="12">
        <v>404763.12</v>
      </c>
      <c r="H61" s="50" t="s">
        <v>791</v>
      </c>
      <c r="I61" t="s">
        <v>790</v>
      </c>
      <c r="J61">
        <v>70</v>
      </c>
      <c r="K61" t="s">
        <v>481</v>
      </c>
    </row>
    <row r="62" spans="1:11" x14ac:dyDescent="0.35">
      <c r="A62" t="s">
        <v>790</v>
      </c>
      <c r="B62" t="s">
        <v>477</v>
      </c>
      <c r="C62" s="1" t="s">
        <v>56</v>
      </c>
      <c r="D62" s="2" t="s">
        <v>57</v>
      </c>
      <c r="E62" s="10" t="s">
        <v>94</v>
      </c>
      <c r="F62" s="7">
        <v>44888</v>
      </c>
      <c r="G62" s="12">
        <v>6055.48</v>
      </c>
      <c r="H62" s="50" t="s">
        <v>791</v>
      </c>
      <c r="I62" t="s">
        <v>790</v>
      </c>
      <c r="J62">
        <v>70</v>
      </c>
      <c r="K62" t="s">
        <v>481</v>
      </c>
    </row>
    <row r="63" spans="1:11" x14ac:dyDescent="0.35">
      <c r="A63" t="s">
        <v>790</v>
      </c>
      <c r="B63" t="s">
        <v>477</v>
      </c>
      <c r="C63" s="1" t="s">
        <v>56</v>
      </c>
      <c r="D63" s="2" t="s">
        <v>57</v>
      </c>
      <c r="E63" s="10" t="s">
        <v>95</v>
      </c>
      <c r="F63" s="7">
        <v>44888</v>
      </c>
      <c r="G63" s="12">
        <v>181851.21</v>
      </c>
      <c r="H63" s="50" t="s">
        <v>791</v>
      </c>
      <c r="I63" t="s">
        <v>790</v>
      </c>
      <c r="J63">
        <v>70</v>
      </c>
      <c r="K63" t="s">
        <v>481</v>
      </c>
    </row>
    <row r="64" spans="1:11" x14ac:dyDescent="0.35">
      <c r="A64" t="s">
        <v>790</v>
      </c>
      <c r="B64" t="s">
        <v>477</v>
      </c>
      <c r="C64" s="1" t="s">
        <v>56</v>
      </c>
      <c r="D64" s="2" t="s">
        <v>57</v>
      </c>
      <c r="E64" s="10" t="s">
        <v>96</v>
      </c>
      <c r="F64" s="7">
        <v>44888</v>
      </c>
      <c r="G64" s="12">
        <v>2660.08</v>
      </c>
      <c r="H64" s="50" t="s">
        <v>791</v>
      </c>
      <c r="I64" t="s">
        <v>790</v>
      </c>
      <c r="J64">
        <v>70</v>
      </c>
      <c r="K64" t="s">
        <v>481</v>
      </c>
    </row>
    <row r="65" spans="1:11" x14ac:dyDescent="0.35">
      <c r="A65" t="s">
        <v>790</v>
      </c>
      <c r="B65" t="s">
        <v>477</v>
      </c>
      <c r="C65" s="1" t="s">
        <v>56</v>
      </c>
      <c r="D65" s="2" t="s">
        <v>57</v>
      </c>
      <c r="E65" s="10" t="s">
        <v>97</v>
      </c>
      <c r="F65" s="7">
        <v>44888</v>
      </c>
      <c r="G65" s="12">
        <v>974816.88</v>
      </c>
      <c r="H65" s="50" t="s">
        <v>791</v>
      </c>
      <c r="I65" t="s">
        <v>790</v>
      </c>
      <c r="J65">
        <v>70</v>
      </c>
      <c r="K65" t="s">
        <v>481</v>
      </c>
    </row>
    <row r="66" spans="1:11" x14ac:dyDescent="0.35">
      <c r="A66" t="s">
        <v>790</v>
      </c>
      <c r="B66" t="s">
        <v>477</v>
      </c>
      <c r="C66" s="1" t="s">
        <v>56</v>
      </c>
      <c r="D66" s="2" t="s">
        <v>57</v>
      </c>
      <c r="E66" s="10" t="s">
        <v>98</v>
      </c>
      <c r="F66" s="7">
        <v>44888</v>
      </c>
      <c r="G66" s="12">
        <v>2548.8000000000002</v>
      </c>
      <c r="H66" s="50" t="s">
        <v>791</v>
      </c>
      <c r="I66" t="s">
        <v>790</v>
      </c>
      <c r="J66">
        <v>70</v>
      </c>
      <c r="K66" t="s">
        <v>481</v>
      </c>
    </row>
    <row r="67" spans="1:11" x14ac:dyDescent="0.35">
      <c r="A67" t="s">
        <v>790</v>
      </c>
      <c r="B67" t="s">
        <v>477</v>
      </c>
      <c r="C67" s="1" t="s">
        <v>56</v>
      </c>
      <c r="D67" s="2" t="s">
        <v>57</v>
      </c>
      <c r="E67" s="10" t="s">
        <v>99</v>
      </c>
      <c r="F67" s="7">
        <v>44888</v>
      </c>
      <c r="G67" s="12">
        <v>10620</v>
      </c>
      <c r="H67" s="50" t="s">
        <v>791</v>
      </c>
      <c r="I67" t="s">
        <v>790</v>
      </c>
      <c r="J67">
        <v>70</v>
      </c>
      <c r="K67" t="s">
        <v>481</v>
      </c>
    </row>
    <row r="68" spans="1:11" x14ac:dyDescent="0.35">
      <c r="A68" t="s">
        <v>790</v>
      </c>
      <c r="B68" t="s">
        <v>477</v>
      </c>
      <c r="C68" s="1" t="s">
        <v>56</v>
      </c>
      <c r="D68" s="2" t="s">
        <v>57</v>
      </c>
      <c r="E68" s="10" t="s">
        <v>100</v>
      </c>
      <c r="F68" s="7">
        <v>44889</v>
      </c>
      <c r="G68" s="12">
        <v>289877.11</v>
      </c>
      <c r="H68" s="50" t="s">
        <v>791</v>
      </c>
      <c r="I68" t="s">
        <v>790</v>
      </c>
      <c r="J68">
        <v>69</v>
      </c>
      <c r="K68" t="s">
        <v>481</v>
      </c>
    </row>
    <row r="69" spans="1:11" x14ac:dyDescent="0.35">
      <c r="A69" t="s">
        <v>790</v>
      </c>
      <c r="B69" t="s">
        <v>477</v>
      </c>
      <c r="C69" s="1" t="s">
        <v>56</v>
      </c>
      <c r="D69" s="2" t="s">
        <v>57</v>
      </c>
      <c r="E69" s="10" t="s">
        <v>101</v>
      </c>
      <c r="F69" s="7">
        <v>44889</v>
      </c>
      <c r="G69" s="12">
        <v>3508.68</v>
      </c>
      <c r="H69" s="50" t="s">
        <v>791</v>
      </c>
      <c r="I69" t="s">
        <v>790</v>
      </c>
      <c r="J69">
        <v>69</v>
      </c>
      <c r="K69" t="s">
        <v>481</v>
      </c>
    </row>
    <row r="70" spans="1:11" x14ac:dyDescent="0.35">
      <c r="A70" t="s">
        <v>790</v>
      </c>
      <c r="B70" t="s">
        <v>477</v>
      </c>
      <c r="C70" s="1" t="s">
        <v>56</v>
      </c>
      <c r="D70" s="2" t="s">
        <v>57</v>
      </c>
      <c r="E70" s="10" t="s">
        <v>102</v>
      </c>
      <c r="F70" s="7">
        <v>44889</v>
      </c>
      <c r="G70" s="12">
        <v>1712210.43</v>
      </c>
      <c r="H70" s="50" t="s">
        <v>791</v>
      </c>
      <c r="I70" t="s">
        <v>790</v>
      </c>
      <c r="J70">
        <v>69</v>
      </c>
      <c r="K70" t="s">
        <v>481</v>
      </c>
    </row>
    <row r="71" spans="1:11" x14ac:dyDescent="0.35">
      <c r="A71" t="s">
        <v>790</v>
      </c>
      <c r="B71" t="s">
        <v>477</v>
      </c>
      <c r="C71" s="1" t="s">
        <v>56</v>
      </c>
      <c r="D71" s="2" t="s">
        <v>57</v>
      </c>
      <c r="E71" s="10" t="s">
        <v>103</v>
      </c>
      <c r="F71" s="7">
        <v>44890</v>
      </c>
      <c r="G71" s="12">
        <v>86014.31</v>
      </c>
      <c r="H71" s="50" t="s">
        <v>791</v>
      </c>
      <c r="I71" t="s">
        <v>790</v>
      </c>
      <c r="J71">
        <v>68</v>
      </c>
      <c r="K71" t="s">
        <v>481</v>
      </c>
    </row>
    <row r="72" spans="1:11" x14ac:dyDescent="0.35">
      <c r="A72" t="s">
        <v>790</v>
      </c>
      <c r="B72" t="s">
        <v>477</v>
      </c>
      <c r="C72" s="1" t="s">
        <v>56</v>
      </c>
      <c r="D72" s="2" t="s">
        <v>57</v>
      </c>
      <c r="E72" s="10" t="s">
        <v>104</v>
      </c>
      <c r="F72" s="7">
        <v>44890</v>
      </c>
      <c r="G72" s="12">
        <v>1301.72</v>
      </c>
      <c r="H72" s="50" t="s">
        <v>791</v>
      </c>
      <c r="I72" t="s">
        <v>790</v>
      </c>
      <c r="J72">
        <v>68</v>
      </c>
      <c r="K72" t="s">
        <v>481</v>
      </c>
    </row>
    <row r="73" spans="1:11" x14ac:dyDescent="0.35">
      <c r="A73" t="s">
        <v>790</v>
      </c>
      <c r="B73" t="s">
        <v>477</v>
      </c>
      <c r="C73" s="1" t="s">
        <v>56</v>
      </c>
      <c r="D73" s="2" t="s">
        <v>57</v>
      </c>
      <c r="E73" s="10" t="s">
        <v>105</v>
      </c>
      <c r="F73" s="7">
        <v>44890</v>
      </c>
      <c r="G73" s="12">
        <v>350765.53</v>
      </c>
      <c r="H73" s="50" t="s">
        <v>791</v>
      </c>
      <c r="I73" t="s">
        <v>790</v>
      </c>
      <c r="J73">
        <v>68</v>
      </c>
      <c r="K73" t="s">
        <v>481</v>
      </c>
    </row>
    <row r="74" spans="1:11" x14ac:dyDescent="0.35">
      <c r="A74" t="s">
        <v>790</v>
      </c>
      <c r="B74" t="s">
        <v>477</v>
      </c>
      <c r="C74" s="1" t="s">
        <v>56</v>
      </c>
      <c r="D74" s="2" t="s">
        <v>57</v>
      </c>
      <c r="E74" s="10" t="s">
        <v>106</v>
      </c>
      <c r="F74" s="7">
        <v>44890</v>
      </c>
      <c r="G74" s="12">
        <v>625209.14</v>
      </c>
      <c r="H74" s="50" t="s">
        <v>791</v>
      </c>
      <c r="I74" t="s">
        <v>790</v>
      </c>
      <c r="J74">
        <v>68</v>
      </c>
      <c r="K74" t="s">
        <v>481</v>
      </c>
    </row>
    <row r="75" spans="1:11" x14ac:dyDescent="0.35">
      <c r="A75" t="s">
        <v>790</v>
      </c>
      <c r="B75" t="s">
        <v>477</v>
      </c>
      <c r="C75" s="1" t="s">
        <v>56</v>
      </c>
      <c r="D75" s="2" t="s">
        <v>57</v>
      </c>
      <c r="E75" s="10" t="s">
        <v>107</v>
      </c>
      <c r="F75" s="7">
        <v>44891</v>
      </c>
      <c r="G75" s="12">
        <v>379396.38</v>
      </c>
      <c r="H75" s="50" t="s">
        <v>791</v>
      </c>
      <c r="I75" t="s">
        <v>790</v>
      </c>
      <c r="J75">
        <v>67</v>
      </c>
      <c r="K75" t="s">
        <v>481</v>
      </c>
    </row>
    <row r="76" spans="1:11" x14ac:dyDescent="0.35">
      <c r="A76" t="s">
        <v>790</v>
      </c>
      <c r="B76" t="s">
        <v>477</v>
      </c>
      <c r="C76" s="1" t="s">
        <v>56</v>
      </c>
      <c r="D76" s="2" t="s">
        <v>57</v>
      </c>
      <c r="E76" s="10" t="s">
        <v>108</v>
      </c>
      <c r="F76" s="7">
        <v>44891</v>
      </c>
      <c r="G76" s="12">
        <v>5998.84</v>
      </c>
      <c r="H76" s="50" t="s">
        <v>791</v>
      </c>
      <c r="I76" t="s">
        <v>790</v>
      </c>
      <c r="J76">
        <v>67</v>
      </c>
      <c r="K76" t="s">
        <v>481</v>
      </c>
    </row>
    <row r="77" spans="1:11" x14ac:dyDescent="0.35">
      <c r="A77" t="s">
        <v>790</v>
      </c>
      <c r="B77" t="s">
        <v>477</v>
      </c>
      <c r="C77" s="1" t="s">
        <v>56</v>
      </c>
      <c r="D77" s="2" t="s">
        <v>57</v>
      </c>
      <c r="E77" s="10" t="s">
        <v>109</v>
      </c>
      <c r="F77" s="7">
        <v>44891</v>
      </c>
      <c r="G77" s="12">
        <v>17213</v>
      </c>
      <c r="H77" s="50" t="s">
        <v>791</v>
      </c>
      <c r="I77" t="s">
        <v>790</v>
      </c>
      <c r="J77">
        <v>67</v>
      </c>
      <c r="K77" t="s">
        <v>481</v>
      </c>
    </row>
    <row r="78" spans="1:11" x14ac:dyDescent="0.35">
      <c r="A78" t="s">
        <v>790</v>
      </c>
      <c r="B78" t="s">
        <v>477</v>
      </c>
      <c r="C78" s="1" t="s">
        <v>56</v>
      </c>
      <c r="D78" s="2" t="s">
        <v>57</v>
      </c>
      <c r="E78" s="10" t="s">
        <v>110</v>
      </c>
      <c r="F78" s="7">
        <v>44892</v>
      </c>
      <c r="G78" s="12">
        <v>2376.88</v>
      </c>
      <c r="H78" s="50" t="s">
        <v>791</v>
      </c>
      <c r="I78" t="s">
        <v>790</v>
      </c>
      <c r="J78">
        <v>66</v>
      </c>
      <c r="K78" t="s">
        <v>481</v>
      </c>
    </row>
    <row r="79" spans="1:11" x14ac:dyDescent="0.35">
      <c r="A79" t="s">
        <v>790</v>
      </c>
      <c r="B79" t="s">
        <v>477</v>
      </c>
      <c r="C79" s="1" t="s">
        <v>56</v>
      </c>
      <c r="D79" s="2" t="s">
        <v>57</v>
      </c>
      <c r="E79" s="10" t="s">
        <v>111</v>
      </c>
      <c r="F79" s="7">
        <v>44892</v>
      </c>
      <c r="G79" s="12">
        <v>221419.38</v>
      </c>
      <c r="H79" s="50" t="s">
        <v>791</v>
      </c>
      <c r="I79" t="s">
        <v>790</v>
      </c>
      <c r="J79">
        <v>66</v>
      </c>
      <c r="K79" t="s">
        <v>481</v>
      </c>
    </row>
    <row r="80" spans="1:11" x14ac:dyDescent="0.35">
      <c r="A80" t="s">
        <v>790</v>
      </c>
      <c r="B80" t="s">
        <v>477</v>
      </c>
      <c r="C80" s="1" t="s">
        <v>56</v>
      </c>
      <c r="D80" s="2" t="s">
        <v>57</v>
      </c>
      <c r="E80" s="10" t="s">
        <v>112</v>
      </c>
      <c r="F80" s="7">
        <v>44892</v>
      </c>
      <c r="G80" s="12">
        <v>7741800</v>
      </c>
      <c r="H80" s="50" t="s">
        <v>791</v>
      </c>
      <c r="I80" t="s">
        <v>790</v>
      </c>
      <c r="J80">
        <v>66</v>
      </c>
      <c r="K80" t="s">
        <v>481</v>
      </c>
    </row>
    <row r="81" spans="1:11" x14ac:dyDescent="0.35">
      <c r="A81" t="s">
        <v>790</v>
      </c>
      <c r="B81" t="s">
        <v>477</v>
      </c>
      <c r="C81" s="1" t="s">
        <v>56</v>
      </c>
      <c r="D81" s="2" t="s">
        <v>57</v>
      </c>
      <c r="E81" s="10" t="s">
        <v>113</v>
      </c>
      <c r="F81" s="7">
        <v>44893</v>
      </c>
      <c r="G81" s="12">
        <v>394839.57</v>
      </c>
      <c r="H81" s="50" t="s">
        <v>791</v>
      </c>
      <c r="I81" t="s">
        <v>790</v>
      </c>
      <c r="J81">
        <v>65</v>
      </c>
      <c r="K81" t="s">
        <v>481</v>
      </c>
    </row>
    <row r="82" spans="1:11" x14ac:dyDescent="0.35">
      <c r="A82" t="s">
        <v>790</v>
      </c>
      <c r="B82" t="s">
        <v>477</v>
      </c>
      <c r="C82" s="1" t="s">
        <v>56</v>
      </c>
      <c r="D82" s="2" t="s">
        <v>57</v>
      </c>
      <c r="E82" s="10" t="s">
        <v>114</v>
      </c>
      <c r="F82" s="7">
        <v>44893</v>
      </c>
      <c r="G82" s="12">
        <v>6225.4</v>
      </c>
      <c r="H82" s="50" t="s">
        <v>791</v>
      </c>
      <c r="I82" t="s">
        <v>790</v>
      </c>
      <c r="J82">
        <v>65</v>
      </c>
      <c r="K82" t="s">
        <v>481</v>
      </c>
    </row>
    <row r="83" spans="1:11" x14ac:dyDescent="0.35">
      <c r="A83" t="s">
        <v>790</v>
      </c>
      <c r="B83" t="s">
        <v>477</v>
      </c>
      <c r="C83" s="1" t="s">
        <v>56</v>
      </c>
      <c r="D83" s="2" t="s">
        <v>57</v>
      </c>
      <c r="E83" s="10" t="s">
        <v>115</v>
      </c>
      <c r="F83" s="7">
        <v>44893</v>
      </c>
      <c r="G83" s="12">
        <v>36331.879999999997</v>
      </c>
      <c r="H83" s="50" t="s">
        <v>791</v>
      </c>
      <c r="I83" t="s">
        <v>790</v>
      </c>
      <c r="J83">
        <v>65</v>
      </c>
      <c r="K83" t="s">
        <v>481</v>
      </c>
    </row>
    <row r="84" spans="1:11" x14ac:dyDescent="0.35">
      <c r="A84" t="s">
        <v>790</v>
      </c>
      <c r="B84" t="s">
        <v>477</v>
      </c>
      <c r="C84" s="1" t="s">
        <v>56</v>
      </c>
      <c r="D84" s="2" t="s">
        <v>57</v>
      </c>
      <c r="E84" s="10" t="s">
        <v>116</v>
      </c>
      <c r="F84" s="7">
        <v>44893</v>
      </c>
      <c r="G84" s="12">
        <v>33394.589999999997</v>
      </c>
      <c r="H84" s="50" t="s">
        <v>791</v>
      </c>
      <c r="I84" t="s">
        <v>790</v>
      </c>
      <c r="J84">
        <v>65</v>
      </c>
      <c r="K84" t="s">
        <v>481</v>
      </c>
    </row>
    <row r="85" spans="1:11" x14ac:dyDescent="0.35">
      <c r="A85" t="s">
        <v>790</v>
      </c>
      <c r="B85" t="s">
        <v>477</v>
      </c>
      <c r="C85" s="1" t="s">
        <v>56</v>
      </c>
      <c r="D85" s="2" t="s">
        <v>57</v>
      </c>
      <c r="E85" s="10" t="s">
        <v>117</v>
      </c>
      <c r="F85" s="7">
        <v>44893</v>
      </c>
      <c r="G85" s="12">
        <v>1245.08</v>
      </c>
      <c r="H85" s="50" t="s">
        <v>791</v>
      </c>
      <c r="I85" t="s">
        <v>790</v>
      </c>
      <c r="J85">
        <v>65</v>
      </c>
      <c r="K85" t="s">
        <v>481</v>
      </c>
    </row>
    <row r="86" spans="1:11" x14ac:dyDescent="0.35">
      <c r="A86" t="s">
        <v>790</v>
      </c>
      <c r="B86" t="s">
        <v>477</v>
      </c>
      <c r="C86" s="1" t="s">
        <v>56</v>
      </c>
      <c r="D86" s="2" t="s">
        <v>57</v>
      </c>
      <c r="E86" s="10" t="s">
        <v>118</v>
      </c>
      <c r="F86" s="7">
        <v>44894</v>
      </c>
      <c r="G86" s="12">
        <v>2942.28</v>
      </c>
      <c r="H86" s="50" t="s">
        <v>791</v>
      </c>
      <c r="I86" t="s">
        <v>790</v>
      </c>
      <c r="J86">
        <v>64</v>
      </c>
      <c r="K86" t="s">
        <v>481</v>
      </c>
    </row>
    <row r="87" spans="1:11" x14ac:dyDescent="0.35">
      <c r="A87" t="s">
        <v>790</v>
      </c>
      <c r="B87" t="s">
        <v>477</v>
      </c>
      <c r="C87" s="1" t="s">
        <v>56</v>
      </c>
      <c r="D87" s="2" t="s">
        <v>57</v>
      </c>
      <c r="E87" s="10" t="s">
        <v>119</v>
      </c>
      <c r="F87" s="7">
        <v>44894</v>
      </c>
      <c r="G87" s="12">
        <v>304039.28000000003</v>
      </c>
      <c r="H87" s="50" t="s">
        <v>791</v>
      </c>
      <c r="I87" t="s">
        <v>790</v>
      </c>
      <c r="J87">
        <v>64</v>
      </c>
      <c r="K87" t="s">
        <v>481</v>
      </c>
    </row>
    <row r="88" spans="1:11" x14ac:dyDescent="0.35">
      <c r="A88" t="s">
        <v>790</v>
      </c>
      <c r="B88" t="s">
        <v>477</v>
      </c>
      <c r="C88" s="1" t="s">
        <v>56</v>
      </c>
      <c r="D88" s="2" t="s">
        <v>57</v>
      </c>
      <c r="E88" s="10" t="s">
        <v>120</v>
      </c>
      <c r="F88" s="7">
        <v>44895</v>
      </c>
      <c r="G88" s="12">
        <v>536840.43000000005</v>
      </c>
      <c r="H88" s="50" t="s">
        <v>791</v>
      </c>
      <c r="I88" t="s">
        <v>790</v>
      </c>
      <c r="J88">
        <v>63</v>
      </c>
      <c r="K88" t="s">
        <v>481</v>
      </c>
    </row>
    <row r="89" spans="1:11" x14ac:dyDescent="0.35">
      <c r="A89" t="s">
        <v>790</v>
      </c>
      <c r="B89" t="s">
        <v>477</v>
      </c>
      <c r="C89" s="1" t="s">
        <v>56</v>
      </c>
      <c r="D89" s="2" t="s">
        <v>57</v>
      </c>
      <c r="E89" s="10" t="s">
        <v>121</v>
      </c>
      <c r="F89" s="7">
        <v>44895</v>
      </c>
      <c r="G89" s="12">
        <v>6168.76</v>
      </c>
      <c r="H89" s="50" t="s">
        <v>791</v>
      </c>
      <c r="I89" t="s">
        <v>790</v>
      </c>
      <c r="J89">
        <v>63</v>
      </c>
      <c r="K89" t="s">
        <v>481</v>
      </c>
    </row>
    <row r="90" spans="1:11" x14ac:dyDescent="0.35">
      <c r="A90" t="s">
        <v>790</v>
      </c>
      <c r="B90" t="s">
        <v>477</v>
      </c>
      <c r="C90" s="1" t="s">
        <v>56</v>
      </c>
      <c r="D90" s="2" t="s">
        <v>57</v>
      </c>
      <c r="E90" s="10" t="s">
        <v>122</v>
      </c>
      <c r="F90" s="7">
        <v>44895</v>
      </c>
      <c r="G90" s="12">
        <v>58959.54</v>
      </c>
      <c r="H90" s="50" t="s">
        <v>791</v>
      </c>
      <c r="I90" t="s">
        <v>790</v>
      </c>
      <c r="J90">
        <v>63</v>
      </c>
      <c r="K90" t="s">
        <v>481</v>
      </c>
    </row>
    <row r="91" spans="1:11" x14ac:dyDescent="0.35">
      <c r="A91" t="s">
        <v>790</v>
      </c>
      <c r="B91" t="s">
        <v>477</v>
      </c>
      <c r="C91" s="1" t="s">
        <v>56</v>
      </c>
      <c r="D91" s="2" t="s">
        <v>57</v>
      </c>
      <c r="E91" s="10" t="s">
        <v>123</v>
      </c>
      <c r="F91" s="7">
        <v>44895</v>
      </c>
      <c r="G91" s="12">
        <v>1913059.38</v>
      </c>
      <c r="H91" s="50" t="s">
        <v>791</v>
      </c>
      <c r="I91" t="s">
        <v>790</v>
      </c>
      <c r="J91">
        <v>63</v>
      </c>
      <c r="K91" t="s">
        <v>481</v>
      </c>
    </row>
    <row r="92" spans="1:11" ht="15" thickBot="1" x14ac:dyDescent="0.4">
      <c r="A92" t="s">
        <v>790</v>
      </c>
      <c r="B92" t="s">
        <v>477</v>
      </c>
      <c r="C92" s="13" t="s">
        <v>56</v>
      </c>
      <c r="D92" s="14" t="s">
        <v>57</v>
      </c>
      <c r="E92" s="15" t="s">
        <v>124</v>
      </c>
      <c r="F92" s="16">
        <v>44895</v>
      </c>
      <c r="G92" s="17">
        <v>1180</v>
      </c>
      <c r="H92" s="50" t="s">
        <v>791</v>
      </c>
      <c r="I92" t="s">
        <v>790</v>
      </c>
      <c r="J92">
        <v>63</v>
      </c>
      <c r="K92" t="s">
        <v>481</v>
      </c>
    </row>
    <row r="93" spans="1:11" x14ac:dyDescent="0.35">
      <c r="A93" t="s">
        <v>790</v>
      </c>
      <c r="B93" t="s">
        <v>477</v>
      </c>
      <c r="C93" s="18" t="s">
        <v>125</v>
      </c>
      <c r="D93" s="18" t="s">
        <v>57</v>
      </c>
      <c r="E93" s="18" t="s">
        <v>126</v>
      </c>
      <c r="F93" s="19">
        <v>44896</v>
      </c>
      <c r="G93" s="20">
        <v>1532.7</v>
      </c>
      <c r="H93" s="50" t="s">
        <v>791</v>
      </c>
      <c r="I93" t="s">
        <v>790</v>
      </c>
      <c r="J93">
        <v>62</v>
      </c>
      <c r="K93" t="s">
        <v>481</v>
      </c>
    </row>
    <row r="94" spans="1:11" x14ac:dyDescent="0.35">
      <c r="A94" t="s">
        <v>790</v>
      </c>
      <c r="B94" t="s">
        <v>477</v>
      </c>
      <c r="C94" s="18" t="s">
        <v>125</v>
      </c>
      <c r="D94" s="18" t="s">
        <v>57</v>
      </c>
      <c r="E94" s="18" t="s">
        <v>127</v>
      </c>
      <c r="F94" s="19">
        <v>44897</v>
      </c>
      <c r="G94" s="20">
        <v>922921.77</v>
      </c>
      <c r="H94" s="50" t="s">
        <v>791</v>
      </c>
      <c r="I94" t="s">
        <v>790</v>
      </c>
      <c r="J94">
        <v>61</v>
      </c>
      <c r="K94" t="s">
        <v>481</v>
      </c>
    </row>
    <row r="95" spans="1:11" x14ac:dyDescent="0.35">
      <c r="A95" t="s">
        <v>790</v>
      </c>
      <c r="B95" t="s">
        <v>477</v>
      </c>
      <c r="C95" s="18" t="s">
        <v>125</v>
      </c>
      <c r="D95" s="18" t="s">
        <v>57</v>
      </c>
      <c r="E95" s="18" t="s">
        <v>128</v>
      </c>
      <c r="F95" s="19">
        <v>44897</v>
      </c>
      <c r="G95" s="20">
        <v>13016.2</v>
      </c>
      <c r="H95" s="50" t="s">
        <v>791</v>
      </c>
      <c r="I95" t="s">
        <v>790</v>
      </c>
      <c r="J95">
        <v>61</v>
      </c>
      <c r="K95" t="s">
        <v>481</v>
      </c>
    </row>
    <row r="96" spans="1:11" x14ac:dyDescent="0.35">
      <c r="A96" t="s">
        <v>790</v>
      </c>
      <c r="B96" t="s">
        <v>477</v>
      </c>
      <c r="C96" s="18" t="s">
        <v>125</v>
      </c>
      <c r="D96" s="18" t="s">
        <v>57</v>
      </c>
      <c r="E96" s="18" t="s">
        <v>129</v>
      </c>
      <c r="F96" s="19">
        <v>44897</v>
      </c>
      <c r="G96" s="20">
        <v>1164231.51</v>
      </c>
      <c r="H96" s="50" t="s">
        <v>791</v>
      </c>
      <c r="I96" t="s">
        <v>790</v>
      </c>
      <c r="J96">
        <v>61</v>
      </c>
      <c r="K96" t="s">
        <v>481</v>
      </c>
    </row>
    <row r="97" spans="1:11" x14ac:dyDescent="0.35">
      <c r="A97" t="s">
        <v>790</v>
      </c>
      <c r="B97" t="s">
        <v>477</v>
      </c>
      <c r="C97" s="18" t="s">
        <v>125</v>
      </c>
      <c r="D97" s="18" t="s">
        <v>57</v>
      </c>
      <c r="E97" s="18" t="s">
        <v>130</v>
      </c>
      <c r="F97" s="19">
        <v>44897</v>
      </c>
      <c r="G97" s="20">
        <v>32374.62</v>
      </c>
      <c r="H97" s="50" t="s">
        <v>791</v>
      </c>
      <c r="I97" t="s">
        <v>790</v>
      </c>
      <c r="J97">
        <v>61</v>
      </c>
      <c r="K97" t="s">
        <v>481</v>
      </c>
    </row>
    <row r="98" spans="1:11" x14ac:dyDescent="0.35">
      <c r="A98" t="s">
        <v>790</v>
      </c>
      <c r="B98" t="s">
        <v>477</v>
      </c>
      <c r="C98" s="18" t="s">
        <v>125</v>
      </c>
      <c r="D98" s="18" t="s">
        <v>57</v>
      </c>
      <c r="E98" s="18" t="s">
        <v>131</v>
      </c>
      <c r="F98" s="19">
        <v>44898</v>
      </c>
      <c r="G98" s="20">
        <v>596509.21</v>
      </c>
      <c r="H98" s="50" t="s">
        <v>791</v>
      </c>
      <c r="I98" t="s">
        <v>790</v>
      </c>
      <c r="J98">
        <v>60</v>
      </c>
      <c r="K98" t="s">
        <v>481</v>
      </c>
    </row>
    <row r="99" spans="1:11" x14ac:dyDescent="0.35">
      <c r="A99" t="s">
        <v>790</v>
      </c>
      <c r="B99" t="s">
        <v>477</v>
      </c>
      <c r="C99" s="18" t="s">
        <v>125</v>
      </c>
      <c r="D99" s="18" t="s">
        <v>57</v>
      </c>
      <c r="E99" s="18" t="s">
        <v>132</v>
      </c>
      <c r="F99" s="19">
        <v>44898</v>
      </c>
      <c r="G99" s="20">
        <v>8828.84</v>
      </c>
      <c r="H99" s="50" t="s">
        <v>791</v>
      </c>
      <c r="I99" t="s">
        <v>790</v>
      </c>
      <c r="J99">
        <v>60</v>
      </c>
      <c r="K99" t="s">
        <v>481</v>
      </c>
    </row>
    <row r="100" spans="1:11" x14ac:dyDescent="0.35">
      <c r="A100" t="s">
        <v>790</v>
      </c>
      <c r="B100" t="s">
        <v>477</v>
      </c>
      <c r="C100" s="18" t="s">
        <v>125</v>
      </c>
      <c r="D100" s="18" t="s">
        <v>57</v>
      </c>
      <c r="E100" s="18" t="s">
        <v>133</v>
      </c>
      <c r="F100" s="19">
        <v>44898</v>
      </c>
      <c r="G100" s="20">
        <v>138738.98000000001</v>
      </c>
      <c r="H100" s="50" t="s">
        <v>791</v>
      </c>
      <c r="I100" t="s">
        <v>790</v>
      </c>
      <c r="J100">
        <v>60</v>
      </c>
      <c r="K100" t="s">
        <v>481</v>
      </c>
    </row>
    <row r="101" spans="1:11" x14ac:dyDescent="0.35">
      <c r="A101" t="s">
        <v>790</v>
      </c>
      <c r="B101" t="s">
        <v>477</v>
      </c>
      <c r="C101" s="18" t="s">
        <v>125</v>
      </c>
      <c r="D101" s="18" t="s">
        <v>57</v>
      </c>
      <c r="E101" s="18" t="s">
        <v>134</v>
      </c>
      <c r="F101" s="19">
        <v>44898</v>
      </c>
      <c r="G101" s="20">
        <v>25850</v>
      </c>
      <c r="H101" s="50" t="s">
        <v>791</v>
      </c>
      <c r="I101" t="s">
        <v>790</v>
      </c>
      <c r="J101">
        <v>60</v>
      </c>
      <c r="K101" t="s">
        <v>481</v>
      </c>
    </row>
    <row r="102" spans="1:11" x14ac:dyDescent="0.35">
      <c r="A102" t="s">
        <v>790</v>
      </c>
      <c r="B102" t="s">
        <v>477</v>
      </c>
      <c r="C102" s="18" t="s">
        <v>125</v>
      </c>
      <c r="D102" s="18" t="s">
        <v>57</v>
      </c>
      <c r="E102" s="18" t="s">
        <v>135</v>
      </c>
      <c r="F102" s="19">
        <v>44899</v>
      </c>
      <c r="G102" s="20">
        <v>441223.03</v>
      </c>
      <c r="H102" s="50" t="s">
        <v>791</v>
      </c>
      <c r="I102" t="s">
        <v>790</v>
      </c>
      <c r="J102">
        <v>59</v>
      </c>
      <c r="K102" t="s">
        <v>481</v>
      </c>
    </row>
    <row r="103" spans="1:11" x14ac:dyDescent="0.35">
      <c r="A103" t="s">
        <v>790</v>
      </c>
      <c r="B103" t="s">
        <v>477</v>
      </c>
      <c r="C103" s="18" t="s">
        <v>125</v>
      </c>
      <c r="D103" s="18" t="s">
        <v>57</v>
      </c>
      <c r="E103" s="18" t="s">
        <v>136</v>
      </c>
      <c r="F103" s="19">
        <v>44899</v>
      </c>
      <c r="G103" s="20">
        <v>6620.88</v>
      </c>
      <c r="H103" s="50" t="s">
        <v>791</v>
      </c>
      <c r="I103" t="s">
        <v>790</v>
      </c>
      <c r="J103">
        <v>59</v>
      </c>
      <c r="K103" t="s">
        <v>481</v>
      </c>
    </row>
    <row r="104" spans="1:11" x14ac:dyDescent="0.35">
      <c r="A104" t="s">
        <v>790</v>
      </c>
      <c r="B104" t="s">
        <v>477</v>
      </c>
      <c r="C104" s="18" t="s">
        <v>125</v>
      </c>
      <c r="D104" s="18" t="s">
        <v>57</v>
      </c>
      <c r="E104" s="18" t="s">
        <v>137</v>
      </c>
      <c r="F104" s="19">
        <v>44899</v>
      </c>
      <c r="G104" s="20">
        <v>91338.63</v>
      </c>
      <c r="H104" s="50" t="s">
        <v>791</v>
      </c>
      <c r="I104" t="s">
        <v>790</v>
      </c>
      <c r="J104">
        <v>59</v>
      </c>
      <c r="K104" t="s">
        <v>481</v>
      </c>
    </row>
    <row r="105" spans="1:11" x14ac:dyDescent="0.35">
      <c r="A105" t="s">
        <v>790</v>
      </c>
      <c r="B105" t="s">
        <v>477</v>
      </c>
      <c r="C105" s="18" t="s">
        <v>125</v>
      </c>
      <c r="D105" s="18" t="s">
        <v>57</v>
      </c>
      <c r="E105" s="18" t="s">
        <v>138</v>
      </c>
      <c r="F105" s="19">
        <v>44899</v>
      </c>
      <c r="G105" s="20">
        <v>1131.8</v>
      </c>
      <c r="H105" s="50" t="s">
        <v>791</v>
      </c>
      <c r="I105" t="s">
        <v>790</v>
      </c>
      <c r="J105">
        <v>59</v>
      </c>
      <c r="K105" t="s">
        <v>481</v>
      </c>
    </row>
    <row r="106" spans="1:11" x14ac:dyDescent="0.35">
      <c r="A106" t="s">
        <v>790</v>
      </c>
      <c r="B106" t="s">
        <v>477</v>
      </c>
      <c r="C106" s="18" t="s">
        <v>125</v>
      </c>
      <c r="D106" s="18" t="s">
        <v>57</v>
      </c>
      <c r="E106" s="18" t="s">
        <v>139</v>
      </c>
      <c r="F106" s="19">
        <v>44899</v>
      </c>
      <c r="G106" s="20">
        <v>92558</v>
      </c>
      <c r="H106" s="50" t="s">
        <v>791</v>
      </c>
      <c r="I106" t="s">
        <v>790</v>
      </c>
      <c r="J106">
        <v>59</v>
      </c>
      <c r="K106" t="s">
        <v>481</v>
      </c>
    </row>
    <row r="107" spans="1:11" x14ac:dyDescent="0.35">
      <c r="A107" t="s">
        <v>790</v>
      </c>
      <c r="B107" t="s">
        <v>477</v>
      </c>
      <c r="C107" s="18" t="s">
        <v>125</v>
      </c>
      <c r="D107" s="18" t="s">
        <v>57</v>
      </c>
      <c r="E107" s="18" t="s">
        <v>140</v>
      </c>
      <c r="F107" s="19">
        <v>44900</v>
      </c>
      <c r="G107" s="20">
        <v>496978.77</v>
      </c>
      <c r="H107" s="50" t="s">
        <v>791</v>
      </c>
      <c r="I107" t="s">
        <v>790</v>
      </c>
      <c r="J107">
        <v>58</v>
      </c>
      <c r="K107" t="s">
        <v>481</v>
      </c>
    </row>
    <row r="108" spans="1:11" x14ac:dyDescent="0.35">
      <c r="A108" t="s">
        <v>790</v>
      </c>
      <c r="B108" t="s">
        <v>477</v>
      </c>
      <c r="C108" s="18" t="s">
        <v>125</v>
      </c>
      <c r="D108" s="18" t="s">
        <v>57</v>
      </c>
      <c r="E108" s="18" t="s">
        <v>141</v>
      </c>
      <c r="F108" s="19">
        <v>44900</v>
      </c>
      <c r="G108" s="20">
        <v>8432.36</v>
      </c>
      <c r="H108" s="50" t="s">
        <v>791</v>
      </c>
      <c r="I108" t="s">
        <v>790</v>
      </c>
      <c r="J108">
        <v>58</v>
      </c>
      <c r="K108" t="s">
        <v>481</v>
      </c>
    </row>
    <row r="109" spans="1:11" x14ac:dyDescent="0.35">
      <c r="A109" t="s">
        <v>790</v>
      </c>
      <c r="B109" t="s">
        <v>477</v>
      </c>
      <c r="C109" s="18" t="s">
        <v>125</v>
      </c>
      <c r="D109" s="18" t="s">
        <v>57</v>
      </c>
      <c r="E109" s="18" t="s">
        <v>142</v>
      </c>
      <c r="F109" s="19">
        <v>44900</v>
      </c>
      <c r="G109" s="20">
        <v>11000</v>
      </c>
      <c r="H109" s="50" t="s">
        <v>791</v>
      </c>
      <c r="I109" t="s">
        <v>790</v>
      </c>
      <c r="J109">
        <v>58</v>
      </c>
      <c r="K109" t="s">
        <v>481</v>
      </c>
    </row>
    <row r="110" spans="1:11" x14ac:dyDescent="0.35">
      <c r="A110" t="s">
        <v>790</v>
      </c>
      <c r="B110" t="s">
        <v>477</v>
      </c>
      <c r="C110" s="18" t="s">
        <v>125</v>
      </c>
      <c r="D110" s="18" t="s">
        <v>57</v>
      </c>
      <c r="E110" s="18" t="s">
        <v>143</v>
      </c>
      <c r="F110" s="19">
        <v>44901</v>
      </c>
      <c r="G110" s="20">
        <v>1071968.68</v>
      </c>
      <c r="H110" s="50" t="s">
        <v>791</v>
      </c>
      <c r="I110" t="s">
        <v>790</v>
      </c>
      <c r="J110">
        <v>57</v>
      </c>
      <c r="K110" t="s">
        <v>481</v>
      </c>
    </row>
    <row r="111" spans="1:11" x14ac:dyDescent="0.35">
      <c r="A111" t="s">
        <v>790</v>
      </c>
      <c r="B111" t="s">
        <v>477</v>
      </c>
      <c r="C111" s="18" t="s">
        <v>125</v>
      </c>
      <c r="D111" s="18" t="s">
        <v>57</v>
      </c>
      <c r="E111" s="18" t="s">
        <v>144</v>
      </c>
      <c r="F111" s="19">
        <v>44901</v>
      </c>
      <c r="G111" s="20">
        <v>14374.56</v>
      </c>
      <c r="H111" s="50" t="s">
        <v>791</v>
      </c>
      <c r="I111" t="s">
        <v>790</v>
      </c>
      <c r="J111">
        <v>57</v>
      </c>
      <c r="K111" t="s">
        <v>481</v>
      </c>
    </row>
    <row r="112" spans="1:11" x14ac:dyDescent="0.35">
      <c r="A112" t="s">
        <v>790</v>
      </c>
      <c r="B112" t="s">
        <v>477</v>
      </c>
      <c r="C112" s="18" t="s">
        <v>125</v>
      </c>
      <c r="D112" s="18" t="s">
        <v>57</v>
      </c>
      <c r="E112" s="18" t="s">
        <v>145</v>
      </c>
      <c r="F112" s="19">
        <v>44901</v>
      </c>
      <c r="G112" s="20">
        <v>448418.76</v>
      </c>
      <c r="H112" s="50" t="s">
        <v>791</v>
      </c>
      <c r="I112" t="s">
        <v>790</v>
      </c>
      <c r="J112">
        <v>57</v>
      </c>
      <c r="K112" t="s">
        <v>481</v>
      </c>
    </row>
    <row r="113" spans="1:11" x14ac:dyDescent="0.35">
      <c r="A113" t="s">
        <v>790</v>
      </c>
      <c r="B113" t="s">
        <v>477</v>
      </c>
      <c r="C113" s="18" t="s">
        <v>125</v>
      </c>
      <c r="D113" s="18" t="s">
        <v>57</v>
      </c>
      <c r="E113" s="18" t="s">
        <v>146</v>
      </c>
      <c r="F113" s="19">
        <v>44901</v>
      </c>
      <c r="G113" s="20">
        <v>11000</v>
      </c>
      <c r="H113" s="50" t="s">
        <v>791</v>
      </c>
      <c r="I113" t="s">
        <v>790</v>
      </c>
      <c r="J113">
        <v>57</v>
      </c>
      <c r="K113" t="s">
        <v>481</v>
      </c>
    </row>
    <row r="114" spans="1:11" x14ac:dyDescent="0.35">
      <c r="A114" t="s">
        <v>790</v>
      </c>
      <c r="B114" t="s">
        <v>477</v>
      </c>
      <c r="C114" s="18" t="s">
        <v>125</v>
      </c>
      <c r="D114" s="18" t="s">
        <v>57</v>
      </c>
      <c r="E114" s="18" t="s">
        <v>147</v>
      </c>
      <c r="F114" s="19">
        <v>44901</v>
      </c>
      <c r="G114" s="20">
        <v>135450</v>
      </c>
      <c r="H114" s="50" t="s">
        <v>791</v>
      </c>
      <c r="I114" t="s">
        <v>790</v>
      </c>
      <c r="J114">
        <v>57</v>
      </c>
      <c r="K114" t="s">
        <v>481</v>
      </c>
    </row>
    <row r="115" spans="1:11" x14ac:dyDescent="0.35">
      <c r="A115" t="s">
        <v>790</v>
      </c>
      <c r="B115" t="s">
        <v>477</v>
      </c>
      <c r="C115" s="18" t="s">
        <v>125</v>
      </c>
      <c r="D115" s="18" t="s">
        <v>57</v>
      </c>
      <c r="E115" s="18" t="s">
        <v>148</v>
      </c>
      <c r="F115" s="19">
        <v>44901</v>
      </c>
      <c r="G115" s="20">
        <v>40018</v>
      </c>
      <c r="H115" s="50" t="s">
        <v>791</v>
      </c>
      <c r="I115" t="s">
        <v>790</v>
      </c>
      <c r="J115">
        <v>57</v>
      </c>
      <c r="K115" t="s">
        <v>481</v>
      </c>
    </row>
    <row r="116" spans="1:11" x14ac:dyDescent="0.35">
      <c r="A116" t="s">
        <v>790</v>
      </c>
      <c r="B116" t="s">
        <v>477</v>
      </c>
      <c r="C116" s="18" t="s">
        <v>125</v>
      </c>
      <c r="D116" s="18" t="s">
        <v>57</v>
      </c>
      <c r="E116" s="18" t="s">
        <v>149</v>
      </c>
      <c r="F116" s="19">
        <v>44902</v>
      </c>
      <c r="G116" s="20">
        <v>559362.07999999996</v>
      </c>
      <c r="H116" s="50" t="s">
        <v>791</v>
      </c>
      <c r="I116" t="s">
        <v>790</v>
      </c>
      <c r="J116">
        <v>56</v>
      </c>
      <c r="K116" t="s">
        <v>481</v>
      </c>
    </row>
    <row r="117" spans="1:11" x14ac:dyDescent="0.35">
      <c r="A117" t="s">
        <v>790</v>
      </c>
      <c r="B117" t="s">
        <v>477</v>
      </c>
      <c r="C117" s="18" t="s">
        <v>125</v>
      </c>
      <c r="D117" s="18" t="s">
        <v>57</v>
      </c>
      <c r="E117" s="18" t="s">
        <v>150</v>
      </c>
      <c r="F117" s="19">
        <v>44902</v>
      </c>
      <c r="G117" s="20">
        <v>8432.36</v>
      </c>
      <c r="H117" s="50" t="s">
        <v>791</v>
      </c>
      <c r="I117" t="s">
        <v>790</v>
      </c>
      <c r="J117">
        <v>56</v>
      </c>
      <c r="K117" t="s">
        <v>481</v>
      </c>
    </row>
    <row r="118" spans="1:11" x14ac:dyDescent="0.35">
      <c r="A118" t="s">
        <v>790</v>
      </c>
      <c r="B118" t="s">
        <v>477</v>
      </c>
      <c r="C118" s="18" t="s">
        <v>125</v>
      </c>
      <c r="D118" s="18" t="s">
        <v>57</v>
      </c>
      <c r="E118" s="18" t="s">
        <v>151</v>
      </c>
      <c r="F118" s="19">
        <v>44902</v>
      </c>
      <c r="G118" s="20">
        <v>53075</v>
      </c>
      <c r="H118" s="50" t="s">
        <v>791</v>
      </c>
      <c r="I118" t="s">
        <v>790</v>
      </c>
      <c r="J118">
        <v>56</v>
      </c>
      <c r="K118" t="s">
        <v>481</v>
      </c>
    </row>
    <row r="119" spans="1:11" x14ac:dyDescent="0.35">
      <c r="A119" t="s">
        <v>790</v>
      </c>
      <c r="B119" t="s">
        <v>477</v>
      </c>
      <c r="C119" s="18" t="s">
        <v>125</v>
      </c>
      <c r="D119" s="18" t="s">
        <v>57</v>
      </c>
      <c r="E119" s="18" t="s">
        <v>152</v>
      </c>
      <c r="F119" s="19">
        <v>44903</v>
      </c>
      <c r="G119" s="20">
        <v>7194</v>
      </c>
      <c r="H119" s="50" t="s">
        <v>791</v>
      </c>
      <c r="I119" t="s">
        <v>790</v>
      </c>
      <c r="J119">
        <v>55</v>
      </c>
      <c r="K119" t="s">
        <v>481</v>
      </c>
    </row>
    <row r="120" spans="1:11" x14ac:dyDescent="0.35">
      <c r="A120" t="s">
        <v>790</v>
      </c>
      <c r="B120" t="s">
        <v>477</v>
      </c>
      <c r="C120" s="18" t="s">
        <v>125</v>
      </c>
      <c r="D120" s="18" t="s">
        <v>57</v>
      </c>
      <c r="E120" s="18" t="s">
        <v>153</v>
      </c>
      <c r="F120" s="19">
        <v>44903</v>
      </c>
      <c r="G120" s="20">
        <v>592340.94999999995</v>
      </c>
      <c r="H120" s="50" t="s">
        <v>791</v>
      </c>
      <c r="I120" t="s">
        <v>790</v>
      </c>
      <c r="J120">
        <v>55</v>
      </c>
      <c r="K120" t="s">
        <v>481</v>
      </c>
    </row>
    <row r="121" spans="1:11" x14ac:dyDescent="0.35">
      <c r="A121" t="s">
        <v>790</v>
      </c>
      <c r="B121" t="s">
        <v>477</v>
      </c>
      <c r="C121" s="18" t="s">
        <v>125</v>
      </c>
      <c r="D121" s="18" t="s">
        <v>57</v>
      </c>
      <c r="E121" s="18" t="s">
        <v>154</v>
      </c>
      <c r="F121" s="19">
        <v>44903</v>
      </c>
      <c r="G121" s="20">
        <v>449880.61</v>
      </c>
      <c r="H121" s="50" t="s">
        <v>791</v>
      </c>
      <c r="I121" t="s">
        <v>790</v>
      </c>
      <c r="J121">
        <v>55</v>
      </c>
      <c r="K121" t="s">
        <v>481</v>
      </c>
    </row>
    <row r="122" spans="1:11" x14ac:dyDescent="0.35">
      <c r="A122" t="s">
        <v>790</v>
      </c>
      <c r="B122" t="s">
        <v>477</v>
      </c>
      <c r="C122" s="18" t="s">
        <v>125</v>
      </c>
      <c r="D122" s="18" t="s">
        <v>57</v>
      </c>
      <c r="E122" s="18" t="s">
        <v>155</v>
      </c>
      <c r="F122" s="19">
        <v>44903</v>
      </c>
      <c r="G122" s="20">
        <v>5998.84</v>
      </c>
      <c r="H122" s="50" t="s">
        <v>791</v>
      </c>
      <c r="I122" t="s">
        <v>790</v>
      </c>
      <c r="J122">
        <v>55</v>
      </c>
      <c r="K122" t="s">
        <v>481</v>
      </c>
    </row>
    <row r="123" spans="1:11" x14ac:dyDescent="0.35">
      <c r="A123" t="s">
        <v>790</v>
      </c>
      <c r="B123" t="s">
        <v>477</v>
      </c>
      <c r="C123" s="18" t="s">
        <v>125</v>
      </c>
      <c r="D123" s="18" t="s">
        <v>57</v>
      </c>
      <c r="E123" s="18" t="s">
        <v>156</v>
      </c>
      <c r="F123" s="19">
        <v>44903</v>
      </c>
      <c r="G123" s="20">
        <v>145291</v>
      </c>
      <c r="H123" s="50" t="s">
        <v>791</v>
      </c>
      <c r="I123" t="s">
        <v>790</v>
      </c>
      <c r="J123">
        <v>55</v>
      </c>
      <c r="K123" t="s">
        <v>481</v>
      </c>
    </row>
    <row r="124" spans="1:11" x14ac:dyDescent="0.35">
      <c r="A124" t="s">
        <v>790</v>
      </c>
      <c r="B124" t="s">
        <v>477</v>
      </c>
      <c r="C124" s="18" t="s">
        <v>125</v>
      </c>
      <c r="D124" s="18" t="s">
        <v>57</v>
      </c>
      <c r="E124" s="18" t="s">
        <v>157</v>
      </c>
      <c r="F124" s="19">
        <v>44904</v>
      </c>
      <c r="G124" s="20">
        <v>476905.65</v>
      </c>
      <c r="H124" s="50" t="s">
        <v>791</v>
      </c>
      <c r="I124" t="s">
        <v>790</v>
      </c>
      <c r="J124">
        <v>54</v>
      </c>
      <c r="K124" t="s">
        <v>481</v>
      </c>
    </row>
    <row r="125" spans="1:11" x14ac:dyDescent="0.35">
      <c r="A125" t="s">
        <v>790</v>
      </c>
      <c r="B125" t="s">
        <v>477</v>
      </c>
      <c r="C125" s="18" t="s">
        <v>125</v>
      </c>
      <c r="D125" s="18" t="s">
        <v>57</v>
      </c>
      <c r="E125" s="18" t="s">
        <v>158</v>
      </c>
      <c r="F125" s="19">
        <v>44904</v>
      </c>
      <c r="G125" s="20">
        <v>9450.8799999999992</v>
      </c>
      <c r="H125" s="50" t="s">
        <v>791</v>
      </c>
      <c r="I125" t="s">
        <v>790</v>
      </c>
      <c r="J125">
        <v>54</v>
      </c>
      <c r="K125" t="s">
        <v>481</v>
      </c>
    </row>
    <row r="126" spans="1:11" x14ac:dyDescent="0.35">
      <c r="A126" t="s">
        <v>790</v>
      </c>
      <c r="B126" t="s">
        <v>477</v>
      </c>
      <c r="C126" s="18" t="s">
        <v>125</v>
      </c>
      <c r="D126" s="18" t="s">
        <v>57</v>
      </c>
      <c r="E126" s="18" t="s">
        <v>159</v>
      </c>
      <c r="F126" s="19">
        <v>44904</v>
      </c>
      <c r="G126" s="20">
        <v>38553</v>
      </c>
      <c r="H126" s="50" t="s">
        <v>791</v>
      </c>
      <c r="I126" t="s">
        <v>790</v>
      </c>
      <c r="J126">
        <v>54</v>
      </c>
      <c r="K126" t="s">
        <v>481</v>
      </c>
    </row>
    <row r="127" spans="1:11" x14ac:dyDescent="0.35">
      <c r="A127" t="s">
        <v>790</v>
      </c>
      <c r="B127" t="s">
        <v>477</v>
      </c>
      <c r="C127" s="18" t="s">
        <v>125</v>
      </c>
      <c r="D127" s="18" t="s">
        <v>57</v>
      </c>
      <c r="E127" s="18" t="s">
        <v>160</v>
      </c>
      <c r="F127" s="19">
        <v>44904</v>
      </c>
      <c r="G127" s="20">
        <v>27225</v>
      </c>
      <c r="H127" s="50" t="s">
        <v>791</v>
      </c>
      <c r="I127" t="s">
        <v>790</v>
      </c>
      <c r="J127">
        <v>54</v>
      </c>
      <c r="K127" t="s">
        <v>481</v>
      </c>
    </row>
    <row r="128" spans="1:11" x14ac:dyDescent="0.35">
      <c r="A128" t="s">
        <v>790</v>
      </c>
      <c r="B128" t="s">
        <v>477</v>
      </c>
      <c r="C128" s="18" t="s">
        <v>125</v>
      </c>
      <c r="D128" s="18" t="s">
        <v>57</v>
      </c>
      <c r="E128" s="18" t="s">
        <v>161</v>
      </c>
      <c r="F128" s="19">
        <v>44904</v>
      </c>
      <c r="G128" s="20">
        <v>181718</v>
      </c>
      <c r="H128" s="50" t="s">
        <v>791</v>
      </c>
      <c r="I128" t="s">
        <v>790</v>
      </c>
      <c r="J128">
        <v>54</v>
      </c>
      <c r="K128" t="s">
        <v>481</v>
      </c>
    </row>
    <row r="129" spans="1:11" x14ac:dyDescent="0.35">
      <c r="A129" t="s">
        <v>790</v>
      </c>
      <c r="B129" t="s">
        <v>477</v>
      </c>
      <c r="C129" s="18" t="s">
        <v>125</v>
      </c>
      <c r="D129" s="18" t="s">
        <v>57</v>
      </c>
      <c r="E129" s="18" t="s">
        <v>162</v>
      </c>
      <c r="F129" s="19">
        <v>44904</v>
      </c>
      <c r="G129" s="20">
        <v>9504000</v>
      </c>
      <c r="H129" s="50" t="s">
        <v>791</v>
      </c>
      <c r="I129" t="s">
        <v>790</v>
      </c>
      <c r="J129">
        <v>54</v>
      </c>
      <c r="K129" t="s">
        <v>481</v>
      </c>
    </row>
    <row r="130" spans="1:11" x14ac:dyDescent="0.35">
      <c r="A130" t="s">
        <v>790</v>
      </c>
      <c r="B130" t="s">
        <v>477</v>
      </c>
      <c r="C130" s="18" t="s">
        <v>125</v>
      </c>
      <c r="D130" s="18" t="s">
        <v>57</v>
      </c>
      <c r="E130" s="18" t="s">
        <v>163</v>
      </c>
      <c r="F130" s="19">
        <v>44904</v>
      </c>
      <c r="G130" s="20">
        <v>3920400</v>
      </c>
      <c r="H130" s="50" t="s">
        <v>791</v>
      </c>
      <c r="I130" t="s">
        <v>790</v>
      </c>
      <c r="J130">
        <v>54</v>
      </c>
      <c r="K130" t="s">
        <v>481</v>
      </c>
    </row>
    <row r="131" spans="1:11" x14ac:dyDescent="0.35">
      <c r="A131" t="s">
        <v>790</v>
      </c>
      <c r="B131" t="s">
        <v>477</v>
      </c>
      <c r="C131" s="18" t="s">
        <v>125</v>
      </c>
      <c r="D131" s="18" t="s">
        <v>57</v>
      </c>
      <c r="E131" s="18" t="s">
        <v>164</v>
      </c>
      <c r="F131" s="19">
        <v>44905</v>
      </c>
      <c r="G131" s="20">
        <v>37521.5</v>
      </c>
      <c r="H131" s="50" t="s">
        <v>791</v>
      </c>
      <c r="I131" t="s">
        <v>790</v>
      </c>
      <c r="J131">
        <v>53</v>
      </c>
      <c r="K131" t="s">
        <v>481</v>
      </c>
    </row>
    <row r="132" spans="1:11" x14ac:dyDescent="0.35">
      <c r="A132" t="s">
        <v>790</v>
      </c>
      <c r="B132" t="s">
        <v>477</v>
      </c>
      <c r="C132" s="18" t="s">
        <v>125</v>
      </c>
      <c r="D132" s="18" t="s">
        <v>57</v>
      </c>
      <c r="E132" s="18" t="s">
        <v>165</v>
      </c>
      <c r="F132" s="19">
        <v>44905</v>
      </c>
      <c r="G132" s="20">
        <v>132637</v>
      </c>
      <c r="H132" s="50" t="s">
        <v>791</v>
      </c>
      <c r="I132" t="s">
        <v>790</v>
      </c>
      <c r="J132">
        <v>53</v>
      </c>
      <c r="K132" t="s">
        <v>481</v>
      </c>
    </row>
    <row r="133" spans="1:11" x14ac:dyDescent="0.35">
      <c r="A133" t="s">
        <v>790</v>
      </c>
      <c r="B133" t="s">
        <v>477</v>
      </c>
      <c r="C133" s="18" t="s">
        <v>125</v>
      </c>
      <c r="D133" s="18" t="s">
        <v>57</v>
      </c>
      <c r="E133" s="18" t="s">
        <v>166</v>
      </c>
      <c r="F133" s="19">
        <v>44906</v>
      </c>
      <c r="G133" s="20">
        <v>210775.04000000001</v>
      </c>
      <c r="H133" s="50" t="s">
        <v>791</v>
      </c>
      <c r="I133" t="s">
        <v>790</v>
      </c>
      <c r="J133">
        <v>52</v>
      </c>
      <c r="K133" t="s">
        <v>481</v>
      </c>
    </row>
    <row r="134" spans="1:11" x14ac:dyDescent="0.35">
      <c r="A134" t="s">
        <v>790</v>
      </c>
      <c r="B134" t="s">
        <v>477</v>
      </c>
      <c r="C134" s="18" t="s">
        <v>125</v>
      </c>
      <c r="D134" s="18" t="s">
        <v>57</v>
      </c>
      <c r="E134" s="18" t="s">
        <v>167</v>
      </c>
      <c r="F134" s="19">
        <v>44906</v>
      </c>
      <c r="G134" s="20">
        <v>3282.12</v>
      </c>
      <c r="H134" s="50" t="s">
        <v>791</v>
      </c>
      <c r="I134" t="s">
        <v>790</v>
      </c>
      <c r="J134">
        <v>52</v>
      </c>
      <c r="K134" t="s">
        <v>481</v>
      </c>
    </row>
    <row r="135" spans="1:11" x14ac:dyDescent="0.35">
      <c r="A135" t="s">
        <v>790</v>
      </c>
      <c r="B135" t="s">
        <v>477</v>
      </c>
      <c r="C135" s="18" t="s">
        <v>125</v>
      </c>
      <c r="D135" s="18" t="s">
        <v>57</v>
      </c>
      <c r="E135" s="18" t="s">
        <v>168</v>
      </c>
      <c r="F135" s="19">
        <v>44907</v>
      </c>
      <c r="G135" s="20">
        <v>683031.13</v>
      </c>
      <c r="H135" s="50" t="s">
        <v>791</v>
      </c>
      <c r="I135" t="s">
        <v>790</v>
      </c>
      <c r="J135">
        <v>51</v>
      </c>
      <c r="K135" t="s">
        <v>481</v>
      </c>
    </row>
    <row r="136" spans="1:11" x14ac:dyDescent="0.35">
      <c r="A136" t="s">
        <v>790</v>
      </c>
      <c r="B136" t="s">
        <v>477</v>
      </c>
      <c r="C136" s="18" t="s">
        <v>125</v>
      </c>
      <c r="D136" s="18" t="s">
        <v>57</v>
      </c>
      <c r="E136" s="18" t="s">
        <v>169</v>
      </c>
      <c r="F136" s="19">
        <v>44907</v>
      </c>
      <c r="G136" s="20">
        <v>3961.8</v>
      </c>
      <c r="H136" s="50" t="s">
        <v>791</v>
      </c>
      <c r="I136" t="s">
        <v>790</v>
      </c>
      <c r="J136">
        <v>51</v>
      </c>
      <c r="K136" t="s">
        <v>481</v>
      </c>
    </row>
    <row r="137" spans="1:11" x14ac:dyDescent="0.35">
      <c r="A137" t="s">
        <v>790</v>
      </c>
      <c r="B137" t="s">
        <v>477</v>
      </c>
      <c r="C137" s="18" t="s">
        <v>125</v>
      </c>
      <c r="D137" s="18" t="s">
        <v>57</v>
      </c>
      <c r="E137" s="18" t="s">
        <v>170</v>
      </c>
      <c r="F137" s="19">
        <v>44907</v>
      </c>
      <c r="G137" s="20">
        <v>20625</v>
      </c>
      <c r="H137" s="50" t="s">
        <v>791</v>
      </c>
      <c r="I137" t="s">
        <v>790</v>
      </c>
      <c r="J137">
        <v>51</v>
      </c>
      <c r="K137" t="s">
        <v>481</v>
      </c>
    </row>
    <row r="138" spans="1:11" x14ac:dyDescent="0.35">
      <c r="A138" t="s">
        <v>790</v>
      </c>
      <c r="B138" t="s">
        <v>477</v>
      </c>
      <c r="C138" s="18" t="s">
        <v>125</v>
      </c>
      <c r="D138" s="18" t="s">
        <v>57</v>
      </c>
      <c r="E138" s="18" t="s">
        <v>171</v>
      </c>
      <c r="F138" s="19">
        <v>44907</v>
      </c>
      <c r="G138" s="20">
        <v>35503</v>
      </c>
      <c r="H138" s="50" t="s">
        <v>791</v>
      </c>
      <c r="I138" t="s">
        <v>790</v>
      </c>
      <c r="J138">
        <v>51</v>
      </c>
      <c r="K138" t="s">
        <v>481</v>
      </c>
    </row>
    <row r="139" spans="1:11" x14ac:dyDescent="0.35">
      <c r="A139" t="s">
        <v>790</v>
      </c>
      <c r="B139" t="s">
        <v>477</v>
      </c>
      <c r="C139" s="18" t="s">
        <v>125</v>
      </c>
      <c r="D139" s="18" t="s">
        <v>57</v>
      </c>
      <c r="E139" s="18" t="s">
        <v>172</v>
      </c>
      <c r="F139" s="19">
        <v>44908</v>
      </c>
      <c r="G139" s="20">
        <v>686412.99</v>
      </c>
      <c r="H139" s="50" t="s">
        <v>791</v>
      </c>
      <c r="I139" t="s">
        <v>790</v>
      </c>
      <c r="J139">
        <v>50</v>
      </c>
      <c r="K139" t="s">
        <v>481</v>
      </c>
    </row>
    <row r="140" spans="1:11" x14ac:dyDescent="0.35">
      <c r="A140" t="s">
        <v>790</v>
      </c>
      <c r="B140" t="s">
        <v>477</v>
      </c>
      <c r="C140" s="18" t="s">
        <v>125</v>
      </c>
      <c r="D140" s="18" t="s">
        <v>57</v>
      </c>
      <c r="E140" s="18" t="s">
        <v>173</v>
      </c>
      <c r="F140" s="19">
        <v>44908</v>
      </c>
      <c r="G140" s="20">
        <v>8941.1200000000008</v>
      </c>
      <c r="H140" s="50" t="s">
        <v>791</v>
      </c>
      <c r="I140" t="s">
        <v>790</v>
      </c>
      <c r="J140">
        <v>50</v>
      </c>
      <c r="K140" t="s">
        <v>481</v>
      </c>
    </row>
    <row r="141" spans="1:11" x14ac:dyDescent="0.35">
      <c r="A141" t="s">
        <v>790</v>
      </c>
      <c r="B141" t="s">
        <v>477</v>
      </c>
      <c r="C141" s="18" t="s">
        <v>125</v>
      </c>
      <c r="D141" s="18" t="s">
        <v>57</v>
      </c>
      <c r="E141" s="18" t="s">
        <v>174</v>
      </c>
      <c r="F141" s="19">
        <v>44908</v>
      </c>
      <c r="G141" s="20">
        <v>79582</v>
      </c>
      <c r="H141" s="50" t="s">
        <v>791</v>
      </c>
      <c r="I141" t="s">
        <v>790</v>
      </c>
      <c r="J141">
        <v>50</v>
      </c>
      <c r="K141" t="s">
        <v>481</v>
      </c>
    </row>
    <row r="142" spans="1:11" x14ac:dyDescent="0.35">
      <c r="A142" t="s">
        <v>790</v>
      </c>
      <c r="B142" t="s">
        <v>477</v>
      </c>
      <c r="C142" s="18" t="s">
        <v>125</v>
      </c>
      <c r="D142" s="18" t="s">
        <v>57</v>
      </c>
      <c r="E142" s="18" t="s">
        <v>175</v>
      </c>
      <c r="F142" s="19">
        <v>44908</v>
      </c>
      <c r="G142" s="20">
        <v>19461.099999999999</v>
      </c>
      <c r="H142" s="50" t="s">
        <v>791</v>
      </c>
      <c r="I142" t="s">
        <v>790</v>
      </c>
      <c r="J142">
        <v>50</v>
      </c>
      <c r="K142" t="s">
        <v>481</v>
      </c>
    </row>
    <row r="143" spans="1:11" x14ac:dyDescent="0.35">
      <c r="A143" t="s">
        <v>790</v>
      </c>
      <c r="B143" t="s">
        <v>477</v>
      </c>
      <c r="C143" s="18" t="s">
        <v>125</v>
      </c>
      <c r="D143" s="18" t="s">
        <v>57</v>
      </c>
      <c r="E143" s="18" t="s">
        <v>176</v>
      </c>
      <c r="F143" s="19">
        <v>44908</v>
      </c>
      <c r="G143" s="20">
        <v>225088</v>
      </c>
      <c r="H143" s="50" t="s">
        <v>791</v>
      </c>
      <c r="I143" t="s">
        <v>790</v>
      </c>
      <c r="J143">
        <v>50</v>
      </c>
      <c r="K143" t="s">
        <v>481</v>
      </c>
    </row>
    <row r="144" spans="1:11" x14ac:dyDescent="0.35">
      <c r="A144" t="s">
        <v>790</v>
      </c>
      <c r="B144" t="s">
        <v>477</v>
      </c>
      <c r="C144" s="18" t="s">
        <v>125</v>
      </c>
      <c r="D144" s="18" t="s">
        <v>57</v>
      </c>
      <c r="E144" s="18" t="s">
        <v>177</v>
      </c>
      <c r="F144" s="19">
        <v>44909</v>
      </c>
      <c r="G144" s="20">
        <v>2546.8000000000002</v>
      </c>
      <c r="H144" s="50" t="s">
        <v>791</v>
      </c>
      <c r="I144" t="s">
        <v>790</v>
      </c>
      <c r="J144">
        <v>49</v>
      </c>
      <c r="K144" t="s">
        <v>481</v>
      </c>
    </row>
    <row r="145" spans="1:11" x14ac:dyDescent="0.35">
      <c r="A145" t="s">
        <v>790</v>
      </c>
      <c r="B145" t="s">
        <v>477</v>
      </c>
      <c r="C145" s="18" t="s">
        <v>125</v>
      </c>
      <c r="D145" s="18" t="s">
        <v>57</v>
      </c>
      <c r="E145" s="18" t="s">
        <v>178</v>
      </c>
      <c r="F145" s="19">
        <v>44909</v>
      </c>
      <c r="G145" s="20">
        <v>412122.01</v>
      </c>
      <c r="H145" s="50" t="s">
        <v>791</v>
      </c>
      <c r="I145" t="s">
        <v>790</v>
      </c>
      <c r="J145">
        <v>49</v>
      </c>
      <c r="K145" t="s">
        <v>481</v>
      </c>
    </row>
    <row r="146" spans="1:11" x14ac:dyDescent="0.35">
      <c r="A146" t="s">
        <v>790</v>
      </c>
      <c r="B146" t="s">
        <v>477</v>
      </c>
      <c r="C146" s="18" t="s">
        <v>125</v>
      </c>
      <c r="D146" s="18" t="s">
        <v>57</v>
      </c>
      <c r="E146" s="18" t="s">
        <v>179</v>
      </c>
      <c r="F146" s="19">
        <v>44910</v>
      </c>
      <c r="G146" s="20">
        <v>15740</v>
      </c>
      <c r="H146" s="50" t="s">
        <v>791</v>
      </c>
      <c r="I146" t="s">
        <v>790</v>
      </c>
      <c r="J146">
        <v>48</v>
      </c>
      <c r="K146" t="s">
        <v>481</v>
      </c>
    </row>
    <row r="147" spans="1:11" x14ac:dyDescent="0.35">
      <c r="A147" t="s">
        <v>790</v>
      </c>
      <c r="B147" t="s">
        <v>477</v>
      </c>
      <c r="C147" s="18" t="s">
        <v>125</v>
      </c>
      <c r="D147" s="18" t="s">
        <v>57</v>
      </c>
      <c r="E147" s="18" t="s">
        <v>180</v>
      </c>
      <c r="F147" s="19">
        <v>44910</v>
      </c>
      <c r="G147" s="20">
        <v>743315.05</v>
      </c>
      <c r="H147" s="50" t="s">
        <v>791</v>
      </c>
      <c r="I147" t="s">
        <v>790</v>
      </c>
      <c r="J147">
        <v>48</v>
      </c>
      <c r="K147" t="s">
        <v>481</v>
      </c>
    </row>
    <row r="148" spans="1:11" x14ac:dyDescent="0.35">
      <c r="A148" t="s">
        <v>790</v>
      </c>
      <c r="B148" t="s">
        <v>477</v>
      </c>
      <c r="C148" s="18" t="s">
        <v>125</v>
      </c>
      <c r="D148" s="18" t="s">
        <v>57</v>
      </c>
      <c r="E148" s="18" t="s">
        <v>181</v>
      </c>
      <c r="F148" s="19">
        <v>44910</v>
      </c>
      <c r="G148" s="20">
        <v>820294.65</v>
      </c>
      <c r="H148" s="50" t="s">
        <v>791</v>
      </c>
      <c r="I148" t="s">
        <v>790</v>
      </c>
      <c r="J148">
        <v>48</v>
      </c>
      <c r="K148" t="s">
        <v>481</v>
      </c>
    </row>
    <row r="149" spans="1:11" x14ac:dyDescent="0.35">
      <c r="A149" t="s">
        <v>790</v>
      </c>
      <c r="B149" t="s">
        <v>477</v>
      </c>
      <c r="C149" s="18" t="s">
        <v>125</v>
      </c>
      <c r="D149" s="18" t="s">
        <v>57</v>
      </c>
      <c r="E149" s="18" t="s">
        <v>182</v>
      </c>
      <c r="F149" s="19">
        <v>44910</v>
      </c>
      <c r="G149" s="20">
        <v>11035.8</v>
      </c>
      <c r="H149" s="50" t="s">
        <v>791</v>
      </c>
      <c r="I149" t="s">
        <v>790</v>
      </c>
      <c r="J149">
        <v>48</v>
      </c>
      <c r="K149" t="s">
        <v>481</v>
      </c>
    </row>
    <row r="150" spans="1:11" x14ac:dyDescent="0.35">
      <c r="A150" t="s">
        <v>790</v>
      </c>
      <c r="B150" t="s">
        <v>477</v>
      </c>
      <c r="C150" s="18" t="s">
        <v>125</v>
      </c>
      <c r="D150" s="18" t="s">
        <v>57</v>
      </c>
      <c r="E150" s="18" t="s">
        <v>183</v>
      </c>
      <c r="F150" s="19">
        <v>44910</v>
      </c>
      <c r="G150" s="20">
        <v>135106.28</v>
      </c>
      <c r="H150" s="50" t="s">
        <v>791</v>
      </c>
      <c r="I150" t="s">
        <v>790</v>
      </c>
      <c r="J150">
        <v>48</v>
      </c>
      <c r="K150" t="s">
        <v>481</v>
      </c>
    </row>
    <row r="151" spans="1:11" x14ac:dyDescent="0.35">
      <c r="A151" t="s">
        <v>790</v>
      </c>
      <c r="B151" t="s">
        <v>477</v>
      </c>
      <c r="C151" s="18" t="s">
        <v>125</v>
      </c>
      <c r="D151" s="18" t="s">
        <v>57</v>
      </c>
      <c r="E151" s="18" t="s">
        <v>184</v>
      </c>
      <c r="F151" s="19">
        <v>44910</v>
      </c>
      <c r="G151" s="20">
        <v>107424</v>
      </c>
      <c r="H151" s="50" t="s">
        <v>791</v>
      </c>
      <c r="I151" t="s">
        <v>790</v>
      </c>
      <c r="J151">
        <v>48</v>
      </c>
      <c r="K151" t="s">
        <v>481</v>
      </c>
    </row>
    <row r="152" spans="1:11" x14ac:dyDescent="0.35">
      <c r="A152" t="s">
        <v>790</v>
      </c>
      <c r="B152" t="s">
        <v>477</v>
      </c>
      <c r="C152" s="18" t="s">
        <v>125</v>
      </c>
      <c r="D152" s="18" t="s">
        <v>57</v>
      </c>
      <c r="E152" s="18" t="s">
        <v>185</v>
      </c>
      <c r="F152" s="19">
        <v>44911</v>
      </c>
      <c r="G152" s="20">
        <v>471437.24</v>
      </c>
      <c r="H152" s="50" t="s">
        <v>791</v>
      </c>
      <c r="I152" t="s">
        <v>790</v>
      </c>
      <c r="J152">
        <v>47</v>
      </c>
      <c r="K152" t="s">
        <v>481</v>
      </c>
    </row>
    <row r="153" spans="1:11" x14ac:dyDescent="0.35">
      <c r="A153" t="s">
        <v>790</v>
      </c>
      <c r="B153" t="s">
        <v>477</v>
      </c>
      <c r="C153" s="18" t="s">
        <v>125</v>
      </c>
      <c r="D153" s="18" t="s">
        <v>57</v>
      </c>
      <c r="E153" s="18" t="s">
        <v>186</v>
      </c>
      <c r="F153" s="19">
        <v>44911</v>
      </c>
      <c r="G153" s="20">
        <v>115192.9</v>
      </c>
      <c r="H153" s="50" t="s">
        <v>791</v>
      </c>
      <c r="I153" t="s">
        <v>790</v>
      </c>
      <c r="J153">
        <v>47</v>
      </c>
      <c r="K153" t="s">
        <v>481</v>
      </c>
    </row>
    <row r="154" spans="1:11" x14ac:dyDescent="0.35">
      <c r="A154" t="s">
        <v>790</v>
      </c>
      <c r="B154" t="s">
        <v>477</v>
      </c>
      <c r="C154" s="18" t="s">
        <v>125</v>
      </c>
      <c r="D154" s="18" t="s">
        <v>57</v>
      </c>
      <c r="E154" s="18" t="s">
        <v>187</v>
      </c>
      <c r="F154" s="19">
        <v>44911</v>
      </c>
      <c r="G154" s="20">
        <v>105382.86</v>
      </c>
      <c r="H154" s="50" t="s">
        <v>791</v>
      </c>
      <c r="I154" t="s">
        <v>790</v>
      </c>
      <c r="J154">
        <v>47</v>
      </c>
      <c r="K154" t="s">
        <v>481</v>
      </c>
    </row>
    <row r="155" spans="1:11" x14ac:dyDescent="0.35">
      <c r="A155" t="s">
        <v>790</v>
      </c>
      <c r="B155" t="s">
        <v>477</v>
      </c>
      <c r="C155" s="18" t="s">
        <v>125</v>
      </c>
      <c r="D155" s="18" t="s">
        <v>57</v>
      </c>
      <c r="E155" s="18" t="s">
        <v>188</v>
      </c>
      <c r="F155" s="19">
        <v>44911</v>
      </c>
      <c r="G155" s="20">
        <v>40425</v>
      </c>
      <c r="H155" s="50" t="s">
        <v>791</v>
      </c>
      <c r="I155" t="s">
        <v>790</v>
      </c>
      <c r="J155">
        <v>47</v>
      </c>
      <c r="K155" t="s">
        <v>481</v>
      </c>
    </row>
    <row r="156" spans="1:11" x14ac:dyDescent="0.35">
      <c r="A156" t="s">
        <v>790</v>
      </c>
      <c r="B156" t="s">
        <v>477</v>
      </c>
      <c r="C156" s="18" t="s">
        <v>125</v>
      </c>
      <c r="D156" s="18" t="s">
        <v>57</v>
      </c>
      <c r="E156" s="18" t="s">
        <v>189</v>
      </c>
      <c r="F156" s="19">
        <v>44911</v>
      </c>
      <c r="G156" s="20">
        <v>1602</v>
      </c>
      <c r="H156" s="50" t="s">
        <v>791</v>
      </c>
      <c r="I156" t="s">
        <v>790</v>
      </c>
      <c r="J156">
        <v>47</v>
      </c>
      <c r="K156" t="s">
        <v>481</v>
      </c>
    </row>
    <row r="157" spans="1:11" x14ac:dyDescent="0.35">
      <c r="A157" t="s">
        <v>790</v>
      </c>
      <c r="B157" t="s">
        <v>477</v>
      </c>
      <c r="C157" s="18" t="s">
        <v>125</v>
      </c>
      <c r="D157" s="18" t="s">
        <v>57</v>
      </c>
      <c r="E157" s="18" t="s">
        <v>190</v>
      </c>
      <c r="F157" s="19">
        <v>44912</v>
      </c>
      <c r="G157" s="20">
        <v>521118</v>
      </c>
      <c r="H157" s="50" t="s">
        <v>791</v>
      </c>
      <c r="I157" t="s">
        <v>790</v>
      </c>
      <c r="J157">
        <v>46</v>
      </c>
      <c r="K157" t="s">
        <v>481</v>
      </c>
    </row>
    <row r="158" spans="1:11" x14ac:dyDescent="0.35">
      <c r="A158" t="s">
        <v>790</v>
      </c>
      <c r="B158" t="s">
        <v>477</v>
      </c>
      <c r="C158" s="18" t="s">
        <v>125</v>
      </c>
      <c r="D158" s="18" t="s">
        <v>57</v>
      </c>
      <c r="E158" s="18" t="s">
        <v>191</v>
      </c>
      <c r="F158" s="19">
        <v>44912</v>
      </c>
      <c r="G158" s="20">
        <v>4255.8</v>
      </c>
      <c r="H158" s="50" t="s">
        <v>791</v>
      </c>
      <c r="I158" t="s">
        <v>790</v>
      </c>
      <c r="J158">
        <v>46</v>
      </c>
      <c r="K158" t="s">
        <v>481</v>
      </c>
    </row>
    <row r="159" spans="1:11" x14ac:dyDescent="0.35">
      <c r="A159" t="s">
        <v>790</v>
      </c>
      <c r="B159" t="s">
        <v>477</v>
      </c>
      <c r="C159" s="18" t="s">
        <v>125</v>
      </c>
      <c r="D159" s="18" t="s">
        <v>57</v>
      </c>
      <c r="E159" s="18" t="s">
        <v>192</v>
      </c>
      <c r="F159" s="19">
        <v>44912</v>
      </c>
      <c r="G159" s="20">
        <v>825114.58</v>
      </c>
      <c r="H159" s="50" t="s">
        <v>791</v>
      </c>
      <c r="I159" t="s">
        <v>790</v>
      </c>
      <c r="J159">
        <v>46</v>
      </c>
      <c r="K159" t="s">
        <v>481</v>
      </c>
    </row>
    <row r="160" spans="1:11" x14ac:dyDescent="0.35">
      <c r="A160" t="s">
        <v>790</v>
      </c>
      <c r="B160" t="s">
        <v>477</v>
      </c>
      <c r="C160" s="18" t="s">
        <v>125</v>
      </c>
      <c r="D160" s="18" t="s">
        <v>57</v>
      </c>
      <c r="E160" s="18" t="s">
        <v>193</v>
      </c>
      <c r="F160" s="19">
        <v>44912</v>
      </c>
      <c r="G160" s="20">
        <v>11714.48</v>
      </c>
      <c r="H160" s="50" t="s">
        <v>791</v>
      </c>
      <c r="I160" t="s">
        <v>790</v>
      </c>
      <c r="J160">
        <v>46</v>
      </c>
      <c r="K160" t="s">
        <v>481</v>
      </c>
    </row>
    <row r="161" spans="1:11" x14ac:dyDescent="0.35">
      <c r="A161" t="s">
        <v>790</v>
      </c>
      <c r="B161" t="s">
        <v>477</v>
      </c>
      <c r="C161" s="18" t="s">
        <v>125</v>
      </c>
      <c r="D161" s="18" t="s">
        <v>57</v>
      </c>
      <c r="E161" s="18" t="s">
        <v>194</v>
      </c>
      <c r="F161" s="19">
        <v>44912</v>
      </c>
      <c r="G161" s="20">
        <v>29515</v>
      </c>
      <c r="H161" s="50" t="s">
        <v>791</v>
      </c>
      <c r="I161" t="s">
        <v>790</v>
      </c>
      <c r="J161">
        <v>46</v>
      </c>
      <c r="K161" t="s">
        <v>481</v>
      </c>
    </row>
    <row r="162" spans="1:11" x14ac:dyDescent="0.35">
      <c r="A162" t="s">
        <v>790</v>
      </c>
      <c r="B162" t="s">
        <v>477</v>
      </c>
      <c r="C162" s="18" t="s">
        <v>125</v>
      </c>
      <c r="D162" s="18" t="s">
        <v>57</v>
      </c>
      <c r="E162" s="18" t="s">
        <v>195</v>
      </c>
      <c r="F162" s="19">
        <v>44913</v>
      </c>
      <c r="G162" s="20">
        <v>566102.53</v>
      </c>
      <c r="H162" s="50" t="s">
        <v>791</v>
      </c>
      <c r="I162" t="s">
        <v>790</v>
      </c>
      <c r="J162">
        <v>45</v>
      </c>
      <c r="K162" t="s">
        <v>481</v>
      </c>
    </row>
    <row r="163" spans="1:11" x14ac:dyDescent="0.35">
      <c r="A163" t="s">
        <v>790</v>
      </c>
      <c r="B163" t="s">
        <v>477</v>
      </c>
      <c r="C163" s="18" t="s">
        <v>125</v>
      </c>
      <c r="D163" s="18" t="s">
        <v>57</v>
      </c>
      <c r="E163" s="18" t="s">
        <v>196</v>
      </c>
      <c r="F163" s="19">
        <v>44913</v>
      </c>
      <c r="G163" s="20">
        <v>7865.96</v>
      </c>
      <c r="H163" s="50" t="s">
        <v>791</v>
      </c>
      <c r="I163" t="s">
        <v>790</v>
      </c>
      <c r="J163">
        <v>45</v>
      </c>
      <c r="K163" t="s">
        <v>481</v>
      </c>
    </row>
    <row r="164" spans="1:11" x14ac:dyDescent="0.35">
      <c r="A164" t="s">
        <v>790</v>
      </c>
      <c r="B164" t="s">
        <v>477</v>
      </c>
      <c r="C164" s="18" t="s">
        <v>125</v>
      </c>
      <c r="D164" s="18" t="s">
        <v>57</v>
      </c>
      <c r="E164" s="18" t="s">
        <v>197</v>
      </c>
      <c r="F164" s="19">
        <v>44913</v>
      </c>
      <c r="G164" s="20">
        <v>30525</v>
      </c>
      <c r="H164" s="50" t="s">
        <v>791</v>
      </c>
      <c r="I164" t="s">
        <v>790</v>
      </c>
      <c r="J164">
        <v>45</v>
      </c>
      <c r="K164" t="s">
        <v>481</v>
      </c>
    </row>
    <row r="165" spans="1:11" x14ac:dyDescent="0.35">
      <c r="A165" t="s">
        <v>790</v>
      </c>
      <c r="B165" t="s">
        <v>477</v>
      </c>
      <c r="C165" s="18" t="s">
        <v>125</v>
      </c>
      <c r="D165" s="18" t="s">
        <v>57</v>
      </c>
      <c r="E165" s="18" t="s">
        <v>198</v>
      </c>
      <c r="F165" s="19">
        <v>44914</v>
      </c>
      <c r="G165" s="20">
        <v>2480.14</v>
      </c>
      <c r="H165" s="50" t="s">
        <v>791</v>
      </c>
      <c r="I165" t="s">
        <v>790</v>
      </c>
      <c r="J165">
        <v>44</v>
      </c>
      <c r="K165" t="s">
        <v>481</v>
      </c>
    </row>
    <row r="166" spans="1:11" x14ac:dyDescent="0.35">
      <c r="A166" t="s">
        <v>790</v>
      </c>
      <c r="B166" t="s">
        <v>477</v>
      </c>
      <c r="C166" s="18" t="s">
        <v>125</v>
      </c>
      <c r="D166" s="18" t="s">
        <v>57</v>
      </c>
      <c r="E166" s="18" t="s">
        <v>199</v>
      </c>
      <c r="F166" s="19">
        <v>44914</v>
      </c>
      <c r="G166" s="20">
        <v>800372.34</v>
      </c>
      <c r="H166" s="50" t="s">
        <v>791</v>
      </c>
      <c r="I166" t="s">
        <v>790</v>
      </c>
      <c r="J166">
        <v>44</v>
      </c>
      <c r="K166" t="s">
        <v>481</v>
      </c>
    </row>
    <row r="167" spans="1:11" x14ac:dyDescent="0.35">
      <c r="A167" t="s">
        <v>790</v>
      </c>
      <c r="B167" t="s">
        <v>477</v>
      </c>
      <c r="C167" s="18" t="s">
        <v>125</v>
      </c>
      <c r="D167" s="18" t="s">
        <v>57</v>
      </c>
      <c r="E167" s="18" t="s">
        <v>200</v>
      </c>
      <c r="F167" s="19">
        <v>44914</v>
      </c>
      <c r="G167" s="20">
        <v>10016.280000000001</v>
      </c>
      <c r="H167" s="50" t="s">
        <v>791</v>
      </c>
      <c r="I167" t="s">
        <v>790</v>
      </c>
      <c r="J167">
        <v>44</v>
      </c>
      <c r="K167" t="s">
        <v>481</v>
      </c>
    </row>
    <row r="168" spans="1:11" x14ac:dyDescent="0.35">
      <c r="A168" t="s">
        <v>790</v>
      </c>
      <c r="B168" t="s">
        <v>477</v>
      </c>
      <c r="C168" s="18" t="s">
        <v>125</v>
      </c>
      <c r="D168" s="18" t="s">
        <v>57</v>
      </c>
      <c r="E168" s="18" t="s">
        <v>201</v>
      </c>
      <c r="F168" s="19">
        <v>44915</v>
      </c>
      <c r="G168" s="20">
        <v>532418.76</v>
      </c>
      <c r="H168" s="50" t="s">
        <v>791</v>
      </c>
      <c r="I168" t="s">
        <v>790</v>
      </c>
      <c r="J168">
        <v>43</v>
      </c>
      <c r="K168" t="s">
        <v>481</v>
      </c>
    </row>
    <row r="169" spans="1:11" x14ac:dyDescent="0.35">
      <c r="A169" t="s">
        <v>790</v>
      </c>
      <c r="B169" t="s">
        <v>477</v>
      </c>
      <c r="C169" s="18" t="s">
        <v>125</v>
      </c>
      <c r="D169" s="18" t="s">
        <v>57</v>
      </c>
      <c r="E169" s="18" t="s">
        <v>202</v>
      </c>
      <c r="F169" s="19">
        <v>44915</v>
      </c>
      <c r="G169" s="20">
        <v>5998.84</v>
      </c>
      <c r="H169" s="50" t="s">
        <v>791</v>
      </c>
      <c r="I169" t="s">
        <v>790</v>
      </c>
      <c r="J169">
        <v>43</v>
      </c>
      <c r="K169" t="s">
        <v>481</v>
      </c>
    </row>
    <row r="170" spans="1:11" x14ac:dyDescent="0.35">
      <c r="A170" t="s">
        <v>790</v>
      </c>
      <c r="B170" t="s">
        <v>477</v>
      </c>
      <c r="C170" s="18" t="s">
        <v>125</v>
      </c>
      <c r="D170" s="18" t="s">
        <v>57</v>
      </c>
      <c r="E170" s="18" t="s">
        <v>203</v>
      </c>
      <c r="F170" s="19">
        <v>44915</v>
      </c>
      <c r="G170" s="20">
        <v>5206.88</v>
      </c>
      <c r="H170" s="50" t="s">
        <v>791</v>
      </c>
      <c r="I170" t="s">
        <v>790</v>
      </c>
      <c r="J170">
        <v>43</v>
      </c>
      <c r="K170" t="s">
        <v>481</v>
      </c>
    </row>
    <row r="171" spans="1:11" x14ac:dyDescent="0.35">
      <c r="A171" t="s">
        <v>790</v>
      </c>
      <c r="B171" t="s">
        <v>477</v>
      </c>
      <c r="C171" s="18" t="s">
        <v>125</v>
      </c>
      <c r="D171" s="18" t="s">
        <v>57</v>
      </c>
      <c r="E171" s="18" t="s">
        <v>204</v>
      </c>
      <c r="F171" s="19">
        <v>44915</v>
      </c>
      <c r="G171" s="20">
        <v>382326.51</v>
      </c>
      <c r="H171" s="50" t="s">
        <v>791</v>
      </c>
      <c r="I171" t="s">
        <v>790</v>
      </c>
      <c r="J171">
        <v>43</v>
      </c>
      <c r="K171" t="s">
        <v>481</v>
      </c>
    </row>
    <row r="172" spans="1:11" x14ac:dyDescent="0.35">
      <c r="A172" t="s">
        <v>790</v>
      </c>
      <c r="B172" t="s">
        <v>477</v>
      </c>
      <c r="C172" s="18" t="s">
        <v>125</v>
      </c>
      <c r="D172" s="18" t="s">
        <v>57</v>
      </c>
      <c r="E172" s="18" t="s">
        <v>205</v>
      </c>
      <c r="F172" s="19">
        <v>44915</v>
      </c>
      <c r="G172" s="20">
        <v>452382</v>
      </c>
      <c r="H172" s="50" t="s">
        <v>791</v>
      </c>
      <c r="I172" t="s">
        <v>790</v>
      </c>
      <c r="J172">
        <v>43</v>
      </c>
      <c r="K172" t="s">
        <v>481</v>
      </c>
    </row>
    <row r="173" spans="1:11" x14ac:dyDescent="0.35">
      <c r="A173" t="s">
        <v>790</v>
      </c>
      <c r="B173" t="s">
        <v>477</v>
      </c>
      <c r="C173" s="18" t="s">
        <v>125</v>
      </c>
      <c r="D173" s="18" t="s">
        <v>57</v>
      </c>
      <c r="E173" s="18" t="s">
        <v>206</v>
      </c>
      <c r="F173" s="19">
        <v>44915</v>
      </c>
      <c r="G173" s="20">
        <v>1067384.72</v>
      </c>
      <c r="H173" s="50" t="s">
        <v>791</v>
      </c>
      <c r="I173" t="s">
        <v>790</v>
      </c>
      <c r="J173">
        <v>43</v>
      </c>
      <c r="K173" t="s">
        <v>481</v>
      </c>
    </row>
    <row r="174" spans="1:11" x14ac:dyDescent="0.35">
      <c r="A174" t="s">
        <v>790</v>
      </c>
      <c r="B174" t="s">
        <v>477</v>
      </c>
      <c r="C174" s="18" t="s">
        <v>125</v>
      </c>
      <c r="D174" s="18" t="s">
        <v>57</v>
      </c>
      <c r="E174" s="18" t="s">
        <v>207</v>
      </c>
      <c r="F174" s="19">
        <v>44916</v>
      </c>
      <c r="G174" s="20">
        <v>193422.57</v>
      </c>
      <c r="H174" s="50" t="s">
        <v>791</v>
      </c>
      <c r="I174" t="s">
        <v>790</v>
      </c>
      <c r="J174">
        <v>42</v>
      </c>
      <c r="K174" t="s">
        <v>481</v>
      </c>
    </row>
    <row r="175" spans="1:11" x14ac:dyDescent="0.35">
      <c r="A175" t="s">
        <v>790</v>
      </c>
      <c r="B175" t="s">
        <v>477</v>
      </c>
      <c r="C175" s="18" t="s">
        <v>125</v>
      </c>
      <c r="D175" s="18" t="s">
        <v>57</v>
      </c>
      <c r="E175" s="18" t="s">
        <v>208</v>
      </c>
      <c r="F175" s="19">
        <v>44916</v>
      </c>
      <c r="G175" s="20">
        <v>10469.4</v>
      </c>
      <c r="H175" s="50" t="s">
        <v>791</v>
      </c>
      <c r="I175" t="s">
        <v>790</v>
      </c>
      <c r="J175">
        <v>42</v>
      </c>
      <c r="K175" t="s">
        <v>481</v>
      </c>
    </row>
    <row r="176" spans="1:11" x14ac:dyDescent="0.35">
      <c r="A176" t="s">
        <v>790</v>
      </c>
      <c r="B176" t="s">
        <v>477</v>
      </c>
      <c r="C176" s="18" t="s">
        <v>125</v>
      </c>
      <c r="D176" s="18" t="s">
        <v>57</v>
      </c>
      <c r="E176" s="18" t="s">
        <v>209</v>
      </c>
      <c r="F176" s="19">
        <v>44916</v>
      </c>
      <c r="G176" s="20">
        <v>1399329.45</v>
      </c>
      <c r="H176" s="50" t="s">
        <v>791</v>
      </c>
      <c r="I176" t="s">
        <v>790</v>
      </c>
      <c r="J176">
        <v>42</v>
      </c>
      <c r="K176" t="s">
        <v>481</v>
      </c>
    </row>
    <row r="177" spans="1:11" x14ac:dyDescent="0.35">
      <c r="A177" t="s">
        <v>790</v>
      </c>
      <c r="B177" t="s">
        <v>477</v>
      </c>
      <c r="C177" s="18" t="s">
        <v>125</v>
      </c>
      <c r="D177" s="18" t="s">
        <v>57</v>
      </c>
      <c r="E177" s="18" t="s">
        <v>210</v>
      </c>
      <c r="F177" s="19">
        <v>44917</v>
      </c>
      <c r="G177" s="20">
        <v>681322.47</v>
      </c>
      <c r="H177" s="50" t="s">
        <v>791</v>
      </c>
      <c r="I177" t="s">
        <v>790</v>
      </c>
      <c r="J177">
        <v>41</v>
      </c>
      <c r="K177" t="s">
        <v>481</v>
      </c>
    </row>
    <row r="178" spans="1:11" x14ac:dyDescent="0.35">
      <c r="A178" t="s">
        <v>790</v>
      </c>
      <c r="B178" t="s">
        <v>477</v>
      </c>
      <c r="C178" s="18" t="s">
        <v>125</v>
      </c>
      <c r="D178" s="18" t="s">
        <v>57</v>
      </c>
      <c r="E178" s="18" t="s">
        <v>211</v>
      </c>
      <c r="F178" s="19">
        <v>44917</v>
      </c>
      <c r="G178" s="20">
        <v>8319.08</v>
      </c>
      <c r="H178" s="50" t="s">
        <v>791</v>
      </c>
      <c r="I178" t="s">
        <v>790</v>
      </c>
      <c r="J178">
        <v>41</v>
      </c>
      <c r="K178" t="s">
        <v>481</v>
      </c>
    </row>
    <row r="179" spans="1:11" x14ac:dyDescent="0.35">
      <c r="A179" t="s">
        <v>790</v>
      </c>
      <c r="B179" t="s">
        <v>477</v>
      </c>
      <c r="C179" s="18" t="s">
        <v>125</v>
      </c>
      <c r="D179" s="18" t="s">
        <v>57</v>
      </c>
      <c r="E179" s="18" t="s">
        <v>212</v>
      </c>
      <c r="F179" s="19">
        <v>44917</v>
      </c>
      <c r="G179" s="20">
        <v>156831.34</v>
      </c>
      <c r="H179" s="50" t="s">
        <v>791</v>
      </c>
      <c r="I179" t="s">
        <v>790</v>
      </c>
      <c r="J179">
        <v>41</v>
      </c>
      <c r="K179" t="s">
        <v>481</v>
      </c>
    </row>
    <row r="180" spans="1:11" x14ac:dyDescent="0.35">
      <c r="A180" t="s">
        <v>790</v>
      </c>
      <c r="B180" t="s">
        <v>477</v>
      </c>
      <c r="C180" s="18" t="s">
        <v>125</v>
      </c>
      <c r="D180" s="18" t="s">
        <v>57</v>
      </c>
      <c r="E180" s="18" t="s">
        <v>213</v>
      </c>
      <c r="F180" s="19">
        <v>44917</v>
      </c>
      <c r="G180" s="20">
        <v>3338.76</v>
      </c>
      <c r="H180" s="50" t="s">
        <v>791</v>
      </c>
      <c r="I180" t="s">
        <v>790</v>
      </c>
      <c r="J180">
        <v>41</v>
      </c>
      <c r="K180" t="s">
        <v>481</v>
      </c>
    </row>
    <row r="181" spans="1:11" x14ac:dyDescent="0.35">
      <c r="A181" t="s">
        <v>790</v>
      </c>
      <c r="B181" t="s">
        <v>477</v>
      </c>
      <c r="C181" s="18" t="s">
        <v>125</v>
      </c>
      <c r="D181" s="18" t="s">
        <v>57</v>
      </c>
      <c r="E181" s="18" t="s">
        <v>214</v>
      </c>
      <c r="F181" s="19">
        <v>44918</v>
      </c>
      <c r="G181" s="20">
        <v>331063</v>
      </c>
      <c r="H181" s="50" t="s">
        <v>791</v>
      </c>
      <c r="I181" t="s">
        <v>790</v>
      </c>
      <c r="J181">
        <v>40</v>
      </c>
      <c r="K181" t="s">
        <v>481</v>
      </c>
    </row>
    <row r="182" spans="1:11" x14ac:dyDescent="0.35">
      <c r="A182" t="s">
        <v>790</v>
      </c>
      <c r="B182" t="s">
        <v>477</v>
      </c>
      <c r="C182" s="18" t="s">
        <v>125</v>
      </c>
      <c r="D182" s="18" t="s">
        <v>57</v>
      </c>
      <c r="E182" s="18" t="s">
        <v>215</v>
      </c>
      <c r="F182" s="19">
        <v>44918</v>
      </c>
      <c r="G182" s="20">
        <v>1094103.31</v>
      </c>
      <c r="H182" s="50" t="s">
        <v>791</v>
      </c>
      <c r="I182" t="s">
        <v>790</v>
      </c>
      <c r="J182">
        <v>40</v>
      </c>
      <c r="K182" t="s">
        <v>481</v>
      </c>
    </row>
    <row r="183" spans="1:11" x14ac:dyDescent="0.35">
      <c r="A183" t="s">
        <v>790</v>
      </c>
      <c r="B183" t="s">
        <v>477</v>
      </c>
      <c r="C183" s="18" t="s">
        <v>125</v>
      </c>
      <c r="D183" s="18" t="s">
        <v>57</v>
      </c>
      <c r="E183" s="18" t="s">
        <v>216</v>
      </c>
      <c r="F183" s="19">
        <v>44918</v>
      </c>
      <c r="G183" s="20">
        <v>14317.92</v>
      </c>
      <c r="H183" s="50" t="s">
        <v>791</v>
      </c>
      <c r="I183" t="s">
        <v>790</v>
      </c>
      <c r="J183">
        <v>40</v>
      </c>
      <c r="K183" t="s">
        <v>481</v>
      </c>
    </row>
    <row r="184" spans="1:11" x14ac:dyDescent="0.35">
      <c r="A184" t="s">
        <v>790</v>
      </c>
      <c r="B184" t="s">
        <v>477</v>
      </c>
      <c r="C184" s="18" t="s">
        <v>125</v>
      </c>
      <c r="D184" s="18" t="s">
        <v>57</v>
      </c>
      <c r="E184" s="18" t="s">
        <v>217</v>
      </c>
      <c r="F184" s="19">
        <v>44919</v>
      </c>
      <c r="G184" s="20">
        <v>67203</v>
      </c>
      <c r="H184" s="50" t="s">
        <v>791</v>
      </c>
      <c r="I184" t="s">
        <v>790</v>
      </c>
      <c r="J184">
        <v>39</v>
      </c>
      <c r="K184" t="s">
        <v>481</v>
      </c>
    </row>
    <row r="185" spans="1:11" x14ac:dyDescent="0.35">
      <c r="A185" t="s">
        <v>790</v>
      </c>
      <c r="B185" t="s">
        <v>477</v>
      </c>
      <c r="C185" s="18" t="s">
        <v>125</v>
      </c>
      <c r="D185" s="18" t="s">
        <v>57</v>
      </c>
      <c r="E185" s="18" t="s">
        <v>218</v>
      </c>
      <c r="F185" s="19">
        <v>44919</v>
      </c>
      <c r="G185" s="20">
        <v>541683.35</v>
      </c>
      <c r="H185" s="50" t="s">
        <v>791</v>
      </c>
      <c r="I185" t="s">
        <v>790</v>
      </c>
      <c r="J185">
        <v>39</v>
      </c>
      <c r="K185" t="s">
        <v>481</v>
      </c>
    </row>
    <row r="186" spans="1:11" x14ac:dyDescent="0.35">
      <c r="A186" t="s">
        <v>790</v>
      </c>
      <c r="B186" t="s">
        <v>477</v>
      </c>
      <c r="C186" s="18" t="s">
        <v>125</v>
      </c>
      <c r="D186" s="18" t="s">
        <v>57</v>
      </c>
      <c r="E186" s="18" t="s">
        <v>219</v>
      </c>
      <c r="F186" s="19">
        <v>44919</v>
      </c>
      <c r="G186" s="20">
        <v>7017.36</v>
      </c>
      <c r="H186" s="50" t="s">
        <v>791</v>
      </c>
      <c r="I186" t="s">
        <v>790</v>
      </c>
      <c r="J186">
        <v>39</v>
      </c>
      <c r="K186" t="s">
        <v>481</v>
      </c>
    </row>
    <row r="187" spans="1:11" x14ac:dyDescent="0.35">
      <c r="A187" t="s">
        <v>790</v>
      </c>
      <c r="B187" t="s">
        <v>477</v>
      </c>
      <c r="C187" s="18" t="s">
        <v>125</v>
      </c>
      <c r="D187" s="18" t="s">
        <v>57</v>
      </c>
      <c r="E187" s="18" t="s">
        <v>220</v>
      </c>
      <c r="F187" s="19">
        <v>44919</v>
      </c>
      <c r="G187" s="20">
        <v>40700</v>
      </c>
      <c r="H187" s="50" t="s">
        <v>791</v>
      </c>
      <c r="I187" t="s">
        <v>790</v>
      </c>
      <c r="J187">
        <v>39</v>
      </c>
      <c r="K187" t="s">
        <v>481</v>
      </c>
    </row>
    <row r="188" spans="1:11" x14ac:dyDescent="0.35">
      <c r="A188" t="s">
        <v>790</v>
      </c>
      <c r="B188" t="s">
        <v>477</v>
      </c>
      <c r="C188" s="18" t="s">
        <v>221</v>
      </c>
      <c r="D188" s="18" t="s">
        <v>222</v>
      </c>
      <c r="E188" s="18" t="s">
        <v>223</v>
      </c>
      <c r="F188" s="19">
        <v>44920</v>
      </c>
      <c r="G188" s="21">
        <v>29818.84</v>
      </c>
      <c r="H188" s="50" t="s">
        <v>791</v>
      </c>
      <c r="I188" t="s">
        <v>790</v>
      </c>
      <c r="J188">
        <v>38</v>
      </c>
      <c r="K188" t="s">
        <v>481</v>
      </c>
    </row>
    <row r="189" spans="1:11" x14ac:dyDescent="0.35">
      <c r="A189" t="s">
        <v>790</v>
      </c>
      <c r="B189" t="s">
        <v>477</v>
      </c>
      <c r="C189" s="18" t="s">
        <v>125</v>
      </c>
      <c r="D189" s="18" t="s">
        <v>57</v>
      </c>
      <c r="E189" s="18" t="s">
        <v>224</v>
      </c>
      <c r="F189" s="19">
        <v>44920</v>
      </c>
      <c r="G189" s="20">
        <v>601628.12</v>
      </c>
      <c r="H189" s="50" t="s">
        <v>791</v>
      </c>
      <c r="I189" t="s">
        <v>790</v>
      </c>
      <c r="J189">
        <v>38</v>
      </c>
      <c r="K189" t="s">
        <v>481</v>
      </c>
    </row>
    <row r="190" spans="1:11" x14ac:dyDescent="0.35">
      <c r="A190" t="s">
        <v>790</v>
      </c>
      <c r="B190" t="s">
        <v>477</v>
      </c>
      <c r="C190" s="18" t="s">
        <v>125</v>
      </c>
      <c r="D190" s="18" t="s">
        <v>57</v>
      </c>
      <c r="E190" s="18" t="s">
        <v>225</v>
      </c>
      <c r="F190" s="19">
        <v>44920</v>
      </c>
      <c r="G190" s="20">
        <v>7300.56</v>
      </c>
      <c r="H190" s="50" t="s">
        <v>791</v>
      </c>
      <c r="I190" t="s">
        <v>790</v>
      </c>
      <c r="J190">
        <v>38</v>
      </c>
      <c r="K190" t="s">
        <v>481</v>
      </c>
    </row>
    <row r="191" spans="1:11" x14ac:dyDescent="0.35">
      <c r="A191" t="s">
        <v>790</v>
      </c>
      <c r="B191" t="s">
        <v>477</v>
      </c>
      <c r="C191" s="18" t="s">
        <v>125</v>
      </c>
      <c r="D191" s="18" t="s">
        <v>57</v>
      </c>
      <c r="E191" s="18" t="s">
        <v>226</v>
      </c>
      <c r="F191" s="19">
        <v>44920</v>
      </c>
      <c r="G191" s="20">
        <v>42900</v>
      </c>
      <c r="H191" s="50" t="s">
        <v>791</v>
      </c>
      <c r="I191" t="s">
        <v>790</v>
      </c>
      <c r="J191">
        <v>38</v>
      </c>
      <c r="K191" t="s">
        <v>481</v>
      </c>
    </row>
    <row r="192" spans="1:11" x14ac:dyDescent="0.35">
      <c r="A192" t="s">
        <v>790</v>
      </c>
      <c r="B192" t="s">
        <v>477</v>
      </c>
      <c r="C192" s="18" t="s">
        <v>125</v>
      </c>
      <c r="D192" s="18" t="s">
        <v>57</v>
      </c>
      <c r="E192" s="18" t="s">
        <v>227</v>
      </c>
      <c r="F192" s="19">
        <v>44922</v>
      </c>
      <c r="G192" s="20">
        <v>353235.77</v>
      </c>
      <c r="H192" s="50" t="s">
        <v>791</v>
      </c>
      <c r="I192" t="s">
        <v>790</v>
      </c>
      <c r="J192">
        <v>36</v>
      </c>
      <c r="K192" t="s">
        <v>481</v>
      </c>
    </row>
    <row r="193" spans="1:11" x14ac:dyDescent="0.35">
      <c r="A193" t="s">
        <v>790</v>
      </c>
      <c r="B193" t="s">
        <v>477</v>
      </c>
      <c r="C193" s="18" t="s">
        <v>125</v>
      </c>
      <c r="D193" s="18" t="s">
        <v>57</v>
      </c>
      <c r="E193" s="18" t="s">
        <v>228</v>
      </c>
      <c r="F193" s="19">
        <v>44922</v>
      </c>
      <c r="G193" s="20">
        <v>3905.16</v>
      </c>
      <c r="H193" s="50" t="s">
        <v>791</v>
      </c>
      <c r="I193" t="s">
        <v>790</v>
      </c>
      <c r="J193">
        <v>36</v>
      </c>
      <c r="K193" t="s">
        <v>481</v>
      </c>
    </row>
    <row r="194" spans="1:11" x14ac:dyDescent="0.35">
      <c r="A194" t="s">
        <v>790</v>
      </c>
      <c r="B194" t="s">
        <v>477</v>
      </c>
      <c r="C194" s="18" t="s">
        <v>125</v>
      </c>
      <c r="D194" s="18" t="s">
        <v>57</v>
      </c>
      <c r="E194" s="18" t="s">
        <v>229</v>
      </c>
      <c r="F194" s="19">
        <v>44922</v>
      </c>
      <c r="G194" s="20">
        <v>9907.5400000000009</v>
      </c>
      <c r="H194" s="50" t="s">
        <v>791</v>
      </c>
      <c r="I194" t="s">
        <v>790</v>
      </c>
      <c r="J194">
        <v>36</v>
      </c>
      <c r="K194" t="s">
        <v>481</v>
      </c>
    </row>
    <row r="195" spans="1:11" x14ac:dyDescent="0.35">
      <c r="A195" t="s">
        <v>790</v>
      </c>
      <c r="B195" t="s">
        <v>477</v>
      </c>
      <c r="C195" s="18" t="s">
        <v>125</v>
      </c>
      <c r="D195" s="18" t="s">
        <v>57</v>
      </c>
      <c r="E195" s="18" t="s">
        <v>230</v>
      </c>
      <c r="F195" s="19">
        <v>44922</v>
      </c>
      <c r="G195" s="20">
        <v>666838.76</v>
      </c>
      <c r="H195" s="50" t="s">
        <v>791</v>
      </c>
      <c r="I195" t="s">
        <v>790</v>
      </c>
      <c r="J195">
        <v>36</v>
      </c>
      <c r="K195" t="s">
        <v>481</v>
      </c>
    </row>
    <row r="196" spans="1:11" x14ac:dyDescent="0.35">
      <c r="A196" t="s">
        <v>790</v>
      </c>
      <c r="B196" t="s">
        <v>477</v>
      </c>
      <c r="C196" s="18" t="s">
        <v>125</v>
      </c>
      <c r="D196" s="18" t="s">
        <v>57</v>
      </c>
      <c r="E196" s="18" t="s">
        <v>231</v>
      </c>
      <c r="F196" s="19">
        <v>44923</v>
      </c>
      <c r="G196" s="20">
        <v>3848.52</v>
      </c>
      <c r="H196" s="50" t="s">
        <v>791</v>
      </c>
      <c r="I196" t="s">
        <v>790</v>
      </c>
      <c r="J196">
        <v>35</v>
      </c>
      <c r="K196" t="s">
        <v>481</v>
      </c>
    </row>
    <row r="197" spans="1:11" x14ac:dyDescent="0.35">
      <c r="A197" t="s">
        <v>790</v>
      </c>
      <c r="B197" t="s">
        <v>477</v>
      </c>
      <c r="C197" s="18" t="s">
        <v>125</v>
      </c>
      <c r="D197" s="18" t="s">
        <v>57</v>
      </c>
      <c r="E197" s="18" t="s">
        <v>232</v>
      </c>
      <c r="F197" s="19">
        <v>44923</v>
      </c>
      <c r="G197" s="20">
        <v>273642.28000000003</v>
      </c>
      <c r="H197" s="50" t="s">
        <v>791</v>
      </c>
      <c r="I197" t="s">
        <v>790</v>
      </c>
      <c r="J197">
        <v>35</v>
      </c>
      <c r="K197" t="s">
        <v>481</v>
      </c>
    </row>
    <row r="198" spans="1:11" x14ac:dyDescent="0.35">
      <c r="A198" t="s">
        <v>790</v>
      </c>
      <c r="B198" t="s">
        <v>477</v>
      </c>
      <c r="C198" s="18" t="s">
        <v>125</v>
      </c>
      <c r="D198" s="18" t="s">
        <v>57</v>
      </c>
      <c r="E198" s="18" t="s">
        <v>233</v>
      </c>
      <c r="F198" s="19">
        <v>44923</v>
      </c>
      <c r="G198" s="20">
        <v>46475</v>
      </c>
      <c r="H198" s="50" t="s">
        <v>791</v>
      </c>
      <c r="I198" t="s">
        <v>790</v>
      </c>
      <c r="J198">
        <v>35</v>
      </c>
      <c r="K198" t="s">
        <v>481</v>
      </c>
    </row>
    <row r="199" spans="1:11" x14ac:dyDescent="0.35">
      <c r="A199" t="s">
        <v>790</v>
      </c>
      <c r="B199" t="s">
        <v>477</v>
      </c>
      <c r="C199" s="18" t="s">
        <v>234</v>
      </c>
      <c r="D199" s="18" t="s">
        <v>235</v>
      </c>
      <c r="E199" s="18" t="s">
        <v>236</v>
      </c>
      <c r="F199" s="19">
        <v>44924</v>
      </c>
      <c r="G199" s="21">
        <v>185297.61</v>
      </c>
      <c r="H199" s="50" t="s">
        <v>791</v>
      </c>
      <c r="I199" t="s">
        <v>790</v>
      </c>
      <c r="J199">
        <v>34</v>
      </c>
      <c r="K199" t="s">
        <v>481</v>
      </c>
    </row>
    <row r="200" spans="1:11" x14ac:dyDescent="0.35">
      <c r="A200" t="s">
        <v>790</v>
      </c>
      <c r="B200" t="s">
        <v>477</v>
      </c>
      <c r="C200" s="18" t="s">
        <v>125</v>
      </c>
      <c r="D200" s="18" t="s">
        <v>57</v>
      </c>
      <c r="E200" s="18" t="s">
        <v>237</v>
      </c>
      <c r="F200" s="19">
        <v>44924</v>
      </c>
      <c r="G200" s="20">
        <v>952961.01</v>
      </c>
      <c r="H200" s="50" t="s">
        <v>791</v>
      </c>
      <c r="I200" t="s">
        <v>790</v>
      </c>
      <c r="J200">
        <v>34</v>
      </c>
      <c r="K200" t="s">
        <v>481</v>
      </c>
    </row>
    <row r="201" spans="1:11" x14ac:dyDescent="0.35">
      <c r="A201" t="s">
        <v>790</v>
      </c>
      <c r="B201" t="s">
        <v>477</v>
      </c>
      <c r="C201" s="18" t="s">
        <v>125</v>
      </c>
      <c r="D201" s="18" t="s">
        <v>57</v>
      </c>
      <c r="E201" s="18" t="s">
        <v>238</v>
      </c>
      <c r="F201" s="19">
        <v>44924</v>
      </c>
      <c r="G201" s="20">
        <v>10412.76</v>
      </c>
      <c r="H201" s="50" t="s">
        <v>791</v>
      </c>
      <c r="I201" t="s">
        <v>790</v>
      </c>
      <c r="J201">
        <v>34</v>
      </c>
      <c r="K201" t="s">
        <v>481</v>
      </c>
    </row>
    <row r="202" spans="1:11" x14ac:dyDescent="0.35">
      <c r="A202" t="s">
        <v>790</v>
      </c>
      <c r="B202" t="s">
        <v>477</v>
      </c>
      <c r="C202" s="18" t="s">
        <v>125</v>
      </c>
      <c r="D202" s="18" t="s">
        <v>57</v>
      </c>
      <c r="E202" s="18" t="s">
        <v>239</v>
      </c>
      <c r="F202" s="19">
        <v>44924</v>
      </c>
      <c r="G202" s="20">
        <v>21799.01</v>
      </c>
      <c r="H202" s="50" t="s">
        <v>791</v>
      </c>
      <c r="I202" t="s">
        <v>790</v>
      </c>
      <c r="J202">
        <v>34</v>
      </c>
      <c r="K202" t="s">
        <v>481</v>
      </c>
    </row>
    <row r="203" spans="1:11" x14ac:dyDescent="0.35">
      <c r="A203" t="s">
        <v>790</v>
      </c>
      <c r="B203" t="s">
        <v>477</v>
      </c>
      <c r="C203" s="18" t="s">
        <v>125</v>
      </c>
      <c r="D203" s="18" t="s">
        <v>57</v>
      </c>
      <c r="E203" s="18" t="s">
        <v>240</v>
      </c>
      <c r="F203" s="19">
        <v>44924</v>
      </c>
      <c r="G203" s="20">
        <v>80787</v>
      </c>
      <c r="H203" s="50" t="s">
        <v>791</v>
      </c>
      <c r="I203" t="s">
        <v>790</v>
      </c>
      <c r="J203">
        <v>34</v>
      </c>
      <c r="K203" t="s">
        <v>481</v>
      </c>
    </row>
    <row r="204" spans="1:11" x14ac:dyDescent="0.35">
      <c r="A204" t="s">
        <v>790</v>
      </c>
      <c r="B204" t="s">
        <v>477</v>
      </c>
      <c r="C204" s="18" t="s">
        <v>125</v>
      </c>
      <c r="D204" s="18" t="s">
        <v>57</v>
      </c>
      <c r="E204" s="18" t="s">
        <v>241</v>
      </c>
      <c r="F204" s="19">
        <v>44924</v>
      </c>
      <c r="G204" s="20">
        <v>5620725</v>
      </c>
      <c r="H204" s="50" t="s">
        <v>791</v>
      </c>
      <c r="I204" t="s">
        <v>790</v>
      </c>
      <c r="J204">
        <v>34</v>
      </c>
      <c r="K204" t="s">
        <v>481</v>
      </c>
    </row>
    <row r="205" spans="1:11" x14ac:dyDescent="0.35">
      <c r="A205" t="s">
        <v>790</v>
      </c>
      <c r="B205" t="s">
        <v>477</v>
      </c>
      <c r="C205" s="18" t="s">
        <v>125</v>
      </c>
      <c r="D205" s="18" t="s">
        <v>57</v>
      </c>
      <c r="E205" s="18" t="s">
        <v>242</v>
      </c>
      <c r="F205" s="19">
        <v>44925</v>
      </c>
      <c r="G205" s="20">
        <v>6168.76</v>
      </c>
      <c r="H205" s="50" t="s">
        <v>791</v>
      </c>
      <c r="I205" t="s">
        <v>790</v>
      </c>
      <c r="J205">
        <v>33</v>
      </c>
      <c r="K205" t="s">
        <v>481</v>
      </c>
    </row>
    <row r="206" spans="1:11" x14ac:dyDescent="0.35">
      <c r="A206" t="s">
        <v>790</v>
      </c>
      <c r="B206" t="s">
        <v>477</v>
      </c>
      <c r="C206" s="18" t="s">
        <v>125</v>
      </c>
      <c r="D206" s="18" t="s">
        <v>57</v>
      </c>
      <c r="E206" s="18" t="s">
        <v>243</v>
      </c>
      <c r="F206" s="19">
        <v>44925</v>
      </c>
      <c r="G206" s="20">
        <v>534771.43000000005</v>
      </c>
      <c r="H206" s="50" t="s">
        <v>791</v>
      </c>
      <c r="I206" t="s">
        <v>790</v>
      </c>
      <c r="J206">
        <v>33</v>
      </c>
      <c r="K206" t="s">
        <v>481</v>
      </c>
    </row>
    <row r="207" spans="1:11" x14ac:dyDescent="0.35">
      <c r="A207" t="s">
        <v>790</v>
      </c>
      <c r="B207" t="s">
        <v>477</v>
      </c>
      <c r="C207" s="18" t="s">
        <v>125</v>
      </c>
      <c r="D207" s="18" t="s">
        <v>57</v>
      </c>
      <c r="E207" s="18" t="s">
        <v>244</v>
      </c>
      <c r="F207" s="19">
        <v>44925</v>
      </c>
      <c r="G207" s="20">
        <v>452382</v>
      </c>
      <c r="H207" s="50" t="s">
        <v>791</v>
      </c>
      <c r="I207" t="s">
        <v>790</v>
      </c>
      <c r="J207">
        <v>33</v>
      </c>
      <c r="K207" t="s">
        <v>481</v>
      </c>
    </row>
    <row r="208" spans="1:11" x14ac:dyDescent="0.35">
      <c r="A208" t="s">
        <v>790</v>
      </c>
      <c r="B208" t="s">
        <v>477</v>
      </c>
      <c r="C208" s="18" t="s">
        <v>125</v>
      </c>
      <c r="D208" s="18" t="s">
        <v>57</v>
      </c>
      <c r="E208" s="18" t="s">
        <v>245</v>
      </c>
      <c r="F208" s="19">
        <v>44925</v>
      </c>
      <c r="G208" s="20">
        <v>75810</v>
      </c>
      <c r="H208" s="50" t="s">
        <v>791</v>
      </c>
      <c r="I208" t="s">
        <v>790</v>
      </c>
      <c r="J208">
        <v>33</v>
      </c>
      <c r="K208" t="s">
        <v>481</v>
      </c>
    </row>
    <row r="209" spans="1:11" x14ac:dyDescent="0.35">
      <c r="A209" t="s">
        <v>790</v>
      </c>
      <c r="B209" t="s">
        <v>477</v>
      </c>
      <c r="C209" s="18" t="s">
        <v>125</v>
      </c>
      <c r="D209" s="18" t="s">
        <v>57</v>
      </c>
      <c r="E209" s="18" t="s">
        <v>246</v>
      </c>
      <c r="F209" s="19">
        <v>44926</v>
      </c>
      <c r="G209" s="20">
        <v>164390.28</v>
      </c>
      <c r="H209" s="50" t="s">
        <v>791</v>
      </c>
      <c r="I209" t="s">
        <v>790</v>
      </c>
      <c r="J209">
        <v>32</v>
      </c>
      <c r="K209" t="s">
        <v>481</v>
      </c>
    </row>
    <row r="210" spans="1:11" x14ac:dyDescent="0.35">
      <c r="A210" t="s">
        <v>790</v>
      </c>
      <c r="B210" t="s">
        <v>477</v>
      </c>
      <c r="C210" s="18" t="s">
        <v>125</v>
      </c>
      <c r="D210" s="18" t="s">
        <v>57</v>
      </c>
      <c r="E210" s="18" t="s">
        <v>247</v>
      </c>
      <c r="F210" s="19">
        <v>44926</v>
      </c>
      <c r="G210" s="20">
        <v>323335.24</v>
      </c>
      <c r="H210" s="50" t="s">
        <v>791</v>
      </c>
      <c r="I210" t="s">
        <v>790</v>
      </c>
      <c r="J210">
        <v>32</v>
      </c>
      <c r="K210" t="s">
        <v>481</v>
      </c>
    </row>
    <row r="211" spans="1:11" x14ac:dyDescent="0.35">
      <c r="A211" t="s">
        <v>790</v>
      </c>
      <c r="B211" t="s">
        <v>477</v>
      </c>
      <c r="C211" s="18" t="s">
        <v>125</v>
      </c>
      <c r="D211" s="18" t="s">
        <v>57</v>
      </c>
      <c r="E211" s="18" t="s">
        <v>248</v>
      </c>
      <c r="F211" s="19">
        <v>44926</v>
      </c>
      <c r="G211" s="20">
        <v>4413.92</v>
      </c>
      <c r="H211" s="50" t="s">
        <v>791</v>
      </c>
      <c r="I211" t="s">
        <v>790</v>
      </c>
      <c r="J211">
        <v>32</v>
      </c>
      <c r="K211" t="s">
        <v>481</v>
      </c>
    </row>
    <row r="212" spans="1:11" x14ac:dyDescent="0.35">
      <c r="A212" t="s">
        <v>790</v>
      </c>
      <c r="B212" t="s">
        <v>477</v>
      </c>
      <c r="C212" s="18" t="s">
        <v>125</v>
      </c>
      <c r="D212" s="18" t="s">
        <v>57</v>
      </c>
      <c r="E212" s="18" t="s">
        <v>249</v>
      </c>
      <c r="F212" s="19">
        <v>44926</v>
      </c>
      <c r="G212" s="20">
        <v>96456.74</v>
      </c>
      <c r="H212" s="50" t="s">
        <v>791</v>
      </c>
      <c r="I212" t="s">
        <v>790</v>
      </c>
      <c r="J212">
        <v>32</v>
      </c>
      <c r="K212" t="s">
        <v>481</v>
      </c>
    </row>
    <row r="213" spans="1:11" x14ac:dyDescent="0.35">
      <c r="A213" t="s">
        <v>790</v>
      </c>
      <c r="B213" t="s">
        <v>477</v>
      </c>
      <c r="C213" s="18" t="s">
        <v>125</v>
      </c>
      <c r="D213" s="18" t="s">
        <v>57</v>
      </c>
      <c r="E213" s="18" t="s">
        <v>250</v>
      </c>
      <c r="F213" s="19">
        <v>44926</v>
      </c>
      <c r="G213" s="20">
        <v>37400</v>
      </c>
      <c r="H213" s="50" t="s">
        <v>791</v>
      </c>
      <c r="I213" t="s">
        <v>790</v>
      </c>
      <c r="J213">
        <v>32</v>
      </c>
      <c r="K213" t="s">
        <v>481</v>
      </c>
    </row>
    <row r="214" spans="1:11" x14ac:dyDescent="0.35">
      <c r="A214" t="s">
        <v>790</v>
      </c>
      <c r="B214" t="s">
        <v>477</v>
      </c>
      <c r="C214" s="18" t="s">
        <v>125</v>
      </c>
      <c r="D214" s="18" t="s">
        <v>57</v>
      </c>
      <c r="E214" s="18" t="s">
        <v>251</v>
      </c>
      <c r="F214" s="19">
        <v>44926</v>
      </c>
      <c r="G214" s="20">
        <v>4678</v>
      </c>
      <c r="H214" s="50" t="s">
        <v>791</v>
      </c>
      <c r="I214" t="s">
        <v>790</v>
      </c>
      <c r="J214">
        <v>32</v>
      </c>
      <c r="K214" t="s">
        <v>481</v>
      </c>
    </row>
    <row r="215" spans="1:11" x14ac:dyDescent="0.35">
      <c r="A215" t="s">
        <v>790</v>
      </c>
      <c r="B215" t="s">
        <v>477</v>
      </c>
      <c r="C215" s="18" t="s">
        <v>252</v>
      </c>
      <c r="D215" s="18" t="s">
        <v>253</v>
      </c>
      <c r="E215" s="18" t="s">
        <v>254</v>
      </c>
      <c r="F215" s="19">
        <v>44896</v>
      </c>
      <c r="G215" s="21">
        <v>189714.5</v>
      </c>
      <c r="H215" s="50" t="s">
        <v>791</v>
      </c>
      <c r="I215" t="s">
        <v>790</v>
      </c>
      <c r="J215">
        <v>62</v>
      </c>
      <c r="K215" t="s">
        <v>481</v>
      </c>
    </row>
    <row r="216" spans="1:11" x14ac:dyDescent="0.35">
      <c r="A216" t="s">
        <v>790</v>
      </c>
      <c r="B216" t="s">
        <v>477</v>
      </c>
      <c r="C216" s="18" t="s">
        <v>125</v>
      </c>
      <c r="D216" s="18" t="s">
        <v>57</v>
      </c>
      <c r="E216" s="18" t="s">
        <v>255</v>
      </c>
      <c r="F216" s="19">
        <v>44897</v>
      </c>
      <c r="G216" s="20">
        <v>620665.97</v>
      </c>
      <c r="H216" s="50" t="s">
        <v>791</v>
      </c>
      <c r="I216" t="s">
        <v>790</v>
      </c>
      <c r="J216">
        <v>61</v>
      </c>
      <c r="K216" t="s">
        <v>481</v>
      </c>
    </row>
    <row r="217" spans="1:11" x14ac:dyDescent="0.35">
      <c r="A217" t="s">
        <v>790</v>
      </c>
      <c r="B217" t="s">
        <v>477</v>
      </c>
      <c r="C217" s="18" t="s">
        <v>125</v>
      </c>
      <c r="D217" s="18" t="s">
        <v>57</v>
      </c>
      <c r="E217" s="18" t="s">
        <v>256</v>
      </c>
      <c r="F217" s="19">
        <v>44897</v>
      </c>
      <c r="G217" s="20">
        <v>5380.8</v>
      </c>
      <c r="H217" s="50" t="s">
        <v>791</v>
      </c>
      <c r="I217" t="s">
        <v>790</v>
      </c>
      <c r="J217">
        <v>61</v>
      </c>
      <c r="K217" t="s">
        <v>481</v>
      </c>
    </row>
    <row r="218" spans="1:11" x14ac:dyDescent="0.35">
      <c r="A218" t="s">
        <v>790</v>
      </c>
      <c r="B218" t="s">
        <v>477</v>
      </c>
      <c r="C218" s="18" t="s">
        <v>125</v>
      </c>
      <c r="D218" s="18" t="s">
        <v>57</v>
      </c>
      <c r="E218" s="18" t="s">
        <v>257</v>
      </c>
      <c r="F218" s="19">
        <v>44899</v>
      </c>
      <c r="G218" s="20">
        <v>895178.9</v>
      </c>
      <c r="H218" s="50" t="s">
        <v>791</v>
      </c>
      <c r="I218" t="s">
        <v>790</v>
      </c>
      <c r="J218">
        <v>59</v>
      </c>
      <c r="K218" t="s">
        <v>481</v>
      </c>
    </row>
    <row r="219" spans="1:11" x14ac:dyDescent="0.35">
      <c r="A219" t="s">
        <v>790</v>
      </c>
      <c r="B219" t="s">
        <v>477</v>
      </c>
      <c r="C219" s="18" t="s">
        <v>125</v>
      </c>
      <c r="D219" s="18" t="s">
        <v>57</v>
      </c>
      <c r="E219" s="18" t="s">
        <v>258</v>
      </c>
      <c r="F219" s="19">
        <v>44899</v>
      </c>
      <c r="G219" s="20">
        <v>3398.4</v>
      </c>
      <c r="H219" s="50" t="s">
        <v>791</v>
      </c>
      <c r="I219" t="s">
        <v>790</v>
      </c>
      <c r="J219">
        <v>59</v>
      </c>
      <c r="K219" t="s">
        <v>481</v>
      </c>
    </row>
    <row r="220" spans="1:11" x14ac:dyDescent="0.35">
      <c r="A220" t="s">
        <v>790</v>
      </c>
      <c r="B220" t="s">
        <v>477</v>
      </c>
      <c r="C220" s="18" t="s">
        <v>259</v>
      </c>
      <c r="D220" s="18" t="s">
        <v>260</v>
      </c>
      <c r="E220" s="18" t="s">
        <v>261</v>
      </c>
      <c r="F220" s="19">
        <v>44902</v>
      </c>
      <c r="G220" s="21">
        <v>8816.3999999999069</v>
      </c>
      <c r="H220" s="50" t="s">
        <v>791</v>
      </c>
      <c r="I220" t="s">
        <v>790</v>
      </c>
      <c r="J220">
        <v>56</v>
      </c>
      <c r="K220" t="s">
        <v>481</v>
      </c>
    </row>
    <row r="221" spans="1:11" x14ac:dyDescent="0.35">
      <c r="A221" t="s">
        <v>790</v>
      </c>
      <c r="B221" t="s">
        <v>477</v>
      </c>
      <c r="C221" s="18" t="s">
        <v>125</v>
      </c>
      <c r="D221" s="18" t="s">
        <v>57</v>
      </c>
      <c r="E221" s="18" t="s">
        <v>262</v>
      </c>
      <c r="F221" s="19">
        <v>44902</v>
      </c>
      <c r="G221" s="20">
        <v>79449.149999999994</v>
      </c>
      <c r="H221" s="50" t="s">
        <v>791</v>
      </c>
      <c r="I221" t="s">
        <v>790</v>
      </c>
      <c r="J221">
        <v>56</v>
      </c>
      <c r="K221" t="s">
        <v>481</v>
      </c>
    </row>
    <row r="222" spans="1:11" x14ac:dyDescent="0.35">
      <c r="A222" t="s">
        <v>790</v>
      </c>
      <c r="B222" t="s">
        <v>477</v>
      </c>
      <c r="C222" s="18" t="s">
        <v>263</v>
      </c>
      <c r="D222" s="18" t="s">
        <v>264</v>
      </c>
      <c r="E222" s="18" t="s">
        <v>265</v>
      </c>
      <c r="F222" s="19">
        <v>44903</v>
      </c>
      <c r="G222" s="21">
        <v>369005.5</v>
      </c>
      <c r="H222" s="50" t="s">
        <v>791</v>
      </c>
      <c r="I222" t="s">
        <v>790</v>
      </c>
      <c r="J222">
        <v>55</v>
      </c>
      <c r="K222" t="s">
        <v>481</v>
      </c>
    </row>
    <row r="223" spans="1:11" x14ac:dyDescent="0.35">
      <c r="A223" t="s">
        <v>790</v>
      </c>
      <c r="B223" t="s">
        <v>477</v>
      </c>
      <c r="C223" s="18" t="s">
        <v>125</v>
      </c>
      <c r="D223" s="18" t="s">
        <v>57</v>
      </c>
      <c r="E223" s="18" t="s">
        <v>266</v>
      </c>
      <c r="F223" s="19">
        <v>44904</v>
      </c>
      <c r="G223" s="20">
        <v>368462.08000000002</v>
      </c>
      <c r="H223" s="50" t="s">
        <v>791</v>
      </c>
      <c r="I223" t="s">
        <v>790</v>
      </c>
      <c r="J223">
        <v>54</v>
      </c>
      <c r="K223" t="s">
        <v>481</v>
      </c>
    </row>
    <row r="224" spans="1:11" x14ac:dyDescent="0.35">
      <c r="A224" t="s">
        <v>790</v>
      </c>
      <c r="B224" t="s">
        <v>477</v>
      </c>
      <c r="C224" s="18" t="s">
        <v>125</v>
      </c>
      <c r="D224" s="18" t="s">
        <v>57</v>
      </c>
      <c r="E224" s="18" t="s">
        <v>267</v>
      </c>
      <c r="F224" s="19">
        <v>44904</v>
      </c>
      <c r="G224" s="20">
        <v>6230.4</v>
      </c>
      <c r="H224" s="50" t="s">
        <v>791</v>
      </c>
      <c r="I224" t="s">
        <v>790</v>
      </c>
      <c r="J224">
        <v>54</v>
      </c>
      <c r="K224" t="s">
        <v>481</v>
      </c>
    </row>
    <row r="225" spans="1:11" x14ac:dyDescent="0.35">
      <c r="A225" t="s">
        <v>790</v>
      </c>
      <c r="B225" t="s">
        <v>477</v>
      </c>
      <c r="C225" s="18" t="s">
        <v>125</v>
      </c>
      <c r="D225" s="18" t="s">
        <v>57</v>
      </c>
      <c r="E225" s="18" t="s">
        <v>268</v>
      </c>
      <c r="F225" s="19">
        <v>44905</v>
      </c>
      <c r="G225" s="20">
        <v>1181507.3899999999</v>
      </c>
      <c r="H225" s="50" t="s">
        <v>791</v>
      </c>
      <c r="I225" t="s">
        <v>790</v>
      </c>
      <c r="J225">
        <v>53</v>
      </c>
      <c r="K225" t="s">
        <v>481</v>
      </c>
    </row>
    <row r="226" spans="1:11" x14ac:dyDescent="0.35">
      <c r="A226" t="s">
        <v>790</v>
      </c>
      <c r="B226" t="s">
        <v>477</v>
      </c>
      <c r="C226" s="18" t="s">
        <v>125</v>
      </c>
      <c r="D226" s="18" t="s">
        <v>57</v>
      </c>
      <c r="E226" s="18" t="s">
        <v>269</v>
      </c>
      <c r="F226" s="19">
        <v>44908</v>
      </c>
      <c r="G226" s="20">
        <v>593517.68999999994</v>
      </c>
      <c r="H226" s="50" t="s">
        <v>791</v>
      </c>
      <c r="I226" t="s">
        <v>790</v>
      </c>
      <c r="J226">
        <v>50</v>
      </c>
      <c r="K226" t="s">
        <v>481</v>
      </c>
    </row>
    <row r="227" spans="1:11" x14ac:dyDescent="0.35">
      <c r="A227" t="s">
        <v>790</v>
      </c>
      <c r="B227" t="s">
        <v>477</v>
      </c>
      <c r="C227" s="18" t="s">
        <v>125</v>
      </c>
      <c r="D227" s="18" t="s">
        <v>57</v>
      </c>
      <c r="E227" s="18" t="s">
        <v>270</v>
      </c>
      <c r="F227" s="19">
        <v>44908</v>
      </c>
      <c r="G227" s="20">
        <v>12064.32</v>
      </c>
      <c r="H227" s="50" t="s">
        <v>791</v>
      </c>
      <c r="I227" t="s">
        <v>790</v>
      </c>
      <c r="J227">
        <v>50</v>
      </c>
      <c r="K227" t="s">
        <v>481</v>
      </c>
    </row>
    <row r="228" spans="1:11" x14ac:dyDescent="0.35">
      <c r="A228" t="s">
        <v>790</v>
      </c>
      <c r="B228" t="s">
        <v>477</v>
      </c>
      <c r="C228" s="18" t="s">
        <v>125</v>
      </c>
      <c r="D228" s="18" t="s">
        <v>57</v>
      </c>
      <c r="E228" s="18" t="s">
        <v>271</v>
      </c>
      <c r="F228" s="19">
        <v>44912</v>
      </c>
      <c r="G228" s="20">
        <v>1408168.58</v>
      </c>
      <c r="H228" s="50" t="s">
        <v>791</v>
      </c>
      <c r="I228" t="s">
        <v>790</v>
      </c>
      <c r="J228">
        <v>46</v>
      </c>
      <c r="K228" t="s">
        <v>481</v>
      </c>
    </row>
    <row r="229" spans="1:11" x14ac:dyDescent="0.35">
      <c r="A229" t="s">
        <v>790</v>
      </c>
      <c r="B229" t="s">
        <v>477</v>
      </c>
      <c r="C229" s="18" t="s">
        <v>125</v>
      </c>
      <c r="D229" s="18" t="s">
        <v>57</v>
      </c>
      <c r="E229" s="18" t="s">
        <v>272</v>
      </c>
      <c r="F229" s="19">
        <v>44912</v>
      </c>
      <c r="G229" s="20">
        <v>718991.91</v>
      </c>
      <c r="H229" s="50" t="s">
        <v>791</v>
      </c>
      <c r="I229" t="s">
        <v>790</v>
      </c>
      <c r="J229">
        <v>46</v>
      </c>
      <c r="K229" t="s">
        <v>481</v>
      </c>
    </row>
    <row r="230" spans="1:11" x14ac:dyDescent="0.35">
      <c r="A230" t="s">
        <v>790</v>
      </c>
      <c r="B230" t="s">
        <v>477</v>
      </c>
      <c r="C230" s="18" t="s">
        <v>125</v>
      </c>
      <c r="D230" s="18" t="s">
        <v>57</v>
      </c>
      <c r="E230" s="18" t="s">
        <v>273</v>
      </c>
      <c r="F230" s="19">
        <v>44912</v>
      </c>
      <c r="G230" s="20">
        <v>10704.96</v>
      </c>
      <c r="H230" s="50" t="s">
        <v>791</v>
      </c>
      <c r="I230" t="s">
        <v>790</v>
      </c>
      <c r="J230">
        <v>46</v>
      </c>
      <c r="K230" t="s">
        <v>481</v>
      </c>
    </row>
    <row r="231" spans="1:11" x14ac:dyDescent="0.35">
      <c r="A231" t="s">
        <v>790</v>
      </c>
      <c r="B231" t="s">
        <v>477</v>
      </c>
      <c r="C231" s="18" t="s">
        <v>35</v>
      </c>
      <c r="D231" s="18" t="s">
        <v>36</v>
      </c>
      <c r="E231" s="18" t="s">
        <v>274</v>
      </c>
      <c r="F231" s="19">
        <v>44912</v>
      </c>
      <c r="G231" s="21">
        <v>1219910.8899999999</v>
      </c>
      <c r="H231" s="50" t="s">
        <v>791</v>
      </c>
      <c r="I231" t="s">
        <v>790</v>
      </c>
      <c r="J231">
        <v>46</v>
      </c>
      <c r="K231" t="s">
        <v>481</v>
      </c>
    </row>
    <row r="232" spans="1:11" x14ac:dyDescent="0.35">
      <c r="A232" t="s">
        <v>790</v>
      </c>
      <c r="B232" t="s">
        <v>477</v>
      </c>
      <c r="C232" s="18" t="s">
        <v>125</v>
      </c>
      <c r="D232" s="18" t="s">
        <v>57</v>
      </c>
      <c r="E232" s="18" t="s">
        <v>275</v>
      </c>
      <c r="F232" s="19">
        <v>44913</v>
      </c>
      <c r="G232" s="20">
        <v>423733.95</v>
      </c>
      <c r="H232" s="50" t="s">
        <v>791</v>
      </c>
      <c r="I232" t="s">
        <v>790</v>
      </c>
      <c r="J232">
        <v>45</v>
      </c>
      <c r="K232" t="s">
        <v>481</v>
      </c>
    </row>
    <row r="233" spans="1:11" x14ac:dyDescent="0.35">
      <c r="A233" t="s">
        <v>790</v>
      </c>
      <c r="B233" t="s">
        <v>477</v>
      </c>
      <c r="C233" s="18" t="s">
        <v>125</v>
      </c>
      <c r="D233" s="18" t="s">
        <v>57</v>
      </c>
      <c r="E233" s="18" t="s">
        <v>276</v>
      </c>
      <c r="F233" s="19">
        <v>44914</v>
      </c>
      <c r="G233" s="20">
        <v>1027191.05</v>
      </c>
      <c r="H233" s="50" t="s">
        <v>791</v>
      </c>
      <c r="I233" t="s">
        <v>790</v>
      </c>
      <c r="J233">
        <v>44</v>
      </c>
      <c r="K233" t="s">
        <v>481</v>
      </c>
    </row>
    <row r="234" spans="1:11" x14ac:dyDescent="0.35">
      <c r="A234" t="s">
        <v>790</v>
      </c>
      <c r="B234" t="s">
        <v>477</v>
      </c>
      <c r="C234" s="18" t="s">
        <v>277</v>
      </c>
      <c r="D234" s="18" t="s">
        <v>278</v>
      </c>
      <c r="E234" s="18" t="s">
        <v>279</v>
      </c>
      <c r="F234" s="19">
        <v>44915</v>
      </c>
      <c r="G234" s="22">
        <v>1796057.28</v>
      </c>
      <c r="H234" s="50" t="s">
        <v>791</v>
      </c>
      <c r="I234" t="s">
        <v>790</v>
      </c>
      <c r="J234">
        <v>43</v>
      </c>
      <c r="K234" t="s">
        <v>481</v>
      </c>
    </row>
    <row r="235" spans="1:11" x14ac:dyDescent="0.35">
      <c r="A235" t="s">
        <v>790</v>
      </c>
      <c r="B235" t="s">
        <v>477</v>
      </c>
      <c r="C235" s="18" t="s">
        <v>125</v>
      </c>
      <c r="D235" s="18" t="s">
        <v>57</v>
      </c>
      <c r="E235" s="18" t="s">
        <v>280</v>
      </c>
      <c r="F235" s="19">
        <v>44915</v>
      </c>
      <c r="G235" s="20">
        <v>557551.69999999995</v>
      </c>
      <c r="H235" s="50" t="s">
        <v>791</v>
      </c>
      <c r="I235" t="s">
        <v>790</v>
      </c>
      <c r="J235">
        <v>43</v>
      </c>
      <c r="K235" t="s">
        <v>481</v>
      </c>
    </row>
    <row r="236" spans="1:11" x14ac:dyDescent="0.35">
      <c r="A236" t="s">
        <v>790</v>
      </c>
      <c r="B236" t="s">
        <v>477</v>
      </c>
      <c r="C236" s="18" t="s">
        <v>125</v>
      </c>
      <c r="D236" s="18" t="s">
        <v>57</v>
      </c>
      <c r="E236" s="18" t="s">
        <v>281</v>
      </c>
      <c r="F236" s="19">
        <v>44915</v>
      </c>
      <c r="G236" s="20">
        <v>2522.2600000000002</v>
      </c>
      <c r="H236" s="50" t="s">
        <v>791</v>
      </c>
      <c r="I236" t="s">
        <v>790</v>
      </c>
      <c r="J236">
        <v>43</v>
      </c>
      <c r="K236" t="s">
        <v>481</v>
      </c>
    </row>
    <row r="237" spans="1:11" x14ac:dyDescent="0.35">
      <c r="A237" t="s">
        <v>790</v>
      </c>
      <c r="B237" t="s">
        <v>477</v>
      </c>
      <c r="C237" s="18" t="s">
        <v>125</v>
      </c>
      <c r="D237" s="18" t="s">
        <v>57</v>
      </c>
      <c r="E237" s="18" t="s">
        <v>282</v>
      </c>
      <c r="F237" s="19">
        <v>44916</v>
      </c>
      <c r="G237" s="20">
        <v>809707.56</v>
      </c>
      <c r="H237" s="50" t="s">
        <v>791</v>
      </c>
      <c r="I237" t="s">
        <v>790</v>
      </c>
      <c r="J237">
        <v>42</v>
      </c>
      <c r="K237" t="s">
        <v>481</v>
      </c>
    </row>
    <row r="238" spans="1:11" x14ac:dyDescent="0.35">
      <c r="A238" t="s">
        <v>790</v>
      </c>
      <c r="B238" t="s">
        <v>477</v>
      </c>
      <c r="C238" s="18" t="s">
        <v>125</v>
      </c>
      <c r="D238" s="18" t="s">
        <v>57</v>
      </c>
      <c r="E238" s="18" t="s">
        <v>283</v>
      </c>
      <c r="F238" s="19">
        <v>44916</v>
      </c>
      <c r="G238" s="20">
        <v>8099.52</v>
      </c>
      <c r="H238" s="50" t="s">
        <v>791</v>
      </c>
      <c r="I238" t="s">
        <v>790</v>
      </c>
      <c r="J238">
        <v>42</v>
      </c>
      <c r="K238" t="s">
        <v>481</v>
      </c>
    </row>
    <row r="239" spans="1:11" x14ac:dyDescent="0.35">
      <c r="A239" t="s">
        <v>790</v>
      </c>
      <c r="B239" t="s">
        <v>477</v>
      </c>
      <c r="C239" s="18" t="s">
        <v>284</v>
      </c>
      <c r="D239" s="18" t="s">
        <v>285</v>
      </c>
      <c r="E239" s="18" t="s">
        <v>286</v>
      </c>
      <c r="F239" s="19">
        <v>44916</v>
      </c>
      <c r="G239" s="21">
        <v>654900</v>
      </c>
      <c r="H239" s="50" t="s">
        <v>791</v>
      </c>
      <c r="I239" t="s">
        <v>790</v>
      </c>
      <c r="J239">
        <v>42</v>
      </c>
      <c r="K239" t="s">
        <v>481</v>
      </c>
    </row>
    <row r="240" spans="1:11" x14ac:dyDescent="0.35">
      <c r="A240" t="s">
        <v>790</v>
      </c>
      <c r="B240" t="s">
        <v>477</v>
      </c>
      <c r="C240" s="18" t="s">
        <v>277</v>
      </c>
      <c r="D240" s="18" t="s">
        <v>278</v>
      </c>
      <c r="E240" s="18" t="s">
        <v>287</v>
      </c>
      <c r="F240" s="19">
        <v>44918</v>
      </c>
      <c r="G240" s="22">
        <v>1834022.67</v>
      </c>
      <c r="H240" s="50" t="s">
        <v>791</v>
      </c>
      <c r="I240" t="s">
        <v>790</v>
      </c>
      <c r="J240">
        <v>40</v>
      </c>
      <c r="K240" t="s">
        <v>481</v>
      </c>
    </row>
    <row r="241" spans="1:11" x14ac:dyDescent="0.35">
      <c r="A241" t="s">
        <v>790</v>
      </c>
      <c r="B241" t="s">
        <v>477</v>
      </c>
      <c r="C241" s="18" t="s">
        <v>125</v>
      </c>
      <c r="D241" s="18" t="s">
        <v>57</v>
      </c>
      <c r="E241" s="18" t="s">
        <v>288</v>
      </c>
      <c r="F241" s="19">
        <v>44920</v>
      </c>
      <c r="G241" s="20">
        <v>417137.79</v>
      </c>
      <c r="H241" s="50" t="s">
        <v>791</v>
      </c>
      <c r="I241" t="s">
        <v>790</v>
      </c>
      <c r="J241">
        <v>38</v>
      </c>
      <c r="K241" t="s">
        <v>481</v>
      </c>
    </row>
    <row r="242" spans="1:11" x14ac:dyDescent="0.35">
      <c r="A242" t="s">
        <v>790</v>
      </c>
      <c r="B242" t="s">
        <v>477</v>
      </c>
      <c r="C242" s="18" t="s">
        <v>125</v>
      </c>
      <c r="D242" s="18" t="s">
        <v>57</v>
      </c>
      <c r="E242" s="18" t="s">
        <v>289</v>
      </c>
      <c r="F242" s="19">
        <v>44920</v>
      </c>
      <c r="G242" s="20">
        <v>5267.52</v>
      </c>
      <c r="H242" s="50" t="s">
        <v>791</v>
      </c>
      <c r="I242" t="s">
        <v>790</v>
      </c>
      <c r="J242">
        <v>38</v>
      </c>
      <c r="K242" t="s">
        <v>481</v>
      </c>
    </row>
    <row r="243" spans="1:11" x14ac:dyDescent="0.35">
      <c r="A243" t="s">
        <v>790</v>
      </c>
      <c r="B243" t="s">
        <v>477</v>
      </c>
      <c r="C243" s="18" t="s">
        <v>125</v>
      </c>
      <c r="D243" s="18" t="s">
        <v>57</v>
      </c>
      <c r="E243" s="18" t="s">
        <v>290</v>
      </c>
      <c r="F243" s="19">
        <v>44922</v>
      </c>
      <c r="G243" s="20">
        <v>277145.51</v>
      </c>
      <c r="H243" s="50" t="s">
        <v>791</v>
      </c>
      <c r="I243" t="s">
        <v>790</v>
      </c>
      <c r="J243">
        <v>36</v>
      </c>
      <c r="K243" t="s">
        <v>481</v>
      </c>
    </row>
    <row r="244" spans="1:11" x14ac:dyDescent="0.35">
      <c r="A244" t="s">
        <v>790</v>
      </c>
      <c r="B244" t="s">
        <v>477</v>
      </c>
      <c r="C244" s="18" t="s">
        <v>125</v>
      </c>
      <c r="D244" s="18" t="s">
        <v>57</v>
      </c>
      <c r="E244" s="18" t="s">
        <v>291</v>
      </c>
      <c r="F244" s="19">
        <v>44923</v>
      </c>
      <c r="G244" s="20">
        <v>1573120.3</v>
      </c>
      <c r="H244" s="50" t="s">
        <v>791</v>
      </c>
      <c r="I244" t="s">
        <v>790</v>
      </c>
      <c r="J244">
        <v>35</v>
      </c>
      <c r="K244" t="s">
        <v>481</v>
      </c>
    </row>
    <row r="245" spans="1:11" x14ac:dyDescent="0.35">
      <c r="A245" t="s">
        <v>790</v>
      </c>
      <c r="B245" t="s">
        <v>477</v>
      </c>
      <c r="C245" s="18" t="s">
        <v>125</v>
      </c>
      <c r="D245" s="18" t="s">
        <v>57</v>
      </c>
      <c r="E245" s="18" t="s">
        <v>292</v>
      </c>
      <c r="F245" s="19">
        <v>44923</v>
      </c>
      <c r="G245" s="20">
        <v>566.4</v>
      </c>
      <c r="H245" s="50" t="s">
        <v>791</v>
      </c>
      <c r="I245" t="s">
        <v>790</v>
      </c>
      <c r="J245">
        <v>35</v>
      </c>
      <c r="K245" t="s">
        <v>481</v>
      </c>
    </row>
    <row r="246" spans="1:11" x14ac:dyDescent="0.35">
      <c r="A246" t="s">
        <v>790</v>
      </c>
      <c r="B246" t="s">
        <v>477</v>
      </c>
      <c r="C246" s="18" t="s">
        <v>293</v>
      </c>
      <c r="D246" s="18" t="s">
        <v>294</v>
      </c>
      <c r="E246" s="18" t="s">
        <v>295</v>
      </c>
      <c r="F246" s="19">
        <v>44924</v>
      </c>
      <c r="G246" s="21">
        <v>582912.32999999996</v>
      </c>
      <c r="H246" s="50" t="s">
        <v>791</v>
      </c>
      <c r="I246" t="s">
        <v>790</v>
      </c>
      <c r="J246">
        <v>34</v>
      </c>
      <c r="K246" t="s">
        <v>481</v>
      </c>
    </row>
    <row r="247" spans="1:11" x14ac:dyDescent="0.35">
      <c r="A247" t="s">
        <v>790</v>
      </c>
      <c r="B247" t="s">
        <v>477</v>
      </c>
      <c r="C247" s="18" t="s">
        <v>16</v>
      </c>
      <c r="D247" s="18" t="s">
        <v>17</v>
      </c>
      <c r="E247" s="18" t="s">
        <v>296</v>
      </c>
      <c r="F247" s="19">
        <v>44924</v>
      </c>
      <c r="G247" s="21">
        <v>85044.96</v>
      </c>
      <c r="H247" s="50" t="s">
        <v>791</v>
      </c>
      <c r="I247" t="s">
        <v>790</v>
      </c>
      <c r="J247">
        <v>34</v>
      </c>
      <c r="K247" t="s">
        <v>481</v>
      </c>
    </row>
    <row r="248" spans="1:11" x14ac:dyDescent="0.35">
      <c r="A248" t="s">
        <v>790</v>
      </c>
      <c r="B248" t="s">
        <v>477</v>
      </c>
      <c r="C248" s="18" t="s">
        <v>125</v>
      </c>
      <c r="D248" s="18" t="s">
        <v>57</v>
      </c>
      <c r="E248" s="18" t="s">
        <v>297</v>
      </c>
      <c r="F248" s="19">
        <v>44924</v>
      </c>
      <c r="G248" s="20">
        <v>684985.28</v>
      </c>
      <c r="H248" s="50" t="s">
        <v>791</v>
      </c>
      <c r="I248" t="s">
        <v>790</v>
      </c>
      <c r="J248">
        <v>34</v>
      </c>
      <c r="K248" t="s">
        <v>481</v>
      </c>
    </row>
    <row r="249" spans="1:11" x14ac:dyDescent="0.35">
      <c r="A249" t="s">
        <v>790</v>
      </c>
      <c r="B249" t="s">
        <v>477</v>
      </c>
      <c r="C249" s="18" t="s">
        <v>125</v>
      </c>
      <c r="D249" s="18" t="s">
        <v>57</v>
      </c>
      <c r="E249" s="18" t="s">
        <v>298</v>
      </c>
      <c r="F249" s="19">
        <v>44924</v>
      </c>
      <c r="G249" s="20">
        <v>11724.48</v>
      </c>
      <c r="H249" s="50" t="s">
        <v>791</v>
      </c>
      <c r="I249" t="s">
        <v>790</v>
      </c>
      <c r="J249">
        <v>34</v>
      </c>
      <c r="K249" t="s">
        <v>481</v>
      </c>
    </row>
    <row r="250" spans="1:11" x14ac:dyDescent="0.35">
      <c r="A250" t="s">
        <v>790</v>
      </c>
      <c r="B250" t="s">
        <v>477</v>
      </c>
      <c r="C250" s="18" t="s">
        <v>277</v>
      </c>
      <c r="D250" s="18" t="s">
        <v>278</v>
      </c>
      <c r="E250" s="18" t="s">
        <v>299</v>
      </c>
      <c r="F250" s="19">
        <v>44925</v>
      </c>
      <c r="G250" s="22">
        <v>1258507.51</v>
      </c>
      <c r="H250" s="50" t="s">
        <v>791</v>
      </c>
      <c r="I250" t="s">
        <v>790</v>
      </c>
      <c r="J250">
        <v>33</v>
      </c>
      <c r="K250" t="s">
        <v>481</v>
      </c>
    </row>
    <row r="251" spans="1:11" x14ac:dyDescent="0.35">
      <c r="A251" t="s">
        <v>790</v>
      </c>
      <c r="B251" t="s">
        <v>477</v>
      </c>
      <c r="C251" s="18" t="s">
        <v>277</v>
      </c>
      <c r="D251" s="18" t="s">
        <v>278</v>
      </c>
      <c r="E251" s="18" t="s">
        <v>300</v>
      </c>
      <c r="F251" s="19">
        <v>44926</v>
      </c>
      <c r="G251" s="22">
        <v>1762823.74</v>
      </c>
      <c r="H251" s="50" t="s">
        <v>791</v>
      </c>
      <c r="I251" t="s">
        <v>790</v>
      </c>
      <c r="J251">
        <v>32</v>
      </c>
      <c r="K251" t="s">
        <v>481</v>
      </c>
    </row>
    <row r="252" spans="1:11" x14ac:dyDescent="0.35">
      <c r="A252" t="s">
        <v>790</v>
      </c>
      <c r="B252" t="s">
        <v>477</v>
      </c>
      <c r="C252" s="18" t="s">
        <v>125</v>
      </c>
      <c r="D252" s="18" t="s">
        <v>57</v>
      </c>
      <c r="E252" s="18" t="s">
        <v>301</v>
      </c>
      <c r="F252" s="19">
        <v>44926</v>
      </c>
      <c r="G252" s="20">
        <v>1003715.94</v>
      </c>
      <c r="H252" s="50" t="s">
        <v>791</v>
      </c>
      <c r="I252" t="s">
        <v>790</v>
      </c>
      <c r="J252">
        <v>32</v>
      </c>
      <c r="K252" t="s">
        <v>481</v>
      </c>
    </row>
    <row r="253" spans="1:11" x14ac:dyDescent="0.35">
      <c r="A253" t="s">
        <v>790</v>
      </c>
      <c r="B253" t="s">
        <v>477</v>
      </c>
      <c r="C253" s="18" t="s">
        <v>125</v>
      </c>
      <c r="D253" s="18" t="s">
        <v>57</v>
      </c>
      <c r="E253" s="18" t="s">
        <v>302</v>
      </c>
      <c r="F253" s="19">
        <v>44926</v>
      </c>
      <c r="G253" s="20">
        <v>4134.72</v>
      </c>
      <c r="H253" s="50" t="s">
        <v>791</v>
      </c>
      <c r="I253" t="s">
        <v>790</v>
      </c>
      <c r="J253">
        <v>32</v>
      </c>
      <c r="K253" t="s">
        <v>481</v>
      </c>
    </row>
    <row r="254" spans="1:11" x14ac:dyDescent="0.35">
      <c r="A254" t="s">
        <v>790</v>
      </c>
      <c r="B254" t="s">
        <v>477</v>
      </c>
      <c r="C254" s="18" t="s">
        <v>125</v>
      </c>
      <c r="D254" s="18" t="s">
        <v>57</v>
      </c>
      <c r="E254" s="18" t="s">
        <v>303</v>
      </c>
      <c r="F254" s="19">
        <v>44897</v>
      </c>
      <c r="G254" s="20">
        <v>3242.25</v>
      </c>
      <c r="H254" s="50" t="s">
        <v>791</v>
      </c>
      <c r="I254" t="s">
        <v>790</v>
      </c>
      <c r="J254">
        <v>61</v>
      </c>
      <c r="K254" t="s">
        <v>481</v>
      </c>
    </row>
    <row r="255" spans="1:11" x14ac:dyDescent="0.35">
      <c r="A255" t="s">
        <v>790</v>
      </c>
      <c r="B255" t="s">
        <v>477</v>
      </c>
      <c r="C255" s="18" t="s">
        <v>125</v>
      </c>
      <c r="D255" s="18" t="s">
        <v>57</v>
      </c>
      <c r="E255" s="18" t="s">
        <v>304</v>
      </c>
      <c r="F255" s="19">
        <v>44900</v>
      </c>
      <c r="G255" s="20">
        <v>3756652.6</v>
      </c>
      <c r="H255" s="50" t="s">
        <v>791</v>
      </c>
      <c r="I255" t="s">
        <v>790</v>
      </c>
      <c r="J255">
        <v>58</v>
      </c>
      <c r="K255" t="s">
        <v>481</v>
      </c>
    </row>
    <row r="256" spans="1:11" x14ac:dyDescent="0.35">
      <c r="A256" t="s">
        <v>790</v>
      </c>
      <c r="B256" t="s">
        <v>477</v>
      </c>
      <c r="C256" s="18" t="s">
        <v>125</v>
      </c>
      <c r="D256" s="18" t="s">
        <v>57</v>
      </c>
      <c r="E256" s="18" t="s">
        <v>305</v>
      </c>
      <c r="F256" s="19">
        <v>44901</v>
      </c>
      <c r="G256" s="20">
        <v>104822.44</v>
      </c>
      <c r="H256" s="50" t="s">
        <v>791</v>
      </c>
      <c r="I256" t="s">
        <v>790</v>
      </c>
      <c r="J256">
        <v>57</v>
      </c>
      <c r="K256" t="s">
        <v>481</v>
      </c>
    </row>
    <row r="257" spans="1:11" x14ac:dyDescent="0.35">
      <c r="A257" t="s">
        <v>790</v>
      </c>
      <c r="B257" t="s">
        <v>477</v>
      </c>
      <c r="C257" s="18" t="s">
        <v>125</v>
      </c>
      <c r="D257" s="18" t="s">
        <v>57</v>
      </c>
      <c r="E257" s="18" t="s">
        <v>306</v>
      </c>
      <c r="F257" s="19">
        <v>44902</v>
      </c>
      <c r="G257" s="20">
        <v>1414.8</v>
      </c>
      <c r="H257" s="50" t="s">
        <v>791</v>
      </c>
      <c r="I257" t="s">
        <v>790</v>
      </c>
      <c r="J257">
        <v>56</v>
      </c>
      <c r="K257" t="s">
        <v>481</v>
      </c>
    </row>
    <row r="258" spans="1:11" x14ac:dyDescent="0.35">
      <c r="A258" t="s">
        <v>790</v>
      </c>
      <c r="B258" t="s">
        <v>477</v>
      </c>
      <c r="C258" s="18" t="s">
        <v>125</v>
      </c>
      <c r="D258" s="18" t="s">
        <v>57</v>
      </c>
      <c r="E258" s="18" t="s">
        <v>307</v>
      </c>
      <c r="F258" s="19">
        <v>44907</v>
      </c>
      <c r="G258" s="20">
        <v>1806844.7</v>
      </c>
      <c r="H258" s="50" t="s">
        <v>791</v>
      </c>
      <c r="I258" t="s">
        <v>790</v>
      </c>
      <c r="J258">
        <v>51</v>
      </c>
      <c r="K258" t="s">
        <v>481</v>
      </c>
    </row>
    <row r="259" spans="1:11" x14ac:dyDescent="0.35">
      <c r="A259" t="s">
        <v>790</v>
      </c>
      <c r="B259" t="s">
        <v>477</v>
      </c>
      <c r="C259" s="18" t="s">
        <v>125</v>
      </c>
      <c r="D259" s="18" t="s">
        <v>57</v>
      </c>
      <c r="E259" s="18" t="s">
        <v>308</v>
      </c>
      <c r="F259" s="19">
        <v>44917</v>
      </c>
      <c r="G259" s="20">
        <v>3826446.39</v>
      </c>
      <c r="H259" s="50" t="s">
        <v>791</v>
      </c>
      <c r="I259" t="s">
        <v>790</v>
      </c>
      <c r="J259">
        <v>41</v>
      </c>
      <c r="K259" t="s">
        <v>481</v>
      </c>
    </row>
    <row r="260" spans="1:11" x14ac:dyDescent="0.35">
      <c r="A260" t="s">
        <v>790</v>
      </c>
      <c r="B260" t="s">
        <v>477</v>
      </c>
      <c r="C260" s="18" t="s">
        <v>125</v>
      </c>
      <c r="D260" s="18" t="s">
        <v>57</v>
      </c>
      <c r="E260" s="18" t="s">
        <v>309</v>
      </c>
      <c r="F260" s="19">
        <v>44917</v>
      </c>
      <c r="G260" s="20">
        <v>359.6</v>
      </c>
      <c r="H260" s="50" t="s">
        <v>791</v>
      </c>
      <c r="I260" t="s">
        <v>790</v>
      </c>
      <c r="J260">
        <v>41</v>
      </c>
      <c r="K260" t="s">
        <v>481</v>
      </c>
    </row>
    <row r="261" spans="1:11" x14ac:dyDescent="0.35">
      <c r="A261" t="s">
        <v>790</v>
      </c>
      <c r="B261" t="s">
        <v>477</v>
      </c>
      <c r="C261" s="18" t="s">
        <v>125</v>
      </c>
      <c r="D261" s="18" t="s">
        <v>57</v>
      </c>
      <c r="E261" s="18" t="s">
        <v>310</v>
      </c>
      <c r="F261" s="19">
        <v>44921</v>
      </c>
      <c r="G261" s="20">
        <v>980378.7</v>
      </c>
      <c r="H261" s="50" t="s">
        <v>791</v>
      </c>
      <c r="I261" t="s">
        <v>790</v>
      </c>
      <c r="J261">
        <v>37</v>
      </c>
      <c r="K261" t="s">
        <v>481</v>
      </c>
    </row>
    <row r="262" spans="1:11" x14ac:dyDescent="0.35">
      <c r="A262" t="s">
        <v>790</v>
      </c>
      <c r="B262" t="s">
        <v>477</v>
      </c>
      <c r="C262" s="23" t="s">
        <v>125</v>
      </c>
      <c r="D262" s="23" t="s">
        <v>57</v>
      </c>
      <c r="E262" s="23" t="s">
        <v>311</v>
      </c>
      <c r="F262" s="24">
        <v>44929</v>
      </c>
      <c r="G262" s="25">
        <v>9111.0400000000009</v>
      </c>
      <c r="H262" s="50" t="s">
        <v>791</v>
      </c>
      <c r="I262" t="s">
        <v>790</v>
      </c>
      <c r="J262">
        <v>29</v>
      </c>
      <c r="K262" t="s">
        <v>481</v>
      </c>
    </row>
    <row r="263" spans="1:11" x14ac:dyDescent="0.35">
      <c r="A263" t="s">
        <v>790</v>
      </c>
      <c r="B263" t="s">
        <v>477</v>
      </c>
      <c r="C263" s="23" t="s">
        <v>125</v>
      </c>
      <c r="D263" s="23" t="s">
        <v>57</v>
      </c>
      <c r="E263" s="23" t="s">
        <v>312</v>
      </c>
      <c r="F263" s="24">
        <v>44929</v>
      </c>
      <c r="G263" s="25">
        <v>688559.62</v>
      </c>
      <c r="H263" s="50" t="s">
        <v>791</v>
      </c>
      <c r="I263" t="s">
        <v>790</v>
      </c>
      <c r="J263">
        <v>29</v>
      </c>
      <c r="K263" t="s">
        <v>481</v>
      </c>
    </row>
    <row r="264" spans="1:11" x14ac:dyDescent="0.35">
      <c r="A264" t="s">
        <v>790</v>
      </c>
      <c r="B264" t="s">
        <v>477</v>
      </c>
      <c r="C264" s="23" t="s">
        <v>125</v>
      </c>
      <c r="D264" s="23" t="s">
        <v>57</v>
      </c>
      <c r="E264" s="23" t="s">
        <v>313</v>
      </c>
      <c r="F264" s="24">
        <v>44931</v>
      </c>
      <c r="G264" s="25">
        <v>452325.56</v>
      </c>
      <c r="H264" s="50" t="s">
        <v>791</v>
      </c>
      <c r="I264" t="s">
        <v>790</v>
      </c>
      <c r="J264">
        <v>27</v>
      </c>
      <c r="K264" t="s">
        <v>481</v>
      </c>
    </row>
    <row r="265" spans="1:11" x14ac:dyDescent="0.35">
      <c r="A265" t="s">
        <v>790</v>
      </c>
      <c r="B265" t="s">
        <v>477</v>
      </c>
      <c r="C265" s="23" t="s">
        <v>125</v>
      </c>
      <c r="D265" s="23" t="s">
        <v>57</v>
      </c>
      <c r="E265" s="23" t="s">
        <v>314</v>
      </c>
      <c r="F265" s="24">
        <v>44931</v>
      </c>
      <c r="G265" s="25">
        <v>6904.08</v>
      </c>
      <c r="H265" s="50" t="s">
        <v>791</v>
      </c>
      <c r="I265" t="s">
        <v>790</v>
      </c>
      <c r="J265">
        <v>27</v>
      </c>
      <c r="K265" t="s">
        <v>481</v>
      </c>
    </row>
    <row r="266" spans="1:11" x14ac:dyDescent="0.35">
      <c r="A266" t="s">
        <v>790</v>
      </c>
      <c r="B266" t="s">
        <v>477</v>
      </c>
      <c r="C266" s="23" t="s">
        <v>125</v>
      </c>
      <c r="D266" s="23" t="s">
        <v>57</v>
      </c>
      <c r="E266" s="23" t="s">
        <v>315</v>
      </c>
      <c r="F266" s="24">
        <v>44931</v>
      </c>
      <c r="G266" s="25">
        <v>142271.23000000001</v>
      </c>
      <c r="H266" s="50" t="s">
        <v>791</v>
      </c>
      <c r="I266" t="s">
        <v>790</v>
      </c>
      <c r="J266">
        <v>27</v>
      </c>
      <c r="K266" t="s">
        <v>481</v>
      </c>
    </row>
    <row r="267" spans="1:11" x14ac:dyDescent="0.35">
      <c r="A267" t="s">
        <v>790</v>
      </c>
      <c r="B267" t="s">
        <v>477</v>
      </c>
      <c r="C267" s="23" t="s">
        <v>125</v>
      </c>
      <c r="D267" s="23" t="s">
        <v>57</v>
      </c>
      <c r="E267" s="23" t="s">
        <v>316</v>
      </c>
      <c r="F267" s="24">
        <v>44931</v>
      </c>
      <c r="G267" s="25">
        <v>1584.92</v>
      </c>
      <c r="H267" s="50" t="s">
        <v>791</v>
      </c>
      <c r="I267" t="s">
        <v>790</v>
      </c>
      <c r="J267">
        <v>27</v>
      </c>
      <c r="K267" t="s">
        <v>481</v>
      </c>
    </row>
    <row r="268" spans="1:11" x14ac:dyDescent="0.35">
      <c r="A268" t="s">
        <v>790</v>
      </c>
      <c r="B268" t="s">
        <v>477</v>
      </c>
      <c r="C268" s="23" t="s">
        <v>125</v>
      </c>
      <c r="D268" s="23" t="s">
        <v>57</v>
      </c>
      <c r="E268" s="23" t="s">
        <v>317</v>
      </c>
      <c r="F268" s="24">
        <v>44931</v>
      </c>
      <c r="G268" s="25">
        <v>2934.44</v>
      </c>
      <c r="H268" s="50" t="s">
        <v>791</v>
      </c>
      <c r="I268" t="s">
        <v>790</v>
      </c>
      <c r="J268">
        <v>27</v>
      </c>
      <c r="K268" t="s">
        <v>481</v>
      </c>
    </row>
    <row r="269" spans="1:11" x14ac:dyDescent="0.35">
      <c r="A269" t="s">
        <v>790</v>
      </c>
      <c r="B269" t="s">
        <v>477</v>
      </c>
      <c r="C269" s="23" t="s">
        <v>125</v>
      </c>
      <c r="D269" s="23" t="s">
        <v>57</v>
      </c>
      <c r="E269" s="23" t="s">
        <v>318</v>
      </c>
      <c r="F269" s="24">
        <v>44931</v>
      </c>
      <c r="G269" s="25">
        <v>7593</v>
      </c>
      <c r="H269" s="50" t="s">
        <v>791</v>
      </c>
      <c r="I269" t="s">
        <v>790</v>
      </c>
      <c r="J269">
        <v>27</v>
      </c>
      <c r="K269" t="s">
        <v>481</v>
      </c>
    </row>
    <row r="270" spans="1:11" x14ac:dyDescent="0.35">
      <c r="A270" t="s">
        <v>790</v>
      </c>
      <c r="B270" t="s">
        <v>477</v>
      </c>
      <c r="C270" s="23" t="s">
        <v>125</v>
      </c>
      <c r="D270" s="23" t="s">
        <v>57</v>
      </c>
      <c r="E270" s="23" t="s">
        <v>319</v>
      </c>
      <c r="F270" s="24">
        <v>44931</v>
      </c>
      <c r="G270" s="25">
        <v>52250</v>
      </c>
      <c r="H270" s="50" t="s">
        <v>791</v>
      </c>
      <c r="I270" t="s">
        <v>790</v>
      </c>
      <c r="J270">
        <v>27</v>
      </c>
      <c r="K270" t="s">
        <v>481</v>
      </c>
    </row>
    <row r="271" spans="1:11" x14ac:dyDescent="0.35">
      <c r="A271" t="s">
        <v>790</v>
      </c>
      <c r="B271" t="s">
        <v>477</v>
      </c>
      <c r="C271" s="23" t="s">
        <v>125</v>
      </c>
      <c r="D271" s="23" t="s">
        <v>57</v>
      </c>
      <c r="E271" s="23" t="s">
        <v>320</v>
      </c>
      <c r="F271" s="24">
        <v>44932</v>
      </c>
      <c r="G271" s="25">
        <v>320901.2</v>
      </c>
      <c r="H271" s="50" t="s">
        <v>791</v>
      </c>
      <c r="I271" t="s">
        <v>790</v>
      </c>
      <c r="J271">
        <v>26</v>
      </c>
      <c r="K271" t="s">
        <v>481</v>
      </c>
    </row>
    <row r="272" spans="1:11" x14ac:dyDescent="0.35">
      <c r="A272" t="s">
        <v>790</v>
      </c>
      <c r="B272" t="s">
        <v>477</v>
      </c>
      <c r="C272" s="23" t="s">
        <v>125</v>
      </c>
      <c r="D272" s="23" t="s">
        <v>57</v>
      </c>
      <c r="E272" s="23" t="s">
        <v>321</v>
      </c>
      <c r="F272" s="24">
        <v>44932</v>
      </c>
      <c r="G272" s="25">
        <v>3791.88</v>
      </c>
      <c r="H272" s="50" t="s">
        <v>791</v>
      </c>
      <c r="I272" t="s">
        <v>790</v>
      </c>
      <c r="J272">
        <v>26</v>
      </c>
      <c r="K272" t="s">
        <v>481</v>
      </c>
    </row>
    <row r="273" spans="1:11" x14ac:dyDescent="0.35">
      <c r="A273" t="s">
        <v>790</v>
      </c>
      <c r="B273" t="s">
        <v>477</v>
      </c>
      <c r="C273" s="23" t="s">
        <v>125</v>
      </c>
      <c r="D273" s="23" t="s">
        <v>57</v>
      </c>
      <c r="E273" s="23" t="s">
        <v>322</v>
      </c>
      <c r="F273" s="24">
        <v>44932</v>
      </c>
      <c r="G273" s="25">
        <v>456489.62</v>
      </c>
      <c r="H273" s="50" t="s">
        <v>791</v>
      </c>
      <c r="I273" t="s">
        <v>790</v>
      </c>
      <c r="J273">
        <v>26</v>
      </c>
      <c r="K273" t="s">
        <v>481</v>
      </c>
    </row>
    <row r="274" spans="1:11" x14ac:dyDescent="0.35">
      <c r="A274" t="s">
        <v>790</v>
      </c>
      <c r="B274" t="s">
        <v>477</v>
      </c>
      <c r="C274" s="23" t="s">
        <v>125</v>
      </c>
      <c r="D274" s="23" t="s">
        <v>57</v>
      </c>
      <c r="E274" s="23" t="s">
        <v>323</v>
      </c>
      <c r="F274" s="24">
        <v>44932</v>
      </c>
      <c r="G274" s="25">
        <v>7243.92</v>
      </c>
      <c r="H274" s="50" t="s">
        <v>791</v>
      </c>
      <c r="I274" t="s">
        <v>790</v>
      </c>
      <c r="J274">
        <v>26</v>
      </c>
      <c r="K274" t="s">
        <v>481</v>
      </c>
    </row>
    <row r="275" spans="1:11" x14ac:dyDescent="0.35">
      <c r="A275" t="s">
        <v>790</v>
      </c>
      <c r="B275" t="s">
        <v>477</v>
      </c>
      <c r="C275" s="23" t="s">
        <v>125</v>
      </c>
      <c r="D275" s="23" t="s">
        <v>57</v>
      </c>
      <c r="E275" s="23" t="s">
        <v>324</v>
      </c>
      <c r="F275" s="24">
        <v>44932</v>
      </c>
      <c r="G275" s="25">
        <v>434383.52</v>
      </c>
      <c r="H275" s="50" t="s">
        <v>791</v>
      </c>
      <c r="I275" t="s">
        <v>790</v>
      </c>
      <c r="J275">
        <v>26</v>
      </c>
      <c r="K275" t="s">
        <v>481</v>
      </c>
    </row>
    <row r="276" spans="1:11" x14ac:dyDescent="0.35">
      <c r="A276" t="s">
        <v>790</v>
      </c>
      <c r="B276" t="s">
        <v>477</v>
      </c>
      <c r="C276" s="23" t="s">
        <v>125</v>
      </c>
      <c r="D276" s="23" t="s">
        <v>57</v>
      </c>
      <c r="E276" s="23" t="s">
        <v>325</v>
      </c>
      <c r="F276" s="24">
        <v>44932</v>
      </c>
      <c r="G276" s="25">
        <v>73819.740000000005</v>
      </c>
      <c r="H276" s="50" t="s">
        <v>791</v>
      </c>
      <c r="I276" t="s">
        <v>790</v>
      </c>
      <c r="J276">
        <v>26</v>
      </c>
      <c r="K276" t="s">
        <v>481</v>
      </c>
    </row>
    <row r="277" spans="1:11" x14ac:dyDescent="0.35">
      <c r="A277" t="s">
        <v>790</v>
      </c>
      <c r="B277" t="s">
        <v>477</v>
      </c>
      <c r="C277" s="23" t="s">
        <v>125</v>
      </c>
      <c r="D277" s="23" t="s">
        <v>57</v>
      </c>
      <c r="E277" s="23" t="s">
        <v>326</v>
      </c>
      <c r="F277" s="24">
        <v>44932</v>
      </c>
      <c r="G277" s="25">
        <v>70651</v>
      </c>
      <c r="H277" s="50" t="s">
        <v>791</v>
      </c>
      <c r="I277" t="s">
        <v>790</v>
      </c>
      <c r="J277">
        <v>26</v>
      </c>
      <c r="K277" t="s">
        <v>481</v>
      </c>
    </row>
    <row r="278" spans="1:11" x14ac:dyDescent="0.35">
      <c r="A278" t="s">
        <v>790</v>
      </c>
      <c r="B278" t="s">
        <v>477</v>
      </c>
      <c r="C278" s="23" t="s">
        <v>125</v>
      </c>
      <c r="D278" s="23" t="s">
        <v>57</v>
      </c>
      <c r="E278" s="23" t="s">
        <v>327</v>
      </c>
      <c r="F278" s="24">
        <v>44933</v>
      </c>
      <c r="G278" s="25">
        <v>904172.07</v>
      </c>
      <c r="H278" s="50" t="s">
        <v>791</v>
      </c>
      <c r="I278" t="s">
        <v>790</v>
      </c>
      <c r="J278">
        <v>25</v>
      </c>
      <c r="K278" t="s">
        <v>481</v>
      </c>
    </row>
    <row r="279" spans="1:11" x14ac:dyDescent="0.35">
      <c r="A279" t="s">
        <v>790</v>
      </c>
      <c r="B279" t="s">
        <v>477</v>
      </c>
      <c r="C279" s="23" t="s">
        <v>125</v>
      </c>
      <c r="D279" s="23" t="s">
        <v>57</v>
      </c>
      <c r="E279" s="23" t="s">
        <v>328</v>
      </c>
      <c r="F279" s="24">
        <v>44933</v>
      </c>
      <c r="G279" s="25">
        <v>292866.99</v>
      </c>
      <c r="H279" s="50" t="s">
        <v>791</v>
      </c>
      <c r="I279" t="s">
        <v>790</v>
      </c>
      <c r="J279">
        <v>25</v>
      </c>
      <c r="K279" t="s">
        <v>481</v>
      </c>
    </row>
    <row r="280" spans="1:11" x14ac:dyDescent="0.35">
      <c r="A280" t="s">
        <v>790</v>
      </c>
      <c r="B280" t="s">
        <v>477</v>
      </c>
      <c r="C280" s="23" t="s">
        <v>125</v>
      </c>
      <c r="D280" s="23" t="s">
        <v>57</v>
      </c>
      <c r="E280" s="23" t="s">
        <v>329</v>
      </c>
      <c r="F280" s="24">
        <v>44933</v>
      </c>
      <c r="G280" s="25">
        <v>3338.76</v>
      </c>
      <c r="H280" s="50" t="s">
        <v>791</v>
      </c>
      <c r="I280" t="s">
        <v>790</v>
      </c>
      <c r="J280">
        <v>25</v>
      </c>
      <c r="K280" t="s">
        <v>481</v>
      </c>
    </row>
    <row r="281" spans="1:11" x14ac:dyDescent="0.35">
      <c r="A281" t="s">
        <v>790</v>
      </c>
      <c r="B281" t="s">
        <v>477</v>
      </c>
      <c r="C281" s="23" t="s">
        <v>125</v>
      </c>
      <c r="D281" s="23" t="s">
        <v>57</v>
      </c>
      <c r="E281" s="23" t="s">
        <v>330</v>
      </c>
      <c r="F281" s="24">
        <v>44933</v>
      </c>
      <c r="G281" s="25">
        <v>94733</v>
      </c>
      <c r="H281" s="50" t="s">
        <v>791</v>
      </c>
      <c r="I281" t="s">
        <v>790</v>
      </c>
      <c r="J281">
        <v>25</v>
      </c>
      <c r="K281" t="s">
        <v>481</v>
      </c>
    </row>
    <row r="282" spans="1:11" x14ac:dyDescent="0.35">
      <c r="A282" t="s">
        <v>790</v>
      </c>
      <c r="B282" t="s">
        <v>477</v>
      </c>
      <c r="C282" s="23" t="s">
        <v>125</v>
      </c>
      <c r="D282" s="23" t="s">
        <v>57</v>
      </c>
      <c r="E282" s="23" t="s">
        <v>331</v>
      </c>
      <c r="F282" s="24">
        <v>44933</v>
      </c>
      <c r="G282" s="25">
        <v>1270</v>
      </c>
      <c r="H282" s="50" t="s">
        <v>791</v>
      </c>
      <c r="I282" t="s">
        <v>790</v>
      </c>
      <c r="J282">
        <v>25</v>
      </c>
      <c r="K282" t="s">
        <v>481</v>
      </c>
    </row>
    <row r="283" spans="1:11" x14ac:dyDescent="0.35">
      <c r="A283" t="s">
        <v>790</v>
      </c>
      <c r="B283" t="s">
        <v>477</v>
      </c>
      <c r="C283" s="23" t="s">
        <v>125</v>
      </c>
      <c r="D283" s="23" t="s">
        <v>57</v>
      </c>
      <c r="E283" s="23" t="s">
        <v>332</v>
      </c>
      <c r="F283" s="24">
        <v>44933</v>
      </c>
      <c r="G283" s="25">
        <v>36025</v>
      </c>
      <c r="H283" s="50" t="s">
        <v>791</v>
      </c>
      <c r="I283" t="s">
        <v>790</v>
      </c>
      <c r="J283">
        <v>25</v>
      </c>
      <c r="K283" t="s">
        <v>481</v>
      </c>
    </row>
    <row r="284" spans="1:11" x14ac:dyDescent="0.35">
      <c r="A284" t="s">
        <v>790</v>
      </c>
      <c r="B284" t="s">
        <v>477</v>
      </c>
      <c r="C284" s="23" t="s">
        <v>125</v>
      </c>
      <c r="D284" s="23" t="s">
        <v>57</v>
      </c>
      <c r="E284" s="23" t="s">
        <v>333</v>
      </c>
      <c r="F284" s="24">
        <v>44934</v>
      </c>
      <c r="G284" s="25">
        <v>482119.57</v>
      </c>
      <c r="H284" s="50" t="s">
        <v>791</v>
      </c>
      <c r="I284" t="s">
        <v>790</v>
      </c>
      <c r="J284">
        <v>24</v>
      </c>
      <c r="K284" t="s">
        <v>481</v>
      </c>
    </row>
    <row r="285" spans="1:11" x14ac:dyDescent="0.35">
      <c r="A285" t="s">
        <v>790</v>
      </c>
      <c r="B285" t="s">
        <v>477</v>
      </c>
      <c r="C285" s="23" t="s">
        <v>125</v>
      </c>
      <c r="D285" s="23" t="s">
        <v>57</v>
      </c>
      <c r="E285" s="23" t="s">
        <v>334</v>
      </c>
      <c r="F285" s="24">
        <v>44934</v>
      </c>
      <c r="G285" s="25">
        <v>10643</v>
      </c>
      <c r="H285" s="50" t="s">
        <v>791</v>
      </c>
      <c r="I285" t="s">
        <v>790</v>
      </c>
      <c r="J285">
        <v>24</v>
      </c>
      <c r="K285" t="s">
        <v>481</v>
      </c>
    </row>
    <row r="286" spans="1:11" x14ac:dyDescent="0.35">
      <c r="A286" t="s">
        <v>790</v>
      </c>
      <c r="B286" t="s">
        <v>477</v>
      </c>
      <c r="C286" s="23" t="s">
        <v>125</v>
      </c>
      <c r="D286" s="23" t="s">
        <v>57</v>
      </c>
      <c r="E286" s="23" t="s">
        <v>335</v>
      </c>
      <c r="F286" s="24">
        <v>44934</v>
      </c>
      <c r="G286" s="25">
        <v>327973</v>
      </c>
      <c r="H286" s="50" t="s">
        <v>791</v>
      </c>
      <c r="I286" t="s">
        <v>790</v>
      </c>
      <c r="J286">
        <v>24</v>
      </c>
      <c r="K286" t="s">
        <v>481</v>
      </c>
    </row>
    <row r="287" spans="1:11" x14ac:dyDescent="0.35">
      <c r="A287" t="s">
        <v>790</v>
      </c>
      <c r="B287" t="s">
        <v>477</v>
      </c>
      <c r="C287" s="23" t="s">
        <v>125</v>
      </c>
      <c r="D287" s="23" t="s">
        <v>57</v>
      </c>
      <c r="E287" s="23" t="s">
        <v>336</v>
      </c>
      <c r="F287" s="24">
        <v>44935</v>
      </c>
      <c r="G287" s="25">
        <v>502688.13</v>
      </c>
      <c r="H287" s="50" t="s">
        <v>791</v>
      </c>
      <c r="I287" t="s">
        <v>790</v>
      </c>
      <c r="J287">
        <v>23</v>
      </c>
      <c r="K287" t="s">
        <v>481</v>
      </c>
    </row>
    <row r="288" spans="1:11" x14ac:dyDescent="0.35">
      <c r="A288" t="s">
        <v>790</v>
      </c>
      <c r="B288" t="s">
        <v>477</v>
      </c>
      <c r="C288" s="23" t="s">
        <v>125</v>
      </c>
      <c r="D288" s="23" t="s">
        <v>57</v>
      </c>
      <c r="E288" s="23" t="s">
        <v>337</v>
      </c>
      <c r="F288" s="24">
        <v>44935</v>
      </c>
      <c r="G288" s="25">
        <v>2093.6799999999998</v>
      </c>
      <c r="H288" s="50" t="s">
        <v>791</v>
      </c>
      <c r="I288" t="s">
        <v>790</v>
      </c>
      <c r="J288">
        <v>23</v>
      </c>
      <c r="K288" t="s">
        <v>481</v>
      </c>
    </row>
    <row r="289" spans="1:11" x14ac:dyDescent="0.35">
      <c r="A289" t="s">
        <v>790</v>
      </c>
      <c r="B289" t="s">
        <v>477</v>
      </c>
      <c r="C289" s="23" t="s">
        <v>125</v>
      </c>
      <c r="D289" s="23" t="s">
        <v>57</v>
      </c>
      <c r="E289" s="23" t="s">
        <v>338</v>
      </c>
      <c r="F289" s="24">
        <v>44936</v>
      </c>
      <c r="G289" s="25">
        <v>201381.94</v>
      </c>
      <c r="H289" s="50" t="s">
        <v>791</v>
      </c>
      <c r="I289" t="s">
        <v>790</v>
      </c>
      <c r="J289">
        <v>22</v>
      </c>
      <c r="K289" t="s">
        <v>481</v>
      </c>
    </row>
    <row r="290" spans="1:11" x14ac:dyDescent="0.35">
      <c r="A290" t="s">
        <v>790</v>
      </c>
      <c r="B290" t="s">
        <v>477</v>
      </c>
      <c r="C290" s="23" t="s">
        <v>125</v>
      </c>
      <c r="D290" s="23" t="s">
        <v>57</v>
      </c>
      <c r="E290" s="23" t="s">
        <v>339</v>
      </c>
      <c r="F290" s="24">
        <v>44936</v>
      </c>
      <c r="G290" s="25">
        <v>1698.2</v>
      </c>
      <c r="H290" s="50" t="s">
        <v>791</v>
      </c>
      <c r="I290" t="s">
        <v>790</v>
      </c>
      <c r="J290">
        <v>22</v>
      </c>
      <c r="K290" t="s">
        <v>481</v>
      </c>
    </row>
    <row r="291" spans="1:11" x14ac:dyDescent="0.35">
      <c r="A291" t="s">
        <v>790</v>
      </c>
      <c r="B291" t="s">
        <v>477</v>
      </c>
      <c r="C291" s="23" t="s">
        <v>125</v>
      </c>
      <c r="D291" s="23" t="s">
        <v>57</v>
      </c>
      <c r="E291" s="23" t="s">
        <v>340</v>
      </c>
      <c r="F291" s="24">
        <v>44936</v>
      </c>
      <c r="G291" s="25">
        <v>282995</v>
      </c>
      <c r="H291" s="50" t="s">
        <v>791</v>
      </c>
      <c r="I291" t="s">
        <v>790</v>
      </c>
      <c r="J291">
        <v>22</v>
      </c>
      <c r="K291" t="s">
        <v>481</v>
      </c>
    </row>
    <row r="292" spans="1:11" x14ac:dyDescent="0.35">
      <c r="A292" t="s">
        <v>790</v>
      </c>
      <c r="B292" t="s">
        <v>477</v>
      </c>
      <c r="C292" s="23" t="s">
        <v>125</v>
      </c>
      <c r="D292" s="23" t="s">
        <v>57</v>
      </c>
      <c r="E292" s="23" t="s">
        <v>341</v>
      </c>
      <c r="F292" s="24">
        <v>44937</v>
      </c>
      <c r="G292" s="25">
        <v>9677.44</v>
      </c>
      <c r="H292" s="50" t="s">
        <v>791</v>
      </c>
      <c r="I292" t="s">
        <v>790</v>
      </c>
      <c r="J292">
        <v>21</v>
      </c>
      <c r="K292" t="s">
        <v>481</v>
      </c>
    </row>
    <row r="293" spans="1:11" x14ac:dyDescent="0.35">
      <c r="A293" t="s">
        <v>790</v>
      </c>
      <c r="B293" t="s">
        <v>477</v>
      </c>
      <c r="C293" s="23" t="s">
        <v>125</v>
      </c>
      <c r="D293" s="23" t="s">
        <v>57</v>
      </c>
      <c r="E293" s="23" t="s">
        <v>342</v>
      </c>
      <c r="F293" s="24">
        <v>44937</v>
      </c>
      <c r="G293" s="25">
        <v>933076.45</v>
      </c>
      <c r="H293" s="50" t="s">
        <v>791</v>
      </c>
      <c r="I293" t="s">
        <v>790</v>
      </c>
      <c r="J293">
        <v>21</v>
      </c>
      <c r="K293" t="s">
        <v>481</v>
      </c>
    </row>
    <row r="294" spans="1:11" x14ac:dyDescent="0.35">
      <c r="A294" t="s">
        <v>790</v>
      </c>
      <c r="B294" t="s">
        <v>477</v>
      </c>
      <c r="C294" s="23" t="s">
        <v>125</v>
      </c>
      <c r="D294" s="23" t="s">
        <v>57</v>
      </c>
      <c r="E294" s="23" t="s">
        <v>343</v>
      </c>
      <c r="F294" s="24">
        <v>44938</v>
      </c>
      <c r="G294" s="25">
        <v>26890.84</v>
      </c>
      <c r="H294" s="50" t="s">
        <v>791</v>
      </c>
      <c r="I294" t="s">
        <v>790</v>
      </c>
      <c r="J294">
        <v>20</v>
      </c>
      <c r="K294" t="s">
        <v>481</v>
      </c>
    </row>
    <row r="295" spans="1:11" x14ac:dyDescent="0.35">
      <c r="A295" t="s">
        <v>790</v>
      </c>
      <c r="B295" t="s">
        <v>477</v>
      </c>
      <c r="C295" s="23" t="s">
        <v>125</v>
      </c>
      <c r="D295" s="23" t="s">
        <v>57</v>
      </c>
      <c r="E295" s="23" t="s">
        <v>344</v>
      </c>
      <c r="F295" s="24">
        <v>44938</v>
      </c>
      <c r="G295" s="25">
        <v>293032.03999999998</v>
      </c>
      <c r="H295" s="50" t="s">
        <v>791</v>
      </c>
      <c r="I295" t="s">
        <v>790</v>
      </c>
      <c r="J295">
        <v>20</v>
      </c>
      <c r="K295" t="s">
        <v>481</v>
      </c>
    </row>
    <row r="296" spans="1:11" x14ac:dyDescent="0.35">
      <c r="A296" t="s">
        <v>790</v>
      </c>
      <c r="B296" t="s">
        <v>477</v>
      </c>
      <c r="C296" s="23" t="s">
        <v>125</v>
      </c>
      <c r="D296" s="23" t="s">
        <v>57</v>
      </c>
      <c r="E296" s="23" t="s">
        <v>345</v>
      </c>
      <c r="F296" s="24">
        <v>44938</v>
      </c>
      <c r="G296" s="25">
        <v>2263.6</v>
      </c>
      <c r="H296" s="50" t="s">
        <v>791</v>
      </c>
      <c r="I296" t="s">
        <v>790</v>
      </c>
      <c r="J296">
        <v>20</v>
      </c>
      <c r="K296" t="s">
        <v>481</v>
      </c>
    </row>
    <row r="297" spans="1:11" x14ac:dyDescent="0.35">
      <c r="A297" t="s">
        <v>790</v>
      </c>
      <c r="B297" t="s">
        <v>477</v>
      </c>
      <c r="C297" s="23" t="s">
        <v>125</v>
      </c>
      <c r="D297" s="23" t="s">
        <v>57</v>
      </c>
      <c r="E297" s="23" t="s">
        <v>346</v>
      </c>
      <c r="F297" s="24">
        <v>44938</v>
      </c>
      <c r="G297" s="25">
        <v>67</v>
      </c>
      <c r="H297" s="50" t="s">
        <v>791</v>
      </c>
      <c r="I297" t="s">
        <v>790</v>
      </c>
      <c r="J297">
        <v>20</v>
      </c>
      <c r="K297" t="s">
        <v>481</v>
      </c>
    </row>
    <row r="298" spans="1:11" x14ac:dyDescent="0.35">
      <c r="A298" t="s">
        <v>790</v>
      </c>
      <c r="B298" t="s">
        <v>477</v>
      </c>
      <c r="C298" s="23" t="s">
        <v>125</v>
      </c>
      <c r="D298" s="23" t="s">
        <v>57</v>
      </c>
      <c r="E298" s="23" t="s">
        <v>347</v>
      </c>
      <c r="F298" s="24">
        <v>44938</v>
      </c>
      <c r="G298" s="25">
        <v>64075</v>
      </c>
      <c r="H298" s="50" t="s">
        <v>791</v>
      </c>
      <c r="I298" t="s">
        <v>790</v>
      </c>
      <c r="J298">
        <v>20</v>
      </c>
      <c r="K298" t="s">
        <v>481</v>
      </c>
    </row>
    <row r="299" spans="1:11" x14ac:dyDescent="0.35">
      <c r="A299" t="s">
        <v>790</v>
      </c>
      <c r="B299" t="s">
        <v>477</v>
      </c>
      <c r="C299" s="23" t="s">
        <v>125</v>
      </c>
      <c r="D299" s="23" t="s">
        <v>57</v>
      </c>
      <c r="E299" s="23" t="s">
        <v>348</v>
      </c>
      <c r="F299" s="24">
        <v>44938</v>
      </c>
      <c r="G299" s="25">
        <v>13790</v>
      </c>
      <c r="H299" s="50" t="s">
        <v>791</v>
      </c>
      <c r="I299" t="s">
        <v>790</v>
      </c>
      <c r="J299">
        <v>20</v>
      </c>
      <c r="K299" t="s">
        <v>481</v>
      </c>
    </row>
    <row r="300" spans="1:11" x14ac:dyDescent="0.35">
      <c r="A300" t="s">
        <v>790</v>
      </c>
      <c r="B300" t="s">
        <v>477</v>
      </c>
      <c r="C300" s="23" t="s">
        <v>125</v>
      </c>
      <c r="D300" s="23" t="s">
        <v>57</v>
      </c>
      <c r="E300" s="23" t="s">
        <v>349</v>
      </c>
      <c r="F300" s="24">
        <v>44939</v>
      </c>
      <c r="G300" s="25">
        <v>39558.019999999997</v>
      </c>
      <c r="H300" s="50" t="s">
        <v>791</v>
      </c>
      <c r="I300" t="s">
        <v>790</v>
      </c>
      <c r="J300">
        <v>19</v>
      </c>
      <c r="K300" t="s">
        <v>481</v>
      </c>
    </row>
    <row r="301" spans="1:11" x14ac:dyDescent="0.35">
      <c r="A301" t="s">
        <v>790</v>
      </c>
      <c r="B301" t="s">
        <v>477</v>
      </c>
      <c r="C301" s="23" t="s">
        <v>125</v>
      </c>
      <c r="D301" s="23" t="s">
        <v>57</v>
      </c>
      <c r="E301" s="23" t="s">
        <v>350</v>
      </c>
      <c r="F301" s="24">
        <v>44939</v>
      </c>
      <c r="G301" s="25">
        <v>479900.91</v>
      </c>
      <c r="H301" s="50" t="s">
        <v>791</v>
      </c>
      <c r="I301" t="s">
        <v>790</v>
      </c>
      <c r="J301">
        <v>19</v>
      </c>
      <c r="K301" t="s">
        <v>481</v>
      </c>
    </row>
    <row r="302" spans="1:11" x14ac:dyDescent="0.35">
      <c r="A302" t="s">
        <v>790</v>
      </c>
      <c r="B302" t="s">
        <v>477</v>
      </c>
      <c r="C302" s="23" t="s">
        <v>125</v>
      </c>
      <c r="D302" s="23" t="s">
        <v>57</v>
      </c>
      <c r="E302" s="23" t="s">
        <v>351</v>
      </c>
      <c r="F302" s="24">
        <v>44939</v>
      </c>
      <c r="G302" s="25">
        <v>27371.19</v>
      </c>
      <c r="H302" s="50" t="s">
        <v>791</v>
      </c>
      <c r="I302" t="s">
        <v>790</v>
      </c>
      <c r="J302">
        <v>19</v>
      </c>
      <c r="K302" t="s">
        <v>481</v>
      </c>
    </row>
    <row r="303" spans="1:11" x14ac:dyDescent="0.35">
      <c r="A303" t="s">
        <v>790</v>
      </c>
      <c r="B303" t="s">
        <v>477</v>
      </c>
      <c r="C303" s="23" t="s">
        <v>125</v>
      </c>
      <c r="D303" s="23" t="s">
        <v>57</v>
      </c>
      <c r="E303" s="23" t="s">
        <v>352</v>
      </c>
      <c r="F303" s="24">
        <v>44939</v>
      </c>
      <c r="G303" s="25">
        <v>607245.77</v>
      </c>
      <c r="H303" s="50" t="s">
        <v>791</v>
      </c>
      <c r="I303" t="s">
        <v>790</v>
      </c>
      <c r="J303">
        <v>19</v>
      </c>
      <c r="K303" t="s">
        <v>481</v>
      </c>
    </row>
    <row r="304" spans="1:11" x14ac:dyDescent="0.35">
      <c r="A304" t="s">
        <v>790</v>
      </c>
      <c r="B304" t="s">
        <v>477</v>
      </c>
      <c r="C304" s="23" t="s">
        <v>125</v>
      </c>
      <c r="D304" s="23" t="s">
        <v>57</v>
      </c>
      <c r="E304" s="23" t="s">
        <v>353</v>
      </c>
      <c r="F304" s="24">
        <v>44939</v>
      </c>
      <c r="G304" s="25">
        <v>8319.08</v>
      </c>
      <c r="H304" s="50" t="s">
        <v>791</v>
      </c>
      <c r="I304" t="s">
        <v>790</v>
      </c>
      <c r="J304">
        <v>19</v>
      </c>
      <c r="K304" t="s">
        <v>481</v>
      </c>
    </row>
    <row r="305" spans="1:11" x14ac:dyDescent="0.35">
      <c r="A305" t="s">
        <v>790</v>
      </c>
      <c r="B305" t="s">
        <v>477</v>
      </c>
      <c r="C305" s="23" t="s">
        <v>125</v>
      </c>
      <c r="D305" s="23" t="s">
        <v>57</v>
      </c>
      <c r="E305" s="23" t="s">
        <v>354</v>
      </c>
      <c r="F305" s="24">
        <v>44939</v>
      </c>
      <c r="G305" s="25">
        <v>3224582.66</v>
      </c>
      <c r="H305" s="50" t="s">
        <v>791</v>
      </c>
      <c r="I305" t="s">
        <v>790</v>
      </c>
      <c r="J305">
        <v>19</v>
      </c>
      <c r="K305" t="s">
        <v>481</v>
      </c>
    </row>
    <row r="306" spans="1:11" x14ac:dyDescent="0.35">
      <c r="A306" t="s">
        <v>790</v>
      </c>
      <c r="B306" t="s">
        <v>477</v>
      </c>
      <c r="C306" s="23" t="s">
        <v>125</v>
      </c>
      <c r="D306" s="23" t="s">
        <v>57</v>
      </c>
      <c r="E306" s="23" t="s">
        <v>355</v>
      </c>
      <c r="F306" s="24">
        <v>44942</v>
      </c>
      <c r="G306" s="25">
        <v>536092.85</v>
      </c>
      <c r="H306" s="50" t="s">
        <v>791</v>
      </c>
      <c r="I306" t="s">
        <v>790</v>
      </c>
      <c r="J306">
        <v>16</v>
      </c>
      <c r="K306" t="s">
        <v>481</v>
      </c>
    </row>
    <row r="307" spans="1:11" x14ac:dyDescent="0.35">
      <c r="A307" t="s">
        <v>790</v>
      </c>
      <c r="B307" t="s">
        <v>477</v>
      </c>
      <c r="C307" s="23" t="s">
        <v>125</v>
      </c>
      <c r="D307" s="23" t="s">
        <v>57</v>
      </c>
      <c r="E307" s="23" t="s">
        <v>356</v>
      </c>
      <c r="F307" s="24">
        <v>44942</v>
      </c>
      <c r="G307" s="25">
        <v>4300.6400000000003</v>
      </c>
      <c r="H307" s="50" t="s">
        <v>791</v>
      </c>
      <c r="I307" t="s">
        <v>790</v>
      </c>
      <c r="J307">
        <v>16</v>
      </c>
      <c r="K307" t="s">
        <v>481</v>
      </c>
    </row>
    <row r="308" spans="1:11" x14ac:dyDescent="0.35">
      <c r="A308" t="s">
        <v>790</v>
      </c>
      <c r="B308" t="s">
        <v>477</v>
      </c>
      <c r="C308" s="23" t="s">
        <v>125</v>
      </c>
      <c r="D308" s="23" t="s">
        <v>57</v>
      </c>
      <c r="E308" s="23" t="s">
        <v>357</v>
      </c>
      <c r="F308" s="24">
        <v>44942</v>
      </c>
      <c r="G308" s="25">
        <v>7704.3</v>
      </c>
      <c r="H308" s="50" t="s">
        <v>791</v>
      </c>
      <c r="I308" t="s">
        <v>790</v>
      </c>
      <c r="J308">
        <v>16</v>
      </c>
      <c r="K308" t="s">
        <v>481</v>
      </c>
    </row>
    <row r="309" spans="1:11" x14ac:dyDescent="0.35">
      <c r="A309" t="s">
        <v>790</v>
      </c>
      <c r="B309" t="s">
        <v>477</v>
      </c>
      <c r="C309" s="23" t="s">
        <v>125</v>
      </c>
      <c r="D309" s="23" t="s">
        <v>57</v>
      </c>
      <c r="E309" s="23" t="s">
        <v>358</v>
      </c>
      <c r="F309" s="24">
        <v>44942</v>
      </c>
      <c r="G309" s="25">
        <v>339438.38</v>
      </c>
      <c r="H309" s="50" t="s">
        <v>791</v>
      </c>
      <c r="I309" t="s">
        <v>790</v>
      </c>
      <c r="J309">
        <v>16</v>
      </c>
      <c r="K309" t="s">
        <v>481</v>
      </c>
    </row>
    <row r="310" spans="1:11" x14ac:dyDescent="0.35">
      <c r="A310" t="s">
        <v>790</v>
      </c>
      <c r="B310" t="s">
        <v>477</v>
      </c>
      <c r="C310" s="23" t="s">
        <v>125</v>
      </c>
      <c r="D310" s="23" t="s">
        <v>57</v>
      </c>
      <c r="E310" s="23" t="s">
        <v>359</v>
      </c>
      <c r="F310" s="24">
        <v>44942</v>
      </c>
      <c r="G310" s="25">
        <v>5841</v>
      </c>
      <c r="H310" s="50" t="s">
        <v>791</v>
      </c>
      <c r="I310" t="s">
        <v>790</v>
      </c>
      <c r="J310">
        <v>16</v>
      </c>
      <c r="K310" t="s">
        <v>481</v>
      </c>
    </row>
    <row r="311" spans="1:11" x14ac:dyDescent="0.35">
      <c r="A311" t="s">
        <v>790</v>
      </c>
      <c r="B311" t="s">
        <v>477</v>
      </c>
      <c r="C311" s="23" t="s">
        <v>125</v>
      </c>
      <c r="D311" s="23" t="s">
        <v>57</v>
      </c>
      <c r="E311" s="23" t="s">
        <v>360</v>
      </c>
      <c r="F311" s="24">
        <v>44943</v>
      </c>
      <c r="G311" s="25">
        <v>383100.4</v>
      </c>
      <c r="H311" s="50" t="s">
        <v>791</v>
      </c>
      <c r="I311" t="s">
        <v>790</v>
      </c>
      <c r="J311">
        <v>15</v>
      </c>
      <c r="K311" t="s">
        <v>481</v>
      </c>
    </row>
    <row r="312" spans="1:11" x14ac:dyDescent="0.35">
      <c r="A312" t="s">
        <v>790</v>
      </c>
      <c r="B312" t="s">
        <v>477</v>
      </c>
      <c r="C312" s="23" t="s">
        <v>125</v>
      </c>
      <c r="D312" s="23" t="s">
        <v>57</v>
      </c>
      <c r="E312" s="23" t="s">
        <v>361</v>
      </c>
      <c r="F312" s="24">
        <v>44943</v>
      </c>
      <c r="G312" s="25">
        <v>2603.44</v>
      </c>
      <c r="H312" s="50" t="s">
        <v>791</v>
      </c>
      <c r="I312" t="s">
        <v>790</v>
      </c>
      <c r="J312">
        <v>15</v>
      </c>
      <c r="K312" t="s">
        <v>481</v>
      </c>
    </row>
    <row r="313" spans="1:11" x14ac:dyDescent="0.35">
      <c r="A313" t="s">
        <v>790</v>
      </c>
      <c r="B313" t="s">
        <v>477</v>
      </c>
      <c r="C313" s="23" t="s">
        <v>125</v>
      </c>
      <c r="D313" s="23" t="s">
        <v>57</v>
      </c>
      <c r="E313" s="23" t="s">
        <v>362</v>
      </c>
      <c r="F313" s="24">
        <v>44943</v>
      </c>
      <c r="G313" s="25">
        <v>2490.16</v>
      </c>
      <c r="H313" s="50" t="s">
        <v>791</v>
      </c>
      <c r="I313" t="s">
        <v>790</v>
      </c>
      <c r="J313">
        <v>15</v>
      </c>
      <c r="K313" t="s">
        <v>481</v>
      </c>
    </row>
    <row r="314" spans="1:11" x14ac:dyDescent="0.35">
      <c r="A314" t="s">
        <v>790</v>
      </c>
      <c r="B314" t="s">
        <v>477</v>
      </c>
      <c r="C314" s="23" t="s">
        <v>125</v>
      </c>
      <c r="D314" s="23" t="s">
        <v>57</v>
      </c>
      <c r="E314" s="23" t="s">
        <v>363</v>
      </c>
      <c r="F314" s="24">
        <v>44943</v>
      </c>
      <c r="G314" s="25">
        <v>200851.78</v>
      </c>
      <c r="H314" s="50" t="s">
        <v>791</v>
      </c>
      <c r="I314" t="s">
        <v>790</v>
      </c>
      <c r="J314">
        <v>15</v>
      </c>
      <c r="K314" t="s">
        <v>481</v>
      </c>
    </row>
    <row r="315" spans="1:11" x14ac:dyDescent="0.35">
      <c r="A315" t="s">
        <v>790</v>
      </c>
      <c r="B315" t="s">
        <v>477</v>
      </c>
      <c r="C315" s="23" t="s">
        <v>125</v>
      </c>
      <c r="D315" s="23" t="s">
        <v>57</v>
      </c>
      <c r="E315" s="23" t="s">
        <v>364</v>
      </c>
      <c r="F315" s="24">
        <v>44943</v>
      </c>
      <c r="G315" s="25">
        <v>56100</v>
      </c>
      <c r="H315" s="50" t="s">
        <v>791</v>
      </c>
      <c r="I315" t="s">
        <v>790</v>
      </c>
      <c r="J315">
        <v>15</v>
      </c>
      <c r="K315" t="s">
        <v>481</v>
      </c>
    </row>
    <row r="316" spans="1:11" x14ac:dyDescent="0.35">
      <c r="A316" t="s">
        <v>790</v>
      </c>
      <c r="B316" t="s">
        <v>477</v>
      </c>
      <c r="C316" s="23" t="s">
        <v>125</v>
      </c>
      <c r="D316" s="23" t="s">
        <v>57</v>
      </c>
      <c r="E316" s="23" t="s">
        <v>365</v>
      </c>
      <c r="F316" s="24">
        <v>44944</v>
      </c>
      <c r="G316" s="25">
        <v>9450.8799999999992</v>
      </c>
      <c r="H316" s="50" t="s">
        <v>791</v>
      </c>
      <c r="I316" t="s">
        <v>790</v>
      </c>
      <c r="J316">
        <v>14</v>
      </c>
      <c r="K316" t="s">
        <v>481</v>
      </c>
    </row>
    <row r="317" spans="1:11" x14ac:dyDescent="0.35">
      <c r="A317" t="s">
        <v>790</v>
      </c>
      <c r="B317" t="s">
        <v>477</v>
      </c>
      <c r="C317" s="23" t="s">
        <v>125</v>
      </c>
      <c r="D317" s="23" t="s">
        <v>57</v>
      </c>
      <c r="E317" s="23" t="s">
        <v>366</v>
      </c>
      <c r="F317" s="24">
        <v>44944</v>
      </c>
      <c r="G317" s="25">
        <v>640500.80000000005</v>
      </c>
      <c r="H317" s="50" t="s">
        <v>791</v>
      </c>
      <c r="I317" t="s">
        <v>790</v>
      </c>
      <c r="J317">
        <v>14</v>
      </c>
      <c r="K317" t="s">
        <v>481</v>
      </c>
    </row>
    <row r="318" spans="1:11" x14ac:dyDescent="0.35">
      <c r="A318" t="s">
        <v>790</v>
      </c>
      <c r="B318" t="s">
        <v>477</v>
      </c>
      <c r="C318" s="23" t="s">
        <v>125</v>
      </c>
      <c r="D318" s="23" t="s">
        <v>57</v>
      </c>
      <c r="E318" s="23" t="s">
        <v>367</v>
      </c>
      <c r="F318" s="24">
        <v>44944</v>
      </c>
      <c r="G318" s="25">
        <v>10920</v>
      </c>
      <c r="H318" s="50" t="s">
        <v>791</v>
      </c>
      <c r="I318" t="s">
        <v>790</v>
      </c>
      <c r="J318">
        <v>14</v>
      </c>
      <c r="K318" t="s">
        <v>481</v>
      </c>
    </row>
    <row r="319" spans="1:11" x14ac:dyDescent="0.35">
      <c r="A319" t="s">
        <v>790</v>
      </c>
      <c r="B319" t="s">
        <v>477</v>
      </c>
      <c r="C319" s="23" t="s">
        <v>125</v>
      </c>
      <c r="D319" s="23" t="s">
        <v>57</v>
      </c>
      <c r="E319" s="23" t="s">
        <v>368</v>
      </c>
      <c r="F319" s="24">
        <v>44945</v>
      </c>
      <c r="G319" s="25">
        <v>1186576.8700000001</v>
      </c>
      <c r="H319" s="50" t="s">
        <v>791</v>
      </c>
      <c r="I319" t="s">
        <v>790</v>
      </c>
      <c r="J319">
        <v>13</v>
      </c>
      <c r="K319" t="s">
        <v>481</v>
      </c>
    </row>
    <row r="320" spans="1:11" x14ac:dyDescent="0.35">
      <c r="A320" t="s">
        <v>790</v>
      </c>
      <c r="B320" t="s">
        <v>477</v>
      </c>
      <c r="C320" s="23" t="s">
        <v>125</v>
      </c>
      <c r="D320" s="23" t="s">
        <v>57</v>
      </c>
      <c r="E320" s="23" t="s">
        <v>369</v>
      </c>
      <c r="F320" s="24">
        <v>44945</v>
      </c>
      <c r="G320" s="25">
        <v>845764.18</v>
      </c>
      <c r="H320" s="50" t="s">
        <v>791</v>
      </c>
      <c r="I320" t="s">
        <v>790</v>
      </c>
      <c r="J320">
        <v>13</v>
      </c>
      <c r="K320" t="s">
        <v>481</v>
      </c>
    </row>
    <row r="321" spans="1:11" x14ac:dyDescent="0.35">
      <c r="A321" t="s">
        <v>790</v>
      </c>
      <c r="B321" t="s">
        <v>477</v>
      </c>
      <c r="C321" s="23" t="s">
        <v>125</v>
      </c>
      <c r="D321" s="23" t="s">
        <v>57</v>
      </c>
      <c r="E321" s="23" t="s">
        <v>370</v>
      </c>
      <c r="F321" s="24">
        <v>44945</v>
      </c>
      <c r="G321" s="25">
        <v>9904</v>
      </c>
      <c r="H321" s="50" t="s">
        <v>791</v>
      </c>
      <c r="I321" t="s">
        <v>790</v>
      </c>
      <c r="J321">
        <v>13</v>
      </c>
      <c r="K321" t="s">
        <v>481</v>
      </c>
    </row>
    <row r="322" spans="1:11" x14ac:dyDescent="0.35">
      <c r="A322" t="s">
        <v>790</v>
      </c>
      <c r="B322" t="s">
        <v>477</v>
      </c>
      <c r="C322" s="23" t="s">
        <v>125</v>
      </c>
      <c r="D322" s="23" t="s">
        <v>57</v>
      </c>
      <c r="E322" s="23" t="s">
        <v>371</v>
      </c>
      <c r="F322" s="24">
        <v>44945</v>
      </c>
      <c r="G322" s="25">
        <v>37450</v>
      </c>
      <c r="H322" s="50" t="s">
        <v>791</v>
      </c>
      <c r="I322" t="s">
        <v>790</v>
      </c>
      <c r="J322">
        <v>13</v>
      </c>
      <c r="K322" t="s">
        <v>481</v>
      </c>
    </row>
    <row r="323" spans="1:11" x14ac:dyDescent="0.35">
      <c r="A323" t="s">
        <v>790</v>
      </c>
      <c r="B323" t="s">
        <v>477</v>
      </c>
      <c r="C323" s="23" t="s">
        <v>125</v>
      </c>
      <c r="D323" s="23" t="s">
        <v>57</v>
      </c>
      <c r="E323" s="23" t="s">
        <v>372</v>
      </c>
      <c r="F323" s="24">
        <v>44945</v>
      </c>
      <c r="G323" s="25">
        <v>6926</v>
      </c>
      <c r="H323" s="50" t="s">
        <v>791</v>
      </c>
      <c r="I323" t="s">
        <v>790</v>
      </c>
      <c r="J323">
        <v>13</v>
      </c>
      <c r="K323" t="s">
        <v>481</v>
      </c>
    </row>
    <row r="324" spans="1:11" x14ac:dyDescent="0.35">
      <c r="A324" t="s">
        <v>790</v>
      </c>
      <c r="B324" t="s">
        <v>477</v>
      </c>
      <c r="C324" s="23" t="s">
        <v>125</v>
      </c>
      <c r="D324" s="23" t="s">
        <v>57</v>
      </c>
      <c r="E324" s="23" t="s">
        <v>373</v>
      </c>
      <c r="F324" s="24">
        <v>44945</v>
      </c>
      <c r="G324" s="25">
        <v>4291650</v>
      </c>
      <c r="H324" s="50" t="s">
        <v>791</v>
      </c>
      <c r="I324" t="s">
        <v>790</v>
      </c>
      <c r="J324">
        <v>13</v>
      </c>
      <c r="K324" t="s">
        <v>481</v>
      </c>
    </row>
    <row r="325" spans="1:11" x14ac:dyDescent="0.35">
      <c r="A325" t="s">
        <v>790</v>
      </c>
      <c r="B325" t="s">
        <v>477</v>
      </c>
      <c r="C325" s="23" t="s">
        <v>125</v>
      </c>
      <c r="D325" s="23" t="s">
        <v>57</v>
      </c>
      <c r="E325" s="23" t="s">
        <v>374</v>
      </c>
      <c r="F325" s="24">
        <v>44946</v>
      </c>
      <c r="G325" s="25">
        <v>768139.23</v>
      </c>
      <c r="H325" s="50" t="s">
        <v>791</v>
      </c>
      <c r="I325" t="s">
        <v>790</v>
      </c>
      <c r="J325">
        <v>12</v>
      </c>
      <c r="K325" t="s">
        <v>481</v>
      </c>
    </row>
    <row r="326" spans="1:11" x14ac:dyDescent="0.35">
      <c r="A326" t="s">
        <v>790</v>
      </c>
      <c r="B326" t="s">
        <v>477</v>
      </c>
      <c r="C326" s="23" t="s">
        <v>125</v>
      </c>
      <c r="D326" s="23" t="s">
        <v>57</v>
      </c>
      <c r="E326" s="23" t="s">
        <v>375</v>
      </c>
      <c r="F326" s="24">
        <v>44946</v>
      </c>
      <c r="G326" s="25">
        <v>8319.08</v>
      </c>
      <c r="H326" s="50" t="s">
        <v>791</v>
      </c>
      <c r="I326" t="s">
        <v>790</v>
      </c>
      <c r="J326">
        <v>12</v>
      </c>
      <c r="K326" t="s">
        <v>481</v>
      </c>
    </row>
    <row r="327" spans="1:11" x14ac:dyDescent="0.35">
      <c r="A327" t="s">
        <v>790</v>
      </c>
      <c r="B327" t="s">
        <v>477</v>
      </c>
      <c r="C327" s="23" t="s">
        <v>125</v>
      </c>
      <c r="D327" s="23" t="s">
        <v>57</v>
      </c>
      <c r="E327" s="23" t="s">
        <v>376</v>
      </c>
      <c r="F327" s="24">
        <v>44946</v>
      </c>
      <c r="G327" s="25">
        <v>8244</v>
      </c>
      <c r="H327" s="50" t="s">
        <v>791</v>
      </c>
      <c r="I327" t="s">
        <v>790</v>
      </c>
      <c r="J327">
        <v>12</v>
      </c>
      <c r="K327" t="s">
        <v>481</v>
      </c>
    </row>
    <row r="328" spans="1:11" x14ac:dyDescent="0.35">
      <c r="A328" t="s">
        <v>790</v>
      </c>
      <c r="B328" t="s">
        <v>477</v>
      </c>
      <c r="C328" s="23" t="s">
        <v>125</v>
      </c>
      <c r="D328" s="23" t="s">
        <v>57</v>
      </c>
      <c r="E328" s="23" t="s">
        <v>377</v>
      </c>
      <c r="F328" s="24">
        <v>44946</v>
      </c>
      <c r="G328" s="25">
        <v>30250</v>
      </c>
      <c r="H328" s="50" t="s">
        <v>791</v>
      </c>
      <c r="I328" t="s">
        <v>790</v>
      </c>
      <c r="J328">
        <v>12</v>
      </c>
      <c r="K328" t="s">
        <v>481</v>
      </c>
    </row>
    <row r="329" spans="1:11" x14ac:dyDescent="0.35">
      <c r="A329" t="s">
        <v>790</v>
      </c>
      <c r="B329" t="s">
        <v>477</v>
      </c>
      <c r="C329" s="23" t="s">
        <v>125</v>
      </c>
      <c r="D329" s="23" t="s">
        <v>57</v>
      </c>
      <c r="E329" s="23" t="s">
        <v>378</v>
      </c>
      <c r="F329" s="24">
        <v>44948</v>
      </c>
      <c r="G329" s="25">
        <v>294206.07</v>
      </c>
      <c r="H329" s="50" t="s">
        <v>791</v>
      </c>
      <c r="I329" t="s">
        <v>790</v>
      </c>
      <c r="J329">
        <v>10</v>
      </c>
      <c r="K329" t="s">
        <v>481</v>
      </c>
    </row>
    <row r="330" spans="1:11" x14ac:dyDescent="0.35">
      <c r="A330" t="s">
        <v>790</v>
      </c>
      <c r="B330" t="s">
        <v>477</v>
      </c>
      <c r="C330" s="23" t="s">
        <v>125</v>
      </c>
      <c r="D330" s="23" t="s">
        <v>57</v>
      </c>
      <c r="E330" s="23" t="s">
        <v>379</v>
      </c>
      <c r="F330" s="24">
        <v>44948</v>
      </c>
      <c r="G330" s="25">
        <v>1528.28</v>
      </c>
      <c r="H330" s="50" t="s">
        <v>791</v>
      </c>
      <c r="I330" t="s">
        <v>790</v>
      </c>
      <c r="J330">
        <v>10</v>
      </c>
      <c r="K330" t="s">
        <v>481</v>
      </c>
    </row>
    <row r="331" spans="1:11" x14ac:dyDescent="0.35">
      <c r="A331" t="s">
        <v>790</v>
      </c>
      <c r="B331" t="s">
        <v>477</v>
      </c>
      <c r="C331" s="23" t="s">
        <v>125</v>
      </c>
      <c r="D331" s="23" t="s">
        <v>57</v>
      </c>
      <c r="E331" s="23" t="s">
        <v>380</v>
      </c>
      <c r="F331" s="24">
        <v>44948</v>
      </c>
      <c r="G331" s="25">
        <v>99908.18</v>
      </c>
      <c r="H331" s="50" t="s">
        <v>791</v>
      </c>
      <c r="I331" t="s">
        <v>790</v>
      </c>
      <c r="J331">
        <v>10</v>
      </c>
      <c r="K331" t="s">
        <v>481</v>
      </c>
    </row>
    <row r="332" spans="1:11" x14ac:dyDescent="0.35">
      <c r="A332" t="s">
        <v>790</v>
      </c>
      <c r="B332" t="s">
        <v>477</v>
      </c>
      <c r="C332" s="23" t="s">
        <v>125</v>
      </c>
      <c r="D332" s="23" t="s">
        <v>57</v>
      </c>
      <c r="E332" s="23" t="s">
        <v>381</v>
      </c>
      <c r="F332" s="24">
        <v>44948</v>
      </c>
      <c r="G332" s="25">
        <v>1245.08</v>
      </c>
      <c r="H332" s="50" t="s">
        <v>791</v>
      </c>
      <c r="I332" t="s">
        <v>790</v>
      </c>
      <c r="J332">
        <v>10</v>
      </c>
      <c r="K332" t="s">
        <v>481</v>
      </c>
    </row>
    <row r="333" spans="1:11" x14ac:dyDescent="0.35">
      <c r="A333" t="s">
        <v>790</v>
      </c>
      <c r="B333" t="s">
        <v>477</v>
      </c>
      <c r="C333" s="23" t="s">
        <v>125</v>
      </c>
      <c r="D333" s="23" t="s">
        <v>57</v>
      </c>
      <c r="E333" s="23" t="s">
        <v>382</v>
      </c>
      <c r="F333" s="24">
        <v>44948</v>
      </c>
      <c r="G333" s="25">
        <v>17471</v>
      </c>
      <c r="H333" s="50" t="s">
        <v>791</v>
      </c>
      <c r="I333" t="s">
        <v>790</v>
      </c>
      <c r="J333">
        <v>10</v>
      </c>
      <c r="K333" t="s">
        <v>481</v>
      </c>
    </row>
    <row r="334" spans="1:11" x14ac:dyDescent="0.35">
      <c r="A334" t="s">
        <v>790</v>
      </c>
      <c r="B334" t="s">
        <v>477</v>
      </c>
      <c r="C334" s="23" t="s">
        <v>125</v>
      </c>
      <c r="D334" s="23" t="s">
        <v>57</v>
      </c>
      <c r="E334" s="23" t="s">
        <v>383</v>
      </c>
      <c r="F334" s="24">
        <v>44948</v>
      </c>
      <c r="G334" s="25">
        <v>7301</v>
      </c>
      <c r="H334" s="50" t="s">
        <v>791</v>
      </c>
      <c r="I334" t="s">
        <v>790</v>
      </c>
      <c r="J334">
        <v>10</v>
      </c>
      <c r="K334" t="s">
        <v>481</v>
      </c>
    </row>
    <row r="335" spans="1:11" x14ac:dyDescent="0.35">
      <c r="A335" t="s">
        <v>790</v>
      </c>
      <c r="B335" t="s">
        <v>477</v>
      </c>
      <c r="C335" s="23" t="s">
        <v>125</v>
      </c>
      <c r="D335" s="23" t="s">
        <v>57</v>
      </c>
      <c r="E335" s="23" t="s">
        <v>384</v>
      </c>
      <c r="F335" s="24">
        <v>44949</v>
      </c>
      <c r="G335" s="25">
        <v>24140.5</v>
      </c>
      <c r="H335" s="50" t="s">
        <v>791</v>
      </c>
      <c r="I335" t="s">
        <v>790</v>
      </c>
      <c r="J335">
        <v>9</v>
      </c>
      <c r="K335" t="s">
        <v>481</v>
      </c>
    </row>
    <row r="336" spans="1:11" x14ac:dyDescent="0.35">
      <c r="A336" t="s">
        <v>790</v>
      </c>
      <c r="B336" t="s">
        <v>477</v>
      </c>
      <c r="C336" s="23" t="s">
        <v>125</v>
      </c>
      <c r="D336" s="23" t="s">
        <v>57</v>
      </c>
      <c r="E336" s="23" t="s">
        <v>385</v>
      </c>
      <c r="F336" s="24">
        <v>44949</v>
      </c>
      <c r="G336" s="25">
        <v>11147.9</v>
      </c>
      <c r="H336" s="50" t="s">
        <v>791</v>
      </c>
      <c r="I336" t="s">
        <v>790</v>
      </c>
      <c r="J336">
        <v>9</v>
      </c>
      <c r="K336" t="s">
        <v>481</v>
      </c>
    </row>
    <row r="337" spans="1:11" x14ac:dyDescent="0.35">
      <c r="A337" t="s">
        <v>790</v>
      </c>
      <c r="B337" t="s">
        <v>477</v>
      </c>
      <c r="C337" s="23" t="s">
        <v>125</v>
      </c>
      <c r="D337" s="23" t="s">
        <v>57</v>
      </c>
      <c r="E337" s="23" t="s">
        <v>386</v>
      </c>
      <c r="F337" s="24">
        <v>44949</v>
      </c>
      <c r="G337" s="25">
        <v>210009.5</v>
      </c>
      <c r="H337" s="50" t="s">
        <v>791</v>
      </c>
      <c r="I337" t="s">
        <v>790</v>
      </c>
      <c r="J337">
        <v>9</v>
      </c>
      <c r="K337" t="s">
        <v>481</v>
      </c>
    </row>
    <row r="338" spans="1:11" x14ac:dyDescent="0.35">
      <c r="A338" t="s">
        <v>790</v>
      </c>
      <c r="B338" t="s">
        <v>477</v>
      </c>
      <c r="C338" s="23" t="s">
        <v>125</v>
      </c>
      <c r="D338" s="23" t="s">
        <v>57</v>
      </c>
      <c r="E338" s="23" t="s">
        <v>387</v>
      </c>
      <c r="F338" s="24">
        <v>44949</v>
      </c>
      <c r="G338" s="25">
        <v>206702.6</v>
      </c>
      <c r="H338" s="50" t="s">
        <v>791</v>
      </c>
      <c r="I338" t="s">
        <v>790</v>
      </c>
      <c r="J338">
        <v>9</v>
      </c>
      <c r="K338" t="s">
        <v>481</v>
      </c>
    </row>
    <row r="339" spans="1:11" x14ac:dyDescent="0.35">
      <c r="A339" t="s">
        <v>790</v>
      </c>
      <c r="B339" t="s">
        <v>477</v>
      </c>
      <c r="C339" s="23" t="s">
        <v>125</v>
      </c>
      <c r="D339" s="23" t="s">
        <v>57</v>
      </c>
      <c r="E339" s="23" t="s">
        <v>388</v>
      </c>
      <c r="F339" s="24">
        <v>44949</v>
      </c>
      <c r="G339" s="25">
        <v>921560.23</v>
      </c>
      <c r="H339" s="50" t="s">
        <v>791</v>
      </c>
      <c r="I339" t="s">
        <v>790</v>
      </c>
      <c r="J339">
        <v>9</v>
      </c>
      <c r="K339" t="s">
        <v>481</v>
      </c>
    </row>
    <row r="340" spans="1:11" x14ac:dyDescent="0.35">
      <c r="A340" t="s">
        <v>790</v>
      </c>
      <c r="B340" t="s">
        <v>477</v>
      </c>
      <c r="C340" s="23" t="s">
        <v>125</v>
      </c>
      <c r="D340" s="23" t="s">
        <v>57</v>
      </c>
      <c r="E340" s="23" t="s">
        <v>389</v>
      </c>
      <c r="F340" s="24">
        <v>44949</v>
      </c>
      <c r="G340" s="25">
        <v>5602.36</v>
      </c>
      <c r="H340" s="50" t="s">
        <v>791</v>
      </c>
      <c r="I340" t="s">
        <v>790</v>
      </c>
      <c r="J340">
        <v>9</v>
      </c>
      <c r="K340" t="s">
        <v>481</v>
      </c>
    </row>
    <row r="341" spans="1:11" x14ac:dyDescent="0.35">
      <c r="A341" t="s">
        <v>790</v>
      </c>
      <c r="B341" t="s">
        <v>477</v>
      </c>
      <c r="C341" s="23" t="s">
        <v>125</v>
      </c>
      <c r="D341" s="23" t="s">
        <v>57</v>
      </c>
      <c r="E341" s="23" t="s">
        <v>390</v>
      </c>
      <c r="F341" s="24">
        <v>44949</v>
      </c>
      <c r="G341" s="25">
        <v>62641</v>
      </c>
      <c r="H341" s="50" t="s">
        <v>791</v>
      </c>
      <c r="I341" t="s">
        <v>790</v>
      </c>
      <c r="J341">
        <v>9</v>
      </c>
      <c r="K341" t="s">
        <v>481</v>
      </c>
    </row>
    <row r="342" spans="1:11" x14ac:dyDescent="0.35">
      <c r="A342" t="s">
        <v>790</v>
      </c>
      <c r="B342" t="s">
        <v>477</v>
      </c>
      <c r="C342" s="23" t="s">
        <v>125</v>
      </c>
      <c r="D342" s="23" t="s">
        <v>57</v>
      </c>
      <c r="E342" s="23" t="s">
        <v>391</v>
      </c>
      <c r="F342" s="24">
        <v>44949</v>
      </c>
      <c r="G342" s="25">
        <v>569498</v>
      </c>
      <c r="H342" s="50" t="s">
        <v>791</v>
      </c>
      <c r="I342" t="s">
        <v>790</v>
      </c>
      <c r="J342">
        <v>9</v>
      </c>
      <c r="K342" t="s">
        <v>481</v>
      </c>
    </row>
    <row r="343" spans="1:11" x14ac:dyDescent="0.35">
      <c r="A343" t="s">
        <v>790</v>
      </c>
      <c r="B343" t="s">
        <v>477</v>
      </c>
      <c r="C343" s="23" t="s">
        <v>125</v>
      </c>
      <c r="D343" s="23" t="s">
        <v>57</v>
      </c>
      <c r="E343" s="23" t="s">
        <v>392</v>
      </c>
      <c r="F343" s="24">
        <v>44950</v>
      </c>
      <c r="G343" s="25">
        <v>920.21</v>
      </c>
      <c r="H343" s="50" t="s">
        <v>791</v>
      </c>
      <c r="I343" t="s">
        <v>790</v>
      </c>
      <c r="J343">
        <v>8</v>
      </c>
      <c r="K343" t="s">
        <v>481</v>
      </c>
    </row>
    <row r="344" spans="1:11" x14ac:dyDescent="0.35">
      <c r="A344" t="s">
        <v>790</v>
      </c>
      <c r="B344" t="s">
        <v>477</v>
      </c>
      <c r="C344" s="23" t="s">
        <v>125</v>
      </c>
      <c r="D344" s="23" t="s">
        <v>57</v>
      </c>
      <c r="E344" s="23" t="s">
        <v>393</v>
      </c>
      <c r="F344" s="24">
        <v>44950</v>
      </c>
      <c r="G344" s="25">
        <v>911467.49</v>
      </c>
      <c r="H344" s="50" t="s">
        <v>791</v>
      </c>
      <c r="I344" t="s">
        <v>790</v>
      </c>
      <c r="J344">
        <v>8</v>
      </c>
      <c r="K344" t="s">
        <v>481</v>
      </c>
    </row>
    <row r="345" spans="1:11" x14ac:dyDescent="0.35">
      <c r="A345" t="s">
        <v>790</v>
      </c>
      <c r="B345" t="s">
        <v>477</v>
      </c>
      <c r="C345" s="23" t="s">
        <v>125</v>
      </c>
      <c r="D345" s="23" t="s">
        <v>57</v>
      </c>
      <c r="E345" s="23" t="s">
        <v>394</v>
      </c>
      <c r="F345" s="24">
        <v>44950</v>
      </c>
      <c r="G345" s="25">
        <v>10639.32</v>
      </c>
      <c r="H345" s="50" t="s">
        <v>791</v>
      </c>
      <c r="I345" t="s">
        <v>790</v>
      </c>
      <c r="J345">
        <v>8</v>
      </c>
      <c r="K345" t="s">
        <v>481</v>
      </c>
    </row>
    <row r="346" spans="1:11" x14ac:dyDescent="0.35">
      <c r="A346" t="s">
        <v>790</v>
      </c>
      <c r="B346" t="s">
        <v>477</v>
      </c>
      <c r="C346" s="23" t="s">
        <v>125</v>
      </c>
      <c r="D346" s="23" t="s">
        <v>57</v>
      </c>
      <c r="E346" s="23" t="s">
        <v>395</v>
      </c>
      <c r="F346" s="24">
        <v>44950</v>
      </c>
      <c r="G346" s="25">
        <v>1179012</v>
      </c>
      <c r="H346" s="50" t="s">
        <v>791</v>
      </c>
      <c r="I346" t="s">
        <v>790</v>
      </c>
      <c r="J346">
        <v>8</v>
      </c>
      <c r="K346" t="s">
        <v>481</v>
      </c>
    </row>
    <row r="347" spans="1:11" x14ac:dyDescent="0.35">
      <c r="A347" t="s">
        <v>790</v>
      </c>
      <c r="B347" t="s">
        <v>477</v>
      </c>
      <c r="C347" s="23" t="s">
        <v>125</v>
      </c>
      <c r="D347" s="23" t="s">
        <v>57</v>
      </c>
      <c r="E347" s="23" t="s">
        <v>396</v>
      </c>
      <c r="F347" s="24">
        <v>44951</v>
      </c>
      <c r="G347" s="25">
        <v>543138.74</v>
      </c>
      <c r="H347" s="50" t="s">
        <v>791</v>
      </c>
      <c r="I347" t="s">
        <v>790</v>
      </c>
      <c r="J347">
        <v>7</v>
      </c>
      <c r="K347" t="s">
        <v>481</v>
      </c>
    </row>
    <row r="348" spans="1:11" x14ac:dyDescent="0.35">
      <c r="A348" t="s">
        <v>790</v>
      </c>
      <c r="B348" t="s">
        <v>477</v>
      </c>
      <c r="C348" s="23" t="s">
        <v>125</v>
      </c>
      <c r="D348" s="23" t="s">
        <v>57</v>
      </c>
      <c r="E348" s="23" t="s">
        <v>397</v>
      </c>
      <c r="F348" s="24">
        <v>44951</v>
      </c>
      <c r="G348" s="25">
        <v>6451.96</v>
      </c>
      <c r="H348" s="50" t="s">
        <v>791</v>
      </c>
      <c r="I348" t="s">
        <v>790</v>
      </c>
      <c r="J348">
        <v>7</v>
      </c>
      <c r="K348" t="s">
        <v>481</v>
      </c>
    </row>
    <row r="349" spans="1:11" x14ac:dyDescent="0.35">
      <c r="A349" t="s">
        <v>790</v>
      </c>
      <c r="B349" t="s">
        <v>477</v>
      </c>
      <c r="C349" s="23" t="s">
        <v>125</v>
      </c>
      <c r="D349" s="23" t="s">
        <v>57</v>
      </c>
      <c r="E349" s="23" t="s">
        <v>398</v>
      </c>
      <c r="F349" s="24">
        <v>44951</v>
      </c>
      <c r="G349" s="25">
        <v>913342.79</v>
      </c>
      <c r="H349" s="50" t="s">
        <v>791</v>
      </c>
      <c r="I349" t="s">
        <v>790</v>
      </c>
      <c r="J349">
        <v>7</v>
      </c>
      <c r="K349" t="s">
        <v>481</v>
      </c>
    </row>
    <row r="350" spans="1:11" x14ac:dyDescent="0.35">
      <c r="A350" t="s">
        <v>790</v>
      </c>
      <c r="B350" t="s">
        <v>477</v>
      </c>
      <c r="C350" s="23" t="s">
        <v>125</v>
      </c>
      <c r="D350" s="23" t="s">
        <v>57</v>
      </c>
      <c r="E350" s="23" t="s">
        <v>399</v>
      </c>
      <c r="F350" s="24">
        <v>44951</v>
      </c>
      <c r="G350" s="25">
        <v>203955.08</v>
      </c>
      <c r="H350" s="50" t="s">
        <v>791</v>
      </c>
      <c r="I350" t="s">
        <v>790</v>
      </c>
      <c r="J350">
        <v>7</v>
      </c>
      <c r="K350" t="s">
        <v>481</v>
      </c>
    </row>
    <row r="351" spans="1:11" x14ac:dyDescent="0.35">
      <c r="A351" t="s">
        <v>790</v>
      </c>
      <c r="B351" t="s">
        <v>477</v>
      </c>
      <c r="C351" s="23" t="s">
        <v>125</v>
      </c>
      <c r="D351" s="23" t="s">
        <v>57</v>
      </c>
      <c r="E351" s="23" t="s">
        <v>400</v>
      </c>
      <c r="F351" s="24">
        <v>44951</v>
      </c>
      <c r="G351" s="25">
        <v>2490.16</v>
      </c>
      <c r="H351" s="50" t="s">
        <v>791</v>
      </c>
      <c r="I351" t="s">
        <v>790</v>
      </c>
      <c r="J351">
        <v>7</v>
      </c>
      <c r="K351" t="s">
        <v>481</v>
      </c>
    </row>
    <row r="352" spans="1:11" x14ac:dyDescent="0.35">
      <c r="A352" t="s">
        <v>790</v>
      </c>
      <c r="B352" t="s">
        <v>477</v>
      </c>
      <c r="C352" s="23" t="s">
        <v>125</v>
      </c>
      <c r="D352" s="23" t="s">
        <v>57</v>
      </c>
      <c r="E352" s="23" t="s">
        <v>401</v>
      </c>
      <c r="F352" s="24">
        <v>44951</v>
      </c>
      <c r="G352" s="25">
        <v>11000</v>
      </c>
      <c r="H352" s="50" t="s">
        <v>791</v>
      </c>
      <c r="I352" t="s">
        <v>790</v>
      </c>
      <c r="J352">
        <v>7</v>
      </c>
      <c r="K352" t="s">
        <v>481</v>
      </c>
    </row>
    <row r="353" spans="1:11" x14ac:dyDescent="0.35">
      <c r="A353" t="s">
        <v>790</v>
      </c>
      <c r="B353" t="s">
        <v>477</v>
      </c>
      <c r="C353" s="23" t="s">
        <v>125</v>
      </c>
      <c r="D353" s="23" t="s">
        <v>57</v>
      </c>
      <c r="E353" s="23" t="s">
        <v>402</v>
      </c>
      <c r="F353" s="24">
        <v>44951</v>
      </c>
      <c r="G353" s="25">
        <v>17193</v>
      </c>
      <c r="H353" s="50" t="s">
        <v>791</v>
      </c>
      <c r="I353" t="s">
        <v>790</v>
      </c>
      <c r="J353">
        <v>7</v>
      </c>
      <c r="K353" t="s">
        <v>481</v>
      </c>
    </row>
    <row r="354" spans="1:11" x14ac:dyDescent="0.35">
      <c r="A354" t="s">
        <v>790</v>
      </c>
      <c r="B354" t="s">
        <v>477</v>
      </c>
      <c r="C354" s="23" t="s">
        <v>125</v>
      </c>
      <c r="D354" s="23" t="s">
        <v>57</v>
      </c>
      <c r="E354" s="23" t="s">
        <v>403</v>
      </c>
      <c r="F354" s="24">
        <v>44953</v>
      </c>
      <c r="G354" s="25">
        <v>444612.18</v>
      </c>
      <c r="H354" s="50" t="s">
        <v>791</v>
      </c>
      <c r="I354" t="s">
        <v>790</v>
      </c>
      <c r="J354">
        <v>5</v>
      </c>
      <c r="K354" t="s">
        <v>481</v>
      </c>
    </row>
    <row r="355" spans="1:11" x14ac:dyDescent="0.35">
      <c r="A355" t="s">
        <v>790</v>
      </c>
      <c r="B355" t="s">
        <v>477</v>
      </c>
      <c r="C355" s="23" t="s">
        <v>125</v>
      </c>
      <c r="D355" s="23" t="s">
        <v>57</v>
      </c>
      <c r="E355" s="23" t="s">
        <v>404</v>
      </c>
      <c r="F355" s="24">
        <v>44953</v>
      </c>
      <c r="G355" s="25">
        <v>4018.44</v>
      </c>
      <c r="H355" s="50" t="s">
        <v>791</v>
      </c>
      <c r="I355" t="s">
        <v>790</v>
      </c>
      <c r="J355">
        <v>5</v>
      </c>
      <c r="K355" t="s">
        <v>481</v>
      </c>
    </row>
    <row r="356" spans="1:11" x14ac:dyDescent="0.35">
      <c r="A356" t="s">
        <v>790</v>
      </c>
      <c r="B356" t="s">
        <v>477</v>
      </c>
      <c r="C356" s="23" t="s">
        <v>125</v>
      </c>
      <c r="D356" s="23" t="s">
        <v>57</v>
      </c>
      <c r="E356" s="23" t="s">
        <v>405</v>
      </c>
      <c r="F356" s="24">
        <v>44953</v>
      </c>
      <c r="G356" s="25">
        <v>93955</v>
      </c>
      <c r="H356" s="50" t="s">
        <v>791</v>
      </c>
      <c r="I356" t="s">
        <v>790</v>
      </c>
      <c r="J356">
        <v>5</v>
      </c>
      <c r="K356" t="s">
        <v>481</v>
      </c>
    </row>
    <row r="357" spans="1:11" x14ac:dyDescent="0.35">
      <c r="A357" t="s">
        <v>790</v>
      </c>
      <c r="B357" t="s">
        <v>477</v>
      </c>
      <c r="C357" s="23" t="s">
        <v>125</v>
      </c>
      <c r="D357" s="23" t="s">
        <v>57</v>
      </c>
      <c r="E357" s="23" t="s">
        <v>406</v>
      </c>
      <c r="F357" s="24">
        <v>44954</v>
      </c>
      <c r="G357" s="25">
        <v>704202.23</v>
      </c>
      <c r="H357" s="50" t="s">
        <v>791</v>
      </c>
      <c r="I357" t="s">
        <v>790</v>
      </c>
      <c r="J357">
        <v>4</v>
      </c>
      <c r="K357" t="s">
        <v>481</v>
      </c>
    </row>
    <row r="358" spans="1:11" x14ac:dyDescent="0.35">
      <c r="A358" t="s">
        <v>790</v>
      </c>
      <c r="B358" t="s">
        <v>477</v>
      </c>
      <c r="C358" s="23" t="s">
        <v>125</v>
      </c>
      <c r="D358" s="23" t="s">
        <v>57</v>
      </c>
      <c r="E358" s="23" t="s">
        <v>407</v>
      </c>
      <c r="F358" s="24">
        <v>44954</v>
      </c>
      <c r="G358" s="25">
        <v>7809.32</v>
      </c>
      <c r="H358" s="50" t="s">
        <v>791</v>
      </c>
      <c r="I358" t="s">
        <v>790</v>
      </c>
      <c r="J358">
        <v>4</v>
      </c>
      <c r="K358" t="s">
        <v>481</v>
      </c>
    </row>
    <row r="359" spans="1:11" x14ac:dyDescent="0.35">
      <c r="A359" t="s">
        <v>790</v>
      </c>
      <c r="B359" t="s">
        <v>477</v>
      </c>
      <c r="C359" s="23" t="s">
        <v>125</v>
      </c>
      <c r="D359" s="23" t="s">
        <v>57</v>
      </c>
      <c r="E359" s="23" t="s">
        <v>408</v>
      </c>
      <c r="F359" s="24">
        <v>44954</v>
      </c>
      <c r="G359" s="25">
        <v>22000</v>
      </c>
      <c r="H359" s="50" t="s">
        <v>791</v>
      </c>
      <c r="I359" t="s">
        <v>790</v>
      </c>
      <c r="J359">
        <v>4</v>
      </c>
      <c r="K359" t="s">
        <v>481</v>
      </c>
    </row>
    <row r="360" spans="1:11" x14ac:dyDescent="0.35">
      <c r="A360" t="s">
        <v>790</v>
      </c>
      <c r="B360" t="s">
        <v>477</v>
      </c>
      <c r="C360" s="23" t="s">
        <v>125</v>
      </c>
      <c r="D360" s="23" t="s">
        <v>57</v>
      </c>
      <c r="E360" s="23" t="s">
        <v>409</v>
      </c>
      <c r="F360" s="24">
        <v>44954</v>
      </c>
      <c r="G360" s="25">
        <v>47417</v>
      </c>
      <c r="H360" s="50" t="s">
        <v>791</v>
      </c>
      <c r="I360" t="s">
        <v>790</v>
      </c>
      <c r="J360">
        <v>4</v>
      </c>
      <c r="K360" t="s">
        <v>481</v>
      </c>
    </row>
    <row r="361" spans="1:11" x14ac:dyDescent="0.35">
      <c r="A361" t="s">
        <v>790</v>
      </c>
      <c r="B361" t="s">
        <v>477</v>
      </c>
      <c r="C361" s="23" t="s">
        <v>125</v>
      </c>
      <c r="D361" s="23" t="s">
        <v>57</v>
      </c>
      <c r="E361" s="23" t="s">
        <v>410</v>
      </c>
      <c r="F361" s="24">
        <v>44954</v>
      </c>
      <c r="G361" s="25">
        <v>74640</v>
      </c>
      <c r="H361" s="50" t="s">
        <v>791</v>
      </c>
      <c r="I361" t="s">
        <v>790</v>
      </c>
      <c r="J361">
        <v>4</v>
      </c>
      <c r="K361" t="s">
        <v>481</v>
      </c>
    </row>
    <row r="362" spans="1:11" x14ac:dyDescent="0.35">
      <c r="A362" t="s">
        <v>790</v>
      </c>
      <c r="B362" t="s">
        <v>477</v>
      </c>
      <c r="C362" s="23" t="s">
        <v>125</v>
      </c>
      <c r="D362" s="23" t="s">
        <v>57</v>
      </c>
      <c r="E362" s="23" t="s">
        <v>411</v>
      </c>
      <c r="F362" s="24">
        <v>44955</v>
      </c>
      <c r="G362" s="25">
        <v>300127.34999999998</v>
      </c>
      <c r="H362" s="50" t="s">
        <v>791</v>
      </c>
      <c r="I362" t="s">
        <v>790</v>
      </c>
      <c r="J362">
        <v>3</v>
      </c>
      <c r="K362" t="s">
        <v>481</v>
      </c>
    </row>
    <row r="363" spans="1:11" x14ac:dyDescent="0.35">
      <c r="A363" t="s">
        <v>790</v>
      </c>
      <c r="B363" t="s">
        <v>477</v>
      </c>
      <c r="C363" s="23" t="s">
        <v>125</v>
      </c>
      <c r="D363" s="23" t="s">
        <v>57</v>
      </c>
      <c r="E363" s="23" t="s">
        <v>412</v>
      </c>
      <c r="F363" s="24">
        <v>44955</v>
      </c>
      <c r="G363" s="25">
        <v>4130.72</v>
      </c>
      <c r="H363" s="50" t="s">
        <v>791</v>
      </c>
      <c r="I363" t="s">
        <v>790</v>
      </c>
      <c r="J363">
        <v>3</v>
      </c>
      <c r="K363" t="s">
        <v>481</v>
      </c>
    </row>
    <row r="364" spans="1:11" x14ac:dyDescent="0.35">
      <c r="A364" t="s">
        <v>790</v>
      </c>
      <c r="B364" t="s">
        <v>477</v>
      </c>
      <c r="C364" s="23" t="s">
        <v>125</v>
      </c>
      <c r="D364" s="23" t="s">
        <v>57</v>
      </c>
      <c r="E364" s="23" t="s">
        <v>413</v>
      </c>
      <c r="F364" s="24">
        <v>44955</v>
      </c>
      <c r="G364" s="25">
        <v>68750</v>
      </c>
      <c r="H364" s="50" t="s">
        <v>791</v>
      </c>
      <c r="I364" t="s">
        <v>790</v>
      </c>
      <c r="J364">
        <v>3</v>
      </c>
      <c r="K364" t="s">
        <v>481</v>
      </c>
    </row>
    <row r="365" spans="1:11" x14ac:dyDescent="0.35">
      <c r="A365" t="s">
        <v>790</v>
      </c>
      <c r="B365" t="s">
        <v>477</v>
      </c>
      <c r="C365" s="23" t="s">
        <v>125</v>
      </c>
      <c r="D365" s="23" t="s">
        <v>57</v>
      </c>
      <c r="E365" s="23" t="s">
        <v>414</v>
      </c>
      <c r="F365" s="24">
        <v>44955</v>
      </c>
      <c r="G365" s="25">
        <v>40059</v>
      </c>
      <c r="H365" s="50" t="s">
        <v>791</v>
      </c>
      <c r="I365" t="s">
        <v>790</v>
      </c>
      <c r="J365">
        <v>3</v>
      </c>
      <c r="K365" t="s">
        <v>481</v>
      </c>
    </row>
    <row r="366" spans="1:11" x14ac:dyDescent="0.35">
      <c r="A366" t="s">
        <v>790</v>
      </c>
      <c r="B366" t="s">
        <v>477</v>
      </c>
      <c r="C366" s="23" t="s">
        <v>125</v>
      </c>
      <c r="D366" s="23" t="s">
        <v>57</v>
      </c>
      <c r="E366" s="23" t="s">
        <v>415</v>
      </c>
      <c r="F366" s="24">
        <v>44957</v>
      </c>
      <c r="G366" s="25">
        <v>382622.75</v>
      </c>
      <c r="H366" s="50" t="s">
        <v>791</v>
      </c>
      <c r="I366" t="s">
        <v>790</v>
      </c>
      <c r="J366">
        <v>1</v>
      </c>
      <c r="K366" t="s">
        <v>481</v>
      </c>
    </row>
    <row r="367" spans="1:11" x14ac:dyDescent="0.35">
      <c r="A367" t="s">
        <v>790</v>
      </c>
      <c r="B367" t="s">
        <v>477</v>
      </c>
      <c r="C367" s="23" t="s">
        <v>125</v>
      </c>
      <c r="D367" s="23" t="s">
        <v>57</v>
      </c>
      <c r="E367" s="23" t="s">
        <v>416</v>
      </c>
      <c r="F367" s="24">
        <v>44957</v>
      </c>
      <c r="G367" s="25">
        <v>5036.96</v>
      </c>
      <c r="H367" s="50" t="s">
        <v>791</v>
      </c>
      <c r="I367" t="s">
        <v>790</v>
      </c>
      <c r="J367">
        <v>1</v>
      </c>
      <c r="K367" t="s">
        <v>481</v>
      </c>
    </row>
    <row r="368" spans="1:11" x14ac:dyDescent="0.35">
      <c r="A368" t="s">
        <v>790</v>
      </c>
      <c r="B368" t="s">
        <v>477</v>
      </c>
      <c r="C368" s="23" t="s">
        <v>125</v>
      </c>
      <c r="D368" s="23" t="s">
        <v>57</v>
      </c>
      <c r="E368" s="23" t="s">
        <v>417</v>
      </c>
      <c r="F368" s="24">
        <v>44957</v>
      </c>
      <c r="G368" s="25">
        <v>94733</v>
      </c>
      <c r="H368" s="50" t="s">
        <v>791</v>
      </c>
      <c r="I368" t="s">
        <v>790</v>
      </c>
      <c r="J368">
        <v>1</v>
      </c>
      <c r="K368" t="s">
        <v>481</v>
      </c>
    </row>
    <row r="369" spans="1:11" x14ac:dyDescent="0.35">
      <c r="A369" t="s">
        <v>790</v>
      </c>
      <c r="B369" t="s">
        <v>477</v>
      </c>
      <c r="C369" s="23" t="s">
        <v>125</v>
      </c>
      <c r="D369" s="23" t="s">
        <v>57</v>
      </c>
      <c r="E369" s="23" t="s">
        <v>418</v>
      </c>
      <c r="F369" s="24">
        <v>44957</v>
      </c>
      <c r="G369" s="25">
        <v>304011.18</v>
      </c>
      <c r="H369" s="50" t="s">
        <v>791</v>
      </c>
      <c r="I369" t="s">
        <v>790</v>
      </c>
      <c r="J369">
        <v>1</v>
      </c>
      <c r="K369" t="s">
        <v>481</v>
      </c>
    </row>
    <row r="370" spans="1:11" x14ac:dyDescent="0.35">
      <c r="A370" t="s">
        <v>790</v>
      </c>
      <c r="B370" t="s">
        <v>477</v>
      </c>
      <c r="C370" s="23" t="s">
        <v>125</v>
      </c>
      <c r="D370" s="23" t="s">
        <v>57</v>
      </c>
      <c r="E370" s="23" t="s">
        <v>419</v>
      </c>
      <c r="F370" s="24">
        <v>44957</v>
      </c>
      <c r="G370" s="25">
        <v>3735.24</v>
      </c>
      <c r="H370" s="50" t="s">
        <v>791</v>
      </c>
      <c r="I370" t="s">
        <v>790</v>
      </c>
      <c r="J370">
        <v>1</v>
      </c>
      <c r="K370" t="s">
        <v>481</v>
      </c>
    </row>
    <row r="371" spans="1:11" x14ac:dyDescent="0.35">
      <c r="A371" t="s">
        <v>790</v>
      </c>
      <c r="B371" t="s">
        <v>477</v>
      </c>
      <c r="C371" s="23" t="s">
        <v>125</v>
      </c>
      <c r="D371" s="23" t="s">
        <v>57</v>
      </c>
      <c r="E371" s="23" t="s">
        <v>420</v>
      </c>
      <c r="F371" s="24">
        <v>44957</v>
      </c>
      <c r="G371" s="25">
        <v>646276.67000000004</v>
      </c>
      <c r="H371" s="50" t="s">
        <v>791</v>
      </c>
      <c r="I371" t="s">
        <v>790</v>
      </c>
      <c r="J371">
        <v>1</v>
      </c>
      <c r="K371" t="s">
        <v>481</v>
      </c>
    </row>
    <row r="372" spans="1:11" x14ac:dyDescent="0.35">
      <c r="A372" t="s">
        <v>790</v>
      </c>
      <c r="B372" t="s">
        <v>477</v>
      </c>
      <c r="C372" s="23" t="s">
        <v>125</v>
      </c>
      <c r="D372" s="23" t="s">
        <v>57</v>
      </c>
      <c r="E372" s="23" t="s">
        <v>421</v>
      </c>
      <c r="F372" s="24">
        <v>44957</v>
      </c>
      <c r="G372" s="25">
        <v>34869.58</v>
      </c>
      <c r="H372" s="50" t="s">
        <v>791</v>
      </c>
      <c r="I372" t="s">
        <v>790</v>
      </c>
      <c r="J372">
        <v>1</v>
      </c>
      <c r="K372" t="s">
        <v>481</v>
      </c>
    </row>
    <row r="373" spans="1:11" x14ac:dyDescent="0.35">
      <c r="A373" t="s">
        <v>790</v>
      </c>
      <c r="B373" t="s">
        <v>477</v>
      </c>
      <c r="C373" s="23" t="s">
        <v>125</v>
      </c>
      <c r="D373" s="23" t="s">
        <v>57</v>
      </c>
      <c r="E373" s="23" t="s">
        <v>422</v>
      </c>
      <c r="F373" s="24">
        <v>44957</v>
      </c>
      <c r="G373" s="25">
        <v>2931</v>
      </c>
      <c r="H373" s="50" t="s">
        <v>791</v>
      </c>
      <c r="I373" t="s">
        <v>790</v>
      </c>
      <c r="J373">
        <v>1</v>
      </c>
      <c r="K373" t="s">
        <v>481</v>
      </c>
    </row>
    <row r="374" spans="1:11" x14ac:dyDescent="0.35">
      <c r="A374" t="s">
        <v>790</v>
      </c>
      <c r="B374" t="s">
        <v>477</v>
      </c>
      <c r="C374" s="23" t="s">
        <v>125</v>
      </c>
      <c r="D374" s="23" t="s">
        <v>57</v>
      </c>
      <c r="E374" s="23" t="s">
        <v>423</v>
      </c>
      <c r="F374" s="24">
        <v>44957</v>
      </c>
      <c r="G374" s="25">
        <v>10625</v>
      </c>
      <c r="H374" s="50" t="s">
        <v>791</v>
      </c>
      <c r="I374" t="s">
        <v>790</v>
      </c>
      <c r="J374">
        <v>1</v>
      </c>
      <c r="K374" t="s">
        <v>481</v>
      </c>
    </row>
    <row r="375" spans="1:11" x14ac:dyDescent="0.35">
      <c r="A375" t="s">
        <v>790</v>
      </c>
      <c r="B375" t="s">
        <v>477</v>
      </c>
      <c r="C375" s="23" t="s">
        <v>424</v>
      </c>
      <c r="D375" s="23" t="s">
        <v>425</v>
      </c>
      <c r="E375" s="23" t="s">
        <v>426</v>
      </c>
      <c r="F375" s="24">
        <v>44928</v>
      </c>
      <c r="G375" s="26">
        <v>1180272.26</v>
      </c>
      <c r="H375" s="50" t="s">
        <v>791</v>
      </c>
      <c r="I375" t="s">
        <v>790</v>
      </c>
      <c r="J375">
        <v>30</v>
      </c>
      <c r="K375" t="s">
        <v>481</v>
      </c>
    </row>
    <row r="376" spans="1:11" x14ac:dyDescent="0.35">
      <c r="A376" t="s">
        <v>790</v>
      </c>
      <c r="B376" t="s">
        <v>477</v>
      </c>
      <c r="C376" s="23" t="s">
        <v>125</v>
      </c>
      <c r="D376" s="23" t="s">
        <v>57</v>
      </c>
      <c r="E376" s="23" t="s">
        <v>427</v>
      </c>
      <c r="F376" s="24">
        <v>44932</v>
      </c>
      <c r="G376" s="25">
        <v>6071.1</v>
      </c>
      <c r="H376" s="50" t="s">
        <v>791</v>
      </c>
      <c r="I376" t="s">
        <v>790</v>
      </c>
      <c r="J376">
        <v>26</v>
      </c>
      <c r="K376" t="s">
        <v>481</v>
      </c>
    </row>
    <row r="377" spans="1:11" x14ac:dyDescent="0.35">
      <c r="A377" t="s">
        <v>790</v>
      </c>
      <c r="B377" t="s">
        <v>477</v>
      </c>
      <c r="C377" s="23" t="s">
        <v>125</v>
      </c>
      <c r="D377" s="23" t="s">
        <v>57</v>
      </c>
      <c r="E377" s="23" t="s">
        <v>428</v>
      </c>
      <c r="F377" s="24">
        <v>44932</v>
      </c>
      <c r="G377" s="25">
        <v>1003820.35</v>
      </c>
      <c r="H377" s="50" t="s">
        <v>791</v>
      </c>
      <c r="I377" t="s">
        <v>790</v>
      </c>
      <c r="J377">
        <v>26</v>
      </c>
      <c r="K377" t="s">
        <v>481</v>
      </c>
    </row>
    <row r="378" spans="1:11" x14ac:dyDescent="0.35">
      <c r="A378" t="s">
        <v>790</v>
      </c>
      <c r="B378" t="s">
        <v>477</v>
      </c>
      <c r="C378" s="23" t="s">
        <v>125</v>
      </c>
      <c r="D378" s="23" t="s">
        <v>57</v>
      </c>
      <c r="E378" s="23" t="s">
        <v>429</v>
      </c>
      <c r="F378" s="24">
        <v>44932</v>
      </c>
      <c r="G378" s="25">
        <v>4757.76</v>
      </c>
      <c r="H378" s="50" t="s">
        <v>791</v>
      </c>
      <c r="I378" t="s">
        <v>790</v>
      </c>
      <c r="J378">
        <v>26</v>
      </c>
      <c r="K378" t="s">
        <v>481</v>
      </c>
    </row>
    <row r="379" spans="1:11" x14ac:dyDescent="0.35">
      <c r="A379" t="s">
        <v>790</v>
      </c>
      <c r="B379" t="s">
        <v>477</v>
      </c>
      <c r="C379" s="23" t="s">
        <v>430</v>
      </c>
      <c r="D379" s="23" t="s">
        <v>431</v>
      </c>
      <c r="E379" s="23" t="s">
        <v>432</v>
      </c>
      <c r="F379" s="24">
        <v>44932</v>
      </c>
      <c r="G379" s="26">
        <f>395447.5-325564</f>
        <v>69883.5</v>
      </c>
      <c r="H379" s="50" t="s">
        <v>791</v>
      </c>
      <c r="I379" t="s">
        <v>790</v>
      </c>
      <c r="J379">
        <v>26</v>
      </c>
      <c r="K379" t="s">
        <v>481</v>
      </c>
    </row>
    <row r="380" spans="1:11" x14ac:dyDescent="0.35">
      <c r="A380" t="s">
        <v>790</v>
      </c>
      <c r="B380" t="s">
        <v>477</v>
      </c>
      <c r="C380" s="23" t="s">
        <v>125</v>
      </c>
      <c r="D380" s="23" t="s">
        <v>57</v>
      </c>
      <c r="E380" s="23" t="s">
        <v>433</v>
      </c>
      <c r="F380" s="24">
        <v>44935</v>
      </c>
      <c r="G380" s="25">
        <v>611835.41</v>
      </c>
      <c r="H380" s="50" t="s">
        <v>791</v>
      </c>
      <c r="I380" t="s">
        <v>790</v>
      </c>
      <c r="J380">
        <v>23</v>
      </c>
      <c r="K380" t="s">
        <v>481</v>
      </c>
    </row>
    <row r="381" spans="1:11" x14ac:dyDescent="0.35">
      <c r="A381" t="s">
        <v>790</v>
      </c>
      <c r="B381" t="s">
        <v>477</v>
      </c>
      <c r="C381" s="23" t="s">
        <v>125</v>
      </c>
      <c r="D381" s="23" t="s">
        <v>57</v>
      </c>
      <c r="E381" s="23" t="s">
        <v>434</v>
      </c>
      <c r="F381" s="24">
        <v>44935</v>
      </c>
      <c r="G381" s="25">
        <v>8326.08</v>
      </c>
      <c r="H381" s="50" t="s">
        <v>791</v>
      </c>
      <c r="I381" t="s">
        <v>790</v>
      </c>
      <c r="J381">
        <v>23</v>
      </c>
      <c r="K381" t="s">
        <v>481</v>
      </c>
    </row>
    <row r="382" spans="1:11" x14ac:dyDescent="0.35">
      <c r="A382" t="s">
        <v>790</v>
      </c>
      <c r="B382" t="s">
        <v>477</v>
      </c>
      <c r="C382" s="23" t="s">
        <v>125</v>
      </c>
      <c r="D382" s="23" t="s">
        <v>57</v>
      </c>
      <c r="E382" s="23" t="s">
        <v>435</v>
      </c>
      <c r="F382" s="24">
        <v>44942</v>
      </c>
      <c r="G382" s="25">
        <v>295063.42</v>
      </c>
      <c r="H382" s="50" t="s">
        <v>791</v>
      </c>
      <c r="I382" t="s">
        <v>790</v>
      </c>
      <c r="J382">
        <v>16</v>
      </c>
      <c r="K382" t="s">
        <v>481</v>
      </c>
    </row>
    <row r="383" spans="1:11" x14ac:dyDescent="0.35">
      <c r="A383" t="s">
        <v>790</v>
      </c>
      <c r="B383" t="s">
        <v>477</v>
      </c>
      <c r="C383" s="23" t="s">
        <v>125</v>
      </c>
      <c r="D383" s="23" t="s">
        <v>57</v>
      </c>
      <c r="E383" s="23" t="s">
        <v>436</v>
      </c>
      <c r="F383" s="24">
        <v>44942</v>
      </c>
      <c r="G383" s="25">
        <v>3908.16</v>
      </c>
      <c r="H383" s="50" t="s">
        <v>791</v>
      </c>
      <c r="I383" t="s">
        <v>790</v>
      </c>
      <c r="J383">
        <v>16</v>
      </c>
      <c r="K383" t="s">
        <v>481</v>
      </c>
    </row>
    <row r="384" spans="1:11" x14ac:dyDescent="0.35">
      <c r="A384" t="s">
        <v>790</v>
      </c>
      <c r="B384" t="s">
        <v>477</v>
      </c>
      <c r="C384" s="23" t="s">
        <v>51</v>
      </c>
      <c r="D384" s="23" t="s">
        <v>52</v>
      </c>
      <c r="E384" s="23" t="s">
        <v>437</v>
      </c>
      <c r="F384" s="24">
        <v>44942</v>
      </c>
      <c r="G384" s="26">
        <v>1000935</v>
      </c>
      <c r="H384" s="50" t="s">
        <v>791</v>
      </c>
      <c r="I384" t="s">
        <v>790</v>
      </c>
      <c r="J384">
        <v>16</v>
      </c>
      <c r="K384" t="s">
        <v>481</v>
      </c>
    </row>
    <row r="385" spans="1:11" x14ac:dyDescent="0.35">
      <c r="A385" t="s">
        <v>790</v>
      </c>
      <c r="B385" t="s">
        <v>477</v>
      </c>
      <c r="C385" s="23" t="s">
        <v>424</v>
      </c>
      <c r="D385" s="23" t="s">
        <v>425</v>
      </c>
      <c r="E385" s="23" t="s">
        <v>438</v>
      </c>
      <c r="F385" s="24">
        <v>44944</v>
      </c>
      <c r="G385" s="26">
        <v>900167.2</v>
      </c>
      <c r="H385" s="50" t="s">
        <v>791</v>
      </c>
      <c r="I385" t="s">
        <v>790</v>
      </c>
      <c r="J385">
        <v>14</v>
      </c>
      <c r="K385" t="s">
        <v>481</v>
      </c>
    </row>
    <row r="386" spans="1:11" x14ac:dyDescent="0.35">
      <c r="A386" t="s">
        <v>790</v>
      </c>
      <c r="B386" t="s">
        <v>477</v>
      </c>
      <c r="C386" s="23" t="s">
        <v>424</v>
      </c>
      <c r="D386" s="23" t="s">
        <v>425</v>
      </c>
      <c r="E386" s="23" t="s">
        <v>439</v>
      </c>
      <c r="F386" s="24">
        <v>44944</v>
      </c>
      <c r="G386" s="26">
        <v>1700.9</v>
      </c>
      <c r="H386" s="50" t="s">
        <v>791</v>
      </c>
      <c r="I386" t="s">
        <v>790</v>
      </c>
      <c r="J386">
        <v>14</v>
      </c>
      <c r="K386" t="s">
        <v>481</v>
      </c>
    </row>
    <row r="387" spans="1:11" x14ac:dyDescent="0.35">
      <c r="A387" t="s">
        <v>790</v>
      </c>
      <c r="B387" t="s">
        <v>477</v>
      </c>
      <c r="C387" s="23" t="s">
        <v>125</v>
      </c>
      <c r="D387" s="23" t="s">
        <v>57</v>
      </c>
      <c r="E387" s="23" t="s">
        <v>440</v>
      </c>
      <c r="F387" s="24">
        <v>44944</v>
      </c>
      <c r="G387" s="25">
        <v>316391.03999999998</v>
      </c>
      <c r="H387" s="50" t="s">
        <v>791</v>
      </c>
      <c r="I387" t="s">
        <v>790</v>
      </c>
      <c r="J387">
        <v>14</v>
      </c>
      <c r="K387" t="s">
        <v>481</v>
      </c>
    </row>
    <row r="388" spans="1:11" x14ac:dyDescent="0.35">
      <c r="A388" t="s">
        <v>790</v>
      </c>
      <c r="B388" t="s">
        <v>477</v>
      </c>
      <c r="C388" s="23" t="s">
        <v>125</v>
      </c>
      <c r="D388" s="23" t="s">
        <v>57</v>
      </c>
      <c r="E388" s="23" t="s">
        <v>441</v>
      </c>
      <c r="F388" s="24">
        <v>44944</v>
      </c>
      <c r="G388" s="25">
        <v>4304.6400000000003</v>
      </c>
      <c r="H388" s="50" t="s">
        <v>791</v>
      </c>
      <c r="I388" t="s">
        <v>790</v>
      </c>
      <c r="J388">
        <v>14</v>
      </c>
      <c r="K388" t="s">
        <v>481</v>
      </c>
    </row>
    <row r="389" spans="1:11" x14ac:dyDescent="0.35">
      <c r="A389" t="s">
        <v>790</v>
      </c>
      <c r="B389" t="s">
        <v>477</v>
      </c>
      <c r="C389" s="23" t="s">
        <v>125</v>
      </c>
      <c r="D389" s="23" t="s">
        <v>57</v>
      </c>
      <c r="E389" s="23" t="s">
        <v>442</v>
      </c>
      <c r="F389" s="24">
        <v>44947</v>
      </c>
      <c r="G389" s="25">
        <v>3666499.8</v>
      </c>
      <c r="H389" s="50" t="s">
        <v>791</v>
      </c>
      <c r="I389" t="s">
        <v>790</v>
      </c>
      <c r="J389">
        <v>11</v>
      </c>
      <c r="K389" t="s">
        <v>481</v>
      </c>
    </row>
    <row r="390" spans="1:11" x14ac:dyDescent="0.35">
      <c r="A390" t="s">
        <v>790</v>
      </c>
      <c r="B390" t="s">
        <v>477</v>
      </c>
      <c r="C390" s="23" t="s">
        <v>443</v>
      </c>
      <c r="D390" s="23" t="s">
        <v>444</v>
      </c>
      <c r="E390" s="23" t="s">
        <v>445</v>
      </c>
      <c r="F390" s="24">
        <v>44947</v>
      </c>
      <c r="G390" s="26">
        <f>1105371.87-367651</f>
        <v>737720.87000000011</v>
      </c>
      <c r="H390" s="50" t="s">
        <v>791</v>
      </c>
      <c r="I390" t="s">
        <v>790</v>
      </c>
      <c r="J390">
        <v>11</v>
      </c>
      <c r="K390" t="s">
        <v>481</v>
      </c>
    </row>
    <row r="391" spans="1:11" x14ac:dyDescent="0.35">
      <c r="A391" t="s">
        <v>790</v>
      </c>
      <c r="B391" t="s">
        <v>477</v>
      </c>
      <c r="C391" s="23" t="s">
        <v>125</v>
      </c>
      <c r="D391" s="23" t="s">
        <v>57</v>
      </c>
      <c r="E391" s="23" t="s">
        <v>446</v>
      </c>
      <c r="F391" s="24">
        <v>44948</v>
      </c>
      <c r="G391" s="25">
        <v>1577894.46</v>
      </c>
      <c r="H391" s="50" t="s">
        <v>791</v>
      </c>
      <c r="I391" t="s">
        <v>790</v>
      </c>
      <c r="J391">
        <v>10</v>
      </c>
      <c r="K391" t="s">
        <v>481</v>
      </c>
    </row>
    <row r="392" spans="1:11" x14ac:dyDescent="0.35">
      <c r="A392" t="s">
        <v>790</v>
      </c>
      <c r="B392" t="s">
        <v>477</v>
      </c>
      <c r="C392" s="23" t="s">
        <v>125</v>
      </c>
      <c r="D392" s="23" t="s">
        <v>57</v>
      </c>
      <c r="E392" s="23" t="s">
        <v>447</v>
      </c>
      <c r="F392" s="24">
        <v>44948</v>
      </c>
      <c r="G392" s="25">
        <v>906.24</v>
      </c>
      <c r="H392" s="50" t="s">
        <v>791</v>
      </c>
      <c r="I392" t="s">
        <v>790</v>
      </c>
      <c r="J392">
        <v>10</v>
      </c>
      <c r="K392" t="s">
        <v>481</v>
      </c>
    </row>
    <row r="393" spans="1:11" x14ac:dyDescent="0.35">
      <c r="A393" t="s">
        <v>790</v>
      </c>
      <c r="B393" t="s">
        <v>477</v>
      </c>
      <c r="C393" s="23" t="s">
        <v>259</v>
      </c>
      <c r="D393" s="23" t="s">
        <v>260</v>
      </c>
      <c r="E393" s="23" t="s">
        <v>448</v>
      </c>
      <c r="F393" s="24">
        <v>44949</v>
      </c>
      <c r="G393" s="26">
        <v>1579725</v>
      </c>
      <c r="H393" s="50" t="s">
        <v>791</v>
      </c>
      <c r="I393" t="s">
        <v>790</v>
      </c>
      <c r="J393">
        <v>9</v>
      </c>
      <c r="K393" t="s">
        <v>481</v>
      </c>
    </row>
    <row r="394" spans="1:11" x14ac:dyDescent="0.35">
      <c r="A394" t="s">
        <v>790</v>
      </c>
      <c r="B394" t="s">
        <v>477</v>
      </c>
      <c r="C394" s="23" t="s">
        <v>277</v>
      </c>
      <c r="D394" s="23" t="s">
        <v>278</v>
      </c>
      <c r="E394" s="23" t="s">
        <v>449</v>
      </c>
      <c r="F394" s="24">
        <v>44950</v>
      </c>
      <c r="G394" s="25">
        <v>1004459.66</v>
      </c>
      <c r="H394" s="50" t="s">
        <v>791</v>
      </c>
      <c r="I394" t="s">
        <v>790</v>
      </c>
      <c r="J394">
        <v>8</v>
      </c>
      <c r="K394" t="s">
        <v>481</v>
      </c>
    </row>
    <row r="395" spans="1:11" x14ac:dyDescent="0.35">
      <c r="A395" t="s">
        <v>790</v>
      </c>
      <c r="B395" t="s">
        <v>477</v>
      </c>
      <c r="C395" s="23" t="s">
        <v>125</v>
      </c>
      <c r="D395" s="23" t="s">
        <v>57</v>
      </c>
      <c r="E395" s="23" t="s">
        <v>450</v>
      </c>
      <c r="F395" s="24">
        <v>44950</v>
      </c>
      <c r="G395" s="25">
        <v>762298.88</v>
      </c>
      <c r="H395" s="50" t="s">
        <v>791</v>
      </c>
      <c r="I395" t="s">
        <v>790</v>
      </c>
      <c r="J395">
        <v>8</v>
      </c>
      <c r="K395" t="s">
        <v>481</v>
      </c>
    </row>
    <row r="396" spans="1:11" x14ac:dyDescent="0.35">
      <c r="A396" t="s">
        <v>790</v>
      </c>
      <c r="B396" t="s">
        <v>477</v>
      </c>
      <c r="C396" s="23" t="s">
        <v>125</v>
      </c>
      <c r="D396" s="23" t="s">
        <v>57</v>
      </c>
      <c r="E396" s="23" t="s">
        <v>451</v>
      </c>
      <c r="F396" s="24">
        <v>44950</v>
      </c>
      <c r="G396" s="25">
        <v>10591.68</v>
      </c>
      <c r="H396" s="50" t="s">
        <v>791</v>
      </c>
      <c r="I396" t="s">
        <v>790</v>
      </c>
      <c r="J396">
        <v>8</v>
      </c>
      <c r="K396" t="s">
        <v>481</v>
      </c>
    </row>
    <row r="397" spans="1:11" x14ac:dyDescent="0.35">
      <c r="A397" t="s">
        <v>790</v>
      </c>
      <c r="B397" t="s">
        <v>477</v>
      </c>
      <c r="C397" s="23" t="s">
        <v>125</v>
      </c>
      <c r="D397" s="23" t="s">
        <v>57</v>
      </c>
      <c r="E397" s="23" t="s">
        <v>452</v>
      </c>
      <c r="F397" s="24">
        <v>44951</v>
      </c>
      <c r="G397" s="25">
        <v>305644.84999999998</v>
      </c>
      <c r="H397" s="50" t="s">
        <v>791</v>
      </c>
      <c r="I397" t="s">
        <v>790</v>
      </c>
      <c r="J397">
        <v>7</v>
      </c>
      <c r="K397" t="s">
        <v>481</v>
      </c>
    </row>
    <row r="398" spans="1:11" x14ac:dyDescent="0.35">
      <c r="A398" t="s">
        <v>790</v>
      </c>
      <c r="B398" t="s">
        <v>477</v>
      </c>
      <c r="C398" s="23" t="s">
        <v>125</v>
      </c>
      <c r="D398" s="23" t="s">
        <v>57</v>
      </c>
      <c r="E398" s="23" t="s">
        <v>453</v>
      </c>
      <c r="F398" s="24">
        <v>44951</v>
      </c>
      <c r="G398" s="25">
        <v>5890.56</v>
      </c>
      <c r="H398" s="50" t="s">
        <v>791</v>
      </c>
      <c r="I398" t="s">
        <v>790</v>
      </c>
      <c r="J398">
        <v>7</v>
      </c>
      <c r="K398" t="s">
        <v>481</v>
      </c>
    </row>
    <row r="399" spans="1:11" x14ac:dyDescent="0.35">
      <c r="A399" t="s">
        <v>790</v>
      </c>
      <c r="B399" t="s">
        <v>477</v>
      </c>
      <c r="C399" s="23" t="s">
        <v>424</v>
      </c>
      <c r="D399" s="23" t="s">
        <v>425</v>
      </c>
      <c r="E399" s="23" t="s">
        <v>454</v>
      </c>
      <c r="F399" s="24">
        <v>44955</v>
      </c>
      <c r="G399" s="26">
        <v>1536886.46</v>
      </c>
      <c r="H399" s="50" t="s">
        <v>791</v>
      </c>
      <c r="I399" t="s">
        <v>790</v>
      </c>
      <c r="J399">
        <v>3</v>
      </c>
      <c r="K399" t="s">
        <v>481</v>
      </c>
    </row>
    <row r="400" spans="1:11" x14ac:dyDescent="0.35">
      <c r="A400" t="s">
        <v>790</v>
      </c>
      <c r="B400" t="s">
        <v>477</v>
      </c>
      <c r="C400" s="23" t="s">
        <v>424</v>
      </c>
      <c r="D400" s="23" t="s">
        <v>425</v>
      </c>
      <c r="E400" s="23" t="s">
        <v>455</v>
      </c>
      <c r="F400" s="24">
        <v>44955</v>
      </c>
      <c r="G400" s="26">
        <v>5669.66</v>
      </c>
      <c r="H400" s="50" t="s">
        <v>791</v>
      </c>
      <c r="I400" t="s">
        <v>790</v>
      </c>
      <c r="J400">
        <v>3</v>
      </c>
      <c r="K400" t="s">
        <v>481</v>
      </c>
    </row>
    <row r="401" spans="1:11" x14ac:dyDescent="0.35">
      <c r="A401" t="s">
        <v>790</v>
      </c>
      <c r="B401" t="s">
        <v>477</v>
      </c>
      <c r="C401" s="23" t="s">
        <v>456</v>
      </c>
      <c r="D401" s="23" t="s">
        <v>457</v>
      </c>
      <c r="E401" s="23" t="s">
        <v>458</v>
      </c>
      <c r="F401" s="24">
        <v>44957</v>
      </c>
      <c r="G401" s="26">
        <v>69720.3</v>
      </c>
      <c r="H401" s="50" t="s">
        <v>791</v>
      </c>
      <c r="I401" t="s">
        <v>790</v>
      </c>
      <c r="J401">
        <v>1</v>
      </c>
      <c r="K401" t="s">
        <v>481</v>
      </c>
    </row>
    <row r="402" spans="1:11" x14ac:dyDescent="0.35">
      <c r="A402" t="s">
        <v>790</v>
      </c>
      <c r="B402" t="s">
        <v>477</v>
      </c>
      <c r="C402" s="23" t="s">
        <v>125</v>
      </c>
      <c r="D402" s="23" t="s">
        <v>57</v>
      </c>
      <c r="E402" s="23" t="s">
        <v>459</v>
      </c>
      <c r="F402" s="24">
        <v>44957</v>
      </c>
      <c r="G402" s="25">
        <v>1024086.21</v>
      </c>
      <c r="H402" s="50" t="s">
        <v>791</v>
      </c>
      <c r="I402" t="s">
        <v>790</v>
      </c>
      <c r="J402">
        <v>1</v>
      </c>
      <c r="K402" t="s">
        <v>481</v>
      </c>
    </row>
    <row r="403" spans="1:11" x14ac:dyDescent="0.35">
      <c r="A403" t="s">
        <v>790</v>
      </c>
      <c r="B403" t="s">
        <v>477</v>
      </c>
      <c r="C403" s="23" t="s">
        <v>125</v>
      </c>
      <c r="D403" s="23" t="s">
        <v>57</v>
      </c>
      <c r="E403" s="23" t="s">
        <v>460</v>
      </c>
      <c r="F403" s="24">
        <v>44957</v>
      </c>
      <c r="G403" s="25">
        <v>12404.16</v>
      </c>
      <c r="H403" s="50" t="s">
        <v>791</v>
      </c>
      <c r="I403" t="s">
        <v>790</v>
      </c>
      <c r="J403">
        <v>1</v>
      </c>
      <c r="K403" t="s">
        <v>481</v>
      </c>
    </row>
    <row r="404" spans="1:11" x14ac:dyDescent="0.35">
      <c r="A404" t="s">
        <v>790</v>
      </c>
      <c r="B404" t="s">
        <v>477</v>
      </c>
      <c r="C404" s="23" t="s">
        <v>125</v>
      </c>
      <c r="D404" s="23" t="s">
        <v>57</v>
      </c>
      <c r="E404" s="23" t="s">
        <v>461</v>
      </c>
      <c r="F404" s="24">
        <v>44928</v>
      </c>
      <c r="G404" s="25">
        <v>101754.41</v>
      </c>
      <c r="H404" s="50" t="s">
        <v>791</v>
      </c>
      <c r="I404" t="s">
        <v>790</v>
      </c>
      <c r="J404">
        <v>30</v>
      </c>
      <c r="K404" t="s">
        <v>481</v>
      </c>
    </row>
    <row r="405" spans="1:11" x14ac:dyDescent="0.35">
      <c r="A405" t="s">
        <v>790</v>
      </c>
      <c r="B405" t="s">
        <v>477</v>
      </c>
      <c r="C405" s="23" t="s">
        <v>125</v>
      </c>
      <c r="D405" s="23" t="s">
        <v>57</v>
      </c>
      <c r="E405" s="23" t="s">
        <v>462</v>
      </c>
      <c r="F405" s="24">
        <v>44931</v>
      </c>
      <c r="G405" s="25">
        <v>3921.35</v>
      </c>
      <c r="H405" s="50" t="s">
        <v>791</v>
      </c>
      <c r="I405" t="s">
        <v>790</v>
      </c>
      <c r="J405">
        <v>27</v>
      </c>
      <c r="K405" t="s">
        <v>481</v>
      </c>
    </row>
    <row r="406" spans="1:11" x14ac:dyDescent="0.35">
      <c r="A406" t="s">
        <v>790</v>
      </c>
      <c r="B406" t="s">
        <v>477</v>
      </c>
      <c r="C406" s="23" t="s">
        <v>125</v>
      </c>
      <c r="D406" s="23" t="s">
        <v>57</v>
      </c>
      <c r="E406" s="23" t="s">
        <v>463</v>
      </c>
      <c r="F406" s="24">
        <v>44936</v>
      </c>
      <c r="G406" s="25">
        <v>3653385.79</v>
      </c>
      <c r="H406" s="50" t="s">
        <v>791</v>
      </c>
      <c r="I406" t="s">
        <v>790</v>
      </c>
      <c r="J406">
        <v>22</v>
      </c>
      <c r="K406" t="s">
        <v>481</v>
      </c>
    </row>
    <row r="407" spans="1:11" x14ac:dyDescent="0.35">
      <c r="A407" t="s">
        <v>790</v>
      </c>
      <c r="B407" t="s">
        <v>477</v>
      </c>
      <c r="C407" s="23" t="s">
        <v>125</v>
      </c>
      <c r="D407" s="23" t="s">
        <v>57</v>
      </c>
      <c r="E407" s="23" t="s">
        <v>464</v>
      </c>
      <c r="F407" s="24">
        <v>44936</v>
      </c>
      <c r="G407" s="25">
        <v>3879690.68</v>
      </c>
      <c r="H407" s="50" t="s">
        <v>791</v>
      </c>
      <c r="I407" t="s">
        <v>790</v>
      </c>
      <c r="J407">
        <v>22</v>
      </c>
      <c r="K407" t="s">
        <v>481</v>
      </c>
    </row>
    <row r="408" spans="1:11" x14ac:dyDescent="0.35">
      <c r="A408" t="s">
        <v>790</v>
      </c>
      <c r="B408" t="s">
        <v>477</v>
      </c>
      <c r="C408" s="23" t="s">
        <v>125</v>
      </c>
      <c r="D408" s="23" t="s">
        <v>57</v>
      </c>
      <c r="E408" s="23" t="s">
        <v>465</v>
      </c>
      <c r="F408" s="24">
        <v>44937</v>
      </c>
      <c r="G408" s="25">
        <v>695140.37</v>
      </c>
      <c r="H408" s="50" t="s">
        <v>791</v>
      </c>
      <c r="I408" t="s">
        <v>790</v>
      </c>
      <c r="J408">
        <v>21</v>
      </c>
      <c r="K408" t="s">
        <v>481</v>
      </c>
    </row>
    <row r="409" spans="1:11" x14ac:dyDescent="0.35">
      <c r="A409" t="s">
        <v>790</v>
      </c>
      <c r="B409" t="s">
        <v>477</v>
      </c>
      <c r="C409" s="23" t="s">
        <v>125</v>
      </c>
      <c r="D409" s="23" t="s">
        <v>57</v>
      </c>
      <c r="E409" s="23" t="s">
        <v>466</v>
      </c>
      <c r="F409" s="24">
        <v>44942</v>
      </c>
      <c r="G409" s="25">
        <v>1298.78</v>
      </c>
      <c r="H409" s="50" t="s">
        <v>791</v>
      </c>
      <c r="I409" t="s">
        <v>790</v>
      </c>
      <c r="J409">
        <v>16</v>
      </c>
      <c r="K409" t="s">
        <v>481</v>
      </c>
    </row>
    <row r="410" spans="1:11" x14ac:dyDescent="0.35">
      <c r="A410" t="s">
        <v>790</v>
      </c>
      <c r="B410" t="s">
        <v>477</v>
      </c>
      <c r="C410" s="23" t="s">
        <v>125</v>
      </c>
      <c r="D410" s="23" t="s">
        <v>57</v>
      </c>
      <c r="E410" s="23" t="s">
        <v>467</v>
      </c>
      <c r="F410" s="24">
        <v>44942</v>
      </c>
      <c r="G410" s="25">
        <v>979.12</v>
      </c>
      <c r="H410" s="50" t="s">
        <v>791</v>
      </c>
      <c r="I410" t="s">
        <v>790</v>
      </c>
      <c r="J410">
        <v>16</v>
      </c>
      <c r="K410" t="s">
        <v>481</v>
      </c>
    </row>
    <row r="411" spans="1:11" x14ac:dyDescent="0.35">
      <c r="A411" t="s">
        <v>790</v>
      </c>
      <c r="B411" t="s">
        <v>477</v>
      </c>
      <c r="C411" s="23" t="s">
        <v>125</v>
      </c>
      <c r="D411" s="23" t="s">
        <v>57</v>
      </c>
      <c r="E411" s="23" t="s">
        <v>468</v>
      </c>
      <c r="F411" s="24">
        <v>44944</v>
      </c>
      <c r="G411" s="25">
        <v>1311.25</v>
      </c>
      <c r="H411" s="50" t="s">
        <v>791</v>
      </c>
      <c r="I411" t="s">
        <v>790</v>
      </c>
      <c r="J411">
        <v>14</v>
      </c>
      <c r="K411" t="s">
        <v>481</v>
      </c>
    </row>
    <row r="412" spans="1:11" x14ac:dyDescent="0.35">
      <c r="A412" t="s">
        <v>790</v>
      </c>
      <c r="B412" t="s">
        <v>477</v>
      </c>
      <c r="C412" s="23" t="s">
        <v>125</v>
      </c>
      <c r="D412" s="23" t="s">
        <v>57</v>
      </c>
      <c r="E412" s="23" t="s">
        <v>469</v>
      </c>
      <c r="F412" s="24">
        <v>44947</v>
      </c>
      <c r="G412" s="25">
        <v>58174.400000000001</v>
      </c>
      <c r="H412" s="50" t="s">
        <v>791</v>
      </c>
      <c r="I412" t="s">
        <v>790</v>
      </c>
      <c r="J412">
        <v>11</v>
      </c>
      <c r="K412" t="s">
        <v>481</v>
      </c>
    </row>
    <row r="413" spans="1:11" x14ac:dyDescent="0.35">
      <c r="A413" t="s">
        <v>790</v>
      </c>
      <c r="B413" t="s">
        <v>477</v>
      </c>
      <c r="C413" s="23" t="s">
        <v>125</v>
      </c>
      <c r="D413" s="23" t="s">
        <v>57</v>
      </c>
      <c r="E413" s="23" t="s">
        <v>470</v>
      </c>
      <c r="F413" s="24">
        <v>44951</v>
      </c>
      <c r="G413" s="25">
        <v>246634.85</v>
      </c>
      <c r="H413" s="50" t="s">
        <v>791</v>
      </c>
      <c r="I413" t="s">
        <v>790</v>
      </c>
      <c r="J413">
        <v>7</v>
      </c>
      <c r="K413" t="s">
        <v>481</v>
      </c>
    </row>
    <row r="414" spans="1:11" x14ac:dyDescent="0.35">
      <c r="A414" t="s">
        <v>790</v>
      </c>
      <c r="B414" t="s">
        <v>477</v>
      </c>
      <c r="C414" s="23" t="s">
        <v>125</v>
      </c>
      <c r="D414" s="23" t="s">
        <v>57</v>
      </c>
      <c r="E414" s="23" t="s">
        <v>471</v>
      </c>
      <c r="F414" s="24">
        <v>44957</v>
      </c>
      <c r="G414" s="25">
        <v>27356.44</v>
      </c>
      <c r="H414" s="50" t="s">
        <v>791</v>
      </c>
      <c r="I414" t="s">
        <v>790</v>
      </c>
      <c r="J414">
        <v>1</v>
      </c>
      <c r="K414" t="s">
        <v>481</v>
      </c>
    </row>
    <row r="415" spans="1:11" x14ac:dyDescent="0.35">
      <c r="A415" t="s">
        <v>788</v>
      </c>
      <c r="B415" t="s">
        <v>477</v>
      </c>
      <c r="C415" s="23" t="s">
        <v>785</v>
      </c>
      <c r="D415" s="23" t="s">
        <v>39</v>
      </c>
      <c r="E415" s="51" t="s">
        <v>792</v>
      </c>
      <c r="F415" s="24">
        <v>44957</v>
      </c>
      <c r="G415" s="25">
        <v>76128514.274999991</v>
      </c>
      <c r="H415" s="50" t="s">
        <v>791</v>
      </c>
      <c r="I415" t="s">
        <v>788</v>
      </c>
      <c r="J415">
        <v>1</v>
      </c>
      <c r="K415" t="s">
        <v>481</v>
      </c>
    </row>
    <row r="416" spans="1:11" x14ac:dyDescent="0.35">
      <c r="A416" t="s">
        <v>788</v>
      </c>
      <c r="B416" t="s">
        <v>477</v>
      </c>
      <c r="C416" s="23" t="s">
        <v>786</v>
      </c>
      <c r="D416" s="23" t="s">
        <v>39</v>
      </c>
      <c r="E416" s="51" t="s">
        <v>792</v>
      </c>
      <c r="F416" s="24">
        <v>44957</v>
      </c>
      <c r="G416" s="25">
        <v>57856324.49000001</v>
      </c>
      <c r="H416" s="50" t="s">
        <v>791</v>
      </c>
      <c r="I416" t="s">
        <v>788</v>
      </c>
      <c r="J416">
        <v>1</v>
      </c>
      <c r="K416" t="s">
        <v>481</v>
      </c>
    </row>
    <row r="417" spans="1:11" x14ac:dyDescent="0.35">
      <c r="A417" t="s">
        <v>789</v>
      </c>
      <c r="B417" t="s">
        <v>517</v>
      </c>
      <c r="C417" s="18" t="s">
        <v>485</v>
      </c>
      <c r="D417" s="18" t="s">
        <v>486</v>
      </c>
      <c r="E417" s="18" t="s">
        <v>487</v>
      </c>
      <c r="F417" s="19">
        <v>44946</v>
      </c>
      <c r="G417" s="23">
        <f>832351.48-124495</f>
        <v>707856.48</v>
      </c>
      <c r="H417" s="50" t="s">
        <v>791</v>
      </c>
      <c r="I417" t="s">
        <v>789</v>
      </c>
      <c r="J417" s="33">
        <v>12</v>
      </c>
      <c r="K417" s="34" t="s">
        <v>481</v>
      </c>
    </row>
    <row r="418" spans="1:11" x14ac:dyDescent="0.35">
      <c r="A418" t="s">
        <v>789</v>
      </c>
      <c r="B418" t="s">
        <v>517</v>
      </c>
      <c r="C418" s="18" t="s">
        <v>485</v>
      </c>
      <c r="D418" s="18" t="s">
        <v>486</v>
      </c>
      <c r="E418" s="18" t="s">
        <v>488</v>
      </c>
      <c r="F418" s="19">
        <v>44948</v>
      </c>
      <c r="G418" s="23">
        <v>642945.22</v>
      </c>
      <c r="H418" s="50" t="s">
        <v>791</v>
      </c>
      <c r="I418" t="s">
        <v>789</v>
      </c>
      <c r="J418" s="33">
        <v>10</v>
      </c>
      <c r="K418" s="34" t="s">
        <v>481</v>
      </c>
    </row>
    <row r="419" spans="1:11" x14ac:dyDescent="0.35">
      <c r="A419" t="s">
        <v>789</v>
      </c>
      <c r="B419" t="s">
        <v>517</v>
      </c>
      <c r="C419" s="18" t="s">
        <v>485</v>
      </c>
      <c r="D419" s="18" t="s">
        <v>486</v>
      </c>
      <c r="E419" s="18" t="s">
        <v>489</v>
      </c>
      <c r="F419" s="19">
        <v>44948</v>
      </c>
      <c r="G419" s="23">
        <v>12064.32</v>
      </c>
      <c r="H419" s="50" t="s">
        <v>791</v>
      </c>
      <c r="I419" t="s">
        <v>789</v>
      </c>
      <c r="J419" s="33">
        <v>10</v>
      </c>
      <c r="K419" s="34" t="s">
        <v>481</v>
      </c>
    </row>
    <row r="420" spans="1:11" x14ac:dyDescent="0.35">
      <c r="A420" t="s">
        <v>789</v>
      </c>
      <c r="B420" t="s">
        <v>517</v>
      </c>
      <c r="C420" s="18" t="s">
        <v>485</v>
      </c>
      <c r="D420" s="18" t="s">
        <v>486</v>
      </c>
      <c r="E420" s="18" t="s">
        <v>490</v>
      </c>
      <c r="F420" s="19">
        <v>44949</v>
      </c>
      <c r="G420" s="23">
        <v>121705.15</v>
      </c>
      <c r="H420" s="50" t="s">
        <v>791</v>
      </c>
      <c r="I420" t="s">
        <v>789</v>
      </c>
      <c r="J420" s="33">
        <v>9</v>
      </c>
      <c r="K420" s="34" t="s">
        <v>481</v>
      </c>
    </row>
    <row r="421" spans="1:11" x14ac:dyDescent="0.35">
      <c r="A421" t="s">
        <v>789</v>
      </c>
      <c r="B421" t="s">
        <v>517</v>
      </c>
      <c r="C421" s="18" t="s">
        <v>485</v>
      </c>
      <c r="D421" s="18" t="s">
        <v>486</v>
      </c>
      <c r="E421" s="18" t="s">
        <v>491</v>
      </c>
      <c r="F421" s="19">
        <v>44950</v>
      </c>
      <c r="G421" s="23">
        <v>401005.55</v>
      </c>
      <c r="H421" s="50" t="s">
        <v>791</v>
      </c>
      <c r="I421" t="s">
        <v>789</v>
      </c>
      <c r="J421" s="33">
        <v>8</v>
      </c>
      <c r="K421" s="34" t="s">
        <v>481</v>
      </c>
    </row>
    <row r="422" spans="1:11" x14ac:dyDescent="0.35">
      <c r="A422" t="s">
        <v>789</v>
      </c>
      <c r="B422" t="s">
        <v>517</v>
      </c>
      <c r="C422" s="18" t="s">
        <v>485</v>
      </c>
      <c r="D422" s="18" t="s">
        <v>486</v>
      </c>
      <c r="E422" s="18" t="s">
        <v>492</v>
      </c>
      <c r="F422" s="19">
        <v>44950</v>
      </c>
      <c r="G422" s="23">
        <v>501633.58</v>
      </c>
      <c r="H422" s="50" t="s">
        <v>791</v>
      </c>
      <c r="I422" t="s">
        <v>789</v>
      </c>
      <c r="J422" s="33">
        <v>8</v>
      </c>
      <c r="K422" s="34" t="s">
        <v>481</v>
      </c>
    </row>
    <row r="423" spans="1:11" x14ac:dyDescent="0.35">
      <c r="A423" t="s">
        <v>789</v>
      </c>
      <c r="B423" t="s">
        <v>517</v>
      </c>
      <c r="C423" s="18" t="s">
        <v>485</v>
      </c>
      <c r="D423" s="18" t="s">
        <v>486</v>
      </c>
      <c r="E423" s="18" t="s">
        <v>493</v>
      </c>
      <c r="F423" s="19">
        <v>44950</v>
      </c>
      <c r="G423" s="23">
        <v>10818.24</v>
      </c>
      <c r="H423" s="50" t="s">
        <v>791</v>
      </c>
      <c r="I423" t="s">
        <v>789</v>
      </c>
      <c r="J423" s="33">
        <v>8</v>
      </c>
      <c r="K423" s="34" t="s">
        <v>481</v>
      </c>
    </row>
    <row r="424" spans="1:11" x14ac:dyDescent="0.35">
      <c r="A424" t="s">
        <v>789</v>
      </c>
      <c r="B424" t="s">
        <v>517</v>
      </c>
      <c r="C424" s="18" t="s">
        <v>485</v>
      </c>
      <c r="D424" s="18" t="s">
        <v>486</v>
      </c>
      <c r="E424" s="18" t="s">
        <v>494</v>
      </c>
      <c r="F424" s="19">
        <v>44953</v>
      </c>
      <c r="G424" s="23">
        <v>819902.77</v>
      </c>
      <c r="H424" s="50" t="s">
        <v>791</v>
      </c>
      <c r="I424" t="s">
        <v>789</v>
      </c>
      <c r="J424" s="33">
        <v>5</v>
      </c>
      <c r="K424" s="34" t="s">
        <v>481</v>
      </c>
    </row>
    <row r="425" spans="1:11" x14ac:dyDescent="0.35">
      <c r="A425" t="s">
        <v>789</v>
      </c>
      <c r="B425" t="s">
        <v>517</v>
      </c>
      <c r="C425" s="18" t="s">
        <v>485</v>
      </c>
      <c r="D425" s="18" t="s">
        <v>486</v>
      </c>
      <c r="E425" s="18" t="s">
        <v>495</v>
      </c>
      <c r="F425" s="19">
        <v>44953</v>
      </c>
      <c r="G425" s="23">
        <v>15632.64</v>
      </c>
      <c r="H425" s="50" t="s">
        <v>791</v>
      </c>
      <c r="I425" t="s">
        <v>789</v>
      </c>
      <c r="J425" s="33">
        <v>5</v>
      </c>
      <c r="K425" s="34" t="s">
        <v>481</v>
      </c>
    </row>
    <row r="426" spans="1:11" x14ac:dyDescent="0.35">
      <c r="A426" t="s">
        <v>789</v>
      </c>
      <c r="B426" t="s">
        <v>517</v>
      </c>
      <c r="C426" s="18" t="s">
        <v>485</v>
      </c>
      <c r="D426" s="18" t="s">
        <v>486</v>
      </c>
      <c r="E426" s="18" t="s">
        <v>496</v>
      </c>
      <c r="F426" s="19">
        <v>44954</v>
      </c>
      <c r="G426" s="23">
        <v>527417.41</v>
      </c>
      <c r="H426" s="50" t="s">
        <v>791</v>
      </c>
      <c r="I426" t="s">
        <v>789</v>
      </c>
      <c r="J426" s="33">
        <v>4</v>
      </c>
      <c r="K426" s="34" t="s">
        <v>481</v>
      </c>
    </row>
    <row r="427" spans="1:11" x14ac:dyDescent="0.35">
      <c r="A427" t="s">
        <v>789</v>
      </c>
      <c r="B427" t="s">
        <v>517</v>
      </c>
      <c r="C427" s="18" t="s">
        <v>485</v>
      </c>
      <c r="D427" s="18" t="s">
        <v>486</v>
      </c>
      <c r="E427" s="18" t="s">
        <v>497</v>
      </c>
      <c r="F427" s="19">
        <v>44954</v>
      </c>
      <c r="G427" s="23">
        <v>906018.79</v>
      </c>
      <c r="H427" s="50" t="s">
        <v>791</v>
      </c>
      <c r="I427" t="s">
        <v>789</v>
      </c>
      <c r="J427" s="33">
        <v>4</v>
      </c>
      <c r="K427" s="34" t="s">
        <v>481</v>
      </c>
    </row>
    <row r="428" spans="1:11" x14ac:dyDescent="0.35">
      <c r="A428" t="s">
        <v>789</v>
      </c>
      <c r="B428" t="s">
        <v>517</v>
      </c>
      <c r="C428" s="18" t="s">
        <v>485</v>
      </c>
      <c r="D428" s="18" t="s">
        <v>486</v>
      </c>
      <c r="E428" s="18" t="s">
        <v>498</v>
      </c>
      <c r="F428" s="19">
        <v>44955</v>
      </c>
      <c r="G428" s="23">
        <v>1313247.26</v>
      </c>
      <c r="H428" s="50" t="s">
        <v>791</v>
      </c>
      <c r="I428" t="s">
        <v>789</v>
      </c>
      <c r="J428" s="33">
        <v>3</v>
      </c>
      <c r="K428" s="34" t="s">
        <v>481</v>
      </c>
    </row>
    <row r="429" spans="1:11" x14ac:dyDescent="0.35">
      <c r="A429" t="s">
        <v>789</v>
      </c>
      <c r="B429" t="s">
        <v>517</v>
      </c>
      <c r="C429" s="18" t="s">
        <v>485</v>
      </c>
      <c r="D429" s="18" t="s">
        <v>486</v>
      </c>
      <c r="E429" s="18" t="s">
        <v>499</v>
      </c>
      <c r="F429" s="19">
        <v>44955</v>
      </c>
      <c r="G429" s="23">
        <v>3950205.26</v>
      </c>
      <c r="H429" s="50" t="s">
        <v>791</v>
      </c>
      <c r="I429" t="s">
        <v>789</v>
      </c>
      <c r="J429" s="33">
        <v>3</v>
      </c>
      <c r="K429" s="34" t="s">
        <v>481</v>
      </c>
    </row>
    <row r="430" spans="1:11" x14ac:dyDescent="0.35">
      <c r="A430" t="s">
        <v>789</v>
      </c>
      <c r="B430" t="s">
        <v>517</v>
      </c>
      <c r="C430" s="18" t="s">
        <v>485</v>
      </c>
      <c r="D430" s="18" t="s">
        <v>486</v>
      </c>
      <c r="E430" s="18" t="s">
        <v>500</v>
      </c>
      <c r="F430" s="19">
        <v>44955</v>
      </c>
      <c r="G430" s="23">
        <v>344796</v>
      </c>
      <c r="H430" s="50" t="s">
        <v>791</v>
      </c>
      <c r="I430" t="s">
        <v>789</v>
      </c>
      <c r="J430" s="33">
        <v>3</v>
      </c>
      <c r="K430" s="34" t="s">
        <v>481</v>
      </c>
    </row>
    <row r="431" spans="1:11" x14ac:dyDescent="0.35">
      <c r="A431" t="s">
        <v>789</v>
      </c>
      <c r="B431" t="s">
        <v>517</v>
      </c>
      <c r="C431" s="18" t="s">
        <v>485</v>
      </c>
      <c r="D431" s="18" t="s">
        <v>486</v>
      </c>
      <c r="E431" s="18" t="s">
        <v>501</v>
      </c>
      <c r="F431" s="19">
        <v>44955</v>
      </c>
      <c r="G431" s="23">
        <v>175577.97</v>
      </c>
      <c r="H431" s="50" t="s">
        <v>791</v>
      </c>
      <c r="I431" t="s">
        <v>789</v>
      </c>
      <c r="J431" s="33">
        <v>3</v>
      </c>
      <c r="K431" s="34" t="s">
        <v>481</v>
      </c>
    </row>
    <row r="432" spans="1:11" x14ac:dyDescent="0.35">
      <c r="A432" t="s">
        <v>789</v>
      </c>
      <c r="B432" t="s">
        <v>517</v>
      </c>
      <c r="C432" s="18" t="s">
        <v>485</v>
      </c>
      <c r="D432" s="18" t="s">
        <v>486</v>
      </c>
      <c r="E432" s="18" t="s">
        <v>502</v>
      </c>
      <c r="F432" s="19">
        <v>44957</v>
      </c>
      <c r="G432" s="23">
        <v>96383</v>
      </c>
      <c r="H432" s="50" t="s">
        <v>791</v>
      </c>
      <c r="I432" t="s">
        <v>789</v>
      </c>
      <c r="J432" s="33">
        <v>1</v>
      </c>
      <c r="K432" s="34" t="s">
        <v>481</v>
      </c>
    </row>
    <row r="433" spans="1:11" x14ac:dyDescent="0.35">
      <c r="A433" t="s">
        <v>789</v>
      </c>
      <c r="B433" t="s">
        <v>517</v>
      </c>
      <c r="C433" s="18" t="s">
        <v>485</v>
      </c>
      <c r="D433" s="18" t="s">
        <v>486</v>
      </c>
      <c r="E433" s="18" t="s">
        <v>503</v>
      </c>
      <c r="F433" s="19">
        <v>44957</v>
      </c>
      <c r="G433" s="23">
        <v>415271.92</v>
      </c>
      <c r="H433" s="50" t="s">
        <v>791</v>
      </c>
      <c r="I433" t="s">
        <v>789</v>
      </c>
      <c r="J433" s="33">
        <v>1</v>
      </c>
      <c r="K433" s="34" t="s">
        <v>481</v>
      </c>
    </row>
    <row r="434" spans="1:11" x14ac:dyDescent="0.35">
      <c r="A434" t="s">
        <v>789</v>
      </c>
      <c r="B434" t="s">
        <v>517</v>
      </c>
      <c r="C434" s="18" t="s">
        <v>485</v>
      </c>
      <c r="D434" s="18" t="s">
        <v>486</v>
      </c>
      <c r="E434" s="18" t="s">
        <v>504</v>
      </c>
      <c r="F434" s="19">
        <v>44957</v>
      </c>
      <c r="G434" s="23">
        <v>5659</v>
      </c>
      <c r="H434" s="50" t="s">
        <v>791</v>
      </c>
      <c r="I434" t="s">
        <v>789</v>
      </c>
      <c r="J434" s="33">
        <v>1</v>
      </c>
      <c r="K434" s="34" t="s">
        <v>481</v>
      </c>
    </row>
    <row r="435" spans="1:11" x14ac:dyDescent="0.35">
      <c r="A435" t="s">
        <v>789</v>
      </c>
      <c r="B435" t="s">
        <v>517</v>
      </c>
      <c r="C435" s="18" t="s">
        <v>485</v>
      </c>
      <c r="D435" s="18" t="s">
        <v>486</v>
      </c>
      <c r="E435" s="18" t="s">
        <v>505</v>
      </c>
      <c r="F435" s="19">
        <v>44957</v>
      </c>
      <c r="G435" s="23">
        <v>1070285</v>
      </c>
      <c r="H435" s="50" t="s">
        <v>791</v>
      </c>
      <c r="I435" t="s">
        <v>789</v>
      </c>
      <c r="J435" s="33">
        <v>1</v>
      </c>
      <c r="K435" s="34" t="s">
        <v>481</v>
      </c>
    </row>
    <row r="436" spans="1:11" x14ac:dyDescent="0.35">
      <c r="A436" t="s">
        <v>789</v>
      </c>
      <c r="B436" t="s">
        <v>517</v>
      </c>
      <c r="C436" t="s">
        <v>506</v>
      </c>
      <c r="D436" t="s">
        <v>507</v>
      </c>
      <c r="E436" t="s">
        <v>508</v>
      </c>
      <c r="F436" s="35">
        <v>44774</v>
      </c>
      <c r="G436" s="36">
        <v>1861370.28</v>
      </c>
      <c r="H436" s="50" t="s">
        <v>791</v>
      </c>
      <c r="I436" t="s">
        <v>789</v>
      </c>
      <c r="J436" s="33">
        <v>184</v>
      </c>
      <c r="K436" s="34" t="s">
        <v>479</v>
      </c>
    </row>
    <row r="437" spans="1:11" x14ac:dyDescent="0.35">
      <c r="A437" t="s">
        <v>789</v>
      </c>
      <c r="B437" t="s">
        <v>517</v>
      </c>
      <c r="C437" t="s">
        <v>506</v>
      </c>
      <c r="D437" t="s">
        <v>507</v>
      </c>
      <c r="E437" t="s">
        <v>509</v>
      </c>
      <c r="F437" s="35">
        <v>44774</v>
      </c>
      <c r="G437" s="36">
        <v>109520.93</v>
      </c>
      <c r="H437" s="50" t="s">
        <v>791</v>
      </c>
      <c r="I437" t="s">
        <v>789</v>
      </c>
      <c r="J437" s="33">
        <v>184</v>
      </c>
      <c r="K437" s="34" t="s">
        <v>479</v>
      </c>
    </row>
    <row r="438" spans="1:11" x14ac:dyDescent="0.35">
      <c r="A438" t="s">
        <v>789</v>
      </c>
      <c r="B438" t="s">
        <v>517</v>
      </c>
      <c r="C438" t="s">
        <v>506</v>
      </c>
      <c r="D438" t="s">
        <v>507</v>
      </c>
      <c r="E438" t="s">
        <v>510</v>
      </c>
      <c r="F438" s="35">
        <v>44774</v>
      </c>
      <c r="G438" s="36">
        <v>2090645.57</v>
      </c>
      <c r="H438" s="50" t="s">
        <v>791</v>
      </c>
      <c r="I438" t="s">
        <v>789</v>
      </c>
      <c r="J438" s="33">
        <v>184</v>
      </c>
      <c r="K438" s="34" t="s">
        <v>479</v>
      </c>
    </row>
    <row r="439" spans="1:11" x14ac:dyDescent="0.35">
      <c r="A439" t="s">
        <v>789</v>
      </c>
      <c r="B439" t="s">
        <v>517</v>
      </c>
      <c r="C439" t="s">
        <v>506</v>
      </c>
      <c r="D439" t="s">
        <v>507</v>
      </c>
      <c r="E439" t="s">
        <v>511</v>
      </c>
      <c r="F439" s="35">
        <v>44777</v>
      </c>
      <c r="G439" s="36">
        <v>2285167.9</v>
      </c>
      <c r="H439" s="50" t="s">
        <v>791</v>
      </c>
      <c r="I439" t="s">
        <v>789</v>
      </c>
      <c r="J439" s="33">
        <v>181</v>
      </c>
      <c r="K439" s="34" t="s">
        <v>479</v>
      </c>
    </row>
    <row r="440" spans="1:11" x14ac:dyDescent="0.35">
      <c r="A440" t="s">
        <v>789</v>
      </c>
      <c r="B440" t="s">
        <v>517</v>
      </c>
      <c r="C440" t="s">
        <v>506</v>
      </c>
      <c r="D440" t="s">
        <v>507</v>
      </c>
      <c r="E440" t="s">
        <v>512</v>
      </c>
      <c r="F440" s="35">
        <v>44777</v>
      </c>
      <c r="G440" s="36">
        <v>1801647.93</v>
      </c>
      <c r="H440" s="50" t="s">
        <v>791</v>
      </c>
      <c r="I440" t="s">
        <v>789</v>
      </c>
      <c r="J440" s="33">
        <v>181</v>
      </c>
      <c r="K440" s="34" t="s">
        <v>479</v>
      </c>
    </row>
    <row r="441" spans="1:11" x14ac:dyDescent="0.35">
      <c r="A441" t="s">
        <v>789</v>
      </c>
      <c r="B441" t="s">
        <v>517</v>
      </c>
      <c r="C441" t="s">
        <v>506</v>
      </c>
      <c r="D441" t="s">
        <v>507</v>
      </c>
      <c r="E441" t="s">
        <v>513</v>
      </c>
      <c r="F441" s="35">
        <v>44784</v>
      </c>
      <c r="G441" s="36">
        <v>1564305.19</v>
      </c>
      <c r="H441" s="50" t="s">
        <v>791</v>
      </c>
      <c r="I441" t="s">
        <v>789</v>
      </c>
      <c r="J441" s="33">
        <v>174</v>
      </c>
      <c r="K441" s="34" t="s">
        <v>482</v>
      </c>
    </row>
    <row r="442" spans="1:11" x14ac:dyDescent="0.35">
      <c r="A442" t="s">
        <v>789</v>
      </c>
      <c r="B442" t="s">
        <v>517</v>
      </c>
      <c r="C442" t="s">
        <v>506</v>
      </c>
      <c r="D442" t="s">
        <v>507</v>
      </c>
      <c r="E442" t="s">
        <v>514</v>
      </c>
      <c r="F442" s="35">
        <v>44784</v>
      </c>
      <c r="G442" s="36">
        <v>1958485.58</v>
      </c>
      <c r="H442" s="50" t="s">
        <v>791</v>
      </c>
      <c r="I442" t="s">
        <v>789</v>
      </c>
      <c r="J442" s="33">
        <v>174</v>
      </c>
      <c r="K442" s="34" t="s">
        <v>482</v>
      </c>
    </row>
    <row r="443" spans="1:11" x14ac:dyDescent="0.35">
      <c r="A443" t="s">
        <v>789</v>
      </c>
      <c r="B443" t="s">
        <v>517</v>
      </c>
      <c r="C443" t="s">
        <v>506</v>
      </c>
      <c r="D443" t="s">
        <v>507</v>
      </c>
      <c r="E443" t="s">
        <v>515</v>
      </c>
      <c r="F443" s="35">
        <v>44784</v>
      </c>
      <c r="G443" s="36">
        <v>309092.68</v>
      </c>
      <c r="H443" s="50" t="s">
        <v>791</v>
      </c>
      <c r="I443" t="s">
        <v>789</v>
      </c>
      <c r="J443" s="33">
        <v>174</v>
      </c>
      <c r="K443" s="34" t="s">
        <v>482</v>
      </c>
    </row>
    <row r="444" spans="1:11" x14ac:dyDescent="0.35">
      <c r="A444" t="s">
        <v>789</v>
      </c>
      <c r="B444" t="s">
        <v>517</v>
      </c>
      <c r="C444" t="s">
        <v>506</v>
      </c>
      <c r="D444" t="s">
        <v>507</v>
      </c>
      <c r="E444" s="18" t="s">
        <v>516</v>
      </c>
      <c r="F444" s="19">
        <v>44919</v>
      </c>
      <c r="G444" s="21">
        <v>3674128.8</v>
      </c>
      <c r="H444" s="50" t="s">
        <v>791</v>
      </c>
      <c r="I444" t="s">
        <v>789</v>
      </c>
      <c r="J444" s="33">
        <v>39</v>
      </c>
      <c r="K444" s="34" t="s">
        <v>481</v>
      </c>
    </row>
    <row r="445" spans="1:11" x14ac:dyDescent="0.35">
      <c r="A445" t="s">
        <v>790</v>
      </c>
      <c r="B445" t="s">
        <v>784</v>
      </c>
      <c r="C445" s="37" t="s">
        <v>518</v>
      </c>
      <c r="D445" s="37" t="s">
        <v>507</v>
      </c>
      <c r="E445" s="37" t="s">
        <v>519</v>
      </c>
      <c r="F445" s="38">
        <v>44631</v>
      </c>
      <c r="G445" s="39">
        <v>3151699.2</v>
      </c>
      <c r="H445" s="50" t="s">
        <v>791</v>
      </c>
      <c r="I445" t="s">
        <v>790</v>
      </c>
      <c r="J445">
        <v>327</v>
      </c>
      <c r="K445" t="s">
        <v>782</v>
      </c>
    </row>
    <row r="446" spans="1:11" x14ac:dyDescent="0.35">
      <c r="A446" t="s">
        <v>790</v>
      </c>
      <c r="B446" t="s">
        <v>784</v>
      </c>
      <c r="C446" s="37" t="s">
        <v>520</v>
      </c>
      <c r="D446" s="37" t="s">
        <v>507</v>
      </c>
      <c r="E446" s="37" t="s">
        <v>521</v>
      </c>
      <c r="F446" s="38">
        <v>44631</v>
      </c>
      <c r="G446" s="39">
        <v>3151699.2</v>
      </c>
      <c r="H446" s="50" t="s">
        <v>791</v>
      </c>
      <c r="I446" t="s">
        <v>790</v>
      </c>
      <c r="J446">
        <v>327</v>
      </c>
      <c r="K446" t="s">
        <v>782</v>
      </c>
    </row>
    <row r="447" spans="1:11" x14ac:dyDescent="0.35">
      <c r="A447" t="s">
        <v>790</v>
      </c>
      <c r="B447" t="s">
        <v>784</v>
      </c>
      <c r="C447" s="37" t="s">
        <v>522</v>
      </c>
      <c r="D447" s="37" t="s">
        <v>507</v>
      </c>
      <c r="E447" s="37" t="s">
        <v>523</v>
      </c>
      <c r="F447" s="38">
        <v>44852</v>
      </c>
      <c r="G447" s="39">
        <v>4813716.5999999996</v>
      </c>
      <c r="H447" s="50" t="s">
        <v>791</v>
      </c>
      <c r="I447" t="s">
        <v>790</v>
      </c>
      <c r="J447">
        <v>106</v>
      </c>
      <c r="K447" t="s">
        <v>783</v>
      </c>
    </row>
    <row r="448" spans="1:11" x14ac:dyDescent="0.35">
      <c r="A448" t="s">
        <v>790</v>
      </c>
      <c r="B448" t="s">
        <v>784</v>
      </c>
      <c r="C448" s="40" t="s">
        <v>524</v>
      </c>
      <c r="D448" s="37" t="s">
        <v>507</v>
      </c>
      <c r="E448" s="40" t="s">
        <v>525</v>
      </c>
      <c r="F448" s="41">
        <v>44852</v>
      </c>
      <c r="G448" s="42">
        <v>3656605.77</v>
      </c>
      <c r="H448" s="50" t="s">
        <v>791</v>
      </c>
      <c r="I448" t="s">
        <v>790</v>
      </c>
      <c r="J448">
        <v>106</v>
      </c>
      <c r="K448" t="s">
        <v>783</v>
      </c>
    </row>
    <row r="449" spans="1:11" x14ac:dyDescent="0.35">
      <c r="A449" t="s">
        <v>790</v>
      </c>
      <c r="B449" t="s">
        <v>784</v>
      </c>
      <c r="C449" s="37" t="s">
        <v>526</v>
      </c>
      <c r="D449" s="37" t="s">
        <v>507</v>
      </c>
      <c r="E449" s="37" t="s">
        <v>527</v>
      </c>
      <c r="F449" s="38">
        <v>44853</v>
      </c>
      <c r="G449" s="39">
        <v>5389146</v>
      </c>
      <c r="H449" s="50" t="s">
        <v>791</v>
      </c>
      <c r="I449" t="s">
        <v>790</v>
      </c>
      <c r="J449">
        <v>105</v>
      </c>
      <c r="K449" t="s">
        <v>783</v>
      </c>
    </row>
    <row r="450" spans="1:11" x14ac:dyDescent="0.35">
      <c r="A450" t="s">
        <v>790</v>
      </c>
      <c r="B450" t="s">
        <v>784</v>
      </c>
      <c r="C450" s="37" t="s">
        <v>528</v>
      </c>
      <c r="D450" s="37" t="s">
        <v>507</v>
      </c>
      <c r="E450" s="37" t="s">
        <v>529</v>
      </c>
      <c r="F450" s="38">
        <v>44855</v>
      </c>
      <c r="G450" s="43">
        <v>4319437</v>
      </c>
      <c r="H450" s="50" t="s">
        <v>791</v>
      </c>
      <c r="I450" t="s">
        <v>790</v>
      </c>
      <c r="J450">
        <v>103</v>
      </c>
      <c r="K450" t="s">
        <v>783</v>
      </c>
    </row>
    <row r="451" spans="1:11" x14ac:dyDescent="0.35">
      <c r="A451" t="s">
        <v>790</v>
      </c>
      <c r="B451" t="s">
        <v>784</v>
      </c>
      <c r="C451" s="37" t="s">
        <v>530</v>
      </c>
      <c r="D451" s="37" t="s">
        <v>507</v>
      </c>
      <c r="E451" s="37" t="s">
        <v>531</v>
      </c>
      <c r="F451" s="38">
        <v>44855</v>
      </c>
      <c r="G451" s="39">
        <v>3919501.5</v>
      </c>
      <c r="H451" s="50" t="s">
        <v>791</v>
      </c>
      <c r="I451" t="s">
        <v>790</v>
      </c>
      <c r="J451">
        <v>103</v>
      </c>
      <c r="K451" t="s">
        <v>783</v>
      </c>
    </row>
    <row r="452" spans="1:11" x14ac:dyDescent="0.35">
      <c r="A452" t="s">
        <v>790</v>
      </c>
      <c r="B452" t="s">
        <v>784</v>
      </c>
      <c r="C452" s="37" t="s">
        <v>532</v>
      </c>
      <c r="D452" s="37" t="s">
        <v>507</v>
      </c>
      <c r="E452" s="37" t="s">
        <v>533</v>
      </c>
      <c r="F452" s="38">
        <v>44855</v>
      </c>
      <c r="G452" s="39">
        <v>3347718.3</v>
      </c>
      <c r="H452" s="50" t="s">
        <v>791</v>
      </c>
      <c r="I452" t="s">
        <v>790</v>
      </c>
      <c r="J452">
        <v>103</v>
      </c>
      <c r="K452" t="s">
        <v>783</v>
      </c>
    </row>
    <row r="453" spans="1:11" x14ac:dyDescent="0.35">
      <c r="A453" t="s">
        <v>790</v>
      </c>
      <c r="B453" t="s">
        <v>784</v>
      </c>
      <c r="C453" s="37" t="s">
        <v>534</v>
      </c>
      <c r="D453" s="37" t="s">
        <v>507</v>
      </c>
      <c r="E453" s="37" t="s">
        <v>535</v>
      </c>
      <c r="F453" s="41">
        <v>44855</v>
      </c>
      <c r="G453" s="39">
        <v>3101241.6</v>
      </c>
      <c r="H453" s="50" t="s">
        <v>791</v>
      </c>
      <c r="I453" t="s">
        <v>790</v>
      </c>
      <c r="J453">
        <v>103</v>
      </c>
      <c r="K453" t="s">
        <v>783</v>
      </c>
    </row>
    <row r="454" spans="1:11" x14ac:dyDescent="0.35">
      <c r="A454" t="s">
        <v>790</v>
      </c>
      <c r="B454" t="s">
        <v>784</v>
      </c>
      <c r="C454" s="37" t="s">
        <v>536</v>
      </c>
      <c r="D454" s="37" t="s">
        <v>507</v>
      </c>
      <c r="E454" s="37" t="s">
        <v>537</v>
      </c>
      <c r="F454" s="38">
        <v>44856</v>
      </c>
      <c r="G454" s="39">
        <v>3302607.92</v>
      </c>
      <c r="H454" s="50" t="s">
        <v>791</v>
      </c>
      <c r="I454" t="s">
        <v>790</v>
      </c>
      <c r="J454">
        <v>102</v>
      </c>
      <c r="K454" t="s">
        <v>783</v>
      </c>
    </row>
    <row r="455" spans="1:11" x14ac:dyDescent="0.35">
      <c r="A455" t="s">
        <v>790</v>
      </c>
      <c r="B455" t="s">
        <v>784</v>
      </c>
      <c r="C455" s="40" t="s">
        <v>538</v>
      </c>
      <c r="D455" s="37" t="s">
        <v>507</v>
      </c>
      <c r="E455" s="40" t="s">
        <v>539</v>
      </c>
      <c r="F455" s="41">
        <v>44856</v>
      </c>
      <c r="G455" s="42">
        <v>3516513.08</v>
      </c>
      <c r="H455" s="50" t="s">
        <v>791</v>
      </c>
      <c r="I455" t="s">
        <v>790</v>
      </c>
      <c r="J455">
        <v>102</v>
      </c>
      <c r="K455" t="s">
        <v>783</v>
      </c>
    </row>
    <row r="456" spans="1:11" x14ac:dyDescent="0.35">
      <c r="A456" t="s">
        <v>790</v>
      </c>
      <c r="B456" t="s">
        <v>784</v>
      </c>
      <c r="C456" s="40" t="s">
        <v>540</v>
      </c>
      <c r="D456" s="37" t="s">
        <v>507</v>
      </c>
      <c r="E456" s="40" t="s">
        <v>541</v>
      </c>
      <c r="F456" s="41">
        <v>44856</v>
      </c>
      <c r="G456" s="42">
        <v>2503865.7599999998</v>
      </c>
      <c r="H456" s="50" t="s">
        <v>791</v>
      </c>
      <c r="I456" t="s">
        <v>790</v>
      </c>
      <c r="J456">
        <v>102</v>
      </c>
      <c r="K456" t="s">
        <v>783</v>
      </c>
    </row>
    <row r="457" spans="1:11" x14ac:dyDescent="0.35">
      <c r="A457" t="s">
        <v>790</v>
      </c>
      <c r="B457" t="s">
        <v>784</v>
      </c>
      <c r="C457" s="40" t="s">
        <v>540</v>
      </c>
      <c r="D457" s="37" t="s">
        <v>507</v>
      </c>
      <c r="E457" s="40" t="s">
        <v>542</v>
      </c>
      <c r="F457" s="41">
        <v>44856</v>
      </c>
      <c r="G457" s="42">
        <v>795293.15</v>
      </c>
      <c r="H457" s="50" t="s">
        <v>791</v>
      </c>
      <c r="I457" t="s">
        <v>790</v>
      </c>
      <c r="J457">
        <v>102</v>
      </c>
      <c r="K457" t="s">
        <v>783</v>
      </c>
    </row>
    <row r="458" spans="1:11" x14ac:dyDescent="0.35">
      <c r="A458" t="s">
        <v>790</v>
      </c>
      <c r="B458" t="s">
        <v>784</v>
      </c>
      <c r="C458" s="40" t="s">
        <v>543</v>
      </c>
      <c r="D458" s="37" t="s">
        <v>507</v>
      </c>
      <c r="E458" s="40" t="s">
        <v>544</v>
      </c>
      <c r="F458" s="41">
        <v>44856</v>
      </c>
      <c r="G458" s="42">
        <v>2751632.7</v>
      </c>
      <c r="H458" s="50" t="s">
        <v>791</v>
      </c>
      <c r="I458" t="s">
        <v>790</v>
      </c>
      <c r="J458">
        <v>102</v>
      </c>
      <c r="K458" t="s">
        <v>783</v>
      </c>
    </row>
    <row r="459" spans="1:11" x14ac:dyDescent="0.35">
      <c r="A459" t="s">
        <v>790</v>
      </c>
      <c r="B459" t="s">
        <v>784</v>
      </c>
      <c r="C459" s="37" t="s">
        <v>545</v>
      </c>
      <c r="D459" s="37" t="s">
        <v>507</v>
      </c>
      <c r="E459" s="37" t="s">
        <v>546</v>
      </c>
      <c r="F459" s="38">
        <v>44857</v>
      </c>
      <c r="G459" s="39">
        <v>3742031.7</v>
      </c>
      <c r="H459" s="50" t="s">
        <v>791</v>
      </c>
      <c r="I459" t="s">
        <v>790</v>
      </c>
      <c r="J459">
        <v>101</v>
      </c>
      <c r="K459" t="s">
        <v>783</v>
      </c>
    </row>
    <row r="460" spans="1:11" x14ac:dyDescent="0.35">
      <c r="A460" t="s">
        <v>790</v>
      </c>
      <c r="B460" t="s">
        <v>784</v>
      </c>
      <c r="C460" s="40" t="s">
        <v>543</v>
      </c>
      <c r="D460" s="37" t="s">
        <v>507</v>
      </c>
      <c r="E460" s="40" t="s">
        <v>547</v>
      </c>
      <c r="F460" s="41">
        <v>44857</v>
      </c>
      <c r="G460" s="42">
        <v>2639269.34</v>
      </c>
      <c r="H460" s="50" t="s">
        <v>791</v>
      </c>
      <c r="I460" t="s">
        <v>790</v>
      </c>
      <c r="J460">
        <v>101</v>
      </c>
      <c r="K460" t="s">
        <v>783</v>
      </c>
    </row>
    <row r="461" spans="1:11" x14ac:dyDescent="0.35">
      <c r="A461" t="s">
        <v>790</v>
      </c>
      <c r="B461" t="s">
        <v>784</v>
      </c>
      <c r="C461" s="40" t="s">
        <v>548</v>
      </c>
      <c r="D461" s="37" t="s">
        <v>507</v>
      </c>
      <c r="E461" s="40" t="s">
        <v>549</v>
      </c>
      <c r="F461" s="41">
        <v>44863</v>
      </c>
      <c r="G461" s="42">
        <v>1592477.04</v>
      </c>
      <c r="H461" s="50" t="s">
        <v>791</v>
      </c>
      <c r="I461" t="s">
        <v>790</v>
      </c>
      <c r="J461">
        <v>95</v>
      </c>
      <c r="K461" t="s">
        <v>783</v>
      </c>
    </row>
    <row r="462" spans="1:11" x14ac:dyDescent="0.35">
      <c r="A462" t="s">
        <v>790</v>
      </c>
      <c r="B462" t="s">
        <v>784</v>
      </c>
      <c r="C462" s="37" t="s">
        <v>536</v>
      </c>
      <c r="D462" s="37" t="s">
        <v>507</v>
      </c>
      <c r="E462" s="37" t="s">
        <v>550</v>
      </c>
      <c r="F462" s="38">
        <v>44865</v>
      </c>
      <c r="G462" s="39">
        <v>76818.27</v>
      </c>
      <c r="H462" s="50" t="s">
        <v>791</v>
      </c>
      <c r="I462" t="s">
        <v>790</v>
      </c>
      <c r="J462">
        <v>93</v>
      </c>
      <c r="K462" t="s">
        <v>783</v>
      </c>
    </row>
    <row r="463" spans="1:11" x14ac:dyDescent="0.35">
      <c r="A463" t="s">
        <v>790</v>
      </c>
      <c r="B463" t="s">
        <v>784</v>
      </c>
      <c r="C463" s="40" t="s">
        <v>551</v>
      </c>
      <c r="D463" s="37" t="s">
        <v>507</v>
      </c>
      <c r="E463" s="40" t="s">
        <v>552</v>
      </c>
      <c r="F463" s="41">
        <v>44866</v>
      </c>
      <c r="G463" s="42">
        <v>3758184</v>
      </c>
      <c r="H463" s="50" t="s">
        <v>791</v>
      </c>
      <c r="I463" t="s">
        <v>790</v>
      </c>
      <c r="J463">
        <v>92</v>
      </c>
      <c r="K463" t="s">
        <v>783</v>
      </c>
    </row>
    <row r="464" spans="1:11" x14ac:dyDescent="0.35">
      <c r="A464" t="s">
        <v>790</v>
      </c>
      <c r="B464" t="s">
        <v>784</v>
      </c>
      <c r="C464" s="40" t="s">
        <v>553</v>
      </c>
      <c r="D464" s="37" t="s">
        <v>507</v>
      </c>
      <c r="E464" s="40" t="s">
        <v>554</v>
      </c>
      <c r="F464" s="41">
        <v>44866</v>
      </c>
      <c r="G464" s="42">
        <v>3167828.53</v>
      </c>
      <c r="H464" s="50" t="s">
        <v>791</v>
      </c>
      <c r="I464" t="s">
        <v>790</v>
      </c>
      <c r="J464">
        <v>92</v>
      </c>
      <c r="K464" t="s">
        <v>783</v>
      </c>
    </row>
    <row r="465" spans="1:11" x14ac:dyDescent="0.35">
      <c r="A465" t="s">
        <v>790</v>
      </c>
      <c r="B465" t="s">
        <v>784</v>
      </c>
      <c r="C465" s="37" t="s">
        <v>555</v>
      </c>
      <c r="D465" s="37" t="s">
        <v>507</v>
      </c>
      <c r="E465" s="40" t="s">
        <v>556</v>
      </c>
      <c r="F465" s="41">
        <v>44867</v>
      </c>
      <c r="G465" s="42">
        <v>2977695</v>
      </c>
      <c r="H465" s="50" t="s">
        <v>791</v>
      </c>
      <c r="I465" t="s">
        <v>790</v>
      </c>
      <c r="J465">
        <v>91</v>
      </c>
      <c r="K465" t="s">
        <v>783</v>
      </c>
    </row>
    <row r="466" spans="1:11" x14ac:dyDescent="0.35">
      <c r="A466" t="s">
        <v>790</v>
      </c>
      <c r="B466" t="s">
        <v>784</v>
      </c>
      <c r="C466" s="40" t="s">
        <v>557</v>
      </c>
      <c r="D466" s="37" t="s">
        <v>507</v>
      </c>
      <c r="E466" s="40" t="s">
        <v>558</v>
      </c>
      <c r="F466" s="49">
        <v>44867</v>
      </c>
      <c r="G466" s="42">
        <v>139781.1</v>
      </c>
      <c r="H466" s="50" t="s">
        <v>791</v>
      </c>
      <c r="I466" t="s">
        <v>790</v>
      </c>
      <c r="J466">
        <v>91</v>
      </c>
      <c r="K466" t="s">
        <v>783</v>
      </c>
    </row>
    <row r="467" spans="1:11" x14ac:dyDescent="0.35">
      <c r="A467" t="s">
        <v>790</v>
      </c>
      <c r="B467" t="s">
        <v>784</v>
      </c>
      <c r="C467" s="37" t="s">
        <v>559</v>
      </c>
      <c r="D467" s="37" t="s">
        <v>507</v>
      </c>
      <c r="E467" s="40" t="s">
        <v>560</v>
      </c>
      <c r="F467" s="41">
        <v>44868</v>
      </c>
      <c r="G467" s="42">
        <v>2959200</v>
      </c>
      <c r="H467" s="50" t="s">
        <v>791</v>
      </c>
      <c r="I467" t="s">
        <v>790</v>
      </c>
      <c r="J467">
        <v>90</v>
      </c>
      <c r="K467" t="s">
        <v>783</v>
      </c>
    </row>
    <row r="468" spans="1:11" x14ac:dyDescent="0.35">
      <c r="A468" t="s">
        <v>790</v>
      </c>
      <c r="B468" t="s">
        <v>784</v>
      </c>
      <c r="C468" s="40" t="s">
        <v>538</v>
      </c>
      <c r="D468" s="37" t="s">
        <v>507</v>
      </c>
      <c r="E468" s="40" t="s">
        <v>561</v>
      </c>
      <c r="F468" s="41">
        <v>44868</v>
      </c>
      <c r="G468" s="42">
        <v>3477329.98</v>
      </c>
      <c r="H468" s="50" t="s">
        <v>791</v>
      </c>
      <c r="I468" t="s">
        <v>790</v>
      </c>
      <c r="J468">
        <v>90</v>
      </c>
      <c r="K468" t="s">
        <v>783</v>
      </c>
    </row>
    <row r="469" spans="1:11" x14ac:dyDescent="0.35">
      <c r="A469" t="s">
        <v>790</v>
      </c>
      <c r="B469" t="s">
        <v>784</v>
      </c>
      <c r="C469" s="40" t="s">
        <v>538</v>
      </c>
      <c r="D469" s="37" t="s">
        <v>507</v>
      </c>
      <c r="E469" s="40" t="s">
        <v>562</v>
      </c>
      <c r="F469" s="41">
        <v>44868</v>
      </c>
      <c r="G469" s="42">
        <v>3484629.3</v>
      </c>
      <c r="H469" s="50" t="s">
        <v>791</v>
      </c>
      <c r="I469" t="s">
        <v>790</v>
      </c>
      <c r="J469">
        <v>90</v>
      </c>
      <c r="K469" t="s">
        <v>783</v>
      </c>
    </row>
    <row r="470" spans="1:11" x14ac:dyDescent="0.35">
      <c r="A470" t="s">
        <v>790</v>
      </c>
      <c r="B470" t="s">
        <v>784</v>
      </c>
      <c r="C470" s="40" t="s">
        <v>548</v>
      </c>
      <c r="D470" s="37" t="s">
        <v>507</v>
      </c>
      <c r="E470" s="40" t="s">
        <v>563</v>
      </c>
      <c r="F470" s="41">
        <v>44869</v>
      </c>
      <c r="G470" s="42">
        <v>4087594.8</v>
      </c>
      <c r="H470" s="50" t="s">
        <v>791</v>
      </c>
      <c r="I470" t="s">
        <v>790</v>
      </c>
      <c r="J470">
        <v>89</v>
      </c>
      <c r="K470" t="s">
        <v>783</v>
      </c>
    </row>
    <row r="471" spans="1:11" x14ac:dyDescent="0.35">
      <c r="A471" t="s">
        <v>790</v>
      </c>
      <c r="B471" t="s">
        <v>784</v>
      </c>
      <c r="C471" s="40" t="s">
        <v>564</v>
      </c>
      <c r="D471" s="37" t="s">
        <v>507</v>
      </c>
      <c r="E471" s="40" t="s">
        <v>565</v>
      </c>
      <c r="F471" s="41">
        <v>44870</v>
      </c>
      <c r="G471" s="42">
        <v>3258014.99</v>
      </c>
      <c r="H471" s="50" t="s">
        <v>791</v>
      </c>
      <c r="I471" t="s">
        <v>790</v>
      </c>
      <c r="J471">
        <v>88</v>
      </c>
      <c r="K471" t="s">
        <v>783</v>
      </c>
    </row>
    <row r="472" spans="1:11" x14ac:dyDescent="0.35">
      <c r="A472" t="s">
        <v>790</v>
      </c>
      <c r="B472" t="s">
        <v>784</v>
      </c>
      <c r="C472" s="40" t="s">
        <v>564</v>
      </c>
      <c r="D472" s="37" t="s">
        <v>507</v>
      </c>
      <c r="E472" s="40" t="s">
        <v>566</v>
      </c>
      <c r="F472" s="41">
        <v>44870</v>
      </c>
      <c r="G472" s="42">
        <v>3274685.4</v>
      </c>
      <c r="H472" s="50" t="s">
        <v>791</v>
      </c>
      <c r="I472" t="s">
        <v>790</v>
      </c>
      <c r="J472">
        <v>88</v>
      </c>
      <c r="K472" t="s">
        <v>783</v>
      </c>
    </row>
    <row r="473" spans="1:11" x14ac:dyDescent="0.35">
      <c r="A473" t="s">
        <v>790</v>
      </c>
      <c r="B473" t="s">
        <v>784</v>
      </c>
      <c r="C473" s="37" t="s">
        <v>567</v>
      </c>
      <c r="D473" s="37" t="s">
        <v>507</v>
      </c>
      <c r="E473" s="40" t="s">
        <v>568</v>
      </c>
      <c r="F473" s="41">
        <v>44871</v>
      </c>
      <c r="G473" s="42">
        <v>3429070.7</v>
      </c>
      <c r="H473" s="50" t="s">
        <v>791</v>
      </c>
      <c r="I473" t="s">
        <v>790</v>
      </c>
      <c r="J473">
        <v>87</v>
      </c>
      <c r="K473" t="s">
        <v>783</v>
      </c>
    </row>
    <row r="474" spans="1:11" x14ac:dyDescent="0.35">
      <c r="A474" t="s">
        <v>790</v>
      </c>
      <c r="B474" t="s">
        <v>784</v>
      </c>
      <c r="C474" s="37" t="s">
        <v>567</v>
      </c>
      <c r="D474" s="37" t="s">
        <v>507</v>
      </c>
      <c r="E474" s="40" t="s">
        <v>569</v>
      </c>
      <c r="F474" s="41">
        <v>44871</v>
      </c>
      <c r="G474" s="42">
        <v>3862681.85</v>
      </c>
      <c r="H474" s="50" t="s">
        <v>791</v>
      </c>
      <c r="I474" t="s">
        <v>790</v>
      </c>
      <c r="J474">
        <v>87</v>
      </c>
      <c r="K474" t="s">
        <v>783</v>
      </c>
    </row>
    <row r="475" spans="1:11" x14ac:dyDescent="0.35">
      <c r="A475" t="s">
        <v>790</v>
      </c>
      <c r="B475" t="s">
        <v>784</v>
      </c>
      <c r="C475" s="37" t="s">
        <v>570</v>
      </c>
      <c r="D475" s="37" t="s">
        <v>507</v>
      </c>
      <c r="E475" s="40" t="s">
        <v>571</v>
      </c>
      <c r="F475" s="41">
        <v>44873</v>
      </c>
      <c r="G475" s="42">
        <v>4104737.28</v>
      </c>
      <c r="H475" s="50" t="s">
        <v>791</v>
      </c>
      <c r="I475" t="s">
        <v>790</v>
      </c>
      <c r="J475">
        <v>85</v>
      </c>
      <c r="K475" t="s">
        <v>783</v>
      </c>
    </row>
    <row r="476" spans="1:11" x14ac:dyDescent="0.35">
      <c r="A476" t="s">
        <v>790</v>
      </c>
      <c r="B476" t="s">
        <v>784</v>
      </c>
      <c r="C476" s="37" t="s">
        <v>522</v>
      </c>
      <c r="D476" s="37" t="s">
        <v>507</v>
      </c>
      <c r="E476" s="40" t="s">
        <v>572</v>
      </c>
      <c r="F476" s="41">
        <v>44873</v>
      </c>
      <c r="G476" s="42">
        <v>4281334.17</v>
      </c>
      <c r="H476" s="50" t="s">
        <v>791</v>
      </c>
      <c r="I476" t="s">
        <v>790</v>
      </c>
      <c r="J476">
        <v>85</v>
      </c>
      <c r="K476" t="s">
        <v>783</v>
      </c>
    </row>
    <row r="477" spans="1:11" x14ac:dyDescent="0.35">
      <c r="A477" t="s">
        <v>790</v>
      </c>
      <c r="B477" t="s">
        <v>784</v>
      </c>
      <c r="C477" s="40" t="s">
        <v>573</v>
      </c>
      <c r="D477" s="37" t="s">
        <v>507</v>
      </c>
      <c r="E477" s="40" t="s">
        <v>574</v>
      </c>
      <c r="F477" s="41">
        <v>44873</v>
      </c>
      <c r="G477" s="42">
        <v>3683785.97</v>
      </c>
      <c r="H477" s="50" t="s">
        <v>791</v>
      </c>
      <c r="I477" t="s">
        <v>790</v>
      </c>
      <c r="J477">
        <v>85</v>
      </c>
      <c r="K477" t="s">
        <v>783</v>
      </c>
    </row>
    <row r="478" spans="1:11" x14ac:dyDescent="0.35">
      <c r="A478" t="s">
        <v>790</v>
      </c>
      <c r="B478" t="s">
        <v>784</v>
      </c>
      <c r="C478" s="40" t="s">
        <v>575</v>
      </c>
      <c r="D478" s="37" t="s">
        <v>507</v>
      </c>
      <c r="E478" s="40" t="s">
        <v>576</v>
      </c>
      <c r="F478" s="41">
        <v>44874</v>
      </c>
      <c r="G478" s="42">
        <v>2815406.53</v>
      </c>
      <c r="H478" s="50" t="s">
        <v>791</v>
      </c>
      <c r="I478" t="s">
        <v>790</v>
      </c>
      <c r="J478">
        <v>84</v>
      </c>
      <c r="K478" t="s">
        <v>783</v>
      </c>
    </row>
    <row r="479" spans="1:11" x14ac:dyDescent="0.35">
      <c r="A479" t="s">
        <v>790</v>
      </c>
      <c r="B479" t="s">
        <v>784</v>
      </c>
      <c r="C479" s="40" t="s">
        <v>577</v>
      </c>
      <c r="D479" s="37" t="s">
        <v>507</v>
      </c>
      <c r="E479" s="40" t="s">
        <v>578</v>
      </c>
      <c r="F479" s="41">
        <v>44874</v>
      </c>
      <c r="G479" s="42">
        <v>229245</v>
      </c>
      <c r="H479" s="50" t="s">
        <v>791</v>
      </c>
      <c r="I479" t="s">
        <v>790</v>
      </c>
      <c r="J479">
        <v>84</v>
      </c>
      <c r="K479" t="s">
        <v>783</v>
      </c>
    </row>
    <row r="480" spans="1:11" x14ac:dyDescent="0.35">
      <c r="A480" t="s">
        <v>790</v>
      </c>
      <c r="B480" t="s">
        <v>784</v>
      </c>
      <c r="C480" s="40" t="s">
        <v>579</v>
      </c>
      <c r="D480" s="37" t="s">
        <v>507</v>
      </c>
      <c r="E480" s="40" t="s">
        <v>580</v>
      </c>
      <c r="F480" s="41">
        <v>44875</v>
      </c>
      <c r="G480" s="42">
        <v>3938636.67</v>
      </c>
      <c r="H480" s="50" t="s">
        <v>791</v>
      </c>
      <c r="I480" t="s">
        <v>790</v>
      </c>
      <c r="J480">
        <v>83</v>
      </c>
      <c r="K480" t="s">
        <v>783</v>
      </c>
    </row>
    <row r="481" spans="1:11" x14ac:dyDescent="0.35">
      <c r="A481" t="s">
        <v>790</v>
      </c>
      <c r="B481" t="s">
        <v>784</v>
      </c>
      <c r="C481" s="37" t="s">
        <v>581</v>
      </c>
      <c r="D481" s="37" t="s">
        <v>507</v>
      </c>
      <c r="E481" s="40" t="s">
        <v>582</v>
      </c>
      <c r="F481" s="41">
        <v>44875</v>
      </c>
      <c r="G481" s="42">
        <v>3926384.46</v>
      </c>
      <c r="H481" s="50" t="s">
        <v>791</v>
      </c>
      <c r="I481" t="s">
        <v>790</v>
      </c>
      <c r="J481">
        <v>83</v>
      </c>
      <c r="K481" t="s">
        <v>783</v>
      </c>
    </row>
    <row r="482" spans="1:11" x14ac:dyDescent="0.35">
      <c r="A482" t="s">
        <v>790</v>
      </c>
      <c r="B482" t="s">
        <v>784</v>
      </c>
      <c r="C482" s="40" t="s">
        <v>538</v>
      </c>
      <c r="D482" s="37" t="s">
        <v>507</v>
      </c>
      <c r="E482" s="40" t="s">
        <v>583</v>
      </c>
      <c r="F482" s="41">
        <v>44875</v>
      </c>
      <c r="G482" s="42">
        <v>3647516.67</v>
      </c>
      <c r="H482" s="50" t="s">
        <v>791</v>
      </c>
      <c r="I482" t="s">
        <v>790</v>
      </c>
      <c r="J482">
        <v>83</v>
      </c>
      <c r="K482" t="s">
        <v>783</v>
      </c>
    </row>
    <row r="483" spans="1:11" x14ac:dyDescent="0.35">
      <c r="A483" t="s">
        <v>790</v>
      </c>
      <c r="B483" t="s">
        <v>784</v>
      </c>
      <c r="C483" s="40" t="s">
        <v>584</v>
      </c>
      <c r="D483" s="37" t="s">
        <v>507</v>
      </c>
      <c r="E483" s="40" t="s">
        <v>585</v>
      </c>
      <c r="F483" s="41">
        <v>44875</v>
      </c>
      <c r="G483" s="42">
        <v>3349934.4</v>
      </c>
      <c r="H483" s="50" t="s">
        <v>791</v>
      </c>
      <c r="I483" t="s">
        <v>790</v>
      </c>
      <c r="J483">
        <v>83</v>
      </c>
      <c r="K483" t="s">
        <v>783</v>
      </c>
    </row>
    <row r="484" spans="1:11" x14ac:dyDescent="0.35">
      <c r="A484" t="s">
        <v>790</v>
      </c>
      <c r="B484" t="s">
        <v>784</v>
      </c>
      <c r="C484" s="40" t="s">
        <v>524</v>
      </c>
      <c r="D484" s="37" t="s">
        <v>507</v>
      </c>
      <c r="E484" s="40" t="s">
        <v>586</v>
      </c>
      <c r="F484" s="41">
        <v>44875</v>
      </c>
      <c r="G484" s="42">
        <v>3212687.94</v>
      </c>
      <c r="H484" s="50" t="s">
        <v>791</v>
      </c>
      <c r="I484" t="s">
        <v>790</v>
      </c>
      <c r="J484">
        <v>83</v>
      </c>
      <c r="K484" t="s">
        <v>783</v>
      </c>
    </row>
    <row r="485" spans="1:11" x14ac:dyDescent="0.35">
      <c r="A485" t="s">
        <v>790</v>
      </c>
      <c r="B485" t="s">
        <v>784</v>
      </c>
      <c r="C485" s="40" t="s">
        <v>577</v>
      </c>
      <c r="D485" s="37" t="s">
        <v>507</v>
      </c>
      <c r="E485" s="40" t="s">
        <v>587</v>
      </c>
      <c r="F485" s="41">
        <v>44876</v>
      </c>
      <c r="G485" s="42">
        <v>3749760</v>
      </c>
      <c r="H485" s="50" t="s">
        <v>791</v>
      </c>
      <c r="I485" t="s">
        <v>790</v>
      </c>
      <c r="J485">
        <v>82</v>
      </c>
      <c r="K485" t="s">
        <v>783</v>
      </c>
    </row>
    <row r="486" spans="1:11" x14ac:dyDescent="0.35">
      <c r="A486" t="s">
        <v>790</v>
      </c>
      <c r="B486" t="s">
        <v>784</v>
      </c>
      <c r="C486" s="40" t="s">
        <v>588</v>
      </c>
      <c r="D486" s="37" t="s">
        <v>507</v>
      </c>
      <c r="E486" s="40" t="s">
        <v>589</v>
      </c>
      <c r="F486" s="41">
        <v>44876</v>
      </c>
      <c r="G486" s="42">
        <v>3623525.38</v>
      </c>
      <c r="H486" s="50" t="s">
        <v>791</v>
      </c>
      <c r="I486" t="s">
        <v>790</v>
      </c>
      <c r="J486">
        <v>82</v>
      </c>
      <c r="K486" t="s">
        <v>783</v>
      </c>
    </row>
    <row r="487" spans="1:11" x14ac:dyDescent="0.35">
      <c r="A487" t="s">
        <v>790</v>
      </c>
      <c r="B487" t="s">
        <v>784</v>
      </c>
      <c r="C487" s="40" t="s">
        <v>553</v>
      </c>
      <c r="D487" s="37" t="s">
        <v>507</v>
      </c>
      <c r="E487" s="40" t="s">
        <v>590</v>
      </c>
      <c r="F487" s="41">
        <v>44876</v>
      </c>
      <c r="G487" s="42">
        <v>2548501.4</v>
      </c>
      <c r="H487" s="50" t="s">
        <v>791</v>
      </c>
      <c r="I487" t="s">
        <v>790</v>
      </c>
      <c r="J487">
        <v>82</v>
      </c>
      <c r="K487" t="s">
        <v>783</v>
      </c>
    </row>
    <row r="488" spans="1:11" x14ac:dyDescent="0.35">
      <c r="A488" t="s">
        <v>790</v>
      </c>
      <c r="B488" t="s">
        <v>784</v>
      </c>
      <c r="C488" s="37" t="s">
        <v>591</v>
      </c>
      <c r="D488" s="37" t="s">
        <v>507</v>
      </c>
      <c r="E488" s="40" t="s">
        <v>592</v>
      </c>
      <c r="F488" s="41">
        <v>44877</v>
      </c>
      <c r="G488" s="42">
        <v>94415</v>
      </c>
      <c r="H488" s="50" t="s">
        <v>791</v>
      </c>
      <c r="I488" t="s">
        <v>790</v>
      </c>
      <c r="J488">
        <v>81</v>
      </c>
      <c r="K488" t="s">
        <v>783</v>
      </c>
    </row>
    <row r="489" spans="1:11" x14ac:dyDescent="0.35">
      <c r="A489" t="s">
        <v>790</v>
      </c>
      <c r="B489" t="s">
        <v>784</v>
      </c>
      <c r="C489" s="40" t="s">
        <v>551</v>
      </c>
      <c r="D489" s="37" t="s">
        <v>507</v>
      </c>
      <c r="E489" s="40" t="s">
        <v>593</v>
      </c>
      <c r="F489" s="41">
        <v>44877</v>
      </c>
      <c r="G489" s="42">
        <v>3753612</v>
      </c>
      <c r="H489" s="50" t="s">
        <v>791</v>
      </c>
      <c r="I489" t="s">
        <v>790</v>
      </c>
      <c r="J489">
        <v>81</v>
      </c>
      <c r="K489" t="s">
        <v>783</v>
      </c>
    </row>
    <row r="490" spans="1:11" x14ac:dyDescent="0.35">
      <c r="A490" t="s">
        <v>790</v>
      </c>
      <c r="B490" t="s">
        <v>784</v>
      </c>
      <c r="C490" s="40" t="s">
        <v>573</v>
      </c>
      <c r="D490" s="37" t="s">
        <v>507</v>
      </c>
      <c r="E490" s="40" t="s">
        <v>594</v>
      </c>
      <c r="F490" s="41">
        <v>44877</v>
      </c>
      <c r="G490" s="42">
        <v>3850867.79</v>
      </c>
      <c r="H490" s="50" t="s">
        <v>791</v>
      </c>
      <c r="I490" t="s">
        <v>790</v>
      </c>
      <c r="J490">
        <v>81</v>
      </c>
      <c r="K490" t="s">
        <v>783</v>
      </c>
    </row>
    <row r="491" spans="1:11" x14ac:dyDescent="0.35">
      <c r="A491" t="s">
        <v>790</v>
      </c>
      <c r="B491" t="s">
        <v>784</v>
      </c>
      <c r="C491" s="40" t="s">
        <v>573</v>
      </c>
      <c r="D491" s="37" t="s">
        <v>507</v>
      </c>
      <c r="E491" s="40" t="s">
        <v>595</v>
      </c>
      <c r="F491" s="41">
        <v>44877</v>
      </c>
      <c r="G491" s="42">
        <v>4233732.8099999996</v>
      </c>
      <c r="H491" s="50" t="s">
        <v>791</v>
      </c>
      <c r="I491" t="s">
        <v>790</v>
      </c>
      <c r="J491">
        <v>81</v>
      </c>
      <c r="K491" t="s">
        <v>783</v>
      </c>
    </row>
    <row r="492" spans="1:11" x14ac:dyDescent="0.35">
      <c r="A492" t="s">
        <v>790</v>
      </c>
      <c r="B492" t="s">
        <v>784</v>
      </c>
      <c r="C492" s="40" t="s">
        <v>596</v>
      </c>
      <c r="D492" s="37" t="s">
        <v>507</v>
      </c>
      <c r="E492" s="40" t="s">
        <v>597</v>
      </c>
      <c r="F492" s="41">
        <v>44877</v>
      </c>
      <c r="G492" s="42">
        <v>4704022.13</v>
      </c>
      <c r="H492" s="50" t="s">
        <v>791</v>
      </c>
      <c r="I492" t="s">
        <v>790</v>
      </c>
      <c r="J492">
        <v>81</v>
      </c>
      <c r="K492" t="s">
        <v>783</v>
      </c>
    </row>
    <row r="493" spans="1:11" x14ac:dyDescent="0.35">
      <c r="A493" t="s">
        <v>790</v>
      </c>
      <c r="B493" t="s">
        <v>784</v>
      </c>
      <c r="C493" s="40" t="s">
        <v>598</v>
      </c>
      <c r="D493" s="37" t="s">
        <v>507</v>
      </c>
      <c r="E493" s="40" t="s">
        <v>599</v>
      </c>
      <c r="F493" s="41">
        <v>44877</v>
      </c>
      <c r="G493" s="42">
        <v>3854529.34</v>
      </c>
      <c r="H493" s="50" t="s">
        <v>791</v>
      </c>
      <c r="I493" t="s">
        <v>790</v>
      </c>
      <c r="J493">
        <v>81</v>
      </c>
      <c r="K493" t="s">
        <v>783</v>
      </c>
    </row>
    <row r="494" spans="1:11" x14ac:dyDescent="0.35">
      <c r="A494" t="s">
        <v>790</v>
      </c>
      <c r="B494" t="s">
        <v>784</v>
      </c>
      <c r="C494" s="37" t="s">
        <v>600</v>
      </c>
      <c r="D494" s="37" t="s">
        <v>507</v>
      </c>
      <c r="E494" s="40" t="s">
        <v>601</v>
      </c>
      <c r="F494" s="41">
        <v>44879</v>
      </c>
      <c r="G494" s="42">
        <v>4562756.76</v>
      </c>
      <c r="H494" s="50" t="s">
        <v>791</v>
      </c>
      <c r="I494" t="s">
        <v>790</v>
      </c>
      <c r="J494">
        <v>79</v>
      </c>
      <c r="K494" t="s">
        <v>783</v>
      </c>
    </row>
    <row r="495" spans="1:11" x14ac:dyDescent="0.35">
      <c r="A495" t="s">
        <v>790</v>
      </c>
      <c r="B495" t="s">
        <v>784</v>
      </c>
      <c r="C495" s="37" t="s">
        <v>555</v>
      </c>
      <c r="D495" s="37" t="s">
        <v>507</v>
      </c>
      <c r="E495" s="40" t="s">
        <v>602</v>
      </c>
      <c r="F495" s="41">
        <v>44880</v>
      </c>
      <c r="G495" s="42">
        <v>3012281.84</v>
      </c>
      <c r="H495" s="50" t="s">
        <v>791</v>
      </c>
      <c r="I495" t="s">
        <v>790</v>
      </c>
      <c r="J495">
        <v>78</v>
      </c>
      <c r="K495" t="s">
        <v>783</v>
      </c>
    </row>
    <row r="496" spans="1:11" x14ac:dyDescent="0.35">
      <c r="A496" t="s">
        <v>790</v>
      </c>
      <c r="B496" t="s">
        <v>784</v>
      </c>
      <c r="C496" s="37" t="s">
        <v>570</v>
      </c>
      <c r="D496" s="37" t="s">
        <v>507</v>
      </c>
      <c r="E496" s="40" t="s">
        <v>603</v>
      </c>
      <c r="F496" s="41">
        <v>44880</v>
      </c>
      <c r="G496" s="42">
        <v>3750984.8</v>
      </c>
      <c r="H496" s="50" t="s">
        <v>791</v>
      </c>
      <c r="I496" t="s">
        <v>790</v>
      </c>
      <c r="J496">
        <v>78</v>
      </c>
      <c r="K496" t="s">
        <v>783</v>
      </c>
    </row>
    <row r="497" spans="1:11" x14ac:dyDescent="0.35">
      <c r="A497" t="s">
        <v>790</v>
      </c>
      <c r="B497" t="s">
        <v>784</v>
      </c>
      <c r="C497" s="40" t="s">
        <v>573</v>
      </c>
      <c r="D497" s="37" t="s">
        <v>507</v>
      </c>
      <c r="E497" s="40" t="s">
        <v>604</v>
      </c>
      <c r="F497" s="41">
        <v>44881</v>
      </c>
      <c r="G497" s="42">
        <v>3913994.35</v>
      </c>
      <c r="H497" s="50" t="s">
        <v>791</v>
      </c>
      <c r="I497" t="s">
        <v>790</v>
      </c>
      <c r="J497">
        <v>77</v>
      </c>
      <c r="K497" t="s">
        <v>783</v>
      </c>
    </row>
    <row r="498" spans="1:11" x14ac:dyDescent="0.35">
      <c r="A498" t="s">
        <v>790</v>
      </c>
      <c r="B498" t="s">
        <v>784</v>
      </c>
      <c r="C498" s="40" t="s">
        <v>573</v>
      </c>
      <c r="D498" s="37" t="s">
        <v>507</v>
      </c>
      <c r="E498" s="40" t="s">
        <v>605</v>
      </c>
      <c r="F498" s="41">
        <v>44882</v>
      </c>
      <c r="G498" s="42">
        <v>3842280</v>
      </c>
      <c r="H498" s="50" t="s">
        <v>791</v>
      </c>
      <c r="I498" t="s">
        <v>790</v>
      </c>
      <c r="J498">
        <v>76</v>
      </c>
      <c r="K498" t="s">
        <v>783</v>
      </c>
    </row>
    <row r="499" spans="1:11" x14ac:dyDescent="0.35">
      <c r="A499" t="s">
        <v>790</v>
      </c>
      <c r="B499" t="s">
        <v>784</v>
      </c>
      <c r="C499" s="40" t="s">
        <v>606</v>
      </c>
      <c r="D499" s="37" t="s">
        <v>507</v>
      </c>
      <c r="E499" s="40" t="s">
        <v>607</v>
      </c>
      <c r="F499" s="41">
        <v>44883</v>
      </c>
      <c r="G499" s="42">
        <v>3437602.81</v>
      </c>
      <c r="H499" s="50" t="s">
        <v>791</v>
      </c>
      <c r="I499" t="s">
        <v>790</v>
      </c>
      <c r="J499">
        <v>75</v>
      </c>
      <c r="K499" t="s">
        <v>783</v>
      </c>
    </row>
    <row r="500" spans="1:11" x14ac:dyDescent="0.35">
      <c r="A500" t="s">
        <v>790</v>
      </c>
      <c r="B500" t="s">
        <v>784</v>
      </c>
      <c r="C500" s="40" t="s">
        <v>564</v>
      </c>
      <c r="D500" s="37" t="s">
        <v>507</v>
      </c>
      <c r="E500" s="40" t="s">
        <v>608</v>
      </c>
      <c r="F500" s="41">
        <v>44883</v>
      </c>
      <c r="G500" s="42">
        <v>3383744</v>
      </c>
      <c r="H500" s="50" t="s">
        <v>791</v>
      </c>
      <c r="I500" t="s">
        <v>790</v>
      </c>
      <c r="J500">
        <v>75</v>
      </c>
      <c r="K500" t="s">
        <v>783</v>
      </c>
    </row>
    <row r="501" spans="1:11" x14ac:dyDescent="0.35">
      <c r="A501" t="s">
        <v>790</v>
      </c>
      <c r="B501" t="s">
        <v>784</v>
      </c>
      <c r="C501" s="40" t="s">
        <v>609</v>
      </c>
      <c r="D501" s="37" t="s">
        <v>507</v>
      </c>
      <c r="E501" s="40" t="s">
        <v>610</v>
      </c>
      <c r="F501" s="41">
        <v>44883</v>
      </c>
      <c r="G501" s="42">
        <v>2618571.2000000002</v>
      </c>
      <c r="H501" s="50" t="s">
        <v>791</v>
      </c>
      <c r="I501" t="s">
        <v>790</v>
      </c>
      <c r="J501">
        <v>75</v>
      </c>
      <c r="K501" t="s">
        <v>783</v>
      </c>
    </row>
    <row r="502" spans="1:11" x14ac:dyDescent="0.35">
      <c r="A502" t="s">
        <v>790</v>
      </c>
      <c r="B502" t="s">
        <v>784</v>
      </c>
      <c r="C502" s="40" t="s">
        <v>577</v>
      </c>
      <c r="D502" s="37" t="s">
        <v>507</v>
      </c>
      <c r="E502" s="40" t="s">
        <v>611</v>
      </c>
      <c r="F502" s="41">
        <v>44883</v>
      </c>
      <c r="G502" s="42">
        <v>3911781.6</v>
      </c>
      <c r="H502" s="50" t="s">
        <v>791</v>
      </c>
      <c r="I502" t="s">
        <v>790</v>
      </c>
      <c r="J502">
        <v>75</v>
      </c>
      <c r="K502" t="s">
        <v>783</v>
      </c>
    </row>
    <row r="503" spans="1:11" x14ac:dyDescent="0.35">
      <c r="A503" t="s">
        <v>790</v>
      </c>
      <c r="B503" t="s">
        <v>784</v>
      </c>
      <c r="C503" s="37" t="s">
        <v>536</v>
      </c>
      <c r="D503" s="37" t="s">
        <v>507</v>
      </c>
      <c r="E503" s="40" t="s">
        <v>612</v>
      </c>
      <c r="F503" s="41">
        <v>44884</v>
      </c>
      <c r="G503" s="42">
        <v>3016454.28</v>
      </c>
      <c r="H503" s="50" t="s">
        <v>791</v>
      </c>
      <c r="I503" t="s">
        <v>790</v>
      </c>
      <c r="J503">
        <v>74</v>
      </c>
      <c r="K503" t="s">
        <v>783</v>
      </c>
    </row>
    <row r="504" spans="1:11" x14ac:dyDescent="0.35">
      <c r="A504" t="s">
        <v>790</v>
      </c>
      <c r="B504" t="s">
        <v>784</v>
      </c>
      <c r="C504" s="40" t="s">
        <v>613</v>
      </c>
      <c r="D504" s="37" t="s">
        <v>507</v>
      </c>
      <c r="E504" s="40" t="s">
        <v>614</v>
      </c>
      <c r="F504" s="41">
        <v>44884</v>
      </c>
      <c r="G504" s="42">
        <v>2513172.48</v>
      </c>
      <c r="H504" s="50" t="s">
        <v>791</v>
      </c>
      <c r="I504" t="s">
        <v>790</v>
      </c>
      <c r="J504">
        <v>74</v>
      </c>
      <c r="K504" t="s">
        <v>783</v>
      </c>
    </row>
    <row r="505" spans="1:11" x14ac:dyDescent="0.35">
      <c r="A505" t="s">
        <v>790</v>
      </c>
      <c r="B505" t="s">
        <v>784</v>
      </c>
      <c r="C505" s="40" t="s">
        <v>543</v>
      </c>
      <c r="D505" s="37" t="s">
        <v>507</v>
      </c>
      <c r="E505" s="40" t="s">
        <v>615</v>
      </c>
      <c r="F505" s="41">
        <v>44884</v>
      </c>
      <c r="G505" s="42">
        <v>2775843.2</v>
      </c>
      <c r="H505" s="50" t="s">
        <v>791</v>
      </c>
      <c r="I505" t="s">
        <v>790</v>
      </c>
      <c r="J505">
        <v>74</v>
      </c>
      <c r="K505" t="s">
        <v>783</v>
      </c>
    </row>
    <row r="506" spans="1:11" x14ac:dyDescent="0.35">
      <c r="A506" t="s">
        <v>790</v>
      </c>
      <c r="B506" t="s">
        <v>784</v>
      </c>
      <c r="C506" s="40" t="s">
        <v>543</v>
      </c>
      <c r="D506" s="37" t="s">
        <v>507</v>
      </c>
      <c r="E506" s="40" t="s">
        <v>616</v>
      </c>
      <c r="F506" s="41">
        <v>44884</v>
      </c>
      <c r="G506" s="42">
        <v>173122.56</v>
      </c>
      <c r="H506" s="50" t="s">
        <v>791</v>
      </c>
      <c r="I506" t="s">
        <v>790</v>
      </c>
      <c r="J506">
        <v>74</v>
      </c>
      <c r="K506" t="s">
        <v>783</v>
      </c>
    </row>
    <row r="507" spans="1:11" x14ac:dyDescent="0.35">
      <c r="A507" t="s">
        <v>790</v>
      </c>
      <c r="B507" t="s">
        <v>784</v>
      </c>
      <c r="C507" s="40" t="s">
        <v>617</v>
      </c>
      <c r="D507" s="37" t="s">
        <v>507</v>
      </c>
      <c r="E507" s="40" t="s">
        <v>618</v>
      </c>
      <c r="F507" s="41">
        <v>44885</v>
      </c>
      <c r="G507" s="42">
        <v>4094368.42</v>
      </c>
      <c r="H507" s="50" t="s">
        <v>791</v>
      </c>
      <c r="I507" t="s">
        <v>790</v>
      </c>
      <c r="J507">
        <v>73</v>
      </c>
      <c r="K507" t="s">
        <v>783</v>
      </c>
    </row>
    <row r="508" spans="1:11" x14ac:dyDescent="0.35">
      <c r="A508" t="s">
        <v>790</v>
      </c>
      <c r="B508" t="s">
        <v>784</v>
      </c>
      <c r="C508" s="40" t="s">
        <v>584</v>
      </c>
      <c r="D508" s="37" t="s">
        <v>507</v>
      </c>
      <c r="E508" s="40" t="s">
        <v>619</v>
      </c>
      <c r="F508" s="41">
        <v>44886</v>
      </c>
      <c r="G508" s="42">
        <v>3867053.31</v>
      </c>
      <c r="H508" s="50" t="s">
        <v>791</v>
      </c>
      <c r="I508" t="s">
        <v>790</v>
      </c>
      <c r="J508">
        <v>72</v>
      </c>
      <c r="K508" t="s">
        <v>783</v>
      </c>
    </row>
    <row r="509" spans="1:11" x14ac:dyDescent="0.35">
      <c r="A509" t="s">
        <v>790</v>
      </c>
      <c r="B509" t="s">
        <v>784</v>
      </c>
      <c r="C509" s="40" t="s">
        <v>553</v>
      </c>
      <c r="D509" s="37" t="s">
        <v>507</v>
      </c>
      <c r="E509" s="40" t="s">
        <v>620</v>
      </c>
      <c r="F509" s="41">
        <v>44886</v>
      </c>
      <c r="G509" s="42">
        <v>3495147.78</v>
      </c>
      <c r="H509" s="50" t="s">
        <v>791</v>
      </c>
      <c r="I509" t="s">
        <v>790</v>
      </c>
      <c r="J509">
        <v>72</v>
      </c>
      <c r="K509" t="s">
        <v>783</v>
      </c>
    </row>
    <row r="510" spans="1:11" x14ac:dyDescent="0.35">
      <c r="A510" t="s">
        <v>790</v>
      </c>
      <c r="B510" t="s">
        <v>784</v>
      </c>
      <c r="C510" s="40" t="s">
        <v>564</v>
      </c>
      <c r="D510" s="37" t="s">
        <v>507</v>
      </c>
      <c r="E510" s="40" t="s">
        <v>621</v>
      </c>
      <c r="F510" s="41">
        <v>44892</v>
      </c>
      <c r="G510" s="42">
        <v>3357681.6</v>
      </c>
      <c r="H510" s="50" t="s">
        <v>791</v>
      </c>
      <c r="I510" t="s">
        <v>790</v>
      </c>
      <c r="J510">
        <v>66</v>
      </c>
      <c r="K510" t="s">
        <v>783</v>
      </c>
    </row>
    <row r="511" spans="1:11" x14ac:dyDescent="0.35">
      <c r="A511" t="s">
        <v>790</v>
      </c>
      <c r="B511" t="s">
        <v>784</v>
      </c>
      <c r="C511" s="40" t="s">
        <v>606</v>
      </c>
      <c r="D511" s="37" t="s">
        <v>507</v>
      </c>
      <c r="E511" s="40" t="s">
        <v>622</v>
      </c>
      <c r="F511" s="41">
        <v>44893</v>
      </c>
      <c r="G511" s="42">
        <v>3427025.12</v>
      </c>
      <c r="H511" s="50" t="s">
        <v>791</v>
      </c>
      <c r="I511" t="s">
        <v>790</v>
      </c>
      <c r="J511">
        <v>65</v>
      </c>
      <c r="K511" t="s">
        <v>783</v>
      </c>
    </row>
    <row r="512" spans="1:11" x14ac:dyDescent="0.35">
      <c r="A512" t="s">
        <v>790</v>
      </c>
      <c r="B512" t="s">
        <v>784</v>
      </c>
      <c r="C512" s="40" t="s">
        <v>588</v>
      </c>
      <c r="D512" s="37" t="s">
        <v>507</v>
      </c>
      <c r="E512" s="40" t="s">
        <v>623</v>
      </c>
      <c r="F512" s="41">
        <v>44893</v>
      </c>
      <c r="G512" s="42">
        <v>3447359.34</v>
      </c>
      <c r="H512" s="50" t="s">
        <v>791</v>
      </c>
      <c r="I512" t="s">
        <v>790</v>
      </c>
      <c r="J512">
        <v>65</v>
      </c>
      <c r="K512" t="s">
        <v>783</v>
      </c>
    </row>
    <row r="513" spans="1:11" x14ac:dyDescent="0.35">
      <c r="A513" t="s">
        <v>790</v>
      </c>
      <c r="B513" t="s">
        <v>784</v>
      </c>
      <c r="C513" s="40" t="s">
        <v>573</v>
      </c>
      <c r="D513" s="37" t="s">
        <v>507</v>
      </c>
      <c r="E513" s="40" t="s">
        <v>624</v>
      </c>
      <c r="F513" s="41">
        <v>44894</v>
      </c>
      <c r="G513" s="42">
        <v>4110837.23</v>
      </c>
      <c r="H513" s="50" t="s">
        <v>791</v>
      </c>
      <c r="I513" t="s">
        <v>790</v>
      </c>
      <c r="J513">
        <v>64</v>
      </c>
      <c r="K513" t="s">
        <v>783</v>
      </c>
    </row>
    <row r="514" spans="1:11" x14ac:dyDescent="0.35">
      <c r="A514" t="s">
        <v>790</v>
      </c>
      <c r="B514" t="s">
        <v>784</v>
      </c>
      <c r="C514" s="40" t="s">
        <v>573</v>
      </c>
      <c r="D514" s="37" t="s">
        <v>507</v>
      </c>
      <c r="E514" s="40" t="s">
        <v>625</v>
      </c>
      <c r="F514" s="41">
        <v>44894</v>
      </c>
      <c r="G514" s="42">
        <v>3451194.01</v>
      </c>
      <c r="H514" s="50" t="s">
        <v>791</v>
      </c>
      <c r="I514" t="s">
        <v>790</v>
      </c>
      <c r="J514">
        <v>64</v>
      </c>
      <c r="K514" t="s">
        <v>783</v>
      </c>
    </row>
    <row r="515" spans="1:11" x14ac:dyDescent="0.35">
      <c r="A515" t="s">
        <v>790</v>
      </c>
      <c r="B515" t="s">
        <v>784</v>
      </c>
      <c r="C515" s="40" t="s">
        <v>573</v>
      </c>
      <c r="D515" s="37" t="s">
        <v>507</v>
      </c>
      <c r="E515" s="40" t="s">
        <v>626</v>
      </c>
      <c r="F515" s="41">
        <v>44894</v>
      </c>
      <c r="G515" s="42">
        <v>3451194.01</v>
      </c>
      <c r="H515" s="50" t="s">
        <v>791</v>
      </c>
      <c r="I515" t="s">
        <v>790</v>
      </c>
      <c r="J515">
        <v>64</v>
      </c>
      <c r="K515" t="s">
        <v>783</v>
      </c>
    </row>
    <row r="516" spans="1:11" x14ac:dyDescent="0.35">
      <c r="A516" t="s">
        <v>790</v>
      </c>
      <c r="B516" t="s">
        <v>784</v>
      </c>
      <c r="C516" s="40" t="s">
        <v>573</v>
      </c>
      <c r="D516" s="37" t="s">
        <v>507</v>
      </c>
      <c r="E516" s="40" t="s">
        <v>627</v>
      </c>
      <c r="F516" s="41">
        <v>44894</v>
      </c>
      <c r="G516" s="42">
        <v>3688756.99</v>
      </c>
      <c r="H516" s="50" t="s">
        <v>791</v>
      </c>
      <c r="I516" t="s">
        <v>790</v>
      </c>
      <c r="J516">
        <v>64</v>
      </c>
      <c r="K516" t="s">
        <v>783</v>
      </c>
    </row>
    <row r="517" spans="1:11" x14ac:dyDescent="0.35">
      <c r="A517" t="s">
        <v>790</v>
      </c>
      <c r="B517" t="s">
        <v>784</v>
      </c>
      <c r="C517" s="40" t="s">
        <v>628</v>
      </c>
      <c r="D517" s="37" t="s">
        <v>507</v>
      </c>
      <c r="E517" s="40" t="s">
        <v>629</v>
      </c>
      <c r="F517" s="41">
        <v>44895</v>
      </c>
      <c r="G517" s="42">
        <v>1907561.33</v>
      </c>
      <c r="H517" s="50" t="s">
        <v>791</v>
      </c>
      <c r="I517" t="s">
        <v>790</v>
      </c>
      <c r="J517">
        <v>63</v>
      </c>
      <c r="K517" t="s">
        <v>783</v>
      </c>
    </row>
    <row r="518" spans="1:11" x14ac:dyDescent="0.35">
      <c r="A518" t="s">
        <v>790</v>
      </c>
      <c r="B518" t="s">
        <v>784</v>
      </c>
      <c r="C518" s="40" t="s">
        <v>551</v>
      </c>
      <c r="D518" s="37" t="s">
        <v>507</v>
      </c>
      <c r="E518" s="40" t="s">
        <v>630</v>
      </c>
      <c r="F518" s="41">
        <v>44895</v>
      </c>
      <c r="G518" s="42">
        <v>3698748</v>
      </c>
      <c r="H518" s="50" t="s">
        <v>791</v>
      </c>
      <c r="I518" t="s">
        <v>790</v>
      </c>
      <c r="J518">
        <v>63</v>
      </c>
      <c r="K518" t="s">
        <v>783</v>
      </c>
    </row>
    <row r="519" spans="1:11" x14ac:dyDescent="0.35">
      <c r="A519" t="s">
        <v>790</v>
      </c>
      <c r="B519" t="s">
        <v>784</v>
      </c>
      <c r="C519" s="40" t="s">
        <v>631</v>
      </c>
      <c r="D519" s="37" t="s">
        <v>507</v>
      </c>
      <c r="E519" s="40" t="s">
        <v>632</v>
      </c>
      <c r="F519" s="41">
        <v>44895</v>
      </c>
      <c r="G519" s="42">
        <v>3659268.8</v>
      </c>
      <c r="H519" s="50" t="s">
        <v>791</v>
      </c>
      <c r="I519" t="s">
        <v>790</v>
      </c>
      <c r="J519">
        <v>63</v>
      </c>
      <c r="K519" t="s">
        <v>783</v>
      </c>
    </row>
    <row r="520" spans="1:11" x14ac:dyDescent="0.35">
      <c r="A520" t="s">
        <v>790</v>
      </c>
      <c r="B520" t="s">
        <v>784</v>
      </c>
      <c r="C520" s="40" t="s">
        <v>573</v>
      </c>
      <c r="D520" s="37" t="s">
        <v>507</v>
      </c>
      <c r="E520" s="40" t="s">
        <v>633</v>
      </c>
      <c r="F520" s="41">
        <v>44895</v>
      </c>
      <c r="G520" s="42">
        <v>3952078.26</v>
      </c>
      <c r="H520" s="50" t="s">
        <v>791</v>
      </c>
      <c r="I520" t="s">
        <v>790</v>
      </c>
      <c r="J520">
        <v>63</v>
      </c>
      <c r="K520" t="s">
        <v>783</v>
      </c>
    </row>
    <row r="521" spans="1:11" x14ac:dyDescent="0.35">
      <c r="A521" t="s">
        <v>790</v>
      </c>
      <c r="B521" t="s">
        <v>784</v>
      </c>
      <c r="C521" s="40" t="s">
        <v>588</v>
      </c>
      <c r="D521" s="37" t="s">
        <v>507</v>
      </c>
      <c r="E521" s="40" t="s">
        <v>634</v>
      </c>
      <c r="F521" s="41">
        <v>44895</v>
      </c>
      <c r="G521" s="42">
        <v>3605947.61</v>
      </c>
      <c r="H521" s="50" t="s">
        <v>791</v>
      </c>
      <c r="I521" t="s">
        <v>790</v>
      </c>
      <c r="J521">
        <v>63</v>
      </c>
      <c r="K521" t="s">
        <v>783</v>
      </c>
    </row>
    <row r="522" spans="1:11" x14ac:dyDescent="0.35">
      <c r="A522" t="s">
        <v>790</v>
      </c>
      <c r="B522" t="s">
        <v>784</v>
      </c>
      <c r="C522" s="44" t="s">
        <v>635</v>
      </c>
      <c r="D522" s="37" t="s">
        <v>507</v>
      </c>
      <c r="E522" s="44" t="s">
        <v>636</v>
      </c>
      <c r="F522" s="45">
        <v>44896</v>
      </c>
      <c r="G522" s="46">
        <v>3405224.2</v>
      </c>
      <c r="H522" s="50" t="s">
        <v>791</v>
      </c>
      <c r="I522" t="s">
        <v>790</v>
      </c>
      <c r="J522">
        <v>62</v>
      </c>
      <c r="K522" t="s">
        <v>783</v>
      </c>
    </row>
    <row r="523" spans="1:11" x14ac:dyDescent="0.35">
      <c r="A523" t="s">
        <v>790</v>
      </c>
      <c r="B523" t="s">
        <v>784</v>
      </c>
      <c r="C523" s="44" t="s">
        <v>637</v>
      </c>
      <c r="D523" s="37" t="s">
        <v>507</v>
      </c>
      <c r="E523" s="44" t="s">
        <v>638</v>
      </c>
      <c r="F523" s="45">
        <v>44897</v>
      </c>
      <c r="G523" s="46">
        <v>2389687.85</v>
      </c>
      <c r="H523" s="50" t="s">
        <v>791</v>
      </c>
      <c r="I523" t="s">
        <v>790</v>
      </c>
      <c r="J523">
        <v>61</v>
      </c>
      <c r="K523" t="s">
        <v>783</v>
      </c>
    </row>
    <row r="524" spans="1:11" x14ac:dyDescent="0.35">
      <c r="A524" t="s">
        <v>790</v>
      </c>
      <c r="B524" t="s">
        <v>784</v>
      </c>
      <c r="C524" s="44" t="s">
        <v>637</v>
      </c>
      <c r="D524" s="37" t="s">
        <v>507</v>
      </c>
      <c r="E524" s="44" t="s">
        <v>639</v>
      </c>
      <c r="F524" s="45">
        <v>44897</v>
      </c>
      <c r="G524" s="46">
        <v>953079.09</v>
      </c>
      <c r="H524" s="50" t="s">
        <v>791</v>
      </c>
      <c r="I524" t="s">
        <v>790</v>
      </c>
      <c r="J524">
        <v>61</v>
      </c>
      <c r="K524" t="s">
        <v>783</v>
      </c>
    </row>
    <row r="525" spans="1:11" x14ac:dyDescent="0.35">
      <c r="A525" t="s">
        <v>790</v>
      </c>
      <c r="B525" t="s">
        <v>784</v>
      </c>
      <c r="C525" s="44" t="s">
        <v>600</v>
      </c>
      <c r="D525" s="37" t="s">
        <v>507</v>
      </c>
      <c r="E525" s="44" t="s">
        <v>640</v>
      </c>
      <c r="F525" s="45">
        <v>44897</v>
      </c>
      <c r="G525" s="46">
        <v>3687717.28</v>
      </c>
      <c r="H525" s="50" t="s">
        <v>791</v>
      </c>
      <c r="I525" t="s">
        <v>790</v>
      </c>
      <c r="J525">
        <v>61</v>
      </c>
      <c r="K525" t="s">
        <v>783</v>
      </c>
    </row>
    <row r="526" spans="1:11" x14ac:dyDescent="0.35">
      <c r="A526" t="s">
        <v>790</v>
      </c>
      <c r="B526" t="s">
        <v>784</v>
      </c>
      <c r="C526" s="44" t="s">
        <v>557</v>
      </c>
      <c r="D526" s="37" t="s">
        <v>507</v>
      </c>
      <c r="E526" s="44" t="s">
        <v>641</v>
      </c>
      <c r="F526" s="49">
        <v>44897</v>
      </c>
      <c r="G526" s="46">
        <v>1066986.25</v>
      </c>
      <c r="H526" s="50" t="s">
        <v>791</v>
      </c>
      <c r="I526" t="s">
        <v>790</v>
      </c>
      <c r="J526">
        <v>61</v>
      </c>
      <c r="K526" t="s">
        <v>783</v>
      </c>
    </row>
    <row r="527" spans="1:11" x14ac:dyDescent="0.35">
      <c r="A527" t="s">
        <v>790</v>
      </c>
      <c r="B527" t="s">
        <v>784</v>
      </c>
      <c r="C527" s="44" t="s">
        <v>581</v>
      </c>
      <c r="D527" s="37" t="s">
        <v>507</v>
      </c>
      <c r="E527" s="44" t="s">
        <v>642</v>
      </c>
      <c r="F527" s="45">
        <v>44898</v>
      </c>
      <c r="G527" s="46">
        <v>3950960.41</v>
      </c>
      <c r="H527" s="50" t="s">
        <v>791</v>
      </c>
      <c r="I527" t="s">
        <v>790</v>
      </c>
      <c r="J527">
        <v>60</v>
      </c>
      <c r="K527" t="s">
        <v>783</v>
      </c>
    </row>
    <row r="528" spans="1:11" x14ac:dyDescent="0.35">
      <c r="A528" t="s">
        <v>790</v>
      </c>
      <c r="B528" t="s">
        <v>784</v>
      </c>
      <c r="C528" s="44" t="s">
        <v>524</v>
      </c>
      <c r="D528" s="37" t="s">
        <v>507</v>
      </c>
      <c r="E528" s="44" t="s">
        <v>643</v>
      </c>
      <c r="F528" s="41">
        <v>44898</v>
      </c>
      <c r="G528" s="46">
        <v>2939333.32</v>
      </c>
      <c r="H528" s="50" t="s">
        <v>791</v>
      </c>
      <c r="I528" t="s">
        <v>790</v>
      </c>
      <c r="J528">
        <v>60</v>
      </c>
      <c r="K528" t="s">
        <v>783</v>
      </c>
    </row>
    <row r="529" spans="1:11" x14ac:dyDescent="0.35">
      <c r="A529" t="s">
        <v>790</v>
      </c>
      <c r="B529" t="s">
        <v>784</v>
      </c>
      <c r="C529" s="44" t="s">
        <v>575</v>
      </c>
      <c r="D529" s="37" t="s">
        <v>507</v>
      </c>
      <c r="E529" s="44" t="s">
        <v>644</v>
      </c>
      <c r="F529" s="45">
        <v>44899</v>
      </c>
      <c r="G529" s="46">
        <v>3230928</v>
      </c>
      <c r="H529" s="50" t="s">
        <v>791</v>
      </c>
      <c r="I529" t="s">
        <v>790</v>
      </c>
      <c r="J529">
        <v>59</v>
      </c>
      <c r="K529" t="s">
        <v>783</v>
      </c>
    </row>
    <row r="530" spans="1:11" x14ac:dyDescent="0.35">
      <c r="A530" t="s">
        <v>790</v>
      </c>
      <c r="B530" t="s">
        <v>784</v>
      </c>
      <c r="C530" s="44" t="s">
        <v>579</v>
      </c>
      <c r="D530" s="37" t="s">
        <v>507</v>
      </c>
      <c r="E530" s="44" t="s">
        <v>645</v>
      </c>
      <c r="F530" s="45">
        <v>44900</v>
      </c>
      <c r="G530" s="46">
        <v>4011796.03</v>
      </c>
      <c r="H530" s="50" t="s">
        <v>791</v>
      </c>
      <c r="I530" t="s">
        <v>790</v>
      </c>
      <c r="J530">
        <v>58</v>
      </c>
      <c r="K530" t="s">
        <v>783</v>
      </c>
    </row>
    <row r="531" spans="1:11" x14ac:dyDescent="0.35">
      <c r="A531" t="s">
        <v>790</v>
      </c>
      <c r="B531" t="s">
        <v>784</v>
      </c>
      <c r="C531" s="44" t="s">
        <v>573</v>
      </c>
      <c r="D531" s="37" t="s">
        <v>507</v>
      </c>
      <c r="E531" s="44" t="s">
        <v>646</v>
      </c>
      <c r="F531" s="45">
        <v>44900</v>
      </c>
      <c r="G531" s="46">
        <v>4076791.05</v>
      </c>
      <c r="H531" s="50" t="s">
        <v>791</v>
      </c>
      <c r="I531" t="s">
        <v>790</v>
      </c>
      <c r="J531">
        <v>58</v>
      </c>
      <c r="K531" t="s">
        <v>783</v>
      </c>
    </row>
    <row r="532" spans="1:11" x14ac:dyDescent="0.35">
      <c r="A532" t="s">
        <v>790</v>
      </c>
      <c r="B532" t="s">
        <v>784</v>
      </c>
      <c r="C532" s="44" t="s">
        <v>647</v>
      </c>
      <c r="D532" s="37" t="s">
        <v>507</v>
      </c>
      <c r="E532" s="44" t="s">
        <v>648</v>
      </c>
      <c r="F532" s="45">
        <v>44901</v>
      </c>
      <c r="G532" s="46">
        <v>4553010.01</v>
      </c>
      <c r="H532" s="50" t="s">
        <v>791</v>
      </c>
      <c r="I532" t="s">
        <v>790</v>
      </c>
      <c r="J532">
        <v>57</v>
      </c>
      <c r="K532" t="s">
        <v>783</v>
      </c>
    </row>
    <row r="533" spans="1:11" x14ac:dyDescent="0.35">
      <c r="A533" t="s">
        <v>790</v>
      </c>
      <c r="B533" t="s">
        <v>784</v>
      </c>
      <c r="C533" s="44" t="s">
        <v>540</v>
      </c>
      <c r="D533" s="37" t="s">
        <v>507</v>
      </c>
      <c r="E533" s="44" t="s">
        <v>649</v>
      </c>
      <c r="F533" s="45">
        <v>44901</v>
      </c>
      <c r="G533" s="46">
        <v>3146764.32</v>
      </c>
      <c r="H533" s="50" t="s">
        <v>791</v>
      </c>
      <c r="I533" t="s">
        <v>790</v>
      </c>
      <c r="J533">
        <v>57</v>
      </c>
      <c r="K533" t="s">
        <v>783</v>
      </c>
    </row>
    <row r="534" spans="1:11" x14ac:dyDescent="0.35">
      <c r="A534" t="s">
        <v>790</v>
      </c>
      <c r="B534" t="s">
        <v>784</v>
      </c>
      <c r="C534" s="44" t="s">
        <v>650</v>
      </c>
      <c r="D534" s="37" t="s">
        <v>507</v>
      </c>
      <c r="E534" s="44" t="s">
        <v>651</v>
      </c>
      <c r="F534" s="41">
        <v>44901</v>
      </c>
      <c r="G534" s="46">
        <v>3017503.93</v>
      </c>
      <c r="H534" s="50" t="s">
        <v>791</v>
      </c>
      <c r="I534" t="s">
        <v>790</v>
      </c>
      <c r="J534">
        <v>57</v>
      </c>
      <c r="K534" t="s">
        <v>783</v>
      </c>
    </row>
    <row r="535" spans="1:11" x14ac:dyDescent="0.35">
      <c r="A535" t="s">
        <v>790</v>
      </c>
      <c r="B535" t="s">
        <v>784</v>
      </c>
      <c r="C535" s="44" t="s">
        <v>609</v>
      </c>
      <c r="D535" s="37" t="s">
        <v>507</v>
      </c>
      <c r="E535" s="44" t="s">
        <v>652</v>
      </c>
      <c r="F535" s="45">
        <v>44902</v>
      </c>
      <c r="G535" s="46">
        <v>2661945</v>
      </c>
      <c r="H535" s="50" t="s">
        <v>791</v>
      </c>
      <c r="I535" t="s">
        <v>790</v>
      </c>
      <c r="J535">
        <v>56</v>
      </c>
      <c r="K535" t="s">
        <v>783</v>
      </c>
    </row>
    <row r="536" spans="1:11" x14ac:dyDescent="0.35">
      <c r="A536" t="s">
        <v>790</v>
      </c>
      <c r="B536" t="s">
        <v>784</v>
      </c>
      <c r="C536" s="44" t="s">
        <v>653</v>
      </c>
      <c r="D536" s="37" t="s">
        <v>507</v>
      </c>
      <c r="E536" s="44" t="s">
        <v>654</v>
      </c>
      <c r="F536" s="41">
        <v>44902</v>
      </c>
      <c r="G536" s="46">
        <v>3262451.99</v>
      </c>
      <c r="H536" s="50" t="s">
        <v>791</v>
      </c>
      <c r="I536" t="s">
        <v>790</v>
      </c>
      <c r="J536">
        <v>56</v>
      </c>
      <c r="K536" t="s">
        <v>783</v>
      </c>
    </row>
    <row r="537" spans="1:11" x14ac:dyDescent="0.35">
      <c r="A537" t="s">
        <v>790</v>
      </c>
      <c r="B537" t="s">
        <v>784</v>
      </c>
      <c r="C537" s="44" t="s">
        <v>536</v>
      </c>
      <c r="D537" s="37" t="s">
        <v>507</v>
      </c>
      <c r="E537" s="44" t="s">
        <v>655</v>
      </c>
      <c r="F537" s="45">
        <v>44903</v>
      </c>
      <c r="G537" s="46">
        <v>3241542.54</v>
      </c>
      <c r="H537" s="50" t="s">
        <v>791</v>
      </c>
      <c r="I537" t="s">
        <v>790</v>
      </c>
      <c r="J537">
        <v>55</v>
      </c>
      <c r="K537" t="s">
        <v>783</v>
      </c>
    </row>
    <row r="538" spans="1:11" x14ac:dyDescent="0.35">
      <c r="A538" t="s">
        <v>790</v>
      </c>
      <c r="B538" t="s">
        <v>784</v>
      </c>
      <c r="C538" s="44" t="s">
        <v>573</v>
      </c>
      <c r="D538" s="37" t="s">
        <v>507</v>
      </c>
      <c r="E538" s="44" t="s">
        <v>656</v>
      </c>
      <c r="F538" s="45">
        <v>44903</v>
      </c>
      <c r="G538" s="46">
        <v>4082773.2</v>
      </c>
      <c r="H538" s="50" t="s">
        <v>791</v>
      </c>
      <c r="I538" t="s">
        <v>790</v>
      </c>
      <c r="J538">
        <v>55</v>
      </c>
      <c r="K538" t="s">
        <v>783</v>
      </c>
    </row>
    <row r="539" spans="1:11" x14ac:dyDescent="0.35">
      <c r="A539" t="s">
        <v>790</v>
      </c>
      <c r="B539" t="s">
        <v>784</v>
      </c>
      <c r="C539" s="44" t="s">
        <v>657</v>
      </c>
      <c r="D539" s="37" t="s">
        <v>507</v>
      </c>
      <c r="E539" s="44" t="s">
        <v>658</v>
      </c>
      <c r="F539" s="41">
        <v>44903</v>
      </c>
      <c r="G539" s="46">
        <v>37529.01</v>
      </c>
      <c r="H539" s="50" t="s">
        <v>791</v>
      </c>
      <c r="I539" t="s">
        <v>790</v>
      </c>
      <c r="J539">
        <v>55</v>
      </c>
      <c r="K539" t="s">
        <v>783</v>
      </c>
    </row>
    <row r="540" spans="1:11" x14ac:dyDescent="0.35">
      <c r="A540" t="s">
        <v>790</v>
      </c>
      <c r="B540" t="s">
        <v>784</v>
      </c>
      <c r="C540" s="44" t="s">
        <v>598</v>
      </c>
      <c r="D540" s="37" t="s">
        <v>507</v>
      </c>
      <c r="E540" s="44" t="s">
        <v>659</v>
      </c>
      <c r="F540" s="41">
        <v>44903</v>
      </c>
      <c r="G540" s="46">
        <v>1658195</v>
      </c>
      <c r="H540" s="50" t="s">
        <v>791</v>
      </c>
      <c r="I540" t="s">
        <v>790</v>
      </c>
      <c r="J540">
        <v>55</v>
      </c>
      <c r="K540" t="s">
        <v>783</v>
      </c>
    </row>
    <row r="541" spans="1:11" x14ac:dyDescent="0.35">
      <c r="A541" t="s">
        <v>790</v>
      </c>
      <c r="B541" t="s">
        <v>784</v>
      </c>
      <c r="C541" s="44" t="s">
        <v>551</v>
      </c>
      <c r="D541" s="37" t="s">
        <v>507</v>
      </c>
      <c r="E541" s="44" t="s">
        <v>660</v>
      </c>
      <c r="F541" s="45">
        <v>44905</v>
      </c>
      <c r="G541" s="46">
        <v>3671316</v>
      </c>
      <c r="H541" s="50" t="s">
        <v>791</v>
      </c>
      <c r="I541" t="s">
        <v>790</v>
      </c>
      <c r="J541">
        <v>53</v>
      </c>
      <c r="K541" t="s">
        <v>783</v>
      </c>
    </row>
    <row r="542" spans="1:11" x14ac:dyDescent="0.35">
      <c r="A542" t="s">
        <v>790</v>
      </c>
      <c r="B542" t="s">
        <v>784</v>
      </c>
      <c r="C542" s="44" t="s">
        <v>564</v>
      </c>
      <c r="D542" s="37" t="s">
        <v>507</v>
      </c>
      <c r="E542" s="44" t="s">
        <v>661</v>
      </c>
      <c r="F542" s="45">
        <v>44905</v>
      </c>
      <c r="G542" s="46">
        <v>3399454.8</v>
      </c>
      <c r="H542" s="50" t="s">
        <v>791</v>
      </c>
      <c r="I542" t="s">
        <v>790</v>
      </c>
      <c r="J542">
        <v>53</v>
      </c>
      <c r="K542" t="s">
        <v>783</v>
      </c>
    </row>
    <row r="543" spans="1:11" x14ac:dyDescent="0.35">
      <c r="A543" t="s">
        <v>790</v>
      </c>
      <c r="B543" t="s">
        <v>784</v>
      </c>
      <c r="C543" s="44" t="s">
        <v>662</v>
      </c>
      <c r="D543" s="37" t="s">
        <v>507</v>
      </c>
      <c r="E543" s="44" t="s">
        <v>663</v>
      </c>
      <c r="F543" s="45">
        <v>44906</v>
      </c>
      <c r="G543" s="46">
        <v>4321565.32</v>
      </c>
      <c r="H543" s="50" t="s">
        <v>791</v>
      </c>
      <c r="I543" t="s">
        <v>790</v>
      </c>
      <c r="J543">
        <v>52</v>
      </c>
      <c r="K543" t="s">
        <v>783</v>
      </c>
    </row>
    <row r="544" spans="1:11" x14ac:dyDescent="0.35">
      <c r="A544" t="s">
        <v>790</v>
      </c>
      <c r="B544" t="s">
        <v>784</v>
      </c>
      <c r="C544" s="44" t="s">
        <v>664</v>
      </c>
      <c r="D544" s="37" t="s">
        <v>507</v>
      </c>
      <c r="E544" s="44" t="s">
        <v>665</v>
      </c>
      <c r="F544" s="45">
        <v>44906</v>
      </c>
      <c r="G544" s="46">
        <v>1149173.3</v>
      </c>
      <c r="H544" s="50" t="s">
        <v>791</v>
      </c>
      <c r="I544" t="s">
        <v>790</v>
      </c>
      <c r="J544">
        <v>52</v>
      </c>
      <c r="K544" t="s">
        <v>783</v>
      </c>
    </row>
    <row r="545" spans="1:11" x14ac:dyDescent="0.35">
      <c r="A545" t="s">
        <v>790</v>
      </c>
      <c r="B545" t="s">
        <v>784</v>
      </c>
      <c r="C545" s="44" t="s">
        <v>664</v>
      </c>
      <c r="D545" s="37" t="s">
        <v>507</v>
      </c>
      <c r="E545" s="44" t="s">
        <v>666</v>
      </c>
      <c r="F545" s="45">
        <v>44906</v>
      </c>
      <c r="G545" s="46">
        <v>321377.46000000002</v>
      </c>
      <c r="H545" s="50" t="s">
        <v>791</v>
      </c>
      <c r="I545" t="s">
        <v>790</v>
      </c>
      <c r="J545">
        <v>52</v>
      </c>
      <c r="K545" t="s">
        <v>783</v>
      </c>
    </row>
    <row r="546" spans="1:11" x14ac:dyDescent="0.35">
      <c r="A546" t="s">
        <v>790</v>
      </c>
      <c r="B546" t="s">
        <v>784</v>
      </c>
      <c r="C546" s="44" t="s">
        <v>667</v>
      </c>
      <c r="D546" s="37" t="s">
        <v>507</v>
      </c>
      <c r="E546" s="44" t="s">
        <v>668</v>
      </c>
      <c r="F546" s="45">
        <v>44907</v>
      </c>
      <c r="G546" s="46">
        <v>3062088.73</v>
      </c>
      <c r="H546" s="50" t="s">
        <v>791</v>
      </c>
      <c r="I546" t="s">
        <v>790</v>
      </c>
      <c r="J546">
        <v>51</v>
      </c>
      <c r="K546" t="s">
        <v>783</v>
      </c>
    </row>
    <row r="547" spans="1:11" x14ac:dyDescent="0.35">
      <c r="A547" t="s">
        <v>790</v>
      </c>
      <c r="B547" t="s">
        <v>784</v>
      </c>
      <c r="C547" s="44" t="s">
        <v>617</v>
      </c>
      <c r="D547" s="37" t="s">
        <v>507</v>
      </c>
      <c r="E547" s="44" t="s">
        <v>669</v>
      </c>
      <c r="F547" s="45">
        <v>44907</v>
      </c>
      <c r="G547" s="46">
        <v>4072373.55</v>
      </c>
      <c r="H547" s="50" t="s">
        <v>791</v>
      </c>
      <c r="I547" t="s">
        <v>790</v>
      </c>
      <c r="J547">
        <v>51</v>
      </c>
      <c r="K547" t="s">
        <v>783</v>
      </c>
    </row>
    <row r="548" spans="1:11" x14ac:dyDescent="0.35">
      <c r="A548" t="s">
        <v>790</v>
      </c>
      <c r="B548" t="s">
        <v>784</v>
      </c>
      <c r="C548" s="44" t="s">
        <v>540</v>
      </c>
      <c r="D548" s="37" t="s">
        <v>507</v>
      </c>
      <c r="E548" s="44" t="s">
        <v>670</v>
      </c>
      <c r="F548" s="45">
        <v>44907</v>
      </c>
      <c r="G548" s="46">
        <v>3146764.32</v>
      </c>
      <c r="H548" s="50" t="s">
        <v>791</v>
      </c>
      <c r="I548" t="s">
        <v>790</v>
      </c>
      <c r="J548">
        <v>51</v>
      </c>
      <c r="K548" t="s">
        <v>783</v>
      </c>
    </row>
    <row r="549" spans="1:11" x14ac:dyDescent="0.35">
      <c r="A549" t="s">
        <v>790</v>
      </c>
      <c r="B549" t="s">
        <v>784</v>
      </c>
      <c r="C549" s="44" t="s">
        <v>577</v>
      </c>
      <c r="D549" s="37" t="s">
        <v>507</v>
      </c>
      <c r="E549" s="44" t="s">
        <v>671</v>
      </c>
      <c r="F549" s="45">
        <v>44907</v>
      </c>
      <c r="G549" s="46">
        <v>4283534</v>
      </c>
      <c r="H549" s="50" t="s">
        <v>791</v>
      </c>
      <c r="I549" t="s">
        <v>790</v>
      </c>
      <c r="J549">
        <v>51</v>
      </c>
      <c r="K549" t="s">
        <v>783</v>
      </c>
    </row>
    <row r="550" spans="1:11" x14ac:dyDescent="0.35">
      <c r="A550" t="s">
        <v>790</v>
      </c>
      <c r="B550" t="s">
        <v>784</v>
      </c>
      <c r="C550" s="44" t="s">
        <v>650</v>
      </c>
      <c r="D550" s="37" t="s">
        <v>507</v>
      </c>
      <c r="E550" s="44" t="s">
        <v>672</v>
      </c>
      <c r="F550" s="41">
        <v>44907</v>
      </c>
      <c r="G550" s="46">
        <v>4318106.1900000004</v>
      </c>
      <c r="H550" s="50" t="s">
        <v>791</v>
      </c>
      <c r="I550" t="s">
        <v>790</v>
      </c>
      <c r="J550">
        <v>51</v>
      </c>
      <c r="K550" t="s">
        <v>783</v>
      </c>
    </row>
    <row r="551" spans="1:11" x14ac:dyDescent="0.35">
      <c r="A551" t="s">
        <v>790</v>
      </c>
      <c r="B551" t="s">
        <v>784</v>
      </c>
      <c r="C551" s="44" t="s">
        <v>524</v>
      </c>
      <c r="D551" s="37" t="s">
        <v>507</v>
      </c>
      <c r="E551" s="44" t="s">
        <v>673</v>
      </c>
      <c r="F551" s="41">
        <v>44909</v>
      </c>
      <c r="G551" s="46">
        <v>2728304.92</v>
      </c>
      <c r="H551" s="50" t="s">
        <v>791</v>
      </c>
      <c r="I551" t="s">
        <v>790</v>
      </c>
      <c r="J551">
        <v>49</v>
      </c>
      <c r="K551" t="s">
        <v>783</v>
      </c>
    </row>
    <row r="552" spans="1:11" x14ac:dyDescent="0.35">
      <c r="A552" t="s">
        <v>790</v>
      </c>
      <c r="B552" t="s">
        <v>784</v>
      </c>
      <c r="C552" s="44" t="s">
        <v>553</v>
      </c>
      <c r="D552" s="37" t="s">
        <v>507</v>
      </c>
      <c r="E552" s="44" t="s">
        <v>674</v>
      </c>
      <c r="F552" s="41">
        <v>44909</v>
      </c>
      <c r="G552" s="46">
        <v>3128347.48</v>
      </c>
      <c r="H552" s="50" t="s">
        <v>791</v>
      </c>
      <c r="I552" t="s">
        <v>790</v>
      </c>
      <c r="J552">
        <v>49</v>
      </c>
      <c r="K552" t="s">
        <v>783</v>
      </c>
    </row>
    <row r="553" spans="1:11" x14ac:dyDescent="0.35">
      <c r="A553" t="s">
        <v>790</v>
      </c>
      <c r="B553" t="s">
        <v>784</v>
      </c>
      <c r="C553" s="44" t="s">
        <v>631</v>
      </c>
      <c r="D553" s="37" t="s">
        <v>507</v>
      </c>
      <c r="E553" s="44" t="s">
        <v>675</v>
      </c>
      <c r="F553" s="45">
        <v>44910</v>
      </c>
      <c r="G553" s="46">
        <v>3165747.2000000002</v>
      </c>
      <c r="H553" s="50" t="s">
        <v>791</v>
      </c>
      <c r="I553" t="s">
        <v>790</v>
      </c>
      <c r="J553">
        <v>48</v>
      </c>
      <c r="K553" t="s">
        <v>783</v>
      </c>
    </row>
    <row r="554" spans="1:11" x14ac:dyDescent="0.35">
      <c r="A554" t="s">
        <v>790</v>
      </c>
      <c r="B554" t="s">
        <v>784</v>
      </c>
      <c r="C554" s="44" t="s">
        <v>588</v>
      </c>
      <c r="D554" s="37" t="s">
        <v>507</v>
      </c>
      <c r="E554" s="44" t="s">
        <v>676</v>
      </c>
      <c r="F554" s="41">
        <v>44910</v>
      </c>
      <c r="G554" s="46">
        <v>3393538.23</v>
      </c>
      <c r="H554" s="50" t="s">
        <v>791</v>
      </c>
      <c r="I554" t="s">
        <v>790</v>
      </c>
      <c r="J554">
        <v>48</v>
      </c>
      <c r="K554" t="s">
        <v>783</v>
      </c>
    </row>
    <row r="555" spans="1:11" x14ac:dyDescent="0.35">
      <c r="A555" t="s">
        <v>790</v>
      </c>
      <c r="B555" t="s">
        <v>784</v>
      </c>
      <c r="C555" s="44" t="s">
        <v>553</v>
      </c>
      <c r="D555" s="37" t="s">
        <v>507</v>
      </c>
      <c r="E555" s="44" t="s">
        <v>677</v>
      </c>
      <c r="F555" s="41">
        <v>44910</v>
      </c>
      <c r="G555" s="46">
        <v>3135317.12</v>
      </c>
      <c r="H555" s="50" t="s">
        <v>791</v>
      </c>
      <c r="I555" t="s">
        <v>790</v>
      </c>
      <c r="J555">
        <v>48</v>
      </c>
      <c r="K555" t="s">
        <v>783</v>
      </c>
    </row>
    <row r="556" spans="1:11" x14ac:dyDescent="0.35">
      <c r="A556" t="s">
        <v>790</v>
      </c>
      <c r="B556" t="s">
        <v>784</v>
      </c>
      <c r="C556" s="44" t="s">
        <v>678</v>
      </c>
      <c r="D556" s="37" t="s">
        <v>507</v>
      </c>
      <c r="E556" s="44" t="s">
        <v>679</v>
      </c>
      <c r="F556" s="49">
        <v>44910</v>
      </c>
      <c r="G556" s="46">
        <v>4189158.4</v>
      </c>
      <c r="H556" s="50" t="s">
        <v>791</v>
      </c>
      <c r="I556" t="s">
        <v>790</v>
      </c>
      <c r="J556">
        <v>48</v>
      </c>
      <c r="K556" t="s">
        <v>783</v>
      </c>
    </row>
    <row r="557" spans="1:11" x14ac:dyDescent="0.35">
      <c r="A557" t="s">
        <v>790</v>
      </c>
      <c r="B557" t="s">
        <v>784</v>
      </c>
      <c r="C557" s="44" t="s">
        <v>573</v>
      </c>
      <c r="D557" s="37" t="s">
        <v>507</v>
      </c>
      <c r="E557" s="44" t="s">
        <v>680</v>
      </c>
      <c r="F557" s="45">
        <v>44911</v>
      </c>
      <c r="G557" s="46">
        <v>3410250.19</v>
      </c>
      <c r="H557" s="50" t="s">
        <v>791</v>
      </c>
      <c r="I557" t="s">
        <v>790</v>
      </c>
      <c r="J557">
        <v>47</v>
      </c>
      <c r="K557" t="s">
        <v>783</v>
      </c>
    </row>
    <row r="558" spans="1:11" x14ac:dyDescent="0.35">
      <c r="A558" t="s">
        <v>790</v>
      </c>
      <c r="B558" t="s">
        <v>784</v>
      </c>
      <c r="C558" s="44" t="s">
        <v>681</v>
      </c>
      <c r="D558" s="37" t="s">
        <v>507</v>
      </c>
      <c r="E558" s="44" t="s">
        <v>682</v>
      </c>
      <c r="F558" s="41">
        <v>44911</v>
      </c>
      <c r="G558" s="46">
        <v>4029656.18</v>
      </c>
      <c r="H558" s="50" t="s">
        <v>791</v>
      </c>
      <c r="I558" t="s">
        <v>790</v>
      </c>
      <c r="J558">
        <v>47</v>
      </c>
      <c r="K558" t="s">
        <v>783</v>
      </c>
    </row>
    <row r="559" spans="1:11" x14ac:dyDescent="0.35">
      <c r="A559" t="s">
        <v>790</v>
      </c>
      <c r="B559" t="s">
        <v>784</v>
      </c>
      <c r="C559" s="44" t="s">
        <v>553</v>
      </c>
      <c r="D559" s="37" t="s">
        <v>507</v>
      </c>
      <c r="E559" s="44" t="s">
        <v>683</v>
      </c>
      <c r="F559" s="41">
        <v>44911</v>
      </c>
      <c r="G559" s="46">
        <v>2543735.42</v>
      </c>
      <c r="H559" s="50" t="s">
        <v>791</v>
      </c>
      <c r="I559" t="s">
        <v>790</v>
      </c>
      <c r="J559">
        <v>47</v>
      </c>
      <c r="K559" t="s">
        <v>783</v>
      </c>
    </row>
    <row r="560" spans="1:11" x14ac:dyDescent="0.35">
      <c r="A560" t="s">
        <v>790</v>
      </c>
      <c r="B560" t="s">
        <v>784</v>
      </c>
      <c r="C560" s="44" t="s">
        <v>606</v>
      </c>
      <c r="D560" s="37" t="s">
        <v>507</v>
      </c>
      <c r="E560" s="44" t="s">
        <v>684</v>
      </c>
      <c r="F560" s="45">
        <v>44912</v>
      </c>
      <c r="G560" s="46">
        <v>3670836.35</v>
      </c>
      <c r="H560" s="50" t="s">
        <v>791</v>
      </c>
      <c r="I560" t="s">
        <v>790</v>
      </c>
      <c r="J560">
        <v>46</v>
      </c>
      <c r="K560" t="s">
        <v>783</v>
      </c>
    </row>
    <row r="561" spans="1:11" x14ac:dyDescent="0.35">
      <c r="A561" t="s">
        <v>790</v>
      </c>
      <c r="B561" t="s">
        <v>784</v>
      </c>
      <c r="C561" s="44" t="s">
        <v>524</v>
      </c>
      <c r="D561" s="37" t="s">
        <v>507</v>
      </c>
      <c r="E561" s="44" t="s">
        <v>685</v>
      </c>
      <c r="F561" s="41">
        <v>44912</v>
      </c>
      <c r="G561" s="46">
        <v>3098502.2</v>
      </c>
      <c r="H561" s="50" t="s">
        <v>791</v>
      </c>
      <c r="I561" t="s">
        <v>790</v>
      </c>
      <c r="J561">
        <v>46</v>
      </c>
      <c r="K561" t="s">
        <v>783</v>
      </c>
    </row>
    <row r="562" spans="1:11" x14ac:dyDescent="0.35">
      <c r="A562" t="s">
        <v>790</v>
      </c>
      <c r="B562" t="s">
        <v>784</v>
      </c>
      <c r="C562" s="44" t="s">
        <v>647</v>
      </c>
      <c r="D562" s="37" t="s">
        <v>507</v>
      </c>
      <c r="E562" s="44" t="s">
        <v>686</v>
      </c>
      <c r="F562" s="45">
        <v>44914</v>
      </c>
      <c r="G562" s="46">
        <v>4638060</v>
      </c>
      <c r="H562" s="50" t="s">
        <v>791</v>
      </c>
      <c r="I562" t="s">
        <v>790</v>
      </c>
      <c r="J562">
        <v>44</v>
      </c>
      <c r="K562" t="s">
        <v>783</v>
      </c>
    </row>
    <row r="563" spans="1:11" x14ac:dyDescent="0.35">
      <c r="A563" t="s">
        <v>790</v>
      </c>
      <c r="B563" t="s">
        <v>784</v>
      </c>
      <c r="C563" s="44" t="s">
        <v>551</v>
      </c>
      <c r="D563" s="37" t="s">
        <v>507</v>
      </c>
      <c r="E563" s="44" t="s">
        <v>687</v>
      </c>
      <c r="F563" s="45">
        <v>44914</v>
      </c>
      <c r="G563" s="46">
        <v>3739896</v>
      </c>
      <c r="H563" s="50" t="s">
        <v>791</v>
      </c>
      <c r="I563" t="s">
        <v>790</v>
      </c>
      <c r="J563">
        <v>44</v>
      </c>
      <c r="K563" t="s">
        <v>783</v>
      </c>
    </row>
    <row r="564" spans="1:11" x14ac:dyDescent="0.35">
      <c r="A564" t="s">
        <v>790</v>
      </c>
      <c r="B564" t="s">
        <v>784</v>
      </c>
      <c r="C564" s="44" t="s">
        <v>564</v>
      </c>
      <c r="D564" s="37" t="s">
        <v>507</v>
      </c>
      <c r="E564" s="44" t="s">
        <v>688</v>
      </c>
      <c r="F564" s="45">
        <v>44914</v>
      </c>
      <c r="G564" s="46">
        <v>3510143.44</v>
      </c>
      <c r="H564" s="50" t="s">
        <v>791</v>
      </c>
      <c r="I564" t="s">
        <v>790</v>
      </c>
      <c r="J564">
        <v>44</v>
      </c>
      <c r="K564" t="s">
        <v>783</v>
      </c>
    </row>
    <row r="565" spans="1:11" x14ac:dyDescent="0.35">
      <c r="A565" t="s">
        <v>790</v>
      </c>
      <c r="B565" t="s">
        <v>784</v>
      </c>
      <c r="C565" s="44" t="s">
        <v>606</v>
      </c>
      <c r="D565" s="37" t="s">
        <v>507</v>
      </c>
      <c r="E565" s="44" t="s">
        <v>689</v>
      </c>
      <c r="F565" s="45">
        <v>44915</v>
      </c>
      <c r="G565" s="46">
        <v>3406232.99</v>
      </c>
      <c r="H565" s="50" t="s">
        <v>791</v>
      </c>
      <c r="I565" t="s">
        <v>790</v>
      </c>
      <c r="J565">
        <v>43</v>
      </c>
      <c r="K565" t="s">
        <v>783</v>
      </c>
    </row>
    <row r="566" spans="1:11" x14ac:dyDescent="0.35">
      <c r="A566" t="s">
        <v>790</v>
      </c>
      <c r="B566" t="s">
        <v>784</v>
      </c>
      <c r="C566" s="44" t="s">
        <v>553</v>
      </c>
      <c r="D566" s="37" t="s">
        <v>507</v>
      </c>
      <c r="E566" s="44" t="s">
        <v>690</v>
      </c>
      <c r="F566" s="41">
        <v>44915</v>
      </c>
      <c r="G566" s="46">
        <v>2624924.37</v>
      </c>
      <c r="H566" s="50" t="s">
        <v>791</v>
      </c>
      <c r="I566" t="s">
        <v>790</v>
      </c>
      <c r="J566">
        <v>43</v>
      </c>
      <c r="K566" t="s">
        <v>783</v>
      </c>
    </row>
    <row r="567" spans="1:11" x14ac:dyDescent="0.35">
      <c r="A567" t="s">
        <v>790</v>
      </c>
      <c r="B567" t="s">
        <v>784</v>
      </c>
      <c r="C567" s="44" t="s">
        <v>551</v>
      </c>
      <c r="D567" s="37" t="s">
        <v>507</v>
      </c>
      <c r="E567" s="44" t="s">
        <v>691</v>
      </c>
      <c r="F567" s="45">
        <v>44918</v>
      </c>
      <c r="G567" s="46">
        <v>3739896</v>
      </c>
      <c r="H567" s="50" t="s">
        <v>791</v>
      </c>
      <c r="I567" t="s">
        <v>790</v>
      </c>
      <c r="J567">
        <v>40</v>
      </c>
      <c r="K567" t="s">
        <v>783</v>
      </c>
    </row>
    <row r="568" spans="1:11" x14ac:dyDescent="0.35">
      <c r="A568" t="s">
        <v>790</v>
      </c>
      <c r="B568" t="s">
        <v>784</v>
      </c>
      <c r="C568" s="44" t="s">
        <v>573</v>
      </c>
      <c r="D568" s="37" t="s">
        <v>507</v>
      </c>
      <c r="E568" s="44" t="s">
        <v>692</v>
      </c>
      <c r="F568" s="45">
        <v>44918</v>
      </c>
      <c r="G568" s="46">
        <v>3751704.45</v>
      </c>
      <c r="H568" s="50" t="s">
        <v>791</v>
      </c>
      <c r="I568" t="s">
        <v>790</v>
      </c>
      <c r="J568">
        <v>40</v>
      </c>
      <c r="K568" t="s">
        <v>783</v>
      </c>
    </row>
    <row r="569" spans="1:11" x14ac:dyDescent="0.35">
      <c r="A569" t="s">
        <v>790</v>
      </c>
      <c r="B569" t="s">
        <v>784</v>
      </c>
      <c r="C569" s="44" t="s">
        <v>693</v>
      </c>
      <c r="D569" s="37" t="s">
        <v>507</v>
      </c>
      <c r="E569" s="44" t="s">
        <v>694</v>
      </c>
      <c r="F569" s="49">
        <v>44918</v>
      </c>
      <c r="G569" s="46">
        <v>3504312</v>
      </c>
      <c r="H569" s="50" t="s">
        <v>791</v>
      </c>
      <c r="I569" t="s">
        <v>790</v>
      </c>
      <c r="J569">
        <v>40</v>
      </c>
      <c r="K569" t="s">
        <v>783</v>
      </c>
    </row>
    <row r="570" spans="1:11" x14ac:dyDescent="0.35">
      <c r="A570" t="s">
        <v>790</v>
      </c>
      <c r="B570" t="s">
        <v>784</v>
      </c>
      <c r="C570" s="44" t="s">
        <v>548</v>
      </c>
      <c r="D570" s="37" t="s">
        <v>507</v>
      </c>
      <c r="E570" s="44" t="s">
        <v>695</v>
      </c>
      <c r="F570" s="45">
        <v>44919</v>
      </c>
      <c r="G570" s="46">
        <v>1511149.12</v>
      </c>
      <c r="H570" s="50" t="s">
        <v>791</v>
      </c>
      <c r="I570" t="s">
        <v>790</v>
      </c>
      <c r="J570">
        <v>39</v>
      </c>
      <c r="K570" t="s">
        <v>783</v>
      </c>
    </row>
    <row r="571" spans="1:11" x14ac:dyDescent="0.35">
      <c r="A571" t="s">
        <v>790</v>
      </c>
      <c r="B571" t="s">
        <v>784</v>
      </c>
      <c r="C571" s="44" t="s">
        <v>575</v>
      </c>
      <c r="D571" s="37" t="s">
        <v>507</v>
      </c>
      <c r="E571" s="44" t="s">
        <v>696</v>
      </c>
      <c r="F571" s="45">
        <v>44919</v>
      </c>
      <c r="G571" s="46">
        <v>3354262.56</v>
      </c>
      <c r="H571" s="50" t="s">
        <v>791</v>
      </c>
      <c r="I571" t="s">
        <v>790</v>
      </c>
      <c r="J571">
        <v>39</v>
      </c>
      <c r="K571" t="s">
        <v>783</v>
      </c>
    </row>
    <row r="572" spans="1:11" x14ac:dyDescent="0.35">
      <c r="A572" t="s">
        <v>790</v>
      </c>
      <c r="B572" t="s">
        <v>784</v>
      </c>
      <c r="C572" s="44" t="s">
        <v>540</v>
      </c>
      <c r="D572" s="37" t="s">
        <v>507</v>
      </c>
      <c r="E572" s="44" t="s">
        <v>697</v>
      </c>
      <c r="F572" s="45">
        <v>44920</v>
      </c>
      <c r="G572" s="46">
        <v>3369869.26</v>
      </c>
      <c r="H572" s="50" t="s">
        <v>791</v>
      </c>
      <c r="I572" t="s">
        <v>790</v>
      </c>
      <c r="J572">
        <v>38</v>
      </c>
      <c r="K572" t="s">
        <v>783</v>
      </c>
    </row>
    <row r="573" spans="1:11" x14ac:dyDescent="0.35">
      <c r="A573" t="s">
        <v>790</v>
      </c>
      <c r="B573" t="s">
        <v>784</v>
      </c>
      <c r="C573" s="44" t="s">
        <v>536</v>
      </c>
      <c r="D573" s="37" t="s">
        <v>507</v>
      </c>
      <c r="E573" s="44" t="s">
        <v>698</v>
      </c>
      <c r="F573" s="45">
        <v>44921</v>
      </c>
      <c r="G573" s="46">
        <v>3672953.08</v>
      </c>
      <c r="H573" s="50" t="s">
        <v>791</v>
      </c>
      <c r="I573" t="s">
        <v>790</v>
      </c>
      <c r="J573">
        <v>37</v>
      </c>
      <c r="K573" t="s">
        <v>783</v>
      </c>
    </row>
    <row r="574" spans="1:11" x14ac:dyDescent="0.35">
      <c r="A574" t="s">
        <v>790</v>
      </c>
      <c r="B574" t="s">
        <v>784</v>
      </c>
      <c r="C574" s="44" t="s">
        <v>635</v>
      </c>
      <c r="D574" s="37" t="s">
        <v>507</v>
      </c>
      <c r="E574" s="44" t="s">
        <v>699</v>
      </c>
      <c r="F574" s="45">
        <v>44921</v>
      </c>
      <c r="G574" s="46">
        <v>3208531.38</v>
      </c>
      <c r="H574" s="50" t="s">
        <v>791</v>
      </c>
      <c r="I574" t="s">
        <v>790</v>
      </c>
      <c r="J574">
        <v>37</v>
      </c>
      <c r="K574" t="s">
        <v>783</v>
      </c>
    </row>
    <row r="575" spans="1:11" x14ac:dyDescent="0.35">
      <c r="A575" t="s">
        <v>790</v>
      </c>
      <c r="B575" t="s">
        <v>784</v>
      </c>
      <c r="C575" s="44" t="s">
        <v>540</v>
      </c>
      <c r="D575" s="37" t="s">
        <v>507</v>
      </c>
      <c r="E575" s="44" t="s">
        <v>700</v>
      </c>
      <c r="F575" s="45">
        <v>44921</v>
      </c>
      <c r="G575" s="46">
        <v>3209126.87</v>
      </c>
      <c r="H575" s="50" t="s">
        <v>791</v>
      </c>
      <c r="I575" t="s">
        <v>790</v>
      </c>
      <c r="J575">
        <v>37</v>
      </c>
      <c r="K575" t="s">
        <v>783</v>
      </c>
    </row>
    <row r="576" spans="1:11" x14ac:dyDescent="0.35">
      <c r="A576" t="s">
        <v>790</v>
      </c>
      <c r="B576" t="s">
        <v>784</v>
      </c>
      <c r="C576" s="44" t="s">
        <v>701</v>
      </c>
      <c r="D576" s="37" t="s">
        <v>507</v>
      </c>
      <c r="E576" s="44" t="s">
        <v>702</v>
      </c>
      <c r="F576" s="41">
        <v>44921</v>
      </c>
      <c r="G576" s="46">
        <v>1919028</v>
      </c>
      <c r="H576" s="50" t="s">
        <v>791</v>
      </c>
      <c r="I576" t="s">
        <v>790</v>
      </c>
      <c r="J576">
        <v>37</v>
      </c>
      <c r="K576" t="s">
        <v>783</v>
      </c>
    </row>
    <row r="577" spans="1:11" x14ac:dyDescent="0.35">
      <c r="A577" t="s">
        <v>790</v>
      </c>
      <c r="B577" t="s">
        <v>784</v>
      </c>
      <c r="C577" s="44" t="s">
        <v>553</v>
      </c>
      <c r="D577" s="37" t="s">
        <v>507</v>
      </c>
      <c r="E577" s="44" t="s">
        <v>703</v>
      </c>
      <c r="F577" s="41">
        <v>44922</v>
      </c>
      <c r="G577" s="46">
        <v>2823287.74</v>
      </c>
      <c r="H577" s="50" t="s">
        <v>791</v>
      </c>
      <c r="I577" t="s">
        <v>790</v>
      </c>
      <c r="J577">
        <v>36</v>
      </c>
      <c r="K577" t="s">
        <v>783</v>
      </c>
    </row>
    <row r="578" spans="1:11" x14ac:dyDescent="0.35">
      <c r="A578" t="s">
        <v>790</v>
      </c>
      <c r="B578" t="s">
        <v>784</v>
      </c>
      <c r="C578" s="44" t="s">
        <v>530</v>
      </c>
      <c r="D578" s="37" t="s">
        <v>507</v>
      </c>
      <c r="E578" s="44" t="s">
        <v>704</v>
      </c>
      <c r="F578" s="45">
        <v>44923</v>
      </c>
      <c r="G578" s="46">
        <v>3621408.7</v>
      </c>
      <c r="H578" s="50" t="s">
        <v>791</v>
      </c>
      <c r="I578" t="s">
        <v>790</v>
      </c>
      <c r="J578">
        <v>35</v>
      </c>
      <c r="K578" t="s">
        <v>783</v>
      </c>
    </row>
    <row r="579" spans="1:11" x14ac:dyDescent="0.35">
      <c r="A579" t="s">
        <v>790</v>
      </c>
      <c r="B579" t="s">
        <v>784</v>
      </c>
      <c r="C579" s="44" t="s">
        <v>609</v>
      </c>
      <c r="D579" s="37" t="s">
        <v>507</v>
      </c>
      <c r="E579" s="44" t="s">
        <v>705</v>
      </c>
      <c r="F579" s="45">
        <v>44923</v>
      </c>
      <c r="G579" s="46">
        <v>2592037.5</v>
      </c>
      <c r="H579" s="50" t="s">
        <v>791</v>
      </c>
      <c r="I579" t="s">
        <v>790</v>
      </c>
      <c r="J579">
        <v>35</v>
      </c>
      <c r="K579" t="s">
        <v>783</v>
      </c>
    </row>
    <row r="580" spans="1:11" x14ac:dyDescent="0.35">
      <c r="A580" t="s">
        <v>790</v>
      </c>
      <c r="B580" t="s">
        <v>784</v>
      </c>
      <c r="C580" s="44" t="s">
        <v>536</v>
      </c>
      <c r="D580" s="37" t="s">
        <v>507</v>
      </c>
      <c r="E580" s="44" t="s">
        <v>706</v>
      </c>
      <c r="F580" s="45">
        <v>44924</v>
      </c>
      <c r="G580" s="46">
        <v>3797775.28</v>
      </c>
      <c r="H580" s="50" t="s">
        <v>791</v>
      </c>
      <c r="I580" t="s">
        <v>790</v>
      </c>
      <c r="J580">
        <v>34</v>
      </c>
      <c r="K580" t="s">
        <v>783</v>
      </c>
    </row>
    <row r="581" spans="1:11" x14ac:dyDescent="0.35">
      <c r="A581" t="s">
        <v>790</v>
      </c>
      <c r="B581" t="s">
        <v>784</v>
      </c>
      <c r="C581" s="44" t="s">
        <v>707</v>
      </c>
      <c r="D581" s="37" t="s">
        <v>507</v>
      </c>
      <c r="E581" s="44" t="s">
        <v>708</v>
      </c>
      <c r="F581" s="45">
        <v>44924</v>
      </c>
      <c r="G581" s="46">
        <v>3054739.2</v>
      </c>
      <c r="H581" s="50" t="s">
        <v>791</v>
      </c>
      <c r="I581" t="s">
        <v>790</v>
      </c>
      <c r="J581">
        <v>34</v>
      </c>
      <c r="K581" t="s">
        <v>783</v>
      </c>
    </row>
    <row r="582" spans="1:11" x14ac:dyDescent="0.35">
      <c r="A582" t="s">
        <v>790</v>
      </c>
      <c r="B582" t="s">
        <v>784</v>
      </c>
      <c r="C582" s="44" t="s">
        <v>598</v>
      </c>
      <c r="D582" s="37" t="s">
        <v>507</v>
      </c>
      <c r="E582" s="44" t="s">
        <v>709</v>
      </c>
      <c r="F582" s="41">
        <v>44924</v>
      </c>
      <c r="G582" s="46">
        <v>1547574.2</v>
      </c>
      <c r="H582" s="50" t="s">
        <v>791</v>
      </c>
      <c r="I582" t="s">
        <v>790</v>
      </c>
      <c r="J582">
        <v>34</v>
      </c>
      <c r="K582" t="s">
        <v>783</v>
      </c>
    </row>
    <row r="583" spans="1:11" x14ac:dyDescent="0.35">
      <c r="A583" t="s">
        <v>790</v>
      </c>
      <c r="B583" t="s">
        <v>784</v>
      </c>
      <c r="C583" s="44" t="s">
        <v>548</v>
      </c>
      <c r="D583" s="37" t="s">
        <v>507</v>
      </c>
      <c r="E583" s="44" t="s">
        <v>710</v>
      </c>
      <c r="F583" s="45">
        <v>44925</v>
      </c>
      <c r="G583" s="46">
        <v>1334976</v>
      </c>
      <c r="H583" s="50" t="s">
        <v>791</v>
      </c>
      <c r="I583" t="s">
        <v>790</v>
      </c>
      <c r="J583">
        <v>33</v>
      </c>
      <c r="K583" t="s">
        <v>783</v>
      </c>
    </row>
    <row r="584" spans="1:11" x14ac:dyDescent="0.35">
      <c r="A584" t="s">
        <v>790</v>
      </c>
      <c r="B584" t="s">
        <v>784</v>
      </c>
      <c r="C584" s="44" t="s">
        <v>548</v>
      </c>
      <c r="D584" s="37" t="s">
        <v>507</v>
      </c>
      <c r="E584" s="44" t="s">
        <v>711</v>
      </c>
      <c r="F584" s="45">
        <v>44925</v>
      </c>
      <c r="G584" s="46">
        <v>3616967.01</v>
      </c>
      <c r="H584" s="50" t="s">
        <v>791</v>
      </c>
      <c r="I584" t="s">
        <v>790</v>
      </c>
      <c r="J584">
        <v>33</v>
      </c>
      <c r="K584" t="s">
        <v>783</v>
      </c>
    </row>
    <row r="585" spans="1:11" x14ac:dyDescent="0.35">
      <c r="A585" t="s">
        <v>790</v>
      </c>
      <c r="B585" t="s">
        <v>784</v>
      </c>
      <c r="C585" s="44" t="s">
        <v>573</v>
      </c>
      <c r="D585" s="37" t="s">
        <v>507</v>
      </c>
      <c r="E585" s="44" t="s">
        <v>712</v>
      </c>
      <c r="F585" s="45">
        <v>44925</v>
      </c>
      <c r="G585" s="46">
        <v>3570697.02</v>
      </c>
      <c r="H585" s="50" t="s">
        <v>791</v>
      </c>
      <c r="I585" t="s">
        <v>790</v>
      </c>
      <c r="J585">
        <v>33</v>
      </c>
      <c r="K585" t="s">
        <v>783</v>
      </c>
    </row>
    <row r="586" spans="1:11" x14ac:dyDescent="0.35">
      <c r="A586" t="s">
        <v>790</v>
      </c>
      <c r="B586" t="s">
        <v>784</v>
      </c>
      <c r="C586" s="44" t="s">
        <v>553</v>
      </c>
      <c r="D586" s="37" t="s">
        <v>507</v>
      </c>
      <c r="E586" s="44" t="s">
        <v>713</v>
      </c>
      <c r="F586" s="41">
        <v>44925</v>
      </c>
      <c r="G586" s="46">
        <v>2815107.74</v>
      </c>
      <c r="H586" s="50" t="s">
        <v>791</v>
      </c>
      <c r="I586" t="s">
        <v>790</v>
      </c>
      <c r="J586">
        <v>33</v>
      </c>
      <c r="K586" t="s">
        <v>783</v>
      </c>
    </row>
    <row r="587" spans="1:11" x14ac:dyDescent="0.35">
      <c r="A587" t="s">
        <v>790</v>
      </c>
      <c r="B587" t="s">
        <v>784</v>
      </c>
      <c r="C587" s="44" t="s">
        <v>553</v>
      </c>
      <c r="D587" s="37" t="s">
        <v>507</v>
      </c>
      <c r="E587" s="44" t="s">
        <v>714</v>
      </c>
      <c r="F587" s="41">
        <v>44925</v>
      </c>
      <c r="G587" s="46">
        <v>2849319.77</v>
      </c>
      <c r="H587" s="50" t="s">
        <v>791</v>
      </c>
      <c r="I587" t="s">
        <v>790</v>
      </c>
      <c r="J587">
        <v>33</v>
      </c>
      <c r="K587" t="s">
        <v>783</v>
      </c>
    </row>
    <row r="588" spans="1:11" x14ac:dyDescent="0.35">
      <c r="A588" t="s">
        <v>790</v>
      </c>
      <c r="B588" t="s">
        <v>784</v>
      </c>
      <c r="C588" s="44" t="s">
        <v>715</v>
      </c>
      <c r="D588" s="37" t="s">
        <v>507</v>
      </c>
      <c r="E588" s="44" t="s">
        <v>716</v>
      </c>
      <c r="F588" s="45">
        <v>44926</v>
      </c>
      <c r="G588" s="46">
        <v>2836169.6</v>
      </c>
      <c r="H588" s="50" t="s">
        <v>791</v>
      </c>
      <c r="I588" t="s">
        <v>790</v>
      </c>
      <c r="J588">
        <v>32</v>
      </c>
      <c r="K588" t="s">
        <v>783</v>
      </c>
    </row>
    <row r="589" spans="1:11" x14ac:dyDescent="0.35">
      <c r="A589" t="s">
        <v>790</v>
      </c>
      <c r="B589" t="s">
        <v>784</v>
      </c>
      <c r="C589" s="44" t="s">
        <v>667</v>
      </c>
      <c r="D589" s="37" t="s">
        <v>507</v>
      </c>
      <c r="E589" s="44" t="s">
        <v>717</v>
      </c>
      <c r="F589" s="45">
        <v>44926</v>
      </c>
      <c r="G589" s="46">
        <v>2951736.64</v>
      </c>
      <c r="H589" s="50" t="s">
        <v>791</v>
      </c>
      <c r="I589" t="s">
        <v>790</v>
      </c>
      <c r="J589">
        <v>32</v>
      </c>
      <c r="K589" t="s">
        <v>783</v>
      </c>
    </row>
    <row r="590" spans="1:11" x14ac:dyDescent="0.35">
      <c r="A590" t="s">
        <v>790</v>
      </c>
      <c r="B590" t="s">
        <v>784</v>
      </c>
      <c r="C590" s="44" t="s">
        <v>596</v>
      </c>
      <c r="D590" s="37" t="s">
        <v>507</v>
      </c>
      <c r="E590" s="44" t="s">
        <v>718</v>
      </c>
      <c r="F590" s="41">
        <v>44926</v>
      </c>
      <c r="G590" s="46">
        <v>2395022.2000000002</v>
      </c>
      <c r="H590" s="50" t="s">
        <v>791</v>
      </c>
      <c r="I590" t="s">
        <v>790</v>
      </c>
      <c r="J590">
        <v>32</v>
      </c>
      <c r="K590" t="s">
        <v>783</v>
      </c>
    </row>
    <row r="591" spans="1:11" x14ac:dyDescent="0.35">
      <c r="A591" t="s">
        <v>790</v>
      </c>
      <c r="B591" t="s">
        <v>784</v>
      </c>
      <c r="C591" s="44" t="s">
        <v>596</v>
      </c>
      <c r="D591" s="37" t="s">
        <v>507</v>
      </c>
      <c r="E591" s="44" t="s">
        <v>719</v>
      </c>
      <c r="F591" s="41">
        <v>44926</v>
      </c>
      <c r="G591" s="46">
        <v>1491906.03</v>
      </c>
      <c r="H591" s="50" t="s">
        <v>791</v>
      </c>
      <c r="I591" t="s">
        <v>790</v>
      </c>
      <c r="J591">
        <v>32</v>
      </c>
      <c r="K591" t="s">
        <v>783</v>
      </c>
    </row>
    <row r="592" spans="1:11" x14ac:dyDescent="0.35">
      <c r="A592" t="s">
        <v>790</v>
      </c>
      <c r="B592" t="s">
        <v>784</v>
      </c>
      <c r="C592" s="44" t="s">
        <v>596</v>
      </c>
      <c r="D592" s="37" t="s">
        <v>507</v>
      </c>
      <c r="E592" s="44" t="s">
        <v>720</v>
      </c>
      <c r="F592" s="41">
        <v>44926</v>
      </c>
      <c r="G592" s="46">
        <v>59980.67</v>
      </c>
      <c r="H592" s="50" t="s">
        <v>791</v>
      </c>
      <c r="I592" t="s">
        <v>790</v>
      </c>
      <c r="J592">
        <v>32</v>
      </c>
      <c r="K592" t="s">
        <v>783</v>
      </c>
    </row>
    <row r="593" spans="1:11" x14ac:dyDescent="0.35">
      <c r="A593" t="s">
        <v>790</v>
      </c>
      <c r="B593" t="s">
        <v>784</v>
      </c>
      <c r="C593" s="44" t="s">
        <v>678</v>
      </c>
      <c r="D593" s="37" t="s">
        <v>507</v>
      </c>
      <c r="E593" s="44" t="s">
        <v>721</v>
      </c>
      <c r="F593" s="49">
        <v>44926</v>
      </c>
      <c r="G593" s="46">
        <v>3921109.4</v>
      </c>
      <c r="H593" s="50" t="s">
        <v>791</v>
      </c>
      <c r="I593" t="s">
        <v>790</v>
      </c>
      <c r="J593">
        <v>32</v>
      </c>
      <c r="K593" t="s">
        <v>783</v>
      </c>
    </row>
    <row r="594" spans="1:11" x14ac:dyDescent="0.35">
      <c r="A594" t="s">
        <v>790</v>
      </c>
      <c r="B594" t="s">
        <v>784</v>
      </c>
      <c r="C594" s="18" t="s">
        <v>581</v>
      </c>
      <c r="D594" s="37" t="s">
        <v>507</v>
      </c>
      <c r="E594" s="18" t="s">
        <v>722</v>
      </c>
      <c r="F594" s="19">
        <v>44929</v>
      </c>
      <c r="G594" s="18">
        <v>3655476.47</v>
      </c>
      <c r="H594" s="50" t="s">
        <v>791</v>
      </c>
      <c r="I594" t="s">
        <v>790</v>
      </c>
      <c r="J594">
        <v>29</v>
      </c>
      <c r="K594" t="s">
        <v>783</v>
      </c>
    </row>
    <row r="595" spans="1:11" x14ac:dyDescent="0.35">
      <c r="A595" t="s">
        <v>790</v>
      </c>
      <c r="B595" t="s">
        <v>784</v>
      </c>
      <c r="C595" s="18" t="s">
        <v>617</v>
      </c>
      <c r="D595" s="37" t="s">
        <v>507</v>
      </c>
      <c r="E595" s="18" t="s">
        <v>723</v>
      </c>
      <c r="F595" s="19">
        <v>44930</v>
      </c>
      <c r="G595" s="18">
        <v>3722803.07</v>
      </c>
      <c r="H595" s="50" t="s">
        <v>791</v>
      </c>
      <c r="I595" t="s">
        <v>790</v>
      </c>
      <c r="J595">
        <v>28</v>
      </c>
      <c r="K595" t="s">
        <v>783</v>
      </c>
    </row>
    <row r="596" spans="1:11" x14ac:dyDescent="0.35">
      <c r="A596" t="s">
        <v>790</v>
      </c>
      <c r="B596" t="s">
        <v>784</v>
      </c>
      <c r="C596" s="18" t="s">
        <v>724</v>
      </c>
      <c r="D596" s="37" t="s">
        <v>507</v>
      </c>
      <c r="E596" s="18" t="s">
        <v>725</v>
      </c>
      <c r="F596" s="19">
        <v>44931</v>
      </c>
      <c r="G596" s="18">
        <v>3339449.53</v>
      </c>
      <c r="H596" s="50" t="s">
        <v>791</v>
      </c>
      <c r="I596" t="s">
        <v>790</v>
      </c>
      <c r="J596">
        <v>27</v>
      </c>
      <c r="K596" t="s">
        <v>783</v>
      </c>
    </row>
    <row r="597" spans="1:11" x14ac:dyDescent="0.35">
      <c r="A597" t="s">
        <v>790</v>
      </c>
      <c r="B597" t="s">
        <v>784</v>
      </c>
      <c r="C597" s="18" t="s">
        <v>681</v>
      </c>
      <c r="D597" s="37" t="s">
        <v>507</v>
      </c>
      <c r="E597" s="18" t="s">
        <v>726</v>
      </c>
      <c r="F597" s="19">
        <v>44931</v>
      </c>
      <c r="G597" s="18">
        <v>3459077.11</v>
      </c>
      <c r="H597" s="50" t="s">
        <v>791</v>
      </c>
      <c r="I597" t="s">
        <v>790</v>
      </c>
      <c r="J597">
        <v>27</v>
      </c>
      <c r="K597" t="s">
        <v>783</v>
      </c>
    </row>
    <row r="598" spans="1:11" x14ac:dyDescent="0.35">
      <c r="A598" t="s">
        <v>790</v>
      </c>
      <c r="B598" t="s">
        <v>784</v>
      </c>
      <c r="C598" s="18" t="s">
        <v>579</v>
      </c>
      <c r="D598" s="37" t="s">
        <v>507</v>
      </c>
      <c r="E598" s="18" t="s">
        <v>727</v>
      </c>
      <c r="F598" s="19">
        <v>44933</v>
      </c>
      <c r="G598" s="18">
        <v>3664361.47</v>
      </c>
      <c r="H598" s="50" t="s">
        <v>791</v>
      </c>
      <c r="I598" t="s">
        <v>790</v>
      </c>
      <c r="J598">
        <v>25</v>
      </c>
      <c r="K598" t="s">
        <v>783</v>
      </c>
    </row>
    <row r="599" spans="1:11" x14ac:dyDescent="0.35">
      <c r="A599" t="s">
        <v>790</v>
      </c>
      <c r="B599" t="s">
        <v>784</v>
      </c>
      <c r="C599" s="18" t="s">
        <v>728</v>
      </c>
      <c r="D599" s="37" t="s">
        <v>507</v>
      </c>
      <c r="E599" s="18" t="s">
        <v>729</v>
      </c>
      <c r="F599" s="19">
        <v>44933</v>
      </c>
      <c r="G599" s="18">
        <v>3260626.6</v>
      </c>
      <c r="H599" s="50" t="s">
        <v>791</v>
      </c>
      <c r="I599" t="s">
        <v>790</v>
      </c>
      <c r="J599">
        <v>25</v>
      </c>
      <c r="K599" t="s">
        <v>783</v>
      </c>
    </row>
    <row r="600" spans="1:11" x14ac:dyDescent="0.35">
      <c r="A600" t="s">
        <v>790</v>
      </c>
      <c r="B600" t="s">
        <v>784</v>
      </c>
      <c r="C600" s="18" t="s">
        <v>573</v>
      </c>
      <c r="D600" s="37" t="s">
        <v>507</v>
      </c>
      <c r="E600" s="18" t="s">
        <v>730</v>
      </c>
      <c r="F600" s="19">
        <v>44933</v>
      </c>
      <c r="G600" s="18">
        <v>3495987</v>
      </c>
      <c r="H600" s="50" t="s">
        <v>791</v>
      </c>
      <c r="I600" t="s">
        <v>790</v>
      </c>
      <c r="J600">
        <v>25</v>
      </c>
      <c r="K600" t="s">
        <v>783</v>
      </c>
    </row>
    <row r="601" spans="1:11" x14ac:dyDescent="0.35">
      <c r="A601" t="s">
        <v>790</v>
      </c>
      <c r="B601" t="s">
        <v>784</v>
      </c>
      <c r="C601" s="18" t="s">
        <v>728</v>
      </c>
      <c r="D601" s="37" t="s">
        <v>507</v>
      </c>
      <c r="E601" s="18" t="s">
        <v>731</v>
      </c>
      <c r="F601" s="19">
        <v>44934</v>
      </c>
      <c r="G601" s="18">
        <v>3248416.05</v>
      </c>
      <c r="H601" s="50" t="s">
        <v>791</v>
      </c>
      <c r="I601" t="s">
        <v>790</v>
      </c>
      <c r="J601">
        <v>24</v>
      </c>
      <c r="K601" t="s">
        <v>783</v>
      </c>
    </row>
    <row r="602" spans="1:11" x14ac:dyDescent="0.35">
      <c r="A602" t="s">
        <v>790</v>
      </c>
      <c r="B602" t="s">
        <v>784</v>
      </c>
      <c r="C602" s="18" t="s">
        <v>732</v>
      </c>
      <c r="D602" s="37" t="s">
        <v>507</v>
      </c>
      <c r="E602" s="18" t="s">
        <v>733</v>
      </c>
      <c r="F602" s="19">
        <v>44935</v>
      </c>
      <c r="G602" s="18">
        <v>1756797.02</v>
      </c>
      <c r="H602" s="50" t="s">
        <v>791</v>
      </c>
      <c r="I602" t="s">
        <v>790</v>
      </c>
      <c r="J602">
        <v>23</v>
      </c>
      <c r="K602" t="s">
        <v>783</v>
      </c>
    </row>
    <row r="603" spans="1:11" x14ac:dyDescent="0.35">
      <c r="A603" t="s">
        <v>790</v>
      </c>
      <c r="B603" t="s">
        <v>784</v>
      </c>
      <c r="C603" s="18" t="s">
        <v>573</v>
      </c>
      <c r="D603" s="37" t="s">
        <v>507</v>
      </c>
      <c r="E603" s="18" t="s">
        <v>734</v>
      </c>
      <c r="F603" s="19">
        <v>44935</v>
      </c>
      <c r="G603" s="18">
        <v>3591983.23</v>
      </c>
      <c r="H603" s="50" t="s">
        <v>791</v>
      </c>
      <c r="I603" t="s">
        <v>790</v>
      </c>
      <c r="J603">
        <v>23</v>
      </c>
      <c r="K603" t="s">
        <v>783</v>
      </c>
    </row>
    <row r="604" spans="1:11" x14ac:dyDescent="0.35">
      <c r="A604" t="s">
        <v>790</v>
      </c>
      <c r="B604" t="s">
        <v>784</v>
      </c>
      <c r="C604" s="18" t="s">
        <v>635</v>
      </c>
      <c r="D604" s="37" t="s">
        <v>507</v>
      </c>
      <c r="E604" s="18" t="s">
        <v>735</v>
      </c>
      <c r="F604" s="19">
        <v>44936</v>
      </c>
      <c r="G604" s="18">
        <v>2993387.04</v>
      </c>
      <c r="H604" s="50" t="s">
        <v>791</v>
      </c>
      <c r="I604" t="s">
        <v>790</v>
      </c>
      <c r="J604">
        <v>22</v>
      </c>
      <c r="K604" t="s">
        <v>783</v>
      </c>
    </row>
    <row r="605" spans="1:11" x14ac:dyDescent="0.35">
      <c r="A605" t="s">
        <v>790</v>
      </c>
      <c r="B605" t="s">
        <v>784</v>
      </c>
      <c r="C605" s="18" t="s">
        <v>564</v>
      </c>
      <c r="D605" s="37" t="s">
        <v>507</v>
      </c>
      <c r="E605" s="18" t="s">
        <v>736</v>
      </c>
      <c r="F605" s="19">
        <v>44936</v>
      </c>
      <c r="G605" s="18">
        <v>3451525.35</v>
      </c>
      <c r="H605" s="50" t="s">
        <v>791</v>
      </c>
      <c r="I605" t="s">
        <v>790</v>
      </c>
      <c r="J605">
        <v>22</v>
      </c>
      <c r="K605" t="s">
        <v>783</v>
      </c>
    </row>
    <row r="606" spans="1:11" x14ac:dyDescent="0.35">
      <c r="A606" t="s">
        <v>790</v>
      </c>
      <c r="B606" t="s">
        <v>784</v>
      </c>
      <c r="C606" s="18" t="s">
        <v>536</v>
      </c>
      <c r="D606" s="37" t="s">
        <v>507</v>
      </c>
      <c r="E606" s="18" t="s">
        <v>737</v>
      </c>
      <c r="F606" s="19">
        <v>44937</v>
      </c>
      <c r="G606" s="18">
        <v>2919432.46</v>
      </c>
      <c r="H606" s="50" t="s">
        <v>791</v>
      </c>
      <c r="I606" t="s">
        <v>790</v>
      </c>
      <c r="J606">
        <v>21</v>
      </c>
      <c r="K606" t="s">
        <v>783</v>
      </c>
    </row>
    <row r="607" spans="1:11" x14ac:dyDescent="0.35">
      <c r="A607" t="s">
        <v>790</v>
      </c>
      <c r="B607" t="s">
        <v>784</v>
      </c>
      <c r="C607" s="18" t="s">
        <v>631</v>
      </c>
      <c r="D607" s="37" t="s">
        <v>507</v>
      </c>
      <c r="E607" s="18" t="s">
        <v>738</v>
      </c>
      <c r="F607" s="19">
        <v>44937</v>
      </c>
      <c r="G607" s="18">
        <v>3230796.8</v>
      </c>
      <c r="H607" s="50" t="s">
        <v>791</v>
      </c>
      <c r="I607" t="s">
        <v>790</v>
      </c>
      <c r="J607">
        <v>21</v>
      </c>
      <c r="K607" t="s">
        <v>783</v>
      </c>
    </row>
    <row r="608" spans="1:11" x14ac:dyDescent="0.35">
      <c r="A608" t="s">
        <v>790</v>
      </c>
      <c r="B608" t="s">
        <v>784</v>
      </c>
      <c r="C608" s="18" t="s">
        <v>543</v>
      </c>
      <c r="D608" s="37" t="s">
        <v>507</v>
      </c>
      <c r="E608" s="18" t="s">
        <v>739</v>
      </c>
      <c r="F608" s="19">
        <v>44937</v>
      </c>
      <c r="G608" s="18">
        <v>171262.35</v>
      </c>
      <c r="H608" s="50" t="s">
        <v>791</v>
      </c>
      <c r="I608" t="s">
        <v>790</v>
      </c>
      <c r="J608">
        <v>21</v>
      </c>
      <c r="K608" t="s">
        <v>783</v>
      </c>
    </row>
    <row r="609" spans="1:11" x14ac:dyDescent="0.35">
      <c r="A609" t="s">
        <v>790</v>
      </c>
      <c r="B609" t="s">
        <v>784</v>
      </c>
      <c r="C609" s="18" t="s">
        <v>543</v>
      </c>
      <c r="D609" s="37" t="s">
        <v>507</v>
      </c>
      <c r="E609" s="18" t="s">
        <v>740</v>
      </c>
      <c r="F609" s="19">
        <v>44937</v>
      </c>
      <c r="G609" s="18">
        <v>2773612.96</v>
      </c>
      <c r="H609" s="50" t="s">
        <v>791</v>
      </c>
      <c r="I609" t="s">
        <v>790</v>
      </c>
      <c r="J609">
        <v>21</v>
      </c>
      <c r="K609" t="s">
        <v>783</v>
      </c>
    </row>
    <row r="610" spans="1:11" x14ac:dyDescent="0.35">
      <c r="A610" t="s">
        <v>790</v>
      </c>
      <c r="B610" t="s">
        <v>784</v>
      </c>
      <c r="C610" s="18" t="s">
        <v>528</v>
      </c>
      <c r="D610" s="37" t="s">
        <v>507</v>
      </c>
      <c r="E610" s="18" t="s">
        <v>741</v>
      </c>
      <c r="F610" s="19">
        <v>44937</v>
      </c>
      <c r="G610" s="18">
        <v>2609472.39</v>
      </c>
      <c r="H610" s="50" t="s">
        <v>791</v>
      </c>
      <c r="I610" t="s">
        <v>790</v>
      </c>
      <c r="J610">
        <v>21</v>
      </c>
      <c r="K610" t="s">
        <v>783</v>
      </c>
    </row>
    <row r="611" spans="1:11" x14ac:dyDescent="0.35">
      <c r="A611" t="s">
        <v>790</v>
      </c>
      <c r="B611" t="s">
        <v>784</v>
      </c>
      <c r="C611" s="18" t="s">
        <v>528</v>
      </c>
      <c r="D611" s="37" t="s">
        <v>507</v>
      </c>
      <c r="E611" s="18" t="s">
        <v>742</v>
      </c>
      <c r="F611" s="19">
        <v>44937</v>
      </c>
      <c r="G611" s="18">
        <v>267943.71999999997</v>
      </c>
      <c r="H611" s="50" t="s">
        <v>791</v>
      </c>
      <c r="I611" t="s">
        <v>790</v>
      </c>
      <c r="J611">
        <v>21</v>
      </c>
      <c r="K611" t="s">
        <v>783</v>
      </c>
    </row>
    <row r="612" spans="1:11" x14ac:dyDescent="0.35">
      <c r="A612" t="s">
        <v>790</v>
      </c>
      <c r="B612" t="s">
        <v>784</v>
      </c>
      <c r="C612" s="18" t="s">
        <v>635</v>
      </c>
      <c r="D612" s="37" t="s">
        <v>507</v>
      </c>
      <c r="E612" s="18" t="s">
        <v>743</v>
      </c>
      <c r="F612" s="19">
        <v>44937</v>
      </c>
      <c r="G612" s="18">
        <v>2866502.83</v>
      </c>
      <c r="H612" s="50" t="s">
        <v>791</v>
      </c>
      <c r="I612" t="s">
        <v>790</v>
      </c>
      <c r="J612">
        <v>21</v>
      </c>
      <c r="K612" t="s">
        <v>783</v>
      </c>
    </row>
    <row r="613" spans="1:11" x14ac:dyDescent="0.35">
      <c r="A613" t="s">
        <v>790</v>
      </c>
      <c r="B613" t="s">
        <v>784</v>
      </c>
      <c r="C613" s="18" t="s">
        <v>573</v>
      </c>
      <c r="D613" s="37" t="s">
        <v>507</v>
      </c>
      <c r="E613" s="18" t="s">
        <v>744</v>
      </c>
      <c r="F613" s="19">
        <v>44938</v>
      </c>
      <c r="G613" s="18">
        <v>4622619.22</v>
      </c>
      <c r="H613" s="50" t="s">
        <v>791</v>
      </c>
      <c r="I613" t="s">
        <v>790</v>
      </c>
      <c r="J613">
        <v>20</v>
      </c>
      <c r="K613" t="s">
        <v>783</v>
      </c>
    </row>
    <row r="614" spans="1:11" x14ac:dyDescent="0.35">
      <c r="A614" t="s">
        <v>790</v>
      </c>
      <c r="B614" t="s">
        <v>784</v>
      </c>
      <c r="C614" s="18" t="s">
        <v>573</v>
      </c>
      <c r="D614" s="37" t="s">
        <v>507</v>
      </c>
      <c r="E614" s="18" t="s">
        <v>745</v>
      </c>
      <c r="F614" s="19">
        <v>44938</v>
      </c>
      <c r="G614" s="18">
        <v>3403925.34</v>
      </c>
      <c r="H614" s="50" t="s">
        <v>791</v>
      </c>
      <c r="I614" t="s">
        <v>790</v>
      </c>
      <c r="J614">
        <v>20</v>
      </c>
      <c r="K614" t="s">
        <v>783</v>
      </c>
    </row>
    <row r="615" spans="1:11" x14ac:dyDescent="0.35">
      <c r="A615" t="s">
        <v>790</v>
      </c>
      <c r="B615" t="s">
        <v>784</v>
      </c>
      <c r="C615" s="18" t="s">
        <v>584</v>
      </c>
      <c r="D615" s="37" t="s">
        <v>507</v>
      </c>
      <c r="E615" s="18" t="s">
        <v>746</v>
      </c>
      <c r="F615" s="19">
        <v>44938</v>
      </c>
      <c r="G615" s="18">
        <v>3641167.89</v>
      </c>
      <c r="H615" s="50" t="s">
        <v>791</v>
      </c>
      <c r="I615" t="s">
        <v>790</v>
      </c>
      <c r="J615">
        <v>20</v>
      </c>
      <c r="K615" t="s">
        <v>783</v>
      </c>
    </row>
    <row r="616" spans="1:11" x14ac:dyDescent="0.35">
      <c r="A616" t="s">
        <v>790</v>
      </c>
      <c r="B616" t="s">
        <v>784</v>
      </c>
      <c r="C616" s="18" t="s">
        <v>584</v>
      </c>
      <c r="D616" s="37" t="s">
        <v>507</v>
      </c>
      <c r="E616" s="18" t="s">
        <v>747</v>
      </c>
      <c r="F616" s="19">
        <v>44938</v>
      </c>
      <c r="G616" s="18">
        <v>3708768.6</v>
      </c>
      <c r="H616" s="50" t="s">
        <v>791</v>
      </c>
      <c r="I616" t="s">
        <v>790</v>
      </c>
      <c r="J616">
        <v>20</v>
      </c>
      <c r="K616" t="s">
        <v>783</v>
      </c>
    </row>
    <row r="617" spans="1:11" x14ac:dyDescent="0.35">
      <c r="A617" t="s">
        <v>790</v>
      </c>
      <c r="B617" t="s">
        <v>784</v>
      </c>
      <c r="C617" s="18" t="s">
        <v>598</v>
      </c>
      <c r="D617" s="37" t="s">
        <v>507</v>
      </c>
      <c r="E617" s="18" t="s">
        <v>748</v>
      </c>
      <c r="F617" s="19">
        <v>44938</v>
      </c>
      <c r="G617" s="18">
        <v>3819087.19</v>
      </c>
      <c r="H617" s="50" t="s">
        <v>791</v>
      </c>
      <c r="I617" t="s">
        <v>790</v>
      </c>
      <c r="J617">
        <v>20</v>
      </c>
      <c r="K617" t="s">
        <v>783</v>
      </c>
    </row>
    <row r="618" spans="1:11" x14ac:dyDescent="0.35">
      <c r="A618" t="s">
        <v>790</v>
      </c>
      <c r="B618" t="s">
        <v>784</v>
      </c>
      <c r="C618" s="18" t="s">
        <v>522</v>
      </c>
      <c r="D618" s="37" t="s">
        <v>507</v>
      </c>
      <c r="E618" s="18" t="s">
        <v>749</v>
      </c>
      <c r="F618" s="19">
        <v>44938</v>
      </c>
      <c r="G618" s="18">
        <v>3416849.15</v>
      </c>
      <c r="H618" s="50" t="s">
        <v>791</v>
      </c>
      <c r="I618" t="s">
        <v>790</v>
      </c>
      <c r="J618">
        <v>20</v>
      </c>
      <c r="K618" t="s">
        <v>783</v>
      </c>
    </row>
    <row r="619" spans="1:11" x14ac:dyDescent="0.35">
      <c r="A619" t="s">
        <v>790</v>
      </c>
      <c r="B619" t="s">
        <v>784</v>
      </c>
      <c r="C619" s="18" t="s">
        <v>532</v>
      </c>
      <c r="D619" s="37" t="s">
        <v>507</v>
      </c>
      <c r="E619" s="18" t="s">
        <v>750</v>
      </c>
      <c r="F619" s="19">
        <v>44939</v>
      </c>
      <c r="G619" s="18">
        <v>3146880</v>
      </c>
      <c r="H619" s="50" t="s">
        <v>791</v>
      </c>
      <c r="I619" t="s">
        <v>790</v>
      </c>
      <c r="J619">
        <v>19</v>
      </c>
      <c r="K619" t="s">
        <v>783</v>
      </c>
    </row>
    <row r="620" spans="1:11" x14ac:dyDescent="0.35">
      <c r="A620" t="s">
        <v>790</v>
      </c>
      <c r="B620" t="s">
        <v>784</v>
      </c>
      <c r="C620" s="18" t="s">
        <v>524</v>
      </c>
      <c r="D620" s="37" t="s">
        <v>507</v>
      </c>
      <c r="E620" s="18" t="s">
        <v>751</v>
      </c>
      <c r="F620" s="19">
        <v>44939</v>
      </c>
      <c r="G620" s="18">
        <v>2451124.5</v>
      </c>
      <c r="H620" s="50" t="s">
        <v>791</v>
      </c>
      <c r="I620" t="s">
        <v>790</v>
      </c>
      <c r="J620">
        <v>19</v>
      </c>
      <c r="K620" t="s">
        <v>783</v>
      </c>
    </row>
    <row r="621" spans="1:11" x14ac:dyDescent="0.35">
      <c r="A621" t="s">
        <v>790</v>
      </c>
      <c r="B621" t="s">
        <v>784</v>
      </c>
      <c r="C621" s="18" t="s">
        <v>524</v>
      </c>
      <c r="D621" s="37" t="s">
        <v>507</v>
      </c>
      <c r="E621" s="18" t="s">
        <v>752</v>
      </c>
      <c r="F621" s="19">
        <v>44939</v>
      </c>
      <c r="G621" s="18">
        <v>1060842.75</v>
      </c>
      <c r="H621" s="50" t="s">
        <v>791</v>
      </c>
      <c r="I621" t="s">
        <v>790</v>
      </c>
      <c r="J621">
        <v>19</v>
      </c>
      <c r="K621" t="s">
        <v>783</v>
      </c>
    </row>
    <row r="622" spans="1:11" x14ac:dyDescent="0.35">
      <c r="A622" t="s">
        <v>790</v>
      </c>
      <c r="B622" t="s">
        <v>784</v>
      </c>
      <c r="C622" s="18" t="s">
        <v>538</v>
      </c>
      <c r="D622" s="37" t="s">
        <v>507</v>
      </c>
      <c r="E622" s="18" t="s">
        <v>753</v>
      </c>
      <c r="F622" s="19">
        <v>44943</v>
      </c>
      <c r="G622" s="18">
        <v>3219266.16</v>
      </c>
      <c r="H622" s="50" t="s">
        <v>791</v>
      </c>
      <c r="I622" t="s">
        <v>790</v>
      </c>
      <c r="J622">
        <v>15</v>
      </c>
      <c r="K622" t="s">
        <v>783</v>
      </c>
    </row>
    <row r="623" spans="1:11" x14ac:dyDescent="0.35">
      <c r="A623" t="s">
        <v>790</v>
      </c>
      <c r="B623" t="s">
        <v>784</v>
      </c>
      <c r="C623" s="18" t="s">
        <v>609</v>
      </c>
      <c r="D623" s="37" t="s">
        <v>507</v>
      </c>
      <c r="E623" s="18" t="s">
        <v>754</v>
      </c>
      <c r="F623" s="19">
        <v>44943</v>
      </c>
      <c r="G623" s="18">
        <v>2623424.38</v>
      </c>
      <c r="H623" s="50" t="s">
        <v>791</v>
      </c>
      <c r="I623" t="s">
        <v>790</v>
      </c>
      <c r="J623">
        <v>15</v>
      </c>
      <c r="K623" t="s">
        <v>783</v>
      </c>
    </row>
    <row r="624" spans="1:11" x14ac:dyDescent="0.35">
      <c r="A624" t="s">
        <v>790</v>
      </c>
      <c r="B624" t="s">
        <v>784</v>
      </c>
      <c r="C624" s="18" t="s">
        <v>584</v>
      </c>
      <c r="D624" s="37" t="s">
        <v>507</v>
      </c>
      <c r="E624" s="18" t="s">
        <v>755</v>
      </c>
      <c r="F624" s="19">
        <v>44943</v>
      </c>
      <c r="G624" s="18">
        <v>3589528.05</v>
      </c>
      <c r="H624" s="50" t="s">
        <v>791</v>
      </c>
      <c r="I624" t="s">
        <v>790</v>
      </c>
      <c r="J624">
        <v>15</v>
      </c>
      <c r="K624" t="s">
        <v>783</v>
      </c>
    </row>
    <row r="625" spans="1:11" x14ac:dyDescent="0.35">
      <c r="A625" t="s">
        <v>790</v>
      </c>
      <c r="B625" t="s">
        <v>784</v>
      </c>
      <c r="C625" s="18" t="s">
        <v>573</v>
      </c>
      <c r="D625" s="37" t="s">
        <v>507</v>
      </c>
      <c r="E625" s="18" t="s">
        <v>756</v>
      </c>
      <c r="F625" s="19">
        <v>44944</v>
      </c>
      <c r="G625" s="18">
        <v>3495987.16</v>
      </c>
      <c r="H625" s="50" t="s">
        <v>791</v>
      </c>
      <c r="I625" t="s">
        <v>790</v>
      </c>
      <c r="J625">
        <v>14</v>
      </c>
      <c r="K625" t="s">
        <v>783</v>
      </c>
    </row>
    <row r="626" spans="1:11" x14ac:dyDescent="0.35">
      <c r="A626" t="s">
        <v>790</v>
      </c>
      <c r="B626" t="s">
        <v>784</v>
      </c>
      <c r="C626" s="18" t="s">
        <v>757</v>
      </c>
      <c r="D626" s="37" t="s">
        <v>507</v>
      </c>
      <c r="E626" s="18" t="s">
        <v>758</v>
      </c>
      <c r="F626" s="19">
        <v>44944</v>
      </c>
      <c r="G626" s="18">
        <v>3513484.96</v>
      </c>
      <c r="H626" s="50" t="s">
        <v>791</v>
      </c>
      <c r="I626" t="s">
        <v>790</v>
      </c>
      <c r="J626">
        <v>14</v>
      </c>
      <c r="K626" t="s">
        <v>783</v>
      </c>
    </row>
    <row r="627" spans="1:11" x14ac:dyDescent="0.35">
      <c r="A627" t="s">
        <v>790</v>
      </c>
      <c r="B627" t="s">
        <v>784</v>
      </c>
      <c r="C627" s="18" t="s">
        <v>757</v>
      </c>
      <c r="D627" s="37" t="s">
        <v>507</v>
      </c>
      <c r="E627" s="18" t="s">
        <v>759</v>
      </c>
      <c r="F627" s="19">
        <v>44944</v>
      </c>
      <c r="G627" s="18">
        <v>144477.85</v>
      </c>
      <c r="H627" s="50" t="s">
        <v>791</v>
      </c>
      <c r="I627" t="s">
        <v>790</v>
      </c>
      <c r="J627">
        <v>14</v>
      </c>
      <c r="K627" t="s">
        <v>783</v>
      </c>
    </row>
    <row r="628" spans="1:11" x14ac:dyDescent="0.35">
      <c r="A628" t="s">
        <v>790</v>
      </c>
      <c r="B628" t="s">
        <v>784</v>
      </c>
      <c r="C628" s="18" t="s">
        <v>647</v>
      </c>
      <c r="D628" s="37" t="s">
        <v>507</v>
      </c>
      <c r="E628" s="18" t="s">
        <v>760</v>
      </c>
      <c r="F628" s="19">
        <v>44945</v>
      </c>
      <c r="G628" s="18">
        <v>4646565.12</v>
      </c>
      <c r="H628" s="50" t="s">
        <v>791</v>
      </c>
      <c r="I628" t="s">
        <v>790</v>
      </c>
      <c r="J628">
        <v>13</v>
      </c>
      <c r="K628" t="s">
        <v>783</v>
      </c>
    </row>
    <row r="629" spans="1:11" x14ac:dyDescent="0.35">
      <c r="A629" t="s">
        <v>790</v>
      </c>
      <c r="B629" t="s">
        <v>784</v>
      </c>
      <c r="C629" s="18" t="s">
        <v>761</v>
      </c>
      <c r="D629" s="37" t="s">
        <v>507</v>
      </c>
      <c r="E629" s="18" t="s">
        <v>762</v>
      </c>
      <c r="F629" s="19">
        <v>44945</v>
      </c>
      <c r="G629" s="18">
        <v>2104442.4</v>
      </c>
      <c r="H629" s="50" t="s">
        <v>791</v>
      </c>
      <c r="I629" t="s">
        <v>790</v>
      </c>
      <c r="J629">
        <v>13</v>
      </c>
      <c r="K629" t="s">
        <v>783</v>
      </c>
    </row>
    <row r="630" spans="1:11" x14ac:dyDescent="0.35">
      <c r="A630" t="s">
        <v>790</v>
      </c>
      <c r="B630" t="s">
        <v>784</v>
      </c>
      <c r="C630" s="18" t="s">
        <v>584</v>
      </c>
      <c r="D630" s="37" t="s">
        <v>507</v>
      </c>
      <c r="E630" s="18" t="s">
        <v>763</v>
      </c>
      <c r="F630" s="19">
        <v>44945</v>
      </c>
      <c r="G630" s="18">
        <v>3070137.6</v>
      </c>
      <c r="H630" s="50" t="s">
        <v>791</v>
      </c>
      <c r="I630" t="s">
        <v>790</v>
      </c>
      <c r="J630">
        <v>13</v>
      </c>
      <c r="K630" t="s">
        <v>783</v>
      </c>
    </row>
    <row r="631" spans="1:11" x14ac:dyDescent="0.35">
      <c r="A631" t="s">
        <v>790</v>
      </c>
      <c r="B631" t="s">
        <v>784</v>
      </c>
      <c r="C631" s="18" t="s">
        <v>538</v>
      </c>
      <c r="D631" s="37" t="s">
        <v>507</v>
      </c>
      <c r="E631" s="18" t="s">
        <v>764</v>
      </c>
      <c r="F631" s="19">
        <v>44946</v>
      </c>
      <c r="G631" s="18">
        <v>3221131.32</v>
      </c>
      <c r="H631" s="50" t="s">
        <v>791</v>
      </c>
      <c r="I631" t="s">
        <v>790</v>
      </c>
      <c r="J631">
        <v>12</v>
      </c>
      <c r="K631" t="s">
        <v>783</v>
      </c>
    </row>
    <row r="632" spans="1:11" x14ac:dyDescent="0.35">
      <c r="A632" t="s">
        <v>790</v>
      </c>
      <c r="B632" t="s">
        <v>784</v>
      </c>
      <c r="C632" s="18" t="s">
        <v>526</v>
      </c>
      <c r="D632" s="37" t="s">
        <v>507</v>
      </c>
      <c r="E632" s="18" t="s">
        <v>765</v>
      </c>
      <c r="F632" s="19">
        <v>44946</v>
      </c>
      <c r="G632" s="18">
        <v>4454092.7999999998</v>
      </c>
      <c r="H632" s="50" t="s">
        <v>791</v>
      </c>
      <c r="I632" t="s">
        <v>790</v>
      </c>
      <c r="J632">
        <v>12</v>
      </c>
      <c r="K632" t="s">
        <v>783</v>
      </c>
    </row>
    <row r="633" spans="1:11" x14ac:dyDescent="0.35">
      <c r="A633" t="s">
        <v>790</v>
      </c>
      <c r="B633" t="s">
        <v>784</v>
      </c>
      <c r="C633" s="18" t="s">
        <v>538</v>
      </c>
      <c r="D633" s="37" t="s">
        <v>507</v>
      </c>
      <c r="E633" s="18" t="s">
        <v>766</v>
      </c>
      <c r="F633" s="19">
        <v>44947</v>
      </c>
      <c r="G633" s="18">
        <v>3301514.54</v>
      </c>
      <c r="H633" s="50" t="s">
        <v>791</v>
      </c>
      <c r="I633" t="s">
        <v>790</v>
      </c>
      <c r="J633">
        <v>11</v>
      </c>
      <c r="K633" t="s">
        <v>783</v>
      </c>
    </row>
    <row r="634" spans="1:11" x14ac:dyDescent="0.35">
      <c r="A634" t="s">
        <v>790</v>
      </c>
      <c r="B634" t="s">
        <v>784</v>
      </c>
      <c r="C634" s="18" t="s">
        <v>553</v>
      </c>
      <c r="D634" s="37" t="s">
        <v>507</v>
      </c>
      <c r="E634" s="18" t="s">
        <v>767</v>
      </c>
      <c r="F634" s="19">
        <v>44947</v>
      </c>
      <c r="G634" s="18">
        <v>2723533.24</v>
      </c>
      <c r="H634" s="50" t="s">
        <v>791</v>
      </c>
      <c r="I634" t="s">
        <v>790</v>
      </c>
      <c r="J634">
        <v>11</v>
      </c>
      <c r="K634" t="s">
        <v>783</v>
      </c>
    </row>
    <row r="635" spans="1:11" x14ac:dyDescent="0.35">
      <c r="A635" t="s">
        <v>790</v>
      </c>
      <c r="B635" t="s">
        <v>784</v>
      </c>
      <c r="C635" s="18" t="s">
        <v>524</v>
      </c>
      <c r="D635" s="37" t="s">
        <v>507</v>
      </c>
      <c r="E635" s="18" t="s">
        <v>768</v>
      </c>
      <c r="F635" s="19">
        <v>44947</v>
      </c>
      <c r="G635" s="18">
        <v>3005401.05</v>
      </c>
      <c r="H635" s="50" t="s">
        <v>791</v>
      </c>
      <c r="I635" t="s">
        <v>790</v>
      </c>
      <c r="J635">
        <v>11</v>
      </c>
      <c r="K635" t="s">
        <v>783</v>
      </c>
    </row>
    <row r="636" spans="1:11" x14ac:dyDescent="0.35">
      <c r="A636" t="s">
        <v>790</v>
      </c>
      <c r="B636" t="s">
        <v>784</v>
      </c>
      <c r="C636" s="18" t="s">
        <v>573</v>
      </c>
      <c r="D636" s="37" t="s">
        <v>507</v>
      </c>
      <c r="E636" s="18" t="s">
        <v>769</v>
      </c>
      <c r="F636" s="19">
        <v>44947</v>
      </c>
      <c r="G636" s="18">
        <v>4974848.55</v>
      </c>
      <c r="H636" s="50" t="s">
        <v>791</v>
      </c>
      <c r="I636" t="s">
        <v>790</v>
      </c>
      <c r="J636">
        <v>11</v>
      </c>
      <c r="K636" t="s">
        <v>783</v>
      </c>
    </row>
    <row r="637" spans="1:11" x14ac:dyDescent="0.35">
      <c r="A637" t="s">
        <v>790</v>
      </c>
      <c r="B637" t="s">
        <v>784</v>
      </c>
      <c r="C637" s="18" t="s">
        <v>606</v>
      </c>
      <c r="D637" s="37" t="s">
        <v>507</v>
      </c>
      <c r="E637" s="18" t="s">
        <v>770</v>
      </c>
      <c r="F637" s="19">
        <v>44948</v>
      </c>
      <c r="G637" s="18">
        <v>3205777.24</v>
      </c>
      <c r="H637" s="50" t="s">
        <v>791</v>
      </c>
      <c r="I637" t="s">
        <v>790</v>
      </c>
      <c r="J637">
        <v>10</v>
      </c>
      <c r="K637" t="s">
        <v>783</v>
      </c>
    </row>
    <row r="638" spans="1:11" x14ac:dyDescent="0.35">
      <c r="A638" t="s">
        <v>790</v>
      </c>
      <c r="B638" t="s">
        <v>784</v>
      </c>
      <c r="C638" s="18" t="s">
        <v>606</v>
      </c>
      <c r="D638" s="37" t="s">
        <v>507</v>
      </c>
      <c r="E638" s="18" t="s">
        <v>771</v>
      </c>
      <c r="F638" s="19">
        <v>44948</v>
      </c>
      <c r="G638" s="18">
        <v>3066377.4</v>
      </c>
      <c r="H638" s="50" t="s">
        <v>791</v>
      </c>
      <c r="I638" t="s">
        <v>790</v>
      </c>
      <c r="J638">
        <v>10</v>
      </c>
      <c r="K638" t="s">
        <v>783</v>
      </c>
    </row>
    <row r="639" spans="1:11" x14ac:dyDescent="0.35">
      <c r="A639" t="s">
        <v>790</v>
      </c>
      <c r="B639" t="s">
        <v>784</v>
      </c>
      <c r="C639" s="18" t="s">
        <v>553</v>
      </c>
      <c r="D639" s="37" t="s">
        <v>507</v>
      </c>
      <c r="E639" s="18" t="s">
        <v>772</v>
      </c>
      <c r="F639" s="19">
        <v>44948</v>
      </c>
      <c r="G639" s="18">
        <v>2669785.4500000002</v>
      </c>
      <c r="H639" s="50" t="s">
        <v>791</v>
      </c>
      <c r="I639" t="s">
        <v>790</v>
      </c>
      <c r="J639">
        <v>10</v>
      </c>
      <c r="K639" t="s">
        <v>783</v>
      </c>
    </row>
    <row r="640" spans="1:11" x14ac:dyDescent="0.35">
      <c r="A640" t="s">
        <v>790</v>
      </c>
      <c r="B640" t="s">
        <v>784</v>
      </c>
      <c r="C640" s="18" t="s">
        <v>584</v>
      </c>
      <c r="D640" s="37" t="s">
        <v>507</v>
      </c>
      <c r="E640" s="18" t="s">
        <v>773</v>
      </c>
      <c r="F640" s="19">
        <v>44950</v>
      </c>
      <c r="G640" s="18">
        <v>3088915.2</v>
      </c>
      <c r="H640" s="50" t="s">
        <v>791</v>
      </c>
      <c r="I640" t="s">
        <v>790</v>
      </c>
      <c r="J640">
        <v>8</v>
      </c>
      <c r="K640" t="s">
        <v>783</v>
      </c>
    </row>
    <row r="641" spans="1:11" x14ac:dyDescent="0.35">
      <c r="A641" t="s">
        <v>790</v>
      </c>
      <c r="B641" t="s">
        <v>784</v>
      </c>
      <c r="C641" s="18" t="s">
        <v>584</v>
      </c>
      <c r="D641" s="37" t="s">
        <v>507</v>
      </c>
      <c r="E641" s="18" t="s">
        <v>774</v>
      </c>
      <c r="F641" s="19">
        <v>44950</v>
      </c>
      <c r="G641" s="18">
        <v>3222061.51</v>
      </c>
      <c r="H641" s="50" t="s">
        <v>791</v>
      </c>
      <c r="I641" t="s">
        <v>790</v>
      </c>
      <c r="J641">
        <v>8</v>
      </c>
      <c r="K641" t="s">
        <v>783</v>
      </c>
    </row>
    <row r="642" spans="1:11" x14ac:dyDescent="0.35">
      <c r="A642" t="s">
        <v>790</v>
      </c>
      <c r="B642" t="s">
        <v>784</v>
      </c>
      <c r="C642" s="18" t="s">
        <v>524</v>
      </c>
      <c r="D642" s="37" t="s">
        <v>507</v>
      </c>
      <c r="E642" s="18" t="s">
        <v>775</v>
      </c>
      <c r="F642" s="19">
        <v>44950</v>
      </c>
      <c r="G642" s="18">
        <v>3131784</v>
      </c>
      <c r="H642" s="50" t="s">
        <v>791</v>
      </c>
      <c r="I642" t="s">
        <v>790</v>
      </c>
      <c r="J642">
        <v>8</v>
      </c>
      <c r="K642" t="s">
        <v>783</v>
      </c>
    </row>
    <row r="643" spans="1:11" x14ac:dyDescent="0.35">
      <c r="A643" t="s">
        <v>790</v>
      </c>
      <c r="B643" t="s">
        <v>784</v>
      </c>
      <c r="C643" s="18" t="s">
        <v>573</v>
      </c>
      <c r="D643" s="37" t="s">
        <v>507</v>
      </c>
      <c r="E643" s="18" t="s">
        <v>776</v>
      </c>
      <c r="F643" s="19">
        <v>44950</v>
      </c>
      <c r="G643" s="18">
        <v>4121775.72</v>
      </c>
      <c r="H643" s="50" t="s">
        <v>791</v>
      </c>
      <c r="I643" t="s">
        <v>790</v>
      </c>
      <c r="J643">
        <v>8</v>
      </c>
      <c r="K643" t="s">
        <v>783</v>
      </c>
    </row>
    <row r="644" spans="1:11" x14ac:dyDescent="0.35">
      <c r="A644" t="s">
        <v>790</v>
      </c>
      <c r="B644" t="s">
        <v>784</v>
      </c>
      <c r="C644" s="18" t="s">
        <v>588</v>
      </c>
      <c r="D644" s="37" t="s">
        <v>507</v>
      </c>
      <c r="E644" s="18" t="s">
        <v>777</v>
      </c>
      <c r="F644" s="19">
        <v>44951</v>
      </c>
      <c r="G644" s="18">
        <v>2955294.12</v>
      </c>
      <c r="H644" s="50" t="s">
        <v>791</v>
      </c>
      <c r="I644" t="s">
        <v>790</v>
      </c>
      <c r="J644">
        <v>7</v>
      </c>
      <c r="K644" t="s">
        <v>783</v>
      </c>
    </row>
    <row r="645" spans="1:11" x14ac:dyDescent="0.35">
      <c r="A645" t="s">
        <v>790</v>
      </c>
      <c r="B645" t="s">
        <v>784</v>
      </c>
      <c r="C645" s="18" t="s">
        <v>573</v>
      </c>
      <c r="D645" s="37" t="s">
        <v>507</v>
      </c>
      <c r="E645" s="18" t="s">
        <v>778</v>
      </c>
      <c r="F645" s="19">
        <v>44954</v>
      </c>
      <c r="G645" s="18">
        <v>4153766.15</v>
      </c>
      <c r="H645" s="50" t="s">
        <v>791</v>
      </c>
      <c r="I645" t="s">
        <v>790</v>
      </c>
      <c r="J645">
        <v>4</v>
      </c>
      <c r="K645" t="s">
        <v>783</v>
      </c>
    </row>
    <row r="646" spans="1:11" x14ac:dyDescent="0.35">
      <c r="A646" t="s">
        <v>790</v>
      </c>
      <c r="B646" t="s">
        <v>784</v>
      </c>
      <c r="C646" s="18" t="s">
        <v>581</v>
      </c>
      <c r="D646" s="37" t="s">
        <v>507</v>
      </c>
      <c r="E646" s="18" t="s">
        <v>779</v>
      </c>
      <c r="F646" s="19">
        <v>44955</v>
      </c>
      <c r="G646" s="18">
        <v>3845037.7</v>
      </c>
      <c r="H646" s="50" t="s">
        <v>791</v>
      </c>
      <c r="I646" t="s">
        <v>790</v>
      </c>
      <c r="J646">
        <v>3</v>
      </c>
      <c r="K646" t="s">
        <v>783</v>
      </c>
    </row>
    <row r="647" spans="1:11" x14ac:dyDescent="0.35">
      <c r="A647" t="s">
        <v>790</v>
      </c>
      <c r="B647" t="s">
        <v>784</v>
      </c>
      <c r="C647" s="18" t="s">
        <v>573</v>
      </c>
      <c r="D647" s="37" t="s">
        <v>507</v>
      </c>
      <c r="E647" s="18" t="s">
        <v>780</v>
      </c>
      <c r="F647" s="19">
        <v>44957</v>
      </c>
      <c r="G647" s="18">
        <v>3286923.57</v>
      </c>
      <c r="H647" s="50" t="s">
        <v>791</v>
      </c>
      <c r="I647" t="s">
        <v>790</v>
      </c>
      <c r="J647">
        <v>1</v>
      </c>
      <c r="K647" t="s">
        <v>783</v>
      </c>
    </row>
    <row r="648" spans="1:11" x14ac:dyDescent="0.35">
      <c r="A648" t="s">
        <v>790</v>
      </c>
      <c r="B648" t="s">
        <v>784</v>
      </c>
      <c r="C648" s="18" t="s">
        <v>538</v>
      </c>
      <c r="D648" s="37" t="s">
        <v>507</v>
      </c>
      <c r="E648" s="18" t="s">
        <v>781</v>
      </c>
      <c r="F648" s="19">
        <v>44957</v>
      </c>
      <c r="G648" s="18">
        <v>3322899.11</v>
      </c>
      <c r="H648" s="50" t="s">
        <v>791</v>
      </c>
      <c r="I648" t="s">
        <v>790</v>
      </c>
      <c r="J648">
        <v>1</v>
      </c>
      <c r="K648" t="s">
        <v>783</v>
      </c>
    </row>
  </sheetData>
  <autoFilter ref="A2:K648" xr:uid="{00000000-0001-0000-0000-000000000000}"/>
  <conditionalFormatting sqref="E3:E261">
    <cfRule type="duplicateValues" dxfId="118" priority="3"/>
  </conditionalFormatting>
  <conditionalFormatting sqref="E445:E593">
    <cfRule type="duplicateValues" dxfId="11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7735-73B9-4DE8-B326-A816768CB7F3}">
  <sheetPr codeName="Sheet2">
    <tabColor theme="5"/>
  </sheetPr>
  <dimension ref="A3:L668"/>
  <sheetViews>
    <sheetView workbookViewId="0"/>
  </sheetViews>
  <sheetFormatPr defaultRowHeight="14.5" x14ac:dyDescent="0.35"/>
  <cols>
    <col min="3" max="3" width="34.26953125" bestFit="1" customWidth="1"/>
    <col min="4" max="4" width="17.81640625" bestFit="1" customWidth="1"/>
    <col min="5" max="5" width="16.453125" bestFit="1" customWidth="1"/>
    <col min="6" max="6" width="17.453125" bestFit="1" customWidth="1"/>
    <col min="7" max="7" width="24.26953125" bestFit="1" customWidth="1"/>
    <col min="8" max="8" width="13.36328125" bestFit="1" customWidth="1"/>
    <col min="12" max="12" width="10.453125" bestFit="1" customWidth="1"/>
  </cols>
  <sheetData>
    <row r="3" spans="1:10" ht="15" thickBot="1" x14ac:dyDescent="0.4">
      <c r="E3">
        <f>COUNT(E5:E668)</f>
        <v>2</v>
      </c>
      <c r="G3" s="47">
        <f>SUBTOTAL(9,G5:G668)/10^0</f>
        <v>962455831.67499924</v>
      </c>
      <c r="H3" s="35">
        <v>44985</v>
      </c>
    </row>
    <row r="4" spans="1:10" x14ac:dyDescent="0.35">
      <c r="A4" t="s">
        <v>787</v>
      </c>
      <c r="B4" t="s">
        <v>478</v>
      </c>
      <c r="C4" s="27" t="s">
        <v>472</v>
      </c>
      <c r="D4" s="28" t="s">
        <v>473</v>
      </c>
      <c r="E4" s="29" t="s">
        <v>474</v>
      </c>
      <c r="F4" s="28" t="s">
        <v>475</v>
      </c>
      <c r="G4" s="30" t="s">
        <v>476</v>
      </c>
      <c r="H4" s="31" t="s">
        <v>483</v>
      </c>
      <c r="I4" s="32" t="s">
        <v>484</v>
      </c>
      <c r="J4" s="32" t="s">
        <v>1051</v>
      </c>
    </row>
    <row r="5" spans="1:10" x14ac:dyDescent="0.35">
      <c r="A5" t="s">
        <v>790</v>
      </c>
      <c r="B5" t="s">
        <v>859</v>
      </c>
      <c r="C5" s="37" t="s">
        <v>518</v>
      </c>
      <c r="D5" s="37" t="s">
        <v>507</v>
      </c>
      <c r="E5" s="37" t="s">
        <v>519</v>
      </c>
      <c r="F5" s="38">
        <v>44631</v>
      </c>
      <c r="G5" s="60">
        <v>3151699.2</v>
      </c>
      <c r="H5" s="37">
        <f>$H$3-F5+1</f>
        <v>355</v>
      </c>
      <c r="I5" s="37" t="str">
        <f t="shared" ref="I5:I68" si="0">IF(H5&lt;121,"0-120 DAYS",IF(H5&lt;181,"121-180DAYS","More than 180 Days"))</f>
        <v>More than 180 Days</v>
      </c>
      <c r="J5" s="37" t="str">
        <f>IF(H5&lt;180,"0-180 DAYS","More than 180 Days")</f>
        <v>More than 180 Days</v>
      </c>
    </row>
    <row r="6" spans="1:10" x14ac:dyDescent="0.35">
      <c r="A6" t="s">
        <v>790</v>
      </c>
      <c r="B6" t="s">
        <v>859</v>
      </c>
      <c r="C6" s="37" t="s">
        <v>520</v>
      </c>
      <c r="D6" s="37" t="s">
        <v>507</v>
      </c>
      <c r="E6" s="37" t="s">
        <v>521</v>
      </c>
      <c r="F6" s="38">
        <v>44631</v>
      </c>
      <c r="G6" s="60">
        <v>3151699.2</v>
      </c>
      <c r="H6" s="37">
        <f t="shared" ref="H6:H69" si="1">$H$3-F6+1</f>
        <v>355</v>
      </c>
      <c r="I6" s="37" t="str">
        <f t="shared" si="0"/>
        <v>More than 180 Days</v>
      </c>
      <c r="J6" s="37" t="str">
        <f t="shared" ref="J6:J69" si="2">IF(H6&lt;180,"0-180 DAYS","More than 180 Days")</f>
        <v>More than 180 Days</v>
      </c>
    </row>
    <row r="7" spans="1:10" x14ac:dyDescent="0.35">
      <c r="A7" t="s">
        <v>790</v>
      </c>
      <c r="B7" t="s">
        <v>859</v>
      </c>
      <c r="C7" s="40" t="s">
        <v>596</v>
      </c>
      <c r="D7" s="37" t="s">
        <v>507</v>
      </c>
      <c r="E7" s="40" t="s">
        <v>597</v>
      </c>
      <c r="F7" s="41">
        <v>44877</v>
      </c>
      <c r="G7" s="61">
        <v>4704022.13</v>
      </c>
      <c r="H7" s="37">
        <f t="shared" si="1"/>
        <v>109</v>
      </c>
      <c r="I7" s="37" t="str">
        <f t="shared" si="0"/>
        <v>0-120 DAYS</v>
      </c>
      <c r="J7" s="37" t="str">
        <f t="shared" si="2"/>
        <v>0-180 DAYS</v>
      </c>
    </row>
    <row r="8" spans="1:10" x14ac:dyDescent="0.35">
      <c r="A8" t="s">
        <v>790</v>
      </c>
      <c r="B8" t="s">
        <v>859</v>
      </c>
      <c r="C8" s="40" t="s">
        <v>598</v>
      </c>
      <c r="D8" s="37" t="s">
        <v>507</v>
      </c>
      <c r="E8" s="40" t="s">
        <v>599</v>
      </c>
      <c r="F8" s="41">
        <v>44877</v>
      </c>
      <c r="G8" s="61">
        <v>3854529.34</v>
      </c>
      <c r="H8" s="37">
        <f t="shared" si="1"/>
        <v>109</v>
      </c>
      <c r="I8" s="37" t="str">
        <f t="shared" si="0"/>
        <v>0-120 DAYS</v>
      </c>
      <c r="J8" s="37" t="str">
        <f t="shared" si="2"/>
        <v>0-180 DAYS</v>
      </c>
    </row>
    <row r="9" spans="1:10" x14ac:dyDescent="0.35">
      <c r="A9" t="s">
        <v>790</v>
      </c>
      <c r="B9" t="s">
        <v>859</v>
      </c>
      <c r="C9" s="37" t="s">
        <v>600</v>
      </c>
      <c r="D9" s="37" t="s">
        <v>507</v>
      </c>
      <c r="E9" s="40" t="s">
        <v>601</v>
      </c>
      <c r="F9" s="41">
        <v>44879</v>
      </c>
      <c r="G9" s="61">
        <v>4562756.76</v>
      </c>
      <c r="H9" s="37">
        <f t="shared" si="1"/>
        <v>107</v>
      </c>
      <c r="I9" s="37" t="str">
        <f t="shared" si="0"/>
        <v>0-120 DAYS</v>
      </c>
      <c r="J9" s="37" t="str">
        <f t="shared" si="2"/>
        <v>0-180 DAYS</v>
      </c>
    </row>
    <row r="10" spans="1:10" x14ac:dyDescent="0.35">
      <c r="A10" t="s">
        <v>790</v>
      </c>
      <c r="B10" t="s">
        <v>859</v>
      </c>
      <c r="C10" s="37" t="s">
        <v>555</v>
      </c>
      <c r="D10" s="37" t="s">
        <v>507</v>
      </c>
      <c r="E10" s="40" t="s">
        <v>602</v>
      </c>
      <c r="F10" s="41">
        <v>44880</v>
      </c>
      <c r="G10" s="61">
        <v>3012281.84</v>
      </c>
      <c r="H10" s="37">
        <f t="shared" si="1"/>
        <v>106</v>
      </c>
      <c r="I10" s="37" t="str">
        <f t="shared" si="0"/>
        <v>0-120 DAYS</v>
      </c>
      <c r="J10" s="37" t="str">
        <f t="shared" si="2"/>
        <v>0-180 DAYS</v>
      </c>
    </row>
    <row r="11" spans="1:10" x14ac:dyDescent="0.35">
      <c r="A11" t="s">
        <v>790</v>
      </c>
      <c r="B11" t="s">
        <v>859</v>
      </c>
      <c r="C11" s="37" t="s">
        <v>570</v>
      </c>
      <c r="D11" s="37" t="s">
        <v>507</v>
      </c>
      <c r="E11" s="40" t="s">
        <v>603</v>
      </c>
      <c r="F11" s="41">
        <v>44880</v>
      </c>
      <c r="G11" s="61">
        <v>3750984.8</v>
      </c>
      <c r="H11" s="37">
        <f t="shared" si="1"/>
        <v>106</v>
      </c>
      <c r="I11" s="37" t="str">
        <f t="shared" si="0"/>
        <v>0-120 DAYS</v>
      </c>
      <c r="J11" s="37" t="str">
        <f t="shared" si="2"/>
        <v>0-180 DAYS</v>
      </c>
    </row>
    <row r="12" spans="1:10" x14ac:dyDescent="0.35">
      <c r="A12" t="s">
        <v>790</v>
      </c>
      <c r="B12" t="s">
        <v>859</v>
      </c>
      <c r="C12" s="40" t="s">
        <v>573</v>
      </c>
      <c r="D12" s="37" t="s">
        <v>507</v>
      </c>
      <c r="E12" s="40" t="s">
        <v>604</v>
      </c>
      <c r="F12" s="41">
        <v>44881</v>
      </c>
      <c r="G12" s="61">
        <v>3913994.35</v>
      </c>
      <c r="H12" s="37">
        <f t="shared" si="1"/>
        <v>105</v>
      </c>
      <c r="I12" s="37" t="str">
        <f t="shared" si="0"/>
        <v>0-120 DAYS</v>
      </c>
      <c r="J12" s="37" t="str">
        <f t="shared" si="2"/>
        <v>0-180 DAYS</v>
      </c>
    </row>
    <row r="13" spans="1:10" x14ac:dyDescent="0.35">
      <c r="A13" t="s">
        <v>790</v>
      </c>
      <c r="B13" t="s">
        <v>859</v>
      </c>
      <c r="C13" s="40" t="s">
        <v>573</v>
      </c>
      <c r="D13" s="37" t="s">
        <v>507</v>
      </c>
      <c r="E13" s="40" t="s">
        <v>605</v>
      </c>
      <c r="F13" s="41">
        <v>44882</v>
      </c>
      <c r="G13" s="61">
        <v>3842280</v>
      </c>
      <c r="H13" s="37">
        <f t="shared" si="1"/>
        <v>104</v>
      </c>
      <c r="I13" s="37" t="str">
        <f t="shared" si="0"/>
        <v>0-120 DAYS</v>
      </c>
      <c r="J13" s="37" t="str">
        <f t="shared" si="2"/>
        <v>0-180 DAYS</v>
      </c>
    </row>
    <row r="14" spans="1:10" x14ac:dyDescent="0.35">
      <c r="A14" t="s">
        <v>790</v>
      </c>
      <c r="B14" t="s">
        <v>859</v>
      </c>
      <c r="C14" s="40" t="s">
        <v>606</v>
      </c>
      <c r="D14" s="37" t="s">
        <v>507</v>
      </c>
      <c r="E14" s="40" t="s">
        <v>607</v>
      </c>
      <c r="F14" s="41">
        <v>44883</v>
      </c>
      <c r="G14" s="61">
        <v>3437602.81</v>
      </c>
      <c r="H14" s="37">
        <f t="shared" si="1"/>
        <v>103</v>
      </c>
      <c r="I14" s="37" t="str">
        <f t="shared" si="0"/>
        <v>0-120 DAYS</v>
      </c>
      <c r="J14" s="37" t="str">
        <f t="shared" si="2"/>
        <v>0-180 DAYS</v>
      </c>
    </row>
    <row r="15" spans="1:10" x14ac:dyDescent="0.35">
      <c r="A15" t="s">
        <v>790</v>
      </c>
      <c r="B15" t="s">
        <v>859</v>
      </c>
      <c r="C15" s="40" t="s">
        <v>564</v>
      </c>
      <c r="D15" s="37" t="s">
        <v>507</v>
      </c>
      <c r="E15" s="40" t="s">
        <v>608</v>
      </c>
      <c r="F15" s="41">
        <v>44883</v>
      </c>
      <c r="G15" s="61">
        <v>3383744</v>
      </c>
      <c r="H15" s="37">
        <f t="shared" si="1"/>
        <v>103</v>
      </c>
      <c r="I15" s="37" t="str">
        <f t="shared" si="0"/>
        <v>0-120 DAYS</v>
      </c>
      <c r="J15" s="37" t="str">
        <f t="shared" si="2"/>
        <v>0-180 DAYS</v>
      </c>
    </row>
    <row r="16" spans="1:10" x14ac:dyDescent="0.35">
      <c r="A16" t="s">
        <v>790</v>
      </c>
      <c r="B16" t="s">
        <v>859</v>
      </c>
      <c r="C16" s="40" t="s">
        <v>609</v>
      </c>
      <c r="D16" s="37" t="s">
        <v>507</v>
      </c>
      <c r="E16" s="40" t="s">
        <v>610</v>
      </c>
      <c r="F16" s="41">
        <v>44883</v>
      </c>
      <c r="G16" s="61">
        <v>2618571.2000000002</v>
      </c>
      <c r="H16" s="37">
        <f t="shared" si="1"/>
        <v>103</v>
      </c>
      <c r="I16" s="37" t="str">
        <f t="shared" si="0"/>
        <v>0-120 DAYS</v>
      </c>
      <c r="J16" s="37" t="str">
        <f t="shared" si="2"/>
        <v>0-180 DAYS</v>
      </c>
    </row>
    <row r="17" spans="1:10" x14ac:dyDescent="0.35">
      <c r="A17" t="s">
        <v>790</v>
      </c>
      <c r="B17" t="s">
        <v>859</v>
      </c>
      <c r="C17" s="40" t="s">
        <v>577</v>
      </c>
      <c r="D17" s="37" t="s">
        <v>507</v>
      </c>
      <c r="E17" s="40" t="s">
        <v>611</v>
      </c>
      <c r="F17" s="41">
        <v>44883</v>
      </c>
      <c r="G17" s="61">
        <v>3911781.6</v>
      </c>
      <c r="H17" s="37">
        <f t="shared" si="1"/>
        <v>103</v>
      </c>
      <c r="I17" s="37" t="str">
        <f t="shared" si="0"/>
        <v>0-120 DAYS</v>
      </c>
      <c r="J17" s="37" t="str">
        <f t="shared" si="2"/>
        <v>0-180 DAYS</v>
      </c>
    </row>
    <row r="18" spans="1:10" x14ac:dyDescent="0.35">
      <c r="A18" t="s">
        <v>790</v>
      </c>
      <c r="B18" t="s">
        <v>859</v>
      </c>
      <c r="C18" s="37" t="s">
        <v>536</v>
      </c>
      <c r="D18" s="37" t="s">
        <v>507</v>
      </c>
      <c r="E18" s="40" t="s">
        <v>612</v>
      </c>
      <c r="F18" s="41">
        <v>44884</v>
      </c>
      <c r="G18" s="61">
        <v>3016454.28</v>
      </c>
      <c r="H18" s="37">
        <f t="shared" si="1"/>
        <v>102</v>
      </c>
      <c r="I18" s="37" t="str">
        <f t="shared" si="0"/>
        <v>0-120 DAYS</v>
      </c>
      <c r="J18" s="37" t="str">
        <f t="shared" si="2"/>
        <v>0-180 DAYS</v>
      </c>
    </row>
    <row r="19" spans="1:10" x14ac:dyDescent="0.35">
      <c r="A19" t="s">
        <v>790</v>
      </c>
      <c r="B19" t="s">
        <v>859</v>
      </c>
      <c r="C19" s="40" t="s">
        <v>613</v>
      </c>
      <c r="D19" s="37" t="s">
        <v>507</v>
      </c>
      <c r="E19" s="40" t="s">
        <v>614</v>
      </c>
      <c r="F19" s="41">
        <v>44884</v>
      </c>
      <c r="G19" s="61">
        <v>2513172.48</v>
      </c>
      <c r="H19" s="37">
        <f t="shared" si="1"/>
        <v>102</v>
      </c>
      <c r="I19" s="37" t="str">
        <f t="shared" si="0"/>
        <v>0-120 DAYS</v>
      </c>
      <c r="J19" s="37" t="str">
        <f t="shared" si="2"/>
        <v>0-180 DAYS</v>
      </c>
    </row>
    <row r="20" spans="1:10" x14ac:dyDescent="0.35">
      <c r="A20" t="s">
        <v>790</v>
      </c>
      <c r="B20" t="s">
        <v>859</v>
      </c>
      <c r="C20" s="40" t="s">
        <v>543</v>
      </c>
      <c r="D20" s="37" t="s">
        <v>507</v>
      </c>
      <c r="E20" s="40" t="s">
        <v>615</v>
      </c>
      <c r="F20" s="41">
        <v>44884</v>
      </c>
      <c r="G20" s="61">
        <v>2775843.2</v>
      </c>
      <c r="H20" s="37">
        <f t="shared" si="1"/>
        <v>102</v>
      </c>
      <c r="I20" s="37" t="str">
        <f t="shared" si="0"/>
        <v>0-120 DAYS</v>
      </c>
      <c r="J20" s="37" t="str">
        <f t="shared" si="2"/>
        <v>0-180 DAYS</v>
      </c>
    </row>
    <row r="21" spans="1:10" x14ac:dyDescent="0.35">
      <c r="A21" t="s">
        <v>790</v>
      </c>
      <c r="B21" t="s">
        <v>859</v>
      </c>
      <c r="C21" s="40" t="s">
        <v>543</v>
      </c>
      <c r="D21" s="37" t="s">
        <v>507</v>
      </c>
      <c r="E21" s="40" t="s">
        <v>616</v>
      </c>
      <c r="F21" s="41">
        <v>44884</v>
      </c>
      <c r="G21" s="61">
        <v>173122.56</v>
      </c>
      <c r="H21" s="37">
        <f t="shared" si="1"/>
        <v>102</v>
      </c>
      <c r="I21" s="37" t="str">
        <f t="shared" si="0"/>
        <v>0-120 DAYS</v>
      </c>
      <c r="J21" s="37" t="str">
        <f t="shared" si="2"/>
        <v>0-180 DAYS</v>
      </c>
    </row>
    <row r="22" spans="1:10" x14ac:dyDescent="0.35">
      <c r="A22" t="s">
        <v>790</v>
      </c>
      <c r="B22" t="s">
        <v>859</v>
      </c>
      <c r="C22" s="40" t="s">
        <v>617</v>
      </c>
      <c r="D22" s="37" t="s">
        <v>507</v>
      </c>
      <c r="E22" s="40" t="s">
        <v>618</v>
      </c>
      <c r="F22" s="41">
        <v>44885</v>
      </c>
      <c r="G22" s="61">
        <v>4094368.42</v>
      </c>
      <c r="H22" s="37">
        <f t="shared" si="1"/>
        <v>101</v>
      </c>
      <c r="I22" s="37" t="str">
        <f t="shared" si="0"/>
        <v>0-120 DAYS</v>
      </c>
      <c r="J22" s="37" t="str">
        <f t="shared" si="2"/>
        <v>0-180 DAYS</v>
      </c>
    </row>
    <row r="23" spans="1:10" x14ac:dyDescent="0.35">
      <c r="A23" t="s">
        <v>790</v>
      </c>
      <c r="B23" t="s">
        <v>859</v>
      </c>
      <c r="C23" s="40" t="s">
        <v>584</v>
      </c>
      <c r="D23" s="37" t="s">
        <v>507</v>
      </c>
      <c r="E23" s="40" t="s">
        <v>619</v>
      </c>
      <c r="F23" s="41">
        <v>44886</v>
      </c>
      <c r="G23" s="61">
        <v>3867053.31</v>
      </c>
      <c r="H23" s="37">
        <f t="shared" si="1"/>
        <v>100</v>
      </c>
      <c r="I23" s="37" t="str">
        <f t="shared" si="0"/>
        <v>0-120 DAYS</v>
      </c>
      <c r="J23" s="37" t="str">
        <f t="shared" si="2"/>
        <v>0-180 DAYS</v>
      </c>
    </row>
    <row r="24" spans="1:10" x14ac:dyDescent="0.35">
      <c r="A24" t="s">
        <v>790</v>
      </c>
      <c r="B24" t="s">
        <v>859</v>
      </c>
      <c r="C24" s="40" t="s">
        <v>553</v>
      </c>
      <c r="D24" s="37" t="s">
        <v>507</v>
      </c>
      <c r="E24" s="40" t="s">
        <v>620</v>
      </c>
      <c r="F24" s="41">
        <v>44886</v>
      </c>
      <c r="G24" s="61">
        <v>3495147.78</v>
      </c>
      <c r="H24" s="37">
        <f t="shared" si="1"/>
        <v>100</v>
      </c>
      <c r="I24" s="37" t="str">
        <f t="shared" si="0"/>
        <v>0-120 DAYS</v>
      </c>
      <c r="J24" s="37" t="str">
        <f t="shared" si="2"/>
        <v>0-180 DAYS</v>
      </c>
    </row>
    <row r="25" spans="1:10" x14ac:dyDescent="0.35">
      <c r="A25" t="s">
        <v>790</v>
      </c>
      <c r="B25" t="s">
        <v>859</v>
      </c>
      <c r="C25" s="40" t="s">
        <v>564</v>
      </c>
      <c r="D25" s="37" t="s">
        <v>507</v>
      </c>
      <c r="E25" s="40" t="s">
        <v>621</v>
      </c>
      <c r="F25" s="41">
        <v>44892</v>
      </c>
      <c r="G25" s="61">
        <v>3357681.6</v>
      </c>
      <c r="H25" s="37">
        <f t="shared" si="1"/>
        <v>94</v>
      </c>
      <c r="I25" s="37" t="str">
        <f t="shared" si="0"/>
        <v>0-120 DAYS</v>
      </c>
      <c r="J25" s="37" t="str">
        <f t="shared" si="2"/>
        <v>0-180 DAYS</v>
      </c>
    </row>
    <row r="26" spans="1:10" x14ac:dyDescent="0.35">
      <c r="A26" t="s">
        <v>790</v>
      </c>
      <c r="B26" t="s">
        <v>859</v>
      </c>
      <c r="C26" s="40" t="s">
        <v>606</v>
      </c>
      <c r="D26" s="37" t="s">
        <v>507</v>
      </c>
      <c r="E26" s="40" t="s">
        <v>622</v>
      </c>
      <c r="F26" s="41">
        <v>44893</v>
      </c>
      <c r="G26" s="61">
        <v>3427025.12</v>
      </c>
      <c r="H26" s="37">
        <f t="shared" si="1"/>
        <v>93</v>
      </c>
      <c r="I26" s="37" t="str">
        <f t="shared" si="0"/>
        <v>0-120 DAYS</v>
      </c>
      <c r="J26" s="37" t="str">
        <f t="shared" si="2"/>
        <v>0-180 DAYS</v>
      </c>
    </row>
    <row r="27" spans="1:10" x14ac:dyDescent="0.35">
      <c r="A27" t="s">
        <v>790</v>
      </c>
      <c r="B27" t="s">
        <v>859</v>
      </c>
      <c r="C27" s="40" t="s">
        <v>588</v>
      </c>
      <c r="D27" s="37" t="s">
        <v>507</v>
      </c>
      <c r="E27" s="40" t="s">
        <v>623</v>
      </c>
      <c r="F27" s="41">
        <v>44893</v>
      </c>
      <c r="G27" s="61">
        <v>3447359.34</v>
      </c>
      <c r="H27" s="37">
        <f t="shared" si="1"/>
        <v>93</v>
      </c>
      <c r="I27" s="37" t="str">
        <f t="shared" si="0"/>
        <v>0-120 DAYS</v>
      </c>
      <c r="J27" s="37" t="str">
        <f t="shared" si="2"/>
        <v>0-180 DAYS</v>
      </c>
    </row>
    <row r="28" spans="1:10" x14ac:dyDescent="0.35">
      <c r="A28" t="s">
        <v>790</v>
      </c>
      <c r="B28" t="s">
        <v>859</v>
      </c>
      <c r="C28" s="40" t="s">
        <v>573</v>
      </c>
      <c r="D28" s="37" t="s">
        <v>507</v>
      </c>
      <c r="E28" s="40" t="s">
        <v>624</v>
      </c>
      <c r="F28" s="41">
        <v>44894</v>
      </c>
      <c r="G28" s="61">
        <v>4110837.23</v>
      </c>
      <c r="H28" s="37">
        <f t="shared" si="1"/>
        <v>92</v>
      </c>
      <c r="I28" s="37" t="str">
        <f t="shared" si="0"/>
        <v>0-120 DAYS</v>
      </c>
      <c r="J28" s="37" t="str">
        <f t="shared" si="2"/>
        <v>0-180 DAYS</v>
      </c>
    </row>
    <row r="29" spans="1:10" x14ac:dyDescent="0.35">
      <c r="A29" t="s">
        <v>790</v>
      </c>
      <c r="B29" t="s">
        <v>859</v>
      </c>
      <c r="C29" s="40" t="s">
        <v>573</v>
      </c>
      <c r="D29" s="37" t="s">
        <v>507</v>
      </c>
      <c r="E29" s="40" t="s">
        <v>625</v>
      </c>
      <c r="F29" s="41">
        <v>44894</v>
      </c>
      <c r="G29" s="61">
        <v>3451194.01</v>
      </c>
      <c r="H29" s="37">
        <f t="shared" si="1"/>
        <v>92</v>
      </c>
      <c r="I29" s="37" t="str">
        <f t="shared" si="0"/>
        <v>0-120 DAYS</v>
      </c>
      <c r="J29" s="37" t="str">
        <f t="shared" si="2"/>
        <v>0-180 DAYS</v>
      </c>
    </row>
    <row r="30" spans="1:10" x14ac:dyDescent="0.35">
      <c r="A30" t="s">
        <v>790</v>
      </c>
      <c r="B30" t="s">
        <v>859</v>
      </c>
      <c r="C30" s="40" t="s">
        <v>573</v>
      </c>
      <c r="D30" s="37" t="s">
        <v>507</v>
      </c>
      <c r="E30" s="40" t="s">
        <v>626</v>
      </c>
      <c r="F30" s="41">
        <v>44894</v>
      </c>
      <c r="G30" s="61">
        <v>3451194.01</v>
      </c>
      <c r="H30" s="37">
        <f t="shared" si="1"/>
        <v>92</v>
      </c>
      <c r="I30" s="37" t="str">
        <f t="shared" si="0"/>
        <v>0-120 DAYS</v>
      </c>
      <c r="J30" s="37" t="str">
        <f t="shared" si="2"/>
        <v>0-180 DAYS</v>
      </c>
    </row>
    <row r="31" spans="1:10" x14ac:dyDescent="0.35">
      <c r="A31" t="s">
        <v>790</v>
      </c>
      <c r="B31" t="s">
        <v>859</v>
      </c>
      <c r="C31" s="40" t="s">
        <v>573</v>
      </c>
      <c r="D31" s="37" t="s">
        <v>507</v>
      </c>
      <c r="E31" s="40" t="s">
        <v>627</v>
      </c>
      <c r="F31" s="41">
        <v>44894</v>
      </c>
      <c r="G31" s="61">
        <v>3688756.99</v>
      </c>
      <c r="H31" s="37">
        <f t="shared" si="1"/>
        <v>92</v>
      </c>
      <c r="I31" s="37" t="str">
        <f t="shared" si="0"/>
        <v>0-120 DAYS</v>
      </c>
      <c r="J31" s="37" t="str">
        <f t="shared" si="2"/>
        <v>0-180 DAYS</v>
      </c>
    </row>
    <row r="32" spans="1:10" x14ac:dyDescent="0.35">
      <c r="A32" t="s">
        <v>790</v>
      </c>
      <c r="B32" t="s">
        <v>859</v>
      </c>
      <c r="C32" s="40" t="s">
        <v>628</v>
      </c>
      <c r="D32" s="37" t="s">
        <v>507</v>
      </c>
      <c r="E32" s="40" t="s">
        <v>629</v>
      </c>
      <c r="F32" s="41">
        <v>44895</v>
      </c>
      <c r="G32" s="61">
        <v>1907561.33</v>
      </c>
      <c r="H32" s="37">
        <f t="shared" si="1"/>
        <v>91</v>
      </c>
      <c r="I32" s="37" t="str">
        <f t="shared" si="0"/>
        <v>0-120 DAYS</v>
      </c>
      <c r="J32" s="37" t="str">
        <f t="shared" si="2"/>
        <v>0-180 DAYS</v>
      </c>
    </row>
    <row r="33" spans="1:10" x14ac:dyDescent="0.35">
      <c r="A33" t="s">
        <v>790</v>
      </c>
      <c r="B33" t="s">
        <v>859</v>
      </c>
      <c r="C33" s="40" t="s">
        <v>551</v>
      </c>
      <c r="D33" s="37" t="s">
        <v>507</v>
      </c>
      <c r="E33" s="40" t="s">
        <v>630</v>
      </c>
      <c r="F33" s="41">
        <v>44895</v>
      </c>
      <c r="G33" s="61">
        <v>3698748</v>
      </c>
      <c r="H33" s="37">
        <f t="shared" si="1"/>
        <v>91</v>
      </c>
      <c r="I33" s="37" t="str">
        <f t="shared" si="0"/>
        <v>0-120 DAYS</v>
      </c>
      <c r="J33" s="37" t="str">
        <f t="shared" si="2"/>
        <v>0-180 DAYS</v>
      </c>
    </row>
    <row r="34" spans="1:10" x14ac:dyDescent="0.35">
      <c r="A34" t="s">
        <v>790</v>
      </c>
      <c r="B34" t="s">
        <v>859</v>
      </c>
      <c r="C34" s="40" t="s">
        <v>631</v>
      </c>
      <c r="D34" s="37" t="s">
        <v>507</v>
      </c>
      <c r="E34" s="40" t="s">
        <v>632</v>
      </c>
      <c r="F34" s="41">
        <v>44895</v>
      </c>
      <c r="G34" s="61">
        <v>3659268.8</v>
      </c>
      <c r="H34" s="37">
        <f t="shared" si="1"/>
        <v>91</v>
      </c>
      <c r="I34" s="37" t="str">
        <f t="shared" si="0"/>
        <v>0-120 DAYS</v>
      </c>
      <c r="J34" s="37" t="str">
        <f t="shared" si="2"/>
        <v>0-180 DAYS</v>
      </c>
    </row>
    <row r="35" spans="1:10" x14ac:dyDescent="0.35">
      <c r="A35" t="s">
        <v>790</v>
      </c>
      <c r="B35" t="s">
        <v>859</v>
      </c>
      <c r="C35" s="40" t="s">
        <v>573</v>
      </c>
      <c r="D35" s="37" t="s">
        <v>507</v>
      </c>
      <c r="E35" s="40" t="s">
        <v>633</v>
      </c>
      <c r="F35" s="41">
        <v>44895</v>
      </c>
      <c r="G35" s="61">
        <v>3952078.26</v>
      </c>
      <c r="H35" s="37">
        <f t="shared" si="1"/>
        <v>91</v>
      </c>
      <c r="I35" s="37" t="str">
        <f t="shared" si="0"/>
        <v>0-120 DAYS</v>
      </c>
      <c r="J35" s="37" t="str">
        <f t="shared" si="2"/>
        <v>0-180 DAYS</v>
      </c>
    </row>
    <row r="36" spans="1:10" x14ac:dyDescent="0.35">
      <c r="A36" t="s">
        <v>790</v>
      </c>
      <c r="B36" t="s">
        <v>859</v>
      </c>
      <c r="C36" s="40" t="s">
        <v>588</v>
      </c>
      <c r="D36" s="37" t="s">
        <v>507</v>
      </c>
      <c r="E36" s="40" t="s">
        <v>634</v>
      </c>
      <c r="F36" s="41">
        <v>44895</v>
      </c>
      <c r="G36" s="61">
        <v>3605947.61</v>
      </c>
      <c r="H36" s="37">
        <f t="shared" si="1"/>
        <v>91</v>
      </c>
      <c r="I36" s="37" t="str">
        <f t="shared" si="0"/>
        <v>0-120 DAYS</v>
      </c>
      <c r="J36" s="37" t="str">
        <f t="shared" si="2"/>
        <v>0-180 DAYS</v>
      </c>
    </row>
    <row r="37" spans="1:10" x14ac:dyDescent="0.35">
      <c r="A37" t="s">
        <v>790</v>
      </c>
      <c r="B37" t="s">
        <v>859</v>
      </c>
      <c r="C37" s="44" t="s">
        <v>635</v>
      </c>
      <c r="D37" s="37" t="s">
        <v>507</v>
      </c>
      <c r="E37" s="44" t="s">
        <v>636</v>
      </c>
      <c r="F37" s="45">
        <v>44896</v>
      </c>
      <c r="G37" s="62">
        <v>3405224.2</v>
      </c>
      <c r="H37" s="37">
        <f t="shared" si="1"/>
        <v>90</v>
      </c>
      <c r="I37" s="37" t="str">
        <f t="shared" si="0"/>
        <v>0-120 DAYS</v>
      </c>
      <c r="J37" s="37" t="str">
        <f t="shared" si="2"/>
        <v>0-180 DAYS</v>
      </c>
    </row>
    <row r="38" spans="1:10" x14ac:dyDescent="0.35">
      <c r="A38" t="s">
        <v>790</v>
      </c>
      <c r="B38" t="s">
        <v>859</v>
      </c>
      <c r="C38" s="44" t="s">
        <v>637</v>
      </c>
      <c r="D38" s="37" t="s">
        <v>507</v>
      </c>
      <c r="E38" s="44" t="s">
        <v>638</v>
      </c>
      <c r="F38" s="45">
        <v>44897</v>
      </c>
      <c r="G38" s="62">
        <v>2389687.85</v>
      </c>
      <c r="H38" s="37">
        <f t="shared" si="1"/>
        <v>89</v>
      </c>
      <c r="I38" s="37" t="str">
        <f t="shared" si="0"/>
        <v>0-120 DAYS</v>
      </c>
      <c r="J38" s="37" t="str">
        <f t="shared" si="2"/>
        <v>0-180 DAYS</v>
      </c>
    </row>
    <row r="39" spans="1:10" x14ac:dyDescent="0.35">
      <c r="A39" t="s">
        <v>790</v>
      </c>
      <c r="B39" t="s">
        <v>859</v>
      </c>
      <c r="C39" s="44" t="s">
        <v>637</v>
      </c>
      <c r="D39" s="37" t="s">
        <v>507</v>
      </c>
      <c r="E39" s="44" t="s">
        <v>639</v>
      </c>
      <c r="F39" s="45">
        <v>44897</v>
      </c>
      <c r="G39" s="62">
        <v>953079.09</v>
      </c>
      <c r="H39" s="37">
        <f t="shared" si="1"/>
        <v>89</v>
      </c>
      <c r="I39" s="37" t="str">
        <f t="shared" si="0"/>
        <v>0-120 DAYS</v>
      </c>
      <c r="J39" s="37" t="str">
        <f t="shared" si="2"/>
        <v>0-180 DAYS</v>
      </c>
    </row>
    <row r="40" spans="1:10" x14ac:dyDescent="0.35">
      <c r="A40" t="s">
        <v>790</v>
      </c>
      <c r="B40" t="s">
        <v>859</v>
      </c>
      <c r="C40" s="44" t="s">
        <v>600</v>
      </c>
      <c r="D40" s="37" t="s">
        <v>507</v>
      </c>
      <c r="E40" s="44" t="s">
        <v>640</v>
      </c>
      <c r="F40" s="45">
        <v>44897</v>
      </c>
      <c r="G40" s="62">
        <v>3687717.28</v>
      </c>
      <c r="H40" s="37">
        <f t="shared" si="1"/>
        <v>89</v>
      </c>
      <c r="I40" s="37" t="str">
        <f t="shared" si="0"/>
        <v>0-120 DAYS</v>
      </c>
      <c r="J40" s="37" t="str">
        <f t="shared" si="2"/>
        <v>0-180 DAYS</v>
      </c>
    </row>
    <row r="41" spans="1:10" x14ac:dyDescent="0.35">
      <c r="A41" t="s">
        <v>790</v>
      </c>
      <c r="B41" t="s">
        <v>859</v>
      </c>
      <c r="C41" s="44" t="s">
        <v>557</v>
      </c>
      <c r="D41" s="37" t="s">
        <v>507</v>
      </c>
      <c r="E41" s="44" t="s">
        <v>641</v>
      </c>
      <c r="F41" s="52">
        <v>44897</v>
      </c>
      <c r="G41" s="62">
        <v>1066986.25</v>
      </c>
      <c r="H41" s="37">
        <f t="shared" si="1"/>
        <v>89</v>
      </c>
      <c r="I41" s="37" t="str">
        <f t="shared" si="0"/>
        <v>0-120 DAYS</v>
      </c>
      <c r="J41" s="37" t="str">
        <f t="shared" si="2"/>
        <v>0-180 DAYS</v>
      </c>
    </row>
    <row r="42" spans="1:10" x14ac:dyDescent="0.35">
      <c r="A42" t="s">
        <v>790</v>
      </c>
      <c r="B42" t="s">
        <v>859</v>
      </c>
      <c r="C42" s="44" t="s">
        <v>581</v>
      </c>
      <c r="D42" s="37" t="s">
        <v>507</v>
      </c>
      <c r="E42" s="44" t="s">
        <v>642</v>
      </c>
      <c r="F42" s="45">
        <v>44898</v>
      </c>
      <c r="G42" s="62">
        <v>3950960.41</v>
      </c>
      <c r="H42" s="37">
        <f t="shared" si="1"/>
        <v>88</v>
      </c>
      <c r="I42" s="37" t="str">
        <f t="shared" si="0"/>
        <v>0-120 DAYS</v>
      </c>
      <c r="J42" s="37" t="str">
        <f t="shared" si="2"/>
        <v>0-180 DAYS</v>
      </c>
    </row>
    <row r="43" spans="1:10" x14ac:dyDescent="0.35">
      <c r="A43" t="s">
        <v>790</v>
      </c>
      <c r="B43" t="s">
        <v>859</v>
      </c>
      <c r="C43" s="44" t="s">
        <v>524</v>
      </c>
      <c r="D43" s="37" t="s">
        <v>507</v>
      </c>
      <c r="E43" s="44" t="s">
        <v>643</v>
      </c>
      <c r="F43" s="41">
        <v>44898</v>
      </c>
      <c r="G43" s="62">
        <v>2939333.32</v>
      </c>
      <c r="H43" s="37">
        <f t="shared" si="1"/>
        <v>88</v>
      </c>
      <c r="I43" s="37" t="str">
        <f t="shared" si="0"/>
        <v>0-120 DAYS</v>
      </c>
      <c r="J43" s="37" t="str">
        <f t="shared" si="2"/>
        <v>0-180 DAYS</v>
      </c>
    </row>
    <row r="44" spans="1:10" x14ac:dyDescent="0.35">
      <c r="A44" t="s">
        <v>790</v>
      </c>
      <c r="B44" t="s">
        <v>859</v>
      </c>
      <c r="C44" s="44" t="s">
        <v>575</v>
      </c>
      <c r="D44" s="37" t="s">
        <v>507</v>
      </c>
      <c r="E44" s="44" t="s">
        <v>644</v>
      </c>
      <c r="F44" s="45">
        <v>44899</v>
      </c>
      <c r="G44" s="62">
        <v>3230928</v>
      </c>
      <c r="H44" s="37">
        <f t="shared" si="1"/>
        <v>87</v>
      </c>
      <c r="I44" s="37" t="str">
        <f t="shared" si="0"/>
        <v>0-120 DAYS</v>
      </c>
      <c r="J44" s="37" t="str">
        <f t="shared" si="2"/>
        <v>0-180 DAYS</v>
      </c>
    </row>
    <row r="45" spans="1:10" x14ac:dyDescent="0.35">
      <c r="A45" t="s">
        <v>790</v>
      </c>
      <c r="B45" t="s">
        <v>859</v>
      </c>
      <c r="C45" s="44" t="s">
        <v>579</v>
      </c>
      <c r="D45" s="37" t="s">
        <v>507</v>
      </c>
      <c r="E45" s="44" t="s">
        <v>645</v>
      </c>
      <c r="F45" s="45">
        <v>44900</v>
      </c>
      <c r="G45" s="62">
        <v>4011796.03</v>
      </c>
      <c r="H45" s="37">
        <f t="shared" si="1"/>
        <v>86</v>
      </c>
      <c r="I45" s="37" t="str">
        <f t="shared" si="0"/>
        <v>0-120 DAYS</v>
      </c>
      <c r="J45" s="37" t="str">
        <f t="shared" si="2"/>
        <v>0-180 DAYS</v>
      </c>
    </row>
    <row r="46" spans="1:10" x14ac:dyDescent="0.35">
      <c r="A46" t="s">
        <v>790</v>
      </c>
      <c r="B46" t="s">
        <v>859</v>
      </c>
      <c r="C46" s="44" t="s">
        <v>573</v>
      </c>
      <c r="D46" s="37" t="s">
        <v>507</v>
      </c>
      <c r="E46" s="44" t="s">
        <v>646</v>
      </c>
      <c r="F46" s="45">
        <v>44900</v>
      </c>
      <c r="G46" s="62">
        <v>4076791.05</v>
      </c>
      <c r="H46" s="37">
        <f t="shared" si="1"/>
        <v>86</v>
      </c>
      <c r="I46" s="37" t="str">
        <f t="shared" si="0"/>
        <v>0-120 DAYS</v>
      </c>
      <c r="J46" s="37" t="str">
        <f t="shared" si="2"/>
        <v>0-180 DAYS</v>
      </c>
    </row>
    <row r="47" spans="1:10" x14ac:dyDescent="0.35">
      <c r="A47" t="s">
        <v>790</v>
      </c>
      <c r="B47" t="s">
        <v>859</v>
      </c>
      <c r="C47" s="44" t="s">
        <v>647</v>
      </c>
      <c r="D47" s="37" t="s">
        <v>507</v>
      </c>
      <c r="E47" s="44" t="s">
        <v>648</v>
      </c>
      <c r="F47" s="45">
        <v>44901</v>
      </c>
      <c r="G47" s="62">
        <v>4553010.01</v>
      </c>
      <c r="H47" s="37">
        <f t="shared" si="1"/>
        <v>85</v>
      </c>
      <c r="I47" s="37" t="str">
        <f t="shared" si="0"/>
        <v>0-120 DAYS</v>
      </c>
      <c r="J47" s="37" t="str">
        <f t="shared" si="2"/>
        <v>0-180 DAYS</v>
      </c>
    </row>
    <row r="48" spans="1:10" x14ac:dyDescent="0.35">
      <c r="A48" t="s">
        <v>790</v>
      </c>
      <c r="B48" t="s">
        <v>859</v>
      </c>
      <c r="C48" s="44" t="s">
        <v>540</v>
      </c>
      <c r="D48" s="37" t="s">
        <v>507</v>
      </c>
      <c r="E48" s="44" t="s">
        <v>649</v>
      </c>
      <c r="F48" s="45">
        <v>44901</v>
      </c>
      <c r="G48" s="62">
        <v>3146764.32</v>
      </c>
      <c r="H48" s="37">
        <f t="shared" si="1"/>
        <v>85</v>
      </c>
      <c r="I48" s="37" t="str">
        <f t="shared" si="0"/>
        <v>0-120 DAYS</v>
      </c>
      <c r="J48" s="37" t="str">
        <f t="shared" si="2"/>
        <v>0-180 DAYS</v>
      </c>
    </row>
    <row r="49" spans="1:10" x14ac:dyDescent="0.35">
      <c r="A49" t="s">
        <v>790</v>
      </c>
      <c r="B49" t="s">
        <v>859</v>
      </c>
      <c r="C49" s="44" t="s">
        <v>650</v>
      </c>
      <c r="D49" s="37" t="s">
        <v>507</v>
      </c>
      <c r="E49" s="44" t="s">
        <v>651</v>
      </c>
      <c r="F49" s="41">
        <v>44901</v>
      </c>
      <c r="G49" s="62">
        <v>3017503.93</v>
      </c>
      <c r="H49" s="37">
        <f t="shared" si="1"/>
        <v>85</v>
      </c>
      <c r="I49" s="37" t="str">
        <f t="shared" si="0"/>
        <v>0-120 DAYS</v>
      </c>
      <c r="J49" s="37" t="str">
        <f t="shared" si="2"/>
        <v>0-180 DAYS</v>
      </c>
    </row>
    <row r="50" spans="1:10" x14ac:dyDescent="0.35">
      <c r="A50" t="s">
        <v>790</v>
      </c>
      <c r="B50" t="s">
        <v>859</v>
      </c>
      <c r="C50" s="44" t="s">
        <v>609</v>
      </c>
      <c r="D50" s="37" t="s">
        <v>507</v>
      </c>
      <c r="E50" s="44" t="s">
        <v>652</v>
      </c>
      <c r="F50" s="45">
        <v>44902</v>
      </c>
      <c r="G50" s="62">
        <v>2661945</v>
      </c>
      <c r="H50" s="37">
        <f t="shared" si="1"/>
        <v>84</v>
      </c>
      <c r="I50" s="37" t="str">
        <f t="shared" si="0"/>
        <v>0-120 DAYS</v>
      </c>
      <c r="J50" s="37" t="str">
        <f t="shared" si="2"/>
        <v>0-180 DAYS</v>
      </c>
    </row>
    <row r="51" spans="1:10" x14ac:dyDescent="0.35">
      <c r="A51" t="s">
        <v>790</v>
      </c>
      <c r="B51" t="s">
        <v>859</v>
      </c>
      <c r="C51" s="44" t="s">
        <v>653</v>
      </c>
      <c r="D51" s="37" t="s">
        <v>507</v>
      </c>
      <c r="E51" s="44" t="s">
        <v>654</v>
      </c>
      <c r="F51" s="41">
        <v>44902</v>
      </c>
      <c r="G51" s="62">
        <v>3262451.99</v>
      </c>
      <c r="H51" s="37">
        <f t="shared" si="1"/>
        <v>84</v>
      </c>
      <c r="I51" s="37" t="str">
        <f t="shared" si="0"/>
        <v>0-120 DAYS</v>
      </c>
      <c r="J51" s="37" t="str">
        <f t="shared" si="2"/>
        <v>0-180 DAYS</v>
      </c>
    </row>
    <row r="52" spans="1:10" x14ac:dyDescent="0.35">
      <c r="A52" t="s">
        <v>790</v>
      </c>
      <c r="B52" t="s">
        <v>859</v>
      </c>
      <c r="C52" s="44" t="s">
        <v>536</v>
      </c>
      <c r="D52" s="37" t="s">
        <v>507</v>
      </c>
      <c r="E52" s="44" t="s">
        <v>655</v>
      </c>
      <c r="F52" s="45">
        <v>44903</v>
      </c>
      <c r="G52" s="62">
        <v>3241542.54</v>
      </c>
      <c r="H52" s="37">
        <f t="shared" si="1"/>
        <v>83</v>
      </c>
      <c r="I52" s="37" t="str">
        <f t="shared" si="0"/>
        <v>0-120 DAYS</v>
      </c>
      <c r="J52" s="37" t="str">
        <f t="shared" si="2"/>
        <v>0-180 DAYS</v>
      </c>
    </row>
    <row r="53" spans="1:10" x14ac:dyDescent="0.35">
      <c r="A53" t="s">
        <v>790</v>
      </c>
      <c r="B53" t="s">
        <v>859</v>
      </c>
      <c r="C53" s="44" t="s">
        <v>573</v>
      </c>
      <c r="D53" s="37" t="s">
        <v>507</v>
      </c>
      <c r="E53" s="44" t="s">
        <v>656</v>
      </c>
      <c r="F53" s="45">
        <v>44903</v>
      </c>
      <c r="G53" s="62">
        <v>4082773.2</v>
      </c>
      <c r="H53" s="37">
        <f t="shared" si="1"/>
        <v>83</v>
      </c>
      <c r="I53" s="37" t="str">
        <f t="shared" si="0"/>
        <v>0-120 DAYS</v>
      </c>
      <c r="J53" s="37" t="str">
        <f t="shared" si="2"/>
        <v>0-180 DAYS</v>
      </c>
    </row>
    <row r="54" spans="1:10" x14ac:dyDescent="0.35">
      <c r="A54" t="s">
        <v>790</v>
      </c>
      <c r="B54" t="s">
        <v>859</v>
      </c>
      <c r="C54" s="44" t="s">
        <v>657</v>
      </c>
      <c r="D54" s="37" t="s">
        <v>507</v>
      </c>
      <c r="E54" s="44" t="s">
        <v>658</v>
      </c>
      <c r="F54" s="41">
        <v>44903</v>
      </c>
      <c r="G54" s="62">
        <v>37529.01</v>
      </c>
      <c r="H54" s="37">
        <f t="shared" si="1"/>
        <v>83</v>
      </c>
      <c r="I54" s="37" t="str">
        <f t="shared" si="0"/>
        <v>0-120 DAYS</v>
      </c>
      <c r="J54" s="37" t="str">
        <f t="shared" si="2"/>
        <v>0-180 DAYS</v>
      </c>
    </row>
    <row r="55" spans="1:10" x14ac:dyDescent="0.35">
      <c r="A55" t="s">
        <v>790</v>
      </c>
      <c r="B55" t="s">
        <v>859</v>
      </c>
      <c r="C55" s="44" t="s">
        <v>598</v>
      </c>
      <c r="D55" s="37" t="s">
        <v>507</v>
      </c>
      <c r="E55" s="44" t="s">
        <v>659</v>
      </c>
      <c r="F55" s="41">
        <v>44903</v>
      </c>
      <c r="G55" s="62">
        <v>1658195</v>
      </c>
      <c r="H55" s="37">
        <f t="shared" si="1"/>
        <v>83</v>
      </c>
      <c r="I55" s="37" t="str">
        <f t="shared" si="0"/>
        <v>0-120 DAYS</v>
      </c>
      <c r="J55" s="37" t="str">
        <f t="shared" si="2"/>
        <v>0-180 DAYS</v>
      </c>
    </row>
    <row r="56" spans="1:10" x14ac:dyDescent="0.35">
      <c r="A56" t="s">
        <v>790</v>
      </c>
      <c r="B56" t="s">
        <v>859</v>
      </c>
      <c r="C56" s="44" t="s">
        <v>551</v>
      </c>
      <c r="D56" s="37" t="s">
        <v>507</v>
      </c>
      <c r="E56" s="44" t="s">
        <v>660</v>
      </c>
      <c r="F56" s="45">
        <v>44905</v>
      </c>
      <c r="G56" s="62">
        <v>3671316</v>
      </c>
      <c r="H56" s="37">
        <f t="shared" si="1"/>
        <v>81</v>
      </c>
      <c r="I56" s="37" t="str">
        <f t="shared" si="0"/>
        <v>0-120 DAYS</v>
      </c>
      <c r="J56" s="37" t="str">
        <f t="shared" si="2"/>
        <v>0-180 DAYS</v>
      </c>
    </row>
    <row r="57" spans="1:10" x14ac:dyDescent="0.35">
      <c r="A57" t="s">
        <v>790</v>
      </c>
      <c r="B57" t="s">
        <v>859</v>
      </c>
      <c r="C57" s="44" t="s">
        <v>564</v>
      </c>
      <c r="D57" s="37" t="s">
        <v>507</v>
      </c>
      <c r="E57" s="44" t="s">
        <v>661</v>
      </c>
      <c r="F57" s="45">
        <v>44905</v>
      </c>
      <c r="G57" s="62">
        <v>3399454.8</v>
      </c>
      <c r="H57" s="37">
        <f t="shared" si="1"/>
        <v>81</v>
      </c>
      <c r="I57" s="37" t="str">
        <f t="shared" si="0"/>
        <v>0-120 DAYS</v>
      </c>
      <c r="J57" s="37" t="str">
        <f t="shared" si="2"/>
        <v>0-180 DAYS</v>
      </c>
    </row>
    <row r="58" spans="1:10" x14ac:dyDescent="0.35">
      <c r="A58" t="s">
        <v>790</v>
      </c>
      <c r="B58" t="s">
        <v>859</v>
      </c>
      <c r="C58" s="44" t="s">
        <v>662</v>
      </c>
      <c r="D58" s="37" t="s">
        <v>507</v>
      </c>
      <c r="E58" s="44" t="s">
        <v>663</v>
      </c>
      <c r="F58" s="45">
        <v>44906</v>
      </c>
      <c r="G58" s="62">
        <v>4321565.32</v>
      </c>
      <c r="H58" s="37">
        <f t="shared" si="1"/>
        <v>80</v>
      </c>
      <c r="I58" s="37" t="str">
        <f t="shared" si="0"/>
        <v>0-120 DAYS</v>
      </c>
      <c r="J58" s="37" t="str">
        <f t="shared" si="2"/>
        <v>0-180 DAYS</v>
      </c>
    </row>
    <row r="59" spans="1:10" x14ac:dyDescent="0.35">
      <c r="A59" t="s">
        <v>790</v>
      </c>
      <c r="B59" t="s">
        <v>859</v>
      </c>
      <c r="C59" s="44" t="s">
        <v>664</v>
      </c>
      <c r="D59" s="37" t="s">
        <v>507</v>
      </c>
      <c r="E59" s="44" t="s">
        <v>665</v>
      </c>
      <c r="F59" s="45">
        <v>44906</v>
      </c>
      <c r="G59" s="62">
        <v>1149173.3</v>
      </c>
      <c r="H59" s="37">
        <f t="shared" si="1"/>
        <v>80</v>
      </c>
      <c r="I59" s="37" t="str">
        <f t="shared" si="0"/>
        <v>0-120 DAYS</v>
      </c>
      <c r="J59" s="37" t="str">
        <f t="shared" si="2"/>
        <v>0-180 DAYS</v>
      </c>
    </row>
    <row r="60" spans="1:10" x14ac:dyDescent="0.35">
      <c r="A60" t="s">
        <v>790</v>
      </c>
      <c r="B60" t="s">
        <v>859</v>
      </c>
      <c r="C60" s="44" t="s">
        <v>664</v>
      </c>
      <c r="D60" s="37" t="s">
        <v>507</v>
      </c>
      <c r="E60" s="44" t="s">
        <v>666</v>
      </c>
      <c r="F60" s="45">
        <v>44906</v>
      </c>
      <c r="G60" s="62">
        <v>321377.46000000002</v>
      </c>
      <c r="H60" s="37">
        <f t="shared" si="1"/>
        <v>80</v>
      </c>
      <c r="I60" s="37" t="str">
        <f t="shared" si="0"/>
        <v>0-120 DAYS</v>
      </c>
      <c r="J60" s="37" t="str">
        <f t="shared" si="2"/>
        <v>0-180 DAYS</v>
      </c>
    </row>
    <row r="61" spans="1:10" x14ac:dyDescent="0.35">
      <c r="A61" t="s">
        <v>790</v>
      </c>
      <c r="B61" t="s">
        <v>859</v>
      </c>
      <c r="C61" s="44" t="s">
        <v>667</v>
      </c>
      <c r="D61" s="37" t="s">
        <v>507</v>
      </c>
      <c r="E61" s="44" t="s">
        <v>668</v>
      </c>
      <c r="F61" s="45">
        <v>44907</v>
      </c>
      <c r="G61" s="62">
        <v>3062088.73</v>
      </c>
      <c r="H61" s="37">
        <f t="shared" si="1"/>
        <v>79</v>
      </c>
      <c r="I61" s="37" t="str">
        <f t="shared" si="0"/>
        <v>0-120 DAYS</v>
      </c>
      <c r="J61" s="37" t="str">
        <f t="shared" si="2"/>
        <v>0-180 DAYS</v>
      </c>
    </row>
    <row r="62" spans="1:10" x14ac:dyDescent="0.35">
      <c r="A62" t="s">
        <v>790</v>
      </c>
      <c r="B62" t="s">
        <v>859</v>
      </c>
      <c r="C62" s="44" t="s">
        <v>617</v>
      </c>
      <c r="D62" s="37" t="s">
        <v>507</v>
      </c>
      <c r="E62" s="44" t="s">
        <v>669</v>
      </c>
      <c r="F62" s="45">
        <v>44907</v>
      </c>
      <c r="G62" s="62">
        <v>4072373.55</v>
      </c>
      <c r="H62" s="37">
        <f t="shared" si="1"/>
        <v>79</v>
      </c>
      <c r="I62" s="37" t="str">
        <f t="shared" si="0"/>
        <v>0-120 DAYS</v>
      </c>
      <c r="J62" s="37" t="str">
        <f t="shared" si="2"/>
        <v>0-180 DAYS</v>
      </c>
    </row>
    <row r="63" spans="1:10" x14ac:dyDescent="0.35">
      <c r="A63" t="s">
        <v>790</v>
      </c>
      <c r="B63" t="s">
        <v>859</v>
      </c>
      <c r="C63" s="44" t="s">
        <v>540</v>
      </c>
      <c r="D63" s="37" t="s">
        <v>507</v>
      </c>
      <c r="E63" s="44" t="s">
        <v>670</v>
      </c>
      <c r="F63" s="45">
        <v>44907</v>
      </c>
      <c r="G63" s="62">
        <v>3146764.32</v>
      </c>
      <c r="H63" s="37">
        <f t="shared" si="1"/>
        <v>79</v>
      </c>
      <c r="I63" s="37" t="str">
        <f t="shared" si="0"/>
        <v>0-120 DAYS</v>
      </c>
      <c r="J63" s="37" t="str">
        <f t="shared" si="2"/>
        <v>0-180 DAYS</v>
      </c>
    </row>
    <row r="64" spans="1:10" x14ac:dyDescent="0.35">
      <c r="A64" t="s">
        <v>790</v>
      </c>
      <c r="B64" t="s">
        <v>859</v>
      </c>
      <c r="C64" s="44" t="s">
        <v>577</v>
      </c>
      <c r="D64" s="37" t="s">
        <v>507</v>
      </c>
      <c r="E64" s="44" t="s">
        <v>671</v>
      </c>
      <c r="F64" s="45">
        <v>44907</v>
      </c>
      <c r="G64" s="62">
        <v>4283534</v>
      </c>
      <c r="H64" s="37">
        <f t="shared" si="1"/>
        <v>79</v>
      </c>
      <c r="I64" s="37" t="str">
        <f t="shared" si="0"/>
        <v>0-120 DAYS</v>
      </c>
      <c r="J64" s="37" t="str">
        <f t="shared" si="2"/>
        <v>0-180 DAYS</v>
      </c>
    </row>
    <row r="65" spans="1:10" x14ac:dyDescent="0.35">
      <c r="A65" t="s">
        <v>790</v>
      </c>
      <c r="B65" t="s">
        <v>859</v>
      </c>
      <c r="C65" s="44" t="s">
        <v>650</v>
      </c>
      <c r="D65" s="37" t="s">
        <v>507</v>
      </c>
      <c r="E65" s="44" t="s">
        <v>672</v>
      </c>
      <c r="F65" s="41">
        <v>44907</v>
      </c>
      <c r="G65" s="62">
        <v>4318106.1900000004</v>
      </c>
      <c r="H65" s="37">
        <f t="shared" si="1"/>
        <v>79</v>
      </c>
      <c r="I65" s="37" t="str">
        <f t="shared" si="0"/>
        <v>0-120 DAYS</v>
      </c>
      <c r="J65" s="37" t="str">
        <f t="shared" si="2"/>
        <v>0-180 DAYS</v>
      </c>
    </row>
    <row r="66" spans="1:10" x14ac:dyDescent="0.35">
      <c r="A66" t="s">
        <v>790</v>
      </c>
      <c r="B66" t="s">
        <v>859</v>
      </c>
      <c r="C66" s="44" t="s">
        <v>524</v>
      </c>
      <c r="D66" s="37" t="s">
        <v>507</v>
      </c>
      <c r="E66" s="44" t="s">
        <v>673</v>
      </c>
      <c r="F66" s="41">
        <v>44909</v>
      </c>
      <c r="G66" s="62">
        <v>2728304.92</v>
      </c>
      <c r="H66" s="37">
        <f t="shared" si="1"/>
        <v>77</v>
      </c>
      <c r="I66" s="37" t="str">
        <f t="shared" si="0"/>
        <v>0-120 DAYS</v>
      </c>
      <c r="J66" s="37" t="str">
        <f t="shared" si="2"/>
        <v>0-180 DAYS</v>
      </c>
    </row>
    <row r="67" spans="1:10" x14ac:dyDescent="0.35">
      <c r="A67" t="s">
        <v>790</v>
      </c>
      <c r="B67" t="s">
        <v>859</v>
      </c>
      <c r="C67" s="44" t="s">
        <v>553</v>
      </c>
      <c r="D67" s="37" t="s">
        <v>507</v>
      </c>
      <c r="E67" s="44" t="s">
        <v>674</v>
      </c>
      <c r="F67" s="41">
        <v>44909</v>
      </c>
      <c r="G67" s="62">
        <v>3128347.48</v>
      </c>
      <c r="H67" s="37">
        <f t="shared" si="1"/>
        <v>77</v>
      </c>
      <c r="I67" s="37" t="str">
        <f t="shared" si="0"/>
        <v>0-120 DAYS</v>
      </c>
      <c r="J67" s="37" t="str">
        <f t="shared" si="2"/>
        <v>0-180 DAYS</v>
      </c>
    </row>
    <row r="68" spans="1:10" x14ac:dyDescent="0.35">
      <c r="A68" t="s">
        <v>790</v>
      </c>
      <c r="B68" t="s">
        <v>859</v>
      </c>
      <c r="C68" s="44" t="s">
        <v>631</v>
      </c>
      <c r="D68" s="37" t="s">
        <v>507</v>
      </c>
      <c r="E68" s="44" t="s">
        <v>675</v>
      </c>
      <c r="F68" s="45">
        <v>44910</v>
      </c>
      <c r="G68" s="62">
        <v>3165747.2000000002</v>
      </c>
      <c r="H68" s="37">
        <f t="shared" si="1"/>
        <v>76</v>
      </c>
      <c r="I68" s="37" t="str">
        <f t="shared" si="0"/>
        <v>0-120 DAYS</v>
      </c>
      <c r="J68" s="37" t="str">
        <f t="shared" si="2"/>
        <v>0-180 DAYS</v>
      </c>
    </row>
    <row r="69" spans="1:10" x14ac:dyDescent="0.35">
      <c r="A69" t="s">
        <v>790</v>
      </c>
      <c r="B69" t="s">
        <v>859</v>
      </c>
      <c r="C69" s="44" t="s">
        <v>588</v>
      </c>
      <c r="D69" s="37" t="s">
        <v>507</v>
      </c>
      <c r="E69" s="44" t="s">
        <v>676</v>
      </c>
      <c r="F69" s="41">
        <v>44910</v>
      </c>
      <c r="G69" s="62">
        <v>3393538.23</v>
      </c>
      <c r="H69" s="37">
        <f t="shared" si="1"/>
        <v>76</v>
      </c>
      <c r="I69" s="37" t="str">
        <f t="shared" ref="I69:I132" si="3">IF(H69&lt;121,"0-120 DAYS",IF(H69&lt;181,"121-180DAYS","More than 180 Days"))</f>
        <v>0-120 DAYS</v>
      </c>
      <c r="J69" s="37" t="str">
        <f t="shared" si="2"/>
        <v>0-180 DAYS</v>
      </c>
    </row>
    <row r="70" spans="1:10" x14ac:dyDescent="0.35">
      <c r="A70" t="s">
        <v>790</v>
      </c>
      <c r="B70" t="s">
        <v>859</v>
      </c>
      <c r="C70" s="44" t="s">
        <v>553</v>
      </c>
      <c r="D70" s="37" t="s">
        <v>507</v>
      </c>
      <c r="E70" s="44" t="s">
        <v>677</v>
      </c>
      <c r="F70" s="41">
        <v>44910</v>
      </c>
      <c r="G70" s="62">
        <v>3135317.12</v>
      </c>
      <c r="H70" s="37">
        <f t="shared" ref="H70:H133" si="4">$H$3-F70+1</f>
        <v>76</v>
      </c>
      <c r="I70" s="37" t="str">
        <f t="shared" si="3"/>
        <v>0-120 DAYS</v>
      </c>
      <c r="J70" s="37" t="str">
        <f t="shared" ref="J70:J133" si="5">IF(H70&lt;180,"0-180 DAYS","More than 180 Days")</f>
        <v>0-180 DAYS</v>
      </c>
    </row>
    <row r="71" spans="1:10" x14ac:dyDescent="0.35">
      <c r="A71" t="s">
        <v>790</v>
      </c>
      <c r="B71" t="s">
        <v>859</v>
      </c>
      <c r="C71" s="44" t="s">
        <v>678</v>
      </c>
      <c r="D71" s="37" t="s">
        <v>507</v>
      </c>
      <c r="E71" s="44" t="s">
        <v>679</v>
      </c>
      <c r="F71" s="52">
        <v>44910</v>
      </c>
      <c r="G71" s="62">
        <v>4189158.4</v>
      </c>
      <c r="H71" s="37">
        <f t="shared" si="4"/>
        <v>76</v>
      </c>
      <c r="I71" s="37" t="str">
        <f t="shared" si="3"/>
        <v>0-120 DAYS</v>
      </c>
      <c r="J71" s="37" t="str">
        <f t="shared" si="5"/>
        <v>0-180 DAYS</v>
      </c>
    </row>
    <row r="72" spans="1:10" x14ac:dyDescent="0.35">
      <c r="A72" t="s">
        <v>790</v>
      </c>
      <c r="B72" t="s">
        <v>859</v>
      </c>
      <c r="C72" s="44" t="s">
        <v>573</v>
      </c>
      <c r="D72" s="37" t="s">
        <v>507</v>
      </c>
      <c r="E72" s="44" t="s">
        <v>680</v>
      </c>
      <c r="F72" s="45">
        <v>44911</v>
      </c>
      <c r="G72" s="62">
        <v>3410250.19</v>
      </c>
      <c r="H72" s="37">
        <f t="shared" si="4"/>
        <v>75</v>
      </c>
      <c r="I72" s="37" t="str">
        <f t="shared" si="3"/>
        <v>0-120 DAYS</v>
      </c>
      <c r="J72" s="37" t="str">
        <f t="shared" si="5"/>
        <v>0-180 DAYS</v>
      </c>
    </row>
    <row r="73" spans="1:10" x14ac:dyDescent="0.35">
      <c r="A73" t="s">
        <v>790</v>
      </c>
      <c r="B73" t="s">
        <v>859</v>
      </c>
      <c r="C73" s="44" t="s">
        <v>681</v>
      </c>
      <c r="D73" s="37" t="s">
        <v>507</v>
      </c>
      <c r="E73" s="44" t="s">
        <v>682</v>
      </c>
      <c r="F73" s="41">
        <v>44911</v>
      </c>
      <c r="G73" s="62">
        <v>4029656.18</v>
      </c>
      <c r="H73" s="37">
        <f t="shared" si="4"/>
        <v>75</v>
      </c>
      <c r="I73" s="37" t="str">
        <f t="shared" si="3"/>
        <v>0-120 DAYS</v>
      </c>
      <c r="J73" s="37" t="str">
        <f t="shared" si="5"/>
        <v>0-180 DAYS</v>
      </c>
    </row>
    <row r="74" spans="1:10" x14ac:dyDescent="0.35">
      <c r="A74" t="s">
        <v>790</v>
      </c>
      <c r="B74" t="s">
        <v>859</v>
      </c>
      <c r="C74" s="44" t="s">
        <v>553</v>
      </c>
      <c r="D74" s="37" t="s">
        <v>507</v>
      </c>
      <c r="E74" s="44" t="s">
        <v>683</v>
      </c>
      <c r="F74" s="41">
        <v>44911</v>
      </c>
      <c r="G74" s="62">
        <v>2543735.42</v>
      </c>
      <c r="H74" s="37">
        <f t="shared" si="4"/>
        <v>75</v>
      </c>
      <c r="I74" s="37" t="str">
        <f t="shared" si="3"/>
        <v>0-120 DAYS</v>
      </c>
      <c r="J74" s="37" t="str">
        <f t="shared" si="5"/>
        <v>0-180 DAYS</v>
      </c>
    </row>
    <row r="75" spans="1:10" x14ac:dyDescent="0.35">
      <c r="A75" t="s">
        <v>790</v>
      </c>
      <c r="B75" t="s">
        <v>859</v>
      </c>
      <c r="C75" s="44" t="s">
        <v>606</v>
      </c>
      <c r="D75" s="37" t="s">
        <v>507</v>
      </c>
      <c r="E75" s="44" t="s">
        <v>684</v>
      </c>
      <c r="F75" s="45">
        <v>44912</v>
      </c>
      <c r="G75" s="62">
        <v>3670836.35</v>
      </c>
      <c r="H75" s="37">
        <f t="shared" si="4"/>
        <v>74</v>
      </c>
      <c r="I75" s="37" t="str">
        <f t="shared" si="3"/>
        <v>0-120 DAYS</v>
      </c>
      <c r="J75" s="37" t="str">
        <f t="shared" si="5"/>
        <v>0-180 DAYS</v>
      </c>
    </row>
    <row r="76" spans="1:10" x14ac:dyDescent="0.35">
      <c r="A76" t="s">
        <v>790</v>
      </c>
      <c r="B76" t="s">
        <v>859</v>
      </c>
      <c r="C76" s="44" t="s">
        <v>524</v>
      </c>
      <c r="D76" s="37" t="s">
        <v>507</v>
      </c>
      <c r="E76" s="44" t="s">
        <v>685</v>
      </c>
      <c r="F76" s="41">
        <v>44912</v>
      </c>
      <c r="G76" s="62">
        <v>3098502.2</v>
      </c>
      <c r="H76" s="37">
        <f t="shared" si="4"/>
        <v>74</v>
      </c>
      <c r="I76" s="37" t="str">
        <f t="shared" si="3"/>
        <v>0-120 DAYS</v>
      </c>
      <c r="J76" s="37" t="str">
        <f t="shared" si="5"/>
        <v>0-180 DAYS</v>
      </c>
    </row>
    <row r="77" spans="1:10" x14ac:dyDescent="0.35">
      <c r="A77" t="s">
        <v>790</v>
      </c>
      <c r="B77" t="s">
        <v>859</v>
      </c>
      <c r="C77" s="44" t="s">
        <v>647</v>
      </c>
      <c r="D77" s="37" t="s">
        <v>507</v>
      </c>
      <c r="E77" s="44" t="s">
        <v>686</v>
      </c>
      <c r="F77" s="45">
        <v>44914</v>
      </c>
      <c r="G77" s="62">
        <v>4638060</v>
      </c>
      <c r="H77" s="37">
        <f t="shared" si="4"/>
        <v>72</v>
      </c>
      <c r="I77" s="37" t="str">
        <f t="shared" si="3"/>
        <v>0-120 DAYS</v>
      </c>
      <c r="J77" s="37" t="str">
        <f t="shared" si="5"/>
        <v>0-180 DAYS</v>
      </c>
    </row>
    <row r="78" spans="1:10" x14ac:dyDescent="0.35">
      <c r="A78" t="s">
        <v>790</v>
      </c>
      <c r="B78" t="s">
        <v>859</v>
      </c>
      <c r="C78" s="44" t="s">
        <v>551</v>
      </c>
      <c r="D78" s="37" t="s">
        <v>507</v>
      </c>
      <c r="E78" s="44" t="s">
        <v>687</v>
      </c>
      <c r="F78" s="45">
        <v>44914</v>
      </c>
      <c r="G78" s="62">
        <v>3739896</v>
      </c>
      <c r="H78" s="37">
        <f t="shared" si="4"/>
        <v>72</v>
      </c>
      <c r="I78" s="37" t="str">
        <f t="shared" si="3"/>
        <v>0-120 DAYS</v>
      </c>
      <c r="J78" s="37" t="str">
        <f t="shared" si="5"/>
        <v>0-180 DAYS</v>
      </c>
    </row>
    <row r="79" spans="1:10" x14ac:dyDescent="0.35">
      <c r="A79" t="s">
        <v>790</v>
      </c>
      <c r="B79" t="s">
        <v>859</v>
      </c>
      <c r="C79" s="44" t="s">
        <v>564</v>
      </c>
      <c r="D79" s="37" t="s">
        <v>507</v>
      </c>
      <c r="E79" s="44" t="s">
        <v>688</v>
      </c>
      <c r="F79" s="45">
        <v>44914</v>
      </c>
      <c r="G79" s="62">
        <v>3510143.44</v>
      </c>
      <c r="H79" s="37">
        <f t="shared" si="4"/>
        <v>72</v>
      </c>
      <c r="I79" s="37" t="str">
        <f t="shared" si="3"/>
        <v>0-120 DAYS</v>
      </c>
      <c r="J79" s="37" t="str">
        <f t="shared" si="5"/>
        <v>0-180 DAYS</v>
      </c>
    </row>
    <row r="80" spans="1:10" x14ac:dyDescent="0.35">
      <c r="A80" t="s">
        <v>790</v>
      </c>
      <c r="B80" t="s">
        <v>859</v>
      </c>
      <c r="C80" s="44" t="s">
        <v>606</v>
      </c>
      <c r="D80" s="37" t="s">
        <v>507</v>
      </c>
      <c r="E80" s="44" t="s">
        <v>689</v>
      </c>
      <c r="F80" s="45">
        <v>44915</v>
      </c>
      <c r="G80" s="62">
        <v>3406232.99</v>
      </c>
      <c r="H80" s="37">
        <f t="shared" si="4"/>
        <v>71</v>
      </c>
      <c r="I80" s="37" t="str">
        <f t="shared" si="3"/>
        <v>0-120 DAYS</v>
      </c>
      <c r="J80" s="37" t="str">
        <f t="shared" si="5"/>
        <v>0-180 DAYS</v>
      </c>
    </row>
    <row r="81" spans="1:10" x14ac:dyDescent="0.35">
      <c r="A81" t="s">
        <v>790</v>
      </c>
      <c r="B81" t="s">
        <v>859</v>
      </c>
      <c r="C81" s="44" t="s">
        <v>553</v>
      </c>
      <c r="D81" s="37" t="s">
        <v>507</v>
      </c>
      <c r="E81" s="44" t="s">
        <v>690</v>
      </c>
      <c r="F81" s="41">
        <v>44915</v>
      </c>
      <c r="G81" s="62">
        <v>2624924.37</v>
      </c>
      <c r="H81" s="37">
        <f t="shared" si="4"/>
        <v>71</v>
      </c>
      <c r="I81" s="37" t="str">
        <f t="shared" si="3"/>
        <v>0-120 DAYS</v>
      </c>
      <c r="J81" s="37" t="str">
        <f t="shared" si="5"/>
        <v>0-180 DAYS</v>
      </c>
    </row>
    <row r="82" spans="1:10" x14ac:dyDescent="0.35">
      <c r="A82" t="s">
        <v>790</v>
      </c>
      <c r="B82" t="s">
        <v>859</v>
      </c>
      <c r="C82" s="44" t="s">
        <v>551</v>
      </c>
      <c r="D82" s="37" t="s">
        <v>507</v>
      </c>
      <c r="E82" s="44" t="s">
        <v>691</v>
      </c>
      <c r="F82" s="45">
        <v>44918</v>
      </c>
      <c r="G82" s="62">
        <v>3739896</v>
      </c>
      <c r="H82" s="37">
        <f t="shared" si="4"/>
        <v>68</v>
      </c>
      <c r="I82" s="37" t="str">
        <f t="shared" si="3"/>
        <v>0-120 DAYS</v>
      </c>
      <c r="J82" s="37" t="str">
        <f t="shared" si="5"/>
        <v>0-180 DAYS</v>
      </c>
    </row>
    <row r="83" spans="1:10" x14ac:dyDescent="0.35">
      <c r="A83" t="s">
        <v>790</v>
      </c>
      <c r="B83" t="s">
        <v>859</v>
      </c>
      <c r="C83" s="44" t="s">
        <v>573</v>
      </c>
      <c r="D83" s="37" t="s">
        <v>507</v>
      </c>
      <c r="E83" s="44" t="s">
        <v>692</v>
      </c>
      <c r="F83" s="45">
        <v>44918</v>
      </c>
      <c r="G83" s="62">
        <v>3751704.45</v>
      </c>
      <c r="H83" s="37">
        <f t="shared" si="4"/>
        <v>68</v>
      </c>
      <c r="I83" s="37" t="str">
        <f t="shared" si="3"/>
        <v>0-120 DAYS</v>
      </c>
      <c r="J83" s="37" t="str">
        <f t="shared" si="5"/>
        <v>0-180 DAYS</v>
      </c>
    </row>
    <row r="84" spans="1:10" x14ac:dyDescent="0.35">
      <c r="A84" t="s">
        <v>790</v>
      </c>
      <c r="B84" t="s">
        <v>859</v>
      </c>
      <c r="C84" s="44" t="s">
        <v>693</v>
      </c>
      <c r="D84" s="37" t="s">
        <v>507</v>
      </c>
      <c r="E84" s="44" t="s">
        <v>694</v>
      </c>
      <c r="F84" s="52">
        <v>44918</v>
      </c>
      <c r="G84" s="62">
        <v>3504312</v>
      </c>
      <c r="H84" s="37">
        <f t="shared" si="4"/>
        <v>68</v>
      </c>
      <c r="I84" s="37" t="str">
        <f t="shared" si="3"/>
        <v>0-120 DAYS</v>
      </c>
      <c r="J84" s="37" t="str">
        <f t="shared" si="5"/>
        <v>0-180 DAYS</v>
      </c>
    </row>
    <row r="85" spans="1:10" x14ac:dyDescent="0.35">
      <c r="A85" t="s">
        <v>790</v>
      </c>
      <c r="B85" t="s">
        <v>859</v>
      </c>
      <c r="C85" s="44" t="s">
        <v>548</v>
      </c>
      <c r="D85" s="37" t="s">
        <v>507</v>
      </c>
      <c r="E85" s="44" t="s">
        <v>695</v>
      </c>
      <c r="F85" s="45">
        <v>44919</v>
      </c>
      <c r="G85" s="62">
        <v>1511149.12</v>
      </c>
      <c r="H85" s="37">
        <f t="shared" si="4"/>
        <v>67</v>
      </c>
      <c r="I85" s="37" t="str">
        <f t="shared" si="3"/>
        <v>0-120 DAYS</v>
      </c>
      <c r="J85" s="37" t="str">
        <f t="shared" si="5"/>
        <v>0-180 DAYS</v>
      </c>
    </row>
    <row r="86" spans="1:10" x14ac:dyDescent="0.35">
      <c r="A86" t="s">
        <v>790</v>
      </c>
      <c r="B86" t="s">
        <v>859</v>
      </c>
      <c r="C86" s="44" t="s">
        <v>575</v>
      </c>
      <c r="D86" s="37" t="s">
        <v>507</v>
      </c>
      <c r="E86" s="44" t="s">
        <v>696</v>
      </c>
      <c r="F86" s="45">
        <v>44919</v>
      </c>
      <c r="G86" s="62">
        <v>3354262.56</v>
      </c>
      <c r="H86" s="37">
        <f t="shared" si="4"/>
        <v>67</v>
      </c>
      <c r="I86" s="37" t="str">
        <f t="shared" si="3"/>
        <v>0-120 DAYS</v>
      </c>
      <c r="J86" s="37" t="str">
        <f t="shared" si="5"/>
        <v>0-180 DAYS</v>
      </c>
    </row>
    <row r="87" spans="1:10" x14ac:dyDescent="0.35">
      <c r="A87" t="s">
        <v>790</v>
      </c>
      <c r="B87" t="s">
        <v>859</v>
      </c>
      <c r="C87" s="44" t="s">
        <v>540</v>
      </c>
      <c r="D87" s="37" t="s">
        <v>507</v>
      </c>
      <c r="E87" s="44" t="s">
        <v>697</v>
      </c>
      <c r="F87" s="45">
        <v>44920</v>
      </c>
      <c r="G87" s="62">
        <v>3369869.26</v>
      </c>
      <c r="H87" s="37">
        <f t="shared" si="4"/>
        <v>66</v>
      </c>
      <c r="I87" s="37" t="str">
        <f t="shared" si="3"/>
        <v>0-120 DAYS</v>
      </c>
      <c r="J87" s="37" t="str">
        <f t="shared" si="5"/>
        <v>0-180 DAYS</v>
      </c>
    </row>
    <row r="88" spans="1:10" x14ac:dyDescent="0.35">
      <c r="A88" t="s">
        <v>790</v>
      </c>
      <c r="B88" t="s">
        <v>859</v>
      </c>
      <c r="C88" s="44" t="s">
        <v>536</v>
      </c>
      <c r="D88" s="37" t="s">
        <v>507</v>
      </c>
      <c r="E88" s="44" t="s">
        <v>698</v>
      </c>
      <c r="F88" s="45">
        <v>44921</v>
      </c>
      <c r="G88" s="62">
        <v>3672953.08</v>
      </c>
      <c r="H88" s="37">
        <f t="shared" si="4"/>
        <v>65</v>
      </c>
      <c r="I88" s="37" t="str">
        <f t="shared" si="3"/>
        <v>0-120 DAYS</v>
      </c>
      <c r="J88" s="37" t="str">
        <f t="shared" si="5"/>
        <v>0-180 DAYS</v>
      </c>
    </row>
    <row r="89" spans="1:10" x14ac:dyDescent="0.35">
      <c r="A89" t="s">
        <v>790</v>
      </c>
      <c r="B89" t="s">
        <v>859</v>
      </c>
      <c r="C89" s="44" t="s">
        <v>635</v>
      </c>
      <c r="D89" s="37" t="s">
        <v>507</v>
      </c>
      <c r="E89" s="44" t="s">
        <v>699</v>
      </c>
      <c r="F89" s="45">
        <v>44921</v>
      </c>
      <c r="G89" s="62">
        <v>3208531.38</v>
      </c>
      <c r="H89" s="37">
        <f t="shared" si="4"/>
        <v>65</v>
      </c>
      <c r="I89" s="37" t="str">
        <f t="shared" si="3"/>
        <v>0-120 DAYS</v>
      </c>
      <c r="J89" s="37" t="str">
        <f t="shared" si="5"/>
        <v>0-180 DAYS</v>
      </c>
    </row>
    <row r="90" spans="1:10" x14ac:dyDescent="0.35">
      <c r="A90" t="s">
        <v>790</v>
      </c>
      <c r="B90" t="s">
        <v>859</v>
      </c>
      <c r="C90" s="44" t="s">
        <v>540</v>
      </c>
      <c r="D90" s="37" t="s">
        <v>507</v>
      </c>
      <c r="E90" s="44" t="s">
        <v>700</v>
      </c>
      <c r="F90" s="45">
        <v>44921</v>
      </c>
      <c r="G90" s="62">
        <v>3209126.87</v>
      </c>
      <c r="H90" s="37">
        <f t="shared" si="4"/>
        <v>65</v>
      </c>
      <c r="I90" s="37" t="str">
        <f t="shared" si="3"/>
        <v>0-120 DAYS</v>
      </c>
      <c r="J90" s="37" t="str">
        <f t="shared" si="5"/>
        <v>0-180 DAYS</v>
      </c>
    </row>
    <row r="91" spans="1:10" x14ac:dyDescent="0.35">
      <c r="A91" t="s">
        <v>790</v>
      </c>
      <c r="B91" t="s">
        <v>859</v>
      </c>
      <c r="C91" s="44" t="s">
        <v>701</v>
      </c>
      <c r="D91" s="37" t="s">
        <v>507</v>
      </c>
      <c r="E91" s="44" t="s">
        <v>702</v>
      </c>
      <c r="F91" s="41">
        <v>44921</v>
      </c>
      <c r="G91" s="62">
        <v>1919028</v>
      </c>
      <c r="H91" s="37">
        <f t="shared" si="4"/>
        <v>65</v>
      </c>
      <c r="I91" s="37" t="str">
        <f t="shared" si="3"/>
        <v>0-120 DAYS</v>
      </c>
      <c r="J91" s="37" t="str">
        <f t="shared" si="5"/>
        <v>0-180 DAYS</v>
      </c>
    </row>
    <row r="92" spans="1:10" x14ac:dyDescent="0.35">
      <c r="A92" t="s">
        <v>790</v>
      </c>
      <c r="B92" t="s">
        <v>859</v>
      </c>
      <c r="C92" s="44" t="s">
        <v>553</v>
      </c>
      <c r="D92" s="37" t="s">
        <v>507</v>
      </c>
      <c r="E92" s="44" t="s">
        <v>703</v>
      </c>
      <c r="F92" s="41">
        <v>44922</v>
      </c>
      <c r="G92" s="62">
        <v>2823287.74</v>
      </c>
      <c r="H92" s="37">
        <f t="shared" si="4"/>
        <v>64</v>
      </c>
      <c r="I92" s="37" t="str">
        <f t="shared" si="3"/>
        <v>0-120 DAYS</v>
      </c>
      <c r="J92" s="37" t="str">
        <f t="shared" si="5"/>
        <v>0-180 DAYS</v>
      </c>
    </row>
    <row r="93" spans="1:10" x14ac:dyDescent="0.35">
      <c r="A93" t="s">
        <v>790</v>
      </c>
      <c r="B93" t="s">
        <v>859</v>
      </c>
      <c r="C93" s="44" t="s">
        <v>530</v>
      </c>
      <c r="D93" s="37" t="s">
        <v>507</v>
      </c>
      <c r="E93" s="44" t="s">
        <v>704</v>
      </c>
      <c r="F93" s="45">
        <v>44923</v>
      </c>
      <c r="G93" s="62">
        <v>3621408.7</v>
      </c>
      <c r="H93" s="37">
        <f t="shared" si="4"/>
        <v>63</v>
      </c>
      <c r="I93" s="37" t="str">
        <f t="shared" si="3"/>
        <v>0-120 DAYS</v>
      </c>
      <c r="J93" s="37" t="str">
        <f t="shared" si="5"/>
        <v>0-180 DAYS</v>
      </c>
    </row>
    <row r="94" spans="1:10" x14ac:dyDescent="0.35">
      <c r="A94" t="s">
        <v>790</v>
      </c>
      <c r="B94" t="s">
        <v>859</v>
      </c>
      <c r="C94" s="44" t="s">
        <v>609</v>
      </c>
      <c r="D94" s="37" t="s">
        <v>507</v>
      </c>
      <c r="E94" s="44" t="s">
        <v>705</v>
      </c>
      <c r="F94" s="45">
        <v>44923</v>
      </c>
      <c r="G94" s="62">
        <v>2592037.5</v>
      </c>
      <c r="H94" s="37">
        <f t="shared" si="4"/>
        <v>63</v>
      </c>
      <c r="I94" s="37" t="str">
        <f t="shared" si="3"/>
        <v>0-120 DAYS</v>
      </c>
      <c r="J94" s="37" t="str">
        <f t="shared" si="5"/>
        <v>0-180 DAYS</v>
      </c>
    </row>
    <row r="95" spans="1:10" x14ac:dyDescent="0.35">
      <c r="A95" t="s">
        <v>790</v>
      </c>
      <c r="B95" t="s">
        <v>859</v>
      </c>
      <c r="C95" s="44" t="s">
        <v>536</v>
      </c>
      <c r="D95" s="37" t="s">
        <v>507</v>
      </c>
      <c r="E95" s="44" t="s">
        <v>706</v>
      </c>
      <c r="F95" s="45">
        <v>44924</v>
      </c>
      <c r="G95" s="62">
        <v>3797775.28</v>
      </c>
      <c r="H95" s="37">
        <f t="shared" si="4"/>
        <v>62</v>
      </c>
      <c r="I95" s="37" t="str">
        <f t="shared" si="3"/>
        <v>0-120 DAYS</v>
      </c>
      <c r="J95" s="37" t="str">
        <f t="shared" si="5"/>
        <v>0-180 DAYS</v>
      </c>
    </row>
    <row r="96" spans="1:10" x14ac:dyDescent="0.35">
      <c r="A96" t="s">
        <v>790</v>
      </c>
      <c r="B96" t="s">
        <v>859</v>
      </c>
      <c r="C96" s="44" t="s">
        <v>707</v>
      </c>
      <c r="D96" s="37" t="s">
        <v>507</v>
      </c>
      <c r="E96" s="44" t="s">
        <v>708</v>
      </c>
      <c r="F96" s="45">
        <v>44924</v>
      </c>
      <c r="G96" s="62">
        <v>3054739.2</v>
      </c>
      <c r="H96" s="37">
        <f t="shared" si="4"/>
        <v>62</v>
      </c>
      <c r="I96" s="37" t="str">
        <f t="shared" si="3"/>
        <v>0-120 DAYS</v>
      </c>
      <c r="J96" s="37" t="str">
        <f t="shared" si="5"/>
        <v>0-180 DAYS</v>
      </c>
    </row>
    <row r="97" spans="1:10" x14ac:dyDescent="0.35">
      <c r="A97" t="s">
        <v>790</v>
      </c>
      <c r="B97" t="s">
        <v>859</v>
      </c>
      <c r="C97" s="44" t="s">
        <v>598</v>
      </c>
      <c r="D97" s="37" t="s">
        <v>507</v>
      </c>
      <c r="E97" s="44" t="s">
        <v>709</v>
      </c>
      <c r="F97" s="41">
        <v>44924</v>
      </c>
      <c r="G97" s="62">
        <v>1547574.2</v>
      </c>
      <c r="H97" s="37">
        <f t="shared" si="4"/>
        <v>62</v>
      </c>
      <c r="I97" s="37" t="str">
        <f t="shared" si="3"/>
        <v>0-120 DAYS</v>
      </c>
      <c r="J97" s="37" t="str">
        <f t="shared" si="5"/>
        <v>0-180 DAYS</v>
      </c>
    </row>
    <row r="98" spans="1:10" x14ac:dyDescent="0.35">
      <c r="A98" t="s">
        <v>790</v>
      </c>
      <c r="B98" t="s">
        <v>859</v>
      </c>
      <c r="C98" s="44" t="s">
        <v>548</v>
      </c>
      <c r="D98" s="37" t="s">
        <v>507</v>
      </c>
      <c r="E98" s="44" t="s">
        <v>710</v>
      </c>
      <c r="F98" s="45">
        <v>44925</v>
      </c>
      <c r="G98" s="62">
        <v>1334976</v>
      </c>
      <c r="H98" s="37">
        <f t="shared" si="4"/>
        <v>61</v>
      </c>
      <c r="I98" s="37" t="str">
        <f t="shared" si="3"/>
        <v>0-120 DAYS</v>
      </c>
      <c r="J98" s="37" t="str">
        <f t="shared" si="5"/>
        <v>0-180 DAYS</v>
      </c>
    </row>
    <row r="99" spans="1:10" x14ac:dyDescent="0.35">
      <c r="A99" t="s">
        <v>790</v>
      </c>
      <c r="B99" t="s">
        <v>859</v>
      </c>
      <c r="C99" s="44" t="s">
        <v>548</v>
      </c>
      <c r="D99" s="37" t="s">
        <v>507</v>
      </c>
      <c r="E99" s="44" t="s">
        <v>711</v>
      </c>
      <c r="F99" s="45">
        <v>44925</v>
      </c>
      <c r="G99" s="62">
        <v>3616967.01</v>
      </c>
      <c r="H99" s="37">
        <f t="shared" si="4"/>
        <v>61</v>
      </c>
      <c r="I99" s="37" t="str">
        <f t="shared" si="3"/>
        <v>0-120 DAYS</v>
      </c>
      <c r="J99" s="37" t="str">
        <f t="shared" si="5"/>
        <v>0-180 DAYS</v>
      </c>
    </row>
    <row r="100" spans="1:10" x14ac:dyDescent="0.35">
      <c r="A100" t="s">
        <v>790</v>
      </c>
      <c r="B100" t="s">
        <v>859</v>
      </c>
      <c r="C100" s="44" t="s">
        <v>573</v>
      </c>
      <c r="D100" s="37" t="s">
        <v>507</v>
      </c>
      <c r="E100" s="44" t="s">
        <v>712</v>
      </c>
      <c r="F100" s="45">
        <v>44925</v>
      </c>
      <c r="G100" s="62">
        <v>3570697.02</v>
      </c>
      <c r="H100" s="37">
        <f t="shared" si="4"/>
        <v>61</v>
      </c>
      <c r="I100" s="37" t="str">
        <f t="shared" si="3"/>
        <v>0-120 DAYS</v>
      </c>
      <c r="J100" s="37" t="str">
        <f t="shared" si="5"/>
        <v>0-180 DAYS</v>
      </c>
    </row>
    <row r="101" spans="1:10" x14ac:dyDescent="0.35">
      <c r="A101" t="s">
        <v>790</v>
      </c>
      <c r="B101" t="s">
        <v>859</v>
      </c>
      <c r="C101" s="44" t="s">
        <v>553</v>
      </c>
      <c r="D101" s="37" t="s">
        <v>507</v>
      </c>
      <c r="E101" s="44" t="s">
        <v>713</v>
      </c>
      <c r="F101" s="41">
        <v>44925</v>
      </c>
      <c r="G101" s="62">
        <v>2815107.74</v>
      </c>
      <c r="H101" s="37">
        <f t="shared" si="4"/>
        <v>61</v>
      </c>
      <c r="I101" s="37" t="str">
        <f t="shared" si="3"/>
        <v>0-120 DAYS</v>
      </c>
      <c r="J101" s="37" t="str">
        <f t="shared" si="5"/>
        <v>0-180 DAYS</v>
      </c>
    </row>
    <row r="102" spans="1:10" x14ac:dyDescent="0.35">
      <c r="A102" t="s">
        <v>790</v>
      </c>
      <c r="B102" t="s">
        <v>859</v>
      </c>
      <c r="C102" s="44" t="s">
        <v>553</v>
      </c>
      <c r="D102" s="37" t="s">
        <v>507</v>
      </c>
      <c r="E102" s="44" t="s">
        <v>714</v>
      </c>
      <c r="F102" s="41">
        <v>44925</v>
      </c>
      <c r="G102" s="62">
        <v>2849319.77</v>
      </c>
      <c r="H102" s="37">
        <f t="shared" si="4"/>
        <v>61</v>
      </c>
      <c r="I102" s="37" t="str">
        <f t="shared" si="3"/>
        <v>0-120 DAYS</v>
      </c>
      <c r="J102" s="37" t="str">
        <f t="shared" si="5"/>
        <v>0-180 DAYS</v>
      </c>
    </row>
    <row r="103" spans="1:10" x14ac:dyDescent="0.35">
      <c r="A103" t="s">
        <v>790</v>
      </c>
      <c r="B103" t="s">
        <v>859</v>
      </c>
      <c r="C103" s="44" t="s">
        <v>715</v>
      </c>
      <c r="D103" s="37" t="s">
        <v>507</v>
      </c>
      <c r="E103" s="44" t="s">
        <v>716</v>
      </c>
      <c r="F103" s="45">
        <v>44926</v>
      </c>
      <c r="G103" s="62">
        <v>2836169.6</v>
      </c>
      <c r="H103" s="37">
        <f t="shared" si="4"/>
        <v>60</v>
      </c>
      <c r="I103" s="37" t="str">
        <f t="shared" si="3"/>
        <v>0-120 DAYS</v>
      </c>
      <c r="J103" s="37" t="str">
        <f t="shared" si="5"/>
        <v>0-180 DAYS</v>
      </c>
    </row>
    <row r="104" spans="1:10" x14ac:dyDescent="0.35">
      <c r="A104" t="s">
        <v>790</v>
      </c>
      <c r="B104" t="s">
        <v>859</v>
      </c>
      <c r="C104" s="44" t="s">
        <v>667</v>
      </c>
      <c r="D104" s="37" t="s">
        <v>507</v>
      </c>
      <c r="E104" s="44" t="s">
        <v>717</v>
      </c>
      <c r="F104" s="45">
        <v>44926</v>
      </c>
      <c r="G104" s="62">
        <v>2951736.64</v>
      </c>
      <c r="H104" s="37">
        <f t="shared" si="4"/>
        <v>60</v>
      </c>
      <c r="I104" s="37" t="str">
        <f t="shared" si="3"/>
        <v>0-120 DAYS</v>
      </c>
      <c r="J104" s="37" t="str">
        <f t="shared" si="5"/>
        <v>0-180 DAYS</v>
      </c>
    </row>
    <row r="105" spans="1:10" x14ac:dyDescent="0.35">
      <c r="A105" t="s">
        <v>790</v>
      </c>
      <c r="B105" t="s">
        <v>859</v>
      </c>
      <c r="C105" s="44" t="s">
        <v>596</v>
      </c>
      <c r="D105" s="37" t="s">
        <v>507</v>
      </c>
      <c r="E105" s="44" t="s">
        <v>718</v>
      </c>
      <c r="F105" s="41">
        <v>44926</v>
      </c>
      <c r="G105" s="62">
        <v>2395022.2000000002</v>
      </c>
      <c r="H105" s="37">
        <f t="shared" si="4"/>
        <v>60</v>
      </c>
      <c r="I105" s="37" t="str">
        <f t="shared" si="3"/>
        <v>0-120 DAYS</v>
      </c>
      <c r="J105" s="37" t="str">
        <f t="shared" si="5"/>
        <v>0-180 DAYS</v>
      </c>
    </row>
    <row r="106" spans="1:10" x14ac:dyDescent="0.35">
      <c r="A106" t="s">
        <v>790</v>
      </c>
      <c r="B106" t="s">
        <v>859</v>
      </c>
      <c r="C106" s="44" t="s">
        <v>596</v>
      </c>
      <c r="D106" s="37" t="s">
        <v>507</v>
      </c>
      <c r="E106" s="44" t="s">
        <v>719</v>
      </c>
      <c r="F106" s="41">
        <v>44926</v>
      </c>
      <c r="G106" s="62">
        <v>1491906.03</v>
      </c>
      <c r="H106" s="37">
        <f t="shared" si="4"/>
        <v>60</v>
      </c>
      <c r="I106" s="37" t="str">
        <f t="shared" si="3"/>
        <v>0-120 DAYS</v>
      </c>
      <c r="J106" s="37" t="str">
        <f t="shared" si="5"/>
        <v>0-180 DAYS</v>
      </c>
    </row>
    <row r="107" spans="1:10" x14ac:dyDescent="0.35">
      <c r="A107" t="s">
        <v>790</v>
      </c>
      <c r="B107" t="s">
        <v>859</v>
      </c>
      <c r="C107" s="44" t="s">
        <v>596</v>
      </c>
      <c r="D107" s="37" t="s">
        <v>507</v>
      </c>
      <c r="E107" s="44" t="s">
        <v>720</v>
      </c>
      <c r="F107" s="41">
        <v>44926</v>
      </c>
      <c r="G107" s="62">
        <v>59980.67</v>
      </c>
      <c r="H107" s="37">
        <f t="shared" si="4"/>
        <v>60</v>
      </c>
      <c r="I107" s="37" t="str">
        <f t="shared" si="3"/>
        <v>0-120 DAYS</v>
      </c>
      <c r="J107" s="37" t="str">
        <f t="shared" si="5"/>
        <v>0-180 DAYS</v>
      </c>
    </row>
    <row r="108" spans="1:10" x14ac:dyDescent="0.35">
      <c r="A108" t="s">
        <v>790</v>
      </c>
      <c r="B108" t="s">
        <v>859</v>
      </c>
      <c r="C108" s="44" t="s">
        <v>678</v>
      </c>
      <c r="D108" s="37" t="s">
        <v>507</v>
      </c>
      <c r="E108" s="44" t="s">
        <v>721</v>
      </c>
      <c r="F108" s="52">
        <v>44926</v>
      </c>
      <c r="G108" s="62">
        <v>3921109.4</v>
      </c>
      <c r="H108" s="37">
        <f t="shared" si="4"/>
        <v>60</v>
      </c>
      <c r="I108" s="37" t="str">
        <f t="shared" si="3"/>
        <v>0-120 DAYS</v>
      </c>
      <c r="J108" s="37" t="str">
        <f t="shared" si="5"/>
        <v>0-180 DAYS</v>
      </c>
    </row>
    <row r="109" spans="1:10" x14ac:dyDescent="0.35">
      <c r="A109" t="s">
        <v>790</v>
      </c>
      <c r="B109" t="s">
        <v>859</v>
      </c>
      <c r="C109" s="18" t="s">
        <v>581</v>
      </c>
      <c r="D109" s="37" t="s">
        <v>507</v>
      </c>
      <c r="E109" s="18" t="s">
        <v>722</v>
      </c>
      <c r="F109" s="19">
        <v>44929</v>
      </c>
      <c r="G109" s="21">
        <v>3655476.47</v>
      </c>
      <c r="H109" s="37">
        <f t="shared" si="4"/>
        <v>57</v>
      </c>
      <c r="I109" s="37" t="str">
        <f t="shared" si="3"/>
        <v>0-120 DAYS</v>
      </c>
      <c r="J109" s="37" t="str">
        <f t="shared" si="5"/>
        <v>0-180 DAYS</v>
      </c>
    </row>
    <row r="110" spans="1:10" x14ac:dyDescent="0.35">
      <c r="A110" t="s">
        <v>790</v>
      </c>
      <c r="B110" t="s">
        <v>859</v>
      </c>
      <c r="C110" s="18" t="s">
        <v>617</v>
      </c>
      <c r="D110" s="37" t="s">
        <v>507</v>
      </c>
      <c r="E110" s="18" t="s">
        <v>723</v>
      </c>
      <c r="F110" s="19">
        <v>44930</v>
      </c>
      <c r="G110" s="21">
        <v>3722803.07</v>
      </c>
      <c r="H110" s="37">
        <f t="shared" si="4"/>
        <v>56</v>
      </c>
      <c r="I110" s="37" t="str">
        <f t="shared" si="3"/>
        <v>0-120 DAYS</v>
      </c>
      <c r="J110" s="37" t="str">
        <f t="shared" si="5"/>
        <v>0-180 DAYS</v>
      </c>
    </row>
    <row r="111" spans="1:10" x14ac:dyDescent="0.35">
      <c r="A111" t="s">
        <v>790</v>
      </c>
      <c r="B111" t="s">
        <v>859</v>
      </c>
      <c r="C111" s="18" t="s">
        <v>724</v>
      </c>
      <c r="D111" s="37" t="s">
        <v>507</v>
      </c>
      <c r="E111" s="18" t="s">
        <v>725</v>
      </c>
      <c r="F111" s="19">
        <v>44931</v>
      </c>
      <c r="G111" s="21">
        <v>3339449.53</v>
      </c>
      <c r="H111" s="37">
        <f t="shared" si="4"/>
        <v>55</v>
      </c>
      <c r="I111" s="37" t="str">
        <f t="shared" si="3"/>
        <v>0-120 DAYS</v>
      </c>
      <c r="J111" s="37" t="str">
        <f t="shared" si="5"/>
        <v>0-180 DAYS</v>
      </c>
    </row>
    <row r="112" spans="1:10" x14ac:dyDescent="0.35">
      <c r="A112" t="s">
        <v>790</v>
      </c>
      <c r="B112" t="s">
        <v>859</v>
      </c>
      <c r="C112" s="18" t="s">
        <v>681</v>
      </c>
      <c r="D112" s="37" t="s">
        <v>507</v>
      </c>
      <c r="E112" s="18" t="s">
        <v>726</v>
      </c>
      <c r="F112" s="19">
        <v>44931</v>
      </c>
      <c r="G112" s="21">
        <v>3459077.11</v>
      </c>
      <c r="H112" s="37">
        <f t="shared" si="4"/>
        <v>55</v>
      </c>
      <c r="I112" s="37" t="str">
        <f t="shared" si="3"/>
        <v>0-120 DAYS</v>
      </c>
      <c r="J112" s="37" t="str">
        <f t="shared" si="5"/>
        <v>0-180 DAYS</v>
      </c>
    </row>
    <row r="113" spans="1:10" x14ac:dyDescent="0.35">
      <c r="A113" t="s">
        <v>790</v>
      </c>
      <c r="B113" t="s">
        <v>859</v>
      </c>
      <c r="C113" s="18" t="s">
        <v>579</v>
      </c>
      <c r="D113" s="37" t="s">
        <v>507</v>
      </c>
      <c r="E113" s="18" t="s">
        <v>727</v>
      </c>
      <c r="F113" s="19">
        <v>44933</v>
      </c>
      <c r="G113" s="21">
        <v>3664361.47</v>
      </c>
      <c r="H113" s="37">
        <f t="shared" si="4"/>
        <v>53</v>
      </c>
      <c r="I113" s="37" t="str">
        <f t="shared" si="3"/>
        <v>0-120 DAYS</v>
      </c>
      <c r="J113" s="37" t="str">
        <f t="shared" si="5"/>
        <v>0-180 DAYS</v>
      </c>
    </row>
    <row r="114" spans="1:10" x14ac:dyDescent="0.35">
      <c r="A114" t="s">
        <v>790</v>
      </c>
      <c r="B114" t="s">
        <v>859</v>
      </c>
      <c r="C114" s="18" t="s">
        <v>728</v>
      </c>
      <c r="D114" s="37" t="s">
        <v>507</v>
      </c>
      <c r="E114" s="18" t="s">
        <v>729</v>
      </c>
      <c r="F114" s="19">
        <v>44933</v>
      </c>
      <c r="G114" s="21">
        <v>3260626.6</v>
      </c>
      <c r="H114" s="37">
        <f t="shared" si="4"/>
        <v>53</v>
      </c>
      <c r="I114" s="37" t="str">
        <f t="shared" si="3"/>
        <v>0-120 DAYS</v>
      </c>
      <c r="J114" s="37" t="str">
        <f t="shared" si="5"/>
        <v>0-180 DAYS</v>
      </c>
    </row>
    <row r="115" spans="1:10" x14ac:dyDescent="0.35">
      <c r="A115" t="s">
        <v>790</v>
      </c>
      <c r="B115" t="s">
        <v>859</v>
      </c>
      <c r="C115" s="18" t="s">
        <v>573</v>
      </c>
      <c r="D115" s="37" t="s">
        <v>507</v>
      </c>
      <c r="E115" s="18" t="s">
        <v>730</v>
      </c>
      <c r="F115" s="19">
        <v>44933</v>
      </c>
      <c r="G115" s="21">
        <v>3495987</v>
      </c>
      <c r="H115" s="37">
        <f t="shared" si="4"/>
        <v>53</v>
      </c>
      <c r="I115" s="37" t="str">
        <f t="shared" si="3"/>
        <v>0-120 DAYS</v>
      </c>
      <c r="J115" s="37" t="str">
        <f t="shared" si="5"/>
        <v>0-180 DAYS</v>
      </c>
    </row>
    <row r="116" spans="1:10" x14ac:dyDescent="0.35">
      <c r="A116" t="s">
        <v>790</v>
      </c>
      <c r="B116" t="s">
        <v>859</v>
      </c>
      <c r="C116" s="18" t="s">
        <v>728</v>
      </c>
      <c r="D116" s="37" t="s">
        <v>507</v>
      </c>
      <c r="E116" s="18" t="s">
        <v>731</v>
      </c>
      <c r="F116" s="19">
        <v>44934</v>
      </c>
      <c r="G116" s="21">
        <v>3248416.05</v>
      </c>
      <c r="H116" s="37">
        <f t="shared" si="4"/>
        <v>52</v>
      </c>
      <c r="I116" s="37" t="str">
        <f t="shared" si="3"/>
        <v>0-120 DAYS</v>
      </c>
      <c r="J116" s="37" t="str">
        <f t="shared" si="5"/>
        <v>0-180 DAYS</v>
      </c>
    </row>
    <row r="117" spans="1:10" x14ac:dyDescent="0.35">
      <c r="A117" t="s">
        <v>790</v>
      </c>
      <c r="B117" t="s">
        <v>859</v>
      </c>
      <c r="C117" s="18" t="s">
        <v>732</v>
      </c>
      <c r="D117" s="37" t="s">
        <v>507</v>
      </c>
      <c r="E117" s="18" t="s">
        <v>733</v>
      </c>
      <c r="F117" s="19">
        <v>44935</v>
      </c>
      <c r="G117" s="21">
        <v>1756797.02</v>
      </c>
      <c r="H117" s="37">
        <f t="shared" si="4"/>
        <v>51</v>
      </c>
      <c r="I117" s="37" t="str">
        <f t="shared" si="3"/>
        <v>0-120 DAYS</v>
      </c>
      <c r="J117" s="37" t="str">
        <f t="shared" si="5"/>
        <v>0-180 DAYS</v>
      </c>
    </row>
    <row r="118" spans="1:10" x14ac:dyDescent="0.35">
      <c r="A118" t="s">
        <v>790</v>
      </c>
      <c r="B118" t="s">
        <v>859</v>
      </c>
      <c r="C118" s="18" t="s">
        <v>573</v>
      </c>
      <c r="D118" s="37" t="s">
        <v>507</v>
      </c>
      <c r="E118" s="18" t="s">
        <v>734</v>
      </c>
      <c r="F118" s="19">
        <v>44935</v>
      </c>
      <c r="G118" s="21">
        <v>3591983.23</v>
      </c>
      <c r="H118" s="37">
        <f t="shared" si="4"/>
        <v>51</v>
      </c>
      <c r="I118" s="37" t="str">
        <f t="shared" si="3"/>
        <v>0-120 DAYS</v>
      </c>
      <c r="J118" s="37" t="str">
        <f t="shared" si="5"/>
        <v>0-180 DAYS</v>
      </c>
    </row>
    <row r="119" spans="1:10" x14ac:dyDescent="0.35">
      <c r="A119" t="s">
        <v>790</v>
      </c>
      <c r="B119" t="s">
        <v>859</v>
      </c>
      <c r="C119" s="18" t="s">
        <v>635</v>
      </c>
      <c r="D119" s="37" t="s">
        <v>507</v>
      </c>
      <c r="E119" s="18" t="s">
        <v>735</v>
      </c>
      <c r="F119" s="19">
        <v>44936</v>
      </c>
      <c r="G119" s="21">
        <v>2993387.04</v>
      </c>
      <c r="H119" s="37">
        <f t="shared" si="4"/>
        <v>50</v>
      </c>
      <c r="I119" s="37" t="str">
        <f t="shared" si="3"/>
        <v>0-120 DAYS</v>
      </c>
      <c r="J119" s="37" t="str">
        <f t="shared" si="5"/>
        <v>0-180 DAYS</v>
      </c>
    </row>
    <row r="120" spans="1:10" x14ac:dyDescent="0.35">
      <c r="A120" t="s">
        <v>790</v>
      </c>
      <c r="B120" t="s">
        <v>859</v>
      </c>
      <c r="C120" s="18" t="s">
        <v>564</v>
      </c>
      <c r="D120" s="37" t="s">
        <v>507</v>
      </c>
      <c r="E120" s="18" t="s">
        <v>736</v>
      </c>
      <c r="F120" s="19">
        <v>44936</v>
      </c>
      <c r="G120" s="21">
        <v>3451525.35</v>
      </c>
      <c r="H120" s="37">
        <f t="shared" si="4"/>
        <v>50</v>
      </c>
      <c r="I120" s="37" t="str">
        <f t="shared" si="3"/>
        <v>0-120 DAYS</v>
      </c>
      <c r="J120" s="37" t="str">
        <f t="shared" si="5"/>
        <v>0-180 DAYS</v>
      </c>
    </row>
    <row r="121" spans="1:10" x14ac:dyDescent="0.35">
      <c r="A121" t="s">
        <v>790</v>
      </c>
      <c r="B121" t="s">
        <v>859</v>
      </c>
      <c r="C121" s="18" t="s">
        <v>536</v>
      </c>
      <c r="D121" s="37" t="s">
        <v>507</v>
      </c>
      <c r="E121" s="18" t="s">
        <v>737</v>
      </c>
      <c r="F121" s="19">
        <v>44937</v>
      </c>
      <c r="G121" s="21">
        <v>2919432.46</v>
      </c>
      <c r="H121" s="37">
        <f t="shared" si="4"/>
        <v>49</v>
      </c>
      <c r="I121" s="37" t="str">
        <f t="shared" si="3"/>
        <v>0-120 DAYS</v>
      </c>
      <c r="J121" s="37" t="str">
        <f t="shared" si="5"/>
        <v>0-180 DAYS</v>
      </c>
    </row>
    <row r="122" spans="1:10" x14ac:dyDescent="0.35">
      <c r="A122" t="s">
        <v>790</v>
      </c>
      <c r="B122" t="s">
        <v>859</v>
      </c>
      <c r="C122" s="18" t="s">
        <v>631</v>
      </c>
      <c r="D122" s="37" t="s">
        <v>507</v>
      </c>
      <c r="E122" s="18" t="s">
        <v>738</v>
      </c>
      <c r="F122" s="19">
        <v>44937</v>
      </c>
      <c r="G122" s="21">
        <v>3230796.8</v>
      </c>
      <c r="H122" s="37">
        <f t="shared" si="4"/>
        <v>49</v>
      </c>
      <c r="I122" s="37" t="str">
        <f t="shared" si="3"/>
        <v>0-120 DAYS</v>
      </c>
      <c r="J122" s="37" t="str">
        <f t="shared" si="5"/>
        <v>0-180 DAYS</v>
      </c>
    </row>
    <row r="123" spans="1:10" x14ac:dyDescent="0.35">
      <c r="A123" t="s">
        <v>790</v>
      </c>
      <c r="B123" t="s">
        <v>859</v>
      </c>
      <c r="C123" s="18" t="s">
        <v>543</v>
      </c>
      <c r="D123" s="37" t="s">
        <v>507</v>
      </c>
      <c r="E123" s="18" t="s">
        <v>739</v>
      </c>
      <c r="F123" s="19">
        <v>44937</v>
      </c>
      <c r="G123" s="21">
        <v>171262.35</v>
      </c>
      <c r="H123" s="37">
        <f t="shared" si="4"/>
        <v>49</v>
      </c>
      <c r="I123" s="37" t="str">
        <f t="shared" si="3"/>
        <v>0-120 DAYS</v>
      </c>
      <c r="J123" s="37" t="str">
        <f t="shared" si="5"/>
        <v>0-180 DAYS</v>
      </c>
    </row>
    <row r="124" spans="1:10" x14ac:dyDescent="0.35">
      <c r="A124" t="s">
        <v>790</v>
      </c>
      <c r="B124" t="s">
        <v>859</v>
      </c>
      <c r="C124" s="18" t="s">
        <v>543</v>
      </c>
      <c r="D124" s="37" t="s">
        <v>507</v>
      </c>
      <c r="E124" s="18" t="s">
        <v>740</v>
      </c>
      <c r="F124" s="19">
        <v>44937</v>
      </c>
      <c r="G124" s="21">
        <v>2773612.96</v>
      </c>
      <c r="H124" s="37">
        <f t="shared" si="4"/>
        <v>49</v>
      </c>
      <c r="I124" s="37" t="str">
        <f t="shared" si="3"/>
        <v>0-120 DAYS</v>
      </c>
      <c r="J124" s="37" t="str">
        <f t="shared" si="5"/>
        <v>0-180 DAYS</v>
      </c>
    </row>
    <row r="125" spans="1:10" x14ac:dyDescent="0.35">
      <c r="A125" t="s">
        <v>790</v>
      </c>
      <c r="B125" t="s">
        <v>859</v>
      </c>
      <c r="C125" s="18" t="s">
        <v>528</v>
      </c>
      <c r="D125" s="37" t="s">
        <v>507</v>
      </c>
      <c r="E125" s="18" t="s">
        <v>741</v>
      </c>
      <c r="F125" s="19">
        <v>44937</v>
      </c>
      <c r="G125" s="21">
        <v>2609472.39</v>
      </c>
      <c r="H125" s="37">
        <f t="shared" si="4"/>
        <v>49</v>
      </c>
      <c r="I125" s="37" t="str">
        <f t="shared" si="3"/>
        <v>0-120 DAYS</v>
      </c>
      <c r="J125" s="37" t="str">
        <f t="shared" si="5"/>
        <v>0-180 DAYS</v>
      </c>
    </row>
    <row r="126" spans="1:10" x14ac:dyDescent="0.35">
      <c r="A126" t="s">
        <v>790</v>
      </c>
      <c r="B126" t="s">
        <v>859</v>
      </c>
      <c r="C126" s="18" t="s">
        <v>528</v>
      </c>
      <c r="D126" s="37" t="s">
        <v>507</v>
      </c>
      <c r="E126" s="18" t="s">
        <v>742</v>
      </c>
      <c r="F126" s="19">
        <v>44937</v>
      </c>
      <c r="G126" s="21">
        <v>267943.71999999997</v>
      </c>
      <c r="H126" s="37">
        <f t="shared" si="4"/>
        <v>49</v>
      </c>
      <c r="I126" s="37" t="str">
        <f t="shared" si="3"/>
        <v>0-120 DAYS</v>
      </c>
      <c r="J126" s="37" t="str">
        <f t="shared" si="5"/>
        <v>0-180 DAYS</v>
      </c>
    </row>
    <row r="127" spans="1:10" x14ac:dyDescent="0.35">
      <c r="A127" t="s">
        <v>790</v>
      </c>
      <c r="B127" t="s">
        <v>859</v>
      </c>
      <c r="C127" s="18" t="s">
        <v>635</v>
      </c>
      <c r="D127" s="37" t="s">
        <v>507</v>
      </c>
      <c r="E127" s="18" t="s">
        <v>743</v>
      </c>
      <c r="F127" s="19">
        <v>44937</v>
      </c>
      <c r="G127" s="21">
        <v>2866502.83</v>
      </c>
      <c r="H127" s="37">
        <f t="shared" si="4"/>
        <v>49</v>
      </c>
      <c r="I127" s="37" t="str">
        <f t="shared" si="3"/>
        <v>0-120 DAYS</v>
      </c>
      <c r="J127" s="37" t="str">
        <f t="shared" si="5"/>
        <v>0-180 DAYS</v>
      </c>
    </row>
    <row r="128" spans="1:10" x14ac:dyDescent="0.35">
      <c r="A128" t="s">
        <v>790</v>
      </c>
      <c r="B128" t="s">
        <v>859</v>
      </c>
      <c r="C128" s="18" t="s">
        <v>573</v>
      </c>
      <c r="D128" s="37" t="s">
        <v>507</v>
      </c>
      <c r="E128" s="18" t="s">
        <v>744</v>
      </c>
      <c r="F128" s="19">
        <v>44938</v>
      </c>
      <c r="G128" s="21">
        <v>4622619.22</v>
      </c>
      <c r="H128" s="37">
        <f t="shared" si="4"/>
        <v>48</v>
      </c>
      <c r="I128" s="37" t="str">
        <f t="shared" si="3"/>
        <v>0-120 DAYS</v>
      </c>
      <c r="J128" s="37" t="str">
        <f t="shared" si="5"/>
        <v>0-180 DAYS</v>
      </c>
    </row>
    <row r="129" spans="1:10" x14ac:dyDescent="0.35">
      <c r="A129" t="s">
        <v>790</v>
      </c>
      <c r="B129" t="s">
        <v>859</v>
      </c>
      <c r="C129" s="18" t="s">
        <v>573</v>
      </c>
      <c r="D129" s="37" t="s">
        <v>507</v>
      </c>
      <c r="E129" s="18" t="s">
        <v>745</v>
      </c>
      <c r="F129" s="19">
        <v>44938</v>
      </c>
      <c r="G129" s="21">
        <v>3403925.34</v>
      </c>
      <c r="H129" s="37">
        <f t="shared" si="4"/>
        <v>48</v>
      </c>
      <c r="I129" s="37" t="str">
        <f t="shared" si="3"/>
        <v>0-120 DAYS</v>
      </c>
      <c r="J129" s="37" t="str">
        <f t="shared" si="5"/>
        <v>0-180 DAYS</v>
      </c>
    </row>
    <row r="130" spans="1:10" x14ac:dyDescent="0.35">
      <c r="A130" t="s">
        <v>790</v>
      </c>
      <c r="B130" t="s">
        <v>859</v>
      </c>
      <c r="C130" s="18" t="s">
        <v>584</v>
      </c>
      <c r="D130" s="37" t="s">
        <v>507</v>
      </c>
      <c r="E130" s="18" t="s">
        <v>746</v>
      </c>
      <c r="F130" s="19">
        <v>44938</v>
      </c>
      <c r="G130" s="21">
        <v>3641167.89</v>
      </c>
      <c r="H130" s="37">
        <f t="shared" si="4"/>
        <v>48</v>
      </c>
      <c r="I130" s="37" t="str">
        <f t="shared" si="3"/>
        <v>0-120 DAYS</v>
      </c>
      <c r="J130" s="37" t="str">
        <f t="shared" si="5"/>
        <v>0-180 DAYS</v>
      </c>
    </row>
    <row r="131" spans="1:10" x14ac:dyDescent="0.35">
      <c r="A131" t="s">
        <v>790</v>
      </c>
      <c r="B131" t="s">
        <v>859</v>
      </c>
      <c r="C131" s="18" t="s">
        <v>584</v>
      </c>
      <c r="D131" s="37" t="s">
        <v>507</v>
      </c>
      <c r="E131" s="18" t="s">
        <v>747</v>
      </c>
      <c r="F131" s="19">
        <v>44938</v>
      </c>
      <c r="G131" s="21">
        <v>3708768.6</v>
      </c>
      <c r="H131" s="37">
        <f t="shared" si="4"/>
        <v>48</v>
      </c>
      <c r="I131" s="37" t="str">
        <f t="shared" si="3"/>
        <v>0-120 DAYS</v>
      </c>
      <c r="J131" s="37" t="str">
        <f t="shared" si="5"/>
        <v>0-180 DAYS</v>
      </c>
    </row>
    <row r="132" spans="1:10" x14ac:dyDescent="0.35">
      <c r="A132" t="s">
        <v>790</v>
      </c>
      <c r="B132" t="s">
        <v>859</v>
      </c>
      <c r="C132" s="18" t="s">
        <v>598</v>
      </c>
      <c r="D132" s="37" t="s">
        <v>507</v>
      </c>
      <c r="E132" s="18" t="s">
        <v>748</v>
      </c>
      <c r="F132" s="19">
        <v>44938</v>
      </c>
      <c r="G132" s="21">
        <v>3819087.19</v>
      </c>
      <c r="H132" s="37">
        <f t="shared" si="4"/>
        <v>48</v>
      </c>
      <c r="I132" s="37" t="str">
        <f t="shared" si="3"/>
        <v>0-120 DAYS</v>
      </c>
      <c r="J132" s="37" t="str">
        <f t="shared" si="5"/>
        <v>0-180 DAYS</v>
      </c>
    </row>
    <row r="133" spans="1:10" x14ac:dyDescent="0.35">
      <c r="A133" t="s">
        <v>790</v>
      </c>
      <c r="B133" t="s">
        <v>859</v>
      </c>
      <c r="C133" s="18" t="s">
        <v>522</v>
      </c>
      <c r="D133" s="37" t="s">
        <v>507</v>
      </c>
      <c r="E133" s="18" t="s">
        <v>749</v>
      </c>
      <c r="F133" s="19">
        <v>44938</v>
      </c>
      <c r="G133" s="21">
        <v>3416849.15</v>
      </c>
      <c r="H133" s="37">
        <f t="shared" si="4"/>
        <v>48</v>
      </c>
      <c r="I133" s="37" t="str">
        <f t="shared" ref="I133:I196" si="6">IF(H133&lt;121,"0-120 DAYS",IF(H133&lt;181,"121-180DAYS","More than 180 Days"))</f>
        <v>0-120 DAYS</v>
      </c>
      <c r="J133" s="37" t="str">
        <f t="shared" si="5"/>
        <v>0-180 DAYS</v>
      </c>
    </row>
    <row r="134" spans="1:10" x14ac:dyDescent="0.35">
      <c r="A134" t="s">
        <v>790</v>
      </c>
      <c r="B134" t="s">
        <v>859</v>
      </c>
      <c r="C134" s="18" t="s">
        <v>532</v>
      </c>
      <c r="D134" s="37" t="s">
        <v>507</v>
      </c>
      <c r="E134" s="18" t="s">
        <v>750</v>
      </c>
      <c r="F134" s="19">
        <v>44939</v>
      </c>
      <c r="G134" s="21">
        <v>3146880</v>
      </c>
      <c r="H134" s="37">
        <f t="shared" ref="H134:H197" si="7">$H$3-F134+1</f>
        <v>47</v>
      </c>
      <c r="I134" s="37" t="str">
        <f t="shared" si="6"/>
        <v>0-120 DAYS</v>
      </c>
      <c r="J134" s="37" t="str">
        <f t="shared" ref="J134:J197" si="8">IF(H134&lt;180,"0-180 DAYS","More than 180 Days")</f>
        <v>0-180 DAYS</v>
      </c>
    </row>
    <row r="135" spans="1:10" x14ac:dyDescent="0.35">
      <c r="A135" t="s">
        <v>790</v>
      </c>
      <c r="B135" t="s">
        <v>859</v>
      </c>
      <c r="C135" s="18" t="s">
        <v>524</v>
      </c>
      <c r="D135" s="37" t="s">
        <v>507</v>
      </c>
      <c r="E135" s="18" t="s">
        <v>751</v>
      </c>
      <c r="F135" s="19">
        <v>44939</v>
      </c>
      <c r="G135" s="21">
        <v>2451124.5</v>
      </c>
      <c r="H135" s="37">
        <f t="shared" si="7"/>
        <v>47</v>
      </c>
      <c r="I135" s="37" t="str">
        <f t="shared" si="6"/>
        <v>0-120 DAYS</v>
      </c>
      <c r="J135" s="37" t="str">
        <f t="shared" si="8"/>
        <v>0-180 DAYS</v>
      </c>
    </row>
    <row r="136" spans="1:10" x14ac:dyDescent="0.35">
      <c r="A136" t="s">
        <v>790</v>
      </c>
      <c r="B136" t="s">
        <v>859</v>
      </c>
      <c r="C136" s="18" t="s">
        <v>524</v>
      </c>
      <c r="D136" s="37" t="s">
        <v>507</v>
      </c>
      <c r="E136" s="18" t="s">
        <v>752</v>
      </c>
      <c r="F136" s="19">
        <v>44939</v>
      </c>
      <c r="G136" s="21">
        <v>1060842.75</v>
      </c>
      <c r="H136" s="37">
        <f t="shared" si="7"/>
        <v>47</v>
      </c>
      <c r="I136" s="37" t="str">
        <f t="shared" si="6"/>
        <v>0-120 DAYS</v>
      </c>
      <c r="J136" s="37" t="str">
        <f t="shared" si="8"/>
        <v>0-180 DAYS</v>
      </c>
    </row>
    <row r="137" spans="1:10" x14ac:dyDescent="0.35">
      <c r="A137" t="s">
        <v>790</v>
      </c>
      <c r="B137" t="s">
        <v>859</v>
      </c>
      <c r="C137" s="18" t="s">
        <v>538</v>
      </c>
      <c r="D137" s="37" t="s">
        <v>507</v>
      </c>
      <c r="E137" s="18" t="s">
        <v>753</v>
      </c>
      <c r="F137" s="19">
        <v>44943</v>
      </c>
      <c r="G137" s="21">
        <v>3219266.16</v>
      </c>
      <c r="H137" s="37">
        <f t="shared" si="7"/>
        <v>43</v>
      </c>
      <c r="I137" s="37" t="str">
        <f t="shared" si="6"/>
        <v>0-120 DAYS</v>
      </c>
      <c r="J137" s="37" t="str">
        <f t="shared" si="8"/>
        <v>0-180 DAYS</v>
      </c>
    </row>
    <row r="138" spans="1:10" x14ac:dyDescent="0.35">
      <c r="A138" t="s">
        <v>790</v>
      </c>
      <c r="B138" t="s">
        <v>859</v>
      </c>
      <c r="C138" s="18" t="s">
        <v>609</v>
      </c>
      <c r="D138" s="37" t="s">
        <v>507</v>
      </c>
      <c r="E138" s="18" t="s">
        <v>754</v>
      </c>
      <c r="F138" s="19">
        <v>44943</v>
      </c>
      <c r="G138" s="21">
        <v>2623424.38</v>
      </c>
      <c r="H138" s="37">
        <f t="shared" si="7"/>
        <v>43</v>
      </c>
      <c r="I138" s="37" t="str">
        <f t="shared" si="6"/>
        <v>0-120 DAYS</v>
      </c>
      <c r="J138" s="37" t="str">
        <f t="shared" si="8"/>
        <v>0-180 DAYS</v>
      </c>
    </row>
    <row r="139" spans="1:10" x14ac:dyDescent="0.35">
      <c r="A139" t="s">
        <v>790</v>
      </c>
      <c r="B139" t="s">
        <v>859</v>
      </c>
      <c r="C139" s="18" t="s">
        <v>584</v>
      </c>
      <c r="D139" s="37" t="s">
        <v>507</v>
      </c>
      <c r="E139" s="18" t="s">
        <v>755</v>
      </c>
      <c r="F139" s="19">
        <v>44943</v>
      </c>
      <c r="G139" s="21">
        <v>3589528.05</v>
      </c>
      <c r="H139" s="37">
        <f t="shared" si="7"/>
        <v>43</v>
      </c>
      <c r="I139" s="37" t="str">
        <f t="shared" si="6"/>
        <v>0-120 DAYS</v>
      </c>
      <c r="J139" s="37" t="str">
        <f t="shared" si="8"/>
        <v>0-180 DAYS</v>
      </c>
    </row>
    <row r="140" spans="1:10" x14ac:dyDescent="0.35">
      <c r="A140" t="s">
        <v>790</v>
      </c>
      <c r="B140" t="s">
        <v>859</v>
      </c>
      <c r="C140" s="18" t="s">
        <v>573</v>
      </c>
      <c r="D140" s="37" t="s">
        <v>507</v>
      </c>
      <c r="E140" s="18" t="s">
        <v>756</v>
      </c>
      <c r="F140" s="19">
        <v>44944</v>
      </c>
      <c r="G140" s="21">
        <v>3495987.16</v>
      </c>
      <c r="H140" s="37">
        <f t="shared" si="7"/>
        <v>42</v>
      </c>
      <c r="I140" s="37" t="str">
        <f t="shared" si="6"/>
        <v>0-120 DAYS</v>
      </c>
      <c r="J140" s="37" t="str">
        <f t="shared" si="8"/>
        <v>0-180 DAYS</v>
      </c>
    </row>
    <row r="141" spans="1:10" x14ac:dyDescent="0.35">
      <c r="A141" t="s">
        <v>790</v>
      </c>
      <c r="B141" t="s">
        <v>859</v>
      </c>
      <c r="C141" s="18" t="s">
        <v>757</v>
      </c>
      <c r="D141" s="37" t="s">
        <v>507</v>
      </c>
      <c r="E141" s="18" t="s">
        <v>758</v>
      </c>
      <c r="F141" s="19">
        <v>44944</v>
      </c>
      <c r="G141" s="21">
        <v>3513484.96</v>
      </c>
      <c r="H141" s="37">
        <f t="shared" si="7"/>
        <v>42</v>
      </c>
      <c r="I141" s="37" t="str">
        <f t="shared" si="6"/>
        <v>0-120 DAYS</v>
      </c>
      <c r="J141" s="37" t="str">
        <f t="shared" si="8"/>
        <v>0-180 DAYS</v>
      </c>
    </row>
    <row r="142" spans="1:10" x14ac:dyDescent="0.35">
      <c r="A142" t="s">
        <v>790</v>
      </c>
      <c r="B142" t="s">
        <v>859</v>
      </c>
      <c r="C142" s="18" t="s">
        <v>757</v>
      </c>
      <c r="D142" s="37" t="s">
        <v>507</v>
      </c>
      <c r="E142" s="18" t="s">
        <v>759</v>
      </c>
      <c r="F142" s="19">
        <v>44944</v>
      </c>
      <c r="G142" s="21">
        <v>144477.85</v>
      </c>
      <c r="H142" s="37">
        <f t="shared" si="7"/>
        <v>42</v>
      </c>
      <c r="I142" s="37" t="str">
        <f t="shared" si="6"/>
        <v>0-120 DAYS</v>
      </c>
      <c r="J142" s="37" t="str">
        <f t="shared" si="8"/>
        <v>0-180 DAYS</v>
      </c>
    </row>
    <row r="143" spans="1:10" x14ac:dyDescent="0.35">
      <c r="A143" t="s">
        <v>790</v>
      </c>
      <c r="B143" t="s">
        <v>859</v>
      </c>
      <c r="C143" s="18" t="s">
        <v>647</v>
      </c>
      <c r="D143" s="37" t="s">
        <v>507</v>
      </c>
      <c r="E143" s="18" t="s">
        <v>760</v>
      </c>
      <c r="F143" s="19">
        <v>44945</v>
      </c>
      <c r="G143" s="21">
        <v>4646565.12</v>
      </c>
      <c r="H143" s="37">
        <f t="shared" si="7"/>
        <v>41</v>
      </c>
      <c r="I143" s="37" t="str">
        <f t="shared" si="6"/>
        <v>0-120 DAYS</v>
      </c>
      <c r="J143" s="37" t="str">
        <f t="shared" si="8"/>
        <v>0-180 DAYS</v>
      </c>
    </row>
    <row r="144" spans="1:10" x14ac:dyDescent="0.35">
      <c r="A144" t="s">
        <v>790</v>
      </c>
      <c r="B144" t="s">
        <v>859</v>
      </c>
      <c r="C144" s="18" t="s">
        <v>761</v>
      </c>
      <c r="D144" s="37" t="s">
        <v>507</v>
      </c>
      <c r="E144" s="18" t="s">
        <v>762</v>
      </c>
      <c r="F144" s="19">
        <v>44945</v>
      </c>
      <c r="G144" s="21">
        <v>2104442.4</v>
      </c>
      <c r="H144" s="37">
        <f t="shared" si="7"/>
        <v>41</v>
      </c>
      <c r="I144" s="37" t="str">
        <f t="shared" si="6"/>
        <v>0-120 DAYS</v>
      </c>
      <c r="J144" s="37" t="str">
        <f t="shared" si="8"/>
        <v>0-180 DAYS</v>
      </c>
    </row>
    <row r="145" spans="1:10" x14ac:dyDescent="0.35">
      <c r="A145" t="s">
        <v>790</v>
      </c>
      <c r="B145" t="s">
        <v>859</v>
      </c>
      <c r="C145" s="18" t="s">
        <v>584</v>
      </c>
      <c r="D145" s="37" t="s">
        <v>507</v>
      </c>
      <c r="E145" s="18" t="s">
        <v>763</v>
      </c>
      <c r="F145" s="19">
        <v>44945</v>
      </c>
      <c r="G145" s="21">
        <v>3070137.6</v>
      </c>
      <c r="H145" s="37">
        <f t="shared" si="7"/>
        <v>41</v>
      </c>
      <c r="I145" s="37" t="str">
        <f t="shared" si="6"/>
        <v>0-120 DAYS</v>
      </c>
      <c r="J145" s="37" t="str">
        <f t="shared" si="8"/>
        <v>0-180 DAYS</v>
      </c>
    </row>
    <row r="146" spans="1:10" x14ac:dyDescent="0.35">
      <c r="A146" t="s">
        <v>790</v>
      </c>
      <c r="B146" t="s">
        <v>859</v>
      </c>
      <c r="C146" s="18" t="s">
        <v>538</v>
      </c>
      <c r="D146" s="37" t="s">
        <v>507</v>
      </c>
      <c r="E146" s="18" t="s">
        <v>764</v>
      </c>
      <c r="F146" s="19">
        <v>44946</v>
      </c>
      <c r="G146" s="21">
        <v>3221131.32</v>
      </c>
      <c r="H146" s="37">
        <f t="shared" si="7"/>
        <v>40</v>
      </c>
      <c r="I146" s="37" t="str">
        <f t="shared" si="6"/>
        <v>0-120 DAYS</v>
      </c>
      <c r="J146" s="37" t="str">
        <f t="shared" si="8"/>
        <v>0-180 DAYS</v>
      </c>
    </row>
    <row r="147" spans="1:10" x14ac:dyDescent="0.35">
      <c r="A147" t="s">
        <v>790</v>
      </c>
      <c r="B147" t="s">
        <v>859</v>
      </c>
      <c r="C147" s="18" t="s">
        <v>526</v>
      </c>
      <c r="D147" s="37" t="s">
        <v>507</v>
      </c>
      <c r="E147" s="18" t="s">
        <v>765</v>
      </c>
      <c r="F147" s="19">
        <v>44946</v>
      </c>
      <c r="G147" s="21">
        <v>4454092.7999999998</v>
      </c>
      <c r="H147" s="37">
        <f t="shared" si="7"/>
        <v>40</v>
      </c>
      <c r="I147" s="37" t="str">
        <f t="shared" si="6"/>
        <v>0-120 DAYS</v>
      </c>
      <c r="J147" s="37" t="str">
        <f t="shared" si="8"/>
        <v>0-180 DAYS</v>
      </c>
    </row>
    <row r="148" spans="1:10" x14ac:dyDescent="0.35">
      <c r="A148" t="s">
        <v>790</v>
      </c>
      <c r="B148" t="s">
        <v>859</v>
      </c>
      <c r="C148" s="18" t="s">
        <v>538</v>
      </c>
      <c r="D148" s="37" t="s">
        <v>507</v>
      </c>
      <c r="E148" s="18" t="s">
        <v>766</v>
      </c>
      <c r="F148" s="19">
        <v>44947</v>
      </c>
      <c r="G148" s="21">
        <v>3301514.54</v>
      </c>
      <c r="H148" s="37">
        <f t="shared" si="7"/>
        <v>39</v>
      </c>
      <c r="I148" s="37" t="str">
        <f t="shared" si="6"/>
        <v>0-120 DAYS</v>
      </c>
      <c r="J148" s="37" t="str">
        <f t="shared" si="8"/>
        <v>0-180 DAYS</v>
      </c>
    </row>
    <row r="149" spans="1:10" x14ac:dyDescent="0.35">
      <c r="A149" t="s">
        <v>790</v>
      </c>
      <c r="B149" t="s">
        <v>859</v>
      </c>
      <c r="C149" s="18" t="s">
        <v>553</v>
      </c>
      <c r="D149" s="37" t="s">
        <v>507</v>
      </c>
      <c r="E149" s="18" t="s">
        <v>767</v>
      </c>
      <c r="F149" s="19">
        <v>44947</v>
      </c>
      <c r="G149" s="21">
        <v>2723533.24</v>
      </c>
      <c r="H149" s="37">
        <f t="shared" si="7"/>
        <v>39</v>
      </c>
      <c r="I149" s="37" t="str">
        <f t="shared" si="6"/>
        <v>0-120 DAYS</v>
      </c>
      <c r="J149" s="37" t="str">
        <f t="shared" si="8"/>
        <v>0-180 DAYS</v>
      </c>
    </row>
    <row r="150" spans="1:10" x14ac:dyDescent="0.35">
      <c r="A150" t="s">
        <v>790</v>
      </c>
      <c r="B150" t="s">
        <v>859</v>
      </c>
      <c r="C150" s="18" t="s">
        <v>524</v>
      </c>
      <c r="D150" s="37" t="s">
        <v>507</v>
      </c>
      <c r="E150" s="18" t="s">
        <v>768</v>
      </c>
      <c r="F150" s="19">
        <v>44947</v>
      </c>
      <c r="G150" s="21">
        <v>3005401.05</v>
      </c>
      <c r="H150" s="37">
        <f t="shared" si="7"/>
        <v>39</v>
      </c>
      <c r="I150" s="37" t="str">
        <f t="shared" si="6"/>
        <v>0-120 DAYS</v>
      </c>
      <c r="J150" s="37" t="str">
        <f t="shared" si="8"/>
        <v>0-180 DAYS</v>
      </c>
    </row>
    <row r="151" spans="1:10" x14ac:dyDescent="0.35">
      <c r="A151" t="s">
        <v>790</v>
      </c>
      <c r="B151" t="s">
        <v>859</v>
      </c>
      <c r="C151" s="18" t="s">
        <v>573</v>
      </c>
      <c r="D151" s="37" t="s">
        <v>507</v>
      </c>
      <c r="E151" s="18" t="s">
        <v>769</v>
      </c>
      <c r="F151" s="19">
        <v>44947</v>
      </c>
      <c r="G151" s="21">
        <v>4974848.55</v>
      </c>
      <c r="H151" s="37">
        <f t="shared" si="7"/>
        <v>39</v>
      </c>
      <c r="I151" s="37" t="str">
        <f t="shared" si="6"/>
        <v>0-120 DAYS</v>
      </c>
      <c r="J151" s="37" t="str">
        <f t="shared" si="8"/>
        <v>0-180 DAYS</v>
      </c>
    </row>
    <row r="152" spans="1:10" x14ac:dyDescent="0.35">
      <c r="A152" t="s">
        <v>790</v>
      </c>
      <c r="B152" t="s">
        <v>859</v>
      </c>
      <c r="C152" s="18" t="s">
        <v>606</v>
      </c>
      <c r="D152" s="37" t="s">
        <v>507</v>
      </c>
      <c r="E152" s="18" t="s">
        <v>770</v>
      </c>
      <c r="F152" s="19">
        <v>44948</v>
      </c>
      <c r="G152" s="21">
        <v>3205777.24</v>
      </c>
      <c r="H152" s="37">
        <f t="shared" si="7"/>
        <v>38</v>
      </c>
      <c r="I152" s="37" t="str">
        <f t="shared" si="6"/>
        <v>0-120 DAYS</v>
      </c>
      <c r="J152" s="37" t="str">
        <f t="shared" si="8"/>
        <v>0-180 DAYS</v>
      </c>
    </row>
    <row r="153" spans="1:10" x14ac:dyDescent="0.35">
      <c r="A153" t="s">
        <v>790</v>
      </c>
      <c r="B153" t="s">
        <v>859</v>
      </c>
      <c r="C153" s="18" t="s">
        <v>606</v>
      </c>
      <c r="D153" s="37" t="s">
        <v>507</v>
      </c>
      <c r="E153" s="18" t="s">
        <v>771</v>
      </c>
      <c r="F153" s="19">
        <v>44948</v>
      </c>
      <c r="G153" s="21">
        <v>3066377.4</v>
      </c>
      <c r="H153" s="37">
        <f t="shared" si="7"/>
        <v>38</v>
      </c>
      <c r="I153" s="37" t="str">
        <f t="shared" si="6"/>
        <v>0-120 DAYS</v>
      </c>
      <c r="J153" s="37" t="str">
        <f t="shared" si="8"/>
        <v>0-180 DAYS</v>
      </c>
    </row>
    <row r="154" spans="1:10" x14ac:dyDescent="0.35">
      <c r="A154" t="s">
        <v>790</v>
      </c>
      <c r="B154" t="s">
        <v>859</v>
      </c>
      <c r="C154" s="18" t="s">
        <v>553</v>
      </c>
      <c r="D154" s="37" t="s">
        <v>507</v>
      </c>
      <c r="E154" s="18" t="s">
        <v>772</v>
      </c>
      <c r="F154" s="19">
        <v>44948</v>
      </c>
      <c r="G154" s="21">
        <v>2669785.4500000002</v>
      </c>
      <c r="H154" s="37">
        <f t="shared" si="7"/>
        <v>38</v>
      </c>
      <c r="I154" s="37" t="str">
        <f t="shared" si="6"/>
        <v>0-120 DAYS</v>
      </c>
      <c r="J154" s="37" t="str">
        <f t="shared" si="8"/>
        <v>0-180 DAYS</v>
      </c>
    </row>
    <row r="155" spans="1:10" x14ac:dyDescent="0.35">
      <c r="A155" t="s">
        <v>790</v>
      </c>
      <c r="B155" t="s">
        <v>859</v>
      </c>
      <c r="C155" s="18" t="s">
        <v>584</v>
      </c>
      <c r="D155" s="37" t="s">
        <v>507</v>
      </c>
      <c r="E155" s="18" t="s">
        <v>773</v>
      </c>
      <c r="F155" s="19">
        <v>44950</v>
      </c>
      <c r="G155" s="21">
        <v>3088915.2</v>
      </c>
      <c r="H155" s="37">
        <f t="shared" si="7"/>
        <v>36</v>
      </c>
      <c r="I155" s="37" t="str">
        <f t="shared" si="6"/>
        <v>0-120 DAYS</v>
      </c>
      <c r="J155" s="37" t="str">
        <f t="shared" si="8"/>
        <v>0-180 DAYS</v>
      </c>
    </row>
    <row r="156" spans="1:10" x14ac:dyDescent="0.35">
      <c r="A156" t="s">
        <v>790</v>
      </c>
      <c r="B156" t="s">
        <v>859</v>
      </c>
      <c r="C156" s="18" t="s">
        <v>584</v>
      </c>
      <c r="D156" s="37" t="s">
        <v>507</v>
      </c>
      <c r="E156" s="18" t="s">
        <v>774</v>
      </c>
      <c r="F156" s="19">
        <v>44950</v>
      </c>
      <c r="G156" s="21">
        <v>3222061.51</v>
      </c>
      <c r="H156" s="37">
        <f t="shared" si="7"/>
        <v>36</v>
      </c>
      <c r="I156" s="37" t="str">
        <f t="shared" si="6"/>
        <v>0-120 DAYS</v>
      </c>
      <c r="J156" s="37" t="str">
        <f t="shared" si="8"/>
        <v>0-180 DAYS</v>
      </c>
    </row>
    <row r="157" spans="1:10" x14ac:dyDescent="0.35">
      <c r="A157" t="s">
        <v>790</v>
      </c>
      <c r="B157" t="s">
        <v>859</v>
      </c>
      <c r="C157" s="18" t="s">
        <v>524</v>
      </c>
      <c r="D157" s="37" t="s">
        <v>507</v>
      </c>
      <c r="E157" s="18" t="s">
        <v>775</v>
      </c>
      <c r="F157" s="19">
        <v>44950</v>
      </c>
      <c r="G157" s="21">
        <v>3131784</v>
      </c>
      <c r="H157" s="37">
        <f t="shared" si="7"/>
        <v>36</v>
      </c>
      <c r="I157" s="37" t="str">
        <f t="shared" si="6"/>
        <v>0-120 DAYS</v>
      </c>
      <c r="J157" s="37" t="str">
        <f t="shared" si="8"/>
        <v>0-180 DAYS</v>
      </c>
    </row>
    <row r="158" spans="1:10" x14ac:dyDescent="0.35">
      <c r="A158" t="s">
        <v>790</v>
      </c>
      <c r="B158" t="s">
        <v>859</v>
      </c>
      <c r="C158" s="18" t="s">
        <v>573</v>
      </c>
      <c r="D158" s="37" t="s">
        <v>507</v>
      </c>
      <c r="E158" s="18" t="s">
        <v>776</v>
      </c>
      <c r="F158" s="19">
        <v>44950</v>
      </c>
      <c r="G158" s="21">
        <v>4121775.72</v>
      </c>
      <c r="H158" s="37">
        <f t="shared" si="7"/>
        <v>36</v>
      </c>
      <c r="I158" s="37" t="str">
        <f t="shared" si="6"/>
        <v>0-120 DAYS</v>
      </c>
      <c r="J158" s="37" t="str">
        <f t="shared" si="8"/>
        <v>0-180 DAYS</v>
      </c>
    </row>
    <row r="159" spans="1:10" x14ac:dyDescent="0.35">
      <c r="A159" t="s">
        <v>790</v>
      </c>
      <c r="B159" t="s">
        <v>859</v>
      </c>
      <c r="C159" s="18" t="s">
        <v>588</v>
      </c>
      <c r="D159" s="37" t="s">
        <v>507</v>
      </c>
      <c r="E159" s="18" t="s">
        <v>777</v>
      </c>
      <c r="F159" s="19">
        <v>44951</v>
      </c>
      <c r="G159" s="21">
        <v>2955294.12</v>
      </c>
      <c r="H159" s="37">
        <f t="shared" si="7"/>
        <v>35</v>
      </c>
      <c r="I159" s="37" t="str">
        <f t="shared" si="6"/>
        <v>0-120 DAYS</v>
      </c>
      <c r="J159" s="37" t="str">
        <f t="shared" si="8"/>
        <v>0-180 DAYS</v>
      </c>
    </row>
    <row r="160" spans="1:10" x14ac:dyDescent="0.35">
      <c r="A160" t="s">
        <v>790</v>
      </c>
      <c r="B160" t="s">
        <v>859</v>
      </c>
      <c r="C160" s="18" t="s">
        <v>573</v>
      </c>
      <c r="D160" s="37" t="s">
        <v>507</v>
      </c>
      <c r="E160" s="18" t="s">
        <v>778</v>
      </c>
      <c r="F160" s="19">
        <v>44954</v>
      </c>
      <c r="G160" s="21">
        <v>4153766.15</v>
      </c>
      <c r="H160" s="37">
        <f t="shared" si="7"/>
        <v>32</v>
      </c>
      <c r="I160" s="37" t="str">
        <f t="shared" si="6"/>
        <v>0-120 DAYS</v>
      </c>
      <c r="J160" s="37" t="str">
        <f t="shared" si="8"/>
        <v>0-180 DAYS</v>
      </c>
    </row>
    <row r="161" spans="1:10" x14ac:dyDescent="0.35">
      <c r="A161" t="s">
        <v>790</v>
      </c>
      <c r="B161" t="s">
        <v>859</v>
      </c>
      <c r="C161" s="18" t="s">
        <v>581</v>
      </c>
      <c r="D161" s="37" t="s">
        <v>507</v>
      </c>
      <c r="E161" s="18" t="s">
        <v>779</v>
      </c>
      <c r="F161" s="19">
        <v>44955</v>
      </c>
      <c r="G161" s="21">
        <v>3845037.7</v>
      </c>
      <c r="H161" s="37">
        <f t="shared" si="7"/>
        <v>31</v>
      </c>
      <c r="I161" s="37" t="str">
        <f t="shared" si="6"/>
        <v>0-120 DAYS</v>
      </c>
      <c r="J161" s="37" t="str">
        <f t="shared" si="8"/>
        <v>0-180 DAYS</v>
      </c>
    </row>
    <row r="162" spans="1:10" x14ac:dyDescent="0.35">
      <c r="A162" t="s">
        <v>790</v>
      </c>
      <c r="B162" t="s">
        <v>859</v>
      </c>
      <c r="C162" s="18" t="s">
        <v>573</v>
      </c>
      <c r="D162" s="37" t="s">
        <v>507</v>
      </c>
      <c r="E162" s="18" t="s">
        <v>780</v>
      </c>
      <c r="F162" s="19">
        <v>44957</v>
      </c>
      <c r="G162" s="21">
        <v>3286923.57</v>
      </c>
      <c r="H162" s="37">
        <f t="shared" si="7"/>
        <v>29</v>
      </c>
      <c r="I162" s="37" t="str">
        <f t="shared" si="6"/>
        <v>0-120 DAYS</v>
      </c>
      <c r="J162" s="37" t="str">
        <f t="shared" si="8"/>
        <v>0-180 DAYS</v>
      </c>
    </row>
    <row r="163" spans="1:10" x14ac:dyDescent="0.35">
      <c r="A163" t="s">
        <v>790</v>
      </c>
      <c r="B163" t="s">
        <v>859</v>
      </c>
      <c r="C163" s="18" t="s">
        <v>538</v>
      </c>
      <c r="D163" s="37" t="s">
        <v>507</v>
      </c>
      <c r="E163" s="18" t="s">
        <v>781</v>
      </c>
      <c r="F163" s="19">
        <v>44957</v>
      </c>
      <c r="G163" s="21">
        <v>3322899.11</v>
      </c>
      <c r="H163" s="37">
        <f t="shared" si="7"/>
        <v>29</v>
      </c>
      <c r="I163" s="37" t="str">
        <f t="shared" si="6"/>
        <v>0-120 DAYS</v>
      </c>
      <c r="J163" s="37" t="str">
        <f t="shared" si="8"/>
        <v>0-180 DAYS</v>
      </c>
    </row>
    <row r="164" spans="1:10" x14ac:dyDescent="0.35">
      <c r="A164" t="s">
        <v>790</v>
      </c>
      <c r="B164" t="s">
        <v>859</v>
      </c>
      <c r="C164" s="18" t="s">
        <v>573</v>
      </c>
      <c r="D164" s="37" t="s">
        <v>507</v>
      </c>
      <c r="E164" s="18" t="s">
        <v>793</v>
      </c>
      <c r="F164" s="19">
        <v>44959</v>
      </c>
      <c r="G164" s="21">
        <v>4121776.29</v>
      </c>
      <c r="H164" s="37">
        <f t="shared" si="7"/>
        <v>27</v>
      </c>
      <c r="I164" s="37" t="str">
        <f t="shared" si="6"/>
        <v>0-120 DAYS</v>
      </c>
      <c r="J164" s="37" t="str">
        <f t="shared" si="8"/>
        <v>0-180 DAYS</v>
      </c>
    </row>
    <row r="165" spans="1:10" x14ac:dyDescent="0.35">
      <c r="A165" t="s">
        <v>790</v>
      </c>
      <c r="B165" t="s">
        <v>859</v>
      </c>
      <c r="C165" s="18" t="s">
        <v>522</v>
      </c>
      <c r="D165" s="37" t="s">
        <v>507</v>
      </c>
      <c r="E165" s="18" t="s">
        <v>794</v>
      </c>
      <c r="F165" s="19">
        <v>44961</v>
      </c>
      <c r="G165" s="21">
        <v>4528596.5999999996</v>
      </c>
      <c r="H165" s="37">
        <f t="shared" si="7"/>
        <v>25</v>
      </c>
      <c r="I165" s="37" t="str">
        <f t="shared" si="6"/>
        <v>0-120 DAYS</v>
      </c>
      <c r="J165" s="37" t="str">
        <f t="shared" si="8"/>
        <v>0-180 DAYS</v>
      </c>
    </row>
    <row r="166" spans="1:10" x14ac:dyDescent="0.35">
      <c r="A166" t="s">
        <v>790</v>
      </c>
      <c r="B166" t="s">
        <v>859</v>
      </c>
      <c r="C166" s="18" t="s">
        <v>553</v>
      </c>
      <c r="D166" s="37" t="s">
        <v>507</v>
      </c>
      <c r="E166" s="18" t="s">
        <v>795</v>
      </c>
      <c r="F166" s="19">
        <v>44961</v>
      </c>
      <c r="G166" s="21">
        <v>2377894.34</v>
      </c>
      <c r="H166" s="37">
        <f t="shared" si="7"/>
        <v>25</v>
      </c>
      <c r="I166" s="37" t="str">
        <f t="shared" si="6"/>
        <v>0-120 DAYS</v>
      </c>
      <c r="J166" s="37" t="str">
        <f t="shared" si="8"/>
        <v>0-180 DAYS</v>
      </c>
    </row>
    <row r="167" spans="1:10" x14ac:dyDescent="0.35">
      <c r="A167" t="s">
        <v>790</v>
      </c>
      <c r="B167" t="s">
        <v>859</v>
      </c>
      <c r="C167" s="18" t="s">
        <v>528</v>
      </c>
      <c r="D167" s="37" t="s">
        <v>507</v>
      </c>
      <c r="E167" s="18" t="s">
        <v>796</v>
      </c>
      <c r="F167" s="19">
        <v>44962</v>
      </c>
      <c r="G167" s="21">
        <v>1283832</v>
      </c>
      <c r="H167" s="37">
        <f t="shared" si="7"/>
        <v>24</v>
      </c>
      <c r="I167" s="37" t="str">
        <f t="shared" si="6"/>
        <v>0-120 DAYS</v>
      </c>
      <c r="J167" s="37" t="str">
        <f t="shared" si="8"/>
        <v>0-180 DAYS</v>
      </c>
    </row>
    <row r="168" spans="1:10" x14ac:dyDescent="0.35">
      <c r="A168" t="s">
        <v>790</v>
      </c>
      <c r="B168" t="s">
        <v>859</v>
      </c>
      <c r="C168" s="18" t="s">
        <v>797</v>
      </c>
      <c r="D168" s="37" t="s">
        <v>507</v>
      </c>
      <c r="E168" s="18" t="s">
        <v>798</v>
      </c>
      <c r="F168" s="19">
        <v>44963</v>
      </c>
      <c r="G168" s="21">
        <v>3221251.2</v>
      </c>
      <c r="H168" s="37">
        <f t="shared" si="7"/>
        <v>23</v>
      </c>
      <c r="I168" s="37" t="str">
        <f t="shared" si="6"/>
        <v>0-120 DAYS</v>
      </c>
      <c r="J168" s="37" t="str">
        <f t="shared" si="8"/>
        <v>0-180 DAYS</v>
      </c>
    </row>
    <row r="169" spans="1:10" x14ac:dyDescent="0.35">
      <c r="A169" t="s">
        <v>790</v>
      </c>
      <c r="B169" t="s">
        <v>859</v>
      </c>
      <c r="C169" s="18" t="s">
        <v>606</v>
      </c>
      <c r="D169" s="37" t="s">
        <v>507</v>
      </c>
      <c r="E169" s="18" t="s">
        <v>799</v>
      </c>
      <c r="F169" s="19">
        <v>44963</v>
      </c>
      <c r="G169" s="21">
        <v>3110800.31</v>
      </c>
      <c r="H169" s="37">
        <f t="shared" si="7"/>
        <v>23</v>
      </c>
      <c r="I169" s="37" t="str">
        <f t="shared" si="6"/>
        <v>0-120 DAYS</v>
      </c>
      <c r="J169" s="37" t="str">
        <f t="shared" si="8"/>
        <v>0-180 DAYS</v>
      </c>
    </row>
    <row r="170" spans="1:10" x14ac:dyDescent="0.35">
      <c r="A170" t="s">
        <v>790</v>
      </c>
      <c r="B170" t="s">
        <v>859</v>
      </c>
      <c r="C170" s="18" t="s">
        <v>715</v>
      </c>
      <c r="D170" s="37" t="s">
        <v>507</v>
      </c>
      <c r="E170" s="18" t="s">
        <v>800</v>
      </c>
      <c r="F170" s="19">
        <v>44963</v>
      </c>
      <c r="G170" s="21">
        <v>2957482.08</v>
      </c>
      <c r="H170" s="37">
        <f t="shared" si="7"/>
        <v>23</v>
      </c>
      <c r="I170" s="37" t="str">
        <f t="shared" si="6"/>
        <v>0-120 DAYS</v>
      </c>
      <c r="J170" s="37" t="str">
        <f t="shared" si="8"/>
        <v>0-180 DAYS</v>
      </c>
    </row>
    <row r="171" spans="1:10" x14ac:dyDescent="0.35">
      <c r="A171" t="s">
        <v>790</v>
      </c>
      <c r="B171" t="s">
        <v>859</v>
      </c>
      <c r="C171" s="18" t="s">
        <v>553</v>
      </c>
      <c r="D171" s="37" t="s">
        <v>507</v>
      </c>
      <c r="E171" s="18" t="s">
        <v>801</v>
      </c>
      <c r="F171" s="19">
        <v>44963</v>
      </c>
      <c r="G171" s="21">
        <v>2567592.6800000002</v>
      </c>
      <c r="H171" s="37">
        <f t="shared" si="7"/>
        <v>23</v>
      </c>
      <c r="I171" s="37" t="str">
        <f t="shared" si="6"/>
        <v>0-120 DAYS</v>
      </c>
      <c r="J171" s="37" t="str">
        <f t="shared" si="8"/>
        <v>0-180 DAYS</v>
      </c>
    </row>
    <row r="172" spans="1:10" x14ac:dyDescent="0.35">
      <c r="A172" t="s">
        <v>790</v>
      </c>
      <c r="B172" t="s">
        <v>859</v>
      </c>
      <c r="C172" s="18" t="s">
        <v>588</v>
      </c>
      <c r="D172" s="37" t="s">
        <v>507</v>
      </c>
      <c r="E172" s="18" t="s">
        <v>802</v>
      </c>
      <c r="F172" s="19">
        <v>44964</v>
      </c>
      <c r="G172" s="21">
        <v>3128570.53</v>
      </c>
      <c r="H172" s="37">
        <f t="shared" si="7"/>
        <v>22</v>
      </c>
      <c r="I172" s="37" t="str">
        <f t="shared" si="6"/>
        <v>0-120 DAYS</v>
      </c>
      <c r="J172" s="37" t="str">
        <f t="shared" si="8"/>
        <v>0-180 DAYS</v>
      </c>
    </row>
    <row r="173" spans="1:10" x14ac:dyDescent="0.35">
      <c r="A173" t="s">
        <v>790</v>
      </c>
      <c r="B173" t="s">
        <v>859</v>
      </c>
      <c r="C173" s="18" t="s">
        <v>573</v>
      </c>
      <c r="D173" s="37" t="s">
        <v>507</v>
      </c>
      <c r="E173" s="18" t="s">
        <v>803</v>
      </c>
      <c r="F173" s="19">
        <v>44965</v>
      </c>
      <c r="G173" s="21">
        <v>3306840.46</v>
      </c>
      <c r="H173" s="37">
        <f t="shared" si="7"/>
        <v>21</v>
      </c>
      <c r="I173" s="37" t="str">
        <f t="shared" si="6"/>
        <v>0-120 DAYS</v>
      </c>
      <c r="J173" s="37" t="str">
        <f t="shared" si="8"/>
        <v>0-180 DAYS</v>
      </c>
    </row>
    <row r="174" spans="1:10" x14ac:dyDescent="0.35">
      <c r="A174" t="s">
        <v>790</v>
      </c>
      <c r="B174" t="s">
        <v>859</v>
      </c>
      <c r="C174" s="18" t="s">
        <v>728</v>
      </c>
      <c r="D174" s="37" t="s">
        <v>507</v>
      </c>
      <c r="E174" s="18" t="s">
        <v>804</v>
      </c>
      <c r="F174" s="19">
        <v>44965</v>
      </c>
      <c r="G174" s="21">
        <v>3154628.1</v>
      </c>
      <c r="H174" s="37">
        <f t="shared" si="7"/>
        <v>21</v>
      </c>
      <c r="I174" s="37" t="str">
        <f t="shared" si="6"/>
        <v>0-120 DAYS</v>
      </c>
      <c r="J174" s="37" t="str">
        <f t="shared" si="8"/>
        <v>0-180 DAYS</v>
      </c>
    </row>
    <row r="175" spans="1:10" x14ac:dyDescent="0.35">
      <c r="A175" t="s">
        <v>790</v>
      </c>
      <c r="B175" t="s">
        <v>859</v>
      </c>
      <c r="C175" s="18" t="s">
        <v>538</v>
      </c>
      <c r="D175" s="37" t="s">
        <v>507</v>
      </c>
      <c r="E175" s="18" t="s">
        <v>805</v>
      </c>
      <c r="F175" s="19">
        <v>44966</v>
      </c>
      <c r="G175" s="21">
        <v>3346728.1</v>
      </c>
      <c r="H175" s="37">
        <f t="shared" si="7"/>
        <v>20</v>
      </c>
      <c r="I175" s="37" t="str">
        <f t="shared" si="6"/>
        <v>0-120 DAYS</v>
      </c>
      <c r="J175" s="37" t="str">
        <f t="shared" si="8"/>
        <v>0-180 DAYS</v>
      </c>
    </row>
    <row r="176" spans="1:10" x14ac:dyDescent="0.35">
      <c r="A176" t="s">
        <v>790</v>
      </c>
      <c r="B176" t="s">
        <v>859</v>
      </c>
      <c r="C176" s="18" t="s">
        <v>650</v>
      </c>
      <c r="D176" s="37" t="s">
        <v>507</v>
      </c>
      <c r="E176" s="18" t="s">
        <v>806</v>
      </c>
      <c r="F176" s="19">
        <v>44967</v>
      </c>
      <c r="G176" s="21">
        <v>675845.44</v>
      </c>
      <c r="H176" s="37">
        <f t="shared" si="7"/>
        <v>19</v>
      </c>
      <c r="I176" s="37" t="str">
        <f t="shared" si="6"/>
        <v>0-120 DAYS</v>
      </c>
      <c r="J176" s="37" t="str">
        <f t="shared" si="8"/>
        <v>0-180 DAYS</v>
      </c>
    </row>
    <row r="177" spans="1:10" x14ac:dyDescent="0.35">
      <c r="A177" t="s">
        <v>790</v>
      </c>
      <c r="B177" t="s">
        <v>859</v>
      </c>
      <c r="C177" s="18" t="s">
        <v>584</v>
      </c>
      <c r="D177" s="37" t="s">
        <v>507</v>
      </c>
      <c r="E177" s="18" t="s">
        <v>807</v>
      </c>
      <c r="F177" s="19">
        <v>44967</v>
      </c>
      <c r="G177" s="21">
        <v>3782520.01</v>
      </c>
      <c r="H177" s="37">
        <f t="shared" si="7"/>
        <v>19</v>
      </c>
      <c r="I177" s="37" t="str">
        <f t="shared" si="6"/>
        <v>0-120 DAYS</v>
      </c>
      <c r="J177" s="37" t="str">
        <f t="shared" si="8"/>
        <v>0-180 DAYS</v>
      </c>
    </row>
    <row r="178" spans="1:10" x14ac:dyDescent="0.35">
      <c r="A178" t="s">
        <v>790</v>
      </c>
      <c r="B178" t="s">
        <v>859</v>
      </c>
      <c r="C178" s="18" t="s">
        <v>540</v>
      </c>
      <c r="D178" s="37" t="s">
        <v>507</v>
      </c>
      <c r="E178" s="18" t="s">
        <v>808</v>
      </c>
      <c r="F178" s="19">
        <v>44968</v>
      </c>
      <c r="G178" s="21">
        <v>3312850.5</v>
      </c>
      <c r="H178" s="37">
        <f t="shared" si="7"/>
        <v>18</v>
      </c>
      <c r="I178" s="37" t="str">
        <f t="shared" si="6"/>
        <v>0-120 DAYS</v>
      </c>
      <c r="J178" s="37" t="str">
        <f t="shared" si="8"/>
        <v>0-180 DAYS</v>
      </c>
    </row>
    <row r="179" spans="1:10" x14ac:dyDescent="0.35">
      <c r="A179" t="s">
        <v>790</v>
      </c>
      <c r="B179" t="s">
        <v>859</v>
      </c>
      <c r="C179" s="18" t="s">
        <v>797</v>
      </c>
      <c r="D179" s="37" t="s">
        <v>507</v>
      </c>
      <c r="E179" s="18" t="s">
        <v>809</v>
      </c>
      <c r="F179" s="19">
        <v>44969</v>
      </c>
      <c r="G179" s="21">
        <v>3221251.2</v>
      </c>
      <c r="H179" s="37">
        <f t="shared" si="7"/>
        <v>17</v>
      </c>
      <c r="I179" s="37" t="str">
        <f t="shared" si="6"/>
        <v>0-120 DAYS</v>
      </c>
      <c r="J179" s="37" t="str">
        <f t="shared" si="8"/>
        <v>0-180 DAYS</v>
      </c>
    </row>
    <row r="180" spans="1:10" x14ac:dyDescent="0.35">
      <c r="A180" t="s">
        <v>790</v>
      </c>
      <c r="B180" t="s">
        <v>859</v>
      </c>
      <c r="C180" s="18" t="s">
        <v>538</v>
      </c>
      <c r="D180" s="37" t="s">
        <v>507</v>
      </c>
      <c r="E180" s="18" t="s">
        <v>810</v>
      </c>
      <c r="F180" s="19">
        <v>44969</v>
      </c>
      <c r="G180" s="21">
        <v>3385720.8</v>
      </c>
      <c r="H180" s="37">
        <f t="shared" si="7"/>
        <v>17</v>
      </c>
      <c r="I180" s="37" t="str">
        <f t="shared" si="6"/>
        <v>0-120 DAYS</v>
      </c>
      <c r="J180" s="37" t="str">
        <f t="shared" si="8"/>
        <v>0-180 DAYS</v>
      </c>
    </row>
    <row r="181" spans="1:10" x14ac:dyDescent="0.35">
      <c r="A181" t="s">
        <v>790</v>
      </c>
      <c r="B181" t="s">
        <v>859</v>
      </c>
      <c r="C181" s="18" t="s">
        <v>811</v>
      </c>
      <c r="D181" s="37" t="s">
        <v>507</v>
      </c>
      <c r="E181" s="18" t="s">
        <v>812</v>
      </c>
      <c r="F181" s="19">
        <v>44969</v>
      </c>
      <c r="G181" s="21">
        <v>1556160</v>
      </c>
      <c r="H181" s="37">
        <f t="shared" si="7"/>
        <v>17</v>
      </c>
      <c r="I181" s="37" t="str">
        <f t="shared" si="6"/>
        <v>0-120 DAYS</v>
      </c>
      <c r="J181" s="37" t="str">
        <f t="shared" si="8"/>
        <v>0-180 DAYS</v>
      </c>
    </row>
    <row r="182" spans="1:10" x14ac:dyDescent="0.35">
      <c r="A182" t="s">
        <v>790</v>
      </c>
      <c r="B182" t="s">
        <v>859</v>
      </c>
      <c r="C182" s="18" t="s">
        <v>536</v>
      </c>
      <c r="D182" s="37" t="s">
        <v>507</v>
      </c>
      <c r="E182" s="18" t="s">
        <v>813</v>
      </c>
      <c r="F182" s="19">
        <v>44970</v>
      </c>
      <c r="G182" s="21">
        <v>2914769</v>
      </c>
      <c r="H182" s="37">
        <f t="shared" si="7"/>
        <v>16</v>
      </c>
      <c r="I182" s="37" t="str">
        <f t="shared" si="6"/>
        <v>0-120 DAYS</v>
      </c>
      <c r="J182" s="37" t="str">
        <f t="shared" si="8"/>
        <v>0-180 DAYS</v>
      </c>
    </row>
    <row r="183" spans="1:10" x14ac:dyDescent="0.35">
      <c r="A183" t="s">
        <v>790</v>
      </c>
      <c r="B183" t="s">
        <v>859</v>
      </c>
      <c r="C183" s="18" t="s">
        <v>814</v>
      </c>
      <c r="D183" s="37" t="s">
        <v>507</v>
      </c>
      <c r="E183" s="18" t="s">
        <v>815</v>
      </c>
      <c r="F183" s="19">
        <v>44970</v>
      </c>
      <c r="G183" s="21">
        <v>2067.9299999999998</v>
      </c>
      <c r="H183" s="37">
        <f t="shared" si="7"/>
        <v>16</v>
      </c>
      <c r="I183" s="37" t="str">
        <f t="shared" si="6"/>
        <v>0-120 DAYS</v>
      </c>
      <c r="J183" s="37" t="str">
        <f t="shared" si="8"/>
        <v>0-180 DAYS</v>
      </c>
    </row>
    <row r="184" spans="1:10" x14ac:dyDescent="0.35">
      <c r="A184" t="s">
        <v>790</v>
      </c>
      <c r="B184" t="s">
        <v>859</v>
      </c>
      <c r="C184" s="18" t="s">
        <v>588</v>
      </c>
      <c r="D184" s="37" t="s">
        <v>507</v>
      </c>
      <c r="E184" s="18" t="s">
        <v>816</v>
      </c>
      <c r="F184" s="19">
        <v>44970</v>
      </c>
      <c r="G184" s="21">
        <v>3128570.53</v>
      </c>
      <c r="H184" s="37">
        <f t="shared" si="7"/>
        <v>16</v>
      </c>
      <c r="I184" s="37" t="str">
        <f t="shared" si="6"/>
        <v>0-120 DAYS</v>
      </c>
      <c r="J184" s="37" t="str">
        <f t="shared" si="8"/>
        <v>0-180 DAYS</v>
      </c>
    </row>
    <row r="185" spans="1:10" x14ac:dyDescent="0.35">
      <c r="A185" t="s">
        <v>790</v>
      </c>
      <c r="B185" t="s">
        <v>859</v>
      </c>
      <c r="C185" s="18" t="s">
        <v>609</v>
      </c>
      <c r="D185" s="37" t="s">
        <v>507</v>
      </c>
      <c r="E185" s="18" t="s">
        <v>817</v>
      </c>
      <c r="F185" s="19">
        <v>44971</v>
      </c>
      <c r="G185" s="21">
        <v>2554696</v>
      </c>
      <c r="H185" s="37">
        <f t="shared" si="7"/>
        <v>15</v>
      </c>
      <c r="I185" s="37" t="str">
        <f t="shared" si="6"/>
        <v>0-120 DAYS</v>
      </c>
      <c r="J185" s="37" t="str">
        <f t="shared" si="8"/>
        <v>0-180 DAYS</v>
      </c>
    </row>
    <row r="186" spans="1:10" x14ac:dyDescent="0.35">
      <c r="A186" t="s">
        <v>790</v>
      </c>
      <c r="B186" t="s">
        <v>859</v>
      </c>
      <c r="C186" s="18" t="s">
        <v>606</v>
      </c>
      <c r="D186" s="37" t="s">
        <v>507</v>
      </c>
      <c r="E186" s="18" t="s">
        <v>818</v>
      </c>
      <c r="F186" s="19">
        <v>44972</v>
      </c>
      <c r="G186" s="21">
        <v>3034775.42</v>
      </c>
      <c r="H186" s="37">
        <f t="shared" si="7"/>
        <v>14</v>
      </c>
      <c r="I186" s="37" t="str">
        <f t="shared" si="6"/>
        <v>0-120 DAYS</v>
      </c>
      <c r="J186" s="37" t="str">
        <f t="shared" si="8"/>
        <v>0-180 DAYS</v>
      </c>
    </row>
    <row r="187" spans="1:10" x14ac:dyDescent="0.35">
      <c r="A187" t="s">
        <v>790</v>
      </c>
      <c r="B187" t="s">
        <v>859</v>
      </c>
      <c r="C187" s="18" t="s">
        <v>584</v>
      </c>
      <c r="D187" s="37" t="s">
        <v>507</v>
      </c>
      <c r="E187" s="18" t="s">
        <v>819</v>
      </c>
      <c r="F187" s="19">
        <v>44972</v>
      </c>
      <c r="G187" s="21">
        <v>3539813.29</v>
      </c>
      <c r="H187" s="37">
        <f t="shared" si="7"/>
        <v>14</v>
      </c>
      <c r="I187" s="37" t="str">
        <f t="shared" si="6"/>
        <v>0-120 DAYS</v>
      </c>
      <c r="J187" s="37" t="str">
        <f t="shared" si="8"/>
        <v>0-180 DAYS</v>
      </c>
    </row>
    <row r="188" spans="1:10" x14ac:dyDescent="0.35">
      <c r="A188" t="s">
        <v>790</v>
      </c>
      <c r="B188" t="s">
        <v>859</v>
      </c>
      <c r="C188" s="18" t="s">
        <v>573</v>
      </c>
      <c r="D188" s="37" t="s">
        <v>507</v>
      </c>
      <c r="E188" s="18" t="s">
        <v>820</v>
      </c>
      <c r="F188" s="19">
        <v>44972</v>
      </c>
      <c r="G188" s="21">
        <v>3306840</v>
      </c>
      <c r="H188" s="37">
        <f t="shared" si="7"/>
        <v>14</v>
      </c>
      <c r="I188" s="37" t="str">
        <f t="shared" si="6"/>
        <v>0-120 DAYS</v>
      </c>
      <c r="J188" s="37" t="str">
        <f t="shared" si="8"/>
        <v>0-180 DAYS</v>
      </c>
    </row>
    <row r="189" spans="1:10" x14ac:dyDescent="0.35">
      <c r="A189" t="s">
        <v>790</v>
      </c>
      <c r="B189" t="s">
        <v>859</v>
      </c>
      <c r="C189" s="18" t="s">
        <v>553</v>
      </c>
      <c r="D189" s="37" t="s">
        <v>507</v>
      </c>
      <c r="E189" s="18" t="s">
        <v>821</v>
      </c>
      <c r="F189" s="19">
        <v>44973</v>
      </c>
      <c r="G189" s="21">
        <v>2917423.12</v>
      </c>
      <c r="H189" s="37">
        <f t="shared" si="7"/>
        <v>13</v>
      </c>
      <c r="I189" s="37" t="str">
        <f t="shared" si="6"/>
        <v>0-120 DAYS</v>
      </c>
      <c r="J189" s="37" t="str">
        <f t="shared" si="8"/>
        <v>0-180 DAYS</v>
      </c>
    </row>
    <row r="190" spans="1:10" x14ac:dyDescent="0.35">
      <c r="A190" t="s">
        <v>790</v>
      </c>
      <c r="B190" t="s">
        <v>859</v>
      </c>
      <c r="C190" s="18" t="s">
        <v>588</v>
      </c>
      <c r="D190" s="37" t="s">
        <v>507</v>
      </c>
      <c r="E190" s="18" t="s">
        <v>822</v>
      </c>
      <c r="F190" s="19">
        <v>44973</v>
      </c>
      <c r="G190" s="21">
        <v>3127849.19</v>
      </c>
      <c r="H190" s="37">
        <f t="shared" si="7"/>
        <v>13</v>
      </c>
      <c r="I190" s="37" t="str">
        <f t="shared" si="6"/>
        <v>0-120 DAYS</v>
      </c>
      <c r="J190" s="37" t="str">
        <f t="shared" si="8"/>
        <v>0-180 DAYS</v>
      </c>
    </row>
    <row r="191" spans="1:10" x14ac:dyDescent="0.35">
      <c r="A191" t="s">
        <v>790</v>
      </c>
      <c r="B191" t="s">
        <v>859</v>
      </c>
      <c r="C191" s="18" t="s">
        <v>536</v>
      </c>
      <c r="D191" s="37" t="s">
        <v>507</v>
      </c>
      <c r="E191" s="18" t="s">
        <v>823</v>
      </c>
      <c r="F191" s="19">
        <v>44973</v>
      </c>
      <c r="G191" s="21">
        <v>3436577.03</v>
      </c>
      <c r="H191" s="37">
        <f t="shared" si="7"/>
        <v>13</v>
      </c>
      <c r="I191" s="37" t="str">
        <f t="shared" si="6"/>
        <v>0-120 DAYS</v>
      </c>
      <c r="J191" s="37" t="str">
        <f t="shared" si="8"/>
        <v>0-180 DAYS</v>
      </c>
    </row>
    <row r="192" spans="1:10" x14ac:dyDescent="0.35">
      <c r="A192" t="s">
        <v>790</v>
      </c>
      <c r="B192" t="s">
        <v>859</v>
      </c>
      <c r="C192" s="18" t="s">
        <v>548</v>
      </c>
      <c r="D192" s="37" t="s">
        <v>507</v>
      </c>
      <c r="E192" s="18" t="s">
        <v>824</v>
      </c>
      <c r="F192" s="19">
        <v>44974</v>
      </c>
      <c r="G192" s="21">
        <v>1585510.29</v>
      </c>
      <c r="H192" s="37">
        <f t="shared" si="7"/>
        <v>12</v>
      </c>
      <c r="I192" s="37" t="str">
        <f t="shared" si="6"/>
        <v>0-120 DAYS</v>
      </c>
      <c r="J192" s="37" t="str">
        <f t="shared" si="8"/>
        <v>0-180 DAYS</v>
      </c>
    </row>
    <row r="193" spans="1:10" x14ac:dyDescent="0.35">
      <c r="A193" t="s">
        <v>790</v>
      </c>
      <c r="B193" t="s">
        <v>859</v>
      </c>
      <c r="C193" s="18" t="s">
        <v>584</v>
      </c>
      <c r="D193" s="37" t="s">
        <v>507</v>
      </c>
      <c r="E193" s="18" t="s">
        <v>825</v>
      </c>
      <c r="F193" s="19">
        <v>44974</v>
      </c>
      <c r="G193" s="21">
        <v>3665800.8</v>
      </c>
      <c r="H193" s="37">
        <f t="shared" si="7"/>
        <v>12</v>
      </c>
      <c r="I193" s="37" t="str">
        <f t="shared" si="6"/>
        <v>0-120 DAYS</v>
      </c>
      <c r="J193" s="37" t="str">
        <f t="shared" si="8"/>
        <v>0-180 DAYS</v>
      </c>
    </row>
    <row r="194" spans="1:10" x14ac:dyDescent="0.35">
      <c r="A194" t="s">
        <v>790</v>
      </c>
      <c r="B194" t="s">
        <v>859</v>
      </c>
      <c r="C194" s="18" t="s">
        <v>588</v>
      </c>
      <c r="D194" s="37" t="s">
        <v>507</v>
      </c>
      <c r="E194" s="18" t="s">
        <v>826</v>
      </c>
      <c r="F194" s="19">
        <v>44974</v>
      </c>
      <c r="G194" s="21">
        <v>3443116.95</v>
      </c>
      <c r="H194" s="37">
        <f t="shared" si="7"/>
        <v>12</v>
      </c>
      <c r="I194" s="37" t="str">
        <f t="shared" si="6"/>
        <v>0-120 DAYS</v>
      </c>
      <c r="J194" s="37" t="str">
        <f t="shared" si="8"/>
        <v>0-180 DAYS</v>
      </c>
    </row>
    <row r="195" spans="1:10" x14ac:dyDescent="0.35">
      <c r="A195" t="s">
        <v>790</v>
      </c>
      <c r="B195" t="s">
        <v>859</v>
      </c>
      <c r="C195" s="18" t="s">
        <v>600</v>
      </c>
      <c r="D195" s="37" t="s">
        <v>507</v>
      </c>
      <c r="E195" s="18" t="s">
        <v>827</v>
      </c>
      <c r="F195" s="19">
        <v>44975</v>
      </c>
      <c r="G195" s="21">
        <v>3544910.46</v>
      </c>
      <c r="H195" s="37">
        <f t="shared" si="7"/>
        <v>11</v>
      </c>
      <c r="I195" s="37" t="str">
        <f t="shared" si="6"/>
        <v>0-120 DAYS</v>
      </c>
      <c r="J195" s="37" t="str">
        <f t="shared" si="8"/>
        <v>0-180 DAYS</v>
      </c>
    </row>
    <row r="196" spans="1:10" x14ac:dyDescent="0.35">
      <c r="A196" t="s">
        <v>790</v>
      </c>
      <c r="B196" t="s">
        <v>859</v>
      </c>
      <c r="C196" s="18" t="s">
        <v>573</v>
      </c>
      <c r="D196" s="37" t="s">
        <v>507</v>
      </c>
      <c r="E196" s="18" t="s">
        <v>828</v>
      </c>
      <c r="F196" s="19">
        <v>44975</v>
      </c>
      <c r="G196" s="21">
        <v>3341520</v>
      </c>
      <c r="H196" s="37">
        <f t="shared" si="7"/>
        <v>11</v>
      </c>
      <c r="I196" s="37" t="str">
        <f t="shared" si="6"/>
        <v>0-120 DAYS</v>
      </c>
      <c r="J196" s="37" t="str">
        <f t="shared" si="8"/>
        <v>0-180 DAYS</v>
      </c>
    </row>
    <row r="197" spans="1:10" x14ac:dyDescent="0.35">
      <c r="A197" t="s">
        <v>790</v>
      </c>
      <c r="B197" t="s">
        <v>859</v>
      </c>
      <c r="C197" s="18" t="s">
        <v>543</v>
      </c>
      <c r="D197" s="37" t="s">
        <v>507</v>
      </c>
      <c r="E197" s="18" t="s">
        <v>829</v>
      </c>
      <c r="F197" s="19">
        <v>44976</v>
      </c>
      <c r="G197" s="21">
        <v>2194658.7000000002</v>
      </c>
      <c r="H197" s="37">
        <f t="shared" si="7"/>
        <v>10</v>
      </c>
      <c r="I197" s="37" t="str">
        <f t="shared" ref="I197:I260" si="9">IF(H197&lt;121,"0-120 DAYS",IF(H197&lt;181,"121-180DAYS","More than 180 Days"))</f>
        <v>0-120 DAYS</v>
      </c>
      <c r="J197" s="37" t="str">
        <f t="shared" si="8"/>
        <v>0-180 DAYS</v>
      </c>
    </row>
    <row r="198" spans="1:10" x14ac:dyDescent="0.35">
      <c r="A198" t="s">
        <v>790</v>
      </c>
      <c r="B198" t="s">
        <v>859</v>
      </c>
      <c r="C198" s="18" t="s">
        <v>543</v>
      </c>
      <c r="D198" s="37" t="s">
        <v>507</v>
      </c>
      <c r="E198" s="18" t="s">
        <v>830</v>
      </c>
      <c r="F198" s="19">
        <v>44976</v>
      </c>
      <c r="G198" s="21">
        <v>594474.92000000004</v>
      </c>
      <c r="H198" s="37">
        <f t="shared" ref="H198:H244" si="10">$H$3-F198+1</f>
        <v>10</v>
      </c>
      <c r="I198" s="37" t="str">
        <f t="shared" si="9"/>
        <v>0-120 DAYS</v>
      </c>
      <c r="J198" s="37" t="str">
        <f t="shared" ref="J198:J261" si="11">IF(H198&lt;180,"0-180 DAYS","More than 180 Days")</f>
        <v>0-180 DAYS</v>
      </c>
    </row>
    <row r="199" spans="1:10" x14ac:dyDescent="0.35">
      <c r="A199" t="s">
        <v>790</v>
      </c>
      <c r="B199" t="s">
        <v>859</v>
      </c>
      <c r="C199" s="18" t="s">
        <v>573</v>
      </c>
      <c r="D199" s="37" t="s">
        <v>507</v>
      </c>
      <c r="E199" s="18" t="s">
        <v>831</v>
      </c>
      <c r="F199" s="19">
        <v>44977</v>
      </c>
      <c r="G199" s="21">
        <v>3885983.83</v>
      </c>
      <c r="H199" s="37">
        <f t="shared" si="10"/>
        <v>9</v>
      </c>
      <c r="I199" s="37" t="str">
        <f t="shared" si="9"/>
        <v>0-120 DAYS</v>
      </c>
      <c r="J199" s="37" t="str">
        <f t="shared" si="11"/>
        <v>0-180 DAYS</v>
      </c>
    </row>
    <row r="200" spans="1:10" x14ac:dyDescent="0.35">
      <c r="A200" t="s">
        <v>790</v>
      </c>
      <c r="B200" t="s">
        <v>859</v>
      </c>
      <c r="C200" s="18" t="s">
        <v>832</v>
      </c>
      <c r="D200" s="37" t="s">
        <v>507</v>
      </c>
      <c r="E200" s="18" t="s">
        <v>833</v>
      </c>
      <c r="F200" s="19">
        <v>44977</v>
      </c>
      <c r="G200" s="21">
        <v>3048768.27</v>
      </c>
      <c r="H200" s="37">
        <f t="shared" si="10"/>
        <v>9</v>
      </c>
      <c r="I200" s="37" t="str">
        <f t="shared" si="9"/>
        <v>0-120 DAYS</v>
      </c>
      <c r="J200" s="37" t="str">
        <f t="shared" si="11"/>
        <v>0-180 DAYS</v>
      </c>
    </row>
    <row r="201" spans="1:10" x14ac:dyDescent="0.35">
      <c r="A201" t="s">
        <v>790</v>
      </c>
      <c r="B201" t="s">
        <v>859</v>
      </c>
      <c r="C201" s="18" t="s">
        <v>834</v>
      </c>
      <c r="D201" s="37" t="s">
        <v>507</v>
      </c>
      <c r="E201" s="18" t="s">
        <v>835</v>
      </c>
      <c r="F201" s="19">
        <v>44977</v>
      </c>
      <c r="G201" s="21">
        <v>4869569.38</v>
      </c>
      <c r="H201" s="37">
        <f t="shared" si="10"/>
        <v>9</v>
      </c>
      <c r="I201" s="37" t="str">
        <f t="shared" si="9"/>
        <v>0-120 DAYS</v>
      </c>
      <c r="J201" s="37" t="str">
        <f t="shared" si="11"/>
        <v>0-180 DAYS</v>
      </c>
    </row>
    <row r="202" spans="1:10" x14ac:dyDescent="0.35">
      <c r="A202" t="s">
        <v>790</v>
      </c>
      <c r="B202" t="s">
        <v>859</v>
      </c>
      <c r="C202" s="18" t="s">
        <v>836</v>
      </c>
      <c r="D202" s="37" t="s">
        <v>507</v>
      </c>
      <c r="E202" s="18" t="s">
        <v>837</v>
      </c>
      <c r="F202" s="19">
        <v>44977</v>
      </c>
      <c r="G202" s="21">
        <v>1205869.01</v>
      </c>
      <c r="H202" s="37">
        <f t="shared" si="10"/>
        <v>9</v>
      </c>
      <c r="I202" s="37" t="str">
        <f t="shared" si="9"/>
        <v>0-120 DAYS</v>
      </c>
      <c r="J202" s="37" t="str">
        <f t="shared" si="11"/>
        <v>0-180 DAYS</v>
      </c>
    </row>
    <row r="203" spans="1:10" x14ac:dyDescent="0.35">
      <c r="A203" t="s">
        <v>790</v>
      </c>
      <c r="B203" t="s">
        <v>859</v>
      </c>
      <c r="C203" s="18" t="s">
        <v>836</v>
      </c>
      <c r="D203" s="37" t="s">
        <v>507</v>
      </c>
      <c r="E203" s="18" t="s">
        <v>838</v>
      </c>
      <c r="F203" s="19">
        <v>44977</v>
      </c>
      <c r="G203" s="21">
        <v>2577325.58</v>
      </c>
      <c r="H203" s="37">
        <f t="shared" si="10"/>
        <v>9</v>
      </c>
      <c r="I203" s="37" t="str">
        <f t="shared" si="9"/>
        <v>0-120 DAYS</v>
      </c>
      <c r="J203" s="37" t="str">
        <f t="shared" si="11"/>
        <v>0-180 DAYS</v>
      </c>
    </row>
    <row r="204" spans="1:10" x14ac:dyDescent="0.35">
      <c r="A204" t="s">
        <v>790</v>
      </c>
      <c r="B204" t="s">
        <v>859</v>
      </c>
      <c r="C204" s="18" t="s">
        <v>606</v>
      </c>
      <c r="D204" s="37" t="s">
        <v>507</v>
      </c>
      <c r="E204" s="18" t="s">
        <v>839</v>
      </c>
      <c r="F204" s="19">
        <v>44978</v>
      </c>
      <c r="G204" s="21">
        <v>3183534.9</v>
      </c>
      <c r="H204" s="37">
        <f t="shared" si="10"/>
        <v>8</v>
      </c>
      <c r="I204" s="37" t="str">
        <f t="shared" si="9"/>
        <v>0-120 DAYS</v>
      </c>
      <c r="J204" s="37" t="str">
        <f t="shared" si="11"/>
        <v>0-180 DAYS</v>
      </c>
    </row>
    <row r="205" spans="1:10" x14ac:dyDescent="0.35">
      <c r="A205" t="s">
        <v>790</v>
      </c>
      <c r="B205" t="s">
        <v>859</v>
      </c>
      <c r="C205" s="18" t="s">
        <v>588</v>
      </c>
      <c r="D205" s="37" t="s">
        <v>507</v>
      </c>
      <c r="E205" s="18" t="s">
        <v>840</v>
      </c>
      <c r="F205" s="19">
        <v>44978</v>
      </c>
      <c r="G205" s="21">
        <v>3164296.59</v>
      </c>
      <c r="H205" s="37">
        <f t="shared" si="10"/>
        <v>8</v>
      </c>
      <c r="I205" s="37" t="str">
        <f t="shared" si="9"/>
        <v>0-120 DAYS</v>
      </c>
      <c r="J205" s="37" t="str">
        <f t="shared" si="11"/>
        <v>0-180 DAYS</v>
      </c>
    </row>
    <row r="206" spans="1:10" x14ac:dyDescent="0.35">
      <c r="A206" t="s">
        <v>790</v>
      </c>
      <c r="B206" t="s">
        <v>859</v>
      </c>
      <c r="C206" s="18" t="s">
        <v>553</v>
      </c>
      <c r="D206" s="37" t="s">
        <v>507</v>
      </c>
      <c r="E206" s="18" t="s">
        <v>841</v>
      </c>
      <c r="F206" s="19">
        <v>44978</v>
      </c>
      <c r="G206" s="21">
        <v>2871200.24</v>
      </c>
      <c r="H206" s="37">
        <f t="shared" si="10"/>
        <v>8</v>
      </c>
      <c r="I206" s="37" t="str">
        <f t="shared" si="9"/>
        <v>0-120 DAYS</v>
      </c>
      <c r="J206" s="37" t="str">
        <f t="shared" si="11"/>
        <v>0-180 DAYS</v>
      </c>
    </row>
    <row r="207" spans="1:10" x14ac:dyDescent="0.35">
      <c r="A207" t="s">
        <v>790</v>
      </c>
      <c r="B207" t="s">
        <v>859</v>
      </c>
      <c r="C207" s="18" t="s">
        <v>553</v>
      </c>
      <c r="D207" s="37" t="s">
        <v>507</v>
      </c>
      <c r="E207" s="18" t="s">
        <v>842</v>
      </c>
      <c r="F207" s="19">
        <v>44979</v>
      </c>
      <c r="G207" s="21">
        <v>2743744.19</v>
      </c>
      <c r="H207" s="37">
        <f t="shared" si="10"/>
        <v>7</v>
      </c>
      <c r="I207" s="37" t="str">
        <f t="shared" si="9"/>
        <v>0-120 DAYS</v>
      </c>
      <c r="J207" s="37" t="str">
        <f t="shared" si="11"/>
        <v>0-180 DAYS</v>
      </c>
    </row>
    <row r="208" spans="1:10" x14ac:dyDescent="0.35">
      <c r="A208" t="s">
        <v>790</v>
      </c>
      <c r="B208" t="s">
        <v>859</v>
      </c>
      <c r="C208" s="18" t="s">
        <v>814</v>
      </c>
      <c r="D208" s="37" t="s">
        <v>507</v>
      </c>
      <c r="E208" s="18" t="s">
        <v>843</v>
      </c>
      <c r="F208" s="19">
        <v>44979</v>
      </c>
      <c r="G208" s="21">
        <v>16364.93</v>
      </c>
      <c r="H208" s="37">
        <f t="shared" si="10"/>
        <v>7</v>
      </c>
      <c r="I208" s="37" t="str">
        <f t="shared" si="9"/>
        <v>0-120 DAYS</v>
      </c>
      <c r="J208" s="37" t="str">
        <f t="shared" si="11"/>
        <v>0-180 DAYS</v>
      </c>
    </row>
    <row r="209" spans="1:10" x14ac:dyDescent="0.35">
      <c r="A209" t="s">
        <v>790</v>
      </c>
      <c r="B209" t="s">
        <v>859</v>
      </c>
      <c r="C209" s="18" t="s">
        <v>647</v>
      </c>
      <c r="D209" s="37" t="s">
        <v>507</v>
      </c>
      <c r="E209" s="18" t="s">
        <v>844</v>
      </c>
      <c r="F209" s="19">
        <v>44979</v>
      </c>
      <c r="G209" s="21">
        <v>4555015.0999999996</v>
      </c>
      <c r="H209" s="37">
        <f t="shared" si="10"/>
        <v>7</v>
      </c>
      <c r="I209" s="37" t="str">
        <f t="shared" si="9"/>
        <v>0-120 DAYS</v>
      </c>
      <c r="J209" s="37" t="str">
        <f t="shared" si="11"/>
        <v>0-180 DAYS</v>
      </c>
    </row>
    <row r="210" spans="1:10" x14ac:dyDescent="0.35">
      <c r="A210" t="s">
        <v>790</v>
      </c>
      <c r="B210" t="s">
        <v>859</v>
      </c>
      <c r="C210" s="18" t="s">
        <v>536</v>
      </c>
      <c r="D210" s="37" t="s">
        <v>507</v>
      </c>
      <c r="E210" s="18" t="s">
        <v>845</v>
      </c>
      <c r="F210" s="19">
        <v>44981</v>
      </c>
      <c r="G210" s="21">
        <v>3064764.66</v>
      </c>
      <c r="H210" s="37">
        <f t="shared" si="10"/>
        <v>5</v>
      </c>
      <c r="I210" s="37" t="str">
        <f t="shared" si="9"/>
        <v>0-120 DAYS</v>
      </c>
      <c r="J210" s="37" t="str">
        <f t="shared" si="11"/>
        <v>0-180 DAYS</v>
      </c>
    </row>
    <row r="211" spans="1:10" x14ac:dyDescent="0.35">
      <c r="A211" t="s">
        <v>790</v>
      </c>
      <c r="B211" t="s">
        <v>859</v>
      </c>
      <c r="C211" s="18" t="s">
        <v>524</v>
      </c>
      <c r="D211" s="37" t="s">
        <v>507</v>
      </c>
      <c r="E211" s="18" t="s">
        <v>846</v>
      </c>
      <c r="F211" s="19">
        <v>44982</v>
      </c>
      <c r="G211" s="21">
        <v>3154788</v>
      </c>
      <c r="H211" s="37">
        <f t="shared" si="10"/>
        <v>4</v>
      </c>
      <c r="I211" s="37" t="str">
        <f t="shared" si="9"/>
        <v>0-120 DAYS</v>
      </c>
      <c r="J211" s="37" t="str">
        <f t="shared" si="11"/>
        <v>0-180 DAYS</v>
      </c>
    </row>
    <row r="212" spans="1:10" x14ac:dyDescent="0.35">
      <c r="A212" t="s">
        <v>790</v>
      </c>
      <c r="B212" t="s">
        <v>859</v>
      </c>
      <c r="C212" s="18" t="s">
        <v>536</v>
      </c>
      <c r="D212" s="37" t="s">
        <v>507</v>
      </c>
      <c r="E212" s="18" t="s">
        <v>847</v>
      </c>
      <c r="F212" s="19">
        <v>44982</v>
      </c>
      <c r="G212" s="21">
        <v>3102180</v>
      </c>
      <c r="H212" s="37">
        <f t="shared" si="10"/>
        <v>4</v>
      </c>
      <c r="I212" s="37" t="str">
        <f t="shared" si="9"/>
        <v>0-120 DAYS</v>
      </c>
      <c r="J212" s="37" t="str">
        <f t="shared" si="11"/>
        <v>0-180 DAYS</v>
      </c>
    </row>
    <row r="213" spans="1:10" x14ac:dyDescent="0.35">
      <c r="A213" t="s">
        <v>790</v>
      </c>
      <c r="B213" t="s">
        <v>859</v>
      </c>
      <c r="C213" s="18" t="s">
        <v>538</v>
      </c>
      <c r="D213" s="37" t="s">
        <v>507</v>
      </c>
      <c r="E213" s="18" t="s">
        <v>848</v>
      </c>
      <c r="F213" s="19">
        <v>44982</v>
      </c>
      <c r="G213" s="21">
        <v>3258933.6</v>
      </c>
      <c r="H213" s="37">
        <f t="shared" si="10"/>
        <v>4</v>
      </c>
      <c r="I213" s="37" t="str">
        <f t="shared" si="9"/>
        <v>0-120 DAYS</v>
      </c>
      <c r="J213" s="37" t="str">
        <f t="shared" si="11"/>
        <v>0-180 DAYS</v>
      </c>
    </row>
    <row r="214" spans="1:10" x14ac:dyDescent="0.35">
      <c r="A214" t="s">
        <v>790</v>
      </c>
      <c r="B214" t="s">
        <v>859</v>
      </c>
      <c r="C214" s="18" t="s">
        <v>598</v>
      </c>
      <c r="D214" s="37" t="s">
        <v>507</v>
      </c>
      <c r="E214" s="18" t="s">
        <v>849</v>
      </c>
      <c r="F214" s="19">
        <v>44982</v>
      </c>
      <c r="G214" s="21">
        <v>3636683.5</v>
      </c>
      <c r="H214" s="37">
        <f t="shared" si="10"/>
        <v>4</v>
      </c>
      <c r="I214" s="37" t="str">
        <f t="shared" si="9"/>
        <v>0-120 DAYS</v>
      </c>
      <c r="J214" s="37" t="str">
        <f t="shared" si="11"/>
        <v>0-180 DAYS</v>
      </c>
    </row>
    <row r="215" spans="1:10" x14ac:dyDescent="0.35">
      <c r="A215" t="s">
        <v>790</v>
      </c>
      <c r="B215" t="s">
        <v>859</v>
      </c>
      <c r="C215" s="18" t="s">
        <v>538</v>
      </c>
      <c r="D215" s="37" t="s">
        <v>507</v>
      </c>
      <c r="E215" s="18" t="s">
        <v>850</v>
      </c>
      <c r="F215" s="19">
        <v>44983</v>
      </c>
      <c r="G215" s="21">
        <v>3010176</v>
      </c>
      <c r="H215" s="37">
        <f t="shared" si="10"/>
        <v>3</v>
      </c>
      <c r="I215" s="37" t="str">
        <f t="shared" si="9"/>
        <v>0-120 DAYS</v>
      </c>
      <c r="J215" s="37" t="str">
        <f t="shared" si="11"/>
        <v>0-180 DAYS</v>
      </c>
    </row>
    <row r="216" spans="1:10" x14ac:dyDescent="0.35">
      <c r="A216" t="s">
        <v>790</v>
      </c>
      <c r="B216" t="s">
        <v>859</v>
      </c>
      <c r="C216" s="18" t="s">
        <v>579</v>
      </c>
      <c r="D216" s="37" t="s">
        <v>507</v>
      </c>
      <c r="E216" s="18" t="s">
        <v>851</v>
      </c>
      <c r="F216" s="19">
        <v>44984</v>
      </c>
      <c r="G216" s="21">
        <v>3413436.39</v>
      </c>
      <c r="H216" s="37">
        <f t="shared" si="10"/>
        <v>2</v>
      </c>
      <c r="I216" s="37" t="str">
        <f t="shared" si="9"/>
        <v>0-120 DAYS</v>
      </c>
      <c r="J216" s="37" t="str">
        <f t="shared" si="11"/>
        <v>0-180 DAYS</v>
      </c>
    </row>
    <row r="217" spans="1:10" x14ac:dyDescent="0.35">
      <c r="A217" t="s">
        <v>790</v>
      </c>
      <c r="B217" t="s">
        <v>859</v>
      </c>
      <c r="C217" s="18" t="s">
        <v>609</v>
      </c>
      <c r="D217" s="37" t="s">
        <v>507</v>
      </c>
      <c r="E217" s="18" t="s">
        <v>852</v>
      </c>
      <c r="F217" s="19">
        <v>44984</v>
      </c>
      <c r="G217" s="21">
        <v>2581488</v>
      </c>
      <c r="H217" s="37">
        <f t="shared" si="10"/>
        <v>2</v>
      </c>
      <c r="I217" s="37" t="str">
        <f t="shared" si="9"/>
        <v>0-120 DAYS</v>
      </c>
      <c r="J217" s="37" t="str">
        <f t="shared" si="11"/>
        <v>0-180 DAYS</v>
      </c>
    </row>
    <row r="218" spans="1:10" x14ac:dyDescent="0.35">
      <c r="A218" t="s">
        <v>790</v>
      </c>
      <c r="B218" t="s">
        <v>859</v>
      </c>
      <c r="C218" s="18" t="s">
        <v>573</v>
      </c>
      <c r="D218" s="37" t="s">
        <v>507</v>
      </c>
      <c r="E218" s="18" t="s">
        <v>853</v>
      </c>
      <c r="F218" s="19">
        <v>44984</v>
      </c>
      <c r="G218" s="21">
        <v>3631446</v>
      </c>
      <c r="H218" s="37">
        <f t="shared" si="10"/>
        <v>2</v>
      </c>
      <c r="I218" s="37" t="str">
        <f t="shared" si="9"/>
        <v>0-120 DAYS</v>
      </c>
      <c r="J218" s="37" t="str">
        <f t="shared" si="11"/>
        <v>0-180 DAYS</v>
      </c>
    </row>
    <row r="219" spans="1:10" x14ac:dyDescent="0.35">
      <c r="A219" t="s">
        <v>790</v>
      </c>
      <c r="B219" t="s">
        <v>859</v>
      </c>
      <c r="C219" s="18" t="s">
        <v>522</v>
      </c>
      <c r="D219" s="37" t="s">
        <v>507</v>
      </c>
      <c r="E219" s="18" t="s">
        <v>854</v>
      </c>
      <c r="F219" s="19">
        <v>44984</v>
      </c>
      <c r="G219" s="21">
        <v>1525992</v>
      </c>
      <c r="H219" s="37">
        <f t="shared" si="10"/>
        <v>2</v>
      </c>
      <c r="I219" s="37" t="str">
        <f t="shared" si="9"/>
        <v>0-120 DAYS</v>
      </c>
      <c r="J219" s="37" t="str">
        <f t="shared" si="11"/>
        <v>0-180 DAYS</v>
      </c>
    </row>
    <row r="220" spans="1:10" x14ac:dyDescent="0.35">
      <c r="A220" t="s">
        <v>790</v>
      </c>
      <c r="B220" t="s">
        <v>859</v>
      </c>
      <c r="C220" s="18" t="s">
        <v>581</v>
      </c>
      <c r="D220" s="37" t="s">
        <v>507</v>
      </c>
      <c r="E220" s="18" t="s">
        <v>855</v>
      </c>
      <c r="F220" s="19">
        <v>44984</v>
      </c>
      <c r="G220" s="21">
        <v>3834926.77</v>
      </c>
      <c r="H220" s="37">
        <f t="shared" si="10"/>
        <v>2</v>
      </c>
      <c r="I220" s="37" t="str">
        <f t="shared" si="9"/>
        <v>0-120 DAYS</v>
      </c>
      <c r="J220" s="37" t="str">
        <f t="shared" si="11"/>
        <v>0-180 DAYS</v>
      </c>
    </row>
    <row r="221" spans="1:10" x14ac:dyDescent="0.35">
      <c r="A221" t="s">
        <v>790</v>
      </c>
      <c r="B221" t="s">
        <v>859</v>
      </c>
      <c r="C221" s="18" t="s">
        <v>588</v>
      </c>
      <c r="D221" s="37" t="s">
        <v>507</v>
      </c>
      <c r="E221" s="18" t="s">
        <v>856</v>
      </c>
      <c r="F221" s="19">
        <v>44984</v>
      </c>
      <c r="G221" s="21">
        <v>3164296.59</v>
      </c>
      <c r="H221" s="37">
        <f t="shared" si="10"/>
        <v>2</v>
      </c>
      <c r="I221" s="37" t="str">
        <f t="shared" si="9"/>
        <v>0-120 DAYS</v>
      </c>
      <c r="J221" s="37" t="str">
        <f t="shared" si="11"/>
        <v>0-180 DAYS</v>
      </c>
    </row>
    <row r="222" spans="1:10" x14ac:dyDescent="0.35">
      <c r="A222" t="s">
        <v>790</v>
      </c>
      <c r="B222" t="s">
        <v>859</v>
      </c>
      <c r="C222" s="18" t="s">
        <v>584</v>
      </c>
      <c r="D222" s="37" t="s">
        <v>507</v>
      </c>
      <c r="E222" s="18" t="s">
        <v>857</v>
      </c>
      <c r="F222" s="19">
        <v>44985</v>
      </c>
      <c r="G222" s="21">
        <v>3157323.97</v>
      </c>
      <c r="H222" s="37">
        <f t="shared" si="10"/>
        <v>1</v>
      </c>
      <c r="I222" s="37" t="str">
        <f t="shared" si="9"/>
        <v>0-120 DAYS</v>
      </c>
      <c r="J222" s="37" t="str">
        <f t="shared" si="11"/>
        <v>0-180 DAYS</v>
      </c>
    </row>
    <row r="223" spans="1:10" x14ac:dyDescent="0.35">
      <c r="A223" t="s">
        <v>790</v>
      </c>
      <c r="B223" t="s">
        <v>859</v>
      </c>
      <c r="C223" s="18" t="s">
        <v>588</v>
      </c>
      <c r="D223" s="37" t="s">
        <v>507</v>
      </c>
      <c r="E223" s="18" t="s">
        <v>858</v>
      </c>
      <c r="F223" s="19">
        <v>44985</v>
      </c>
      <c r="G223" s="21">
        <v>2904993</v>
      </c>
      <c r="H223" s="37">
        <f t="shared" si="10"/>
        <v>1</v>
      </c>
      <c r="I223" s="37" t="str">
        <f t="shared" si="9"/>
        <v>0-120 DAYS</v>
      </c>
      <c r="J223" s="37" t="str">
        <f t="shared" si="11"/>
        <v>0-180 DAYS</v>
      </c>
    </row>
    <row r="224" spans="1:10" x14ac:dyDescent="0.35">
      <c r="A224" t="s">
        <v>789</v>
      </c>
      <c r="B224" t="s">
        <v>877</v>
      </c>
      <c r="C224" t="s">
        <v>506</v>
      </c>
      <c r="D224" t="s">
        <v>507</v>
      </c>
      <c r="E224" t="s">
        <v>513</v>
      </c>
      <c r="F224" s="53">
        <v>44784</v>
      </c>
      <c r="G224" s="63">
        <v>1564305.19</v>
      </c>
      <c r="H224" s="37">
        <f t="shared" si="10"/>
        <v>202</v>
      </c>
      <c r="I224" s="57" t="str">
        <f>IF(H224&lt;91,"1-90 DAYS",IF(H224&lt;121,"91-120DAYS",IF(H224&lt;181,"121-180 DAYS","Morethan180Days")))</f>
        <v>Morethan180Days</v>
      </c>
      <c r="J224" s="37" t="str">
        <f t="shared" si="11"/>
        <v>More than 180 Days</v>
      </c>
    </row>
    <row r="225" spans="1:10" x14ac:dyDescent="0.35">
      <c r="A225" t="s">
        <v>789</v>
      </c>
      <c r="B225" t="s">
        <v>877</v>
      </c>
      <c r="C225" t="s">
        <v>506</v>
      </c>
      <c r="D225" t="s">
        <v>507</v>
      </c>
      <c r="E225" t="s">
        <v>514</v>
      </c>
      <c r="F225" s="53">
        <v>44784</v>
      </c>
      <c r="G225" s="63">
        <v>1958485.58</v>
      </c>
      <c r="H225" s="37">
        <f t="shared" si="10"/>
        <v>202</v>
      </c>
      <c r="I225" s="57" t="str">
        <f>IF(H225&lt;91,"1-90 DAYS",IF(H225&lt;121,"91-120DAYS",IF(H225&lt;181,"121-180 DAYS","Morethan180Days")))</f>
        <v>Morethan180Days</v>
      </c>
      <c r="J225" s="37" t="str">
        <f t="shared" si="11"/>
        <v>More than 180 Days</v>
      </c>
    </row>
    <row r="226" spans="1:10" x14ac:dyDescent="0.35">
      <c r="A226" t="s">
        <v>789</v>
      </c>
      <c r="B226" t="s">
        <v>877</v>
      </c>
      <c r="C226" t="s">
        <v>506</v>
      </c>
      <c r="D226" t="s">
        <v>507</v>
      </c>
      <c r="E226" t="s">
        <v>515</v>
      </c>
      <c r="F226" s="53">
        <v>44784</v>
      </c>
      <c r="G226" s="63">
        <v>309092.68</v>
      </c>
      <c r="H226" s="37">
        <f t="shared" si="10"/>
        <v>202</v>
      </c>
      <c r="I226" s="57" t="str">
        <f>IF(H226&lt;91,"1-90 DAYS",IF(H226&lt;121,"91-120DAYS",IF(H226&lt;181,"121-180 DAYS","Morethan180Days")))</f>
        <v>Morethan180Days</v>
      </c>
      <c r="J226" s="37" t="str">
        <f t="shared" si="11"/>
        <v>More than 180 Days</v>
      </c>
    </row>
    <row r="227" spans="1:10" x14ac:dyDescent="0.35">
      <c r="A227" t="s">
        <v>789</v>
      </c>
      <c r="B227" t="s">
        <v>877</v>
      </c>
      <c r="C227" t="s">
        <v>506</v>
      </c>
      <c r="D227" t="s">
        <v>507</v>
      </c>
      <c r="E227" s="18" t="s">
        <v>516</v>
      </c>
      <c r="F227" s="54">
        <v>44919</v>
      </c>
      <c r="G227" s="22">
        <v>3674128.8</v>
      </c>
      <c r="H227" s="37">
        <f t="shared" si="10"/>
        <v>67</v>
      </c>
      <c r="I227" s="57" t="str">
        <f>IF(H227&lt;91,"1-90 DAYS",IF(H227&lt;121,"91-120DAYS",IF(H227&lt;181,"121-180 DAYS","Morethan180Days")))</f>
        <v>1-90 DAYS</v>
      </c>
      <c r="J227" s="37" t="str">
        <f t="shared" si="11"/>
        <v>0-180 DAYS</v>
      </c>
    </row>
    <row r="228" spans="1:10" x14ac:dyDescent="0.35">
      <c r="A228" t="s">
        <v>789</v>
      </c>
      <c r="B228" t="s">
        <v>877</v>
      </c>
      <c r="C228" s="18" t="s">
        <v>485</v>
      </c>
      <c r="D228" s="18" t="s">
        <v>486</v>
      </c>
      <c r="E228" s="18" t="s">
        <v>860</v>
      </c>
      <c r="F228" s="54">
        <v>44974</v>
      </c>
      <c r="G228" s="64">
        <v>13132.579999999958</v>
      </c>
      <c r="H228" s="37">
        <f t="shared" si="10"/>
        <v>12</v>
      </c>
      <c r="I228" s="57" t="str">
        <f t="shared" ref="I228:I244" si="12">IF(H228&lt;91,"1-90 DAYS",IF(H228&lt;121,"91-120DAYS",IF(H228&lt;181,"121-180 DAYS","Morethan180Days")))</f>
        <v>1-90 DAYS</v>
      </c>
      <c r="J228" s="37" t="str">
        <f t="shared" si="11"/>
        <v>0-180 DAYS</v>
      </c>
    </row>
    <row r="229" spans="1:10" x14ac:dyDescent="0.35">
      <c r="A229" t="s">
        <v>789</v>
      </c>
      <c r="B229" t="s">
        <v>877</v>
      </c>
      <c r="C229" s="18" t="s">
        <v>485</v>
      </c>
      <c r="D229" s="18" t="s">
        <v>486</v>
      </c>
      <c r="E229" s="18" t="s">
        <v>861</v>
      </c>
      <c r="F229" s="54">
        <v>44974</v>
      </c>
      <c r="G229" s="64">
        <v>6683.52</v>
      </c>
      <c r="H229" s="37">
        <f t="shared" si="10"/>
        <v>12</v>
      </c>
      <c r="I229" s="57" t="str">
        <f t="shared" si="12"/>
        <v>1-90 DAYS</v>
      </c>
      <c r="J229" s="37" t="str">
        <f t="shared" si="11"/>
        <v>0-180 DAYS</v>
      </c>
    </row>
    <row r="230" spans="1:10" x14ac:dyDescent="0.35">
      <c r="A230" t="s">
        <v>789</v>
      </c>
      <c r="B230" t="s">
        <v>877</v>
      </c>
      <c r="C230" s="18" t="s">
        <v>485</v>
      </c>
      <c r="D230" s="18" t="s">
        <v>486</v>
      </c>
      <c r="E230" s="18" t="s">
        <v>862</v>
      </c>
      <c r="F230" s="54">
        <v>44974</v>
      </c>
      <c r="G230" s="64">
        <v>1091686.6200000001</v>
      </c>
      <c r="H230" s="37">
        <f t="shared" si="10"/>
        <v>12</v>
      </c>
      <c r="I230" s="57" t="str">
        <f t="shared" si="12"/>
        <v>1-90 DAYS</v>
      </c>
      <c r="J230" s="37" t="str">
        <f t="shared" si="11"/>
        <v>0-180 DAYS</v>
      </c>
    </row>
    <row r="231" spans="1:10" x14ac:dyDescent="0.35">
      <c r="A231" t="s">
        <v>789</v>
      </c>
      <c r="B231" t="s">
        <v>877</v>
      </c>
      <c r="C231" s="18" t="s">
        <v>485</v>
      </c>
      <c r="D231" s="18" t="s">
        <v>486</v>
      </c>
      <c r="E231" s="18" t="s">
        <v>863</v>
      </c>
      <c r="F231" s="54">
        <v>44975</v>
      </c>
      <c r="G231" s="64">
        <v>4143000.22</v>
      </c>
      <c r="H231" s="37">
        <f t="shared" si="10"/>
        <v>11</v>
      </c>
      <c r="I231" s="57" t="str">
        <f t="shared" si="12"/>
        <v>1-90 DAYS</v>
      </c>
      <c r="J231" s="37" t="str">
        <f t="shared" si="11"/>
        <v>0-180 DAYS</v>
      </c>
    </row>
    <row r="232" spans="1:10" x14ac:dyDescent="0.35">
      <c r="A232" t="s">
        <v>789</v>
      </c>
      <c r="B232" t="s">
        <v>877</v>
      </c>
      <c r="C232" s="18" t="s">
        <v>485</v>
      </c>
      <c r="D232" s="18" t="s">
        <v>486</v>
      </c>
      <c r="E232" s="18" t="s">
        <v>864</v>
      </c>
      <c r="F232" s="54">
        <v>44976</v>
      </c>
      <c r="G232" s="64">
        <v>518834.58</v>
      </c>
      <c r="H232" s="37">
        <f t="shared" si="10"/>
        <v>10</v>
      </c>
      <c r="I232" s="57" t="str">
        <f t="shared" si="12"/>
        <v>1-90 DAYS</v>
      </c>
      <c r="J232" s="37" t="str">
        <f t="shared" si="11"/>
        <v>0-180 DAYS</v>
      </c>
    </row>
    <row r="233" spans="1:10" x14ac:dyDescent="0.35">
      <c r="A233" t="s">
        <v>789</v>
      </c>
      <c r="B233" t="s">
        <v>877</v>
      </c>
      <c r="C233" s="18" t="s">
        <v>485</v>
      </c>
      <c r="D233" s="18" t="s">
        <v>486</v>
      </c>
      <c r="E233" s="18" t="s">
        <v>865</v>
      </c>
      <c r="F233" s="54">
        <v>44976</v>
      </c>
      <c r="G233" s="64">
        <v>8892.48</v>
      </c>
      <c r="H233" s="37">
        <f t="shared" si="10"/>
        <v>10</v>
      </c>
      <c r="I233" s="57" t="str">
        <f t="shared" si="12"/>
        <v>1-90 DAYS</v>
      </c>
      <c r="J233" s="37" t="str">
        <f t="shared" si="11"/>
        <v>0-180 DAYS</v>
      </c>
    </row>
    <row r="234" spans="1:10" x14ac:dyDescent="0.35">
      <c r="A234" t="s">
        <v>789</v>
      </c>
      <c r="B234" t="s">
        <v>877</v>
      </c>
      <c r="C234" s="18" t="s">
        <v>485</v>
      </c>
      <c r="D234" s="18" t="s">
        <v>486</v>
      </c>
      <c r="E234" s="18" t="s">
        <v>866</v>
      </c>
      <c r="F234" s="54">
        <v>44979</v>
      </c>
      <c r="G234" s="64">
        <v>681402.78</v>
      </c>
      <c r="H234" s="37">
        <f t="shared" si="10"/>
        <v>7</v>
      </c>
      <c r="I234" s="57" t="str">
        <f t="shared" si="12"/>
        <v>1-90 DAYS</v>
      </c>
      <c r="J234" s="37" t="str">
        <f t="shared" si="11"/>
        <v>0-180 DAYS</v>
      </c>
    </row>
    <row r="235" spans="1:10" x14ac:dyDescent="0.35">
      <c r="A235" t="s">
        <v>789</v>
      </c>
      <c r="B235" t="s">
        <v>877</v>
      </c>
      <c r="C235" s="18" t="s">
        <v>485</v>
      </c>
      <c r="D235" s="18" t="s">
        <v>486</v>
      </c>
      <c r="E235" s="18" t="s">
        <v>867</v>
      </c>
      <c r="F235" s="54">
        <v>44979</v>
      </c>
      <c r="G235" s="64">
        <v>10195.200000000001</v>
      </c>
      <c r="H235" s="37">
        <f t="shared" si="10"/>
        <v>7</v>
      </c>
      <c r="I235" s="57" t="str">
        <f t="shared" si="12"/>
        <v>1-90 DAYS</v>
      </c>
      <c r="J235" s="37" t="str">
        <f t="shared" si="11"/>
        <v>0-180 DAYS</v>
      </c>
    </row>
    <row r="236" spans="1:10" x14ac:dyDescent="0.35">
      <c r="A236" t="s">
        <v>789</v>
      </c>
      <c r="B236" t="s">
        <v>877</v>
      </c>
      <c r="C236" s="18" t="s">
        <v>485</v>
      </c>
      <c r="D236" s="18" t="s">
        <v>486</v>
      </c>
      <c r="E236" s="18" t="s">
        <v>868</v>
      </c>
      <c r="F236" s="54">
        <v>44983</v>
      </c>
      <c r="G236" s="64">
        <v>773263.87</v>
      </c>
      <c r="H236" s="37">
        <f t="shared" si="10"/>
        <v>3</v>
      </c>
      <c r="I236" s="57" t="str">
        <f t="shared" si="12"/>
        <v>1-90 DAYS</v>
      </c>
      <c r="J236" s="37" t="str">
        <f t="shared" si="11"/>
        <v>0-180 DAYS</v>
      </c>
    </row>
    <row r="237" spans="1:10" x14ac:dyDescent="0.35">
      <c r="A237" t="s">
        <v>789</v>
      </c>
      <c r="B237" t="s">
        <v>877</v>
      </c>
      <c r="C237" s="18" t="s">
        <v>485</v>
      </c>
      <c r="D237" s="18" t="s">
        <v>486</v>
      </c>
      <c r="E237" s="18" t="s">
        <v>869</v>
      </c>
      <c r="F237" s="54">
        <v>44983</v>
      </c>
      <c r="G237" s="64">
        <v>11667.84</v>
      </c>
      <c r="H237" s="37">
        <f t="shared" si="10"/>
        <v>3</v>
      </c>
      <c r="I237" s="57" t="str">
        <f t="shared" si="12"/>
        <v>1-90 DAYS</v>
      </c>
      <c r="J237" s="37" t="str">
        <f t="shared" si="11"/>
        <v>0-180 DAYS</v>
      </c>
    </row>
    <row r="238" spans="1:10" x14ac:dyDescent="0.35">
      <c r="A238" t="s">
        <v>789</v>
      </c>
      <c r="B238" t="s">
        <v>877</v>
      </c>
      <c r="C238" s="18" t="s">
        <v>485</v>
      </c>
      <c r="D238" s="18" t="s">
        <v>486</v>
      </c>
      <c r="E238" s="18" t="s">
        <v>870</v>
      </c>
      <c r="F238" s="54">
        <v>44983</v>
      </c>
      <c r="G238" s="64">
        <v>36723.96</v>
      </c>
      <c r="H238" s="37">
        <f t="shared" si="10"/>
        <v>3</v>
      </c>
      <c r="I238" s="57" t="str">
        <f t="shared" si="12"/>
        <v>1-90 DAYS</v>
      </c>
      <c r="J238" s="37" t="str">
        <f t="shared" si="11"/>
        <v>0-180 DAYS</v>
      </c>
    </row>
    <row r="239" spans="1:10" x14ac:dyDescent="0.35">
      <c r="A239" t="s">
        <v>789</v>
      </c>
      <c r="B239" t="s">
        <v>877</v>
      </c>
      <c r="C239" s="18" t="s">
        <v>485</v>
      </c>
      <c r="D239" s="18" t="s">
        <v>486</v>
      </c>
      <c r="E239" s="18" t="s">
        <v>871</v>
      </c>
      <c r="F239" s="54">
        <v>44983</v>
      </c>
      <c r="G239" s="64">
        <v>20273.39</v>
      </c>
      <c r="H239" s="37">
        <f t="shared" si="10"/>
        <v>3</v>
      </c>
      <c r="I239" s="57" t="str">
        <f t="shared" si="12"/>
        <v>1-90 DAYS</v>
      </c>
      <c r="J239" s="37" t="str">
        <f t="shared" si="11"/>
        <v>0-180 DAYS</v>
      </c>
    </row>
    <row r="240" spans="1:10" x14ac:dyDescent="0.35">
      <c r="A240" t="s">
        <v>789</v>
      </c>
      <c r="B240" t="s">
        <v>877</v>
      </c>
      <c r="C240" s="18" t="s">
        <v>485</v>
      </c>
      <c r="D240" s="18" t="s">
        <v>486</v>
      </c>
      <c r="E240" s="18" t="s">
        <v>872</v>
      </c>
      <c r="F240" s="54">
        <v>44984</v>
      </c>
      <c r="G240" s="64">
        <v>3830675.57</v>
      </c>
      <c r="H240" s="37">
        <f t="shared" si="10"/>
        <v>2</v>
      </c>
      <c r="I240" s="57" t="str">
        <f t="shared" si="12"/>
        <v>1-90 DAYS</v>
      </c>
      <c r="J240" s="37" t="str">
        <f t="shared" si="11"/>
        <v>0-180 DAYS</v>
      </c>
    </row>
    <row r="241" spans="1:10" x14ac:dyDescent="0.35">
      <c r="A241" t="s">
        <v>789</v>
      </c>
      <c r="B241" t="s">
        <v>877</v>
      </c>
      <c r="C241" s="18" t="s">
        <v>485</v>
      </c>
      <c r="D241" s="18" t="s">
        <v>486</v>
      </c>
      <c r="E241" s="18" t="s">
        <v>873</v>
      </c>
      <c r="F241" s="54">
        <v>44985</v>
      </c>
      <c r="G241" s="64">
        <v>112931.96</v>
      </c>
      <c r="H241" s="37">
        <f t="shared" si="10"/>
        <v>1</v>
      </c>
      <c r="I241" s="57" t="str">
        <f t="shared" si="12"/>
        <v>1-90 DAYS</v>
      </c>
      <c r="J241" s="37" t="str">
        <f t="shared" si="11"/>
        <v>0-180 DAYS</v>
      </c>
    </row>
    <row r="242" spans="1:10" x14ac:dyDescent="0.35">
      <c r="A242" t="s">
        <v>789</v>
      </c>
      <c r="B242" t="s">
        <v>877</v>
      </c>
      <c r="C242" s="18" t="s">
        <v>485</v>
      </c>
      <c r="D242" s="18" t="s">
        <v>486</v>
      </c>
      <c r="E242" s="18" t="s">
        <v>874</v>
      </c>
      <c r="F242" s="54">
        <v>44961</v>
      </c>
      <c r="G242" s="64">
        <v>750239.78</v>
      </c>
      <c r="H242" s="37">
        <f t="shared" si="10"/>
        <v>25</v>
      </c>
      <c r="I242" s="57" t="str">
        <f t="shared" si="12"/>
        <v>1-90 DAYS</v>
      </c>
      <c r="J242" s="37" t="str">
        <f t="shared" si="11"/>
        <v>0-180 DAYS</v>
      </c>
    </row>
    <row r="243" spans="1:10" x14ac:dyDescent="0.35">
      <c r="A243" t="s">
        <v>789</v>
      </c>
      <c r="B243" t="s">
        <v>877</v>
      </c>
      <c r="C243" s="18" t="s">
        <v>485</v>
      </c>
      <c r="D243" s="18" t="s">
        <v>486</v>
      </c>
      <c r="E243" s="18" t="s">
        <v>875</v>
      </c>
      <c r="F243" s="54">
        <v>44981</v>
      </c>
      <c r="G243" s="64">
        <v>183549</v>
      </c>
      <c r="H243" s="37">
        <f t="shared" si="10"/>
        <v>5</v>
      </c>
      <c r="I243" s="57" t="str">
        <f t="shared" si="12"/>
        <v>1-90 DAYS</v>
      </c>
      <c r="J243" s="37" t="str">
        <f t="shared" si="11"/>
        <v>0-180 DAYS</v>
      </c>
    </row>
    <row r="244" spans="1:10" x14ac:dyDescent="0.35">
      <c r="A244" t="s">
        <v>789</v>
      </c>
      <c r="B244" t="s">
        <v>877</v>
      </c>
      <c r="C244" s="18" t="s">
        <v>485</v>
      </c>
      <c r="D244" s="18" t="s">
        <v>486</v>
      </c>
      <c r="E244" s="18" t="s">
        <v>876</v>
      </c>
      <c r="F244" s="54">
        <v>44985</v>
      </c>
      <c r="G244" s="64">
        <v>368897.5</v>
      </c>
      <c r="H244" s="37">
        <f t="shared" si="10"/>
        <v>1</v>
      </c>
      <c r="I244" s="57" t="str">
        <f t="shared" si="12"/>
        <v>1-90 DAYS</v>
      </c>
      <c r="J244" s="37" t="str">
        <f t="shared" si="11"/>
        <v>0-180 DAYS</v>
      </c>
    </row>
    <row r="245" spans="1:10" x14ac:dyDescent="0.35">
      <c r="A245" t="s">
        <v>790</v>
      </c>
      <c r="B245" t="s">
        <v>477</v>
      </c>
      <c r="C245" s="1" t="s">
        <v>0</v>
      </c>
      <c r="D245" s="2" t="s">
        <v>1</v>
      </c>
      <c r="E245" s="3" t="s">
        <v>2</v>
      </c>
      <c r="F245" s="4">
        <v>44653</v>
      </c>
      <c r="G245" s="5">
        <v>82517.399999999994</v>
      </c>
      <c r="H245" s="37">
        <f t="shared" ref="H245:H308" si="13">$H$3-F245+1</f>
        <v>333</v>
      </c>
      <c r="I245" s="37" t="str">
        <f t="shared" si="9"/>
        <v>More than 180 Days</v>
      </c>
      <c r="J245" s="37" t="str">
        <f t="shared" si="11"/>
        <v>More than 180 Days</v>
      </c>
    </row>
    <row r="246" spans="1:10" x14ac:dyDescent="0.35">
      <c r="A246" t="s">
        <v>790</v>
      </c>
      <c r="B246" t="s">
        <v>477</v>
      </c>
      <c r="C246" s="1" t="s">
        <v>3</v>
      </c>
      <c r="D246" s="2" t="s">
        <v>4</v>
      </c>
      <c r="E246" s="3">
        <v>754</v>
      </c>
      <c r="F246" s="4">
        <v>44853</v>
      </c>
      <c r="G246" s="5">
        <v>6364.8100000000559</v>
      </c>
      <c r="H246" s="37">
        <f t="shared" si="13"/>
        <v>133</v>
      </c>
      <c r="I246" s="37" t="str">
        <f t="shared" si="9"/>
        <v>121-180DAYS</v>
      </c>
      <c r="J246" s="37" t="str">
        <f t="shared" si="11"/>
        <v>0-180 DAYS</v>
      </c>
    </row>
    <row r="247" spans="1:10" x14ac:dyDescent="0.35">
      <c r="A247" t="s">
        <v>790</v>
      </c>
      <c r="B247" t="s">
        <v>477</v>
      </c>
      <c r="C247" s="1" t="s">
        <v>5</v>
      </c>
      <c r="D247" s="2" t="s">
        <v>6</v>
      </c>
      <c r="E247" s="3">
        <v>770</v>
      </c>
      <c r="F247" s="4">
        <v>44855</v>
      </c>
      <c r="G247" s="6">
        <v>14691</v>
      </c>
      <c r="H247" s="37">
        <f t="shared" si="13"/>
        <v>131</v>
      </c>
      <c r="I247" s="37" t="str">
        <f t="shared" si="9"/>
        <v>121-180DAYS</v>
      </c>
      <c r="J247" s="37" t="str">
        <f t="shared" si="11"/>
        <v>0-180 DAYS</v>
      </c>
    </row>
    <row r="248" spans="1:10" x14ac:dyDescent="0.35">
      <c r="A248" t="s">
        <v>790</v>
      </c>
      <c r="B248" t="s">
        <v>477</v>
      </c>
      <c r="C248" s="1" t="s">
        <v>13</v>
      </c>
      <c r="D248" s="2" t="s">
        <v>14</v>
      </c>
      <c r="E248" s="3" t="s">
        <v>15</v>
      </c>
      <c r="F248" s="4">
        <v>44337</v>
      </c>
      <c r="G248" s="8">
        <v>81031.210000000006</v>
      </c>
      <c r="H248" s="37">
        <f t="shared" si="13"/>
        <v>649</v>
      </c>
      <c r="I248" s="37" t="str">
        <f t="shared" si="9"/>
        <v>More than 180 Days</v>
      </c>
      <c r="J248" s="37" t="str">
        <f t="shared" si="11"/>
        <v>More than 180 Days</v>
      </c>
    </row>
    <row r="249" spans="1:10" x14ac:dyDescent="0.35">
      <c r="A249" t="s">
        <v>790</v>
      </c>
      <c r="B249" t="s">
        <v>477</v>
      </c>
      <c r="C249" s="1" t="s">
        <v>20</v>
      </c>
      <c r="D249" s="2" t="s">
        <v>21</v>
      </c>
      <c r="E249" s="3" t="s">
        <v>22</v>
      </c>
      <c r="F249" s="4">
        <v>44600</v>
      </c>
      <c r="G249" s="8">
        <v>978730</v>
      </c>
      <c r="H249" s="37">
        <f t="shared" si="13"/>
        <v>386</v>
      </c>
      <c r="I249" s="37" t="str">
        <f t="shared" si="9"/>
        <v>More than 180 Days</v>
      </c>
      <c r="J249" s="37" t="str">
        <f t="shared" si="11"/>
        <v>More than 180 Days</v>
      </c>
    </row>
    <row r="250" spans="1:10" x14ac:dyDescent="0.35">
      <c r="A250" t="s">
        <v>790</v>
      </c>
      <c r="B250" t="s">
        <v>477</v>
      </c>
      <c r="C250" s="1" t="s">
        <v>20</v>
      </c>
      <c r="D250" s="2" t="s">
        <v>21</v>
      </c>
      <c r="E250" s="3" t="s">
        <v>23</v>
      </c>
      <c r="F250" s="4">
        <v>44600</v>
      </c>
      <c r="G250" s="8">
        <v>1039965</v>
      </c>
      <c r="H250" s="37">
        <f t="shared" si="13"/>
        <v>386</v>
      </c>
      <c r="I250" s="37" t="str">
        <f t="shared" si="9"/>
        <v>More than 180 Days</v>
      </c>
      <c r="J250" s="37" t="str">
        <f t="shared" si="11"/>
        <v>More than 180 Days</v>
      </c>
    </row>
    <row r="251" spans="1:10" x14ac:dyDescent="0.35">
      <c r="A251" t="s">
        <v>790</v>
      </c>
      <c r="B251" t="s">
        <v>477</v>
      </c>
      <c r="C251" s="1" t="s">
        <v>20</v>
      </c>
      <c r="D251" s="2" t="s">
        <v>21</v>
      </c>
      <c r="E251" s="3" t="s">
        <v>24</v>
      </c>
      <c r="F251" s="4">
        <v>44607</v>
      </c>
      <c r="G251" s="8">
        <v>1160694.02</v>
      </c>
      <c r="H251" s="37">
        <f t="shared" si="13"/>
        <v>379</v>
      </c>
      <c r="I251" s="37" t="str">
        <f t="shared" si="9"/>
        <v>More than 180 Days</v>
      </c>
      <c r="J251" s="37" t="str">
        <f t="shared" si="11"/>
        <v>More than 180 Days</v>
      </c>
    </row>
    <row r="252" spans="1:10" x14ac:dyDescent="0.35">
      <c r="A252" t="s">
        <v>790</v>
      </c>
      <c r="B252" t="s">
        <v>477</v>
      </c>
      <c r="C252" s="1" t="s">
        <v>20</v>
      </c>
      <c r="D252" s="2" t="s">
        <v>21</v>
      </c>
      <c r="E252" s="3" t="s">
        <v>25</v>
      </c>
      <c r="F252" s="4">
        <v>44613</v>
      </c>
      <c r="G252" s="8">
        <v>1075361.1399999999</v>
      </c>
      <c r="H252" s="37">
        <f t="shared" si="13"/>
        <v>373</v>
      </c>
      <c r="I252" s="37" t="str">
        <f t="shared" si="9"/>
        <v>More than 180 Days</v>
      </c>
      <c r="J252" s="37" t="str">
        <f t="shared" si="11"/>
        <v>More than 180 Days</v>
      </c>
    </row>
    <row r="253" spans="1:10" x14ac:dyDescent="0.35">
      <c r="A253" t="s">
        <v>790</v>
      </c>
      <c r="B253" t="s">
        <v>477</v>
      </c>
      <c r="C253" s="1" t="s">
        <v>26</v>
      </c>
      <c r="D253" s="2" t="s">
        <v>27</v>
      </c>
      <c r="E253" s="10" t="s">
        <v>28</v>
      </c>
      <c r="F253" s="7">
        <v>44823</v>
      </c>
      <c r="G253" s="8">
        <v>337559.54</v>
      </c>
      <c r="H253" s="37">
        <f t="shared" si="13"/>
        <v>163</v>
      </c>
      <c r="I253" s="37" t="str">
        <f t="shared" si="9"/>
        <v>121-180DAYS</v>
      </c>
      <c r="J253" s="37" t="str">
        <f t="shared" si="11"/>
        <v>0-180 DAYS</v>
      </c>
    </row>
    <row r="254" spans="1:10" x14ac:dyDescent="0.35">
      <c r="A254" t="s">
        <v>790</v>
      </c>
      <c r="B254" t="s">
        <v>477</v>
      </c>
      <c r="C254" s="1" t="s">
        <v>32</v>
      </c>
      <c r="D254" s="2" t="s">
        <v>33</v>
      </c>
      <c r="E254" s="18" t="s">
        <v>878</v>
      </c>
      <c r="F254" s="19">
        <v>44970</v>
      </c>
      <c r="G254" s="8">
        <v>725085</v>
      </c>
      <c r="H254" s="37">
        <f t="shared" si="13"/>
        <v>16</v>
      </c>
      <c r="I254" s="57" t="str">
        <f>IF(H254&lt;91,"1-90 DAYS",IF(H254&lt;121,"91-120DAYS",IF(H254&lt;181,"121-180 DAYS","Morethan180Days")))</f>
        <v>1-90 DAYS</v>
      </c>
      <c r="J254" s="37" t="str">
        <f t="shared" si="11"/>
        <v>0-180 DAYS</v>
      </c>
    </row>
    <row r="255" spans="1:10" x14ac:dyDescent="0.35">
      <c r="A255" t="s">
        <v>790</v>
      </c>
      <c r="B255" t="s">
        <v>477</v>
      </c>
      <c r="C255" s="1" t="s">
        <v>38</v>
      </c>
      <c r="D255" s="2" t="s">
        <v>39</v>
      </c>
      <c r="E255" s="2" t="s">
        <v>40</v>
      </c>
      <c r="F255" s="4">
        <v>42760</v>
      </c>
      <c r="G255" s="8">
        <v>1507988</v>
      </c>
      <c r="H255" s="37">
        <f t="shared" si="13"/>
        <v>2226</v>
      </c>
      <c r="I255" s="37" t="str">
        <f t="shared" si="9"/>
        <v>More than 180 Days</v>
      </c>
      <c r="J255" s="37" t="str">
        <f t="shared" si="11"/>
        <v>More than 180 Days</v>
      </c>
    </row>
    <row r="256" spans="1:10" x14ac:dyDescent="0.35">
      <c r="A256" t="s">
        <v>790</v>
      </c>
      <c r="B256" t="s">
        <v>477</v>
      </c>
      <c r="C256" s="1" t="s">
        <v>38</v>
      </c>
      <c r="D256" s="2" t="s">
        <v>39</v>
      </c>
      <c r="E256" s="2" t="s">
        <v>41</v>
      </c>
      <c r="F256" s="4">
        <v>42776</v>
      </c>
      <c r="G256" s="8">
        <v>2089970</v>
      </c>
      <c r="H256" s="37">
        <f t="shared" si="13"/>
        <v>2210</v>
      </c>
      <c r="I256" s="37" t="str">
        <f t="shared" si="9"/>
        <v>More than 180 Days</v>
      </c>
      <c r="J256" s="37" t="str">
        <f t="shared" si="11"/>
        <v>More than 180 Days</v>
      </c>
    </row>
    <row r="257" spans="1:10" x14ac:dyDescent="0.35">
      <c r="A257" t="s">
        <v>790</v>
      </c>
      <c r="B257" t="s">
        <v>477</v>
      </c>
      <c r="C257" s="9" t="s">
        <v>42</v>
      </c>
      <c r="D257" s="2" t="s">
        <v>43</v>
      </c>
      <c r="E257" s="10" t="s">
        <v>44</v>
      </c>
      <c r="F257" s="7">
        <v>44880</v>
      </c>
      <c r="G257" s="8">
        <v>73514</v>
      </c>
      <c r="H257" s="37">
        <f t="shared" si="13"/>
        <v>106</v>
      </c>
      <c r="I257" s="57" t="str">
        <f>IF(H257&lt;91,"1-90 DAYS",IF(H257&lt;121,"91-120DAYS",IF(H257&lt;181,"121-180 DAYS","Morethan180Days")))</f>
        <v>91-120DAYS</v>
      </c>
      <c r="J257" s="37" t="str">
        <f t="shared" si="11"/>
        <v>0-180 DAYS</v>
      </c>
    </row>
    <row r="258" spans="1:10" x14ac:dyDescent="0.35">
      <c r="A258" t="s">
        <v>790</v>
      </c>
      <c r="B258" t="s">
        <v>477</v>
      </c>
      <c r="C258" s="1" t="s">
        <v>45</v>
      </c>
      <c r="D258" s="2" t="s">
        <v>46</v>
      </c>
      <c r="E258" s="2" t="s">
        <v>47</v>
      </c>
      <c r="F258" s="4">
        <v>44520</v>
      </c>
      <c r="G258" s="8">
        <v>10902</v>
      </c>
      <c r="H258" s="37">
        <f t="shared" si="13"/>
        <v>466</v>
      </c>
      <c r="I258" s="37" t="str">
        <f t="shared" si="9"/>
        <v>More than 180 Days</v>
      </c>
      <c r="J258" s="37" t="str">
        <f t="shared" si="11"/>
        <v>More than 180 Days</v>
      </c>
    </row>
    <row r="259" spans="1:10" x14ac:dyDescent="0.35">
      <c r="A259" t="s">
        <v>790</v>
      </c>
      <c r="B259" t="s">
        <v>477</v>
      </c>
      <c r="C259" s="1" t="s">
        <v>48</v>
      </c>
      <c r="D259" s="2" t="s">
        <v>49</v>
      </c>
      <c r="E259" s="2" t="s">
        <v>50</v>
      </c>
      <c r="F259" s="4">
        <v>44777</v>
      </c>
      <c r="G259" s="8">
        <v>772.86999999999534</v>
      </c>
      <c r="H259" s="37">
        <f t="shared" si="13"/>
        <v>209</v>
      </c>
      <c r="I259" s="37" t="str">
        <f t="shared" si="9"/>
        <v>More than 180 Days</v>
      </c>
      <c r="J259" s="37" t="str">
        <f t="shared" si="11"/>
        <v>More than 180 Days</v>
      </c>
    </row>
    <row r="260" spans="1:10" x14ac:dyDescent="0.35">
      <c r="A260" t="s">
        <v>790</v>
      </c>
      <c r="B260" t="s">
        <v>477</v>
      </c>
      <c r="C260" s="1" t="s">
        <v>51</v>
      </c>
      <c r="D260" s="2" t="s">
        <v>52</v>
      </c>
      <c r="E260" s="2" t="s">
        <v>53</v>
      </c>
      <c r="F260" s="4">
        <v>44798</v>
      </c>
      <c r="G260" s="8">
        <v>13295</v>
      </c>
      <c r="H260" s="37">
        <f t="shared" si="13"/>
        <v>188</v>
      </c>
      <c r="I260" s="37" t="str">
        <f t="shared" si="9"/>
        <v>More than 180 Days</v>
      </c>
      <c r="J260" s="37" t="str">
        <f t="shared" si="11"/>
        <v>More than 180 Days</v>
      </c>
    </row>
    <row r="261" spans="1:10" x14ac:dyDescent="0.35">
      <c r="A261" t="s">
        <v>790</v>
      </c>
      <c r="B261" t="s">
        <v>477</v>
      </c>
      <c r="C261" s="1" t="s">
        <v>54</v>
      </c>
      <c r="D261" s="2" t="s">
        <v>52</v>
      </c>
      <c r="E261" s="10" t="s">
        <v>55</v>
      </c>
      <c r="F261" s="7">
        <v>44882</v>
      </c>
      <c r="G261" s="11">
        <v>4899</v>
      </c>
      <c r="H261" s="37">
        <f t="shared" si="13"/>
        <v>104</v>
      </c>
      <c r="I261" s="57" t="str">
        <f t="shared" ref="I261:I324" si="14">IF(H261&lt;91,"1-90 DAYS",IF(H261&lt;121,"91-120DAYS",IF(H261&lt;181,"121-180 DAYS","Morethan180Days")))</f>
        <v>91-120DAYS</v>
      </c>
      <c r="J261" s="37" t="str">
        <f t="shared" si="11"/>
        <v>0-180 DAYS</v>
      </c>
    </row>
    <row r="262" spans="1:10" x14ac:dyDescent="0.35">
      <c r="A262" t="s">
        <v>790</v>
      </c>
      <c r="B262" t="s">
        <v>477</v>
      </c>
      <c r="C262" s="1" t="s">
        <v>56</v>
      </c>
      <c r="D262" s="18" t="s">
        <v>57</v>
      </c>
      <c r="E262" s="18" t="s">
        <v>195</v>
      </c>
      <c r="F262" s="19">
        <v>44913</v>
      </c>
      <c r="G262" s="20">
        <v>566102.53</v>
      </c>
      <c r="H262" s="37">
        <f t="shared" si="13"/>
        <v>73</v>
      </c>
      <c r="I262" s="57" t="str">
        <f t="shared" si="14"/>
        <v>1-90 DAYS</v>
      </c>
      <c r="J262" s="37" t="str">
        <f t="shared" ref="J262:J325" si="15">IF(H262&lt;180,"0-180 DAYS","More than 180 Days")</f>
        <v>0-180 DAYS</v>
      </c>
    </row>
    <row r="263" spans="1:10" x14ac:dyDescent="0.35">
      <c r="A263" t="s">
        <v>790</v>
      </c>
      <c r="B263" t="s">
        <v>477</v>
      </c>
      <c r="C263" s="1" t="s">
        <v>56</v>
      </c>
      <c r="D263" s="18" t="s">
        <v>57</v>
      </c>
      <c r="E263" s="18" t="s">
        <v>196</v>
      </c>
      <c r="F263" s="19">
        <v>44913</v>
      </c>
      <c r="G263" s="20">
        <v>7865.96</v>
      </c>
      <c r="H263" s="37">
        <f t="shared" si="13"/>
        <v>73</v>
      </c>
      <c r="I263" s="57" t="str">
        <f t="shared" si="14"/>
        <v>1-90 DAYS</v>
      </c>
      <c r="J263" s="37" t="str">
        <f t="shared" si="15"/>
        <v>0-180 DAYS</v>
      </c>
    </row>
    <row r="264" spans="1:10" x14ac:dyDescent="0.35">
      <c r="A264" t="s">
        <v>790</v>
      </c>
      <c r="B264" t="s">
        <v>477</v>
      </c>
      <c r="C264" s="1" t="s">
        <v>56</v>
      </c>
      <c r="D264" s="18" t="s">
        <v>57</v>
      </c>
      <c r="E264" s="18" t="s">
        <v>197</v>
      </c>
      <c r="F264" s="19">
        <v>44913</v>
      </c>
      <c r="G264" s="20">
        <v>30525</v>
      </c>
      <c r="H264" s="37">
        <f t="shared" si="13"/>
        <v>73</v>
      </c>
      <c r="I264" s="57" t="str">
        <f t="shared" si="14"/>
        <v>1-90 DAYS</v>
      </c>
      <c r="J264" s="37" t="str">
        <f t="shared" si="15"/>
        <v>0-180 DAYS</v>
      </c>
    </row>
    <row r="265" spans="1:10" x14ac:dyDescent="0.35">
      <c r="A265" t="s">
        <v>790</v>
      </c>
      <c r="B265" t="s">
        <v>477</v>
      </c>
      <c r="C265" s="1" t="s">
        <v>56</v>
      </c>
      <c r="D265" s="18" t="s">
        <v>57</v>
      </c>
      <c r="E265" s="18" t="s">
        <v>198</v>
      </c>
      <c r="F265" s="19">
        <v>44914</v>
      </c>
      <c r="G265" s="20">
        <v>2480.14</v>
      </c>
      <c r="H265" s="37">
        <f t="shared" si="13"/>
        <v>72</v>
      </c>
      <c r="I265" s="57" t="str">
        <f t="shared" si="14"/>
        <v>1-90 DAYS</v>
      </c>
      <c r="J265" s="37" t="str">
        <f t="shared" si="15"/>
        <v>0-180 DAYS</v>
      </c>
    </row>
    <row r="266" spans="1:10" x14ac:dyDescent="0.35">
      <c r="A266" t="s">
        <v>790</v>
      </c>
      <c r="B266" t="s">
        <v>477</v>
      </c>
      <c r="C266" s="1" t="s">
        <v>56</v>
      </c>
      <c r="D266" s="18" t="s">
        <v>57</v>
      </c>
      <c r="E266" s="18" t="s">
        <v>199</v>
      </c>
      <c r="F266" s="19">
        <v>44914</v>
      </c>
      <c r="G266" s="20">
        <v>800372.34</v>
      </c>
      <c r="H266" s="37">
        <f t="shared" si="13"/>
        <v>72</v>
      </c>
      <c r="I266" s="57" t="str">
        <f t="shared" si="14"/>
        <v>1-90 DAYS</v>
      </c>
      <c r="J266" s="37" t="str">
        <f t="shared" si="15"/>
        <v>0-180 DAYS</v>
      </c>
    </row>
    <row r="267" spans="1:10" x14ac:dyDescent="0.35">
      <c r="A267" t="s">
        <v>790</v>
      </c>
      <c r="B267" t="s">
        <v>477</v>
      </c>
      <c r="C267" s="1" t="s">
        <v>56</v>
      </c>
      <c r="D267" s="18" t="s">
        <v>57</v>
      </c>
      <c r="E267" s="18" t="s">
        <v>200</v>
      </c>
      <c r="F267" s="19">
        <v>44914</v>
      </c>
      <c r="G267" s="20">
        <v>10016.280000000001</v>
      </c>
      <c r="H267" s="37">
        <f t="shared" si="13"/>
        <v>72</v>
      </c>
      <c r="I267" s="57" t="str">
        <f t="shared" si="14"/>
        <v>1-90 DAYS</v>
      </c>
      <c r="J267" s="37" t="str">
        <f t="shared" si="15"/>
        <v>0-180 DAYS</v>
      </c>
    </row>
    <row r="268" spans="1:10" x14ac:dyDescent="0.35">
      <c r="A268" t="s">
        <v>790</v>
      </c>
      <c r="B268" t="s">
        <v>477</v>
      </c>
      <c r="C268" s="1" t="s">
        <v>56</v>
      </c>
      <c r="D268" s="18" t="s">
        <v>57</v>
      </c>
      <c r="E268" s="18" t="s">
        <v>201</v>
      </c>
      <c r="F268" s="19">
        <v>44915</v>
      </c>
      <c r="G268" s="20">
        <v>532418.76</v>
      </c>
      <c r="H268" s="37">
        <f t="shared" si="13"/>
        <v>71</v>
      </c>
      <c r="I268" s="57" t="str">
        <f t="shared" si="14"/>
        <v>1-90 DAYS</v>
      </c>
      <c r="J268" s="37" t="str">
        <f t="shared" si="15"/>
        <v>0-180 DAYS</v>
      </c>
    </row>
    <row r="269" spans="1:10" x14ac:dyDescent="0.35">
      <c r="A269" t="s">
        <v>790</v>
      </c>
      <c r="B269" t="s">
        <v>477</v>
      </c>
      <c r="C269" s="1" t="s">
        <v>56</v>
      </c>
      <c r="D269" s="18" t="s">
        <v>57</v>
      </c>
      <c r="E269" s="18" t="s">
        <v>202</v>
      </c>
      <c r="F269" s="19">
        <v>44915</v>
      </c>
      <c r="G269" s="20">
        <v>5998.84</v>
      </c>
      <c r="H269" s="37">
        <f t="shared" si="13"/>
        <v>71</v>
      </c>
      <c r="I269" s="57" t="str">
        <f t="shared" si="14"/>
        <v>1-90 DAYS</v>
      </c>
      <c r="J269" s="37" t="str">
        <f t="shared" si="15"/>
        <v>0-180 DAYS</v>
      </c>
    </row>
    <row r="270" spans="1:10" x14ac:dyDescent="0.35">
      <c r="A270" t="s">
        <v>790</v>
      </c>
      <c r="B270" t="s">
        <v>477</v>
      </c>
      <c r="C270" s="1" t="s">
        <v>56</v>
      </c>
      <c r="D270" s="18" t="s">
        <v>57</v>
      </c>
      <c r="E270" s="18" t="s">
        <v>203</v>
      </c>
      <c r="F270" s="19">
        <v>44915</v>
      </c>
      <c r="G270" s="20">
        <v>5206.88</v>
      </c>
      <c r="H270" s="37">
        <f t="shared" si="13"/>
        <v>71</v>
      </c>
      <c r="I270" s="57" t="str">
        <f t="shared" si="14"/>
        <v>1-90 DAYS</v>
      </c>
      <c r="J270" s="37" t="str">
        <f t="shared" si="15"/>
        <v>0-180 DAYS</v>
      </c>
    </row>
    <row r="271" spans="1:10" x14ac:dyDescent="0.35">
      <c r="A271" t="s">
        <v>790</v>
      </c>
      <c r="B271" t="s">
        <v>477</v>
      </c>
      <c r="C271" s="1" t="s">
        <v>56</v>
      </c>
      <c r="D271" s="18" t="s">
        <v>57</v>
      </c>
      <c r="E271" s="18" t="s">
        <v>204</v>
      </c>
      <c r="F271" s="19">
        <v>44915</v>
      </c>
      <c r="G271" s="20">
        <v>382326.51</v>
      </c>
      <c r="H271" s="37">
        <f t="shared" si="13"/>
        <v>71</v>
      </c>
      <c r="I271" s="57" t="str">
        <f t="shared" si="14"/>
        <v>1-90 DAYS</v>
      </c>
      <c r="J271" s="37" t="str">
        <f t="shared" si="15"/>
        <v>0-180 DAYS</v>
      </c>
    </row>
    <row r="272" spans="1:10" x14ac:dyDescent="0.35">
      <c r="A272" t="s">
        <v>790</v>
      </c>
      <c r="B272" t="s">
        <v>477</v>
      </c>
      <c r="C272" s="1" t="s">
        <v>56</v>
      </c>
      <c r="D272" s="18" t="s">
        <v>57</v>
      </c>
      <c r="E272" s="18" t="s">
        <v>205</v>
      </c>
      <c r="F272" s="19">
        <v>44915</v>
      </c>
      <c r="G272" s="20">
        <v>452382</v>
      </c>
      <c r="H272" s="37">
        <f t="shared" si="13"/>
        <v>71</v>
      </c>
      <c r="I272" s="57" t="str">
        <f t="shared" si="14"/>
        <v>1-90 DAYS</v>
      </c>
      <c r="J272" s="37" t="str">
        <f t="shared" si="15"/>
        <v>0-180 DAYS</v>
      </c>
    </row>
    <row r="273" spans="1:10" x14ac:dyDescent="0.35">
      <c r="A273" t="s">
        <v>790</v>
      </c>
      <c r="B273" t="s">
        <v>477</v>
      </c>
      <c r="C273" s="1" t="s">
        <v>56</v>
      </c>
      <c r="D273" s="18" t="s">
        <v>57</v>
      </c>
      <c r="E273" s="18" t="s">
        <v>206</v>
      </c>
      <c r="F273" s="19">
        <v>44915</v>
      </c>
      <c r="G273" s="20">
        <v>1067384.72</v>
      </c>
      <c r="H273" s="37">
        <f t="shared" si="13"/>
        <v>71</v>
      </c>
      <c r="I273" s="57" t="str">
        <f t="shared" si="14"/>
        <v>1-90 DAYS</v>
      </c>
      <c r="J273" s="37" t="str">
        <f t="shared" si="15"/>
        <v>0-180 DAYS</v>
      </c>
    </row>
    <row r="274" spans="1:10" x14ac:dyDescent="0.35">
      <c r="A274" t="s">
        <v>790</v>
      </c>
      <c r="B274" t="s">
        <v>477</v>
      </c>
      <c r="C274" s="1" t="s">
        <v>56</v>
      </c>
      <c r="D274" s="18" t="s">
        <v>57</v>
      </c>
      <c r="E274" s="18" t="s">
        <v>207</v>
      </c>
      <c r="F274" s="19">
        <v>44916</v>
      </c>
      <c r="G274" s="20">
        <v>193422.57</v>
      </c>
      <c r="H274" s="37">
        <f t="shared" si="13"/>
        <v>70</v>
      </c>
      <c r="I274" s="57" t="str">
        <f t="shared" si="14"/>
        <v>1-90 DAYS</v>
      </c>
      <c r="J274" s="37" t="str">
        <f t="shared" si="15"/>
        <v>0-180 DAYS</v>
      </c>
    </row>
    <row r="275" spans="1:10" x14ac:dyDescent="0.35">
      <c r="A275" t="s">
        <v>790</v>
      </c>
      <c r="B275" t="s">
        <v>477</v>
      </c>
      <c r="C275" s="1" t="s">
        <v>56</v>
      </c>
      <c r="D275" s="18" t="s">
        <v>57</v>
      </c>
      <c r="E275" s="18" t="s">
        <v>208</v>
      </c>
      <c r="F275" s="19">
        <v>44916</v>
      </c>
      <c r="G275" s="20">
        <v>10469.4</v>
      </c>
      <c r="H275" s="37">
        <f t="shared" si="13"/>
        <v>70</v>
      </c>
      <c r="I275" s="57" t="str">
        <f t="shared" si="14"/>
        <v>1-90 DAYS</v>
      </c>
      <c r="J275" s="37" t="str">
        <f t="shared" si="15"/>
        <v>0-180 DAYS</v>
      </c>
    </row>
    <row r="276" spans="1:10" x14ac:dyDescent="0.35">
      <c r="A276" t="s">
        <v>790</v>
      </c>
      <c r="B276" t="s">
        <v>477</v>
      </c>
      <c r="C276" s="1" t="s">
        <v>56</v>
      </c>
      <c r="D276" s="18" t="s">
        <v>57</v>
      </c>
      <c r="E276" s="18" t="s">
        <v>209</v>
      </c>
      <c r="F276" s="19">
        <v>44916</v>
      </c>
      <c r="G276" s="20">
        <v>1399329.45</v>
      </c>
      <c r="H276" s="37">
        <f t="shared" si="13"/>
        <v>70</v>
      </c>
      <c r="I276" s="57" t="str">
        <f t="shared" si="14"/>
        <v>1-90 DAYS</v>
      </c>
      <c r="J276" s="37" t="str">
        <f t="shared" si="15"/>
        <v>0-180 DAYS</v>
      </c>
    </row>
    <row r="277" spans="1:10" x14ac:dyDescent="0.35">
      <c r="A277" t="s">
        <v>790</v>
      </c>
      <c r="B277" t="s">
        <v>477</v>
      </c>
      <c r="C277" s="1" t="s">
        <v>56</v>
      </c>
      <c r="D277" s="18" t="s">
        <v>57</v>
      </c>
      <c r="E277" s="18" t="s">
        <v>210</v>
      </c>
      <c r="F277" s="19">
        <v>44917</v>
      </c>
      <c r="G277" s="20">
        <v>681322.47</v>
      </c>
      <c r="H277" s="37">
        <f t="shared" si="13"/>
        <v>69</v>
      </c>
      <c r="I277" s="57" t="str">
        <f t="shared" si="14"/>
        <v>1-90 DAYS</v>
      </c>
      <c r="J277" s="37" t="str">
        <f t="shared" si="15"/>
        <v>0-180 DAYS</v>
      </c>
    </row>
    <row r="278" spans="1:10" x14ac:dyDescent="0.35">
      <c r="A278" t="s">
        <v>790</v>
      </c>
      <c r="B278" t="s">
        <v>477</v>
      </c>
      <c r="C278" s="1" t="s">
        <v>56</v>
      </c>
      <c r="D278" s="18" t="s">
        <v>57</v>
      </c>
      <c r="E278" s="18" t="s">
        <v>211</v>
      </c>
      <c r="F278" s="19">
        <v>44917</v>
      </c>
      <c r="G278" s="20">
        <v>8319.08</v>
      </c>
      <c r="H278" s="37">
        <f t="shared" si="13"/>
        <v>69</v>
      </c>
      <c r="I278" s="57" t="str">
        <f t="shared" si="14"/>
        <v>1-90 DAYS</v>
      </c>
      <c r="J278" s="37" t="str">
        <f t="shared" si="15"/>
        <v>0-180 DAYS</v>
      </c>
    </row>
    <row r="279" spans="1:10" x14ac:dyDescent="0.35">
      <c r="A279" t="s">
        <v>790</v>
      </c>
      <c r="B279" t="s">
        <v>477</v>
      </c>
      <c r="C279" s="1" t="s">
        <v>56</v>
      </c>
      <c r="D279" s="18" t="s">
        <v>57</v>
      </c>
      <c r="E279" s="18" t="s">
        <v>212</v>
      </c>
      <c r="F279" s="19">
        <v>44917</v>
      </c>
      <c r="G279" s="20">
        <v>156831.34</v>
      </c>
      <c r="H279" s="37">
        <f t="shared" si="13"/>
        <v>69</v>
      </c>
      <c r="I279" s="57" t="str">
        <f t="shared" si="14"/>
        <v>1-90 DAYS</v>
      </c>
      <c r="J279" s="37" t="str">
        <f t="shared" si="15"/>
        <v>0-180 DAYS</v>
      </c>
    </row>
    <row r="280" spans="1:10" x14ac:dyDescent="0.35">
      <c r="A280" t="s">
        <v>790</v>
      </c>
      <c r="B280" t="s">
        <v>477</v>
      </c>
      <c r="C280" s="1" t="s">
        <v>56</v>
      </c>
      <c r="D280" s="18" t="s">
        <v>57</v>
      </c>
      <c r="E280" s="18" t="s">
        <v>213</v>
      </c>
      <c r="F280" s="19">
        <v>44917</v>
      </c>
      <c r="G280" s="20">
        <v>3338.76</v>
      </c>
      <c r="H280" s="37">
        <f t="shared" si="13"/>
        <v>69</v>
      </c>
      <c r="I280" s="57" t="str">
        <f t="shared" si="14"/>
        <v>1-90 DAYS</v>
      </c>
      <c r="J280" s="37" t="str">
        <f t="shared" si="15"/>
        <v>0-180 DAYS</v>
      </c>
    </row>
    <row r="281" spans="1:10" x14ac:dyDescent="0.35">
      <c r="A281" t="s">
        <v>790</v>
      </c>
      <c r="B281" t="s">
        <v>477</v>
      </c>
      <c r="C281" s="1" t="s">
        <v>56</v>
      </c>
      <c r="D281" s="18" t="s">
        <v>57</v>
      </c>
      <c r="E281" s="18" t="s">
        <v>214</v>
      </c>
      <c r="F281" s="19">
        <v>44918</v>
      </c>
      <c r="G281" s="20">
        <v>331063</v>
      </c>
      <c r="H281" s="37">
        <f t="shared" si="13"/>
        <v>68</v>
      </c>
      <c r="I281" s="57" t="str">
        <f t="shared" si="14"/>
        <v>1-90 DAYS</v>
      </c>
      <c r="J281" s="37" t="str">
        <f t="shared" si="15"/>
        <v>0-180 DAYS</v>
      </c>
    </row>
    <row r="282" spans="1:10" x14ac:dyDescent="0.35">
      <c r="A282" t="s">
        <v>790</v>
      </c>
      <c r="B282" t="s">
        <v>477</v>
      </c>
      <c r="C282" s="1" t="s">
        <v>56</v>
      </c>
      <c r="D282" s="18" t="s">
        <v>57</v>
      </c>
      <c r="E282" s="18" t="s">
        <v>215</v>
      </c>
      <c r="F282" s="19">
        <v>44918</v>
      </c>
      <c r="G282" s="20">
        <v>1094103.31</v>
      </c>
      <c r="H282" s="37">
        <f t="shared" si="13"/>
        <v>68</v>
      </c>
      <c r="I282" s="57" t="str">
        <f t="shared" si="14"/>
        <v>1-90 DAYS</v>
      </c>
      <c r="J282" s="37" t="str">
        <f t="shared" si="15"/>
        <v>0-180 DAYS</v>
      </c>
    </row>
    <row r="283" spans="1:10" x14ac:dyDescent="0.35">
      <c r="A283" t="s">
        <v>790</v>
      </c>
      <c r="B283" t="s">
        <v>477</v>
      </c>
      <c r="C283" s="1" t="s">
        <v>56</v>
      </c>
      <c r="D283" s="18" t="s">
        <v>57</v>
      </c>
      <c r="E283" s="18" t="s">
        <v>216</v>
      </c>
      <c r="F283" s="19">
        <v>44918</v>
      </c>
      <c r="G283" s="20">
        <v>14317.92</v>
      </c>
      <c r="H283" s="37">
        <f t="shared" si="13"/>
        <v>68</v>
      </c>
      <c r="I283" s="57" t="str">
        <f t="shared" si="14"/>
        <v>1-90 DAYS</v>
      </c>
      <c r="J283" s="37" t="str">
        <f t="shared" si="15"/>
        <v>0-180 DAYS</v>
      </c>
    </row>
    <row r="284" spans="1:10" x14ac:dyDescent="0.35">
      <c r="A284" t="s">
        <v>790</v>
      </c>
      <c r="B284" t="s">
        <v>477</v>
      </c>
      <c r="C284" s="1" t="s">
        <v>56</v>
      </c>
      <c r="D284" s="18" t="s">
        <v>57</v>
      </c>
      <c r="E284" s="18" t="s">
        <v>217</v>
      </c>
      <c r="F284" s="19">
        <v>44919</v>
      </c>
      <c r="G284" s="20">
        <v>67203</v>
      </c>
      <c r="H284" s="37">
        <f t="shared" si="13"/>
        <v>67</v>
      </c>
      <c r="I284" s="57" t="str">
        <f t="shared" si="14"/>
        <v>1-90 DAYS</v>
      </c>
      <c r="J284" s="37" t="str">
        <f t="shared" si="15"/>
        <v>0-180 DAYS</v>
      </c>
    </row>
    <row r="285" spans="1:10" x14ac:dyDescent="0.35">
      <c r="A285" t="s">
        <v>790</v>
      </c>
      <c r="B285" t="s">
        <v>477</v>
      </c>
      <c r="C285" s="1" t="s">
        <v>56</v>
      </c>
      <c r="D285" s="18" t="s">
        <v>57</v>
      </c>
      <c r="E285" s="18" t="s">
        <v>218</v>
      </c>
      <c r="F285" s="19">
        <v>44919</v>
      </c>
      <c r="G285" s="20">
        <v>541683.35</v>
      </c>
      <c r="H285" s="37">
        <f t="shared" si="13"/>
        <v>67</v>
      </c>
      <c r="I285" s="57" t="str">
        <f t="shared" si="14"/>
        <v>1-90 DAYS</v>
      </c>
      <c r="J285" s="37" t="str">
        <f t="shared" si="15"/>
        <v>0-180 DAYS</v>
      </c>
    </row>
    <row r="286" spans="1:10" x14ac:dyDescent="0.35">
      <c r="A286" t="s">
        <v>790</v>
      </c>
      <c r="B286" t="s">
        <v>477</v>
      </c>
      <c r="C286" s="1" t="s">
        <v>56</v>
      </c>
      <c r="D286" s="18" t="s">
        <v>57</v>
      </c>
      <c r="E286" s="18" t="s">
        <v>219</v>
      </c>
      <c r="F286" s="19">
        <v>44919</v>
      </c>
      <c r="G286" s="20">
        <v>7017.36</v>
      </c>
      <c r="H286" s="37">
        <f t="shared" si="13"/>
        <v>67</v>
      </c>
      <c r="I286" s="57" t="str">
        <f t="shared" si="14"/>
        <v>1-90 DAYS</v>
      </c>
      <c r="J286" s="37" t="str">
        <f t="shared" si="15"/>
        <v>0-180 DAYS</v>
      </c>
    </row>
    <row r="287" spans="1:10" x14ac:dyDescent="0.35">
      <c r="A287" t="s">
        <v>790</v>
      </c>
      <c r="B287" t="s">
        <v>477</v>
      </c>
      <c r="C287" s="1" t="s">
        <v>56</v>
      </c>
      <c r="D287" s="18" t="s">
        <v>57</v>
      </c>
      <c r="E287" s="18" t="s">
        <v>220</v>
      </c>
      <c r="F287" s="19">
        <v>44919</v>
      </c>
      <c r="G287" s="20">
        <v>40700</v>
      </c>
      <c r="H287" s="37">
        <f t="shared" si="13"/>
        <v>67</v>
      </c>
      <c r="I287" s="57" t="str">
        <f t="shared" si="14"/>
        <v>1-90 DAYS</v>
      </c>
      <c r="J287" s="37" t="str">
        <f t="shared" si="15"/>
        <v>0-180 DAYS</v>
      </c>
    </row>
    <row r="288" spans="1:10" x14ac:dyDescent="0.35">
      <c r="A288" t="s">
        <v>790</v>
      </c>
      <c r="B288" t="s">
        <v>477</v>
      </c>
      <c r="C288" s="1" t="s">
        <v>56</v>
      </c>
      <c r="D288" s="18" t="s">
        <v>57</v>
      </c>
      <c r="E288" s="18" t="s">
        <v>224</v>
      </c>
      <c r="F288" s="19">
        <v>44920</v>
      </c>
      <c r="G288" s="20">
        <v>601628.12</v>
      </c>
      <c r="H288" s="37">
        <f t="shared" si="13"/>
        <v>66</v>
      </c>
      <c r="I288" s="57" t="str">
        <f t="shared" si="14"/>
        <v>1-90 DAYS</v>
      </c>
      <c r="J288" s="37" t="str">
        <f t="shared" si="15"/>
        <v>0-180 DAYS</v>
      </c>
    </row>
    <row r="289" spans="1:10" x14ac:dyDescent="0.35">
      <c r="A289" t="s">
        <v>790</v>
      </c>
      <c r="B289" t="s">
        <v>477</v>
      </c>
      <c r="C289" s="1" t="s">
        <v>56</v>
      </c>
      <c r="D289" s="18" t="s">
        <v>57</v>
      </c>
      <c r="E289" s="18" t="s">
        <v>225</v>
      </c>
      <c r="F289" s="19">
        <v>44920</v>
      </c>
      <c r="G289" s="20">
        <v>7300.56</v>
      </c>
      <c r="H289" s="37">
        <f t="shared" si="13"/>
        <v>66</v>
      </c>
      <c r="I289" s="57" t="str">
        <f t="shared" si="14"/>
        <v>1-90 DAYS</v>
      </c>
      <c r="J289" s="37" t="str">
        <f t="shared" si="15"/>
        <v>0-180 DAYS</v>
      </c>
    </row>
    <row r="290" spans="1:10" x14ac:dyDescent="0.35">
      <c r="A290" t="s">
        <v>790</v>
      </c>
      <c r="B290" t="s">
        <v>477</v>
      </c>
      <c r="C290" s="1" t="s">
        <v>56</v>
      </c>
      <c r="D290" s="18" t="s">
        <v>57</v>
      </c>
      <c r="E290" s="18" t="s">
        <v>226</v>
      </c>
      <c r="F290" s="19">
        <v>44920</v>
      </c>
      <c r="G290" s="20">
        <v>42900</v>
      </c>
      <c r="H290" s="37">
        <f t="shared" si="13"/>
        <v>66</v>
      </c>
      <c r="I290" s="57" t="str">
        <f t="shared" si="14"/>
        <v>1-90 DAYS</v>
      </c>
      <c r="J290" s="37" t="str">
        <f t="shared" si="15"/>
        <v>0-180 DAYS</v>
      </c>
    </row>
    <row r="291" spans="1:10" x14ac:dyDescent="0.35">
      <c r="A291" t="s">
        <v>790</v>
      </c>
      <c r="B291" t="s">
        <v>477</v>
      </c>
      <c r="C291" s="1" t="s">
        <v>56</v>
      </c>
      <c r="D291" s="18" t="s">
        <v>57</v>
      </c>
      <c r="E291" s="18" t="s">
        <v>227</v>
      </c>
      <c r="F291" s="19">
        <v>44922</v>
      </c>
      <c r="G291" s="20">
        <v>353235.77</v>
      </c>
      <c r="H291" s="37">
        <f t="shared" si="13"/>
        <v>64</v>
      </c>
      <c r="I291" s="57" t="str">
        <f t="shared" si="14"/>
        <v>1-90 DAYS</v>
      </c>
      <c r="J291" s="37" t="str">
        <f t="shared" si="15"/>
        <v>0-180 DAYS</v>
      </c>
    </row>
    <row r="292" spans="1:10" x14ac:dyDescent="0.35">
      <c r="A292" t="s">
        <v>790</v>
      </c>
      <c r="B292" t="s">
        <v>477</v>
      </c>
      <c r="C292" s="1" t="s">
        <v>56</v>
      </c>
      <c r="D292" s="18" t="s">
        <v>57</v>
      </c>
      <c r="E292" s="18" t="s">
        <v>228</v>
      </c>
      <c r="F292" s="19">
        <v>44922</v>
      </c>
      <c r="G292" s="20">
        <v>3905.16</v>
      </c>
      <c r="H292" s="37">
        <f t="shared" si="13"/>
        <v>64</v>
      </c>
      <c r="I292" s="57" t="str">
        <f t="shared" si="14"/>
        <v>1-90 DAYS</v>
      </c>
      <c r="J292" s="37" t="str">
        <f t="shared" si="15"/>
        <v>0-180 DAYS</v>
      </c>
    </row>
    <row r="293" spans="1:10" x14ac:dyDescent="0.35">
      <c r="A293" t="s">
        <v>790</v>
      </c>
      <c r="B293" t="s">
        <v>477</v>
      </c>
      <c r="C293" s="1" t="s">
        <v>56</v>
      </c>
      <c r="D293" s="18" t="s">
        <v>57</v>
      </c>
      <c r="E293" s="18" t="s">
        <v>229</v>
      </c>
      <c r="F293" s="19">
        <v>44922</v>
      </c>
      <c r="G293" s="20">
        <v>9907.5400000000009</v>
      </c>
      <c r="H293" s="37">
        <f t="shared" si="13"/>
        <v>64</v>
      </c>
      <c r="I293" s="57" t="str">
        <f t="shared" si="14"/>
        <v>1-90 DAYS</v>
      </c>
      <c r="J293" s="37" t="str">
        <f t="shared" si="15"/>
        <v>0-180 DAYS</v>
      </c>
    </row>
    <row r="294" spans="1:10" x14ac:dyDescent="0.35">
      <c r="A294" t="s">
        <v>790</v>
      </c>
      <c r="B294" t="s">
        <v>477</v>
      </c>
      <c r="C294" s="1" t="s">
        <v>56</v>
      </c>
      <c r="D294" s="18" t="s">
        <v>57</v>
      </c>
      <c r="E294" s="18" t="s">
        <v>230</v>
      </c>
      <c r="F294" s="19">
        <v>44922</v>
      </c>
      <c r="G294" s="20">
        <v>666838.76</v>
      </c>
      <c r="H294" s="37">
        <f t="shared" si="13"/>
        <v>64</v>
      </c>
      <c r="I294" s="57" t="str">
        <f t="shared" si="14"/>
        <v>1-90 DAYS</v>
      </c>
      <c r="J294" s="37" t="str">
        <f t="shared" si="15"/>
        <v>0-180 DAYS</v>
      </c>
    </row>
    <row r="295" spans="1:10" x14ac:dyDescent="0.35">
      <c r="A295" t="s">
        <v>790</v>
      </c>
      <c r="B295" t="s">
        <v>477</v>
      </c>
      <c r="C295" s="1" t="s">
        <v>56</v>
      </c>
      <c r="D295" s="18" t="s">
        <v>57</v>
      </c>
      <c r="E295" s="18" t="s">
        <v>231</v>
      </c>
      <c r="F295" s="19">
        <v>44923</v>
      </c>
      <c r="G295" s="20">
        <v>3848.52</v>
      </c>
      <c r="H295" s="37">
        <f t="shared" si="13"/>
        <v>63</v>
      </c>
      <c r="I295" s="57" t="str">
        <f t="shared" si="14"/>
        <v>1-90 DAYS</v>
      </c>
      <c r="J295" s="37" t="str">
        <f t="shared" si="15"/>
        <v>0-180 DAYS</v>
      </c>
    </row>
    <row r="296" spans="1:10" x14ac:dyDescent="0.35">
      <c r="A296" t="s">
        <v>790</v>
      </c>
      <c r="B296" t="s">
        <v>477</v>
      </c>
      <c r="C296" s="1" t="s">
        <v>56</v>
      </c>
      <c r="D296" s="18" t="s">
        <v>57</v>
      </c>
      <c r="E296" s="18" t="s">
        <v>232</v>
      </c>
      <c r="F296" s="19">
        <v>44923</v>
      </c>
      <c r="G296" s="20">
        <v>273642.28000000003</v>
      </c>
      <c r="H296" s="37">
        <f t="shared" si="13"/>
        <v>63</v>
      </c>
      <c r="I296" s="57" t="str">
        <f t="shared" si="14"/>
        <v>1-90 DAYS</v>
      </c>
      <c r="J296" s="37" t="str">
        <f t="shared" si="15"/>
        <v>0-180 DAYS</v>
      </c>
    </row>
    <row r="297" spans="1:10" x14ac:dyDescent="0.35">
      <c r="A297" t="s">
        <v>790</v>
      </c>
      <c r="B297" t="s">
        <v>477</v>
      </c>
      <c r="C297" s="1" t="s">
        <v>56</v>
      </c>
      <c r="D297" s="18" t="s">
        <v>57</v>
      </c>
      <c r="E297" s="18" t="s">
        <v>233</v>
      </c>
      <c r="F297" s="19">
        <v>44923</v>
      </c>
      <c r="G297" s="20">
        <v>46475</v>
      </c>
      <c r="H297" s="37">
        <f t="shared" si="13"/>
        <v>63</v>
      </c>
      <c r="I297" s="57" t="str">
        <f t="shared" si="14"/>
        <v>1-90 DAYS</v>
      </c>
      <c r="J297" s="37" t="str">
        <f t="shared" si="15"/>
        <v>0-180 DAYS</v>
      </c>
    </row>
    <row r="298" spans="1:10" x14ac:dyDescent="0.35">
      <c r="A298" t="s">
        <v>790</v>
      </c>
      <c r="B298" t="s">
        <v>477</v>
      </c>
      <c r="C298" s="1" t="s">
        <v>56</v>
      </c>
      <c r="D298" s="18" t="s">
        <v>57</v>
      </c>
      <c r="E298" s="18" t="s">
        <v>237</v>
      </c>
      <c r="F298" s="19">
        <v>44924</v>
      </c>
      <c r="G298" s="20">
        <v>952961.01</v>
      </c>
      <c r="H298" s="37">
        <f t="shared" si="13"/>
        <v>62</v>
      </c>
      <c r="I298" s="57" t="str">
        <f t="shared" si="14"/>
        <v>1-90 DAYS</v>
      </c>
      <c r="J298" s="37" t="str">
        <f t="shared" si="15"/>
        <v>0-180 DAYS</v>
      </c>
    </row>
    <row r="299" spans="1:10" x14ac:dyDescent="0.35">
      <c r="A299" t="s">
        <v>790</v>
      </c>
      <c r="B299" t="s">
        <v>477</v>
      </c>
      <c r="C299" s="1" t="s">
        <v>56</v>
      </c>
      <c r="D299" s="18" t="s">
        <v>57</v>
      </c>
      <c r="E299" s="18" t="s">
        <v>238</v>
      </c>
      <c r="F299" s="19">
        <v>44924</v>
      </c>
      <c r="G299" s="20">
        <v>10412.76</v>
      </c>
      <c r="H299" s="37">
        <f t="shared" si="13"/>
        <v>62</v>
      </c>
      <c r="I299" s="57" t="str">
        <f t="shared" si="14"/>
        <v>1-90 DAYS</v>
      </c>
      <c r="J299" s="37" t="str">
        <f t="shared" si="15"/>
        <v>0-180 DAYS</v>
      </c>
    </row>
    <row r="300" spans="1:10" x14ac:dyDescent="0.35">
      <c r="A300" t="s">
        <v>790</v>
      </c>
      <c r="B300" t="s">
        <v>477</v>
      </c>
      <c r="C300" s="1" t="s">
        <v>56</v>
      </c>
      <c r="D300" s="18" t="s">
        <v>57</v>
      </c>
      <c r="E300" s="18" t="s">
        <v>239</v>
      </c>
      <c r="F300" s="19">
        <v>44924</v>
      </c>
      <c r="G300" s="20">
        <v>21799.01</v>
      </c>
      <c r="H300" s="37">
        <f t="shared" si="13"/>
        <v>62</v>
      </c>
      <c r="I300" s="57" t="str">
        <f t="shared" si="14"/>
        <v>1-90 DAYS</v>
      </c>
      <c r="J300" s="37" t="str">
        <f t="shared" si="15"/>
        <v>0-180 DAYS</v>
      </c>
    </row>
    <row r="301" spans="1:10" x14ac:dyDescent="0.35">
      <c r="A301" t="s">
        <v>790</v>
      </c>
      <c r="B301" t="s">
        <v>477</v>
      </c>
      <c r="C301" s="1" t="s">
        <v>56</v>
      </c>
      <c r="D301" s="18" t="s">
        <v>57</v>
      </c>
      <c r="E301" s="18" t="s">
        <v>240</v>
      </c>
      <c r="F301" s="19">
        <v>44924</v>
      </c>
      <c r="G301" s="20">
        <v>80787</v>
      </c>
      <c r="H301" s="37">
        <f t="shared" si="13"/>
        <v>62</v>
      </c>
      <c r="I301" s="57" t="str">
        <f t="shared" si="14"/>
        <v>1-90 DAYS</v>
      </c>
      <c r="J301" s="37" t="str">
        <f t="shared" si="15"/>
        <v>0-180 DAYS</v>
      </c>
    </row>
    <row r="302" spans="1:10" x14ac:dyDescent="0.35">
      <c r="A302" t="s">
        <v>790</v>
      </c>
      <c r="B302" t="s">
        <v>477</v>
      </c>
      <c r="C302" s="1" t="s">
        <v>56</v>
      </c>
      <c r="D302" s="18" t="s">
        <v>57</v>
      </c>
      <c r="E302" s="18" t="s">
        <v>241</v>
      </c>
      <c r="F302" s="19">
        <v>44924</v>
      </c>
      <c r="G302" s="20">
        <v>5620725</v>
      </c>
      <c r="H302" s="37">
        <f t="shared" si="13"/>
        <v>62</v>
      </c>
      <c r="I302" s="57" t="str">
        <f t="shared" si="14"/>
        <v>1-90 DAYS</v>
      </c>
      <c r="J302" s="37" t="str">
        <f t="shared" si="15"/>
        <v>0-180 DAYS</v>
      </c>
    </row>
    <row r="303" spans="1:10" x14ac:dyDescent="0.35">
      <c r="A303" t="s">
        <v>790</v>
      </c>
      <c r="B303" t="s">
        <v>477</v>
      </c>
      <c r="C303" s="1" t="s">
        <v>56</v>
      </c>
      <c r="D303" s="18" t="s">
        <v>57</v>
      </c>
      <c r="E303" s="18" t="s">
        <v>242</v>
      </c>
      <c r="F303" s="19">
        <v>44925</v>
      </c>
      <c r="G303" s="20">
        <v>6168.76</v>
      </c>
      <c r="H303" s="37">
        <f t="shared" si="13"/>
        <v>61</v>
      </c>
      <c r="I303" s="57" t="str">
        <f t="shared" si="14"/>
        <v>1-90 DAYS</v>
      </c>
      <c r="J303" s="37" t="str">
        <f t="shared" si="15"/>
        <v>0-180 DAYS</v>
      </c>
    </row>
    <row r="304" spans="1:10" x14ac:dyDescent="0.35">
      <c r="A304" t="s">
        <v>790</v>
      </c>
      <c r="B304" t="s">
        <v>477</v>
      </c>
      <c r="C304" s="1" t="s">
        <v>56</v>
      </c>
      <c r="D304" s="18" t="s">
        <v>57</v>
      </c>
      <c r="E304" s="18" t="s">
        <v>243</v>
      </c>
      <c r="F304" s="19">
        <v>44925</v>
      </c>
      <c r="G304" s="20">
        <v>534771.43000000005</v>
      </c>
      <c r="H304" s="37">
        <f t="shared" si="13"/>
        <v>61</v>
      </c>
      <c r="I304" s="57" t="str">
        <f t="shared" si="14"/>
        <v>1-90 DAYS</v>
      </c>
      <c r="J304" s="37" t="str">
        <f t="shared" si="15"/>
        <v>0-180 DAYS</v>
      </c>
    </row>
    <row r="305" spans="1:10" x14ac:dyDescent="0.35">
      <c r="A305" t="s">
        <v>790</v>
      </c>
      <c r="B305" t="s">
        <v>477</v>
      </c>
      <c r="C305" s="1" t="s">
        <v>56</v>
      </c>
      <c r="D305" s="18" t="s">
        <v>57</v>
      </c>
      <c r="E305" s="18" t="s">
        <v>244</v>
      </c>
      <c r="F305" s="19">
        <v>44925</v>
      </c>
      <c r="G305" s="20">
        <v>452382</v>
      </c>
      <c r="H305" s="37">
        <f t="shared" si="13"/>
        <v>61</v>
      </c>
      <c r="I305" s="57" t="str">
        <f t="shared" si="14"/>
        <v>1-90 DAYS</v>
      </c>
      <c r="J305" s="37" t="str">
        <f t="shared" si="15"/>
        <v>0-180 DAYS</v>
      </c>
    </row>
    <row r="306" spans="1:10" x14ac:dyDescent="0.35">
      <c r="A306" t="s">
        <v>790</v>
      </c>
      <c r="B306" t="s">
        <v>477</v>
      </c>
      <c r="C306" s="1" t="s">
        <v>56</v>
      </c>
      <c r="D306" s="18" t="s">
        <v>57</v>
      </c>
      <c r="E306" s="18" t="s">
        <v>245</v>
      </c>
      <c r="F306" s="19">
        <v>44925</v>
      </c>
      <c r="G306" s="20">
        <v>75810</v>
      </c>
      <c r="H306" s="37">
        <f t="shared" si="13"/>
        <v>61</v>
      </c>
      <c r="I306" s="57" t="str">
        <f t="shared" si="14"/>
        <v>1-90 DAYS</v>
      </c>
      <c r="J306" s="37" t="str">
        <f t="shared" si="15"/>
        <v>0-180 DAYS</v>
      </c>
    </row>
    <row r="307" spans="1:10" x14ac:dyDescent="0.35">
      <c r="A307" t="s">
        <v>790</v>
      </c>
      <c r="B307" t="s">
        <v>477</v>
      </c>
      <c r="C307" s="1" t="s">
        <v>56</v>
      </c>
      <c r="D307" s="18" t="s">
        <v>57</v>
      </c>
      <c r="E307" s="18" t="s">
        <v>246</v>
      </c>
      <c r="F307" s="19">
        <v>44926</v>
      </c>
      <c r="G307" s="20">
        <v>164390.28</v>
      </c>
      <c r="H307" s="37">
        <f t="shared" si="13"/>
        <v>60</v>
      </c>
      <c r="I307" s="57" t="str">
        <f t="shared" si="14"/>
        <v>1-90 DAYS</v>
      </c>
      <c r="J307" s="37" t="str">
        <f t="shared" si="15"/>
        <v>0-180 DAYS</v>
      </c>
    </row>
    <row r="308" spans="1:10" x14ac:dyDescent="0.35">
      <c r="A308" t="s">
        <v>790</v>
      </c>
      <c r="B308" t="s">
        <v>477</v>
      </c>
      <c r="C308" s="1" t="s">
        <v>56</v>
      </c>
      <c r="D308" s="18" t="s">
        <v>57</v>
      </c>
      <c r="E308" s="18" t="s">
        <v>247</v>
      </c>
      <c r="F308" s="19">
        <v>44926</v>
      </c>
      <c r="G308" s="20">
        <v>323335.24</v>
      </c>
      <c r="H308" s="37">
        <f t="shared" si="13"/>
        <v>60</v>
      </c>
      <c r="I308" s="57" t="str">
        <f t="shared" si="14"/>
        <v>1-90 DAYS</v>
      </c>
      <c r="J308" s="37" t="str">
        <f t="shared" si="15"/>
        <v>0-180 DAYS</v>
      </c>
    </row>
    <row r="309" spans="1:10" x14ac:dyDescent="0.35">
      <c r="A309" t="s">
        <v>790</v>
      </c>
      <c r="B309" t="s">
        <v>477</v>
      </c>
      <c r="C309" s="1" t="s">
        <v>56</v>
      </c>
      <c r="D309" s="18" t="s">
        <v>57</v>
      </c>
      <c r="E309" s="18" t="s">
        <v>248</v>
      </c>
      <c r="F309" s="19">
        <v>44926</v>
      </c>
      <c r="G309" s="20">
        <v>4413.92</v>
      </c>
      <c r="H309" s="37">
        <f t="shared" ref="H309:H372" si="16">$H$3-F309+1</f>
        <v>60</v>
      </c>
      <c r="I309" s="57" t="str">
        <f t="shared" si="14"/>
        <v>1-90 DAYS</v>
      </c>
      <c r="J309" s="37" t="str">
        <f t="shared" si="15"/>
        <v>0-180 DAYS</v>
      </c>
    </row>
    <row r="310" spans="1:10" x14ac:dyDescent="0.35">
      <c r="A310" t="s">
        <v>790</v>
      </c>
      <c r="B310" t="s">
        <v>477</v>
      </c>
      <c r="C310" s="1" t="s">
        <v>56</v>
      </c>
      <c r="D310" s="18" t="s">
        <v>57</v>
      </c>
      <c r="E310" s="18" t="s">
        <v>249</v>
      </c>
      <c r="F310" s="19">
        <v>44926</v>
      </c>
      <c r="G310" s="20">
        <v>96456.74</v>
      </c>
      <c r="H310" s="37">
        <f t="shared" si="16"/>
        <v>60</v>
      </c>
      <c r="I310" s="57" t="str">
        <f t="shared" si="14"/>
        <v>1-90 DAYS</v>
      </c>
      <c r="J310" s="37" t="str">
        <f t="shared" si="15"/>
        <v>0-180 DAYS</v>
      </c>
    </row>
    <row r="311" spans="1:10" x14ac:dyDescent="0.35">
      <c r="A311" t="s">
        <v>790</v>
      </c>
      <c r="B311" t="s">
        <v>477</v>
      </c>
      <c r="C311" s="1" t="s">
        <v>56</v>
      </c>
      <c r="D311" s="18" t="s">
        <v>57</v>
      </c>
      <c r="E311" s="18" t="s">
        <v>250</v>
      </c>
      <c r="F311" s="19">
        <v>44926</v>
      </c>
      <c r="G311" s="20">
        <v>37400</v>
      </c>
      <c r="H311" s="37">
        <f t="shared" si="16"/>
        <v>60</v>
      </c>
      <c r="I311" s="57" t="str">
        <f t="shared" si="14"/>
        <v>1-90 DAYS</v>
      </c>
      <c r="J311" s="37" t="str">
        <f t="shared" si="15"/>
        <v>0-180 DAYS</v>
      </c>
    </row>
    <row r="312" spans="1:10" x14ac:dyDescent="0.35">
      <c r="A312" t="s">
        <v>790</v>
      </c>
      <c r="B312" t="s">
        <v>477</v>
      </c>
      <c r="C312" s="1" t="s">
        <v>56</v>
      </c>
      <c r="D312" s="18" t="s">
        <v>57</v>
      </c>
      <c r="E312" s="18" t="s">
        <v>251</v>
      </c>
      <c r="F312" s="19">
        <v>44926</v>
      </c>
      <c r="G312" s="20">
        <v>4678</v>
      </c>
      <c r="H312" s="37">
        <f t="shared" si="16"/>
        <v>60</v>
      </c>
      <c r="I312" s="57" t="str">
        <f t="shared" si="14"/>
        <v>1-90 DAYS</v>
      </c>
      <c r="J312" s="37" t="str">
        <f t="shared" si="15"/>
        <v>0-180 DAYS</v>
      </c>
    </row>
    <row r="313" spans="1:10" x14ac:dyDescent="0.35">
      <c r="A313" t="s">
        <v>790</v>
      </c>
      <c r="B313" t="s">
        <v>477</v>
      </c>
      <c r="C313" s="1" t="s">
        <v>56</v>
      </c>
      <c r="D313" s="18" t="s">
        <v>57</v>
      </c>
      <c r="E313" s="18" t="s">
        <v>255</v>
      </c>
      <c r="F313" s="19">
        <v>44897</v>
      </c>
      <c r="G313" s="20">
        <v>620665.97</v>
      </c>
      <c r="H313" s="37">
        <f t="shared" si="16"/>
        <v>89</v>
      </c>
      <c r="I313" s="57" t="str">
        <f t="shared" si="14"/>
        <v>1-90 DAYS</v>
      </c>
      <c r="J313" s="37" t="str">
        <f t="shared" si="15"/>
        <v>0-180 DAYS</v>
      </c>
    </row>
    <row r="314" spans="1:10" x14ac:dyDescent="0.35">
      <c r="A314" t="s">
        <v>790</v>
      </c>
      <c r="B314" t="s">
        <v>477</v>
      </c>
      <c r="C314" s="1" t="s">
        <v>56</v>
      </c>
      <c r="D314" s="18" t="s">
        <v>57</v>
      </c>
      <c r="E314" s="18" t="s">
        <v>256</v>
      </c>
      <c r="F314" s="19">
        <v>44897</v>
      </c>
      <c r="G314" s="20">
        <v>5380.8</v>
      </c>
      <c r="H314" s="37">
        <f t="shared" si="16"/>
        <v>89</v>
      </c>
      <c r="I314" s="57" t="str">
        <f t="shared" si="14"/>
        <v>1-90 DAYS</v>
      </c>
      <c r="J314" s="37" t="str">
        <f t="shared" si="15"/>
        <v>0-180 DAYS</v>
      </c>
    </row>
    <row r="315" spans="1:10" x14ac:dyDescent="0.35">
      <c r="A315" t="s">
        <v>790</v>
      </c>
      <c r="B315" t="s">
        <v>477</v>
      </c>
      <c r="C315" s="1" t="s">
        <v>56</v>
      </c>
      <c r="D315" s="18" t="s">
        <v>57</v>
      </c>
      <c r="E315" s="18" t="s">
        <v>257</v>
      </c>
      <c r="F315" s="19">
        <v>44899</v>
      </c>
      <c r="G315" s="20">
        <v>895178.9</v>
      </c>
      <c r="H315" s="37">
        <f t="shared" si="16"/>
        <v>87</v>
      </c>
      <c r="I315" s="57" t="str">
        <f t="shared" si="14"/>
        <v>1-90 DAYS</v>
      </c>
      <c r="J315" s="37" t="str">
        <f t="shared" si="15"/>
        <v>0-180 DAYS</v>
      </c>
    </row>
    <row r="316" spans="1:10" x14ac:dyDescent="0.35">
      <c r="A316" t="s">
        <v>790</v>
      </c>
      <c r="B316" t="s">
        <v>477</v>
      </c>
      <c r="C316" s="1" t="s">
        <v>56</v>
      </c>
      <c r="D316" s="18" t="s">
        <v>57</v>
      </c>
      <c r="E316" s="18" t="s">
        <v>258</v>
      </c>
      <c r="F316" s="19">
        <v>44899</v>
      </c>
      <c r="G316" s="20">
        <v>3398.4</v>
      </c>
      <c r="H316" s="37">
        <f t="shared" si="16"/>
        <v>87</v>
      </c>
      <c r="I316" s="57" t="str">
        <f t="shared" si="14"/>
        <v>1-90 DAYS</v>
      </c>
      <c r="J316" s="37" t="str">
        <f t="shared" si="15"/>
        <v>0-180 DAYS</v>
      </c>
    </row>
    <row r="317" spans="1:10" x14ac:dyDescent="0.35">
      <c r="A317" t="s">
        <v>790</v>
      </c>
      <c r="B317" t="s">
        <v>477</v>
      </c>
      <c r="C317" s="18" t="s">
        <v>259</v>
      </c>
      <c r="D317" s="18" t="s">
        <v>260</v>
      </c>
      <c r="E317" s="18" t="s">
        <v>261</v>
      </c>
      <c r="F317" s="19">
        <v>44902</v>
      </c>
      <c r="G317" s="21">
        <v>8816.3999999999069</v>
      </c>
      <c r="H317" s="37">
        <f t="shared" si="16"/>
        <v>84</v>
      </c>
      <c r="I317" s="57" t="str">
        <f t="shared" si="14"/>
        <v>1-90 DAYS</v>
      </c>
      <c r="J317" s="37" t="str">
        <f t="shared" si="15"/>
        <v>0-180 DAYS</v>
      </c>
    </row>
    <row r="318" spans="1:10" x14ac:dyDescent="0.35">
      <c r="A318" t="s">
        <v>790</v>
      </c>
      <c r="B318" t="s">
        <v>477</v>
      </c>
      <c r="C318" s="1" t="s">
        <v>56</v>
      </c>
      <c r="D318" s="18" t="s">
        <v>57</v>
      </c>
      <c r="E318" s="18" t="s">
        <v>262</v>
      </c>
      <c r="F318" s="19">
        <v>44902</v>
      </c>
      <c r="G318" s="20">
        <v>79449.149999999994</v>
      </c>
      <c r="H318" s="37">
        <f t="shared" si="16"/>
        <v>84</v>
      </c>
      <c r="I318" s="57" t="str">
        <f t="shared" si="14"/>
        <v>1-90 DAYS</v>
      </c>
      <c r="J318" s="37" t="str">
        <f t="shared" si="15"/>
        <v>0-180 DAYS</v>
      </c>
    </row>
    <row r="319" spans="1:10" x14ac:dyDescent="0.35">
      <c r="A319" t="s">
        <v>790</v>
      </c>
      <c r="B319" t="s">
        <v>477</v>
      </c>
      <c r="C319" s="1" t="s">
        <v>56</v>
      </c>
      <c r="D319" s="18" t="s">
        <v>57</v>
      </c>
      <c r="E319" s="18" t="s">
        <v>266</v>
      </c>
      <c r="F319" s="19">
        <v>44904</v>
      </c>
      <c r="G319" s="20">
        <v>368462.08000000002</v>
      </c>
      <c r="H319" s="37">
        <f t="shared" si="16"/>
        <v>82</v>
      </c>
      <c r="I319" s="57" t="str">
        <f t="shared" si="14"/>
        <v>1-90 DAYS</v>
      </c>
      <c r="J319" s="37" t="str">
        <f t="shared" si="15"/>
        <v>0-180 DAYS</v>
      </c>
    </row>
    <row r="320" spans="1:10" x14ac:dyDescent="0.35">
      <c r="A320" t="s">
        <v>790</v>
      </c>
      <c r="B320" t="s">
        <v>477</v>
      </c>
      <c r="C320" s="1" t="s">
        <v>56</v>
      </c>
      <c r="D320" s="18" t="s">
        <v>57</v>
      </c>
      <c r="E320" s="18" t="s">
        <v>267</v>
      </c>
      <c r="F320" s="19">
        <v>44904</v>
      </c>
      <c r="G320" s="20">
        <v>6230.4</v>
      </c>
      <c r="H320" s="37">
        <f t="shared" si="16"/>
        <v>82</v>
      </c>
      <c r="I320" s="57" t="str">
        <f t="shared" si="14"/>
        <v>1-90 DAYS</v>
      </c>
      <c r="J320" s="37" t="str">
        <f t="shared" si="15"/>
        <v>0-180 DAYS</v>
      </c>
    </row>
    <row r="321" spans="1:10" x14ac:dyDescent="0.35">
      <c r="A321" t="s">
        <v>790</v>
      </c>
      <c r="B321" t="s">
        <v>477</v>
      </c>
      <c r="C321" s="1" t="s">
        <v>56</v>
      </c>
      <c r="D321" s="18" t="s">
        <v>57</v>
      </c>
      <c r="E321" s="18" t="s">
        <v>268</v>
      </c>
      <c r="F321" s="19">
        <v>44905</v>
      </c>
      <c r="G321" s="20">
        <v>1181507.3899999999</v>
      </c>
      <c r="H321" s="37">
        <f t="shared" si="16"/>
        <v>81</v>
      </c>
      <c r="I321" s="57" t="str">
        <f t="shared" si="14"/>
        <v>1-90 DAYS</v>
      </c>
      <c r="J321" s="37" t="str">
        <f t="shared" si="15"/>
        <v>0-180 DAYS</v>
      </c>
    </row>
    <row r="322" spans="1:10" x14ac:dyDescent="0.35">
      <c r="A322" t="s">
        <v>790</v>
      </c>
      <c r="B322" t="s">
        <v>477</v>
      </c>
      <c r="C322" s="1" t="s">
        <v>56</v>
      </c>
      <c r="D322" s="18" t="s">
        <v>57</v>
      </c>
      <c r="E322" s="18" t="s">
        <v>269</v>
      </c>
      <c r="F322" s="19">
        <v>44908</v>
      </c>
      <c r="G322" s="20">
        <v>593517.68999999994</v>
      </c>
      <c r="H322" s="37">
        <f t="shared" si="16"/>
        <v>78</v>
      </c>
      <c r="I322" s="57" t="str">
        <f t="shared" si="14"/>
        <v>1-90 DAYS</v>
      </c>
      <c r="J322" s="37" t="str">
        <f t="shared" si="15"/>
        <v>0-180 DAYS</v>
      </c>
    </row>
    <row r="323" spans="1:10" x14ac:dyDescent="0.35">
      <c r="A323" t="s">
        <v>790</v>
      </c>
      <c r="B323" t="s">
        <v>477</v>
      </c>
      <c r="C323" s="1" t="s">
        <v>56</v>
      </c>
      <c r="D323" s="18" t="s">
        <v>57</v>
      </c>
      <c r="E323" s="18" t="s">
        <v>270</v>
      </c>
      <c r="F323" s="19">
        <v>44908</v>
      </c>
      <c r="G323" s="20">
        <v>12064.32</v>
      </c>
      <c r="H323" s="37">
        <f t="shared" si="16"/>
        <v>78</v>
      </c>
      <c r="I323" s="57" t="str">
        <f t="shared" si="14"/>
        <v>1-90 DAYS</v>
      </c>
      <c r="J323" s="37" t="str">
        <f t="shared" si="15"/>
        <v>0-180 DAYS</v>
      </c>
    </row>
    <row r="324" spans="1:10" x14ac:dyDescent="0.35">
      <c r="A324" t="s">
        <v>790</v>
      </c>
      <c r="B324" t="s">
        <v>477</v>
      </c>
      <c r="C324" s="1" t="s">
        <v>56</v>
      </c>
      <c r="D324" s="18" t="s">
        <v>57</v>
      </c>
      <c r="E324" s="18" t="s">
        <v>271</v>
      </c>
      <c r="F324" s="19">
        <v>44912</v>
      </c>
      <c r="G324" s="20">
        <v>1408168.58</v>
      </c>
      <c r="H324" s="37">
        <f t="shared" si="16"/>
        <v>74</v>
      </c>
      <c r="I324" s="57" t="str">
        <f t="shared" si="14"/>
        <v>1-90 DAYS</v>
      </c>
      <c r="J324" s="37" t="str">
        <f t="shared" si="15"/>
        <v>0-180 DAYS</v>
      </c>
    </row>
    <row r="325" spans="1:10" x14ac:dyDescent="0.35">
      <c r="A325" t="s">
        <v>790</v>
      </c>
      <c r="B325" t="s">
        <v>477</v>
      </c>
      <c r="C325" s="1" t="s">
        <v>56</v>
      </c>
      <c r="D325" s="18" t="s">
        <v>57</v>
      </c>
      <c r="E325" s="18" t="s">
        <v>272</v>
      </c>
      <c r="F325" s="19">
        <v>44912</v>
      </c>
      <c r="G325" s="20">
        <v>718991.91</v>
      </c>
      <c r="H325" s="37">
        <f t="shared" si="16"/>
        <v>74</v>
      </c>
      <c r="I325" s="57" t="str">
        <f t="shared" ref="I325:I388" si="17">IF(H325&lt;91,"1-90 DAYS",IF(H325&lt;121,"91-120DAYS",IF(H325&lt;181,"121-180 DAYS","Morethan180Days")))</f>
        <v>1-90 DAYS</v>
      </c>
      <c r="J325" s="37" t="str">
        <f t="shared" si="15"/>
        <v>0-180 DAYS</v>
      </c>
    </row>
    <row r="326" spans="1:10" x14ac:dyDescent="0.35">
      <c r="A326" t="s">
        <v>790</v>
      </c>
      <c r="B326" t="s">
        <v>477</v>
      </c>
      <c r="C326" s="1" t="s">
        <v>56</v>
      </c>
      <c r="D326" s="18" t="s">
        <v>57</v>
      </c>
      <c r="E326" s="18" t="s">
        <v>273</v>
      </c>
      <c r="F326" s="19">
        <v>44912</v>
      </c>
      <c r="G326" s="20">
        <v>10704.96</v>
      </c>
      <c r="H326" s="37">
        <f t="shared" si="16"/>
        <v>74</v>
      </c>
      <c r="I326" s="57" t="str">
        <f t="shared" si="17"/>
        <v>1-90 DAYS</v>
      </c>
      <c r="J326" s="37" t="str">
        <f t="shared" ref="J326:J389" si="18">IF(H326&lt;180,"0-180 DAYS","More than 180 Days")</f>
        <v>0-180 DAYS</v>
      </c>
    </row>
    <row r="327" spans="1:10" x14ac:dyDescent="0.35">
      <c r="A327" t="s">
        <v>790</v>
      </c>
      <c r="B327" t="s">
        <v>477</v>
      </c>
      <c r="C327" s="18" t="s">
        <v>35</v>
      </c>
      <c r="D327" s="18" t="s">
        <v>36</v>
      </c>
      <c r="E327" s="18" t="s">
        <v>274</v>
      </c>
      <c r="F327" s="19">
        <v>44912</v>
      </c>
      <c r="G327" s="22">
        <f>1219910.89-418967</f>
        <v>800943.8899999999</v>
      </c>
      <c r="H327" s="37">
        <f t="shared" si="16"/>
        <v>74</v>
      </c>
      <c r="I327" s="57" t="str">
        <f t="shared" si="17"/>
        <v>1-90 DAYS</v>
      </c>
      <c r="J327" s="37" t="str">
        <f t="shared" si="18"/>
        <v>0-180 DAYS</v>
      </c>
    </row>
    <row r="328" spans="1:10" x14ac:dyDescent="0.35">
      <c r="A328" t="s">
        <v>790</v>
      </c>
      <c r="B328" t="s">
        <v>477</v>
      </c>
      <c r="C328" s="1" t="s">
        <v>56</v>
      </c>
      <c r="D328" s="18" t="s">
        <v>57</v>
      </c>
      <c r="E328" s="18" t="s">
        <v>275</v>
      </c>
      <c r="F328" s="19">
        <v>44913</v>
      </c>
      <c r="G328" s="20">
        <v>423733.95</v>
      </c>
      <c r="H328" s="37">
        <f t="shared" si="16"/>
        <v>73</v>
      </c>
      <c r="I328" s="57" t="str">
        <f t="shared" si="17"/>
        <v>1-90 DAYS</v>
      </c>
      <c r="J328" s="37" t="str">
        <f t="shared" si="18"/>
        <v>0-180 DAYS</v>
      </c>
    </row>
    <row r="329" spans="1:10" x14ac:dyDescent="0.35">
      <c r="A329" t="s">
        <v>790</v>
      </c>
      <c r="B329" t="s">
        <v>477</v>
      </c>
      <c r="C329" s="1" t="s">
        <v>56</v>
      </c>
      <c r="D329" s="18" t="s">
        <v>57</v>
      </c>
      <c r="E329" s="18" t="s">
        <v>276</v>
      </c>
      <c r="F329" s="19">
        <v>44914</v>
      </c>
      <c r="G329" s="20">
        <v>1027191.05</v>
      </c>
      <c r="H329" s="37">
        <f t="shared" si="16"/>
        <v>72</v>
      </c>
      <c r="I329" s="57" t="str">
        <f t="shared" si="17"/>
        <v>1-90 DAYS</v>
      </c>
      <c r="J329" s="37" t="str">
        <f t="shared" si="18"/>
        <v>0-180 DAYS</v>
      </c>
    </row>
    <row r="330" spans="1:10" x14ac:dyDescent="0.35">
      <c r="A330" t="s">
        <v>790</v>
      </c>
      <c r="B330" t="s">
        <v>477</v>
      </c>
      <c r="C330" s="1" t="s">
        <v>56</v>
      </c>
      <c r="D330" s="18" t="s">
        <v>57</v>
      </c>
      <c r="E330" s="18" t="s">
        <v>280</v>
      </c>
      <c r="F330" s="19">
        <v>44915</v>
      </c>
      <c r="G330" s="20">
        <v>557551.69999999995</v>
      </c>
      <c r="H330" s="37">
        <f t="shared" si="16"/>
        <v>71</v>
      </c>
      <c r="I330" s="57" t="str">
        <f t="shared" si="17"/>
        <v>1-90 DAYS</v>
      </c>
      <c r="J330" s="37" t="str">
        <f t="shared" si="18"/>
        <v>0-180 DAYS</v>
      </c>
    </row>
    <row r="331" spans="1:10" x14ac:dyDescent="0.35">
      <c r="A331" t="s">
        <v>790</v>
      </c>
      <c r="B331" t="s">
        <v>477</v>
      </c>
      <c r="C331" s="1" t="s">
        <v>56</v>
      </c>
      <c r="D331" s="18" t="s">
        <v>57</v>
      </c>
      <c r="E331" s="18" t="s">
        <v>281</v>
      </c>
      <c r="F331" s="19">
        <v>44915</v>
      </c>
      <c r="G331" s="20">
        <v>2522.2600000000002</v>
      </c>
      <c r="H331" s="37">
        <f t="shared" si="16"/>
        <v>71</v>
      </c>
      <c r="I331" s="57" t="str">
        <f t="shared" si="17"/>
        <v>1-90 DAYS</v>
      </c>
      <c r="J331" s="37" t="str">
        <f t="shared" si="18"/>
        <v>0-180 DAYS</v>
      </c>
    </row>
    <row r="332" spans="1:10" x14ac:dyDescent="0.35">
      <c r="A332" t="s">
        <v>790</v>
      </c>
      <c r="B332" t="s">
        <v>477</v>
      </c>
      <c r="C332" s="1" t="s">
        <v>56</v>
      </c>
      <c r="D332" s="18" t="s">
        <v>57</v>
      </c>
      <c r="E332" s="18" t="s">
        <v>282</v>
      </c>
      <c r="F332" s="19">
        <v>44916</v>
      </c>
      <c r="G332" s="20">
        <v>809707.56</v>
      </c>
      <c r="H332" s="37">
        <f t="shared" si="16"/>
        <v>70</v>
      </c>
      <c r="I332" s="57" t="str">
        <f t="shared" si="17"/>
        <v>1-90 DAYS</v>
      </c>
      <c r="J332" s="37" t="str">
        <f t="shared" si="18"/>
        <v>0-180 DAYS</v>
      </c>
    </row>
    <row r="333" spans="1:10" x14ac:dyDescent="0.35">
      <c r="A333" t="s">
        <v>790</v>
      </c>
      <c r="B333" t="s">
        <v>477</v>
      </c>
      <c r="C333" s="1" t="s">
        <v>56</v>
      </c>
      <c r="D333" s="18" t="s">
        <v>57</v>
      </c>
      <c r="E333" s="18" t="s">
        <v>283</v>
      </c>
      <c r="F333" s="19">
        <v>44916</v>
      </c>
      <c r="G333" s="20">
        <v>8099.52</v>
      </c>
      <c r="H333" s="37">
        <f t="shared" si="16"/>
        <v>70</v>
      </c>
      <c r="I333" s="57" t="str">
        <f t="shared" si="17"/>
        <v>1-90 DAYS</v>
      </c>
      <c r="J333" s="37" t="str">
        <f t="shared" si="18"/>
        <v>0-180 DAYS</v>
      </c>
    </row>
    <row r="334" spans="1:10" x14ac:dyDescent="0.35">
      <c r="A334" t="s">
        <v>790</v>
      </c>
      <c r="B334" t="s">
        <v>477</v>
      </c>
      <c r="C334" s="18" t="s">
        <v>284</v>
      </c>
      <c r="D334" s="18" t="s">
        <v>285</v>
      </c>
      <c r="E334" s="18" t="s">
        <v>286</v>
      </c>
      <c r="F334" s="19">
        <v>44916</v>
      </c>
      <c r="G334" s="21">
        <v>654900</v>
      </c>
      <c r="H334" s="37">
        <f t="shared" si="16"/>
        <v>70</v>
      </c>
      <c r="I334" s="57" t="str">
        <f t="shared" si="17"/>
        <v>1-90 DAYS</v>
      </c>
      <c r="J334" s="37" t="str">
        <f t="shared" si="18"/>
        <v>0-180 DAYS</v>
      </c>
    </row>
    <row r="335" spans="1:10" x14ac:dyDescent="0.35">
      <c r="A335" t="s">
        <v>790</v>
      </c>
      <c r="B335" t="s">
        <v>477</v>
      </c>
      <c r="C335" s="1" t="s">
        <v>56</v>
      </c>
      <c r="D335" s="18" t="s">
        <v>57</v>
      </c>
      <c r="E335" s="18" t="s">
        <v>288</v>
      </c>
      <c r="F335" s="19">
        <v>44920</v>
      </c>
      <c r="G335" s="20">
        <v>417137.79</v>
      </c>
      <c r="H335" s="37">
        <f t="shared" si="16"/>
        <v>66</v>
      </c>
      <c r="I335" s="57" t="str">
        <f t="shared" si="17"/>
        <v>1-90 DAYS</v>
      </c>
      <c r="J335" s="37" t="str">
        <f t="shared" si="18"/>
        <v>0-180 DAYS</v>
      </c>
    </row>
    <row r="336" spans="1:10" x14ac:dyDescent="0.35">
      <c r="A336" t="s">
        <v>790</v>
      </c>
      <c r="B336" t="s">
        <v>477</v>
      </c>
      <c r="C336" s="1" t="s">
        <v>56</v>
      </c>
      <c r="D336" s="18" t="s">
        <v>57</v>
      </c>
      <c r="E336" s="18" t="s">
        <v>289</v>
      </c>
      <c r="F336" s="19">
        <v>44920</v>
      </c>
      <c r="G336" s="20">
        <v>5267.52</v>
      </c>
      <c r="H336" s="37">
        <f t="shared" si="16"/>
        <v>66</v>
      </c>
      <c r="I336" s="57" t="str">
        <f t="shared" si="17"/>
        <v>1-90 DAYS</v>
      </c>
      <c r="J336" s="37" t="str">
        <f t="shared" si="18"/>
        <v>0-180 DAYS</v>
      </c>
    </row>
    <row r="337" spans="1:10" x14ac:dyDescent="0.35">
      <c r="A337" t="s">
        <v>790</v>
      </c>
      <c r="B337" t="s">
        <v>477</v>
      </c>
      <c r="C337" s="1" t="s">
        <v>56</v>
      </c>
      <c r="D337" s="18" t="s">
        <v>57</v>
      </c>
      <c r="E337" s="18" t="s">
        <v>290</v>
      </c>
      <c r="F337" s="19">
        <v>44922</v>
      </c>
      <c r="G337" s="20">
        <v>277145.51</v>
      </c>
      <c r="H337" s="37">
        <f t="shared" si="16"/>
        <v>64</v>
      </c>
      <c r="I337" s="57" t="str">
        <f t="shared" si="17"/>
        <v>1-90 DAYS</v>
      </c>
      <c r="J337" s="37" t="str">
        <f t="shared" si="18"/>
        <v>0-180 DAYS</v>
      </c>
    </row>
    <row r="338" spans="1:10" x14ac:dyDescent="0.35">
      <c r="A338" t="s">
        <v>790</v>
      </c>
      <c r="B338" t="s">
        <v>477</v>
      </c>
      <c r="C338" s="1" t="s">
        <v>56</v>
      </c>
      <c r="D338" s="18" t="s">
        <v>57</v>
      </c>
      <c r="E338" s="18" t="s">
        <v>291</v>
      </c>
      <c r="F338" s="19">
        <v>44923</v>
      </c>
      <c r="G338" s="20">
        <v>1573120.3</v>
      </c>
      <c r="H338" s="37">
        <f t="shared" si="16"/>
        <v>63</v>
      </c>
      <c r="I338" s="57" t="str">
        <f t="shared" si="17"/>
        <v>1-90 DAYS</v>
      </c>
      <c r="J338" s="37" t="str">
        <f t="shared" si="18"/>
        <v>0-180 DAYS</v>
      </c>
    </row>
    <row r="339" spans="1:10" x14ac:dyDescent="0.35">
      <c r="A339" t="s">
        <v>790</v>
      </c>
      <c r="B339" t="s">
        <v>477</v>
      </c>
      <c r="C339" s="1" t="s">
        <v>56</v>
      </c>
      <c r="D339" s="18" t="s">
        <v>57</v>
      </c>
      <c r="E339" s="18" t="s">
        <v>292</v>
      </c>
      <c r="F339" s="19">
        <v>44923</v>
      </c>
      <c r="G339" s="20">
        <v>566.4</v>
      </c>
      <c r="H339" s="37">
        <f t="shared" si="16"/>
        <v>63</v>
      </c>
      <c r="I339" s="57" t="str">
        <f t="shared" si="17"/>
        <v>1-90 DAYS</v>
      </c>
      <c r="J339" s="37" t="str">
        <f t="shared" si="18"/>
        <v>0-180 DAYS</v>
      </c>
    </row>
    <row r="340" spans="1:10" x14ac:dyDescent="0.35">
      <c r="A340" t="s">
        <v>790</v>
      </c>
      <c r="B340" t="s">
        <v>477</v>
      </c>
      <c r="C340" s="1" t="s">
        <v>56</v>
      </c>
      <c r="D340" s="18" t="s">
        <v>57</v>
      </c>
      <c r="E340" s="18" t="s">
        <v>297</v>
      </c>
      <c r="F340" s="19">
        <v>44924</v>
      </c>
      <c r="G340" s="20">
        <v>684985.28</v>
      </c>
      <c r="H340" s="37">
        <f t="shared" si="16"/>
        <v>62</v>
      </c>
      <c r="I340" s="57" t="str">
        <f t="shared" si="17"/>
        <v>1-90 DAYS</v>
      </c>
      <c r="J340" s="37" t="str">
        <f t="shared" si="18"/>
        <v>0-180 DAYS</v>
      </c>
    </row>
    <row r="341" spans="1:10" x14ac:dyDescent="0.35">
      <c r="A341" t="s">
        <v>790</v>
      </c>
      <c r="B341" t="s">
        <v>477</v>
      </c>
      <c r="C341" s="1" t="s">
        <v>56</v>
      </c>
      <c r="D341" s="18" t="s">
        <v>57</v>
      </c>
      <c r="E341" s="18" t="s">
        <v>298</v>
      </c>
      <c r="F341" s="19">
        <v>44924</v>
      </c>
      <c r="G341" s="20">
        <v>11724.48</v>
      </c>
      <c r="H341" s="37">
        <f t="shared" si="16"/>
        <v>62</v>
      </c>
      <c r="I341" s="57" t="str">
        <f t="shared" si="17"/>
        <v>1-90 DAYS</v>
      </c>
      <c r="J341" s="37" t="str">
        <f t="shared" si="18"/>
        <v>0-180 DAYS</v>
      </c>
    </row>
    <row r="342" spans="1:10" x14ac:dyDescent="0.35">
      <c r="A342" t="s">
        <v>790</v>
      </c>
      <c r="B342" t="s">
        <v>477</v>
      </c>
      <c r="C342" s="18" t="s">
        <v>277</v>
      </c>
      <c r="D342" s="18" t="s">
        <v>278</v>
      </c>
      <c r="E342" s="18" t="s">
        <v>300</v>
      </c>
      <c r="F342" s="19">
        <v>44926</v>
      </c>
      <c r="G342" s="22">
        <f>1762823.74-911413</f>
        <v>851410.74</v>
      </c>
      <c r="H342" s="37">
        <f t="shared" si="16"/>
        <v>60</v>
      </c>
      <c r="I342" s="57" t="str">
        <f t="shared" si="17"/>
        <v>1-90 DAYS</v>
      </c>
      <c r="J342" s="37" t="str">
        <f t="shared" si="18"/>
        <v>0-180 DAYS</v>
      </c>
    </row>
    <row r="343" spans="1:10" x14ac:dyDescent="0.35">
      <c r="A343" t="s">
        <v>790</v>
      </c>
      <c r="B343" t="s">
        <v>477</v>
      </c>
      <c r="C343" s="1" t="s">
        <v>56</v>
      </c>
      <c r="D343" s="18" t="s">
        <v>57</v>
      </c>
      <c r="E343" s="18" t="s">
        <v>301</v>
      </c>
      <c r="F343" s="19">
        <v>44926</v>
      </c>
      <c r="G343" s="20">
        <v>1003715.94</v>
      </c>
      <c r="H343" s="37">
        <f t="shared" si="16"/>
        <v>60</v>
      </c>
      <c r="I343" s="57" t="str">
        <f t="shared" si="17"/>
        <v>1-90 DAYS</v>
      </c>
      <c r="J343" s="37" t="str">
        <f t="shared" si="18"/>
        <v>0-180 DAYS</v>
      </c>
    </row>
    <row r="344" spans="1:10" x14ac:dyDescent="0.35">
      <c r="A344" t="s">
        <v>790</v>
      </c>
      <c r="B344" t="s">
        <v>477</v>
      </c>
      <c r="C344" s="1" t="s">
        <v>56</v>
      </c>
      <c r="D344" s="18" t="s">
        <v>57</v>
      </c>
      <c r="E344" s="18" t="s">
        <v>302</v>
      </c>
      <c r="F344" s="19">
        <v>44926</v>
      </c>
      <c r="G344" s="20">
        <v>4134.72</v>
      </c>
      <c r="H344" s="37">
        <f t="shared" si="16"/>
        <v>60</v>
      </c>
      <c r="I344" s="57" t="str">
        <f t="shared" si="17"/>
        <v>1-90 DAYS</v>
      </c>
      <c r="J344" s="37" t="str">
        <f t="shared" si="18"/>
        <v>0-180 DAYS</v>
      </c>
    </row>
    <row r="345" spans="1:10" x14ac:dyDescent="0.35">
      <c r="A345" t="s">
        <v>790</v>
      </c>
      <c r="B345" t="s">
        <v>477</v>
      </c>
      <c r="C345" s="1" t="s">
        <v>56</v>
      </c>
      <c r="D345" s="18" t="s">
        <v>57</v>
      </c>
      <c r="E345" s="18" t="s">
        <v>303</v>
      </c>
      <c r="F345" s="19">
        <v>44897</v>
      </c>
      <c r="G345" s="20">
        <v>3242.25</v>
      </c>
      <c r="H345" s="37">
        <f t="shared" si="16"/>
        <v>89</v>
      </c>
      <c r="I345" s="57" t="str">
        <f t="shared" si="17"/>
        <v>1-90 DAYS</v>
      </c>
      <c r="J345" s="37" t="str">
        <f t="shared" si="18"/>
        <v>0-180 DAYS</v>
      </c>
    </row>
    <row r="346" spans="1:10" x14ac:dyDescent="0.35">
      <c r="A346" t="s">
        <v>790</v>
      </c>
      <c r="B346" t="s">
        <v>477</v>
      </c>
      <c r="C346" s="1" t="s">
        <v>56</v>
      </c>
      <c r="D346" s="18" t="s">
        <v>57</v>
      </c>
      <c r="E346" s="18" t="s">
        <v>304</v>
      </c>
      <c r="F346" s="19">
        <v>44900</v>
      </c>
      <c r="G346" s="20">
        <v>3756652.6</v>
      </c>
      <c r="H346" s="37">
        <f t="shared" si="16"/>
        <v>86</v>
      </c>
      <c r="I346" s="57" t="str">
        <f t="shared" si="17"/>
        <v>1-90 DAYS</v>
      </c>
      <c r="J346" s="37" t="str">
        <f t="shared" si="18"/>
        <v>0-180 DAYS</v>
      </c>
    </row>
    <row r="347" spans="1:10" x14ac:dyDescent="0.35">
      <c r="A347" t="s">
        <v>790</v>
      </c>
      <c r="B347" t="s">
        <v>477</v>
      </c>
      <c r="C347" s="1" t="s">
        <v>56</v>
      </c>
      <c r="D347" s="18" t="s">
        <v>57</v>
      </c>
      <c r="E347" s="18" t="s">
        <v>305</v>
      </c>
      <c r="F347" s="19">
        <v>44901</v>
      </c>
      <c r="G347" s="20">
        <v>104822.44</v>
      </c>
      <c r="H347" s="37">
        <f t="shared" si="16"/>
        <v>85</v>
      </c>
      <c r="I347" s="57" t="str">
        <f t="shared" si="17"/>
        <v>1-90 DAYS</v>
      </c>
      <c r="J347" s="37" t="str">
        <f t="shared" si="18"/>
        <v>0-180 DAYS</v>
      </c>
    </row>
    <row r="348" spans="1:10" x14ac:dyDescent="0.35">
      <c r="A348" t="s">
        <v>790</v>
      </c>
      <c r="B348" t="s">
        <v>477</v>
      </c>
      <c r="C348" s="1" t="s">
        <v>56</v>
      </c>
      <c r="D348" s="18" t="s">
        <v>57</v>
      </c>
      <c r="E348" s="18" t="s">
        <v>306</v>
      </c>
      <c r="F348" s="19">
        <v>44902</v>
      </c>
      <c r="G348" s="20">
        <v>1414.8</v>
      </c>
      <c r="H348" s="37">
        <f t="shared" si="16"/>
        <v>84</v>
      </c>
      <c r="I348" s="57" t="str">
        <f t="shared" si="17"/>
        <v>1-90 DAYS</v>
      </c>
      <c r="J348" s="37" t="str">
        <f t="shared" si="18"/>
        <v>0-180 DAYS</v>
      </c>
    </row>
    <row r="349" spans="1:10" x14ac:dyDescent="0.35">
      <c r="A349" t="s">
        <v>790</v>
      </c>
      <c r="B349" t="s">
        <v>477</v>
      </c>
      <c r="C349" s="1" t="s">
        <v>56</v>
      </c>
      <c r="D349" s="18" t="s">
        <v>57</v>
      </c>
      <c r="E349" s="18" t="s">
        <v>307</v>
      </c>
      <c r="F349" s="19">
        <v>44907</v>
      </c>
      <c r="G349" s="20">
        <v>1806844.7</v>
      </c>
      <c r="H349" s="37">
        <f t="shared" si="16"/>
        <v>79</v>
      </c>
      <c r="I349" s="57" t="str">
        <f t="shared" si="17"/>
        <v>1-90 DAYS</v>
      </c>
      <c r="J349" s="37" t="str">
        <f t="shared" si="18"/>
        <v>0-180 DAYS</v>
      </c>
    </row>
    <row r="350" spans="1:10" x14ac:dyDescent="0.35">
      <c r="A350" t="s">
        <v>790</v>
      </c>
      <c r="B350" t="s">
        <v>477</v>
      </c>
      <c r="C350" s="1" t="s">
        <v>56</v>
      </c>
      <c r="D350" s="18" t="s">
        <v>57</v>
      </c>
      <c r="E350" s="18" t="s">
        <v>308</v>
      </c>
      <c r="F350" s="19">
        <v>44917</v>
      </c>
      <c r="G350" s="20">
        <v>3826446.39</v>
      </c>
      <c r="H350" s="37">
        <f t="shared" si="16"/>
        <v>69</v>
      </c>
      <c r="I350" s="57" t="str">
        <f t="shared" si="17"/>
        <v>1-90 DAYS</v>
      </c>
      <c r="J350" s="37" t="str">
        <f t="shared" si="18"/>
        <v>0-180 DAYS</v>
      </c>
    </row>
    <row r="351" spans="1:10" x14ac:dyDescent="0.35">
      <c r="A351" t="s">
        <v>790</v>
      </c>
      <c r="B351" t="s">
        <v>477</v>
      </c>
      <c r="C351" s="1" t="s">
        <v>56</v>
      </c>
      <c r="D351" s="18" t="s">
        <v>57</v>
      </c>
      <c r="E351" s="18" t="s">
        <v>309</v>
      </c>
      <c r="F351" s="19">
        <v>44917</v>
      </c>
      <c r="G351" s="20">
        <v>359.6</v>
      </c>
      <c r="H351" s="37">
        <f t="shared" si="16"/>
        <v>69</v>
      </c>
      <c r="I351" s="57" t="str">
        <f t="shared" si="17"/>
        <v>1-90 DAYS</v>
      </c>
      <c r="J351" s="37" t="str">
        <f t="shared" si="18"/>
        <v>0-180 DAYS</v>
      </c>
    </row>
    <row r="352" spans="1:10" x14ac:dyDescent="0.35">
      <c r="A352" t="s">
        <v>790</v>
      </c>
      <c r="B352" t="s">
        <v>477</v>
      </c>
      <c r="C352" s="1" t="s">
        <v>56</v>
      </c>
      <c r="D352" s="18" t="s">
        <v>57</v>
      </c>
      <c r="E352" s="18" t="s">
        <v>310</v>
      </c>
      <c r="F352" s="19">
        <v>44921</v>
      </c>
      <c r="G352" s="20">
        <v>980378.7</v>
      </c>
      <c r="H352" s="37">
        <f t="shared" si="16"/>
        <v>65</v>
      </c>
      <c r="I352" s="57" t="str">
        <f t="shared" si="17"/>
        <v>1-90 DAYS</v>
      </c>
      <c r="J352" s="37" t="str">
        <f t="shared" si="18"/>
        <v>0-180 DAYS</v>
      </c>
    </row>
    <row r="353" spans="1:10" x14ac:dyDescent="0.35">
      <c r="A353" t="s">
        <v>790</v>
      </c>
      <c r="B353" t="s">
        <v>477</v>
      </c>
      <c r="C353" s="1" t="s">
        <v>56</v>
      </c>
      <c r="D353" s="23" t="s">
        <v>57</v>
      </c>
      <c r="E353" s="23" t="s">
        <v>311</v>
      </c>
      <c r="F353" s="24">
        <v>44929</v>
      </c>
      <c r="G353" s="25">
        <v>9111.0400000000009</v>
      </c>
      <c r="H353" s="37">
        <f t="shared" si="16"/>
        <v>57</v>
      </c>
      <c r="I353" s="57" t="str">
        <f t="shared" si="17"/>
        <v>1-90 DAYS</v>
      </c>
      <c r="J353" s="37" t="str">
        <f t="shared" si="18"/>
        <v>0-180 DAYS</v>
      </c>
    </row>
    <row r="354" spans="1:10" x14ac:dyDescent="0.35">
      <c r="A354" t="s">
        <v>790</v>
      </c>
      <c r="B354" t="s">
        <v>477</v>
      </c>
      <c r="C354" s="1" t="s">
        <v>56</v>
      </c>
      <c r="D354" s="23" t="s">
        <v>57</v>
      </c>
      <c r="E354" s="23" t="s">
        <v>312</v>
      </c>
      <c r="F354" s="24">
        <v>44929</v>
      </c>
      <c r="G354" s="25">
        <v>688559.62</v>
      </c>
      <c r="H354" s="37">
        <f t="shared" si="16"/>
        <v>57</v>
      </c>
      <c r="I354" s="57" t="str">
        <f t="shared" si="17"/>
        <v>1-90 DAYS</v>
      </c>
      <c r="J354" s="37" t="str">
        <f t="shared" si="18"/>
        <v>0-180 DAYS</v>
      </c>
    </row>
    <row r="355" spans="1:10" x14ac:dyDescent="0.35">
      <c r="A355" t="s">
        <v>790</v>
      </c>
      <c r="B355" t="s">
        <v>477</v>
      </c>
      <c r="C355" s="1" t="s">
        <v>56</v>
      </c>
      <c r="D355" s="23" t="s">
        <v>57</v>
      </c>
      <c r="E355" s="23" t="s">
        <v>313</v>
      </c>
      <c r="F355" s="24">
        <v>44931</v>
      </c>
      <c r="G355" s="25">
        <v>452325.56</v>
      </c>
      <c r="H355" s="37">
        <f t="shared" si="16"/>
        <v>55</v>
      </c>
      <c r="I355" s="57" t="str">
        <f t="shared" si="17"/>
        <v>1-90 DAYS</v>
      </c>
      <c r="J355" s="37" t="str">
        <f t="shared" si="18"/>
        <v>0-180 DAYS</v>
      </c>
    </row>
    <row r="356" spans="1:10" x14ac:dyDescent="0.35">
      <c r="A356" t="s">
        <v>790</v>
      </c>
      <c r="B356" t="s">
        <v>477</v>
      </c>
      <c r="C356" s="1" t="s">
        <v>56</v>
      </c>
      <c r="D356" s="23" t="s">
        <v>57</v>
      </c>
      <c r="E356" s="23" t="s">
        <v>314</v>
      </c>
      <c r="F356" s="24">
        <v>44931</v>
      </c>
      <c r="G356" s="25">
        <v>6904.08</v>
      </c>
      <c r="H356" s="37">
        <f t="shared" si="16"/>
        <v>55</v>
      </c>
      <c r="I356" s="57" t="str">
        <f t="shared" si="17"/>
        <v>1-90 DAYS</v>
      </c>
      <c r="J356" s="37" t="str">
        <f t="shared" si="18"/>
        <v>0-180 DAYS</v>
      </c>
    </row>
    <row r="357" spans="1:10" x14ac:dyDescent="0.35">
      <c r="A357" t="s">
        <v>790</v>
      </c>
      <c r="B357" t="s">
        <v>477</v>
      </c>
      <c r="C357" s="1" t="s">
        <v>56</v>
      </c>
      <c r="D357" s="23" t="s">
        <v>57</v>
      </c>
      <c r="E357" s="23" t="s">
        <v>315</v>
      </c>
      <c r="F357" s="24">
        <v>44931</v>
      </c>
      <c r="G357" s="25">
        <v>142271.23000000001</v>
      </c>
      <c r="H357" s="37">
        <f t="shared" si="16"/>
        <v>55</v>
      </c>
      <c r="I357" s="57" t="str">
        <f t="shared" si="17"/>
        <v>1-90 DAYS</v>
      </c>
      <c r="J357" s="37" t="str">
        <f t="shared" si="18"/>
        <v>0-180 DAYS</v>
      </c>
    </row>
    <row r="358" spans="1:10" x14ac:dyDescent="0.35">
      <c r="A358" t="s">
        <v>790</v>
      </c>
      <c r="B358" t="s">
        <v>477</v>
      </c>
      <c r="C358" s="1" t="s">
        <v>56</v>
      </c>
      <c r="D358" s="23" t="s">
        <v>57</v>
      </c>
      <c r="E358" s="23" t="s">
        <v>316</v>
      </c>
      <c r="F358" s="24">
        <v>44931</v>
      </c>
      <c r="G358" s="25">
        <v>1584.92</v>
      </c>
      <c r="H358" s="37">
        <f t="shared" si="16"/>
        <v>55</v>
      </c>
      <c r="I358" s="57" t="str">
        <f t="shared" si="17"/>
        <v>1-90 DAYS</v>
      </c>
      <c r="J358" s="37" t="str">
        <f t="shared" si="18"/>
        <v>0-180 DAYS</v>
      </c>
    </row>
    <row r="359" spans="1:10" x14ac:dyDescent="0.35">
      <c r="A359" t="s">
        <v>790</v>
      </c>
      <c r="B359" t="s">
        <v>477</v>
      </c>
      <c r="C359" s="1" t="s">
        <v>56</v>
      </c>
      <c r="D359" s="23" t="s">
        <v>57</v>
      </c>
      <c r="E359" s="23" t="s">
        <v>317</v>
      </c>
      <c r="F359" s="24">
        <v>44931</v>
      </c>
      <c r="G359" s="25">
        <v>2934.44</v>
      </c>
      <c r="H359" s="37">
        <f t="shared" si="16"/>
        <v>55</v>
      </c>
      <c r="I359" s="57" t="str">
        <f t="shared" si="17"/>
        <v>1-90 DAYS</v>
      </c>
      <c r="J359" s="37" t="str">
        <f t="shared" si="18"/>
        <v>0-180 DAYS</v>
      </c>
    </row>
    <row r="360" spans="1:10" x14ac:dyDescent="0.35">
      <c r="A360" t="s">
        <v>790</v>
      </c>
      <c r="B360" t="s">
        <v>477</v>
      </c>
      <c r="C360" s="1" t="s">
        <v>56</v>
      </c>
      <c r="D360" s="23" t="s">
        <v>57</v>
      </c>
      <c r="E360" s="23" t="s">
        <v>318</v>
      </c>
      <c r="F360" s="24">
        <v>44931</v>
      </c>
      <c r="G360" s="25">
        <v>7593</v>
      </c>
      <c r="H360" s="37">
        <f t="shared" si="16"/>
        <v>55</v>
      </c>
      <c r="I360" s="57" t="str">
        <f t="shared" si="17"/>
        <v>1-90 DAYS</v>
      </c>
      <c r="J360" s="37" t="str">
        <f t="shared" si="18"/>
        <v>0-180 DAYS</v>
      </c>
    </row>
    <row r="361" spans="1:10" x14ac:dyDescent="0.35">
      <c r="A361" t="s">
        <v>790</v>
      </c>
      <c r="B361" t="s">
        <v>477</v>
      </c>
      <c r="C361" s="1" t="s">
        <v>56</v>
      </c>
      <c r="D361" s="23" t="s">
        <v>57</v>
      </c>
      <c r="E361" s="23" t="s">
        <v>319</v>
      </c>
      <c r="F361" s="24">
        <v>44931</v>
      </c>
      <c r="G361" s="25">
        <v>52250</v>
      </c>
      <c r="H361" s="37">
        <f t="shared" si="16"/>
        <v>55</v>
      </c>
      <c r="I361" s="57" t="str">
        <f t="shared" si="17"/>
        <v>1-90 DAYS</v>
      </c>
      <c r="J361" s="37" t="str">
        <f t="shared" si="18"/>
        <v>0-180 DAYS</v>
      </c>
    </row>
    <row r="362" spans="1:10" x14ac:dyDescent="0.35">
      <c r="A362" t="s">
        <v>790</v>
      </c>
      <c r="B362" t="s">
        <v>477</v>
      </c>
      <c r="C362" s="1" t="s">
        <v>56</v>
      </c>
      <c r="D362" s="23" t="s">
        <v>57</v>
      </c>
      <c r="E362" s="23" t="s">
        <v>320</v>
      </c>
      <c r="F362" s="24">
        <v>44932</v>
      </c>
      <c r="G362" s="25">
        <v>320901.2</v>
      </c>
      <c r="H362" s="37">
        <f t="shared" si="16"/>
        <v>54</v>
      </c>
      <c r="I362" s="57" t="str">
        <f t="shared" si="17"/>
        <v>1-90 DAYS</v>
      </c>
      <c r="J362" s="37" t="str">
        <f t="shared" si="18"/>
        <v>0-180 DAYS</v>
      </c>
    </row>
    <row r="363" spans="1:10" x14ac:dyDescent="0.35">
      <c r="A363" t="s">
        <v>790</v>
      </c>
      <c r="B363" t="s">
        <v>477</v>
      </c>
      <c r="C363" s="1" t="s">
        <v>56</v>
      </c>
      <c r="D363" s="23" t="s">
        <v>57</v>
      </c>
      <c r="E363" s="23" t="s">
        <v>321</v>
      </c>
      <c r="F363" s="24">
        <v>44932</v>
      </c>
      <c r="G363" s="25">
        <v>3791.88</v>
      </c>
      <c r="H363" s="37">
        <f t="shared" si="16"/>
        <v>54</v>
      </c>
      <c r="I363" s="57" t="str">
        <f t="shared" si="17"/>
        <v>1-90 DAYS</v>
      </c>
      <c r="J363" s="37" t="str">
        <f t="shared" si="18"/>
        <v>0-180 DAYS</v>
      </c>
    </row>
    <row r="364" spans="1:10" x14ac:dyDescent="0.35">
      <c r="A364" t="s">
        <v>790</v>
      </c>
      <c r="B364" t="s">
        <v>477</v>
      </c>
      <c r="C364" s="1" t="s">
        <v>56</v>
      </c>
      <c r="D364" s="23" t="s">
        <v>57</v>
      </c>
      <c r="E364" s="23" t="s">
        <v>322</v>
      </c>
      <c r="F364" s="24">
        <v>44932</v>
      </c>
      <c r="G364" s="25">
        <v>456489.62</v>
      </c>
      <c r="H364" s="37">
        <f t="shared" si="16"/>
        <v>54</v>
      </c>
      <c r="I364" s="57" t="str">
        <f t="shared" si="17"/>
        <v>1-90 DAYS</v>
      </c>
      <c r="J364" s="37" t="str">
        <f t="shared" si="18"/>
        <v>0-180 DAYS</v>
      </c>
    </row>
    <row r="365" spans="1:10" x14ac:dyDescent="0.35">
      <c r="A365" t="s">
        <v>790</v>
      </c>
      <c r="B365" t="s">
        <v>477</v>
      </c>
      <c r="C365" s="1" t="s">
        <v>56</v>
      </c>
      <c r="D365" s="23" t="s">
        <v>57</v>
      </c>
      <c r="E365" s="23" t="s">
        <v>323</v>
      </c>
      <c r="F365" s="24">
        <v>44932</v>
      </c>
      <c r="G365" s="25">
        <v>7243.92</v>
      </c>
      <c r="H365" s="37">
        <f t="shared" si="16"/>
        <v>54</v>
      </c>
      <c r="I365" s="57" t="str">
        <f t="shared" si="17"/>
        <v>1-90 DAYS</v>
      </c>
      <c r="J365" s="37" t="str">
        <f t="shared" si="18"/>
        <v>0-180 DAYS</v>
      </c>
    </row>
    <row r="366" spans="1:10" x14ac:dyDescent="0.35">
      <c r="A366" t="s">
        <v>790</v>
      </c>
      <c r="B366" t="s">
        <v>477</v>
      </c>
      <c r="C366" s="1" t="s">
        <v>56</v>
      </c>
      <c r="D366" s="23" t="s">
        <v>57</v>
      </c>
      <c r="E366" s="23" t="s">
        <v>324</v>
      </c>
      <c r="F366" s="24">
        <v>44932</v>
      </c>
      <c r="G366" s="25">
        <v>434383.52</v>
      </c>
      <c r="H366" s="37">
        <f t="shared" si="16"/>
        <v>54</v>
      </c>
      <c r="I366" s="57" t="str">
        <f t="shared" si="17"/>
        <v>1-90 DAYS</v>
      </c>
      <c r="J366" s="37" t="str">
        <f t="shared" si="18"/>
        <v>0-180 DAYS</v>
      </c>
    </row>
    <row r="367" spans="1:10" x14ac:dyDescent="0.35">
      <c r="A367" t="s">
        <v>790</v>
      </c>
      <c r="B367" t="s">
        <v>477</v>
      </c>
      <c r="C367" s="1" t="s">
        <v>56</v>
      </c>
      <c r="D367" s="23" t="s">
        <v>57</v>
      </c>
      <c r="E367" s="23" t="s">
        <v>325</v>
      </c>
      <c r="F367" s="24">
        <v>44932</v>
      </c>
      <c r="G367" s="25">
        <v>73819.740000000005</v>
      </c>
      <c r="H367" s="37">
        <f t="shared" si="16"/>
        <v>54</v>
      </c>
      <c r="I367" s="57" t="str">
        <f t="shared" si="17"/>
        <v>1-90 DAYS</v>
      </c>
      <c r="J367" s="37" t="str">
        <f t="shared" si="18"/>
        <v>0-180 DAYS</v>
      </c>
    </row>
    <row r="368" spans="1:10" x14ac:dyDescent="0.35">
      <c r="A368" t="s">
        <v>790</v>
      </c>
      <c r="B368" t="s">
        <v>477</v>
      </c>
      <c r="C368" s="1" t="s">
        <v>56</v>
      </c>
      <c r="D368" s="23" t="s">
        <v>57</v>
      </c>
      <c r="E368" s="23" t="s">
        <v>326</v>
      </c>
      <c r="F368" s="24">
        <v>44932</v>
      </c>
      <c r="G368" s="25">
        <v>70651</v>
      </c>
      <c r="H368" s="37">
        <f t="shared" si="16"/>
        <v>54</v>
      </c>
      <c r="I368" s="57" t="str">
        <f t="shared" si="17"/>
        <v>1-90 DAYS</v>
      </c>
      <c r="J368" s="37" t="str">
        <f t="shared" si="18"/>
        <v>0-180 DAYS</v>
      </c>
    </row>
    <row r="369" spans="1:10" x14ac:dyDescent="0.35">
      <c r="A369" t="s">
        <v>790</v>
      </c>
      <c r="B369" t="s">
        <v>477</v>
      </c>
      <c r="C369" s="1" t="s">
        <v>56</v>
      </c>
      <c r="D369" s="23" t="s">
        <v>57</v>
      </c>
      <c r="E369" s="23" t="s">
        <v>327</v>
      </c>
      <c r="F369" s="24">
        <v>44933</v>
      </c>
      <c r="G369" s="25">
        <v>904172.07</v>
      </c>
      <c r="H369" s="37">
        <f t="shared" si="16"/>
        <v>53</v>
      </c>
      <c r="I369" s="57" t="str">
        <f t="shared" si="17"/>
        <v>1-90 DAYS</v>
      </c>
      <c r="J369" s="37" t="str">
        <f t="shared" si="18"/>
        <v>0-180 DAYS</v>
      </c>
    </row>
    <row r="370" spans="1:10" x14ac:dyDescent="0.35">
      <c r="A370" t="s">
        <v>790</v>
      </c>
      <c r="B370" t="s">
        <v>477</v>
      </c>
      <c r="C370" s="1" t="s">
        <v>56</v>
      </c>
      <c r="D370" s="23" t="s">
        <v>57</v>
      </c>
      <c r="E370" s="23" t="s">
        <v>328</v>
      </c>
      <c r="F370" s="24">
        <v>44933</v>
      </c>
      <c r="G370" s="25">
        <v>292866.99</v>
      </c>
      <c r="H370" s="37">
        <f t="shared" si="16"/>
        <v>53</v>
      </c>
      <c r="I370" s="57" t="str">
        <f t="shared" si="17"/>
        <v>1-90 DAYS</v>
      </c>
      <c r="J370" s="37" t="str">
        <f t="shared" si="18"/>
        <v>0-180 DAYS</v>
      </c>
    </row>
    <row r="371" spans="1:10" x14ac:dyDescent="0.35">
      <c r="A371" t="s">
        <v>790</v>
      </c>
      <c r="B371" t="s">
        <v>477</v>
      </c>
      <c r="C371" s="1" t="s">
        <v>56</v>
      </c>
      <c r="D371" s="23" t="s">
        <v>57</v>
      </c>
      <c r="E371" s="23" t="s">
        <v>329</v>
      </c>
      <c r="F371" s="24">
        <v>44933</v>
      </c>
      <c r="G371" s="25">
        <v>3338.76</v>
      </c>
      <c r="H371" s="37">
        <f t="shared" si="16"/>
        <v>53</v>
      </c>
      <c r="I371" s="57" t="str">
        <f t="shared" si="17"/>
        <v>1-90 DAYS</v>
      </c>
      <c r="J371" s="37" t="str">
        <f t="shared" si="18"/>
        <v>0-180 DAYS</v>
      </c>
    </row>
    <row r="372" spans="1:10" x14ac:dyDescent="0.35">
      <c r="A372" t="s">
        <v>790</v>
      </c>
      <c r="B372" t="s">
        <v>477</v>
      </c>
      <c r="C372" s="1" t="s">
        <v>56</v>
      </c>
      <c r="D372" s="23" t="s">
        <v>57</v>
      </c>
      <c r="E372" s="23" t="s">
        <v>330</v>
      </c>
      <c r="F372" s="24">
        <v>44933</v>
      </c>
      <c r="G372" s="25">
        <v>94733</v>
      </c>
      <c r="H372" s="37">
        <f t="shared" si="16"/>
        <v>53</v>
      </c>
      <c r="I372" s="57" t="str">
        <f t="shared" si="17"/>
        <v>1-90 DAYS</v>
      </c>
      <c r="J372" s="37" t="str">
        <f t="shared" si="18"/>
        <v>0-180 DAYS</v>
      </c>
    </row>
    <row r="373" spans="1:10" x14ac:dyDescent="0.35">
      <c r="A373" t="s">
        <v>790</v>
      </c>
      <c r="B373" t="s">
        <v>477</v>
      </c>
      <c r="C373" s="1" t="s">
        <v>56</v>
      </c>
      <c r="D373" s="23" t="s">
        <v>57</v>
      </c>
      <c r="E373" s="23" t="s">
        <v>331</v>
      </c>
      <c r="F373" s="24">
        <v>44933</v>
      </c>
      <c r="G373" s="25">
        <v>1270</v>
      </c>
      <c r="H373" s="37">
        <f t="shared" ref="H373:H436" si="19">$H$3-F373+1</f>
        <v>53</v>
      </c>
      <c r="I373" s="57" t="str">
        <f t="shared" si="17"/>
        <v>1-90 DAYS</v>
      </c>
      <c r="J373" s="37" t="str">
        <f t="shared" si="18"/>
        <v>0-180 DAYS</v>
      </c>
    </row>
    <row r="374" spans="1:10" x14ac:dyDescent="0.35">
      <c r="A374" t="s">
        <v>790</v>
      </c>
      <c r="B374" t="s">
        <v>477</v>
      </c>
      <c r="C374" s="1" t="s">
        <v>56</v>
      </c>
      <c r="D374" s="23" t="s">
        <v>57</v>
      </c>
      <c r="E374" s="23" t="s">
        <v>332</v>
      </c>
      <c r="F374" s="24">
        <v>44933</v>
      </c>
      <c r="G374" s="25">
        <v>36025</v>
      </c>
      <c r="H374" s="37">
        <f t="shared" si="19"/>
        <v>53</v>
      </c>
      <c r="I374" s="57" t="str">
        <f t="shared" si="17"/>
        <v>1-90 DAYS</v>
      </c>
      <c r="J374" s="37" t="str">
        <f t="shared" si="18"/>
        <v>0-180 DAYS</v>
      </c>
    </row>
    <row r="375" spans="1:10" x14ac:dyDescent="0.35">
      <c r="A375" t="s">
        <v>790</v>
      </c>
      <c r="B375" t="s">
        <v>477</v>
      </c>
      <c r="C375" s="1" t="s">
        <v>56</v>
      </c>
      <c r="D375" s="23" t="s">
        <v>57</v>
      </c>
      <c r="E375" s="23" t="s">
        <v>333</v>
      </c>
      <c r="F375" s="24">
        <v>44934</v>
      </c>
      <c r="G375" s="25">
        <v>482119.57</v>
      </c>
      <c r="H375" s="37">
        <f t="shared" si="19"/>
        <v>52</v>
      </c>
      <c r="I375" s="57" t="str">
        <f t="shared" si="17"/>
        <v>1-90 DAYS</v>
      </c>
      <c r="J375" s="37" t="str">
        <f t="shared" si="18"/>
        <v>0-180 DAYS</v>
      </c>
    </row>
    <row r="376" spans="1:10" x14ac:dyDescent="0.35">
      <c r="A376" t="s">
        <v>790</v>
      </c>
      <c r="B376" t="s">
        <v>477</v>
      </c>
      <c r="C376" s="1" t="s">
        <v>56</v>
      </c>
      <c r="D376" s="23" t="s">
        <v>57</v>
      </c>
      <c r="E376" s="23" t="s">
        <v>334</v>
      </c>
      <c r="F376" s="24">
        <v>44934</v>
      </c>
      <c r="G376" s="25">
        <v>10643</v>
      </c>
      <c r="H376" s="37">
        <f t="shared" si="19"/>
        <v>52</v>
      </c>
      <c r="I376" s="57" t="str">
        <f t="shared" si="17"/>
        <v>1-90 DAYS</v>
      </c>
      <c r="J376" s="37" t="str">
        <f t="shared" si="18"/>
        <v>0-180 DAYS</v>
      </c>
    </row>
    <row r="377" spans="1:10" x14ac:dyDescent="0.35">
      <c r="A377" t="s">
        <v>790</v>
      </c>
      <c r="B377" t="s">
        <v>477</v>
      </c>
      <c r="C377" s="1" t="s">
        <v>56</v>
      </c>
      <c r="D377" s="23" t="s">
        <v>57</v>
      </c>
      <c r="E377" s="23" t="s">
        <v>335</v>
      </c>
      <c r="F377" s="24">
        <v>44934</v>
      </c>
      <c r="G377" s="25">
        <v>327973</v>
      </c>
      <c r="H377" s="37">
        <f t="shared" si="19"/>
        <v>52</v>
      </c>
      <c r="I377" s="57" t="str">
        <f t="shared" si="17"/>
        <v>1-90 DAYS</v>
      </c>
      <c r="J377" s="37" t="str">
        <f t="shared" si="18"/>
        <v>0-180 DAYS</v>
      </c>
    </row>
    <row r="378" spans="1:10" x14ac:dyDescent="0.35">
      <c r="A378" t="s">
        <v>790</v>
      </c>
      <c r="B378" t="s">
        <v>477</v>
      </c>
      <c r="C378" s="1" t="s">
        <v>56</v>
      </c>
      <c r="D378" s="23" t="s">
        <v>57</v>
      </c>
      <c r="E378" s="23" t="s">
        <v>336</v>
      </c>
      <c r="F378" s="24">
        <v>44935</v>
      </c>
      <c r="G378" s="25">
        <v>502688.13</v>
      </c>
      <c r="H378" s="37">
        <f t="shared" si="19"/>
        <v>51</v>
      </c>
      <c r="I378" s="57" t="str">
        <f t="shared" si="17"/>
        <v>1-90 DAYS</v>
      </c>
      <c r="J378" s="37" t="str">
        <f t="shared" si="18"/>
        <v>0-180 DAYS</v>
      </c>
    </row>
    <row r="379" spans="1:10" x14ac:dyDescent="0.35">
      <c r="A379" t="s">
        <v>790</v>
      </c>
      <c r="B379" t="s">
        <v>477</v>
      </c>
      <c r="C379" s="1" t="s">
        <v>56</v>
      </c>
      <c r="D379" s="23" t="s">
        <v>57</v>
      </c>
      <c r="E379" s="23" t="s">
        <v>337</v>
      </c>
      <c r="F379" s="24">
        <v>44935</v>
      </c>
      <c r="G379" s="25">
        <v>2093.6799999999998</v>
      </c>
      <c r="H379" s="37">
        <f t="shared" si="19"/>
        <v>51</v>
      </c>
      <c r="I379" s="57" t="str">
        <f t="shared" si="17"/>
        <v>1-90 DAYS</v>
      </c>
      <c r="J379" s="37" t="str">
        <f t="shared" si="18"/>
        <v>0-180 DAYS</v>
      </c>
    </row>
    <row r="380" spans="1:10" x14ac:dyDescent="0.35">
      <c r="A380" t="s">
        <v>790</v>
      </c>
      <c r="B380" t="s">
        <v>477</v>
      </c>
      <c r="C380" s="1" t="s">
        <v>56</v>
      </c>
      <c r="D380" s="23" t="s">
        <v>57</v>
      </c>
      <c r="E380" s="23" t="s">
        <v>338</v>
      </c>
      <c r="F380" s="24">
        <v>44936</v>
      </c>
      <c r="G380" s="25">
        <v>201381.94</v>
      </c>
      <c r="H380" s="37">
        <f t="shared" si="19"/>
        <v>50</v>
      </c>
      <c r="I380" s="57" t="str">
        <f t="shared" si="17"/>
        <v>1-90 DAYS</v>
      </c>
      <c r="J380" s="37" t="str">
        <f t="shared" si="18"/>
        <v>0-180 DAYS</v>
      </c>
    </row>
    <row r="381" spans="1:10" x14ac:dyDescent="0.35">
      <c r="A381" t="s">
        <v>790</v>
      </c>
      <c r="B381" t="s">
        <v>477</v>
      </c>
      <c r="C381" s="1" t="s">
        <v>56</v>
      </c>
      <c r="D381" s="23" t="s">
        <v>57</v>
      </c>
      <c r="E381" s="23" t="s">
        <v>339</v>
      </c>
      <c r="F381" s="24">
        <v>44936</v>
      </c>
      <c r="G381" s="25">
        <v>1698.2</v>
      </c>
      <c r="H381" s="37">
        <f t="shared" si="19"/>
        <v>50</v>
      </c>
      <c r="I381" s="57" t="str">
        <f t="shared" si="17"/>
        <v>1-90 DAYS</v>
      </c>
      <c r="J381" s="37" t="str">
        <f t="shared" si="18"/>
        <v>0-180 DAYS</v>
      </c>
    </row>
    <row r="382" spans="1:10" x14ac:dyDescent="0.35">
      <c r="A382" t="s">
        <v>790</v>
      </c>
      <c r="B382" t="s">
        <v>477</v>
      </c>
      <c r="C382" s="1" t="s">
        <v>56</v>
      </c>
      <c r="D382" s="23" t="s">
        <v>57</v>
      </c>
      <c r="E382" s="23" t="s">
        <v>340</v>
      </c>
      <c r="F382" s="24">
        <v>44936</v>
      </c>
      <c r="G382" s="25">
        <v>282995</v>
      </c>
      <c r="H382" s="37">
        <f t="shared" si="19"/>
        <v>50</v>
      </c>
      <c r="I382" s="57" t="str">
        <f t="shared" si="17"/>
        <v>1-90 DAYS</v>
      </c>
      <c r="J382" s="37" t="str">
        <f t="shared" si="18"/>
        <v>0-180 DAYS</v>
      </c>
    </row>
    <row r="383" spans="1:10" x14ac:dyDescent="0.35">
      <c r="A383" t="s">
        <v>790</v>
      </c>
      <c r="B383" t="s">
        <v>477</v>
      </c>
      <c r="C383" s="1" t="s">
        <v>56</v>
      </c>
      <c r="D383" s="23" t="s">
        <v>57</v>
      </c>
      <c r="E383" s="23" t="s">
        <v>341</v>
      </c>
      <c r="F383" s="24">
        <v>44937</v>
      </c>
      <c r="G383" s="25">
        <v>9677.44</v>
      </c>
      <c r="H383" s="37">
        <f t="shared" si="19"/>
        <v>49</v>
      </c>
      <c r="I383" s="57" t="str">
        <f t="shared" si="17"/>
        <v>1-90 DAYS</v>
      </c>
      <c r="J383" s="37" t="str">
        <f t="shared" si="18"/>
        <v>0-180 DAYS</v>
      </c>
    </row>
    <row r="384" spans="1:10" x14ac:dyDescent="0.35">
      <c r="A384" t="s">
        <v>790</v>
      </c>
      <c r="B384" t="s">
        <v>477</v>
      </c>
      <c r="C384" s="1" t="s">
        <v>56</v>
      </c>
      <c r="D384" s="23" t="s">
        <v>57</v>
      </c>
      <c r="E384" s="23" t="s">
        <v>342</v>
      </c>
      <c r="F384" s="24">
        <v>44937</v>
      </c>
      <c r="G384" s="25">
        <v>933076.45</v>
      </c>
      <c r="H384" s="37">
        <f t="shared" si="19"/>
        <v>49</v>
      </c>
      <c r="I384" s="57" t="str">
        <f t="shared" si="17"/>
        <v>1-90 DAYS</v>
      </c>
      <c r="J384" s="37" t="str">
        <f t="shared" si="18"/>
        <v>0-180 DAYS</v>
      </c>
    </row>
    <row r="385" spans="1:10" x14ac:dyDescent="0.35">
      <c r="A385" t="s">
        <v>790</v>
      </c>
      <c r="B385" t="s">
        <v>477</v>
      </c>
      <c r="C385" s="1" t="s">
        <v>56</v>
      </c>
      <c r="D385" s="23" t="s">
        <v>57</v>
      </c>
      <c r="E385" s="23" t="s">
        <v>343</v>
      </c>
      <c r="F385" s="24">
        <v>44938</v>
      </c>
      <c r="G385" s="25">
        <v>26890.84</v>
      </c>
      <c r="H385" s="37">
        <f t="shared" si="19"/>
        <v>48</v>
      </c>
      <c r="I385" s="57" t="str">
        <f t="shared" si="17"/>
        <v>1-90 DAYS</v>
      </c>
      <c r="J385" s="37" t="str">
        <f t="shared" si="18"/>
        <v>0-180 DAYS</v>
      </c>
    </row>
    <row r="386" spans="1:10" x14ac:dyDescent="0.35">
      <c r="A386" t="s">
        <v>790</v>
      </c>
      <c r="B386" t="s">
        <v>477</v>
      </c>
      <c r="C386" s="1" t="s">
        <v>56</v>
      </c>
      <c r="D386" s="23" t="s">
        <v>57</v>
      </c>
      <c r="E386" s="23" t="s">
        <v>344</v>
      </c>
      <c r="F386" s="24">
        <v>44938</v>
      </c>
      <c r="G386" s="25">
        <v>293032.03999999998</v>
      </c>
      <c r="H386" s="37">
        <f t="shared" si="19"/>
        <v>48</v>
      </c>
      <c r="I386" s="57" t="str">
        <f t="shared" si="17"/>
        <v>1-90 DAYS</v>
      </c>
      <c r="J386" s="37" t="str">
        <f t="shared" si="18"/>
        <v>0-180 DAYS</v>
      </c>
    </row>
    <row r="387" spans="1:10" x14ac:dyDescent="0.35">
      <c r="A387" t="s">
        <v>790</v>
      </c>
      <c r="B387" t="s">
        <v>477</v>
      </c>
      <c r="C387" s="1" t="s">
        <v>56</v>
      </c>
      <c r="D387" s="23" t="s">
        <v>57</v>
      </c>
      <c r="E387" s="23" t="s">
        <v>345</v>
      </c>
      <c r="F387" s="24">
        <v>44938</v>
      </c>
      <c r="G387" s="25">
        <v>2263.6</v>
      </c>
      <c r="H387" s="37">
        <f t="shared" si="19"/>
        <v>48</v>
      </c>
      <c r="I387" s="57" t="str">
        <f t="shared" si="17"/>
        <v>1-90 DAYS</v>
      </c>
      <c r="J387" s="37" t="str">
        <f t="shared" si="18"/>
        <v>0-180 DAYS</v>
      </c>
    </row>
    <row r="388" spans="1:10" x14ac:dyDescent="0.35">
      <c r="A388" t="s">
        <v>790</v>
      </c>
      <c r="B388" t="s">
        <v>477</v>
      </c>
      <c r="C388" s="1" t="s">
        <v>56</v>
      </c>
      <c r="D388" s="23" t="s">
        <v>57</v>
      </c>
      <c r="E388" s="23" t="s">
        <v>346</v>
      </c>
      <c r="F388" s="24">
        <v>44938</v>
      </c>
      <c r="G388" s="25">
        <v>67</v>
      </c>
      <c r="H388" s="37">
        <f t="shared" si="19"/>
        <v>48</v>
      </c>
      <c r="I388" s="57" t="str">
        <f t="shared" si="17"/>
        <v>1-90 DAYS</v>
      </c>
      <c r="J388" s="37" t="str">
        <f t="shared" si="18"/>
        <v>0-180 DAYS</v>
      </c>
    </row>
    <row r="389" spans="1:10" x14ac:dyDescent="0.35">
      <c r="A389" t="s">
        <v>790</v>
      </c>
      <c r="B389" t="s">
        <v>477</v>
      </c>
      <c r="C389" s="1" t="s">
        <v>56</v>
      </c>
      <c r="D389" s="23" t="s">
        <v>57</v>
      </c>
      <c r="E389" s="23" t="s">
        <v>347</v>
      </c>
      <c r="F389" s="24">
        <v>44938</v>
      </c>
      <c r="G389" s="25">
        <v>64075</v>
      </c>
      <c r="H389" s="37">
        <f t="shared" si="19"/>
        <v>48</v>
      </c>
      <c r="I389" s="57" t="str">
        <f t="shared" ref="I389:I452" si="20">IF(H389&lt;91,"1-90 DAYS",IF(H389&lt;121,"91-120DAYS",IF(H389&lt;181,"121-180 DAYS","Morethan180Days")))</f>
        <v>1-90 DAYS</v>
      </c>
      <c r="J389" s="37" t="str">
        <f t="shared" si="18"/>
        <v>0-180 DAYS</v>
      </c>
    </row>
    <row r="390" spans="1:10" x14ac:dyDescent="0.35">
      <c r="A390" t="s">
        <v>790</v>
      </c>
      <c r="B390" t="s">
        <v>477</v>
      </c>
      <c r="C390" s="1" t="s">
        <v>56</v>
      </c>
      <c r="D390" s="23" t="s">
        <v>57</v>
      </c>
      <c r="E390" s="23" t="s">
        <v>348</v>
      </c>
      <c r="F390" s="24">
        <v>44938</v>
      </c>
      <c r="G390" s="25">
        <v>13790</v>
      </c>
      <c r="H390" s="37">
        <f t="shared" si="19"/>
        <v>48</v>
      </c>
      <c r="I390" s="57" t="str">
        <f t="shared" si="20"/>
        <v>1-90 DAYS</v>
      </c>
      <c r="J390" s="37" t="str">
        <f t="shared" ref="J390:J453" si="21">IF(H390&lt;180,"0-180 DAYS","More than 180 Days")</f>
        <v>0-180 DAYS</v>
      </c>
    </row>
    <row r="391" spans="1:10" x14ac:dyDescent="0.35">
      <c r="A391" t="s">
        <v>790</v>
      </c>
      <c r="B391" t="s">
        <v>477</v>
      </c>
      <c r="C391" s="1" t="s">
        <v>56</v>
      </c>
      <c r="D391" s="23" t="s">
        <v>57</v>
      </c>
      <c r="E391" s="23" t="s">
        <v>349</v>
      </c>
      <c r="F391" s="24">
        <v>44939</v>
      </c>
      <c r="G391" s="25">
        <v>39558.019999999997</v>
      </c>
      <c r="H391" s="37">
        <f t="shared" si="19"/>
        <v>47</v>
      </c>
      <c r="I391" s="57" t="str">
        <f t="shared" si="20"/>
        <v>1-90 DAYS</v>
      </c>
      <c r="J391" s="37" t="str">
        <f t="shared" si="21"/>
        <v>0-180 DAYS</v>
      </c>
    </row>
    <row r="392" spans="1:10" x14ac:dyDescent="0.35">
      <c r="A392" t="s">
        <v>790</v>
      </c>
      <c r="B392" t="s">
        <v>477</v>
      </c>
      <c r="C392" s="1" t="s">
        <v>56</v>
      </c>
      <c r="D392" s="23" t="s">
        <v>57</v>
      </c>
      <c r="E392" s="23" t="s">
        <v>350</v>
      </c>
      <c r="F392" s="24">
        <v>44939</v>
      </c>
      <c r="G392" s="25">
        <v>479900.91</v>
      </c>
      <c r="H392" s="37">
        <f t="shared" si="19"/>
        <v>47</v>
      </c>
      <c r="I392" s="57" t="str">
        <f t="shared" si="20"/>
        <v>1-90 DAYS</v>
      </c>
      <c r="J392" s="37" t="str">
        <f t="shared" si="21"/>
        <v>0-180 DAYS</v>
      </c>
    </row>
    <row r="393" spans="1:10" x14ac:dyDescent="0.35">
      <c r="A393" t="s">
        <v>790</v>
      </c>
      <c r="B393" t="s">
        <v>477</v>
      </c>
      <c r="C393" s="1" t="s">
        <v>56</v>
      </c>
      <c r="D393" s="23" t="s">
        <v>57</v>
      </c>
      <c r="E393" s="23" t="s">
        <v>351</v>
      </c>
      <c r="F393" s="24">
        <v>44939</v>
      </c>
      <c r="G393" s="25">
        <v>27371.19</v>
      </c>
      <c r="H393" s="37">
        <f t="shared" si="19"/>
        <v>47</v>
      </c>
      <c r="I393" s="57" t="str">
        <f t="shared" si="20"/>
        <v>1-90 DAYS</v>
      </c>
      <c r="J393" s="37" t="str">
        <f t="shared" si="21"/>
        <v>0-180 DAYS</v>
      </c>
    </row>
    <row r="394" spans="1:10" x14ac:dyDescent="0.35">
      <c r="A394" t="s">
        <v>790</v>
      </c>
      <c r="B394" t="s">
        <v>477</v>
      </c>
      <c r="C394" s="1" t="s">
        <v>56</v>
      </c>
      <c r="D394" s="23" t="s">
        <v>57</v>
      </c>
      <c r="E394" s="23" t="s">
        <v>352</v>
      </c>
      <c r="F394" s="24">
        <v>44939</v>
      </c>
      <c r="G394" s="25">
        <v>607245.77</v>
      </c>
      <c r="H394" s="37">
        <f t="shared" si="19"/>
        <v>47</v>
      </c>
      <c r="I394" s="57" t="str">
        <f t="shared" si="20"/>
        <v>1-90 DAYS</v>
      </c>
      <c r="J394" s="37" t="str">
        <f t="shared" si="21"/>
        <v>0-180 DAYS</v>
      </c>
    </row>
    <row r="395" spans="1:10" x14ac:dyDescent="0.35">
      <c r="A395" t="s">
        <v>790</v>
      </c>
      <c r="B395" t="s">
        <v>477</v>
      </c>
      <c r="C395" s="1" t="s">
        <v>56</v>
      </c>
      <c r="D395" s="23" t="s">
        <v>57</v>
      </c>
      <c r="E395" s="23" t="s">
        <v>353</v>
      </c>
      <c r="F395" s="24">
        <v>44939</v>
      </c>
      <c r="G395" s="25">
        <v>8319.08</v>
      </c>
      <c r="H395" s="37">
        <f t="shared" si="19"/>
        <v>47</v>
      </c>
      <c r="I395" s="57" t="str">
        <f t="shared" si="20"/>
        <v>1-90 DAYS</v>
      </c>
      <c r="J395" s="37" t="str">
        <f t="shared" si="21"/>
        <v>0-180 DAYS</v>
      </c>
    </row>
    <row r="396" spans="1:10" x14ac:dyDescent="0.35">
      <c r="A396" t="s">
        <v>790</v>
      </c>
      <c r="B396" t="s">
        <v>477</v>
      </c>
      <c r="C396" s="1" t="s">
        <v>56</v>
      </c>
      <c r="D396" s="23" t="s">
        <v>57</v>
      </c>
      <c r="E396" s="23" t="s">
        <v>354</v>
      </c>
      <c r="F396" s="24">
        <v>44939</v>
      </c>
      <c r="G396" s="25">
        <v>3224582.66</v>
      </c>
      <c r="H396" s="37">
        <f t="shared" si="19"/>
        <v>47</v>
      </c>
      <c r="I396" s="57" t="str">
        <f t="shared" si="20"/>
        <v>1-90 DAYS</v>
      </c>
      <c r="J396" s="37" t="str">
        <f t="shared" si="21"/>
        <v>0-180 DAYS</v>
      </c>
    </row>
    <row r="397" spans="1:10" x14ac:dyDescent="0.35">
      <c r="A397" t="s">
        <v>790</v>
      </c>
      <c r="B397" t="s">
        <v>477</v>
      </c>
      <c r="C397" s="1" t="s">
        <v>56</v>
      </c>
      <c r="D397" s="23" t="s">
        <v>57</v>
      </c>
      <c r="E397" s="23" t="s">
        <v>355</v>
      </c>
      <c r="F397" s="24">
        <v>44942</v>
      </c>
      <c r="G397" s="25">
        <v>536092.85</v>
      </c>
      <c r="H397" s="37">
        <f t="shared" si="19"/>
        <v>44</v>
      </c>
      <c r="I397" s="57" t="str">
        <f t="shared" si="20"/>
        <v>1-90 DAYS</v>
      </c>
      <c r="J397" s="37" t="str">
        <f t="shared" si="21"/>
        <v>0-180 DAYS</v>
      </c>
    </row>
    <row r="398" spans="1:10" x14ac:dyDescent="0.35">
      <c r="A398" t="s">
        <v>790</v>
      </c>
      <c r="B398" t="s">
        <v>477</v>
      </c>
      <c r="C398" s="1" t="s">
        <v>56</v>
      </c>
      <c r="D398" s="23" t="s">
        <v>57</v>
      </c>
      <c r="E398" s="23" t="s">
        <v>356</v>
      </c>
      <c r="F398" s="24">
        <v>44942</v>
      </c>
      <c r="G398" s="25">
        <v>4300.6400000000003</v>
      </c>
      <c r="H398" s="37">
        <f t="shared" si="19"/>
        <v>44</v>
      </c>
      <c r="I398" s="57" t="str">
        <f t="shared" si="20"/>
        <v>1-90 DAYS</v>
      </c>
      <c r="J398" s="37" t="str">
        <f t="shared" si="21"/>
        <v>0-180 DAYS</v>
      </c>
    </row>
    <row r="399" spans="1:10" x14ac:dyDescent="0.35">
      <c r="A399" t="s">
        <v>790</v>
      </c>
      <c r="B399" t="s">
        <v>477</v>
      </c>
      <c r="C399" s="1" t="s">
        <v>56</v>
      </c>
      <c r="D399" s="23" t="s">
        <v>57</v>
      </c>
      <c r="E399" s="23" t="s">
        <v>357</v>
      </c>
      <c r="F399" s="24">
        <v>44942</v>
      </c>
      <c r="G399" s="25">
        <v>7704.3</v>
      </c>
      <c r="H399" s="37">
        <f t="shared" si="19"/>
        <v>44</v>
      </c>
      <c r="I399" s="57" t="str">
        <f t="shared" si="20"/>
        <v>1-90 DAYS</v>
      </c>
      <c r="J399" s="37" t="str">
        <f t="shared" si="21"/>
        <v>0-180 DAYS</v>
      </c>
    </row>
    <row r="400" spans="1:10" x14ac:dyDescent="0.35">
      <c r="A400" t="s">
        <v>790</v>
      </c>
      <c r="B400" t="s">
        <v>477</v>
      </c>
      <c r="C400" s="1" t="s">
        <v>56</v>
      </c>
      <c r="D400" s="23" t="s">
        <v>57</v>
      </c>
      <c r="E400" s="23" t="s">
        <v>358</v>
      </c>
      <c r="F400" s="24">
        <v>44942</v>
      </c>
      <c r="G400" s="25">
        <v>339438.38</v>
      </c>
      <c r="H400" s="37">
        <f t="shared" si="19"/>
        <v>44</v>
      </c>
      <c r="I400" s="57" t="str">
        <f t="shared" si="20"/>
        <v>1-90 DAYS</v>
      </c>
      <c r="J400" s="37" t="str">
        <f t="shared" si="21"/>
        <v>0-180 DAYS</v>
      </c>
    </row>
    <row r="401" spans="1:10" x14ac:dyDescent="0.35">
      <c r="A401" t="s">
        <v>790</v>
      </c>
      <c r="B401" t="s">
        <v>477</v>
      </c>
      <c r="C401" s="1" t="s">
        <v>56</v>
      </c>
      <c r="D401" s="23" t="s">
        <v>57</v>
      </c>
      <c r="E401" s="23" t="s">
        <v>359</v>
      </c>
      <c r="F401" s="24">
        <v>44942</v>
      </c>
      <c r="G401" s="25">
        <v>5841</v>
      </c>
      <c r="H401" s="37">
        <f t="shared" si="19"/>
        <v>44</v>
      </c>
      <c r="I401" s="57" t="str">
        <f t="shared" si="20"/>
        <v>1-90 DAYS</v>
      </c>
      <c r="J401" s="37" t="str">
        <f t="shared" si="21"/>
        <v>0-180 DAYS</v>
      </c>
    </row>
    <row r="402" spans="1:10" x14ac:dyDescent="0.35">
      <c r="A402" t="s">
        <v>790</v>
      </c>
      <c r="B402" t="s">
        <v>477</v>
      </c>
      <c r="C402" s="1" t="s">
        <v>56</v>
      </c>
      <c r="D402" s="23" t="s">
        <v>57</v>
      </c>
      <c r="E402" s="23" t="s">
        <v>360</v>
      </c>
      <c r="F402" s="24">
        <v>44943</v>
      </c>
      <c r="G402" s="25">
        <v>383100.4</v>
      </c>
      <c r="H402" s="37">
        <f t="shared" si="19"/>
        <v>43</v>
      </c>
      <c r="I402" s="57" t="str">
        <f t="shared" si="20"/>
        <v>1-90 DAYS</v>
      </c>
      <c r="J402" s="37" t="str">
        <f t="shared" si="21"/>
        <v>0-180 DAYS</v>
      </c>
    </row>
    <row r="403" spans="1:10" x14ac:dyDescent="0.35">
      <c r="A403" t="s">
        <v>790</v>
      </c>
      <c r="B403" t="s">
        <v>477</v>
      </c>
      <c r="C403" s="1" t="s">
        <v>56</v>
      </c>
      <c r="D403" s="23" t="s">
        <v>57</v>
      </c>
      <c r="E403" s="23" t="s">
        <v>361</v>
      </c>
      <c r="F403" s="24">
        <v>44943</v>
      </c>
      <c r="G403" s="25">
        <v>2603.44</v>
      </c>
      <c r="H403" s="37">
        <f t="shared" si="19"/>
        <v>43</v>
      </c>
      <c r="I403" s="57" t="str">
        <f t="shared" si="20"/>
        <v>1-90 DAYS</v>
      </c>
      <c r="J403" s="37" t="str">
        <f t="shared" si="21"/>
        <v>0-180 DAYS</v>
      </c>
    </row>
    <row r="404" spans="1:10" x14ac:dyDescent="0.35">
      <c r="A404" t="s">
        <v>790</v>
      </c>
      <c r="B404" t="s">
        <v>477</v>
      </c>
      <c r="C404" s="1" t="s">
        <v>56</v>
      </c>
      <c r="D404" s="23" t="s">
        <v>57</v>
      </c>
      <c r="E404" s="23" t="s">
        <v>362</v>
      </c>
      <c r="F404" s="24">
        <v>44943</v>
      </c>
      <c r="G404" s="25">
        <v>2490.16</v>
      </c>
      <c r="H404" s="37">
        <f t="shared" si="19"/>
        <v>43</v>
      </c>
      <c r="I404" s="57" t="str">
        <f t="shared" si="20"/>
        <v>1-90 DAYS</v>
      </c>
      <c r="J404" s="37" t="str">
        <f t="shared" si="21"/>
        <v>0-180 DAYS</v>
      </c>
    </row>
    <row r="405" spans="1:10" x14ac:dyDescent="0.35">
      <c r="A405" t="s">
        <v>790</v>
      </c>
      <c r="B405" t="s">
        <v>477</v>
      </c>
      <c r="C405" s="1" t="s">
        <v>56</v>
      </c>
      <c r="D405" s="23" t="s">
        <v>57</v>
      </c>
      <c r="E405" s="23" t="s">
        <v>363</v>
      </c>
      <c r="F405" s="24">
        <v>44943</v>
      </c>
      <c r="G405" s="25">
        <v>200851.78</v>
      </c>
      <c r="H405" s="37">
        <f t="shared" si="19"/>
        <v>43</v>
      </c>
      <c r="I405" s="57" t="str">
        <f t="shared" si="20"/>
        <v>1-90 DAYS</v>
      </c>
      <c r="J405" s="37" t="str">
        <f t="shared" si="21"/>
        <v>0-180 DAYS</v>
      </c>
    </row>
    <row r="406" spans="1:10" x14ac:dyDescent="0.35">
      <c r="A406" t="s">
        <v>790</v>
      </c>
      <c r="B406" t="s">
        <v>477</v>
      </c>
      <c r="C406" s="1" t="s">
        <v>56</v>
      </c>
      <c r="D406" s="23" t="s">
        <v>57</v>
      </c>
      <c r="E406" s="23" t="s">
        <v>364</v>
      </c>
      <c r="F406" s="24">
        <v>44943</v>
      </c>
      <c r="G406" s="25">
        <v>56100</v>
      </c>
      <c r="H406" s="37">
        <f t="shared" si="19"/>
        <v>43</v>
      </c>
      <c r="I406" s="57" t="str">
        <f t="shared" si="20"/>
        <v>1-90 DAYS</v>
      </c>
      <c r="J406" s="37" t="str">
        <f t="shared" si="21"/>
        <v>0-180 DAYS</v>
      </c>
    </row>
    <row r="407" spans="1:10" x14ac:dyDescent="0.35">
      <c r="A407" t="s">
        <v>790</v>
      </c>
      <c r="B407" t="s">
        <v>477</v>
      </c>
      <c r="C407" s="1" t="s">
        <v>56</v>
      </c>
      <c r="D407" s="23" t="s">
        <v>57</v>
      </c>
      <c r="E407" s="23" t="s">
        <v>365</v>
      </c>
      <c r="F407" s="24">
        <v>44944</v>
      </c>
      <c r="G407" s="25">
        <v>9450.8799999999992</v>
      </c>
      <c r="H407" s="37">
        <f t="shared" si="19"/>
        <v>42</v>
      </c>
      <c r="I407" s="57" t="str">
        <f t="shared" si="20"/>
        <v>1-90 DAYS</v>
      </c>
      <c r="J407" s="37" t="str">
        <f t="shared" si="21"/>
        <v>0-180 DAYS</v>
      </c>
    </row>
    <row r="408" spans="1:10" x14ac:dyDescent="0.35">
      <c r="A408" t="s">
        <v>790</v>
      </c>
      <c r="B408" t="s">
        <v>477</v>
      </c>
      <c r="C408" s="1" t="s">
        <v>56</v>
      </c>
      <c r="D408" s="23" t="s">
        <v>57</v>
      </c>
      <c r="E408" s="23" t="s">
        <v>366</v>
      </c>
      <c r="F408" s="24">
        <v>44944</v>
      </c>
      <c r="G408" s="25">
        <v>640500.80000000005</v>
      </c>
      <c r="H408" s="37">
        <f t="shared" si="19"/>
        <v>42</v>
      </c>
      <c r="I408" s="57" t="str">
        <f t="shared" si="20"/>
        <v>1-90 DAYS</v>
      </c>
      <c r="J408" s="37" t="str">
        <f t="shared" si="21"/>
        <v>0-180 DAYS</v>
      </c>
    </row>
    <row r="409" spans="1:10" x14ac:dyDescent="0.35">
      <c r="A409" t="s">
        <v>790</v>
      </c>
      <c r="B409" t="s">
        <v>477</v>
      </c>
      <c r="C409" s="1" t="s">
        <v>56</v>
      </c>
      <c r="D409" s="23" t="s">
        <v>57</v>
      </c>
      <c r="E409" s="23" t="s">
        <v>367</v>
      </c>
      <c r="F409" s="24">
        <v>44944</v>
      </c>
      <c r="G409" s="25">
        <v>10920</v>
      </c>
      <c r="H409" s="37">
        <f t="shared" si="19"/>
        <v>42</v>
      </c>
      <c r="I409" s="57" t="str">
        <f t="shared" si="20"/>
        <v>1-90 DAYS</v>
      </c>
      <c r="J409" s="37" t="str">
        <f t="shared" si="21"/>
        <v>0-180 DAYS</v>
      </c>
    </row>
    <row r="410" spans="1:10" x14ac:dyDescent="0.35">
      <c r="A410" t="s">
        <v>790</v>
      </c>
      <c r="B410" t="s">
        <v>477</v>
      </c>
      <c r="C410" s="1" t="s">
        <v>56</v>
      </c>
      <c r="D410" s="23" t="s">
        <v>57</v>
      </c>
      <c r="E410" s="23" t="s">
        <v>368</v>
      </c>
      <c r="F410" s="24">
        <v>44945</v>
      </c>
      <c r="G410" s="25">
        <v>1186576.8700000001</v>
      </c>
      <c r="H410" s="37">
        <f t="shared" si="19"/>
        <v>41</v>
      </c>
      <c r="I410" s="57" t="str">
        <f t="shared" si="20"/>
        <v>1-90 DAYS</v>
      </c>
      <c r="J410" s="37" t="str">
        <f t="shared" si="21"/>
        <v>0-180 DAYS</v>
      </c>
    </row>
    <row r="411" spans="1:10" x14ac:dyDescent="0.35">
      <c r="A411" t="s">
        <v>790</v>
      </c>
      <c r="B411" t="s">
        <v>477</v>
      </c>
      <c r="C411" s="1" t="s">
        <v>56</v>
      </c>
      <c r="D411" s="23" t="s">
        <v>57</v>
      </c>
      <c r="E411" s="23" t="s">
        <v>369</v>
      </c>
      <c r="F411" s="24">
        <v>44945</v>
      </c>
      <c r="G411" s="25">
        <v>845764.18</v>
      </c>
      <c r="H411" s="37">
        <f t="shared" si="19"/>
        <v>41</v>
      </c>
      <c r="I411" s="57" t="str">
        <f t="shared" si="20"/>
        <v>1-90 DAYS</v>
      </c>
      <c r="J411" s="37" t="str">
        <f t="shared" si="21"/>
        <v>0-180 DAYS</v>
      </c>
    </row>
    <row r="412" spans="1:10" x14ac:dyDescent="0.35">
      <c r="A412" t="s">
        <v>790</v>
      </c>
      <c r="B412" t="s">
        <v>477</v>
      </c>
      <c r="C412" s="1" t="s">
        <v>56</v>
      </c>
      <c r="D412" s="23" t="s">
        <v>57</v>
      </c>
      <c r="E412" s="23" t="s">
        <v>370</v>
      </c>
      <c r="F412" s="24">
        <v>44945</v>
      </c>
      <c r="G412" s="25">
        <v>9904</v>
      </c>
      <c r="H412" s="37">
        <f t="shared" si="19"/>
        <v>41</v>
      </c>
      <c r="I412" s="57" t="str">
        <f t="shared" si="20"/>
        <v>1-90 DAYS</v>
      </c>
      <c r="J412" s="37" t="str">
        <f t="shared" si="21"/>
        <v>0-180 DAYS</v>
      </c>
    </row>
    <row r="413" spans="1:10" x14ac:dyDescent="0.35">
      <c r="A413" t="s">
        <v>790</v>
      </c>
      <c r="B413" t="s">
        <v>477</v>
      </c>
      <c r="C413" s="1" t="s">
        <v>56</v>
      </c>
      <c r="D413" s="23" t="s">
        <v>57</v>
      </c>
      <c r="E413" s="23" t="s">
        <v>371</v>
      </c>
      <c r="F413" s="24">
        <v>44945</v>
      </c>
      <c r="G413" s="25">
        <v>37450</v>
      </c>
      <c r="H413" s="37">
        <f t="shared" si="19"/>
        <v>41</v>
      </c>
      <c r="I413" s="57" t="str">
        <f t="shared" si="20"/>
        <v>1-90 DAYS</v>
      </c>
      <c r="J413" s="37" t="str">
        <f t="shared" si="21"/>
        <v>0-180 DAYS</v>
      </c>
    </row>
    <row r="414" spans="1:10" x14ac:dyDescent="0.35">
      <c r="A414" t="s">
        <v>790</v>
      </c>
      <c r="B414" t="s">
        <v>477</v>
      </c>
      <c r="C414" s="1" t="s">
        <v>56</v>
      </c>
      <c r="D414" s="23" t="s">
        <v>57</v>
      </c>
      <c r="E414" s="23" t="s">
        <v>372</v>
      </c>
      <c r="F414" s="24">
        <v>44945</v>
      </c>
      <c r="G414" s="25">
        <v>6926</v>
      </c>
      <c r="H414" s="37">
        <f t="shared" si="19"/>
        <v>41</v>
      </c>
      <c r="I414" s="57" t="str">
        <f t="shared" si="20"/>
        <v>1-90 DAYS</v>
      </c>
      <c r="J414" s="37" t="str">
        <f t="shared" si="21"/>
        <v>0-180 DAYS</v>
      </c>
    </row>
    <row r="415" spans="1:10" x14ac:dyDescent="0.35">
      <c r="A415" t="s">
        <v>790</v>
      </c>
      <c r="B415" t="s">
        <v>477</v>
      </c>
      <c r="C415" s="1" t="s">
        <v>56</v>
      </c>
      <c r="D415" s="23" t="s">
        <v>57</v>
      </c>
      <c r="E415" s="23" t="s">
        <v>373</v>
      </c>
      <c r="F415" s="24">
        <v>44945</v>
      </c>
      <c r="G415" s="25">
        <v>4291650</v>
      </c>
      <c r="H415" s="37">
        <f t="shared" si="19"/>
        <v>41</v>
      </c>
      <c r="I415" s="57" t="str">
        <f t="shared" si="20"/>
        <v>1-90 DAYS</v>
      </c>
      <c r="J415" s="37" t="str">
        <f t="shared" si="21"/>
        <v>0-180 DAYS</v>
      </c>
    </row>
    <row r="416" spans="1:10" x14ac:dyDescent="0.35">
      <c r="A416" t="s">
        <v>790</v>
      </c>
      <c r="B416" t="s">
        <v>477</v>
      </c>
      <c r="C416" s="1" t="s">
        <v>56</v>
      </c>
      <c r="D416" s="23" t="s">
        <v>57</v>
      </c>
      <c r="E416" s="23" t="s">
        <v>374</v>
      </c>
      <c r="F416" s="24">
        <v>44946</v>
      </c>
      <c r="G416" s="25">
        <v>768139.23</v>
      </c>
      <c r="H416" s="37">
        <f t="shared" si="19"/>
        <v>40</v>
      </c>
      <c r="I416" s="57" t="str">
        <f t="shared" si="20"/>
        <v>1-90 DAYS</v>
      </c>
      <c r="J416" s="37" t="str">
        <f t="shared" si="21"/>
        <v>0-180 DAYS</v>
      </c>
    </row>
    <row r="417" spans="1:10" x14ac:dyDescent="0.35">
      <c r="A417" t="s">
        <v>790</v>
      </c>
      <c r="B417" t="s">
        <v>477</v>
      </c>
      <c r="C417" s="1" t="s">
        <v>56</v>
      </c>
      <c r="D417" s="23" t="s">
        <v>57</v>
      </c>
      <c r="E417" s="23" t="s">
        <v>375</v>
      </c>
      <c r="F417" s="24">
        <v>44946</v>
      </c>
      <c r="G417" s="25">
        <v>8319.08</v>
      </c>
      <c r="H417" s="37">
        <f t="shared" si="19"/>
        <v>40</v>
      </c>
      <c r="I417" s="57" t="str">
        <f t="shared" si="20"/>
        <v>1-90 DAYS</v>
      </c>
      <c r="J417" s="37" t="str">
        <f t="shared" si="21"/>
        <v>0-180 DAYS</v>
      </c>
    </row>
    <row r="418" spans="1:10" x14ac:dyDescent="0.35">
      <c r="A418" t="s">
        <v>790</v>
      </c>
      <c r="B418" t="s">
        <v>477</v>
      </c>
      <c r="C418" s="1" t="s">
        <v>56</v>
      </c>
      <c r="D418" s="23" t="s">
        <v>57</v>
      </c>
      <c r="E418" s="23" t="s">
        <v>376</v>
      </c>
      <c r="F418" s="24">
        <v>44946</v>
      </c>
      <c r="G418" s="25">
        <v>8244</v>
      </c>
      <c r="H418" s="37">
        <f t="shared" si="19"/>
        <v>40</v>
      </c>
      <c r="I418" s="57" t="str">
        <f t="shared" si="20"/>
        <v>1-90 DAYS</v>
      </c>
      <c r="J418" s="37" t="str">
        <f t="shared" si="21"/>
        <v>0-180 DAYS</v>
      </c>
    </row>
    <row r="419" spans="1:10" x14ac:dyDescent="0.35">
      <c r="A419" t="s">
        <v>790</v>
      </c>
      <c r="B419" t="s">
        <v>477</v>
      </c>
      <c r="C419" s="1" t="s">
        <v>56</v>
      </c>
      <c r="D419" s="23" t="s">
        <v>57</v>
      </c>
      <c r="E419" s="23" t="s">
        <v>377</v>
      </c>
      <c r="F419" s="24">
        <v>44946</v>
      </c>
      <c r="G419" s="25">
        <v>30250</v>
      </c>
      <c r="H419" s="37">
        <f t="shared" si="19"/>
        <v>40</v>
      </c>
      <c r="I419" s="57" t="str">
        <f t="shared" si="20"/>
        <v>1-90 DAYS</v>
      </c>
      <c r="J419" s="37" t="str">
        <f t="shared" si="21"/>
        <v>0-180 DAYS</v>
      </c>
    </row>
    <row r="420" spans="1:10" x14ac:dyDescent="0.35">
      <c r="A420" t="s">
        <v>790</v>
      </c>
      <c r="B420" t="s">
        <v>477</v>
      </c>
      <c r="C420" s="1" t="s">
        <v>56</v>
      </c>
      <c r="D420" s="23" t="s">
        <v>57</v>
      </c>
      <c r="E420" s="23" t="s">
        <v>378</v>
      </c>
      <c r="F420" s="24">
        <v>44948</v>
      </c>
      <c r="G420" s="25">
        <v>294206.07</v>
      </c>
      <c r="H420" s="37">
        <f t="shared" si="19"/>
        <v>38</v>
      </c>
      <c r="I420" s="57" t="str">
        <f t="shared" si="20"/>
        <v>1-90 DAYS</v>
      </c>
      <c r="J420" s="37" t="str">
        <f t="shared" si="21"/>
        <v>0-180 DAYS</v>
      </c>
    </row>
    <row r="421" spans="1:10" x14ac:dyDescent="0.35">
      <c r="A421" t="s">
        <v>790</v>
      </c>
      <c r="B421" t="s">
        <v>477</v>
      </c>
      <c r="C421" s="1" t="s">
        <v>56</v>
      </c>
      <c r="D421" s="23" t="s">
        <v>57</v>
      </c>
      <c r="E421" s="23" t="s">
        <v>379</v>
      </c>
      <c r="F421" s="24">
        <v>44948</v>
      </c>
      <c r="G421" s="25">
        <v>1528.28</v>
      </c>
      <c r="H421" s="37">
        <f t="shared" si="19"/>
        <v>38</v>
      </c>
      <c r="I421" s="57" t="str">
        <f t="shared" si="20"/>
        <v>1-90 DAYS</v>
      </c>
      <c r="J421" s="37" t="str">
        <f t="shared" si="21"/>
        <v>0-180 DAYS</v>
      </c>
    </row>
    <row r="422" spans="1:10" x14ac:dyDescent="0.35">
      <c r="A422" t="s">
        <v>790</v>
      </c>
      <c r="B422" t="s">
        <v>477</v>
      </c>
      <c r="C422" s="1" t="s">
        <v>56</v>
      </c>
      <c r="D422" s="23" t="s">
        <v>57</v>
      </c>
      <c r="E422" s="23" t="s">
        <v>380</v>
      </c>
      <c r="F422" s="24">
        <v>44948</v>
      </c>
      <c r="G422" s="25">
        <v>99908.18</v>
      </c>
      <c r="H422" s="37">
        <f t="shared" si="19"/>
        <v>38</v>
      </c>
      <c r="I422" s="57" t="str">
        <f t="shared" si="20"/>
        <v>1-90 DAYS</v>
      </c>
      <c r="J422" s="37" t="str">
        <f t="shared" si="21"/>
        <v>0-180 DAYS</v>
      </c>
    </row>
    <row r="423" spans="1:10" x14ac:dyDescent="0.35">
      <c r="A423" t="s">
        <v>790</v>
      </c>
      <c r="B423" t="s">
        <v>477</v>
      </c>
      <c r="C423" s="1" t="s">
        <v>56</v>
      </c>
      <c r="D423" s="23" t="s">
        <v>57</v>
      </c>
      <c r="E423" s="23" t="s">
        <v>381</v>
      </c>
      <c r="F423" s="24">
        <v>44948</v>
      </c>
      <c r="G423" s="25">
        <v>1245.08</v>
      </c>
      <c r="H423" s="37">
        <f t="shared" si="19"/>
        <v>38</v>
      </c>
      <c r="I423" s="57" t="str">
        <f t="shared" si="20"/>
        <v>1-90 DAYS</v>
      </c>
      <c r="J423" s="37" t="str">
        <f t="shared" si="21"/>
        <v>0-180 DAYS</v>
      </c>
    </row>
    <row r="424" spans="1:10" x14ac:dyDescent="0.35">
      <c r="A424" t="s">
        <v>790</v>
      </c>
      <c r="B424" t="s">
        <v>477</v>
      </c>
      <c r="C424" s="1" t="s">
        <v>56</v>
      </c>
      <c r="D424" s="23" t="s">
        <v>57</v>
      </c>
      <c r="E424" s="23" t="s">
        <v>382</v>
      </c>
      <c r="F424" s="24">
        <v>44948</v>
      </c>
      <c r="G424" s="25">
        <v>17471</v>
      </c>
      <c r="H424" s="37">
        <f t="shared" si="19"/>
        <v>38</v>
      </c>
      <c r="I424" s="57" t="str">
        <f t="shared" si="20"/>
        <v>1-90 DAYS</v>
      </c>
      <c r="J424" s="37" t="str">
        <f t="shared" si="21"/>
        <v>0-180 DAYS</v>
      </c>
    </row>
    <row r="425" spans="1:10" x14ac:dyDescent="0.35">
      <c r="A425" t="s">
        <v>790</v>
      </c>
      <c r="B425" t="s">
        <v>477</v>
      </c>
      <c r="C425" s="1" t="s">
        <v>56</v>
      </c>
      <c r="D425" s="23" t="s">
        <v>57</v>
      </c>
      <c r="E425" s="23" t="s">
        <v>383</v>
      </c>
      <c r="F425" s="24">
        <v>44948</v>
      </c>
      <c r="G425" s="25">
        <v>7301</v>
      </c>
      <c r="H425" s="37">
        <f t="shared" si="19"/>
        <v>38</v>
      </c>
      <c r="I425" s="57" t="str">
        <f t="shared" si="20"/>
        <v>1-90 DAYS</v>
      </c>
      <c r="J425" s="37" t="str">
        <f t="shared" si="21"/>
        <v>0-180 DAYS</v>
      </c>
    </row>
    <row r="426" spans="1:10" x14ac:dyDescent="0.35">
      <c r="A426" t="s">
        <v>790</v>
      </c>
      <c r="B426" t="s">
        <v>477</v>
      </c>
      <c r="C426" s="1" t="s">
        <v>56</v>
      </c>
      <c r="D426" s="23" t="s">
        <v>57</v>
      </c>
      <c r="E426" s="23" t="s">
        <v>384</v>
      </c>
      <c r="F426" s="24">
        <v>44949</v>
      </c>
      <c r="G426" s="25">
        <v>24140.5</v>
      </c>
      <c r="H426" s="37">
        <f t="shared" si="19"/>
        <v>37</v>
      </c>
      <c r="I426" s="57" t="str">
        <f t="shared" si="20"/>
        <v>1-90 DAYS</v>
      </c>
      <c r="J426" s="37" t="str">
        <f t="shared" si="21"/>
        <v>0-180 DAYS</v>
      </c>
    </row>
    <row r="427" spans="1:10" x14ac:dyDescent="0.35">
      <c r="A427" t="s">
        <v>790</v>
      </c>
      <c r="B427" t="s">
        <v>477</v>
      </c>
      <c r="C427" s="1" t="s">
        <v>56</v>
      </c>
      <c r="D427" s="23" t="s">
        <v>57</v>
      </c>
      <c r="E427" s="23" t="s">
        <v>385</v>
      </c>
      <c r="F427" s="24">
        <v>44949</v>
      </c>
      <c r="G427" s="25">
        <v>11147.9</v>
      </c>
      <c r="H427" s="37">
        <f t="shared" si="19"/>
        <v>37</v>
      </c>
      <c r="I427" s="57" t="str">
        <f t="shared" si="20"/>
        <v>1-90 DAYS</v>
      </c>
      <c r="J427" s="37" t="str">
        <f t="shared" si="21"/>
        <v>0-180 DAYS</v>
      </c>
    </row>
    <row r="428" spans="1:10" x14ac:dyDescent="0.35">
      <c r="A428" t="s">
        <v>790</v>
      </c>
      <c r="B428" t="s">
        <v>477</v>
      </c>
      <c r="C428" s="1" t="s">
        <v>56</v>
      </c>
      <c r="D428" s="23" t="s">
        <v>57</v>
      </c>
      <c r="E428" s="23" t="s">
        <v>386</v>
      </c>
      <c r="F428" s="24">
        <v>44949</v>
      </c>
      <c r="G428" s="25">
        <v>210009.5</v>
      </c>
      <c r="H428" s="37">
        <f t="shared" si="19"/>
        <v>37</v>
      </c>
      <c r="I428" s="57" t="str">
        <f t="shared" si="20"/>
        <v>1-90 DAYS</v>
      </c>
      <c r="J428" s="37" t="str">
        <f t="shared" si="21"/>
        <v>0-180 DAYS</v>
      </c>
    </row>
    <row r="429" spans="1:10" x14ac:dyDescent="0.35">
      <c r="A429" t="s">
        <v>790</v>
      </c>
      <c r="B429" t="s">
        <v>477</v>
      </c>
      <c r="C429" s="1" t="s">
        <v>56</v>
      </c>
      <c r="D429" s="23" t="s">
        <v>57</v>
      </c>
      <c r="E429" s="23" t="s">
        <v>387</v>
      </c>
      <c r="F429" s="24">
        <v>44949</v>
      </c>
      <c r="G429" s="25">
        <v>206702.6</v>
      </c>
      <c r="H429" s="37">
        <f t="shared" si="19"/>
        <v>37</v>
      </c>
      <c r="I429" s="57" t="str">
        <f t="shared" si="20"/>
        <v>1-90 DAYS</v>
      </c>
      <c r="J429" s="37" t="str">
        <f t="shared" si="21"/>
        <v>0-180 DAYS</v>
      </c>
    </row>
    <row r="430" spans="1:10" x14ac:dyDescent="0.35">
      <c r="A430" t="s">
        <v>790</v>
      </c>
      <c r="B430" t="s">
        <v>477</v>
      </c>
      <c r="C430" s="1" t="s">
        <v>56</v>
      </c>
      <c r="D430" s="23" t="s">
        <v>57</v>
      </c>
      <c r="E430" s="23" t="s">
        <v>388</v>
      </c>
      <c r="F430" s="24">
        <v>44949</v>
      </c>
      <c r="G430" s="25">
        <v>921560.23</v>
      </c>
      <c r="H430" s="37">
        <f t="shared" si="19"/>
        <v>37</v>
      </c>
      <c r="I430" s="57" t="str">
        <f t="shared" si="20"/>
        <v>1-90 DAYS</v>
      </c>
      <c r="J430" s="37" t="str">
        <f t="shared" si="21"/>
        <v>0-180 DAYS</v>
      </c>
    </row>
    <row r="431" spans="1:10" x14ac:dyDescent="0.35">
      <c r="A431" t="s">
        <v>790</v>
      </c>
      <c r="B431" t="s">
        <v>477</v>
      </c>
      <c r="C431" s="1" t="s">
        <v>56</v>
      </c>
      <c r="D431" s="23" t="s">
        <v>57</v>
      </c>
      <c r="E431" s="23" t="s">
        <v>389</v>
      </c>
      <c r="F431" s="24">
        <v>44949</v>
      </c>
      <c r="G431" s="25">
        <v>5602.36</v>
      </c>
      <c r="H431" s="37">
        <f t="shared" si="19"/>
        <v>37</v>
      </c>
      <c r="I431" s="57" t="str">
        <f t="shared" si="20"/>
        <v>1-90 DAYS</v>
      </c>
      <c r="J431" s="37" t="str">
        <f t="shared" si="21"/>
        <v>0-180 DAYS</v>
      </c>
    </row>
    <row r="432" spans="1:10" x14ac:dyDescent="0.35">
      <c r="A432" t="s">
        <v>790</v>
      </c>
      <c r="B432" t="s">
        <v>477</v>
      </c>
      <c r="C432" s="1" t="s">
        <v>56</v>
      </c>
      <c r="D432" s="23" t="s">
        <v>57</v>
      </c>
      <c r="E432" s="23" t="s">
        <v>390</v>
      </c>
      <c r="F432" s="24">
        <v>44949</v>
      </c>
      <c r="G432" s="25">
        <v>62641</v>
      </c>
      <c r="H432" s="37">
        <f t="shared" si="19"/>
        <v>37</v>
      </c>
      <c r="I432" s="57" t="str">
        <f t="shared" si="20"/>
        <v>1-90 DAYS</v>
      </c>
      <c r="J432" s="37" t="str">
        <f t="shared" si="21"/>
        <v>0-180 DAYS</v>
      </c>
    </row>
    <row r="433" spans="1:10" x14ac:dyDescent="0.35">
      <c r="A433" t="s">
        <v>790</v>
      </c>
      <c r="B433" t="s">
        <v>477</v>
      </c>
      <c r="C433" s="1" t="s">
        <v>56</v>
      </c>
      <c r="D433" s="23" t="s">
        <v>57</v>
      </c>
      <c r="E433" s="23" t="s">
        <v>391</v>
      </c>
      <c r="F433" s="24">
        <v>44949</v>
      </c>
      <c r="G433" s="25">
        <v>569498</v>
      </c>
      <c r="H433" s="37">
        <f t="shared" si="19"/>
        <v>37</v>
      </c>
      <c r="I433" s="57" t="str">
        <f t="shared" si="20"/>
        <v>1-90 DAYS</v>
      </c>
      <c r="J433" s="37" t="str">
        <f t="shared" si="21"/>
        <v>0-180 DAYS</v>
      </c>
    </row>
    <row r="434" spans="1:10" x14ac:dyDescent="0.35">
      <c r="A434" t="s">
        <v>790</v>
      </c>
      <c r="B434" t="s">
        <v>477</v>
      </c>
      <c r="C434" s="1" t="s">
        <v>56</v>
      </c>
      <c r="D434" s="23" t="s">
        <v>57</v>
      </c>
      <c r="E434" s="23" t="s">
        <v>392</v>
      </c>
      <c r="F434" s="24">
        <v>44950</v>
      </c>
      <c r="G434" s="25">
        <v>920.21</v>
      </c>
      <c r="H434" s="37">
        <f t="shared" si="19"/>
        <v>36</v>
      </c>
      <c r="I434" s="57" t="str">
        <f t="shared" si="20"/>
        <v>1-90 DAYS</v>
      </c>
      <c r="J434" s="37" t="str">
        <f t="shared" si="21"/>
        <v>0-180 DAYS</v>
      </c>
    </row>
    <row r="435" spans="1:10" x14ac:dyDescent="0.35">
      <c r="A435" t="s">
        <v>790</v>
      </c>
      <c r="B435" t="s">
        <v>477</v>
      </c>
      <c r="C435" s="1" t="s">
        <v>56</v>
      </c>
      <c r="D435" s="23" t="s">
        <v>57</v>
      </c>
      <c r="E435" s="23" t="s">
        <v>393</v>
      </c>
      <c r="F435" s="24">
        <v>44950</v>
      </c>
      <c r="G435" s="25">
        <v>911467.49</v>
      </c>
      <c r="H435" s="37">
        <f t="shared" si="19"/>
        <v>36</v>
      </c>
      <c r="I435" s="57" t="str">
        <f t="shared" si="20"/>
        <v>1-90 DAYS</v>
      </c>
      <c r="J435" s="37" t="str">
        <f t="shared" si="21"/>
        <v>0-180 DAYS</v>
      </c>
    </row>
    <row r="436" spans="1:10" x14ac:dyDescent="0.35">
      <c r="A436" t="s">
        <v>790</v>
      </c>
      <c r="B436" t="s">
        <v>477</v>
      </c>
      <c r="C436" s="1" t="s">
        <v>56</v>
      </c>
      <c r="D436" s="23" t="s">
        <v>57</v>
      </c>
      <c r="E436" s="23" t="s">
        <v>394</v>
      </c>
      <c r="F436" s="24">
        <v>44950</v>
      </c>
      <c r="G436" s="25">
        <v>10639.32</v>
      </c>
      <c r="H436" s="37">
        <f t="shared" si="19"/>
        <v>36</v>
      </c>
      <c r="I436" s="57" t="str">
        <f t="shared" si="20"/>
        <v>1-90 DAYS</v>
      </c>
      <c r="J436" s="37" t="str">
        <f t="shared" si="21"/>
        <v>0-180 DAYS</v>
      </c>
    </row>
    <row r="437" spans="1:10" x14ac:dyDescent="0.35">
      <c r="A437" t="s">
        <v>790</v>
      </c>
      <c r="B437" t="s">
        <v>477</v>
      </c>
      <c r="C437" s="1" t="s">
        <v>56</v>
      </c>
      <c r="D437" s="23" t="s">
        <v>57</v>
      </c>
      <c r="E437" s="23" t="s">
        <v>395</v>
      </c>
      <c r="F437" s="24">
        <v>44950</v>
      </c>
      <c r="G437" s="25">
        <v>1179012</v>
      </c>
      <c r="H437" s="37">
        <f t="shared" ref="H437:H500" si="22">$H$3-F437+1</f>
        <v>36</v>
      </c>
      <c r="I437" s="57" t="str">
        <f t="shared" si="20"/>
        <v>1-90 DAYS</v>
      </c>
      <c r="J437" s="37" t="str">
        <f t="shared" si="21"/>
        <v>0-180 DAYS</v>
      </c>
    </row>
    <row r="438" spans="1:10" x14ac:dyDescent="0.35">
      <c r="A438" t="s">
        <v>790</v>
      </c>
      <c r="B438" t="s">
        <v>477</v>
      </c>
      <c r="C438" s="1" t="s">
        <v>56</v>
      </c>
      <c r="D438" s="23" t="s">
        <v>57</v>
      </c>
      <c r="E438" s="23" t="s">
        <v>396</v>
      </c>
      <c r="F438" s="24">
        <v>44951</v>
      </c>
      <c r="G438" s="25">
        <v>543138.74</v>
      </c>
      <c r="H438" s="37">
        <f t="shared" si="22"/>
        <v>35</v>
      </c>
      <c r="I438" s="57" t="str">
        <f t="shared" si="20"/>
        <v>1-90 DAYS</v>
      </c>
      <c r="J438" s="37" t="str">
        <f t="shared" si="21"/>
        <v>0-180 DAYS</v>
      </c>
    </row>
    <row r="439" spans="1:10" x14ac:dyDescent="0.35">
      <c r="A439" t="s">
        <v>790</v>
      </c>
      <c r="B439" t="s">
        <v>477</v>
      </c>
      <c r="C439" s="1" t="s">
        <v>56</v>
      </c>
      <c r="D439" s="23" t="s">
        <v>57</v>
      </c>
      <c r="E439" s="23" t="s">
        <v>397</v>
      </c>
      <c r="F439" s="24">
        <v>44951</v>
      </c>
      <c r="G439" s="25">
        <v>6451.96</v>
      </c>
      <c r="H439" s="37">
        <f t="shared" si="22"/>
        <v>35</v>
      </c>
      <c r="I439" s="57" t="str">
        <f t="shared" si="20"/>
        <v>1-90 DAYS</v>
      </c>
      <c r="J439" s="37" t="str">
        <f t="shared" si="21"/>
        <v>0-180 DAYS</v>
      </c>
    </row>
    <row r="440" spans="1:10" x14ac:dyDescent="0.35">
      <c r="A440" t="s">
        <v>790</v>
      </c>
      <c r="B440" t="s">
        <v>477</v>
      </c>
      <c r="C440" s="1" t="s">
        <v>56</v>
      </c>
      <c r="D440" s="23" t="s">
        <v>57</v>
      </c>
      <c r="E440" s="23" t="s">
        <v>398</v>
      </c>
      <c r="F440" s="24">
        <v>44951</v>
      </c>
      <c r="G440" s="25">
        <v>913342.79</v>
      </c>
      <c r="H440" s="37">
        <f t="shared" si="22"/>
        <v>35</v>
      </c>
      <c r="I440" s="57" t="str">
        <f t="shared" si="20"/>
        <v>1-90 DAYS</v>
      </c>
      <c r="J440" s="37" t="str">
        <f t="shared" si="21"/>
        <v>0-180 DAYS</v>
      </c>
    </row>
    <row r="441" spans="1:10" x14ac:dyDescent="0.35">
      <c r="A441" t="s">
        <v>790</v>
      </c>
      <c r="B441" t="s">
        <v>477</v>
      </c>
      <c r="C441" s="1" t="s">
        <v>56</v>
      </c>
      <c r="D441" s="23" t="s">
        <v>57</v>
      </c>
      <c r="E441" s="23" t="s">
        <v>399</v>
      </c>
      <c r="F441" s="24">
        <v>44951</v>
      </c>
      <c r="G441" s="25">
        <v>203955.08</v>
      </c>
      <c r="H441" s="37">
        <f t="shared" si="22"/>
        <v>35</v>
      </c>
      <c r="I441" s="57" t="str">
        <f t="shared" si="20"/>
        <v>1-90 DAYS</v>
      </c>
      <c r="J441" s="37" t="str">
        <f t="shared" si="21"/>
        <v>0-180 DAYS</v>
      </c>
    </row>
    <row r="442" spans="1:10" x14ac:dyDescent="0.35">
      <c r="A442" t="s">
        <v>790</v>
      </c>
      <c r="B442" t="s">
        <v>477</v>
      </c>
      <c r="C442" s="1" t="s">
        <v>56</v>
      </c>
      <c r="D442" s="23" t="s">
        <v>57</v>
      </c>
      <c r="E442" s="23" t="s">
        <v>400</v>
      </c>
      <c r="F442" s="24">
        <v>44951</v>
      </c>
      <c r="G442" s="25">
        <v>2490.16</v>
      </c>
      <c r="H442" s="37">
        <f t="shared" si="22"/>
        <v>35</v>
      </c>
      <c r="I442" s="57" t="str">
        <f t="shared" si="20"/>
        <v>1-90 DAYS</v>
      </c>
      <c r="J442" s="37" t="str">
        <f t="shared" si="21"/>
        <v>0-180 DAYS</v>
      </c>
    </row>
    <row r="443" spans="1:10" x14ac:dyDescent="0.35">
      <c r="A443" t="s">
        <v>790</v>
      </c>
      <c r="B443" t="s">
        <v>477</v>
      </c>
      <c r="C443" s="1" t="s">
        <v>56</v>
      </c>
      <c r="D443" s="23" t="s">
        <v>57</v>
      </c>
      <c r="E443" s="23" t="s">
        <v>401</v>
      </c>
      <c r="F443" s="24">
        <v>44951</v>
      </c>
      <c r="G443" s="25">
        <v>11000</v>
      </c>
      <c r="H443" s="37">
        <f t="shared" si="22"/>
        <v>35</v>
      </c>
      <c r="I443" s="57" t="str">
        <f t="shared" si="20"/>
        <v>1-90 DAYS</v>
      </c>
      <c r="J443" s="37" t="str">
        <f t="shared" si="21"/>
        <v>0-180 DAYS</v>
      </c>
    </row>
    <row r="444" spans="1:10" x14ac:dyDescent="0.35">
      <c r="A444" t="s">
        <v>790</v>
      </c>
      <c r="B444" t="s">
        <v>477</v>
      </c>
      <c r="C444" s="1" t="s">
        <v>56</v>
      </c>
      <c r="D444" s="23" t="s">
        <v>57</v>
      </c>
      <c r="E444" s="23" t="s">
        <v>402</v>
      </c>
      <c r="F444" s="24">
        <v>44951</v>
      </c>
      <c r="G444" s="25">
        <v>17193</v>
      </c>
      <c r="H444" s="37">
        <f t="shared" si="22"/>
        <v>35</v>
      </c>
      <c r="I444" s="57" t="str">
        <f t="shared" si="20"/>
        <v>1-90 DAYS</v>
      </c>
      <c r="J444" s="37" t="str">
        <f t="shared" si="21"/>
        <v>0-180 DAYS</v>
      </c>
    </row>
    <row r="445" spans="1:10" x14ac:dyDescent="0.35">
      <c r="A445" t="s">
        <v>790</v>
      </c>
      <c r="B445" t="s">
        <v>477</v>
      </c>
      <c r="C445" s="1" t="s">
        <v>56</v>
      </c>
      <c r="D445" s="23" t="s">
        <v>57</v>
      </c>
      <c r="E445" s="23" t="s">
        <v>403</v>
      </c>
      <c r="F445" s="24">
        <v>44953</v>
      </c>
      <c r="G445" s="25">
        <v>444612.18</v>
      </c>
      <c r="H445" s="37">
        <f t="shared" si="22"/>
        <v>33</v>
      </c>
      <c r="I445" s="57" t="str">
        <f t="shared" si="20"/>
        <v>1-90 DAYS</v>
      </c>
      <c r="J445" s="37" t="str">
        <f t="shared" si="21"/>
        <v>0-180 DAYS</v>
      </c>
    </row>
    <row r="446" spans="1:10" x14ac:dyDescent="0.35">
      <c r="A446" t="s">
        <v>790</v>
      </c>
      <c r="B446" t="s">
        <v>477</v>
      </c>
      <c r="C446" s="1" t="s">
        <v>56</v>
      </c>
      <c r="D446" s="23" t="s">
        <v>57</v>
      </c>
      <c r="E446" s="23" t="s">
        <v>404</v>
      </c>
      <c r="F446" s="24">
        <v>44953</v>
      </c>
      <c r="G446" s="25">
        <v>4018.44</v>
      </c>
      <c r="H446" s="37">
        <f t="shared" si="22"/>
        <v>33</v>
      </c>
      <c r="I446" s="57" t="str">
        <f t="shared" si="20"/>
        <v>1-90 DAYS</v>
      </c>
      <c r="J446" s="37" t="str">
        <f t="shared" si="21"/>
        <v>0-180 DAYS</v>
      </c>
    </row>
    <row r="447" spans="1:10" x14ac:dyDescent="0.35">
      <c r="A447" t="s">
        <v>790</v>
      </c>
      <c r="B447" t="s">
        <v>477</v>
      </c>
      <c r="C447" s="1" t="s">
        <v>56</v>
      </c>
      <c r="D447" s="23" t="s">
        <v>57</v>
      </c>
      <c r="E447" s="23" t="s">
        <v>405</v>
      </c>
      <c r="F447" s="24">
        <v>44953</v>
      </c>
      <c r="G447" s="25">
        <v>93955</v>
      </c>
      <c r="H447" s="37">
        <f t="shared" si="22"/>
        <v>33</v>
      </c>
      <c r="I447" s="57" t="str">
        <f t="shared" si="20"/>
        <v>1-90 DAYS</v>
      </c>
      <c r="J447" s="37" t="str">
        <f t="shared" si="21"/>
        <v>0-180 DAYS</v>
      </c>
    </row>
    <row r="448" spans="1:10" x14ac:dyDescent="0.35">
      <c r="A448" t="s">
        <v>790</v>
      </c>
      <c r="B448" t="s">
        <v>477</v>
      </c>
      <c r="C448" s="1" t="s">
        <v>56</v>
      </c>
      <c r="D448" s="23" t="s">
        <v>57</v>
      </c>
      <c r="E448" s="23" t="s">
        <v>406</v>
      </c>
      <c r="F448" s="24">
        <v>44954</v>
      </c>
      <c r="G448" s="25">
        <v>704202.23</v>
      </c>
      <c r="H448" s="37">
        <f t="shared" si="22"/>
        <v>32</v>
      </c>
      <c r="I448" s="57" t="str">
        <f t="shared" si="20"/>
        <v>1-90 DAYS</v>
      </c>
      <c r="J448" s="37" t="str">
        <f t="shared" si="21"/>
        <v>0-180 DAYS</v>
      </c>
    </row>
    <row r="449" spans="1:10" x14ac:dyDescent="0.35">
      <c r="A449" t="s">
        <v>790</v>
      </c>
      <c r="B449" t="s">
        <v>477</v>
      </c>
      <c r="C449" s="1" t="s">
        <v>56</v>
      </c>
      <c r="D449" s="23" t="s">
        <v>57</v>
      </c>
      <c r="E449" s="23" t="s">
        <v>407</v>
      </c>
      <c r="F449" s="24">
        <v>44954</v>
      </c>
      <c r="G449" s="25">
        <v>7809.32</v>
      </c>
      <c r="H449" s="37">
        <f t="shared" si="22"/>
        <v>32</v>
      </c>
      <c r="I449" s="57" t="str">
        <f t="shared" si="20"/>
        <v>1-90 DAYS</v>
      </c>
      <c r="J449" s="37" t="str">
        <f t="shared" si="21"/>
        <v>0-180 DAYS</v>
      </c>
    </row>
    <row r="450" spans="1:10" x14ac:dyDescent="0.35">
      <c r="A450" t="s">
        <v>790</v>
      </c>
      <c r="B450" t="s">
        <v>477</v>
      </c>
      <c r="C450" s="1" t="s">
        <v>56</v>
      </c>
      <c r="D450" s="23" t="s">
        <v>57</v>
      </c>
      <c r="E450" s="23" t="s">
        <v>408</v>
      </c>
      <c r="F450" s="24">
        <v>44954</v>
      </c>
      <c r="G450" s="25">
        <v>22000</v>
      </c>
      <c r="H450" s="37">
        <f t="shared" si="22"/>
        <v>32</v>
      </c>
      <c r="I450" s="57" t="str">
        <f t="shared" si="20"/>
        <v>1-90 DAYS</v>
      </c>
      <c r="J450" s="37" t="str">
        <f t="shared" si="21"/>
        <v>0-180 DAYS</v>
      </c>
    </row>
    <row r="451" spans="1:10" x14ac:dyDescent="0.35">
      <c r="A451" t="s">
        <v>790</v>
      </c>
      <c r="B451" t="s">
        <v>477</v>
      </c>
      <c r="C451" s="1" t="s">
        <v>56</v>
      </c>
      <c r="D451" s="23" t="s">
        <v>57</v>
      </c>
      <c r="E451" s="23" t="s">
        <v>409</v>
      </c>
      <c r="F451" s="24">
        <v>44954</v>
      </c>
      <c r="G451" s="25">
        <v>47417</v>
      </c>
      <c r="H451" s="37">
        <f t="shared" si="22"/>
        <v>32</v>
      </c>
      <c r="I451" s="57" t="str">
        <f t="shared" si="20"/>
        <v>1-90 DAYS</v>
      </c>
      <c r="J451" s="37" t="str">
        <f t="shared" si="21"/>
        <v>0-180 DAYS</v>
      </c>
    </row>
    <row r="452" spans="1:10" x14ac:dyDescent="0.35">
      <c r="A452" t="s">
        <v>790</v>
      </c>
      <c r="B452" t="s">
        <v>477</v>
      </c>
      <c r="C452" s="1" t="s">
        <v>56</v>
      </c>
      <c r="D452" s="23" t="s">
        <v>57</v>
      </c>
      <c r="E452" s="23" t="s">
        <v>410</v>
      </c>
      <c r="F452" s="24">
        <v>44954</v>
      </c>
      <c r="G452" s="25">
        <v>74640</v>
      </c>
      <c r="H452" s="37">
        <f t="shared" si="22"/>
        <v>32</v>
      </c>
      <c r="I452" s="57" t="str">
        <f t="shared" si="20"/>
        <v>1-90 DAYS</v>
      </c>
      <c r="J452" s="37" t="str">
        <f t="shared" si="21"/>
        <v>0-180 DAYS</v>
      </c>
    </row>
    <row r="453" spans="1:10" x14ac:dyDescent="0.35">
      <c r="A453" t="s">
        <v>790</v>
      </c>
      <c r="B453" t="s">
        <v>477</v>
      </c>
      <c r="C453" s="1" t="s">
        <v>56</v>
      </c>
      <c r="D453" s="23" t="s">
        <v>57</v>
      </c>
      <c r="E453" s="23" t="s">
        <v>411</v>
      </c>
      <c r="F453" s="24">
        <v>44955</v>
      </c>
      <c r="G453" s="25">
        <v>300127.34999999998</v>
      </c>
      <c r="H453" s="37">
        <f t="shared" si="22"/>
        <v>31</v>
      </c>
      <c r="I453" s="57" t="str">
        <f t="shared" ref="I453:I516" si="23">IF(H453&lt;91,"1-90 DAYS",IF(H453&lt;121,"91-120DAYS",IF(H453&lt;181,"121-180 DAYS","Morethan180Days")))</f>
        <v>1-90 DAYS</v>
      </c>
      <c r="J453" s="37" t="str">
        <f t="shared" si="21"/>
        <v>0-180 DAYS</v>
      </c>
    </row>
    <row r="454" spans="1:10" x14ac:dyDescent="0.35">
      <c r="A454" t="s">
        <v>790</v>
      </c>
      <c r="B454" t="s">
        <v>477</v>
      </c>
      <c r="C454" s="1" t="s">
        <v>56</v>
      </c>
      <c r="D454" s="23" t="s">
        <v>57</v>
      </c>
      <c r="E454" s="23" t="s">
        <v>412</v>
      </c>
      <c r="F454" s="24">
        <v>44955</v>
      </c>
      <c r="G454" s="25">
        <v>4130.72</v>
      </c>
      <c r="H454" s="37">
        <f t="shared" si="22"/>
        <v>31</v>
      </c>
      <c r="I454" s="57" t="str">
        <f t="shared" si="23"/>
        <v>1-90 DAYS</v>
      </c>
      <c r="J454" s="37" t="str">
        <f t="shared" ref="J454:J517" si="24">IF(H454&lt;180,"0-180 DAYS","More than 180 Days")</f>
        <v>0-180 DAYS</v>
      </c>
    </row>
    <row r="455" spans="1:10" x14ac:dyDescent="0.35">
      <c r="A455" t="s">
        <v>790</v>
      </c>
      <c r="B455" t="s">
        <v>477</v>
      </c>
      <c r="C455" s="1" t="s">
        <v>56</v>
      </c>
      <c r="D455" s="23" t="s">
        <v>57</v>
      </c>
      <c r="E455" s="23" t="s">
        <v>413</v>
      </c>
      <c r="F455" s="24">
        <v>44955</v>
      </c>
      <c r="G455" s="25">
        <v>68750</v>
      </c>
      <c r="H455" s="37">
        <f t="shared" si="22"/>
        <v>31</v>
      </c>
      <c r="I455" s="57" t="str">
        <f t="shared" si="23"/>
        <v>1-90 DAYS</v>
      </c>
      <c r="J455" s="37" t="str">
        <f t="shared" si="24"/>
        <v>0-180 DAYS</v>
      </c>
    </row>
    <row r="456" spans="1:10" x14ac:dyDescent="0.35">
      <c r="A456" t="s">
        <v>790</v>
      </c>
      <c r="B456" t="s">
        <v>477</v>
      </c>
      <c r="C456" s="1" t="s">
        <v>56</v>
      </c>
      <c r="D456" s="23" t="s">
        <v>57</v>
      </c>
      <c r="E456" s="23" t="s">
        <v>414</v>
      </c>
      <c r="F456" s="24">
        <v>44955</v>
      </c>
      <c r="G456" s="25">
        <v>40059</v>
      </c>
      <c r="H456" s="37">
        <f t="shared" si="22"/>
        <v>31</v>
      </c>
      <c r="I456" s="57" t="str">
        <f t="shared" si="23"/>
        <v>1-90 DAYS</v>
      </c>
      <c r="J456" s="37" t="str">
        <f t="shared" si="24"/>
        <v>0-180 DAYS</v>
      </c>
    </row>
    <row r="457" spans="1:10" x14ac:dyDescent="0.35">
      <c r="A457" t="s">
        <v>790</v>
      </c>
      <c r="B457" t="s">
        <v>477</v>
      </c>
      <c r="C457" s="1" t="s">
        <v>56</v>
      </c>
      <c r="D457" s="23" t="s">
        <v>57</v>
      </c>
      <c r="E457" s="23" t="s">
        <v>415</v>
      </c>
      <c r="F457" s="24">
        <v>44957</v>
      </c>
      <c r="G457" s="25">
        <v>382622.75</v>
      </c>
      <c r="H457" s="37">
        <f t="shared" si="22"/>
        <v>29</v>
      </c>
      <c r="I457" s="57" t="str">
        <f t="shared" si="23"/>
        <v>1-90 DAYS</v>
      </c>
      <c r="J457" s="37" t="str">
        <f t="shared" si="24"/>
        <v>0-180 DAYS</v>
      </c>
    </row>
    <row r="458" spans="1:10" x14ac:dyDescent="0.35">
      <c r="A458" t="s">
        <v>790</v>
      </c>
      <c r="B458" t="s">
        <v>477</v>
      </c>
      <c r="C458" s="1" t="s">
        <v>56</v>
      </c>
      <c r="D458" s="23" t="s">
        <v>57</v>
      </c>
      <c r="E458" s="23" t="s">
        <v>416</v>
      </c>
      <c r="F458" s="24">
        <v>44957</v>
      </c>
      <c r="G458" s="25">
        <v>5036.96</v>
      </c>
      <c r="H458" s="37">
        <f t="shared" si="22"/>
        <v>29</v>
      </c>
      <c r="I458" s="57" t="str">
        <f t="shared" si="23"/>
        <v>1-90 DAYS</v>
      </c>
      <c r="J458" s="37" t="str">
        <f t="shared" si="24"/>
        <v>0-180 DAYS</v>
      </c>
    </row>
    <row r="459" spans="1:10" x14ac:dyDescent="0.35">
      <c r="A459" t="s">
        <v>790</v>
      </c>
      <c r="B459" t="s">
        <v>477</v>
      </c>
      <c r="C459" s="1" t="s">
        <v>56</v>
      </c>
      <c r="D459" s="23" t="s">
        <v>57</v>
      </c>
      <c r="E459" s="23" t="s">
        <v>417</v>
      </c>
      <c r="F459" s="24">
        <v>44957</v>
      </c>
      <c r="G459" s="25">
        <v>94733</v>
      </c>
      <c r="H459" s="37">
        <f t="shared" si="22"/>
        <v>29</v>
      </c>
      <c r="I459" s="57" t="str">
        <f t="shared" si="23"/>
        <v>1-90 DAYS</v>
      </c>
      <c r="J459" s="37" t="str">
        <f t="shared" si="24"/>
        <v>0-180 DAYS</v>
      </c>
    </row>
    <row r="460" spans="1:10" x14ac:dyDescent="0.35">
      <c r="A460" t="s">
        <v>790</v>
      </c>
      <c r="B460" t="s">
        <v>477</v>
      </c>
      <c r="C460" s="1" t="s">
        <v>56</v>
      </c>
      <c r="D460" s="23" t="s">
        <v>57</v>
      </c>
      <c r="E460" s="23" t="s">
        <v>418</v>
      </c>
      <c r="F460" s="24">
        <v>44957</v>
      </c>
      <c r="G460" s="25">
        <v>304011.18</v>
      </c>
      <c r="H460" s="37">
        <f t="shared" si="22"/>
        <v>29</v>
      </c>
      <c r="I460" s="57" t="str">
        <f t="shared" si="23"/>
        <v>1-90 DAYS</v>
      </c>
      <c r="J460" s="37" t="str">
        <f t="shared" si="24"/>
        <v>0-180 DAYS</v>
      </c>
    </row>
    <row r="461" spans="1:10" x14ac:dyDescent="0.35">
      <c r="A461" t="s">
        <v>790</v>
      </c>
      <c r="B461" t="s">
        <v>477</v>
      </c>
      <c r="C461" s="1" t="s">
        <v>56</v>
      </c>
      <c r="D461" s="23" t="s">
        <v>57</v>
      </c>
      <c r="E461" s="23" t="s">
        <v>419</v>
      </c>
      <c r="F461" s="24">
        <v>44957</v>
      </c>
      <c r="G461" s="25">
        <v>3735.24</v>
      </c>
      <c r="H461" s="37">
        <f t="shared" si="22"/>
        <v>29</v>
      </c>
      <c r="I461" s="57" t="str">
        <f t="shared" si="23"/>
        <v>1-90 DAYS</v>
      </c>
      <c r="J461" s="37" t="str">
        <f t="shared" si="24"/>
        <v>0-180 DAYS</v>
      </c>
    </row>
    <row r="462" spans="1:10" x14ac:dyDescent="0.35">
      <c r="A462" t="s">
        <v>790</v>
      </c>
      <c r="B462" t="s">
        <v>477</v>
      </c>
      <c r="C462" s="1" t="s">
        <v>56</v>
      </c>
      <c r="D462" s="23" t="s">
        <v>57</v>
      </c>
      <c r="E462" s="23" t="s">
        <v>420</v>
      </c>
      <c r="F462" s="24">
        <v>44957</v>
      </c>
      <c r="G462" s="25">
        <v>646276.67000000004</v>
      </c>
      <c r="H462" s="37">
        <f t="shared" si="22"/>
        <v>29</v>
      </c>
      <c r="I462" s="57" t="str">
        <f t="shared" si="23"/>
        <v>1-90 DAYS</v>
      </c>
      <c r="J462" s="37" t="str">
        <f t="shared" si="24"/>
        <v>0-180 DAYS</v>
      </c>
    </row>
    <row r="463" spans="1:10" x14ac:dyDescent="0.35">
      <c r="A463" t="s">
        <v>790</v>
      </c>
      <c r="B463" t="s">
        <v>477</v>
      </c>
      <c r="C463" s="1" t="s">
        <v>56</v>
      </c>
      <c r="D463" s="23" t="s">
        <v>57</v>
      </c>
      <c r="E463" s="23" t="s">
        <v>421</v>
      </c>
      <c r="F463" s="24">
        <v>44957</v>
      </c>
      <c r="G463" s="25">
        <v>34869.58</v>
      </c>
      <c r="H463" s="37">
        <f t="shared" si="22"/>
        <v>29</v>
      </c>
      <c r="I463" s="57" t="str">
        <f t="shared" si="23"/>
        <v>1-90 DAYS</v>
      </c>
      <c r="J463" s="37" t="str">
        <f t="shared" si="24"/>
        <v>0-180 DAYS</v>
      </c>
    </row>
    <row r="464" spans="1:10" x14ac:dyDescent="0.35">
      <c r="A464" t="s">
        <v>790</v>
      </c>
      <c r="B464" t="s">
        <v>477</v>
      </c>
      <c r="C464" s="1" t="s">
        <v>56</v>
      </c>
      <c r="D464" s="23" t="s">
        <v>57</v>
      </c>
      <c r="E464" s="23" t="s">
        <v>422</v>
      </c>
      <c r="F464" s="24">
        <v>44957</v>
      </c>
      <c r="G464" s="25">
        <v>2931</v>
      </c>
      <c r="H464" s="37">
        <f t="shared" si="22"/>
        <v>29</v>
      </c>
      <c r="I464" s="57" t="str">
        <f t="shared" si="23"/>
        <v>1-90 DAYS</v>
      </c>
      <c r="J464" s="37" t="str">
        <f t="shared" si="24"/>
        <v>0-180 DAYS</v>
      </c>
    </row>
    <row r="465" spans="1:10" x14ac:dyDescent="0.35">
      <c r="A465" t="s">
        <v>790</v>
      </c>
      <c r="B465" t="s">
        <v>477</v>
      </c>
      <c r="C465" s="1" t="s">
        <v>56</v>
      </c>
      <c r="D465" s="23" t="s">
        <v>57</v>
      </c>
      <c r="E465" s="23" t="s">
        <v>423</v>
      </c>
      <c r="F465" s="24">
        <v>44957</v>
      </c>
      <c r="G465" s="25">
        <v>10625</v>
      </c>
      <c r="H465" s="37">
        <f t="shared" si="22"/>
        <v>29</v>
      </c>
      <c r="I465" s="57" t="str">
        <f t="shared" si="23"/>
        <v>1-90 DAYS</v>
      </c>
      <c r="J465" s="37" t="str">
        <f t="shared" si="24"/>
        <v>0-180 DAYS</v>
      </c>
    </row>
    <row r="466" spans="1:10" x14ac:dyDescent="0.35">
      <c r="A466" t="s">
        <v>790</v>
      </c>
      <c r="B466" t="s">
        <v>477</v>
      </c>
      <c r="C466" s="1" t="s">
        <v>56</v>
      </c>
      <c r="D466" s="23" t="s">
        <v>57</v>
      </c>
      <c r="E466" s="23" t="s">
        <v>427</v>
      </c>
      <c r="F466" s="24">
        <v>44932</v>
      </c>
      <c r="G466" s="25">
        <v>6071.1</v>
      </c>
      <c r="H466" s="37">
        <f t="shared" si="22"/>
        <v>54</v>
      </c>
      <c r="I466" s="57" t="str">
        <f t="shared" si="23"/>
        <v>1-90 DAYS</v>
      </c>
      <c r="J466" s="37" t="str">
        <f t="shared" si="24"/>
        <v>0-180 DAYS</v>
      </c>
    </row>
    <row r="467" spans="1:10" x14ac:dyDescent="0.35">
      <c r="A467" t="s">
        <v>790</v>
      </c>
      <c r="B467" t="s">
        <v>477</v>
      </c>
      <c r="C467" s="1" t="s">
        <v>56</v>
      </c>
      <c r="D467" s="23" t="s">
        <v>57</v>
      </c>
      <c r="E467" s="23" t="s">
        <v>428</v>
      </c>
      <c r="F467" s="24">
        <v>44932</v>
      </c>
      <c r="G467" s="25">
        <v>1003820.35</v>
      </c>
      <c r="H467" s="37">
        <f t="shared" si="22"/>
        <v>54</v>
      </c>
      <c r="I467" s="57" t="str">
        <f t="shared" si="23"/>
        <v>1-90 DAYS</v>
      </c>
      <c r="J467" s="37" t="str">
        <f t="shared" si="24"/>
        <v>0-180 DAYS</v>
      </c>
    </row>
    <row r="468" spans="1:10" x14ac:dyDescent="0.35">
      <c r="A468" t="s">
        <v>790</v>
      </c>
      <c r="B468" t="s">
        <v>477</v>
      </c>
      <c r="C468" s="1" t="s">
        <v>56</v>
      </c>
      <c r="D468" s="23" t="s">
        <v>57</v>
      </c>
      <c r="E468" s="23" t="s">
        <v>429</v>
      </c>
      <c r="F468" s="24">
        <v>44932</v>
      </c>
      <c r="G468" s="25">
        <v>4757.76</v>
      </c>
      <c r="H468" s="37">
        <f t="shared" si="22"/>
        <v>54</v>
      </c>
      <c r="I468" s="57" t="str">
        <f t="shared" si="23"/>
        <v>1-90 DAYS</v>
      </c>
      <c r="J468" s="37" t="str">
        <f t="shared" si="24"/>
        <v>0-180 DAYS</v>
      </c>
    </row>
    <row r="469" spans="1:10" x14ac:dyDescent="0.35">
      <c r="A469" t="s">
        <v>790</v>
      </c>
      <c r="B469" t="s">
        <v>477</v>
      </c>
      <c r="C469" s="1" t="s">
        <v>56</v>
      </c>
      <c r="D469" s="23" t="s">
        <v>57</v>
      </c>
      <c r="E469" s="23" t="s">
        <v>433</v>
      </c>
      <c r="F469" s="24">
        <v>44935</v>
      </c>
      <c r="G469" s="25">
        <v>611835.41</v>
      </c>
      <c r="H469" s="37">
        <f t="shared" si="22"/>
        <v>51</v>
      </c>
      <c r="I469" s="57" t="str">
        <f t="shared" si="23"/>
        <v>1-90 DAYS</v>
      </c>
      <c r="J469" s="37" t="str">
        <f t="shared" si="24"/>
        <v>0-180 DAYS</v>
      </c>
    </row>
    <row r="470" spans="1:10" x14ac:dyDescent="0.35">
      <c r="A470" t="s">
        <v>790</v>
      </c>
      <c r="B470" t="s">
        <v>477</v>
      </c>
      <c r="C470" s="1" t="s">
        <v>56</v>
      </c>
      <c r="D470" s="23" t="s">
        <v>57</v>
      </c>
      <c r="E470" s="23" t="s">
        <v>434</v>
      </c>
      <c r="F470" s="24">
        <v>44935</v>
      </c>
      <c r="G470" s="25">
        <v>8326.08</v>
      </c>
      <c r="H470" s="37">
        <f t="shared" si="22"/>
        <v>51</v>
      </c>
      <c r="I470" s="57" t="str">
        <f t="shared" si="23"/>
        <v>1-90 DAYS</v>
      </c>
      <c r="J470" s="37" t="str">
        <f t="shared" si="24"/>
        <v>0-180 DAYS</v>
      </c>
    </row>
    <row r="471" spans="1:10" x14ac:dyDescent="0.35">
      <c r="A471" t="s">
        <v>790</v>
      </c>
      <c r="B471" t="s">
        <v>477</v>
      </c>
      <c r="C471" s="1" t="s">
        <v>56</v>
      </c>
      <c r="D471" s="23" t="s">
        <v>57</v>
      </c>
      <c r="E471" s="23" t="s">
        <v>435</v>
      </c>
      <c r="F471" s="24">
        <v>44942</v>
      </c>
      <c r="G471" s="25">
        <v>295063.42</v>
      </c>
      <c r="H471" s="37">
        <f t="shared" si="22"/>
        <v>44</v>
      </c>
      <c r="I471" s="57" t="str">
        <f t="shared" si="23"/>
        <v>1-90 DAYS</v>
      </c>
      <c r="J471" s="37" t="str">
        <f t="shared" si="24"/>
        <v>0-180 DAYS</v>
      </c>
    </row>
    <row r="472" spans="1:10" x14ac:dyDescent="0.35">
      <c r="A472" t="s">
        <v>790</v>
      </c>
      <c r="B472" t="s">
        <v>477</v>
      </c>
      <c r="C472" s="1" t="s">
        <v>56</v>
      </c>
      <c r="D472" s="23" t="s">
        <v>57</v>
      </c>
      <c r="E472" s="23" t="s">
        <v>436</v>
      </c>
      <c r="F472" s="24">
        <v>44942</v>
      </c>
      <c r="G472" s="25">
        <v>3908.16</v>
      </c>
      <c r="H472" s="37">
        <f t="shared" si="22"/>
        <v>44</v>
      </c>
      <c r="I472" s="57" t="str">
        <f t="shared" si="23"/>
        <v>1-90 DAYS</v>
      </c>
      <c r="J472" s="37" t="str">
        <f t="shared" si="24"/>
        <v>0-180 DAYS</v>
      </c>
    </row>
    <row r="473" spans="1:10" x14ac:dyDescent="0.35">
      <c r="A473" t="s">
        <v>790</v>
      </c>
      <c r="B473" t="s">
        <v>477</v>
      </c>
      <c r="C473" s="23" t="s">
        <v>51</v>
      </c>
      <c r="D473" s="23" t="s">
        <v>52</v>
      </c>
      <c r="E473" s="23" t="s">
        <v>437</v>
      </c>
      <c r="F473" s="24">
        <v>44942</v>
      </c>
      <c r="G473" s="26">
        <v>1000935</v>
      </c>
      <c r="H473" s="37">
        <f t="shared" si="22"/>
        <v>44</v>
      </c>
      <c r="I473" s="57" t="str">
        <f t="shared" si="23"/>
        <v>1-90 DAYS</v>
      </c>
      <c r="J473" s="37" t="str">
        <f t="shared" si="24"/>
        <v>0-180 DAYS</v>
      </c>
    </row>
    <row r="474" spans="1:10" x14ac:dyDescent="0.35">
      <c r="A474" t="s">
        <v>790</v>
      </c>
      <c r="B474" t="s">
        <v>477</v>
      </c>
      <c r="C474" s="1" t="s">
        <v>56</v>
      </c>
      <c r="D474" s="23" t="s">
        <v>57</v>
      </c>
      <c r="E474" s="23" t="s">
        <v>440</v>
      </c>
      <c r="F474" s="24">
        <v>44944</v>
      </c>
      <c r="G474" s="25">
        <v>316391.03999999998</v>
      </c>
      <c r="H474" s="37">
        <f t="shared" si="22"/>
        <v>42</v>
      </c>
      <c r="I474" s="57" t="str">
        <f t="shared" si="23"/>
        <v>1-90 DAYS</v>
      </c>
      <c r="J474" s="37" t="str">
        <f t="shared" si="24"/>
        <v>0-180 DAYS</v>
      </c>
    </row>
    <row r="475" spans="1:10" x14ac:dyDescent="0.35">
      <c r="A475" t="s">
        <v>790</v>
      </c>
      <c r="B475" t="s">
        <v>477</v>
      </c>
      <c r="C475" s="1" t="s">
        <v>56</v>
      </c>
      <c r="D475" s="23" t="s">
        <v>57</v>
      </c>
      <c r="E475" s="23" t="s">
        <v>441</v>
      </c>
      <c r="F475" s="24">
        <v>44944</v>
      </c>
      <c r="G475" s="25">
        <v>4304.6400000000003</v>
      </c>
      <c r="H475" s="37">
        <f t="shared" si="22"/>
        <v>42</v>
      </c>
      <c r="I475" s="57" t="str">
        <f t="shared" si="23"/>
        <v>1-90 DAYS</v>
      </c>
      <c r="J475" s="37" t="str">
        <f t="shared" si="24"/>
        <v>0-180 DAYS</v>
      </c>
    </row>
    <row r="476" spans="1:10" x14ac:dyDescent="0.35">
      <c r="A476" t="s">
        <v>790</v>
      </c>
      <c r="B476" t="s">
        <v>477</v>
      </c>
      <c r="C476" s="1" t="s">
        <v>56</v>
      </c>
      <c r="D476" s="23" t="s">
        <v>57</v>
      </c>
      <c r="E476" s="23" t="s">
        <v>442</v>
      </c>
      <c r="F476" s="24">
        <v>44947</v>
      </c>
      <c r="G476" s="25">
        <v>3666499.8</v>
      </c>
      <c r="H476" s="37">
        <f t="shared" si="22"/>
        <v>39</v>
      </c>
      <c r="I476" s="57" t="str">
        <f t="shared" si="23"/>
        <v>1-90 DAYS</v>
      </c>
      <c r="J476" s="37" t="str">
        <f t="shared" si="24"/>
        <v>0-180 DAYS</v>
      </c>
    </row>
    <row r="477" spans="1:10" x14ac:dyDescent="0.35">
      <c r="A477" t="s">
        <v>790</v>
      </c>
      <c r="B477" t="s">
        <v>477</v>
      </c>
      <c r="C477" s="23" t="s">
        <v>443</v>
      </c>
      <c r="D477" s="23" t="s">
        <v>444</v>
      </c>
      <c r="E477" s="23" t="s">
        <v>445</v>
      </c>
      <c r="F477" s="24">
        <v>44947</v>
      </c>
      <c r="G477" s="26">
        <f>1105371.87-367651-631000</f>
        <v>106720.87000000011</v>
      </c>
      <c r="H477" s="37">
        <f t="shared" si="22"/>
        <v>39</v>
      </c>
      <c r="I477" s="57" t="str">
        <f t="shared" si="23"/>
        <v>1-90 DAYS</v>
      </c>
      <c r="J477" s="37" t="str">
        <f t="shared" si="24"/>
        <v>0-180 DAYS</v>
      </c>
    </row>
    <row r="478" spans="1:10" x14ac:dyDescent="0.35">
      <c r="A478" t="s">
        <v>790</v>
      </c>
      <c r="B478" t="s">
        <v>477</v>
      </c>
      <c r="C478" s="1" t="s">
        <v>56</v>
      </c>
      <c r="D478" s="23" t="s">
        <v>57</v>
      </c>
      <c r="E478" s="23" t="s">
        <v>446</v>
      </c>
      <c r="F478" s="24">
        <v>44948</v>
      </c>
      <c r="G478" s="25">
        <v>1577894.46</v>
      </c>
      <c r="H478" s="37">
        <f t="shared" si="22"/>
        <v>38</v>
      </c>
      <c r="I478" s="57" t="str">
        <f t="shared" si="23"/>
        <v>1-90 DAYS</v>
      </c>
      <c r="J478" s="37" t="str">
        <f t="shared" si="24"/>
        <v>0-180 DAYS</v>
      </c>
    </row>
    <row r="479" spans="1:10" x14ac:dyDescent="0.35">
      <c r="A479" t="s">
        <v>790</v>
      </c>
      <c r="B479" t="s">
        <v>477</v>
      </c>
      <c r="C479" s="1" t="s">
        <v>56</v>
      </c>
      <c r="D479" s="23" t="s">
        <v>57</v>
      </c>
      <c r="E479" s="23" t="s">
        <v>447</v>
      </c>
      <c r="F479" s="24">
        <v>44948</v>
      </c>
      <c r="G479" s="25">
        <v>906.24</v>
      </c>
      <c r="H479" s="37">
        <f t="shared" si="22"/>
        <v>38</v>
      </c>
      <c r="I479" s="57" t="str">
        <f t="shared" si="23"/>
        <v>1-90 DAYS</v>
      </c>
      <c r="J479" s="37" t="str">
        <f t="shared" si="24"/>
        <v>0-180 DAYS</v>
      </c>
    </row>
    <row r="480" spans="1:10" x14ac:dyDescent="0.35">
      <c r="A480" t="s">
        <v>790</v>
      </c>
      <c r="B480" t="s">
        <v>477</v>
      </c>
      <c r="C480" s="23" t="s">
        <v>259</v>
      </c>
      <c r="D480" s="23" t="s">
        <v>260</v>
      </c>
      <c r="E480" s="23" t="s">
        <v>448</v>
      </c>
      <c r="F480" s="24">
        <v>44949</v>
      </c>
      <c r="G480" s="26">
        <v>1579725</v>
      </c>
      <c r="H480" s="37">
        <f t="shared" si="22"/>
        <v>37</v>
      </c>
      <c r="I480" s="57" t="str">
        <f t="shared" si="23"/>
        <v>1-90 DAYS</v>
      </c>
      <c r="J480" s="37" t="str">
        <f t="shared" si="24"/>
        <v>0-180 DAYS</v>
      </c>
    </row>
    <row r="481" spans="1:10" x14ac:dyDescent="0.35">
      <c r="A481" t="s">
        <v>790</v>
      </c>
      <c r="B481" t="s">
        <v>477</v>
      </c>
      <c r="C481" s="23" t="s">
        <v>277</v>
      </c>
      <c r="D481" s="23" t="s">
        <v>278</v>
      </c>
      <c r="E481" s="23" t="s">
        <v>449</v>
      </c>
      <c r="F481" s="24">
        <v>44950</v>
      </c>
      <c r="G481" s="25">
        <v>1004459.66</v>
      </c>
      <c r="H481" s="37">
        <f t="shared" si="22"/>
        <v>36</v>
      </c>
      <c r="I481" s="57" t="str">
        <f t="shared" si="23"/>
        <v>1-90 DAYS</v>
      </c>
      <c r="J481" s="37" t="str">
        <f t="shared" si="24"/>
        <v>0-180 DAYS</v>
      </c>
    </row>
    <row r="482" spans="1:10" x14ac:dyDescent="0.35">
      <c r="A482" t="s">
        <v>790</v>
      </c>
      <c r="B482" t="s">
        <v>477</v>
      </c>
      <c r="C482" s="1" t="s">
        <v>56</v>
      </c>
      <c r="D482" s="23" t="s">
        <v>57</v>
      </c>
      <c r="E482" s="23" t="s">
        <v>450</v>
      </c>
      <c r="F482" s="24">
        <v>44950</v>
      </c>
      <c r="G482" s="25">
        <v>762298.88</v>
      </c>
      <c r="H482" s="37">
        <f t="shared" si="22"/>
        <v>36</v>
      </c>
      <c r="I482" s="57" t="str">
        <f t="shared" si="23"/>
        <v>1-90 DAYS</v>
      </c>
      <c r="J482" s="37" t="str">
        <f t="shared" si="24"/>
        <v>0-180 DAYS</v>
      </c>
    </row>
    <row r="483" spans="1:10" x14ac:dyDescent="0.35">
      <c r="A483" t="s">
        <v>790</v>
      </c>
      <c r="B483" t="s">
        <v>477</v>
      </c>
      <c r="C483" s="1" t="s">
        <v>56</v>
      </c>
      <c r="D483" s="23" t="s">
        <v>57</v>
      </c>
      <c r="E483" s="23" t="s">
        <v>451</v>
      </c>
      <c r="F483" s="24">
        <v>44950</v>
      </c>
      <c r="G483" s="25">
        <v>10591.68</v>
      </c>
      <c r="H483" s="37">
        <f t="shared" si="22"/>
        <v>36</v>
      </c>
      <c r="I483" s="57" t="str">
        <f t="shared" si="23"/>
        <v>1-90 DAYS</v>
      </c>
      <c r="J483" s="37" t="str">
        <f t="shared" si="24"/>
        <v>0-180 DAYS</v>
      </c>
    </row>
    <row r="484" spans="1:10" x14ac:dyDescent="0.35">
      <c r="A484" t="s">
        <v>790</v>
      </c>
      <c r="B484" t="s">
        <v>477</v>
      </c>
      <c r="C484" s="1" t="s">
        <v>56</v>
      </c>
      <c r="D484" s="23" t="s">
        <v>57</v>
      </c>
      <c r="E484" s="23" t="s">
        <v>452</v>
      </c>
      <c r="F484" s="24">
        <v>44951</v>
      </c>
      <c r="G484" s="25">
        <v>305644.84999999998</v>
      </c>
      <c r="H484" s="37">
        <f t="shared" si="22"/>
        <v>35</v>
      </c>
      <c r="I484" s="57" t="str">
        <f t="shared" si="23"/>
        <v>1-90 DAYS</v>
      </c>
      <c r="J484" s="37" t="str">
        <f t="shared" si="24"/>
        <v>0-180 DAYS</v>
      </c>
    </row>
    <row r="485" spans="1:10" x14ac:dyDescent="0.35">
      <c r="A485" t="s">
        <v>790</v>
      </c>
      <c r="B485" t="s">
        <v>477</v>
      </c>
      <c r="C485" s="1" t="s">
        <v>56</v>
      </c>
      <c r="D485" s="23" t="s">
        <v>57</v>
      </c>
      <c r="E485" s="23" t="s">
        <v>453</v>
      </c>
      <c r="F485" s="24">
        <v>44951</v>
      </c>
      <c r="G485" s="25">
        <v>5890.56</v>
      </c>
      <c r="H485" s="37">
        <f t="shared" si="22"/>
        <v>35</v>
      </c>
      <c r="I485" s="57" t="str">
        <f t="shared" si="23"/>
        <v>1-90 DAYS</v>
      </c>
      <c r="J485" s="37" t="str">
        <f t="shared" si="24"/>
        <v>0-180 DAYS</v>
      </c>
    </row>
    <row r="486" spans="1:10" x14ac:dyDescent="0.35">
      <c r="A486" t="s">
        <v>790</v>
      </c>
      <c r="B486" t="s">
        <v>477</v>
      </c>
      <c r="C486" s="23" t="s">
        <v>424</v>
      </c>
      <c r="D486" s="23" t="s">
        <v>425</v>
      </c>
      <c r="E486" s="23" t="s">
        <v>454</v>
      </c>
      <c r="F486" s="24">
        <v>44955</v>
      </c>
      <c r="G486" s="26">
        <v>1536886.46</v>
      </c>
      <c r="H486" s="37">
        <f t="shared" si="22"/>
        <v>31</v>
      </c>
      <c r="I486" s="57" t="str">
        <f t="shared" si="23"/>
        <v>1-90 DAYS</v>
      </c>
      <c r="J486" s="37" t="str">
        <f t="shared" si="24"/>
        <v>0-180 DAYS</v>
      </c>
    </row>
    <row r="487" spans="1:10" x14ac:dyDescent="0.35">
      <c r="A487" t="s">
        <v>790</v>
      </c>
      <c r="B487" t="s">
        <v>477</v>
      </c>
      <c r="C487" s="23" t="s">
        <v>424</v>
      </c>
      <c r="D487" s="23" t="s">
        <v>425</v>
      </c>
      <c r="E487" s="23" t="s">
        <v>455</v>
      </c>
      <c r="F487" s="24">
        <v>44955</v>
      </c>
      <c r="G487" s="26">
        <v>5669.66</v>
      </c>
      <c r="H487" s="37">
        <f t="shared" si="22"/>
        <v>31</v>
      </c>
      <c r="I487" s="57" t="str">
        <f t="shared" si="23"/>
        <v>1-90 DAYS</v>
      </c>
      <c r="J487" s="37" t="str">
        <f t="shared" si="24"/>
        <v>0-180 DAYS</v>
      </c>
    </row>
    <row r="488" spans="1:10" x14ac:dyDescent="0.35">
      <c r="A488" t="s">
        <v>790</v>
      </c>
      <c r="B488" t="s">
        <v>477</v>
      </c>
      <c r="C488" s="1" t="s">
        <v>56</v>
      </c>
      <c r="D488" s="23" t="s">
        <v>57</v>
      </c>
      <c r="E488" s="23" t="s">
        <v>459</v>
      </c>
      <c r="F488" s="24">
        <v>44957</v>
      </c>
      <c r="G488" s="25">
        <v>1024086.21</v>
      </c>
      <c r="H488" s="37">
        <f t="shared" si="22"/>
        <v>29</v>
      </c>
      <c r="I488" s="57" t="str">
        <f t="shared" si="23"/>
        <v>1-90 DAYS</v>
      </c>
      <c r="J488" s="37" t="str">
        <f t="shared" si="24"/>
        <v>0-180 DAYS</v>
      </c>
    </row>
    <row r="489" spans="1:10" x14ac:dyDescent="0.35">
      <c r="A489" t="s">
        <v>790</v>
      </c>
      <c r="B489" t="s">
        <v>477</v>
      </c>
      <c r="C489" s="1" t="s">
        <v>56</v>
      </c>
      <c r="D489" s="23" t="s">
        <v>57</v>
      </c>
      <c r="E489" s="23" t="s">
        <v>460</v>
      </c>
      <c r="F489" s="24">
        <v>44957</v>
      </c>
      <c r="G489" s="25">
        <v>12404.16</v>
      </c>
      <c r="H489" s="37">
        <f t="shared" si="22"/>
        <v>29</v>
      </c>
      <c r="I489" s="57" t="str">
        <f t="shared" si="23"/>
        <v>1-90 DAYS</v>
      </c>
      <c r="J489" s="37" t="str">
        <f t="shared" si="24"/>
        <v>0-180 DAYS</v>
      </c>
    </row>
    <row r="490" spans="1:10" x14ac:dyDescent="0.35">
      <c r="A490" t="s">
        <v>790</v>
      </c>
      <c r="B490" t="s">
        <v>477</v>
      </c>
      <c r="C490" s="1" t="s">
        <v>56</v>
      </c>
      <c r="D490" s="23" t="s">
        <v>57</v>
      </c>
      <c r="E490" s="23" t="s">
        <v>461</v>
      </c>
      <c r="F490" s="24">
        <v>44928</v>
      </c>
      <c r="G490" s="25">
        <v>101754.41</v>
      </c>
      <c r="H490" s="37">
        <f t="shared" si="22"/>
        <v>58</v>
      </c>
      <c r="I490" s="57" t="str">
        <f t="shared" si="23"/>
        <v>1-90 DAYS</v>
      </c>
      <c r="J490" s="37" t="str">
        <f t="shared" si="24"/>
        <v>0-180 DAYS</v>
      </c>
    </row>
    <row r="491" spans="1:10" x14ac:dyDescent="0.35">
      <c r="A491" t="s">
        <v>790</v>
      </c>
      <c r="B491" t="s">
        <v>477</v>
      </c>
      <c r="C491" s="1" t="s">
        <v>56</v>
      </c>
      <c r="D491" s="23" t="s">
        <v>57</v>
      </c>
      <c r="E491" s="23" t="s">
        <v>462</v>
      </c>
      <c r="F491" s="24">
        <v>44931</v>
      </c>
      <c r="G491" s="25">
        <v>3921.35</v>
      </c>
      <c r="H491" s="37">
        <f t="shared" si="22"/>
        <v>55</v>
      </c>
      <c r="I491" s="57" t="str">
        <f t="shared" si="23"/>
        <v>1-90 DAYS</v>
      </c>
      <c r="J491" s="37" t="str">
        <f t="shared" si="24"/>
        <v>0-180 DAYS</v>
      </c>
    </row>
    <row r="492" spans="1:10" x14ac:dyDescent="0.35">
      <c r="A492" t="s">
        <v>790</v>
      </c>
      <c r="B492" t="s">
        <v>477</v>
      </c>
      <c r="C492" s="1" t="s">
        <v>56</v>
      </c>
      <c r="D492" s="23" t="s">
        <v>57</v>
      </c>
      <c r="E492" s="23" t="s">
        <v>463</v>
      </c>
      <c r="F492" s="24">
        <v>44936</v>
      </c>
      <c r="G492" s="25">
        <v>3653385.79</v>
      </c>
      <c r="H492" s="37">
        <f t="shared" si="22"/>
        <v>50</v>
      </c>
      <c r="I492" s="57" t="str">
        <f t="shared" si="23"/>
        <v>1-90 DAYS</v>
      </c>
      <c r="J492" s="37" t="str">
        <f t="shared" si="24"/>
        <v>0-180 DAYS</v>
      </c>
    </row>
    <row r="493" spans="1:10" x14ac:dyDescent="0.35">
      <c r="A493" t="s">
        <v>790</v>
      </c>
      <c r="B493" t="s">
        <v>477</v>
      </c>
      <c r="C493" s="1" t="s">
        <v>56</v>
      </c>
      <c r="D493" s="23" t="s">
        <v>57</v>
      </c>
      <c r="E493" s="23" t="s">
        <v>464</v>
      </c>
      <c r="F493" s="24">
        <v>44936</v>
      </c>
      <c r="G493" s="25">
        <v>3879690.68</v>
      </c>
      <c r="H493" s="37">
        <f t="shared" si="22"/>
        <v>50</v>
      </c>
      <c r="I493" s="57" t="str">
        <f t="shared" si="23"/>
        <v>1-90 DAYS</v>
      </c>
      <c r="J493" s="37" t="str">
        <f t="shared" si="24"/>
        <v>0-180 DAYS</v>
      </c>
    </row>
    <row r="494" spans="1:10" x14ac:dyDescent="0.35">
      <c r="A494" t="s">
        <v>790</v>
      </c>
      <c r="B494" t="s">
        <v>477</v>
      </c>
      <c r="C494" s="1" t="s">
        <v>56</v>
      </c>
      <c r="D494" s="23" t="s">
        <v>57</v>
      </c>
      <c r="E494" s="23" t="s">
        <v>465</v>
      </c>
      <c r="F494" s="24">
        <v>44937</v>
      </c>
      <c r="G494" s="25">
        <v>695140.37</v>
      </c>
      <c r="H494" s="37">
        <f t="shared" si="22"/>
        <v>49</v>
      </c>
      <c r="I494" s="57" t="str">
        <f t="shared" si="23"/>
        <v>1-90 DAYS</v>
      </c>
      <c r="J494" s="37" t="str">
        <f t="shared" si="24"/>
        <v>0-180 DAYS</v>
      </c>
    </row>
    <row r="495" spans="1:10" x14ac:dyDescent="0.35">
      <c r="A495" t="s">
        <v>790</v>
      </c>
      <c r="B495" t="s">
        <v>477</v>
      </c>
      <c r="C495" s="1" t="s">
        <v>56</v>
      </c>
      <c r="D495" s="23" t="s">
        <v>57</v>
      </c>
      <c r="E495" s="23" t="s">
        <v>466</v>
      </c>
      <c r="F495" s="24">
        <v>44942</v>
      </c>
      <c r="G495" s="25">
        <v>1298.78</v>
      </c>
      <c r="H495" s="37">
        <f t="shared" si="22"/>
        <v>44</v>
      </c>
      <c r="I495" s="57" t="str">
        <f t="shared" si="23"/>
        <v>1-90 DAYS</v>
      </c>
      <c r="J495" s="37" t="str">
        <f t="shared" si="24"/>
        <v>0-180 DAYS</v>
      </c>
    </row>
    <row r="496" spans="1:10" x14ac:dyDescent="0.35">
      <c r="A496" t="s">
        <v>790</v>
      </c>
      <c r="B496" t="s">
        <v>477</v>
      </c>
      <c r="C496" s="1" t="s">
        <v>56</v>
      </c>
      <c r="D496" s="23" t="s">
        <v>57</v>
      </c>
      <c r="E496" s="23" t="s">
        <v>467</v>
      </c>
      <c r="F496" s="24">
        <v>44942</v>
      </c>
      <c r="G496" s="25">
        <v>979.12</v>
      </c>
      <c r="H496" s="37">
        <f t="shared" si="22"/>
        <v>44</v>
      </c>
      <c r="I496" s="57" t="str">
        <f t="shared" si="23"/>
        <v>1-90 DAYS</v>
      </c>
      <c r="J496" s="37" t="str">
        <f t="shared" si="24"/>
        <v>0-180 DAYS</v>
      </c>
    </row>
    <row r="497" spans="1:10" x14ac:dyDescent="0.35">
      <c r="A497" t="s">
        <v>790</v>
      </c>
      <c r="B497" t="s">
        <v>477</v>
      </c>
      <c r="C497" s="1" t="s">
        <v>56</v>
      </c>
      <c r="D497" s="23" t="s">
        <v>57</v>
      </c>
      <c r="E497" s="23" t="s">
        <v>468</v>
      </c>
      <c r="F497" s="24">
        <v>44944</v>
      </c>
      <c r="G497" s="25">
        <v>1311.25</v>
      </c>
      <c r="H497" s="37">
        <f t="shared" si="22"/>
        <v>42</v>
      </c>
      <c r="I497" s="57" t="str">
        <f t="shared" si="23"/>
        <v>1-90 DAYS</v>
      </c>
      <c r="J497" s="37" t="str">
        <f t="shared" si="24"/>
        <v>0-180 DAYS</v>
      </c>
    </row>
    <row r="498" spans="1:10" x14ac:dyDescent="0.35">
      <c r="A498" t="s">
        <v>790</v>
      </c>
      <c r="B498" t="s">
        <v>477</v>
      </c>
      <c r="C498" s="1" t="s">
        <v>56</v>
      </c>
      <c r="D498" s="23" t="s">
        <v>57</v>
      </c>
      <c r="E498" s="23" t="s">
        <v>469</v>
      </c>
      <c r="F498" s="24">
        <v>44947</v>
      </c>
      <c r="G498" s="25">
        <v>58174.400000000001</v>
      </c>
      <c r="H498" s="37">
        <f t="shared" si="22"/>
        <v>39</v>
      </c>
      <c r="I498" s="57" t="str">
        <f t="shared" si="23"/>
        <v>1-90 DAYS</v>
      </c>
      <c r="J498" s="37" t="str">
        <f t="shared" si="24"/>
        <v>0-180 DAYS</v>
      </c>
    </row>
    <row r="499" spans="1:10" x14ac:dyDescent="0.35">
      <c r="A499" t="s">
        <v>790</v>
      </c>
      <c r="B499" t="s">
        <v>477</v>
      </c>
      <c r="C499" s="1" t="s">
        <v>56</v>
      </c>
      <c r="D499" s="23" t="s">
        <v>57</v>
      </c>
      <c r="E499" s="23" t="s">
        <v>470</v>
      </c>
      <c r="F499" s="24">
        <v>44951</v>
      </c>
      <c r="G499" s="25">
        <v>246634.85</v>
      </c>
      <c r="H499" s="37">
        <f t="shared" si="22"/>
        <v>35</v>
      </c>
      <c r="I499" s="57" t="str">
        <f t="shared" si="23"/>
        <v>1-90 DAYS</v>
      </c>
      <c r="J499" s="37" t="str">
        <f t="shared" si="24"/>
        <v>0-180 DAYS</v>
      </c>
    </row>
    <row r="500" spans="1:10" x14ac:dyDescent="0.35">
      <c r="A500" t="s">
        <v>790</v>
      </c>
      <c r="B500" t="s">
        <v>477</v>
      </c>
      <c r="C500" s="1" t="s">
        <v>56</v>
      </c>
      <c r="D500" s="23" t="s">
        <v>57</v>
      </c>
      <c r="E500" s="23" t="s">
        <v>471</v>
      </c>
      <c r="F500" s="24">
        <v>44957</v>
      </c>
      <c r="G500" s="25">
        <v>27356.44</v>
      </c>
      <c r="H500" s="37">
        <f t="shared" si="22"/>
        <v>29</v>
      </c>
      <c r="I500" s="57" t="str">
        <f t="shared" si="23"/>
        <v>1-90 DAYS</v>
      </c>
      <c r="J500" s="37" t="str">
        <f t="shared" si="24"/>
        <v>0-180 DAYS</v>
      </c>
    </row>
    <row r="501" spans="1:10" x14ac:dyDescent="0.35">
      <c r="A501" t="s">
        <v>790</v>
      </c>
      <c r="B501" t="s">
        <v>477</v>
      </c>
      <c r="C501" s="1" t="s">
        <v>56</v>
      </c>
      <c r="D501" s="18" t="s">
        <v>57</v>
      </c>
      <c r="E501" s="18" t="s">
        <v>879</v>
      </c>
      <c r="F501" s="19">
        <v>44958</v>
      </c>
      <c r="G501" s="22">
        <v>729732.37</v>
      </c>
      <c r="H501" s="37">
        <f t="shared" ref="H501:H564" si="25">$H$3-F501+1</f>
        <v>28</v>
      </c>
      <c r="I501" s="57" t="str">
        <f t="shared" si="23"/>
        <v>1-90 DAYS</v>
      </c>
      <c r="J501" s="37" t="str">
        <f t="shared" si="24"/>
        <v>0-180 DAYS</v>
      </c>
    </row>
    <row r="502" spans="1:10" x14ac:dyDescent="0.35">
      <c r="A502" t="s">
        <v>790</v>
      </c>
      <c r="B502" t="s">
        <v>477</v>
      </c>
      <c r="C502" s="1" t="s">
        <v>56</v>
      </c>
      <c r="D502" s="18" t="s">
        <v>57</v>
      </c>
      <c r="E502" s="18" t="s">
        <v>880</v>
      </c>
      <c r="F502" s="19">
        <v>44958</v>
      </c>
      <c r="G502" s="22">
        <v>10695.96</v>
      </c>
      <c r="H502" s="37">
        <f t="shared" si="25"/>
        <v>28</v>
      </c>
      <c r="I502" s="57" t="str">
        <f t="shared" si="23"/>
        <v>1-90 DAYS</v>
      </c>
      <c r="J502" s="37" t="str">
        <f t="shared" si="24"/>
        <v>0-180 DAYS</v>
      </c>
    </row>
    <row r="503" spans="1:10" x14ac:dyDescent="0.35">
      <c r="A503" t="s">
        <v>790</v>
      </c>
      <c r="B503" t="s">
        <v>477</v>
      </c>
      <c r="C503" s="1" t="s">
        <v>56</v>
      </c>
      <c r="D503" s="18" t="s">
        <v>57</v>
      </c>
      <c r="E503" s="18" t="s">
        <v>881</v>
      </c>
      <c r="F503" s="19">
        <v>44958</v>
      </c>
      <c r="G503" s="22">
        <v>6130.21</v>
      </c>
      <c r="H503" s="37">
        <f t="shared" si="25"/>
        <v>28</v>
      </c>
      <c r="I503" s="57" t="str">
        <f t="shared" si="23"/>
        <v>1-90 DAYS</v>
      </c>
      <c r="J503" s="37" t="str">
        <f t="shared" si="24"/>
        <v>0-180 DAYS</v>
      </c>
    </row>
    <row r="504" spans="1:10" x14ac:dyDescent="0.35">
      <c r="A504" t="s">
        <v>790</v>
      </c>
      <c r="B504" t="s">
        <v>477</v>
      </c>
      <c r="C504" s="1" t="s">
        <v>56</v>
      </c>
      <c r="D504" s="18" t="s">
        <v>57</v>
      </c>
      <c r="E504" s="18" t="s">
        <v>882</v>
      </c>
      <c r="F504" s="19">
        <v>44958</v>
      </c>
      <c r="G504" s="22">
        <v>122213</v>
      </c>
      <c r="H504" s="37">
        <f t="shared" si="25"/>
        <v>28</v>
      </c>
      <c r="I504" s="57" t="str">
        <f t="shared" si="23"/>
        <v>1-90 DAYS</v>
      </c>
      <c r="J504" s="37" t="str">
        <f t="shared" si="24"/>
        <v>0-180 DAYS</v>
      </c>
    </row>
    <row r="505" spans="1:10" x14ac:dyDescent="0.35">
      <c r="A505" t="s">
        <v>790</v>
      </c>
      <c r="B505" t="s">
        <v>477</v>
      </c>
      <c r="C505" s="1" t="s">
        <v>56</v>
      </c>
      <c r="D505" s="18" t="s">
        <v>57</v>
      </c>
      <c r="E505" s="18" t="s">
        <v>883</v>
      </c>
      <c r="F505" s="19">
        <v>44958</v>
      </c>
      <c r="G505" s="22">
        <v>8273068.6500000004</v>
      </c>
      <c r="H505" s="37">
        <f t="shared" si="25"/>
        <v>28</v>
      </c>
      <c r="I505" s="57" t="str">
        <f t="shared" si="23"/>
        <v>1-90 DAYS</v>
      </c>
      <c r="J505" s="37" t="str">
        <f t="shared" si="24"/>
        <v>0-180 DAYS</v>
      </c>
    </row>
    <row r="506" spans="1:10" x14ac:dyDescent="0.35">
      <c r="A506" t="s">
        <v>790</v>
      </c>
      <c r="B506" t="s">
        <v>477</v>
      </c>
      <c r="C506" s="1" t="s">
        <v>56</v>
      </c>
      <c r="D506" s="18" t="s">
        <v>57</v>
      </c>
      <c r="E506" s="18" t="s">
        <v>884</v>
      </c>
      <c r="F506" s="19">
        <v>44959</v>
      </c>
      <c r="G506" s="22">
        <v>325510.31</v>
      </c>
      <c r="H506" s="37">
        <f t="shared" si="25"/>
        <v>27</v>
      </c>
      <c r="I506" s="57" t="str">
        <f t="shared" si="23"/>
        <v>1-90 DAYS</v>
      </c>
      <c r="J506" s="37" t="str">
        <f t="shared" si="24"/>
        <v>0-180 DAYS</v>
      </c>
    </row>
    <row r="507" spans="1:10" x14ac:dyDescent="0.35">
      <c r="A507" t="s">
        <v>790</v>
      </c>
      <c r="B507" t="s">
        <v>477</v>
      </c>
      <c r="C507" s="1" t="s">
        <v>56</v>
      </c>
      <c r="D507" s="18" t="s">
        <v>57</v>
      </c>
      <c r="E507" s="18" t="s">
        <v>885</v>
      </c>
      <c r="F507" s="19">
        <v>44959</v>
      </c>
      <c r="G507" s="22">
        <v>2490.16</v>
      </c>
      <c r="H507" s="37">
        <f t="shared" si="25"/>
        <v>27</v>
      </c>
      <c r="I507" s="57" t="str">
        <f t="shared" si="23"/>
        <v>1-90 DAYS</v>
      </c>
      <c r="J507" s="37" t="str">
        <f t="shared" si="24"/>
        <v>0-180 DAYS</v>
      </c>
    </row>
    <row r="508" spans="1:10" x14ac:dyDescent="0.35">
      <c r="A508" t="s">
        <v>790</v>
      </c>
      <c r="B508" t="s">
        <v>477</v>
      </c>
      <c r="C508" s="1" t="s">
        <v>56</v>
      </c>
      <c r="D508" s="18" t="s">
        <v>57</v>
      </c>
      <c r="E508" s="18" t="s">
        <v>886</v>
      </c>
      <c r="F508" s="19">
        <v>44959</v>
      </c>
      <c r="G508" s="22">
        <v>282</v>
      </c>
      <c r="H508" s="37">
        <f t="shared" si="25"/>
        <v>27</v>
      </c>
      <c r="I508" s="57" t="str">
        <f t="shared" si="23"/>
        <v>1-90 DAYS</v>
      </c>
      <c r="J508" s="37" t="str">
        <f t="shared" si="24"/>
        <v>0-180 DAYS</v>
      </c>
    </row>
    <row r="509" spans="1:10" x14ac:dyDescent="0.35">
      <c r="A509" t="s">
        <v>790</v>
      </c>
      <c r="B509" t="s">
        <v>477</v>
      </c>
      <c r="C509" s="1" t="s">
        <v>56</v>
      </c>
      <c r="D509" s="18" t="s">
        <v>57</v>
      </c>
      <c r="E509" s="18" t="s">
        <v>887</v>
      </c>
      <c r="F509" s="19">
        <v>44959</v>
      </c>
      <c r="G509" s="22">
        <v>25383</v>
      </c>
      <c r="H509" s="37">
        <f t="shared" si="25"/>
        <v>27</v>
      </c>
      <c r="I509" s="57" t="str">
        <f t="shared" si="23"/>
        <v>1-90 DAYS</v>
      </c>
      <c r="J509" s="37" t="str">
        <f t="shared" si="24"/>
        <v>0-180 DAYS</v>
      </c>
    </row>
    <row r="510" spans="1:10" x14ac:dyDescent="0.35">
      <c r="A510" t="s">
        <v>790</v>
      </c>
      <c r="B510" t="s">
        <v>477</v>
      </c>
      <c r="C510" s="1" t="s">
        <v>56</v>
      </c>
      <c r="D510" s="18" t="s">
        <v>57</v>
      </c>
      <c r="E510" s="18" t="s">
        <v>888</v>
      </c>
      <c r="F510" s="19">
        <v>44960</v>
      </c>
      <c r="G510" s="22">
        <v>155079.29999999999</v>
      </c>
      <c r="H510" s="37">
        <f t="shared" si="25"/>
        <v>26</v>
      </c>
      <c r="I510" s="57" t="str">
        <f t="shared" si="23"/>
        <v>1-90 DAYS</v>
      </c>
      <c r="J510" s="37" t="str">
        <f t="shared" si="24"/>
        <v>0-180 DAYS</v>
      </c>
    </row>
    <row r="511" spans="1:10" x14ac:dyDescent="0.35">
      <c r="A511" t="s">
        <v>790</v>
      </c>
      <c r="B511" t="s">
        <v>477</v>
      </c>
      <c r="C511" s="1" t="s">
        <v>56</v>
      </c>
      <c r="D511" s="18" t="s">
        <v>57</v>
      </c>
      <c r="E511" s="18" t="s">
        <v>889</v>
      </c>
      <c r="F511" s="19">
        <v>44960</v>
      </c>
      <c r="G511" s="22">
        <v>17230.7</v>
      </c>
      <c r="H511" s="37">
        <f t="shared" si="25"/>
        <v>26</v>
      </c>
      <c r="I511" s="57" t="str">
        <f t="shared" si="23"/>
        <v>1-90 DAYS</v>
      </c>
      <c r="J511" s="37" t="str">
        <f t="shared" si="24"/>
        <v>0-180 DAYS</v>
      </c>
    </row>
    <row r="512" spans="1:10" x14ac:dyDescent="0.35">
      <c r="A512" t="s">
        <v>790</v>
      </c>
      <c r="B512" t="s">
        <v>477</v>
      </c>
      <c r="C512" s="1" t="s">
        <v>56</v>
      </c>
      <c r="D512" s="18" t="s">
        <v>57</v>
      </c>
      <c r="E512" s="18" t="s">
        <v>890</v>
      </c>
      <c r="F512" s="19">
        <v>44960</v>
      </c>
      <c r="G512" s="22">
        <v>330662.53999999998</v>
      </c>
      <c r="H512" s="37">
        <f t="shared" si="25"/>
        <v>26</v>
      </c>
      <c r="I512" s="57" t="str">
        <f t="shared" si="23"/>
        <v>1-90 DAYS</v>
      </c>
      <c r="J512" s="37" t="str">
        <f t="shared" si="24"/>
        <v>0-180 DAYS</v>
      </c>
    </row>
    <row r="513" spans="1:10" x14ac:dyDescent="0.35">
      <c r="A513" t="s">
        <v>790</v>
      </c>
      <c r="B513" t="s">
        <v>477</v>
      </c>
      <c r="C513" s="1" t="s">
        <v>56</v>
      </c>
      <c r="D513" s="18" t="s">
        <v>57</v>
      </c>
      <c r="E513" s="18" t="s">
        <v>891</v>
      </c>
      <c r="F513" s="19">
        <v>44960</v>
      </c>
      <c r="G513" s="22">
        <v>5263.52</v>
      </c>
      <c r="H513" s="37">
        <f t="shared" si="25"/>
        <v>26</v>
      </c>
      <c r="I513" s="57" t="str">
        <f t="shared" si="23"/>
        <v>1-90 DAYS</v>
      </c>
      <c r="J513" s="37" t="str">
        <f t="shared" si="24"/>
        <v>0-180 DAYS</v>
      </c>
    </row>
    <row r="514" spans="1:10" x14ac:dyDescent="0.35">
      <c r="A514" t="s">
        <v>790</v>
      </c>
      <c r="B514" t="s">
        <v>477</v>
      </c>
      <c r="C514" s="1" t="s">
        <v>56</v>
      </c>
      <c r="D514" s="18" t="s">
        <v>57</v>
      </c>
      <c r="E514" s="18" t="s">
        <v>892</v>
      </c>
      <c r="F514" s="19">
        <v>44960</v>
      </c>
      <c r="G514" s="22">
        <v>39533</v>
      </c>
      <c r="H514" s="37">
        <f t="shared" si="25"/>
        <v>26</v>
      </c>
      <c r="I514" s="57" t="str">
        <f t="shared" si="23"/>
        <v>1-90 DAYS</v>
      </c>
      <c r="J514" s="37" t="str">
        <f t="shared" si="24"/>
        <v>0-180 DAYS</v>
      </c>
    </row>
    <row r="515" spans="1:10" x14ac:dyDescent="0.35">
      <c r="A515" t="s">
        <v>790</v>
      </c>
      <c r="B515" t="s">
        <v>477</v>
      </c>
      <c r="C515" s="1" t="s">
        <v>56</v>
      </c>
      <c r="D515" s="18" t="s">
        <v>57</v>
      </c>
      <c r="E515" s="18" t="s">
        <v>893</v>
      </c>
      <c r="F515" s="19">
        <v>44960</v>
      </c>
      <c r="G515" s="22">
        <v>2313</v>
      </c>
      <c r="H515" s="37">
        <f t="shared" si="25"/>
        <v>26</v>
      </c>
      <c r="I515" s="57" t="str">
        <f t="shared" si="23"/>
        <v>1-90 DAYS</v>
      </c>
      <c r="J515" s="37" t="str">
        <f t="shared" si="24"/>
        <v>0-180 DAYS</v>
      </c>
    </row>
    <row r="516" spans="1:10" x14ac:dyDescent="0.35">
      <c r="A516" t="s">
        <v>790</v>
      </c>
      <c r="B516" t="s">
        <v>477</v>
      </c>
      <c r="C516" s="1" t="s">
        <v>56</v>
      </c>
      <c r="D516" s="18" t="s">
        <v>57</v>
      </c>
      <c r="E516" s="18" t="s">
        <v>894</v>
      </c>
      <c r="F516" s="19">
        <v>44961</v>
      </c>
      <c r="G516" s="22">
        <v>532613.94999999995</v>
      </c>
      <c r="H516" s="37">
        <f t="shared" si="25"/>
        <v>25</v>
      </c>
      <c r="I516" s="57" t="str">
        <f t="shared" si="23"/>
        <v>1-90 DAYS</v>
      </c>
      <c r="J516" s="37" t="str">
        <f t="shared" si="24"/>
        <v>0-180 DAYS</v>
      </c>
    </row>
    <row r="517" spans="1:10" x14ac:dyDescent="0.35">
      <c r="A517" t="s">
        <v>790</v>
      </c>
      <c r="B517" t="s">
        <v>477</v>
      </c>
      <c r="C517" s="1" t="s">
        <v>56</v>
      </c>
      <c r="D517" s="18" t="s">
        <v>57</v>
      </c>
      <c r="E517" s="18" t="s">
        <v>895</v>
      </c>
      <c r="F517" s="19">
        <v>44961</v>
      </c>
      <c r="G517" s="22">
        <v>2490.16</v>
      </c>
      <c r="H517" s="37">
        <f t="shared" si="25"/>
        <v>25</v>
      </c>
      <c r="I517" s="57" t="str">
        <f t="shared" ref="I517:I580" si="26">IF(H517&lt;91,"1-90 DAYS",IF(H517&lt;121,"91-120DAYS",IF(H517&lt;181,"121-180 DAYS","Morethan180Days")))</f>
        <v>1-90 DAYS</v>
      </c>
      <c r="J517" s="37" t="str">
        <f t="shared" si="24"/>
        <v>0-180 DAYS</v>
      </c>
    </row>
    <row r="518" spans="1:10" x14ac:dyDescent="0.35">
      <c r="A518" t="s">
        <v>790</v>
      </c>
      <c r="B518" t="s">
        <v>477</v>
      </c>
      <c r="C518" s="1" t="s">
        <v>56</v>
      </c>
      <c r="D518" s="18" t="s">
        <v>57</v>
      </c>
      <c r="E518" s="18" t="s">
        <v>896</v>
      </c>
      <c r="F518" s="19">
        <v>44961</v>
      </c>
      <c r="G518" s="22">
        <v>56670</v>
      </c>
      <c r="H518" s="37">
        <f t="shared" si="25"/>
        <v>25</v>
      </c>
      <c r="I518" s="57" t="str">
        <f t="shared" si="26"/>
        <v>1-90 DAYS</v>
      </c>
      <c r="J518" s="37" t="str">
        <f t="shared" ref="J518:J581" si="27">IF(H518&lt;180,"0-180 DAYS","More than 180 Days")</f>
        <v>0-180 DAYS</v>
      </c>
    </row>
    <row r="519" spans="1:10" x14ac:dyDescent="0.35">
      <c r="A519" t="s">
        <v>790</v>
      </c>
      <c r="B519" t="s">
        <v>477</v>
      </c>
      <c r="C519" s="1" t="s">
        <v>56</v>
      </c>
      <c r="D519" s="18" t="s">
        <v>57</v>
      </c>
      <c r="E519" s="18" t="s">
        <v>897</v>
      </c>
      <c r="F519" s="19">
        <v>44961</v>
      </c>
      <c r="G519" s="22">
        <v>29700</v>
      </c>
      <c r="H519" s="37">
        <f t="shared" si="25"/>
        <v>25</v>
      </c>
      <c r="I519" s="57" t="str">
        <f t="shared" si="26"/>
        <v>1-90 DAYS</v>
      </c>
      <c r="J519" s="37" t="str">
        <f t="shared" si="27"/>
        <v>0-180 DAYS</v>
      </c>
    </row>
    <row r="520" spans="1:10" x14ac:dyDescent="0.35">
      <c r="A520" t="s">
        <v>790</v>
      </c>
      <c r="B520" t="s">
        <v>477</v>
      </c>
      <c r="C520" s="1" t="s">
        <v>56</v>
      </c>
      <c r="D520" s="18" t="s">
        <v>57</v>
      </c>
      <c r="E520" s="18" t="s">
        <v>898</v>
      </c>
      <c r="F520" s="19">
        <v>44962</v>
      </c>
      <c r="G520" s="22">
        <v>83551</v>
      </c>
      <c r="H520" s="37">
        <f t="shared" si="25"/>
        <v>24</v>
      </c>
      <c r="I520" s="57" t="str">
        <f t="shared" si="26"/>
        <v>1-90 DAYS</v>
      </c>
      <c r="J520" s="37" t="str">
        <f t="shared" si="27"/>
        <v>0-180 DAYS</v>
      </c>
    </row>
    <row r="521" spans="1:10" x14ac:dyDescent="0.35">
      <c r="A521" t="s">
        <v>790</v>
      </c>
      <c r="B521" t="s">
        <v>477</v>
      </c>
      <c r="C521" s="1" t="s">
        <v>56</v>
      </c>
      <c r="D521" s="18" t="s">
        <v>57</v>
      </c>
      <c r="E521" s="18" t="s">
        <v>899</v>
      </c>
      <c r="F521" s="19">
        <v>44963</v>
      </c>
      <c r="G521" s="22">
        <v>7118.44</v>
      </c>
      <c r="H521" s="37">
        <f t="shared" si="25"/>
        <v>23</v>
      </c>
      <c r="I521" s="57" t="str">
        <f t="shared" si="26"/>
        <v>1-90 DAYS</v>
      </c>
      <c r="J521" s="37" t="str">
        <f t="shared" si="27"/>
        <v>0-180 DAYS</v>
      </c>
    </row>
    <row r="522" spans="1:10" x14ac:dyDescent="0.35">
      <c r="A522" t="s">
        <v>790</v>
      </c>
      <c r="B522" t="s">
        <v>477</v>
      </c>
      <c r="C522" s="1" t="s">
        <v>56</v>
      </c>
      <c r="D522" s="18" t="s">
        <v>57</v>
      </c>
      <c r="E522" s="18" t="s">
        <v>900</v>
      </c>
      <c r="F522" s="19">
        <v>44963</v>
      </c>
      <c r="G522" s="22">
        <v>189844.12</v>
      </c>
      <c r="H522" s="37">
        <f t="shared" si="25"/>
        <v>23</v>
      </c>
      <c r="I522" s="57" t="str">
        <f t="shared" si="26"/>
        <v>1-90 DAYS</v>
      </c>
      <c r="J522" s="37" t="str">
        <f t="shared" si="27"/>
        <v>0-180 DAYS</v>
      </c>
    </row>
    <row r="523" spans="1:10" x14ac:dyDescent="0.35">
      <c r="A523" t="s">
        <v>790</v>
      </c>
      <c r="B523" t="s">
        <v>477</v>
      </c>
      <c r="C523" s="1" t="s">
        <v>56</v>
      </c>
      <c r="D523" s="18" t="s">
        <v>57</v>
      </c>
      <c r="E523" s="18" t="s">
        <v>901</v>
      </c>
      <c r="F523" s="19">
        <v>44963</v>
      </c>
      <c r="G523" s="22">
        <v>1245.08</v>
      </c>
      <c r="H523" s="37">
        <f t="shared" si="25"/>
        <v>23</v>
      </c>
      <c r="I523" s="57" t="str">
        <f t="shared" si="26"/>
        <v>1-90 DAYS</v>
      </c>
      <c r="J523" s="37" t="str">
        <f t="shared" si="27"/>
        <v>0-180 DAYS</v>
      </c>
    </row>
    <row r="524" spans="1:10" x14ac:dyDescent="0.35">
      <c r="A524" t="s">
        <v>790</v>
      </c>
      <c r="B524" t="s">
        <v>477</v>
      </c>
      <c r="C524" s="1" t="s">
        <v>56</v>
      </c>
      <c r="D524" s="18" t="s">
        <v>57</v>
      </c>
      <c r="E524" s="18" t="s">
        <v>902</v>
      </c>
      <c r="F524" s="19">
        <v>44963</v>
      </c>
      <c r="G524" s="22">
        <v>10444</v>
      </c>
      <c r="H524" s="37">
        <f t="shared" si="25"/>
        <v>23</v>
      </c>
      <c r="I524" s="57" t="str">
        <f t="shared" si="26"/>
        <v>1-90 DAYS</v>
      </c>
      <c r="J524" s="37" t="str">
        <f t="shared" si="27"/>
        <v>0-180 DAYS</v>
      </c>
    </row>
    <row r="525" spans="1:10" x14ac:dyDescent="0.35">
      <c r="A525" t="s">
        <v>790</v>
      </c>
      <c r="B525" t="s">
        <v>477</v>
      </c>
      <c r="C525" s="1" t="s">
        <v>56</v>
      </c>
      <c r="D525" s="18" t="s">
        <v>57</v>
      </c>
      <c r="E525" s="18" t="s">
        <v>903</v>
      </c>
      <c r="F525" s="19">
        <v>44963</v>
      </c>
      <c r="G525" s="22">
        <v>66000</v>
      </c>
      <c r="H525" s="37">
        <f t="shared" si="25"/>
        <v>23</v>
      </c>
      <c r="I525" s="57" t="str">
        <f t="shared" si="26"/>
        <v>1-90 DAYS</v>
      </c>
      <c r="J525" s="37" t="str">
        <f t="shared" si="27"/>
        <v>0-180 DAYS</v>
      </c>
    </row>
    <row r="526" spans="1:10" x14ac:dyDescent="0.35">
      <c r="A526" t="s">
        <v>790</v>
      </c>
      <c r="B526" t="s">
        <v>477</v>
      </c>
      <c r="C526" s="1" t="s">
        <v>56</v>
      </c>
      <c r="D526" s="18" t="s">
        <v>57</v>
      </c>
      <c r="E526" s="18" t="s">
        <v>904</v>
      </c>
      <c r="F526" s="19">
        <v>44963</v>
      </c>
      <c r="G526" s="22">
        <v>44000</v>
      </c>
      <c r="H526" s="37">
        <f t="shared" si="25"/>
        <v>23</v>
      </c>
      <c r="I526" s="57" t="str">
        <f t="shared" si="26"/>
        <v>1-90 DAYS</v>
      </c>
      <c r="J526" s="37" t="str">
        <f t="shared" si="27"/>
        <v>0-180 DAYS</v>
      </c>
    </row>
    <row r="527" spans="1:10" x14ac:dyDescent="0.35">
      <c r="A527" t="s">
        <v>790</v>
      </c>
      <c r="B527" t="s">
        <v>477</v>
      </c>
      <c r="C527" s="1" t="s">
        <v>56</v>
      </c>
      <c r="D527" s="18" t="s">
        <v>57</v>
      </c>
      <c r="E527" s="18" t="s">
        <v>905</v>
      </c>
      <c r="F527" s="19">
        <v>44963</v>
      </c>
      <c r="G527" s="22">
        <v>59309</v>
      </c>
      <c r="H527" s="37">
        <f t="shared" si="25"/>
        <v>23</v>
      </c>
      <c r="I527" s="57" t="str">
        <f t="shared" si="26"/>
        <v>1-90 DAYS</v>
      </c>
      <c r="J527" s="37" t="str">
        <f t="shared" si="27"/>
        <v>0-180 DAYS</v>
      </c>
    </row>
    <row r="528" spans="1:10" x14ac:dyDescent="0.35">
      <c r="A528" t="s">
        <v>790</v>
      </c>
      <c r="B528" t="s">
        <v>477</v>
      </c>
      <c r="C528" s="1" t="s">
        <v>56</v>
      </c>
      <c r="D528" s="18" t="s">
        <v>57</v>
      </c>
      <c r="E528" s="18" t="s">
        <v>906</v>
      </c>
      <c r="F528" s="19">
        <v>44964</v>
      </c>
      <c r="G528" s="22">
        <v>230551.23</v>
      </c>
      <c r="H528" s="37">
        <f t="shared" si="25"/>
        <v>22</v>
      </c>
      <c r="I528" s="57" t="str">
        <f t="shared" si="26"/>
        <v>1-90 DAYS</v>
      </c>
      <c r="J528" s="37" t="str">
        <f t="shared" si="27"/>
        <v>0-180 DAYS</v>
      </c>
    </row>
    <row r="529" spans="1:10" x14ac:dyDescent="0.35">
      <c r="A529" t="s">
        <v>790</v>
      </c>
      <c r="B529" t="s">
        <v>477</v>
      </c>
      <c r="C529" s="1" t="s">
        <v>56</v>
      </c>
      <c r="D529" s="18" t="s">
        <v>57</v>
      </c>
      <c r="E529" s="18" t="s">
        <v>907</v>
      </c>
      <c r="F529" s="19">
        <v>44964</v>
      </c>
      <c r="G529" s="22">
        <v>3282.12</v>
      </c>
      <c r="H529" s="37">
        <f t="shared" si="25"/>
        <v>22</v>
      </c>
      <c r="I529" s="57" t="str">
        <f t="shared" si="26"/>
        <v>1-90 DAYS</v>
      </c>
      <c r="J529" s="37" t="str">
        <f t="shared" si="27"/>
        <v>0-180 DAYS</v>
      </c>
    </row>
    <row r="530" spans="1:10" x14ac:dyDescent="0.35">
      <c r="A530" t="s">
        <v>790</v>
      </c>
      <c r="B530" t="s">
        <v>477</v>
      </c>
      <c r="C530" s="1" t="s">
        <v>56</v>
      </c>
      <c r="D530" s="18" t="s">
        <v>57</v>
      </c>
      <c r="E530" s="18" t="s">
        <v>908</v>
      </c>
      <c r="F530" s="19">
        <v>44964</v>
      </c>
      <c r="G530" s="22">
        <v>8353.2999999999993</v>
      </c>
      <c r="H530" s="37">
        <f t="shared" si="25"/>
        <v>22</v>
      </c>
      <c r="I530" s="57" t="str">
        <f t="shared" si="26"/>
        <v>1-90 DAYS</v>
      </c>
      <c r="J530" s="37" t="str">
        <f t="shared" si="27"/>
        <v>0-180 DAYS</v>
      </c>
    </row>
    <row r="531" spans="1:10" x14ac:dyDescent="0.35">
      <c r="A531" t="s">
        <v>790</v>
      </c>
      <c r="B531" t="s">
        <v>477</v>
      </c>
      <c r="C531" s="1" t="s">
        <v>56</v>
      </c>
      <c r="D531" s="18" t="s">
        <v>57</v>
      </c>
      <c r="E531" s="18" t="s">
        <v>909</v>
      </c>
      <c r="F531" s="19">
        <v>44964</v>
      </c>
      <c r="G531" s="22">
        <v>19873</v>
      </c>
      <c r="H531" s="37">
        <f t="shared" si="25"/>
        <v>22</v>
      </c>
      <c r="I531" s="57" t="str">
        <f t="shared" si="26"/>
        <v>1-90 DAYS</v>
      </c>
      <c r="J531" s="37" t="str">
        <f t="shared" si="27"/>
        <v>0-180 DAYS</v>
      </c>
    </row>
    <row r="532" spans="1:10" x14ac:dyDescent="0.35">
      <c r="A532" t="s">
        <v>790</v>
      </c>
      <c r="B532" t="s">
        <v>477</v>
      </c>
      <c r="C532" s="1" t="s">
        <v>56</v>
      </c>
      <c r="D532" s="18" t="s">
        <v>57</v>
      </c>
      <c r="E532" s="18" t="s">
        <v>910</v>
      </c>
      <c r="F532" s="19">
        <v>44965</v>
      </c>
      <c r="G532" s="22">
        <v>155079.29999999999</v>
      </c>
      <c r="H532" s="37">
        <f t="shared" si="25"/>
        <v>21</v>
      </c>
      <c r="I532" s="57" t="str">
        <f t="shared" si="26"/>
        <v>1-90 DAYS</v>
      </c>
      <c r="J532" s="37" t="str">
        <f t="shared" si="27"/>
        <v>0-180 DAYS</v>
      </c>
    </row>
    <row r="533" spans="1:10" x14ac:dyDescent="0.35">
      <c r="A533" t="s">
        <v>790</v>
      </c>
      <c r="B533" t="s">
        <v>477</v>
      </c>
      <c r="C533" s="1" t="s">
        <v>56</v>
      </c>
      <c r="D533" s="18" t="s">
        <v>57</v>
      </c>
      <c r="E533" s="18" t="s">
        <v>911</v>
      </c>
      <c r="F533" s="19">
        <v>44965</v>
      </c>
      <c r="G533" s="22">
        <v>420136.36</v>
      </c>
      <c r="H533" s="37">
        <f t="shared" si="25"/>
        <v>21</v>
      </c>
      <c r="I533" s="57" t="str">
        <f t="shared" si="26"/>
        <v>1-90 DAYS</v>
      </c>
      <c r="J533" s="37" t="str">
        <f t="shared" si="27"/>
        <v>0-180 DAYS</v>
      </c>
    </row>
    <row r="534" spans="1:10" x14ac:dyDescent="0.35">
      <c r="A534" t="s">
        <v>790</v>
      </c>
      <c r="B534" t="s">
        <v>477</v>
      </c>
      <c r="C534" s="1" t="s">
        <v>56</v>
      </c>
      <c r="D534" s="18" t="s">
        <v>57</v>
      </c>
      <c r="E534" s="18" t="s">
        <v>912</v>
      </c>
      <c r="F534" s="19">
        <v>44965</v>
      </c>
      <c r="G534" s="22">
        <v>3735.24</v>
      </c>
      <c r="H534" s="37">
        <f t="shared" si="25"/>
        <v>21</v>
      </c>
      <c r="I534" s="57" t="str">
        <f t="shared" si="26"/>
        <v>1-90 DAYS</v>
      </c>
      <c r="J534" s="37" t="str">
        <f t="shared" si="27"/>
        <v>0-180 DAYS</v>
      </c>
    </row>
    <row r="535" spans="1:10" x14ac:dyDescent="0.35">
      <c r="A535" t="s">
        <v>790</v>
      </c>
      <c r="B535" t="s">
        <v>477</v>
      </c>
      <c r="C535" s="1" t="s">
        <v>56</v>
      </c>
      <c r="D535" s="18" t="s">
        <v>57</v>
      </c>
      <c r="E535" s="18" t="s">
        <v>913</v>
      </c>
      <c r="F535" s="19">
        <v>44965</v>
      </c>
      <c r="G535" s="22">
        <v>25939</v>
      </c>
      <c r="H535" s="37">
        <f t="shared" si="25"/>
        <v>21</v>
      </c>
      <c r="I535" s="57" t="str">
        <f t="shared" si="26"/>
        <v>1-90 DAYS</v>
      </c>
      <c r="J535" s="37" t="str">
        <f t="shared" si="27"/>
        <v>0-180 DAYS</v>
      </c>
    </row>
    <row r="536" spans="1:10" x14ac:dyDescent="0.35">
      <c r="A536" t="s">
        <v>790</v>
      </c>
      <c r="B536" t="s">
        <v>477</v>
      </c>
      <c r="C536" s="1" t="s">
        <v>56</v>
      </c>
      <c r="D536" s="18" t="s">
        <v>57</v>
      </c>
      <c r="E536" s="18" t="s">
        <v>914</v>
      </c>
      <c r="F536" s="19">
        <v>44965</v>
      </c>
      <c r="G536" s="22">
        <v>11096</v>
      </c>
      <c r="H536" s="37">
        <f t="shared" si="25"/>
        <v>21</v>
      </c>
      <c r="I536" s="57" t="str">
        <f t="shared" si="26"/>
        <v>1-90 DAYS</v>
      </c>
      <c r="J536" s="37" t="str">
        <f t="shared" si="27"/>
        <v>0-180 DAYS</v>
      </c>
    </row>
    <row r="537" spans="1:10" x14ac:dyDescent="0.35">
      <c r="A537" t="s">
        <v>790</v>
      </c>
      <c r="B537" t="s">
        <v>477</v>
      </c>
      <c r="C537" s="1" t="s">
        <v>56</v>
      </c>
      <c r="D537" s="18" t="s">
        <v>57</v>
      </c>
      <c r="E537" s="18" t="s">
        <v>915</v>
      </c>
      <c r="F537" s="19">
        <v>44966</v>
      </c>
      <c r="G537" s="22">
        <v>524826.57999999996</v>
      </c>
      <c r="H537" s="37">
        <f t="shared" si="25"/>
        <v>20</v>
      </c>
      <c r="I537" s="57" t="str">
        <f t="shared" si="26"/>
        <v>1-90 DAYS</v>
      </c>
      <c r="J537" s="37" t="str">
        <f t="shared" si="27"/>
        <v>0-180 DAYS</v>
      </c>
    </row>
    <row r="538" spans="1:10" x14ac:dyDescent="0.35">
      <c r="A538" t="s">
        <v>790</v>
      </c>
      <c r="B538" t="s">
        <v>477</v>
      </c>
      <c r="C538" s="1" t="s">
        <v>56</v>
      </c>
      <c r="D538" s="18" t="s">
        <v>57</v>
      </c>
      <c r="E538" s="18" t="s">
        <v>916</v>
      </c>
      <c r="F538" s="19">
        <v>44966</v>
      </c>
      <c r="G538" s="22">
        <v>651382.68000000005</v>
      </c>
      <c r="H538" s="37">
        <f t="shared" si="25"/>
        <v>20</v>
      </c>
      <c r="I538" s="57" t="str">
        <f t="shared" si="26"/>
        <v>1-90 DAYS</v>
      </c>
      <c r="J538" s="37" t="str">
        <f t="shared" si="27"/>
        <v>0-180 DAYS</v>
      </c>
    </row>
    <row r="539" spans="1:10" x14ac:dyDescent="0.35">
      <c r="A539" t="s">
        <v>790</v>
      </c>
      <c r="B539" t="s">
        <v>477</v>
      </c>
      <c r="C539" s="1" t="s">
        <v>56</v>
      </c>
      <c r="D539" s="18" t="s">
        <v>57</v>
      </c>
      <c r="E539" s="18" t="s">
        <v>917</v>
      </c>
      <c r="F539" s="19">
        <v>44966</v>
      </c>
      <c r="G539" s="22">
        <v>8035.88</v>
      </c>
      <c r="H539" s="37">
        <f t="shared" si="25"/>
        <v>20</v>
      </c>
      <c r="I539" s="57" t="str">
        <f t="shared" si="26"/>
        <v>1-90 DAYS</v>
      </c>
      <c r="J539" s="37" t="str">
        <f t="shared" si="27"/>
        <v>0-180 DAYS</v>
      </c>
    </row>
    <row r="540" spans="1:10" x14ac:dyDescent="0.35">
      <c r="A540" t="s">
        <v>790</v>
      </c>
      <c r="B540" t="s">
        <v>477</v>
      </c>
      <c r="C540" s="1" t="s">
        <v>56</v>
      </c>
      <c r="D540" s="18" t="s">
        <v>57</v>
      </c>
      <c r="E540" s="18" t="s">
        <v>918</v>
      </c>
      <c r="F540" s="19">
        <v>44966</v>
      </c>
      <c r="G540" s="22">
        <v>8161</v>
      </c>
      <c r="H540" s="37">
        <f t="shared" si="25"/>
        <v>20</v>
      </c>
      <c r="I540" s="57" t="str">
        <f t="shared" si="26"/>
        <v>1-90 DAYS</v>
      </c>
      <c r="J540" s="37" t="str">
        <f t="shared" si="27"/>
        <v>0-180 DAYS</v>
      </c>
    </row>
    <row r="541" spans="1:10" x14ac:dyDescent="0.35">
      <c r="A541" t="s">
        <v>790</v>
      </c>
      <c r="B541" t="s">
        <v>477</v>
      </c>
      <c r="C541" s="1" t="s">
        <v>56</v>
      </c>
      <c r="D541" s="18" t="s">
        <v>57</v>
      </c>
      <c r="E541" s="18" t="s">
        <v>919</v>
      </c>
      <c r="F541" s="19">
        <v>44967</v>
      </c>
      <c r="G541" s="22">
        <v>458058.16</v>
      </c>
      <c r="H541" s="37">
        <f t="shared" si="25"/>
        <v>19</v>
      </c>
      <c r="I541" s="57" t="str">
        <f t="shared" si="26"/>
        <v>1-90 DAYS</v>
      </c>
      <c r="J541" s="37" t="str">
        <f t="shared" si="27"/>
        <v>0-180 DAYS</v>
      </c>
    </row>
    <row r="542" spans="1:10" x14ac:dyDescent="0.35">
      <c r="A542" t="s">
        <v>790</v>
      </c>
      <c r="B542" t="s">
        <v>477</v>
      </c>
      <c r="C542" s="1" t="s">
        <v>56</v>
      </c>
      <c r="D542" s="18" t="s">
        <v>57</v>
      </c>
      <c r="E542" s="18" t="s">
        <v>920</v>
      </c>
      <c r="F542" s="19">
        <v>44967</v>
      </c>
      <c r="G542" s="22">
        <v>12567.8</v>
      </c>
      <c r="H542" s="37">
        <f t="shared" si="25"/>
        <v>19</v>
      </c>
      <c r="I542" s="57" t="str">
        <f t="shared" si="26"/>
        <v>1-90 DAYS</v>
      </c>
      <c r="J542" s="37" t="str">
        <f t="shared" si="27"/>
        <v>0-180 DAYS</v>
      </c>
    </row>
    <row r="543" spans="1:10" x14ac:dyDescent="0.35">
      <c r="A543" t="s">
        <v>790</v>
      </c>
      <c r="B543" t="s">
        <v>477</v>
      </c>
      <c r="C543" s="1" t="s">
        <v>56</v>
      </c>
      <c r="D543" s="18" t="s">
        <v>57</v>
      </c>
      <c r="E543" s="18" t="s">
        <v>921</v>
      </c>
      <c r="F543" s="19">
        <v>44967</v>
      </c>
      <c r="G543" s="22">
        <v>52418.84</v>
      </c>
      <c r="H543" s="37">
        <f t="shared" si="25"/>
        <v>19</v>
      </c>
      <c r="I543" s="57" t="str">
        <f t="shared" si="26"/>
        <v>1-90 DAYS</v>
      </c>
      <c r="J543" s="37" t="str">
        <f t="shared" si="27"/>
        <v>0-180 DAYS</v>
      </c>
    </row>
    <row r="544" spans="1:10" x14ac:dyDescent="0.35">
      <c r="A544" t="s">
        <v>790</v>
      </c>
      <c r="B544" t="s">
        <v>477</v>
      </c>
      <c r="C544" s="1" t="s">
        <v>56</v>
      </c>
      <c r="D544" s="18" t="s">
        <v>57</v>
      </c>
      <c r="E544" s="18" t="s">
        <v>922</v>
      </c>
      <c r="F544" s="19">
        <v>44967</v>
      </c>
      <c r="G544" s="22">
        <v>11436</v>
      </c>
      <c r="H544" s="37">
        <f t="shared" si="25"/>
        <v>19</v>
      </c>
      <c r="I544" s="57" t="str">
        <f t="shared" si="26"/>
        <v>1-90 DAYS</v>
      </c>
      <c r="J544" s="37" t="str">
        <f t="shared" si="27"/>
        <v>0-180 DAYS</v>
      </c>
    </row>
    <row r="545" spans="1:12" x14ac:dyDescent="0.35">
      <c r="A545" t="s">
        <v>790</v>
      </c>
      <c r="B545" t="s">
        <v>477</v>
      </c>
      <c r="C545" s="1" t="s">
        <v>56</v>
      </c>
      <c r="D545" s="18" t="s">
        <v>57</v>
      </c>
      <c r="E545" s="18" t="s">
        <v>923</v>
      </c>
      <c r="F545" s="19">
        <v>44967</v>
      </c>
      <c r="G545" s="22">
        <v>35264</v>
      </c>
      <c r="H545" s="37">
        <f t="shared" si="25"/>
        <v>19</v>
      </c>
      <c r="I545" s="57" t="str">
        <f t="shared" si="26"/>
        <v>1-90 DAYS</v>
      </c>
      <c r="J545" s="37" t="str">
        <f t="shared" si="27"/>
        <v>0-180 DAYS</v>
      </c>
    </row>
    <row r="546" spans="1:12" x14ac:dyDescent="0.35">
      <c r="A546" t="s">
        <v>790</v>
      </c>
      <c r="B546" t="s">
        <v>477</v>
      </c>
      <c r="C546" s="1" t="s">
        <v>56</v>
      </c>
      <c r="D546" s="18" t="s">
        <v>57</v>
      </c>
      <c r="E546" s="18" t="s">
        <v>924</v>
      </c>
      <c r="F546" s="19">
        <v>44967</v>
      </c>
      <c r="G546" s="22">
        <v>100375</v>
      </c>
      <c r="H546" s="37">
        <f t="shared" si="25"/>
        <v>19</v>
      </c>
      <c r="I546" s="57" t="str">
        <f t="shared" si="26"/>
        <v>1-90 DAYS</v>
      </c>
      <c r="J546" s="37" t="str">
        <f t="shared" si="27"/>
        <v>0-180 DAYS</v>
      </c>
    </row>
    <row r="547" spans="1:12" x14ac:dyDescent="0.35">
      <c r="A547" t="s">
        <v>790</v>
      </c>
      <c r="B547" t="s">
        <v>477</v>
      </c>
      <c r="C547" s="1" t="s">
        <v>56</v>
      </c>
      <c r="D547" s="18" t="s">
        <v>57</v>
      </c>
      <c r="E547" s="18" t="s">
        <v>925</v>
      </c>
      <c r="F547" s="19">
        <v>44968</v>
      </c>
      <c r="G547" s="22">
        <v>712804.13</v>
      </c>
      <c r="H547" s="37">
        <f t="shared" si="25"/>
        <v>18</v>
      </c>
      <c r="I547" s="57" t="str">
        <f t="shared" si="26"/>
        <v>1-90 DAYS</v>
      </c>
      <c r="J547" s="37" t="str">
        <f t="shared" si="27"/>
        <v>0-180 DAYS</v>
      </c>
    </row>
    <row r="548" spans="1:12" x14ac:dyDescent="0.35">
      <c r="A548" t="s">
        <v>790</v>
      </c>
      <c r="B548" t="s">
        <v>477</v>
      </c>
      <c r="C548" s="1" t="s">
        <v>56</v>
      </c>
      <c r="D548" s="18" t="s">
        <v>57</v>
      </c>
      <c r="E548" s="18" t="s">
        <v>926</v>
      </c>
      <c r="F548" s="19">
        <v>44968</v>
      </c>
      <c r="G548" s="22">
        <v>2546.8000000000002</v>
      </c>
      <c r="H548" s="37">
        <f t="shared" si="25"/>
        <v>18</v>
      </c>
      <c r="I548" s="57" t="str">
        <f t="shared" si="26"/>
        <v>1-90 DAYS</v>
      </c>
      <c r="J548" s="37" t="str">
        <f t="shared" si="27"/>
        <v>0-180 DAYS</v>
      </c>
    </row>
    <row r="549" spans="1:12" x14ac:dyDescent="0.35">
      <c r="A549" t="s">
        <v>790</v>
      </c>
      <c r="B549" t="s">
        <v>477</v>
      </c>
      <c r="C549" s="1" t="s">
        <v>56</v>
      </c>
      <c r="D549" s="18" t="s">
        <v>57</v>
      </c>
      <c r="E549" s="18" t="s">
        <v>927</v>
      </c>
      <c r="F549" s="19">
        <v>44968</v>
      </c>
      <c r="G549" s="22">
        <v>329768.46000000002</v>
      </c>
      <c r="H549" s="37">
        <f t="shared" si="25"/>
        <v>18</v>
      </c>
      <c r="I549" s="57" t="str">
        <f t="shared" si="26"/>
        <v>1-90 DAYS</v>
      </c>
      <c r="J549" s="37" t="str">
        <f t="shared" si="27"/>
        <v>0-180 DAYS</v>
      </c>
    </row>
    <row r="550" spans="1:12" x14ac:dyDescent="0.35">
      <c r="A550" t="s">
        <v>790</v>
      </c>
      <c r="B550" t="s">
        <v>477</v>
      </c>
      <c r="C550" s="1" t="s">
        <v>56</v>
      </c>
      <c r="D550" s="18" t="s">
        <v>57</v>
      </c>
      <c r="E550" s="18" t="s">
        <v>928</v>
      </c>
      <c r="F550" s="19">
        <v>44968</v>
      </c>
      <c r="G550" s="22">
        <v>4640.4799999999996</v>
      </c>
      <c r="H550" s="37">
        <f t="shared" si="25"/>
        <v>18</v>
      </c>
      <c r="I550" s="57" t="str">
        <f t="shared" si="26"/>
        <v>1-90 DAYS</v>
      </c>
      <c r="J550" s="37" t="str">
        <f t="shared" si="27"/>
        <v>0-180 DAYS</v>
      </c>
    </row>
    <row r="551" spans="1:12" x14ac:dyDescent="0.35">
      <c r="A551" t="s">
        <v>790</v>
      </c>
      <c r="B551" t="s">
        <v>477</v>
      </c>
      <c r="C551" s="1" t="s">
        <v>56</v>
      </c>
      <c r="D551" s="18" t="s">
        <v>57</v>
      </c>
      <c r="E551" s="18" t="s">
        <v>929</v>
      </c>
      <c r="F551" s="19">
        <v>44968</v>
      </c>
      <c r="G551" s="22">
        <v>26160</v>
      </c>
      <c r="H551" s="37">
        <f t="shared" si="25"/>
        <v>18</v>
      </c>
      <c r="I551" s="57" t="str">
        <f t="shared" si="26"/>
        <v>1-90 DAYS</v>
      </c>
      <c r="J551" s="37" t="str">
        <f t="shared" si="27"/>
        <v>0-180 DAYS</v>
      </c>
    </row>
    <row r="552" spans="1:12" x14ac:dyDescent="0.35">
      <c r="A552" t="s">
        <v>790</v>
      </c>
      <c r="B552" t="s">
        <v>477</v>
      </c>
      <c r="C552" s="1" t="s">
        <v>56</v>
      </c>
      <c r="D552" s="18" t="s">
        <v>57</v>
      </c>
      <c r="E552" s="18" t="s">
        <v>930</v>
      </c>
      <c r="F552" s="19">
        <v>44968</v>
      </c>
      <c r="G552" s="22">
        <v>19653</v>
      </c>
      <c r="H552" s="37">
        <f t="shared" si="25"/>
        <v>18</v>
      </c>
      <c r="I552" s="57" t="str">
        <f t="shared" si="26"/>
        <v>1-90 DAYS</v>
      </c>
      <c r="J552" s="37" t="str">
        <f t="shared" si="27"/>
        <v>0-180 DAYS</v>
      </c>
    </row>
    <row r="553" spans="1:12" x14ac:dyDescent="0.35">
      <c r="A553" t="s">
        <v>790</v>
      </c>
      <c r="B553" t="s">
        <v>477</v>
      </c>
      <c r="C553" s="1" t="s">
        <v>56</v>
      </c>
      <c r="D553" s="18" t="s">
        <v>57</v>
      </c>
      <c r="E553" s="18" t="s">
        <v>931</v>
      </c>
      <c r="F553" s="19">
        <v>44969</v>
      </c>
      <c r="G553" s="22">
        <v>82353</v>
      </c>
      <c r="H553" s="37">
        <f t="shared" si="25"/>
        <v>17</v>
      </c>
      <c r="I553" s="57" t="str">
        <f t="shared" si="26"/>
        <v>1-90 DAYS</v>
      </c>
      <c r="J553" s="37" t="str">
        <f t="shared" si="27"/>
        <v>0-180 DAYS</v>
      </c>
    </row>
    <row r="554" spans="1:12" x14ac:dyDescent="0.35">
      <c r="A554" t="s">
        <v>790</v>
      </c>
      <c r="B554" t="s">
        <v>477</v>
      </c>
      <c r="C554" s="1" t="s">
        <v>56</v>
      </c>
      <c r="D554" s="18" t="s">
        <v>57</v>
      </c>
      <c r="E554" s="18" t="s">
        <v>932</v>
      </c>
      <c r="F554" s="19">
        <v>44969</v>
      </c>
      <c r="G554" s="22">
        <v>298500.05</v>
      </c>
      <c r="H554" s="37">
        <f t="shared" si="25"/>
        <v>17</v>
      </c>
      <c r="I554" s="57" t="str">
        <f t="shared" si="26"/>
        <v>1-90 DAYS</v>
      </c>
      <c r="J554" s="37" t="str">
        <f t="shared" si="27"/>
        <v>0-180 DAYS</v>
      </c>
    </row>
    <row r="555" spans="1:12" x14ac:dyDescent="0.35">
      <c r="A555" t="s">
        <v>790</v>
      </c>
      <c r="B555" t="s">
        <v>477</v>
      </c>
      <c r="C555" s="1" t="s">
        <v>56</v>
      </c>
      <c r="D555" s="18" t="s">
        <v>57</v>
      </c>
      <c r="E555" s="18" t="s">
        <v>933</v>
      </c>
      <c r="F555" s="19">
        <v>44969</v>
      </c>
      <c r="G555" s="22">
        <v>2546.8000000000002</v>
      </c>
      <c r="H555" s="37">
        <f t="shared" si="25"/>
        <v>17</v>
      </c>
      <c r="I555" s="57" t="str">
        <f t="shared" si="26"/>
        <v>1-90 DAYS</v>
      </c>
      <c r="J555" s="37" t="str">
        <f t="shared" si="27"/>
        <v>0-180 DAYS</v>
      </c>
    </row>
    <row r="556" spans="1:12" x14ac:dyDescent="0.35">
      <c r="A556" t="s">
        <v>790</v>
      </c>
      <c r="B556" t="s">
        <v>477</v>
      </c>
      <c r="C556" s="1" t="s">
        <v>56</v>
      </c>
      <c r="D556" s="18" t="s">
        <v>57</v>
      </c>
      <c r="E556" s="18" t="s">
        <v>934</v>
      </c>
      <c r="F556" s="19">
        <v>44969</v>
      </c>
      <c r="G556" s="22">
        <v>23163</v>
      </c>
      <c r="H556" s="37">
        <f t="shared" si="25"/>
        <v>17</v>
      </c>
      <c r="I556" s="57" t="str">
        <f t="shared" si="26"/>
        <v>1-90 DAYS</v>
      </c>
      <c r="J556" s="37" t="str">
        <f t="shared" si="27"/>
        <v>0-180 DAYS</v>
      </c>
    </row>
    <row r="557" spans="1:12" x14ac:dyDescent="0.35">
      <c r="A557" t="s">
        <v>790</v>
      </c>
      <c r="B557" t="s">
        <v>477</v>
      </c>
      <c r="C557" s="1" t="s">
        <v>56</v>
      </c>
      <c r="D557" s="18" t="s">
        <v>57</v>
      </c>
      <c r="E557" s="18" t="s">
        <v>935</v>
      </c>
      <c r="F557" s="19">
        <v>44969</v>
      </c>
      <c r="G557" s="22">
        <v>68801.16</v>
      </c>
      <c r="H557" s="37">
        <f t="shared" si="25"/>
        <v>17</v>
      </c>
      <c r="I557" s="57" t="str">
        <f t="shared" si="26"/>
        <v>1-90 DAYS</v>
      </c>
      <c r="J557" s="37" t="str">
        <f t="shared" si="27"/>
        <v>0-180 DAYS</v>
      </c>
      <c r="L557" s="65"/>
    </row>
    <row r="558" spans="1:12" x14ac:dyDescent="0.35">
      <c r="A558" t="s">
        <v>790</v>
      </c>
      <c r="B558" t="s">
        <v>477</v>
      </c>
      <c r="C558" s="1" t="s">
        <v>56</v>
      </c>
      <c r="D558" s="18" t="s">
        <v>57</v>
      </c>
      <c r="E558" s="18" t="s">
        <v>936</v>
      </c>
      <c r="F558" s="19">
        <v>44970</v>
      </c>
      <c r="G558" s="22">
        <v>34309</v>
      </c>
      <c r="H558" s="37">
        <f t="shared" si="25"/>
        <v>16</v>
      </c>
      <c r="I558" s="57" t="str">
        <f t="shared" si="26"/>
        <v>1-90 DAYS</v>
      </c>
      <c r="J558" s="37" t="str">
        <f t="shared" si="27"/>
        <v>0-180 DAYS</v>
      </c>
      <c r="L558" s="65"/>
    </row>
    <row r="559" spans="1:12" x14ac:dyDescent="0.35">
      <c r="A559" t="s">
        <v>790</v>
      </c>
      <c r="B559" t="s">
        <v>477</v>
      </c>
      <c r="C559" s="1" t="s">
        <v>56</v>
      </c>
      <c r="D559" s="18" t="s">
        <v>57</v>
      </c>
      <c r="E559" s="18" t="s">
        <v>937</v>
      </c>
      <c r="F559" s="19">
        <v>44970</v>
      </c>
      <c r="G559" s="22">
        <v>201062.83</v>
      </c>
      <c r="H559" s="37">
        <f t="shared" si="25"/>
        <v>16</v>
      </c>
      <c r="I559" s="57" t="str">
        <f t="shared" si="26"/>
        <v>1-90 DAYS</v>
      </c>
      <c r="J559" s="37" t="str">
        <f t="shared" si="27"/>
        <v>0-180 DAYS</v>
      </c>
      <c r="L559" s="65"/>
    </row>
    <row r="560" spans="1:12" x14ac:dyDescent="0.35">
      <c r="A560" t="s">
        <v>790</v>
      </c>
      <c r="B560" t="s">
        <v>477</v>
      </c>
      <c r="C560" s="1" t="s">
        <v>56</v>
      </c>
      <c r="D560" s="18" t="s">
        <v>57</v>
      </c>
      <c r="E560" s="18" t="s">
        <v>938</v>
      </c>
      <c r="F560" s="19">
        <v>44970</v>
      </c>
      <c r="G560" s="22">
        <v>1654.93</v>
      </c>
      <c r="H560" s="37">
        <f t="shared" si="25"/>
        <v>16</v>
      </c>
      <c r="I560" s="57" t="str">
        <f t="shared" si="26"/>
        <v>1-90 DAYS</v>
      </c>
      <c r="J560" s="37" t="str">
        <f t="shared" si="27"/>
        <v>0-180 DAYS</v>
      </c>
      <c r="L560" s="65"/>
    </row>
    <row r="561" spans="1:12" x14ac:dyDescent="0.35">
      <c r="A561" t="s">
        <v>790</v>
      </c>
      <c r="B561" t="s">
        <v>477</v>
      </c>
      <c r="C561" s="1" t="s">
        <v>56</v>
      </c>
      <c r="D561" s="18" t="s">
        <v>57</v>
      </c>
      <c r="E561" s="18" t="s">
        <v>939</v>
      </c>
      <c r="F561" s="19">
        <v>44970</v>
      </c>
      <c r="G561" s="22">
        <v>40700</v>
      </c>
      <c r="H561" s="37">
        <f t="shared" si="25"/>
        <v>16</v>
      </c>
      <c r="I561" s="57" t="str">
        <f t="shared" si="26"/>
        <v>1-90 DAYS</v>
      </c>
      <c r="J561" s="37" t="str">
        <f t="shared" si="27"/>
        <v>0-180 DAYS</v>
      </c>
      <c r="L561" s="65"/>
    </row>
    <row r="562" spans="1:12" x14ac:dyDescent="0.35">
      <c r="A562" t="s">
        <v>790</v>
      </c>
      <c r="B562" t="s">
        <v>477</v>
      </c>
      <c r="C562" s="1" t="s">
        <v>56</v>
      </c>
      <c r="D562" s="18" t="s">
        <v>57</v>
      </c>
      <c r="E562" s="18" t="s">
        <v>940</v>
      </c>
      <c r="F562" s="19">
        <v>44970</v>
      </c>
      <c r="G562" s="22">
        <v>161407</v>
      </c>
      <c r="H562" s="37">
        <f t="shared" si="25"/>
        <v>16</v>
      </c>
      <c r="I562" s="57" t="str">
        <f t="shared" si="26"/>
        <v>1-90 DAYS</v>
      </c>
      <c r="J562" s="37" t="str">
        <f t="shared" si="27"/>
        <v>0-180 DAYS</v>
      </c>
      <c r="L562" s="65"/>
    </row>
    <row r="563" spans="1:12" x14ac:dyDescent="0.35">
      <c r="A563" t="s">
        <v>790</v>
      </c>
      <c r="B563" t="s">
        <v>477</v>
      </c>
      <c r="C563" s="1" t="s">
        <v>56</v>
      </c>
      <c r="D563" s="18" t="s">
        <v>57</v>
      </c>
      <c r="E563" s="18" t="s">
        <v>941</v>
      </c>
      <c r="F563" s="19">
        <v>44971</v>
      </c>
      <c r="G563" s="22">
        <v>492171.92</v>
      </c>
      <c r="H563" s="37">
        <f t="shared" si="25"/>
        <v>15</v>
      </c>
      <c r="I563" s="57" t="str">
        <f t="shared" si="26"/>
        <v>1-90 DAYS</v>
      </c>
      <c r="J563" s="37" t="str">
        <f t="shared" si="27"/>
        <v>0-180 DAYS</v>
      </c>
      <c r="L563" s="65"/>
    </row>
    <row r="564" spans="1:12" x14ac:dyDescent="0.35">
      <c r="A564" t="s">
        <v>790</v>
      </c>
      <c r="B564" t="s">
        <v>477</v>
      </c>
      <c r="C564" s="1" t="s">
        <v>56</v>
      </c>
      <c r="D564" s="18" t="s">
        <v>57</v>
      </c>
      <c r="E564" s="18" t="s">
        <v>942</v>
      </c>
      <c r="F564" s="19">
        <v>44971</v>
      </c>
      <c r="G564" s="22">
        <v>4867.04</v>
      </c>
      <c r="H564" s="37">
        <f t="shared" si="25"/>
        <v>15</v>
      </c>
      <c r="I564" s="57" t="str">
        <f t="shared" si="26"/>
        <v>1-90 DAYS</v>
      </c>
      <c r="J564" s="37" t="str">
        <f t="shared" si="27"/>
        <v>0-180 DAYS</v>
      </c>
      <c r="L564" s="65"/>
    </row>
    <row r="565" spans="1:12" x14ac:dyDescent="0.35">
      <c r="A565" t="s">
        <v>790</v>
      </c>
      <c r="B565" t="s">
        <v>477</v>
      </c>
      <c r="C565" s="1" t="s">
        <v>56</v>
      </c>
      <c r="D565" s="18" t="s">
        <v>57</v>
      </c>
      <c r="E565" s="18" t="s">
        <v>943</v>
      </c>
      <c r="F565" s="19">
        <v>44971</v>
      </c>
      <c r="G565" s="22">
        <v>34834</v>
      </c>
      <c r="H565" s="37">
        <f t="shared" ref="H565:H628" si="28">$H$3-F565+1</f>
        <v>15</v>
      </c>
      <c r="I565" s="57" t="str">
        <f t="shared" si="26"/>
        <v>1-90 DAYS</v>
      </c>
      <c r="J565" s="37" t="str">
        <f t="shared" si="27"/>
        <v>0-180 DAYS</v>
      </c>
      <c r="L565" s="65"/>
    </row>
    <row r="566" spans="1:12" x14ac:dyDescent="0.35">
      <c r="A566" t="s">
        <v>790</v>
      </c>
      <c r="B566" t="s">
        <v>477</v>
      </c>
      <c r="C566" s="1" t="s">
        <v>56</v>
      </c>
      <c r="D566" s="18" t="s">
        <v>57</v>
      </c>
      <c r="E566" s="18" t="s">
        <v>944</v>
      </c>
      <c r="F566" s="19">
        <v>44972</v>
      </c>
      <c r="G566" s="22">
        <v>252270.51</v>
      </c>
      <c r="H566" s="37">
        <f t="shared" si="28"/>
        <v>14</v>
      </c>
      <c r="I566" s="57" t="str">
        <f t="shared" si="26"/>
        <v>1-90 DAYS</v>
      </c>
      <c r="J566" s="37" t="str">
        <f t="shared" si="27"/>
        <v>0-180 DAYS</v>
      </c>
      <c r="L566" s="65"/>
    </row>
    <row r="567" spans="1:12" x14ac:dyDescent="0.35">
      <c r="A567" t="s">
        <v>790</v>
      </c>
      <c r="B567" t="s">
        <v>477</v>
      </c>
      <c r="C567" s="1" t="s">
        <v>56</v>
      </c>
      <c r="D567" s="18" t="s">
        <v>57</v>
      </c>
      <c r="E567" s="18" t="s">
        <v>945</v>
      </c>
      <c r="F567" s="19">
        <v>44972</v>
      </c>
      <c r="G567" s="22">
        <v>1754.84</v>
      </c>
      <c r="H567" s="37">
        <f t="shared" si="28"/>
        <v>14</v>
      </c>
      <c r="I567" s="57" t="str">
        <f t="shared" si="26"/>
        <v>1-90 DAYS</v>
      </c>
      <c r="J567" s="37" t="str">
        <f t="shared" si="27"/>
        <v>0-180 DAYS</v>
      </c>
      <c r="L567" s="65"/>
    </row>
    <row r="568" spans="1:12" x14ac:dyDescent="0.35">
      <c r="A568" t="s">
        <v>790</v>
      </c>
      <c r="B568" t="s">
        <v>477</v>
      </c>
      <c r="C568" s="1" t="s">
        <v>56</v>
      </c>
      <c r="D568" s="18" t="s">
        <v>57</v>
      </c>
      <c r="E568" s="18" t="s">
        <v>946</v>
      </c>
      <c r="F568" s="19">
        <v>44972</v>
      </c>
      <c r="G568" s="22">
        <v>1010505</v>
      </c>
      <c r="H568" s="37">
        <f t="shared" si="28"/>
        <v>14</v>
      </c>
      <c r="I568" s="57" t="str">
        <f t="shared" si="26"/>
        <v>1-90 DAYS</v>
      </c>
      <c r="J568" s="37" t="str">
        <f t="shared" si="27"/>
        <v>0-180 DAYS</v>
      </c>
      <c r="L568" s="65"/>
    </row>
    <row r="569" spans="1:12" x14ac:dyDescent="0.35">
      <c r="A569" t="s">
        <v>790</v>
      </c>
      <c r="B569" t="s">
        <v>477</v>
      </c>
      <c r="C569" s="1" t="s">
        <v>56</v>
      </c>
      <c r="D569" s="18" t="s">
        <v>57</v>
      </c>
      <c r="E569" s="18" t="s">
        <v>947</v>
      </c>
      <c r="F569" s="19">
        <v>44973</v>
      </c>
      <c r="G569" s="22">
        <v>616612.03</v>
      </c>
      <c r="H569" s="37">
        <f t="shared" si="28"/>
        <v>13</v>
      </c>
      <c r="I569" s="57" t="str">
        <f t="shared" si="26"/>
        <v>1-90 DAYS</v>
      </c>
      <c r="J569" s="37" t="str">
        <f t="shared" si="27"/>
        <v>0-180 DAYS</v>
      </c>
      <c r="L569" s="65"/>
    </row>
    <row r="570" spans="1:12" x14ac:dyDescent="0.35">
      <c r="A570" t="s">
        <v>790</v>
      </c>
      <c r="B570" t="s">
        <v>477</v>
      </c>
      <c r="C570" s="1" t="s">
        <v>56</v>
      </c>
      <c r="D570" s="18" t="s">
        <v>57</v>
      </c>
      <c r="E570" s="18" t="s">
        <v>948</v>
      </c>
      <c r="F570" s="19">
        <v>44973</v>
      </c>
      <c r="G570" s="22">
        <v>6395.32</v>
      </c>
      <c r="H570" s="37">
        <f t="shared" si="28"/>
        <v>13</v>
      </c>
      <c r="I570" s="57" t="str">
        <f t="shared" si="26"/>
        <v>1-90 DAYS</v>
      </c>
      <c r="J570" s="37" t="str">
        <f t="shared" si="27"/>
        <v>0-180 DAYS</v>
      </c>
      <c r="L570" s="65"/>
    </row>
    <row r="571" spans="1:12" x14ac:dyDescent="0.35">
      <c r="A571" t="s">
        <v>790</v>
      </c>
      <c r="B571" t="s">
        <v>477</v>
      </c>
      <c r="C571" s="1" t="s">
        <v>56</v>
      </c>
      <c r="D571" s="18" t="s">
        <v>57</v>
      </c>
      <c r="E571" s="18" t="s">
        <v>949</v>
      </c>
      <c r="F571" s="19">
        <v>44974</v>
      </c>
      <c r="G571" s="22">
        <v>91.04</v>
      </c>
      <c r="H571" s="37">
        <f t="shared" si="28"/>
        <v>12</v>
      </c>
      <c r="I571" s="57" t="str">
        <f t="shared" si="26"/>
        <v>1-90 DAYS</v>
      </c>
      <c r="J571" s="37" t="str">
        <f t="shared" si="27"/>
        <v>0-180 DAYS</v>
      </c>
      <c r="L571" s="65"/>
    </row>
    <row r="572" spans="1:12" x14ac:dyDescent="0.35">
      <c r="A572" t="s">
        <v>790</v>
      </c>
      <c r="B572" t="s">
        <v>477</v>
      </c>
      <c r="C572" s="1" t="s">
        <v>56</v>
      </c>
      <c r="D572" s="18" t="s">
        <v>57</v>
      </c>
      <c r="E572" s="18" t="s">
        <v>950</v>
      </c>
      <c r="F572" s="19">
        <v>44974</v>
      </c>
      <c r="G572" s="22">
        <v>653754.61</v>
      </c>
      <c r="H572" s="37">
        <f t="shared" si="28"/>
        <v>12</v>
      </c>
      <c r="I572" s="57" t="str">
        <f t="shared" si="26"/>
        <v>1-90 DAYS</v>
      </c>
      <c r="J572" s="37" t="str">
        <f t="shared" si="27"/>
        <v>0-180 DAYS</v>
      </c>
      <c r="L572" s="65"/>
    </row>
    <row r="573" spans="1:12" x14ac:dyDescent="0.35">
      <c r="A573" t="s">
        <v>790</v>
      </c>
      <c r="B573" t="s">
        <v>477</v>
      </c>
      <c r="C573" s="1" t="s">
        <v>56</v>
      </c>
      <c r="D573" s="18" t="s">
        <v>57</v>
      </c>
      <c r="E573" s="18" t="s">
        <v>951</v>
      </c>
      <c r="F573" s="19">
        <v>44974</v>
      </c>
      <c r="G573" s="22">
        <v>6847.44</v>
      </c>
      <c r="H573" s="37">
        <f t="shared" si="28"/>
        <v>12</v>
      </c>
      <c r="I573" s="57" t="str">
        <f t="shared" si="26"/>
        <v>1-90 DAYS</v>
      </c>
      <c r="J573" s="37" t="str">
        <f t="shared" si="27"/>
        <v>0-180 DAYS</v>
      </c>
      <c r="L573" s="65"/>
    </row>
    <row r="574" spans="1:12" x14ac:dyDescent="0.35">
      <c r="A574" t="s">
        <v>790</v>
      </c>
      <c r="B574" t="s">
        <v>477</v>
      </c>
      <c r="C574" s="1" t="s">
        <v>56</v>
      </c>
      <c r="D574" s="18" t="s">
        <v>57</v>
      </c>
      <c r="E574" s="18" t="s">
        <v>952</v>
      </c>
      <c r="F574" s="19">
        <v>44974</v>
      </c>
      <c r="G574" s="22">
        <v>176202</v>
      </c>
      <c r="H574" s="37">
        <f t="shared" si="28"/>
        <v>12</v>
      </c>
      <c r="I574" s="57" t="str">
        <f t="shared" si="26"/>
        <v>1-90 DAYS</v>
      </c>
      <c r="J574" s="37" t="str">
        <f t="shared" si="27"/>
        <v>0-180 DAYS</v>
      </c>
      <c r="L574" s="65"/>
    </row>
    <row r="575" spans="1:12" x14ac:dyDescent="0.35">
      <c r="A575" t="s">
        <v>790</v>
      </c>
      <c r="B575" t="s">
        <v>477</v>
      </c>
      <c r="C575" s="1" t="s">
        <v>56</v>
      </c>
      <c r="D575" s="18" t="s">
        <v>57</v>
      </c>
      <c r="E575" s="18" t="s">
        <v>953</v>
      </c>
      <c r="F575" s="19">
        <v>44974</v>
      </c>
      <c r="G575" s="22">
        <v>9194</v>
      </c>
      <c r="H575" s="37">
        <f t="shared" si="28"/>
        <v>12</v>
      </c>
      <c r="I575" s="57" t="str">
        <f t="shared" si="26"/>
        <v>1-90 DAYS</v>
      </c>
      <c r="J575" s="37" t="str">
        <f t="shared" si="27"/>
        <v>0-180 DAYS</v>
      </c>
      <c r="L575" s="65"/>
    </row>
    <row r="576" spans="1:12" x14ac:dyDescent="0.35">
      <c r="A576" t="s">
        <v>790</v>
      </c>
      <c r="B576" t="s">
        <v>477</v>
      </c>
      <c r="C576" s="1" t="s">
        <v>56</v>
      </c>
      <c r="D576" s="18" t="s">
        <v>57</v>
      </c>
      <c r="E576" s="18" t="s">
        <v>954</v>
      </c>
      <c r="F576" s="19">
        <v>44975</v>
      </c>
      <c r="G576" s="22">
        <v>637431.02</v>
      </c>
      <c r="H576" s="37">
        <f t="shared" si="28"/>
        <v>11</v>
      </c>
      <c r="I576" s="57" t="str">
        <f t="shared" si="26"/>
        <v>1-90 DAYS</v>
      </c>
      <c r="J576" s="37" t="str">
        <f t="shared" si="27"/>
        <v>0-180 DAYS</v>
      </c>
      <c r="L576" s="65"/>
    </row>
    <row r="577" spans="1:12" x14ac:dyDescent="0.35">
      <c r="A577" t="s">
        <v>790</v>
      </c>
      <c r="B577" t="s">
        <v>477</v>
      </c>
      <c r="C577" s="1" t="s">
        <v>56</v>
      </c>
      <c r="D577" s="18" t="s">
        <v>57</v>
      </c>
      <c r="E577" s="18" t="s">
        <v>955</v>
      </c>
      <c r="F577" s="19">
        <v>44975</v>
      </c>
      <c r="G577" s="22">
        <v>1641.56</v>
      </c>
      <c r="H577" s="37">
        <f t="shared" si="28"/>
        <v>11</v>
      </c>
      <c r="I577" s="57" t="str">
        <f t="shared" si="26"/>
        <v>1-90 DAYS</v>
      </c>
      <c r="J577" s="37" t="str">
        <f t="shared" si="27"/>
        <v>0-180 DAYS</v>
      </c>
      <c r="L577" s="65"/>
    </row>
    <row r="578" spans="1:12" x14ac:dyDescent="0.35">
      <c r="A578" t="s">
        <v>790</v>
      </c>
      <c r="B578" t="s">
        <v>477</v>
      </c>
      <c r="C578" s="1" t="s">
        <v>56</v>
      </c>
      <c r="D578" s="18" t="s">
        <v>57</v>
      </c>
      <c r="E578" s="18" t="s">
        <v>956</v>
      </c>
      <c r="F578" s="19">
        <v>44975</v>
      </c>
      <c r="G578" s="22">
        <v>601186</v>
      </c>
      <c r="H578" s="37">
        <f t="shared" si="28"/>
        <v>11</v>
      </c>
      <c r="I578" s="57" t="str">
        <f t="shared" si="26"/>
        <v>1-90 DAYS</v>
      </c>
      <c r="J578" s="37" t="str">
        <f t="shared" si="27"/>
        <v>0-180 DAYS</v>
      </c>
      <c r="L578" s="65"/>
    </row>
    <row r="579" spans="1:12" x14ac:dyDescent="0.35">
      <c r="A579" t="s">
        <v>790</v>
      </c>
      <c r="B579" t="s">
        <v>477</v>
      </c>
      <c r="C579" s="1" t="s">
        <v>56</v>
      </c>
      <c r="D579" s="18" t="s">
        <v>57</v>
      </c>
      <c r="E579" s="18" t="s">
        <v>957</v>
      </c>
      <c r="F579" s="19">
        <v>44976</v>
      </c>
      <c r="G579" s="22">
        <v>185487.53</v>
      </c>
      <c r="H579" s="37">
        <f t="shared" si="28"/>
        <v>10</v>
      </c>
      <c r="I579" s="57" t="str">
        <f t="shared" si="26"/>
        <v>1-90 DAYS</v>
      </c>
      <c r="J579" s="37" t="str">
        <f t="shared" si="27"/>
        <v>0-180 DAYS</v>
      </c>
      <c r="L579" s="65"/>
    </row>
    <row r="580" spans="1:12" x14ac:dyDescent="0.35">
      <c r="A580" t="s">
        <v>790</v>
      </c>
      <c r="B580" t="s">
        <v>477</v>
      </c>
      <c r="C580" s="1" t="s">
        <v>56</v>
      </c>
      <c r="D580" s="18" t="s">
        <v>57</v>
      </c>
      <c r="E580" s="18" t="s">
        <v>958</v>
      </c>
      <c r="F580" s="19">
        <v>44976</v>
      </c>
      <c r="G580" s="22">
        <v>3055.56</v>
      </c>
      <c r="H580" s="37">
        <f t="shared" si="28"/>
        <v>10</v>
      </c>
      <c r="I580" s="57" t="str">
        <f t="shared" si="26"/>
        <v>1-90 DAYS</v>
      </c>
      <c r="J580" s="37" t="str">
        <f t="shared" si="27"/>
        <v>0-180 DAYS</v>
      </c>
      <c r="L580" s="65"/>
    </row>
    <row r="581" spans="1:12" x14ac:dyDescent="0.35">
      <c r="A581" t="s">
        <v>790</v>
      </c>
      <c r="B581" t="s">
        <v>477</v>
      </c>
      <c r="C581" s="1" t="s">
        <v>56</v>
      </c>
      <c r="D581" s="18" t="s">
        <v>57</v>
      </c>
      <c r="E581" s="18" t="s">
        <v>959</v>
      </c>
      <c r="F581" s="19">
        <v>44976</v>
      </c>
      <c r="G581" s="22">
        <v>33000</v>
      </c>
      <c r="H581" s="37">
        <f t="shared" si="28"/>
        <v>10</v>
      </c>
      <c r="I581" s="57" t="str">
        <f t="shared" ref="I581:I644" si="29">IF(H581&lt;91,"1-90 DAYS",IF(H581&lt;121,"91-120DAYS",IF(H581&lt;181,"121-180 DAYS","Morethan180Days")))</f>
        <v>1-90 DAYS</v>
      </c>
      <c r="J581" s="37" t="str">
        <f t="shared" si="27"/>
        <v>0-180 DAYS</v>
      </c>
      <c r="L581" s="65"/>
    </row>
    <row r="582" spans="1:12" x14ac:dyDescent="0.35">
      <c r="A582" t="s">
        <v>790</v>
      </c>
      <c r="B582" t="s">
        <v>477</v>
      </c>
      <c r="C582" s="1" t="s">
        <v>56</v>
      </c>
      <c r="D582" s="18" t="s">
        <v>57</v>
      </c>
      <c r="E582" s="18" t="s">
        <v>960</v>
      </c>
      <c r="F582" s="19">
        <v>44976</v>
      </c>
      <c r="G582" s="22">
        <v>684017</v>
      </c>
      <c r="H582" s="37">
        <f t="shared" si="28"/>
        <v>10</v>
      </c>
      <c r="I582" s="57" t="str">
        <f t="shared" si="29"/>
        <v>1-90 DAYS</v>
      </c>
      <c r="J582" s="37" t="str">
        <f t="shared" ref="J582:J645" si="30">IF(H582&lt;180,"0-180 DAYS","More than 180 Days")</f>
        <v>0-180 DAYS</v>
      </c>
      <c r="L582" s="65"/>
    </row>
    <row r="583" spans="1:12" x14ac:dyDescent="0.35">
      <c r="A583" t="s">
        <v>790</v>
      </c>
      <c r="B583" t="s">
        <v>477</v>
      </c>
      <c r="C583" s="1" t="s">
        <v>56</v>
      </c>
      <c r="D583" s="18" t="s">
        <v>57</v>
      </c>
      <c r="E583" s="18" t="s">
        <v>961</v>
      </c>
      <c r="F583" s="19">
        <v>44977</v>
      </c>
      <c r="G583" s="22">
        <v>1624140.44</v>
      </c>
      <c r="H583" s="37">
        <f t="shared" si="28"/>
        <v>9</v>
      </c>
      <c r="I583" s="57" t="str">
        <f t="shared" si="29"/>
        <v>1-90 DAYS</v>
      </c>
      <c r="J583" s="37" t="str">
        <f t="shared" si="30"/>
        <v>0-180 DAYS</v>
      </c>
      <c r="L583" s="65"/>
    </row>
    <row r="584" spans="1:12" x14ac:dyDescent="0.35">
      <c r="A584" t="s">
        <v>790</v>
      </c>
      <c r="B584" t="s">
        <v>477</v>
      </c>
      <c r="C584" s="1" t="s">
        <v>56</v>
      </c>
      <c r="D584" s="18" t="s">
        <v>57</v>
      </c>
      <c r="E584" s="18" t="s">
        <v>962</v>
      </c>
      <c r="F584" s="19">
        <v>44977</v>
      </c>
      <c r="G584" s="22">
        <v>165798.23000000001</v>
      </c>
      <c r="H584" s="37">
        <f t="shared" si="28"/>
        <v>9</v>
      </c>
      <c r="I584" s="57" t="str">
        <f t="shared" si="29"/>
        <v>1-90 DAYS</v>
      </c>
      <c r="J584" s="37" t="str">
        <f t="shared" si="30"/>
        <v>0-180 DAYS</v>
      </c>
      <c r="L584" s="65"/>
    </row>
    <row r="585" spans="1:12" x14ac:dyDescent="0.35">
      <c r="A585" t="s">
        <v>790</v>
      </c>
      <c r="B585" t="s">
        <v>477</v>
      </c>
      <c r="C585" s="1" t="s">
        <v>56</v>
      </c>
      <c r="D585" s="18" t="s">
        <v>57</v>
      </c>
      <c r="E585" s="18" t="s">
        <v>963</v>
      </c>
      <c r="F585" s="19">
        <v>44977</v>
      </c>
      <c r="G585" s="22">
        <v>2037.04</v>
      </c>
      <c r="H585" s="37">
        <f t="shared" si="28"/>
        <v>9</v>
      </c>
      <c r="I585" s="57" t="str">
        <f t="shared" si="29"/>
        <v>1-90 DAYS</v>
      </c>
      <c r="J585" s="37" t="str">
        <f t="shared" si="30"/>
        <v>0-180 DAYS</v>
      </c>
      <c r="L585" s="65"/>
    </row>
    <row r="586" spans="1:12" x14ac:dyDescent="0.35">
      <c r="A586" t="s">
        <v>790</v>
      </c>
      <c r="B586" t="s">
        <v>477</v>
      </c>
      <c r="C586" s="1" t="s">
        <v>56</v>
      </c>
      <c r="D586" s="18" t="s">
        <v>57</v>
      </c>
      <c r="E586" s="18" t="s">
        <v>964</v>
      </c>
      <c r="F586" s="19">
        <v>44977</v>
      </c>
      <c r="G586" s="22">
        <v>39875</v>
      </c>
      <c r="H586" s="37">
        <f t="shared" si="28"/>
        <v>9</v>
      </c>
      <c r="I586" s="57" t="str">
        <f t="shared" si="29"/>
        <v>1-90 DAYS</v>
      </c>
      <c r="J586" s="37" t="str">
        <f t="shared" si="30"/>
        <v>0-180 DAYS</v>
      </c>
      <c r="L586" s="65"/>
    </row>
    <row r="587" spans="1:12" x14ac:dyDescent="0.35">
      <c r="A587" t="s">
        <v>790</v>
      </c>
      <c r="B587" t="s">
        <v>477</v>
      </c>
      <c r="C587" s="1" t="s">
        <v>56</v>
      </c>
      <c r="D587" s="18" t="s">
        <v>57</v>
      </c>
      <c r="E587" s="18" t="s">
        <v>965</v>
      </c>
      <c r="F587" s="19">
        <v>44977</v>
      </c>
      <c r="G587" s="22">
        <v>919978</v>
      </c>
      <c r="H587" s="37">
        <f t="shared" si="28"/>
        <v>9</v>
      </c>
      <c r="I587" s="57" t="str">
        <f t="shared" si="29"/>
        <v>1-90 DAYS</v>
      </c>
      <c r="J587" s="37" t="str">
        <f t="shared" si="30"/>
        <v>0-180 DAYS</v>
      </c>
      <c r="L587" s="65"/>
    </row>
    <row r="588" spans="1:12" x14ac:dyDescent="0.35">
      <c r="A588" t="s">
        <v>790</v>
      </c>
      <c r="B588" t="s">
        <v>477</v>
      </c>
      <c r="C588" s="1" t="s">
        <v>56</v>
      </c>
      <c r="D588" s="18" t="s">
        <v>57</v>
      </c>
      <c r="E588" s="18" t="s">
        <v>966</v>
      </c>
      <c r="F588" s="19">
        <v>44978</v>
      </c>
      <c r="G588" s="22">
        <v>44057.42</v>
      </c>
      <c r="H588" s="37">
        <f t="shared" si="28"/>
        <v>8</v>
      </c>
      <c r="I588" s="57" t="str">
        <f t="shared" si="29"/>
        <v>1-90 DAYS</v>
      </c>
      <c r="J588" s="37" t="str">
        <f t="shared" si="30"/>
        <v>0-180 DAYS</v>
      </c>
      <c r="L588" s="65"/>
    </row>
    <row r="589" spans="1:12" x14ac:dyDescent="0.35">
      <c r="A589" t="s">
        <v>790</v>
      </c>
      <c r="B589" t="s">
        <v>477</v>
      </c>
      <c r="C589" s="1" t="s">
        <v>56</v>
      </c>
      <c r="D589" s="18" t="s">
        <v>57</v>
      </c>
      <c r="E589" s="18" t="s">
        <v>967</v>
      </c>
      <c r="F589" s="19">
        <v>44978</v>
      </c>
      <c r="G589" s="22">
        <v>458966.98</v>
      </c>
      <c r="H589" s="37">
        <f t="shared" si="28"/>
        <v>8</v>
      </c>
      <c r="I589" s="57" t="str">
        <f t="shared" si="29"/>
        <v>1-90 DAYS</v>
      </c>
      <c r="J589" s="37" t="str">
        <f t="shared" si="30"/>
        <v>0-180 DAYS</v>
      </c>
      <c r="L589" s="65"/>
    </row>
    <row r="590" spans="1:12" x14ac:dyDescent="0.35">
      <c r="A590" t="s">
        <v>790</v>
      </c>
      <c r="B590" t="s">
        <v>477</v>
      </c>
      <c r="C590" s="1" t="s">
        <v>56</v>
      </c>
      <c r="D590" s="18" t="s">
        <v>57</v>
      </c>
      <c r="E590" s="18" t="s">
        <v>968</v>
      </c>
      <c r="F590" s="19">
        <v>44978</v>
      </c>
      <c r="G590" s="22">
        <v>254237.35</v>
      </c>
      <c r="H590" s="37">
        <f t="shared" si="28"/>
        <v>8</v>
      </c>
      <c r="I590" s="57" t="str">
        <f t="shared" si="29"/>
        <v>1-90 DAYS</v>
      </c>
      <c r="J590" s="37" t="str">
        <f t="shared" si="30"/>
        <v>0-180 DAYS</v>
      </c>
      <c r="L590" s="65"/>
    </row>
    <row r="591" spans="1:12" x14ac:dyDescent="0.35">
      <c r="A591" t="s">
        <v>790</v>
      </c>
      <c r="B591" t="s">
        <v>477</v>
      </c>
      <c r="C591" s="1" t="s">
        <v>56</v>
      </c>
      <c r="D591" s="18" t="s">
        <v>57</v>
      </c>
      <c r="E591" s="18" t="s">
        <v>969</v>
      </c>
      <c r="F591" s="19">
        <v>44978</v>
      </c>
      <c r="G591" s="22">
        <v>3452.04</v>
      </c>
      <c r="H591" s="37">
        <f t="shared" si="28"/>
        <v>8</v>
      </c>
      <c r="I591" s="57" t="str">
        <f t="shared" si="29"/>
        <v>1-90 DAYS</v>
      </c>
      <c r="J591" s="37" t="str">
        <f t="shared" si="30"/>
        <v>0-180 DAYS</v>
      </c>
      <c r="L591" s="65"/>
    </row>
    <row r="592" spans="1:12" x14ac:dyDescent="0.35">
      <c r="A592" t="s">
        <v>790</v>
      </c>
      <c r="B592" t="s">
        <v>477</v>
      </c>
      <c r="C592" s="1" t="s">
        <v>56</v>
      </c>
      <c r="D592" s="18" t="s">
        <v>57</v>
      </c>
      <c r="E592" s="18" t="s">
        <v>970</v>
      </c>
      <c r="F592" s="19">
        <v>44978</v>
      </c>
      <c r="G592" s="22">
        <v>15807</v>
      </c>
      <c r="H592" s="37">
        <f t="shared" si="28"/>
        <v>8</v>
      </c>
      <c r="I592" s="57" t="str">
        <f t="shared" si="29"/>
        <v>1-90 DAYS</v>
      </c>
      <c r="J592" s="37" t="str">
        <f t="shared" si="30"/>
        <v>0-180 DAYS</v>
      </c>
      <c r="L592" s="65"/>
    </row>
    <row r="593" spans="1:12" x14ac:dyDescent="0.35">
      <c r="A593" t="s">
        <v>790</v>
      </c>
      <c r="B593" t="s">
        <v>477</v>
      </c>
      <c r="C593" s="1" t="s">
        <v>56</v>
      </c>
      <c r="D593" s="18" t="s">
        <v>57</v>
      </c>
      <c r="E593" s="18" t="s">
        <v>971</v>
      </c>
      <c r="F593" s="19">
        <v>44978</v>
      </c>
      <c r="G593" s="22">
        <v>611403</v>
      </c>
      <c r="H593" s="37">
        <f t="shared" si="28"/>
        <v>8</v>
      </c>
      <c r="I593" s="57" t="str">
        <f t="shared" si="29"/>
        <v>1-90 DAYS</v>
      </c>
      <c r="J593" s="37" t="str">
        <f t="shared" si="30"/>
        <v>0-180 DAYS</v>
      </c>
      <c r="L593" s="65"/>
    </row>
    <row r="594" spans="1:12" x14ac:dyDescent="0.35">
      <c r="A594" t="s">
        <v>790</v>
      </c>
      <c r="B594" t="s">
        <v>477</v>
      </c>
      <c r="C594" s="1" t="s">
        <v>56</v>
      </c>
      <c r="D594" s="18" t="s">
        <v>57</v>
      </c>
      <c r="E594" s="18" t="s">
        <v>972</v>
      </c>
      <c r="F594" s="19">
        <v>44979</v>
      </c>
      <c r="G594" s="22">
        <v>865569.78</v>
      </c>
      <c r="H594" s="37">
        <f t="shared" si="28"/>
        <v>7</v>
      </c>
      <c r="I594" s="57" t="str">
        <f t="shared" si="29"/>
        <v>1-90 DAYS</v>
      </c>
      <c r="J594" s="37" t="str">
        <f t="shared" si="30"/>
        <v>0-180 DAYS</v>
      </c>
      <c r="L594" s="65"/>
    </row>
    <row r="595" spans="1:12" x14ac:dyDescent="0.35">
      <c r="A595" t="s">
        <v>790</v>
      </c>
      <c r="B595" t="s">
        <v>477</v>
      </c>
      <c r="C595" s="1" t="s">
        <v>56</v>
      </c>
      <c r="D595" s="18" t="s">
        <v>57</v>
      </c>
      <c r="E595" s="18" t="s">
        <v>973</v>
      </c>
      <c r="F595" s="19">
        <v>44979</v>
      </c>
      <c r="G595" s="22">
        <v>578222.81999999995</v>
      </c>
      <c r="H595" s="37">
        <f t="shared" si="28"/>
        <v>7</v>
      </c>
      <c r="I595" s="57" t="str">
        <f t="shared" si="29"/>
        <v>1-90 DAYS</v>
      </c>
      <c r="J595" s="37" t="str">
        <f t="shared" si="30"/>
        <v>0-180 DAYS</v>
      </c>
      <c r="L595" s="65"/>
    </row>
    <row r="596" spans="1:12" x14ac:dyDescent="0.35">
      <c r="A596" t="s">
        <v>790</v>
      </c>
      <c r="B596" t="s">
        <v>477</v>
      </c>
      <c r="C596" s="1" t="s">
        <v>56</v>
      </c>
      <c r="D596" s="18" t="s">
        <v>57</v>
      </c>
      <c r="E596" s="18" t="s">
        <v>974</v>
      </c>
      <c r="F596" s="19">
        <v>44979</v>
      </c>
      <c r="G596" s="22">
        <v>5772.28</v>
      </c>
      <c r="H596" s="37">
        <f t="shared" si="28"/>
        <v>7</v>
      </c>
      <c r="I596" s="57" t="str">
        <f t="shared" si="29"/>
        <v>1-90 DAYS</v>
      </c>
      <c r="J596" s="37" t="str">
        <f t="shared" si="30"/>
        <v>0-180 DAYS</v>
      </c>
      <c r="L596" s="65"/>
    </row>
    <row r="597" spans="1:12" x14ac:dyDescent="0.35">
      <c r="A597" t="s">
        <v>790</v>
      </c>
      <c r="B597" t="s">
        <v>477</v>
      </c>
      <c r="C597" s="1" t="s">
        <v>56</v>
      </c>
      <c r="D597" s="18" t="s">
        <v>57</v>
      </c>
      <c r="E597" s="18" t="s">
        <v>975</v>
      </c>
      <c r="F597" s="19">
        <v>44979</v>
      </c>
      <c r="G597" s="22">
        <v>33532</v>
      </c>
      <c r="H597" s="37">
        <f t="shared" si="28"/>
        <v>7</v>
      </c>
      <c r="I597" s="57" t="str">
        <f t="shared" si="29"/>
        <v>1-90 DAYS</v>
      </c>
      <c r="J597" s="37" t="str">
        <f t="shared" si="30"/>
        <v>0-180 DAYS</v>
      </c>
      <c r="L597" s="65"/>
    </row>
    <row r="598" spans="1:12" x14ac:dyDescent="0.35">
      <c r="A598" t="s">
        <v>790</v>
      </c>
      <c r="B598" t="s">
        <v>477</v>
      </c>
      <c r="C598" s="1" t="s">
        <v>56</v>
      </c>
      <c r="D598" s="18" t="s">
        <v>57</v>
      </c>
      <c r="E598" s="18" t="s">
        <v>976</v>
      </c>
      <c r="F598" s="19">
        <v>44979</v>
      </c>
      <c r="G598" s="22">
        <v>130944</v>
      </c>
      <c r="H598" s="37">
        <f t="shared" si="28"/>
        <v>7</v>
      </c>
      <c r="I598" s="57" t="str">
        <f t="shared" si="29"/>
        <v>1-90 DAYS</v>
      </c>
      <c r="J598" s="37" t="str">
        <f t="shared" si="30"/>
        <v>0-180 DAYS</v>
      </c>
      <c r="L598" s="65"/>
    </row>
    <row r="599" spans="1:12" x14ac:dyDescent="0.35">
      <c r="A599" t="s">
        <v>790</v>
      </c>
      <c r="B599" t="s">
        <v>477</v>
      </c>
      <c r="C599" s="1" t="s">
        <v>56</v>
      </c>
      <c r="D599" s="18" t="s">
        <v>57</v>
      </c>
      <c r="E599" s="18" t="s">
        <v>977</v>
      </c>
      <c r="F599" s="19">
        <v>44980</v>
      </c>
      <c r="G599" s="22">
        <v>140441.93</v>
      </c>
      <c r="H599" s="37">
        <f t="shared" si="28"/>
        <v>6</v>
      </c>
      <c r="I599" s="57" t="str">
        <f t="shared" si="29"/>
        <v>1-90 DAYS</v>
      </c>
      <c r="J599" s="37" t="str">
        <f t="shared" si="30"/>
        <v>0-180 DAYS</v>
      </c>
      <c r="L599" s="65"/>
    </row>
    <row r="600" spans="1:12" x14ac:dyDescent="0.35">
      <c r="A600" t="s">
        <v>790</v>
      </c>
      <c r="B600" t="s">
        <v>477</v>
      </c>
      <c r="C600" s="1" t="s">
        <v>56</v>
      </c>
      <c r="D600" s="18" t="s">
        <v>57</v>
      </c>
      <c r="E600" s="18" t="s">
        <v>978</v>
      </c>
      <c r="F600" s="19">
        <v>44980</v>
      </c>
      <c r="G600" s="22">
        <v>2093.6799999999998</v>
      </c>
      <c r="H600" s="37">
        <f t="shared" si="28"/>
        <v>6</v>
      </c>
      <c r="I600" s="57" t="str">
        <f t="shared" si="29"/>
        <v>1-90 DAYS</v>
      </c>
      <c r="J600" s="37" t="str">
        <f t="shared" si="30"/>
        <v>0-180 DAYS</v>
      </c>
      <c r="L600" s="65"/>
    </row>
    <row r="601" spans="1:12" x14ac:dyDescent="0.35">
      <c r="A601" t="s">
        <v>790</v>
      </c>
      <c r="B601" t="s">
        <v>477</v>
      </c>
      <c r="C601" s="1" t="s">
        <v>56</v>
      </c>
      <c r="D601" s="18" t="s">
        <v>57</v>
      </c>
      <c r="E601" s="18" t="s">
        <v>979</v>
      </c>
      <c r="F601" s="19">
        <v>44980</v>
      </c>
      <c r="G601" s="22">
        <v>1021243.54</v>
      </c>
      <c r="H601" s="37">
        <f t="shared" si="28"/>
        <v>6</v>
      </c>
      <c r="I601" s="57" t="str">
        <f t="shared" si="29"/>
        <v>1-90 DAYS</v>
      </c>
      <c r="J601" s="37" t="str">
        <f t="shared" si="30"/>
        <v>0-180 DAYS</v>
      </c>
      <c r="L601" s="65"/>
    </row>
    <row r="602" spans="1:12" x14ac:dyDescent="0.35">
      <c r="A602" t="s">
        <v>790</v>
      </c>
      <c r="B602" t="s">
        <v>477</v>
      </c>
      <c r="C602" s="1" t="s">
        <v>56</v>
      </c>
      <c r="D602" s="18" t="s">
        <v>57</v>
      </c>
      <c r="E602" s="18" t="s">
        <v>980</v>
      </c>
      <c r="F602" s="19">
        <v>44980</v>
      </c>
      <c r="G602" s="22">
        <v>13694.88</v>
      </c>
      <c r="H602" s="37">
        <f t="shared" si="28"/>
        <v>6</v>
      </c>
      <c r="I602" s="57" t="str">
        <f t="shared" si="29"/>
        <v>1-90 DAYS</v>
      </c>
      <c r="J602" s="37" t="str">
        <f t="shared" si="30"/>
        <v>0-180 DAYS</v>
      </c>
      <c r="L602" s="65"/>
    </row>
    <row r="603" spans="1:12" x14ac:dyDescent="0.35">
      <c r="A603" t="s">
        <v>790</v>
      </c>
      <c r="B603" t="s">
        <v>477</v>
      </c>
      <c r="C603" s="1" t="s">
        <v>56</v>
      </c>
      <c r="D603" s="18" t="s">
        <v>57</v>
      </c>
      <c r="E603" s="18" t="s">
        <v>981</v>
      </c>
      <c r="F603" s="19">
        <v>44981</v>
      </c>
      <c r="G603" s="22">
        <v>1109239.92</v>
      </c>
      <c r="H603" s="37">
        <f t="shared" si="28"/>
        <v>5</v>
      </c>
      <c r="I603" s="57" t="str">
        <f t="shared" si="29"/>
        <v>1-90 DAYS</v>
      </c>
      <c r="J603" s="37" t="str">
        <f t="shared" si="30"/>
        <v>0-180 DAYS</v>
      </c>
      <c r="L603" s="65"/>
    </row>
    <row r="604" spans="1:12" x14ac:dyDescent="0.35">
      <c r="A604" t="s">
        <v>790</v>
      </c>
      <c r="B604" t="s">
        <v>477</v>
      </c>
      <c r="C604" s="1" t="s">
        <v>56</v>
      </c>
      <c r="D604" s="18" t="s">
        <v>57</v>
      </c>
      <c r="E604" s="18" t="s">
        <v>982</v>
      </c>
      <c r="F604" s="19">
        <v>44981</v>
      </c>
      <c r="G604" s="22">
        <v>9054.4</v>
      </c>
      <c r="H604" s="37">
        <f t="shared" si="28"/>
        <v>5</v>
      </c>
      <c r="I604" s="57" t="str">
        <f t="shared" si="29"/>
        <v>1-90 DAYS</v>
      </c>
      <c r="J604" s="37" t="str">
        <f t="shared" si="30"/>
        <v>0-180 DAYS</v>
      </c>
      <c r="L604" s="65"/>
    </row>
    <row r="605" spans="1:12" x14ac:dyDescent="0.35">
      <c r="A605" t="s">
        <v>790</v>
      </c>
      <c r="B605" t="s">
        <v>477</v>
      </c>
      <c r="C605" s="1" t="s">
        <v>56</v>
      </c>
      <c r="D605" s="18" t="s">
        <v>57</v>
      </c>
      <c r="E605" s="18" t="s">
        <v>983</v>
      </c>
      <c r="F605" s="19">
        <v>44981</v>
      </c>
      <c r="G605" s="22">
        <v>2200</v>
      </c>
      <c r="H605" s="37">
        <f t="shared" si="28"/>
        <v>5</v>
      </c>
      <c r="I605" s="57" t="str">
        <f t="shared" si="29"/>
        <v>1-90 DAYS</v>
      </c>
      <c r="J605" s="37" t="str">
        <f t="shared" si="30"/>
        <v>0-180 DAYS</v>
      </c>
      <c r="L605" s="65"/>
    </row>
    <row r="606" spans="1:12" x14ac:dyDescent="0.35">
      <c r="A606" t="s">
        <v>790</v>
      </c>
      <c r="B606" t="s">
        <v>477</v>
      </c>
      <c r="C606" s="1" t="s">
        <v>56</v>
      </c>
      <c r="D606" s="18" t="s">
        <v>57</v>
      </c>
      <c r="E606" s="18" t="s">
        <v>984</v>
      </c>
      <c r="F606" s="19">
        <v>44981</v>
      </c>
      <c r="G606" s="22">
        <v>2200</v>
      </c>
      <c r="H606" s="37">
        <f t="shared" si="28"/>
        <v>5</v>
      </c>
      <c r="I606" s="57" t="str">
        <f t="shared" si="29"/>
        <v>1-90 DAYS</v>
      </c>
      <c r="J606" s="37" t="str">
        <f t="shared" si="30"/>
        <v>0-180 DAYS</v>
      </c>
      <c r="L606" s="65"/>
    </row>
    <row r="607" spans="1:12" x14ac:dyDescent="0.35">
      <c r="A607" t="s">
        <v>790</v>
      </c>
      <c r="B607" t="s">
        <v>477</v>
      </c>
      <c r="C607" s="1" t="s">
        <v>56</v>
      </c>
      <c r="D607" s="18" t="s">
        <v>57</v>
      </c>
      <c r="E607" s="18" t="s">
        <v>985</v>
      </c>
      <c r="F607" s="19">
        <v>44982</v>
      </c>
      <c r="G607" s="22">
        <v>562255.32999999996</v>
      </c>
      <c r="H607" s="37">
        <f t="shared" si="28"/>
        <v>4</v>
      </c>
      <c r="I607" s="57" t="str">
        <f t="shared" si="29"/>
        <v>1-90 DAYS</v>
      </c>
      <c r="J607" s="37" t="str">
        <f t="shared" si="30"/>
        <v>0-180 DAYS</v>
      </c>
      <c r="L607" s="65"/>
    </row>
    <row r="608" spans="1:12" x14ac:dyDescent="0.35">
      <c r="A608" t="s">
        <v>790</v>
      </c>
      <c r="B608" t="s">
        <v>477</v>
      </c>
      <c r="C608" s="1" t="s">
        <v>56</v>
      </c>
      <c r="D608" s="18" t="s">
        <v>57</v>
      </c>
      <c r="E608" s="18" t="s">
        <v>986</v>
      </c>
      <c r="F608" s="19">
        <v>44982</v>
      </c>
      <c r="G608" s="22">
        <v>26261.01</v>
      </c>
      <c r="H608" s="37">
        <f t="shared" si="28"/>
        <v>4</v>
      </c>
      <c r="I608" s="57" t="str">
        <f t="shared" si="29"/>
        <v>1-90 DAYS</v>
      </c>
      <c r="J608" s="37" t="str">
        <f t="shared" si="30"/>
        <v>0-180 DAYS</v>
      </c>
      <c r="L608" s="65"/>
    </row>
    <row r="609" spans="1:12" x14ac:dyDescent="0.35">
      <c r="A609" t="s">
        <v>790</v>
      </c>
      <c r="B609" t="s">
        <v>477</v>
      </c>
      <c r="C609" s="1" t="s">
        <v>56</v>
      </c>
      <c r="D609" s="18" t="s">
        <v>57</v>
      </c>
      <c r="E609" s="18" t="s">
        <v>987</v>
      </c>
      <c r="F609" s="19">
        <v>44982</v>
      </c>
      <c r="G609" s="22">
        <v>118922.66</v>
      </c>
      <c r="H609" s="37">
        <f t="shared" si="28"/>
        <v>4</v>
      </c>
      <c r="I609" s="57" t="str">
        <f t="shared" si="29"/>
        <v>1-90 DAYS</v>
      </c>
      <c r="J609" s="37" t="str">
        <f t="shared" si="30"/>
        <v>0-180 DAYS</v>
      </c>
      <c r="L609" s="65"/>
    </row>
    <row r="610" spans="1:12" x14ac:dyDescent="0.35">
      <c r="A610" t="s">
        <v>790</v>
      </c>
      <c r="B610" t="s">
        <v>477</v>
      </c>
      <c r="C610" s="1" t="s">
        <v>56</v>
      </c>
      <c r="D610" s="18" t="s">
        <v>57</v>
      </c>
      <c r="E610" s="18" t="s">
        <v>988</v>
      </c>
      <c r="F610" s="19">
        <v>44982</v>
      </c>
      <c r="G610" s="22">
        <v>547928.17000000004</v>
      </c>
      <c r="H610" s="37">
        <f t="shared" si="28"/>
        <v>4</v>
      </c>
      <c r="I610" s="57" t="str">
        <f t="shared" si="29"/>
        <v>1-90 DAYS</v>
      </c>
      <c r="J610" s="37" t="str">
        <f t="shared" si="30"/>
        <v>0-180 DAYS</v>
      </c>
      <c r="L610" s="65"/>
    </row>
    <row r="611" spans="1:12" x14ac:dyDescent="0.35">
      <c r="A611" t="s">
        <v>790</v>
      </c>
      <c r="B611" t="s">
        <v>477</v>
      </c>
      <c r="C611" s="1" t="s">
        <v>56</v>
      </c>
      <c r="D611" s="18" t="s">
        <v>57</v>
      </c>
      <c r="E611" s="18" t="s">
        <v>989</v>
      </c>
      <c r="F611" s="19">
        <v>44982</v>
      </c>
      <c r="G611" s="22">
        <v>4753.76</v>
      </c>
      <c r="H611" s="37">
        <f t="shared" si="28"/>
        <v>4</v>
      </c>
      <c r="I611" s="57" t="str">
        <f t="shared" si="29"/>
        <v>1-90 DAYS</v>
      </c>
      <c r="J611" s="37" t="str">
        <f t="shared" si="30"/>
        <v>0-180 DAYS</v>
      </c>
      <c r="L611" s="65"/>
    </row>
    <row r="612" spans="1:12" x14ac:dyDescent="0.35">
      <c r="A612" t="s">
        <v>790</v>
      </c>
      <c r="B612" t="s">
        <v>477</v>
      </c>
      <c r="C612" s="1" t="s">
        <v>56</v>
      </c>
      <c r="D612" s="18" t="s">
        <v>57</v>
      </c>
      <c r="E612" s="18" t="s">
        <v>990</v>
      </c>
      <c r="F612" s="19">
        <v>44982</v>
      </c>
      <c r="G612" s="22">
        <v>44000</v>
      </c>
      <c r="H612" s="37">
        <f t="shared" si="28"/>
        <v>4</v>
      </c>
      <c r="I612" s="57" t="str">
        <f t="shared" si="29"/>
        <v>1-90 DAYS</v>
      </c>
      <c r="J612" s="37" t="str">
        <f t="shared" si="30"/>
        <v>0-180 DAYS</v>
      </c>
      <c r="L612" s="65"/>
    </row>
    <row r="613" spans="1:12" x14ac:dyDescent="0.35">
      <c r="A613" t="s">
        <v>790</v>
      </c>
      <c r="B613" t="s">
        <v>477</v>
      </c>
      <c r="C613" s="1" t="s">
        <v>56</v>
      </c>
      <c r="D613" s="18" t="s">
        <v>57</v>
      </c>
      <c r="E613" s="18" t="s">
        <v>991</v>
      </c>
      <c r="F613" s="19">
        <v>44983</v>
      </c>
      <c r="G613" s="22">
        <v>473429.31</v>
      </c>
      <c r="H613" s="37">
        <f t="shared" si="28"/>
        <v>3</v>
      </c>
      <c r="I613" s="57" t="str">
        <f t="shared" si="29"/>
        <v>1-90 DAYS</v>
      </c>
      <c r="J613" s="37" t="str">
        <f t="shared" si="30"/>
        <v>0-180 DAYS</v>
      </c>
      <c r="L613" s="65"/>
    </row>
    <row r="614" spans="1:12" x14ac:dyDescent="0.35">
      <c r="A614" t="s">
        <v>790</v>
      </c>
      <c r="B614" t="s">
        <v>477</v>
      </c>
      <c r="C614" s="1" t="s">
        <v>56</v>
      </c>
      <c r="D614" s="18" t="s">
        <v>57</v>
      </c>
      <c r="E614" s="18" t="s">
        <v>992</v>
      </c>
      <c r="F614" s="19">
        <v>44983</v>
      </c>
      <c r="G614" s="22">
        <v>5036.96</v>
      </c>
      <c r="H614" s="37">
        <f t="shared" si="28"/>
        <v>3</v>
      </c>
      <c r="I614" s="57" t="str">
        <f t="shared" si="29"/>
        <v>1-90 DAYS</v>
      </c>
      <c r="J614" s="37" t="str">
        <f t="shared" si="30"/>
        <v>0-180 DAYS</v>
      </c>
      <c r="L614" s="65"/>
    </row>
    <row r="615" spans="1:12" x14ac:dyDescent="0.35">
      <c r="A615" t="s">
        <v>790</v>
      </c>
      <c r="B615" t="s">
        <v>477</v>
      </c>
      <c r="C615" s="1" t="s">
        <v>56</v>
      </c>
      <c r="D615" s="18" t="s">
        <v>57</v>
      </c>
      <c r="E615" s="18" t="s">
        <v>993</v>
      </c>
      <c r="F615" s="19">
        <v>44983</v>
      </c>
      <c r="G615" s="22">
        <v>105720.6</v>
      </c>
      <c r="H615" s="37">
        <f t="shared" si="28"/>
        <v>3</v>
      </c>
      <c r="I615" s="57" t="str">
        <f t="shared" si="29"/>
        <v>1-90 DAYS</v>
      </c>
      <c r="J615" s="37" t="str">
        <f t="shared" si="30"/>
        <v>0-180 DAYS</v>
      </c>
      <c r="L615" s="65"/>
    </row>
    <row r="616" spans="1:12" x14ac:dyDescent="0.35">
      <c r="A616" t="s">
        <v>790</v>
      </c>
      <c r="B616" t="s">
        <v>477</v>
      </c>
      <c r="C616" s="1" t="s">
        <v>56</v>
      </c>
      <c r="D616" s="18" t="s">
        <v>57</v>
      </c>
      <c r="E616" s="18" t="s">
        <v>994</v>
      </c>
      <c r="F616" s="19">
        <v>44984</v>
      </c>
      <c r="G616" s="22">
        <v>933926.35</v>
      </c>
      <c r="H616" s="37">
        <f t="shared" si="28"/>
        <v>2</v>
      </c>
      <c r="I616" s="57" t="str">
        <f t="shared" si="29"/>
        <v>1-90 DAYS</v>
      </c>
      <c r="J616" s="37" t="str">
        <f t="shared" si="30"/>
        <v>0-180 DAYS</v>
      </c>
      <c r="L616" s="65"/>
    </row>
    <row r="617" spans="1:12" x14ac:dyDescent="0.35">
      <c r="A617" t="s">
        <v>790</v>
      </c>
      <c r="B617" t="s">
        <v>477</v>
      </c>
      <c r="C617" s="1" t="s">
        <v>56</v>
      </c>
      <c r="D617" s="18" t="s">
        <v>57</v>
      </c>
      <c r="E617" s="18" t="s">
        <v>995</v>
      </c>
      <c r="F617" s="19">
        <v>44984</v>
      </c>
      <c r="G617" s="22">
        <v>9054.4</v>
      </c>
      <c r="H617" s="37">
        <f t="shared" si="28"/>
        <v>2</v>
      </c>
      <c r="I617" s="57" t="str">
        <f t="shared" si="29"/>
        <v>1-90 DAYS</v>
      </c>
      <c r="J617" s="37" t="str">
        <f t="shared" si="30"/>
        <v>0-180 DAYS</v>
      </c>
      <c r="L617" s="65"/>
    </row>
    <row r="618" spans="1:12" x14ac:dyDescent="0.35">
      <c r="A618" t="s">
        <v>790</v>
      </c>
      <c r="B618" t="s">
        <v>477</v>
      </c>
      <c r="C618" s="1" t="s">
        <v>56</v>
      </c>
      <c r="D618" s="18" t="s">
        <v>57</v>
      </c>
      <c r="E618" s="18" t="s">
        <v>996</v>
      </c>
      <c r="F618" s="19">
        <v>44984</v>
      </c>
      <c r="G618" s="22">
        <v>159011.6</v>
      </c>
      <c r="H618" s="37">
        <f t="shared" si="28"/>
        <v>2</v>
      </c>
      <c r="I618" s="57" t="str">
        <f t="shared" si="29"/>
        <v>1-90 DAYS</v>
      </c>
      <c r="J618" s="37" t="str">
        <f t="shared" si="30"/>
        <v>0-180 DAYS</v>
      </c>
      <c r="L618" s="65"/>
    </row>
    <row r="619" spans="1:12" x14ac:dyDescent="0.35">
      <c r="A619" t="s">
        <v>790</v>
      </c>
      <c r="B619" t="s">
        <v>477</v>
      </c>
      <c r="C619" s="1" t="s">
        <v>56</v>
      </c>
      <c r="D619" s="18" t="s">
        <v>57</v>
      </c>
      <c r="E619" s="18" t="s">
        <v>997</v>
      </c>
      <c r="F619" s="19">
        <v>44985</v>
      </c>
      <c r="G619" s="22">
        <v>638296.64</v>
      </c>
      <c r="H619" s="37">
        <f t="shared" si="28"/>
        <v>1</v>
      </c>
      <c r="I619" s="57" t="str">
        <f t="shared" si="29"/>
        <v>1-90 DAYS</v>
      </c>
      <c r="J619" s="37" t="str">
        <f t="shared" si="30"/>
        <v>0-180 DAYS</v>
      </c>
      <c r="L619" s="65"/>
    </row>
    <row r="620" spans="1:12" x14ac:dyDescent="0.35">
      <c r="A620" t="s">
        <v>790</v>
      </c>
      <c r="B620" t="s">
        <v>477</v>
      </c>
      <c r="C620" s="1" t="s">
        <v>56</v>
      </c>
      <c r="D620" s="18" t="s">
        <v>57</v>
      </c>
      <c r="E620" s="18" t="s">
        <v>998</v>
      </c>
      <c r="F620" s="19">
        <v>44985</v>
      </c>
      <c r="G620" s="22">
        <v>7865.96</v>
      </c>
      <c r="H620" s="37">
        <f t="shared" si="28"/>
        <v>1</v>
      </c>
      <c r="I620" s="57" t="str">
        <f t="shared" si="29"/>
        <v>1-90 DAYS</v>
      </c>
      <c r="J620" s="37" t="str">
        <f t="shared" si="30"/>
        <v>0-180 DAYS</v>
      </c>
      <c r="L620" s="65"/>
    </row>
    <row r="621" spans="1:12" x14ac:dyDescent="0.35">
      <c r="A621" t="s">
        <v>790</v>
      </c>
      <c r="B621" t="s">
        <v>477</v>
      </c>
      <c r="C621" s="1" t="s">
        <v>56</v>
      </c>
      <c r="D621" s="18" t="s">
        <v>57</v>
      </c>
      <c r="E621" s="18" t="s">
        <v>999</v>
      </c>
      <c r="F621" s="19">
        <v>44985</v>
      </c>
      <c r="G621" s="22">
        <v>22000</v>
      </c>
      <c r="H621" s="37">
        <f t="shared" si="28"/>
        <v>1</v>
      </c>
      <c r="I621" s="57" t="str">
        <f t="shared" si="29"/>
        <v>1-90 DAYS</v>
      </c>
      <c r="J621" s="37" t="str">
        <f t="shared" si="30"/>
        <v>0-180 DAYS</v>
      </c>
      <c r="L621" s="65"/>
    </row>
    <row r="622" spans="1:12" x14ac:dyDescent="0.35">
      <c r="A622" t="s">
        <v>790</v>
      </c>
      <c r="B622" t="s">
        <v>477</v>
      </c>
      <c r="C622" s="1" t="s">
        <v>56</v>
      </c>
      <c r="D622" s="18" t="s">
        <v>57</v>
      </c>
      <c r="E622" s="18" t="s">
        <v>1000</v>
      </c>
      <c r="F622" s="19">
        <v>44960</v>
      </c>
      <c r="G622" s="22">
        <v>1508078.84</v>
      </c>
      <c r="H622" s="37">
        <f t="shared" si="28"/>
        <v>26</v>
      </c>
      <c r="I622" s="57" t="str">
        <f t="shared" si="29"/>
        <v>1-90 DAYS</v>
      </c>
      <c r="J622" s="37" t="str">
        <f t="shared" si="30"/>
        <v>0-180 DAYS</v>
      </c>
      <c r="L622" s="65"/>
    </row>
    <row r="623" spans="1:12" x14ac:dyDescent="0.35">
      <c r="A623" t="s">
        <v>790</v>
      </c>
      <c r="B623" t="s">
        <v>477</v>
      </c>
      <c r="C623" s="1" t="s">
        <v>56</v>
      </c>
      <c r="D623" s="18" t="s">
        <v>57</v>
      </c>
      <c r="E623" s="18" t="s">
        <v>1001</v>
      </c>
      <c r="F623" s="19">
        <v>44960</v>
      </c>
      <c r="G623" s="22">
        <v>744060.8</v>
      </c>
      <c r="H623" s="37">
        <f t="shared" si="28"/>
        <v>26</v>
      </c>
      <c r="I623" s="57" t="str">
        <f t="shared" si="29"/>
        <v>1-90 DAYS</v>
      </c>
      <c r="J623" s="37" t="str">
        <f t="shared" si="30"/>
        <v>0-180 DAYS</v>
      </c>
      <c r="L623" s="65"/>
    </row>
    <row r="624" spans="1:12" x14ac:dyDescent="0.35">
      <c r="A624" t="s">
        <v>790</v>
      </c>
      <c r="B624" t="s">
        <v>477</v>
      </c>
      <c r="C624" s="1" t="s">
        <v>56</v>
      </c>
      <c r="D624" s="18" t="s">
        <v>57</v>
      </c>
      <c r="E624" s="18" t="s">
        <v>1002</v>
      </c>
      <c r="F624" s="19">
        <v>44960</v>
      </c>
      <c r="G624" s="22">
        <v>10931.52</v>
      </c>
      <c r="H624" s="37">
        <f t="shared" si="28"/>
        <v>26</v>
      </c>
      <c r="I624" s="57" t="str">
        <f t="shared" si="29"/>
        <v>1-90 DAYS</v>
      </c>
      <c r="J624" s="37" t="str">
        <f t="shared" si="30"/>
        <v>0-180 DAYS</v>
      </c>
      <c r="L624" s="65"/>
    </row>
    <row r="625" spans="1:12" x14ac:dyDescent="0.35">
      <c r="A625" t="s">
        <v>790</v>
      </c>
      <c r="B625" t="s">
        <v>477</v>
      </c>
      <c r="C625" s="1" t="s">
        <v>56</v>
      </c>
      <c r="D625" s="18" t="s">
        <v>57</v>
      </c>
      <c r="E625" s="18" t="s">
        <v>1003</v>
      </c>
      <c r="F625" s="19">
        <v>44963</v>
      </c>
      <c r="G625" s="22">
        <v>1254678.03</v>
      </c>
      <c r="H625" s="37">
        <f t="shared" si="28"/>
        <v>23</v>
      </c>
      <c r="I625" s="57" t="str">
        <f t="shared" si="29"/>
        <v>1-90 DAYS</v>
      </c>
      <c r="J625" s="37" t="str">
        <f t="shared" si="30"/>
        <v>0-180 DAYS</v>
      </c>
      <c r="L625" s="65"/>
    </row>
    <row r="626" spans="1:12" x14ac:dyDescent="0.35">
      <c r="A626" t="s">
        <v>790</v>
      </c>
      <c r="B626" t="s">
        <v>477</v>
      </c>
      <c r="C626" s="1" t="s">
        <v>56</v>
      </c>
      <c r="D626" s="18" t="s">
        <v>57</v>
      </c>
      <c r="E626" s="18" t="s">
        <v>1004</v>
      </c>
      <c r="F626" s="19">
        <v>44963</v>
      </c>
      <c r="G626" s="22">
        <v>5324.16</v>
      </c>
      <c r="H626" s="37">
        <f t="shared" si="28"/>
        <v>23</v>
      </c>
      <c r="I626" s="57" t="str">
        <f t="shared" si="29"/>
        <v>1-90 DAYS</v>
      </c>
      <c r="J626" s="37" t="str">
        <f t="shared" si="30"/>
        <v>0-180 DAYS</v>
      </c>
      <c r="L626" s="65"/>
    </row>
    <row r="627" spans="1:12" x14ac:dyDescent="0.35">
      <c r="A627" t="s">
        <v>790</v>
      </c>
      <c r="B627" t="s">
        <v>477</v>
      </c>
      <c r="C627" s="18" t="s">
        <v>7</v>
      </c>
      <c r="D627" s="18" t="s">
        <v>8</v>
      </c>
      <c r="E627" s="18" t="s">
        <v>1005</v>
      </c>
      <c r="F627" s="19">
        <v>44965</v>
      </c>
      <c r="G627" s="21">
        <v>56524.19</v>
      </c>
      <c r="H627" s="37">
        <f t="shared" si="28"/>
        <v>21</v>
      </c>
      <c r="I627" s="57" t="str">
        <f t="shared" si="29"/>
        <v>1-90 DAYS</v>
      </c>
      <c r="J627" s="37" t="str">
        <f t="shared" si="30"/>
        <v>0-180 DAYS</v>
      </c>
      <c r="L627" s="65"/>
    </row>
    <row r="628" spans="1:12" x14ac:dyDescent="0.35">
      <c r="A628" t="s">
        <v>790</v>
      </c>
      <c r="B628" t="s">
        <v>477</v>
      </c>
      <c r="C628" s="18" t="s">
        <v>7</v>
      </c>
      <c r="D628" s="18" t="s">
        <v>8</v>
      </c>
      <c r="E628" s="18" t="s">
        <v>1006</v>
      </c>
      <c r="F628" s="19">
        <v>44965</v>
      </c>
      <c r="G628" s="21">
        <v>566.97</v>
      </c>
      <c r="H628" s="37">
        <f t="shared" si="28"/>
        <v>21</v>
      </c>
      <c r="I628" s="57" t="str">
        <f t="shared" si="29"/>
        <v>1-90 DAYS</v>
      </c>
      <c r="J628" s="37" t="str">
        <f t="shared" si="30"/>
        <v>0-180 DAYS</v>
      </c>
      <c r="L628" s="65"/>
    </row>
    <row r="629" spans="1:12" x14ac:dyDescent="0.35">
      <c r="A629" t="s">
        <v>790</v>
      </c>
      <c r="B629" t="s">
        <v>477</v>
      </c>
      <c r="C629" s="1" t="s">
        <v>56</v>
      </c>
      <c r="D629" s="18" t="s">
        <v>57</v>
      </c>
      <c r="E629" s="18" t="s">
        <v>1007</v>
      </c>
      <c r="F629" s="19">
        <v>44965</v>
      </c>
      <c r="G629" s="22">
        <v>291544.96000000002</v>
      </c>
      <c r="H629" s="37">
        <f t="shared" ref="H629:H666" si="31">$H$3-F629+1</f>
        <v>21</v>
      </c>
      <c r="I629" s="57" t="str">
        <f t="shared" si="29"/>
        <v>1-90 DAYS</v>
      </c>
      <c r="J629" s="37" t="str">
        <f t="shared" si="30"/>
        <v>0-180 DAYS</v>
      </c>
      <c r="L629" s="65"/>
    </row>
    <row r="630" spans="1:12" x14ac:dyDescent="0.35">
      <c r="A630" t="s">
        <v>790</v>
      </c>
      <c r="B630" t="s">
        <v>477</v>
      </c>
      <c r="C630" s="1" t="s">
        <v>56</v>
      </c>
      <c r="D630" s="18" t="s">
        <v>57</v>
      </c>
      <c r="E630" s="18" t="s">
        <v>1008</v>
      </c>
      <c r="F630" s="19">
        <v>44965</v>
      </c>
      <c r="G630" s="22">
        <v>3511.68</v>
      </c>
      <c r="H630" s="37">
        <f t="shared" si="31"/>
        <v>21</v>
      </c>
      <c r="I630" s="57" t="str">
        <f t="shared" si="29"/>
        <v>1-90 DAYS</v>
      </c>
      <c r="J630" s="37" t="str">
        <f t="shared" si="30"/>
        <v>0-180 DAYS</v>
      </c>
      <c r="L630" s="65"/>
    </row>
    <row r="631" spans="1:12" x14ac:dyDescent="0.35">
      <c r="A631" t="s">
        <v>790</v>
      </c>
      <c r="B631" t="s">
        <v>477</v>
      </c>
      <c r="C631" s="18" t="s">
        <v>35</v>
      </c>
      <c r="D631" s="18" t="s">
        <v>36</v>
      </c>
      <c r="E631" s="18" t="s">
        <v>1009</v>
      </c>
      <c r="F631" s="19">
        <v>44965</v>
      </c>
      <c r="G631" s="22">
        <v>1062154.8500000001</v>
      </c>
      <c r="H631" s="37">
        <f t="shared" si="31"/>
        <v>21</v>
      </c>
      <c r="I631" s="57" t="str">
        <f t="shared" si="29"/>
        <v>1-90 DAYS</v>
      </c>
      <c r="J631" s="37" t="str">
        <f t="shared" si="30"/>
        <v>0-180 DAYS</v>
      </c>
      <c r="L631" s="65"/>
    </row>
    <row r="632" spans="1:12" x14ac:dyDescent="0.35">
      <c r="A632" t="s">
        <v>790</v>
      </c>
      <c r="B632" t="s">
        <v>477</v>
      </c>
      <c r="C632" s="1" t="s">
        <v>56</v>
      </c>
      <c r="D632" s="18" t="s">
        <v>57</v>
      </c>
      <c r="E632" s="18" t="s">
        <v>1010</v>
      </c>
      <c r="F632" s="19">
        <v>44969</v>
      </c>
      <c r="G632" s="22">
        <v>2071839.22</v>
      </c>
      <c r="H632" s="37">
        <f t="shared" si="31"/>
        <v>17</v>
      </c>
      <c r="I632" s="57" t="str">
        <f t="shared" si="29"/>
        <v>1-90 DAYS</v>
      </c>
      <c r="J632" s="37" t="str">
        <f t="shared" si="30"/>
        <v>0-180 DAYS</v>
      </c>
      <c r="L632" s="65"/>
    </row>
    <row r="633" spans="1:12" x14ac:dyDescent="0.35">
      <c r="A633" t="s">
        <v>790</v>
      </c>
      <c r="B633" t="s">
        <v>477</v>
      </c>
      <c r="C633" s="1" t="s">
        <v>56</v>
      </c>
      <c r="D633" s="18" t="s">
        <v>57</v>
      </c>
      <c r="E633" s="18" t="s">
        <v>1011</v>
      </c>
      <c r="F633" s="19">
        <v>44969</v>
      </c>
      <c r="G633" s="22">
        <v>7023.36</v>
      </c>
      <c r="H633" s="37">
        <f t="shared" si="31"/>
        <v>17</v>
      </c>
      <c r="I633" s="57" t="str">
        <f t="shared" si="29"/>
        <v>1-90 DAYS</v>
      </c>
      <c r="J633" s="37" t="str">
        <f t="shared" si="30"/>
        <v>0-180 DAYS</v>
      </c>
      <c r="L633" s="65"/>
    </row>
    <row r="634" spans="1:12" x14ac:dyDescent="0.35">
      <c r="A634" t="s">
        <v>790</v>
      </c>
      <c r="B634" t="s">
        <v>477</v>
      </c>
      <c r="C634" s="1" t="s">
        <v>56</v>
      </c>
      <c r="D634" s="18" t="s">
        <v>57</v>
      </c>
      <c r="E634" s="18" t="s">
        <v>1012</v>
      </c>
      <c r="F634" s="19">
        <v>44970</v>
      </c>
      <c r="G634" s="22">
        <v>536117.73</v>
      </c>
      <c r="H634" s="37">
        <f t="shared" si="31"/>
        <v>16</v>
      </c>
      <c r="I634" s="57" t="str">
        <f t="shared" si="29"/>
        <v>1-90 DAYS</v>
      </c>
      <c r="J634" s="37" t="str">
        <f t="shared" si="30"/>
        <v>0-180 DAYS</v>
      </c>
      <c r="L634" s="65"/>
    </row>
    <row r="635" spans="1:12" x14ac:dyDescent="0.35">
      <c r="A635" t="s">
        <v>790</v>
      </c>
      <c r="B635" t="s">
        <v>477</v>
      </c>
      <c r="C635" s="1" t="s">
        <v>56</v>
      </c>
      <c r="D635" s="18" t="s">
        <v>57</v>
      </c>
      <c r="E635" s="18" t="s">
        <v>1013</v>
      </c>
      <c r="F635" s="19">
        <v>44970</v>
      </c>
      <c r="G635" s="22">
        <v>1132.8</v>
      </c>
      <c r="H635" s="37">
        <f t="shared" si="31"/>
        <v>16</v>
      </c>
      <c r="I635" s="57" t="str">
        <f t="shared" si="29"/>
        <v>1-90 DAYS</v>
      </c>
      <c r="J635" s="37" t="str">
        <f t="shared" si="30"/>
        <v>0-180 DAYS</v>
      </c>
      <c r="L635" s="65"/>
    </row>
    <row r="636" spans="1:12" x14ac:dyDescent="0.35">
      <c r="A636" t="s">
        <v>790</v>
      </c>
      <c r="B636" t="s">
        <v>477</v>
      </c>
      <c r="C636" s="1" t="s">
        <v>56</v>
      </c>
      <c r="D636" s="18" t="s">
        <v>57</v>
      </c>
      <c r="E636" s="18" t="s">
        <v>22</v>
      </c>
      <c r="F636" s="19">
        <v>44970</v>
      </c>
      <c r="G636" s="22">
        <v>412888.31</v>
      </c>
      <c r="H636" s="37">
        <f t="shared" si="31"/>
        <v>16</v>
      </c>
      <c r="I636" s="57" t="str">
        <f t="shared" si="29"/>
        <v>1-90 DAYS</v>
      </c>
      <c r="J636" s="37" t="str">
        <f t="shared" si="30"/>
        <v>0-180 DAYS</v>
      </c>
      <c r="L636" s="65"/>
    </row>
    <row r="637" spans="1:12" x14ac:dyDescent="0.35">
      <c r="A637" t="s">
        <v>790</v>
      </c>
      <c r="B637" t="s">
        <v>477</v>
      </c>
      <c r="C637" s="1" t="s">
        <v>56</v>
      </c>
      <c r="D637" s="18" t="s">
        <v>57</v>
      </c>
      <c r="E637" s="18" t="s">
        <v>1014</v>
      </c>
      <c r="F637" s="19">
        <v>44971</v>
      </c>
      <c r="G637" s="22">
        <v>637006.53</v>
      </c>
      <c r="H637" s="37">
        <f t="shared" si="31"/>
        <v>15</v>
      </c>
      <c r="I637" s="57" t="str">
        <f t="shared" si="29"/>
        <v>1-90 DAYS</v>
      </c>
      <c r="J637" s="37" t="str">
        <f t="shared" si="30"/>
        <v>0-180 DAYS</v>
      </c>
      <c r="L637" s="65"/>
    </row>
    <row r="638" spans="1:12" x14ac:dyDescent="0.35">
      <c r="A638" t="s">
        <v>790</v>
      </c>
      <c r="B638" t="s">
        <v>477</v>
      </c>
      <c r="C638" s="1" t="s">
        <v>56</v>
      </c>
      <c r="D638" s="18" t="s">
        <v>57</v>
      </c>
      <c r="E638" s="18" t="s">
        <v>1015</v>
      </c>
      <c r="F638" s="19">
        <v>44971</v>
      </c>
      <c r="G638" s="22">
        <v>7306.56</v>
      </c>
      <c r="H638" s="37">
        <f t="shared" si="31"/>
        <v>15</v>
      </c>
      <c r="I638" s="57" t="str">
        <f t="shared" si="29"/>
        <v>1-90 DAYS</v>
      </c>
      <c r="J638" s="37" t="str">
        <f t="shared" si="30"/>
        <v>0-180 DAYS</v>
      </c>
      <c r="L638" s="65"/>
    </row>
    <row r="639" spans="1:12" x14ac:dyDescent="0.35">
      <c r="A639" t="s">
        <v>790</v>
      </c>
      <c r="B639" t="s">
        <v>477</v>
      </c>
      <c r="C639" s="18" t="s">
        <v>424</v>
      </c>
      <c r="D639" s="18" t="s">
        <v>425</v>
      </c>
      <c r="E639" s="18" t="s">
        <v>1016</v>
      </c>
      <c r="F639" s="19">
        <v>44972</v>
      </c>
      <c r="G639" s="21">
        <v>1287254.8999999999</v>
      </c>
      <c r="H639" s="37">
        <f t="shared" si="31"/>
        <v>14</v>
      </c>
      <c r="I639" s="57" t="str">
        <f t="shared" si="29"/>
        <v>1-90 DAYS</v>
      </c>
      <c r="J639" s="37" t="str">
        <f t="shared" si="30"/>
        <v>0-180 DAYS</v>
      </c>
      <c r="L639" s="65"/>
    </row>
    <row r="640" spans="1:12" x14ac:dyDescent="0.35">
      <c r="A640" t="s">
        <v>790</v>
      </c>
      <c r="B640" t="s">
        <v>477</v>
      </c>
      <c r="C640" s="18" t="s">
        <v>443</v>
      </c>
      <c r="D640" s="18" t="s">
        <v>444</v>
      </c>
      <c r="E640" s="18" t="s">
        <v>1017</v>
      </c>
      <c r="F640" s="19">
        <v>44974</v>
      </c>
      <c r="G640" s="21">
        <v>1507351.05</v>
      </c>
      <c r="H640" s="37">
        <f t="shared" si="31"/>
        <v>12</v>
      </c>
      <c r="I640" s="57" t="str">
        <f t="shared" si="29"/>
        <v>1-90 DAYS</v>
      </c>
      <c r="J640" s="37" t="str">
        <f t="shared" si="30"/>
        <v>0-180 DAYS</v>
      </c>
      <c r="L640" s="65"/>
    </row>
    <row r="641" spans="1:12" x14ac:dyDescent="0.35">
      <c r="A641" t="s">
        <v>790</v>
      </c>
      <c r="B641" t="s">
        <v>477</v>
      </c>
      <c r="C641" s="18" t="s">
        <v>277</v>
      </c>
      <c r="D641" s="18" t="s">
        <v>278</v>
      </c>
      <c r="E641" s="18" t="s">
        <v>1018</v>
      </c>
      <c r="F641" s="19">
        <v>44975</v>
      </c>
      <c r="G641" s="21">
        <v>450427.02</v>
      </c>
      <c r="H641" s="37">
        <f t="shared" si="31"/>
        <v>11</v>
      </c>
      <c r="I641" s="57" t="str">
        <f t="shared" si="29"/>
        <v>1-90 DAYS</v>
      </c>
      <c r="J641" s="37" t="str">
        <f t="shared" si="30"/>
        <v>0-180 DAYS</v>
      </c>
      <c r="L641" s="65"/>
    </row>
    <row r="642" spans="1:12" x14ac:dyDescent="0.35">
      <c r="A642" t="s">
        <v>790</v>
      </c>
      <c r="B642" t="s">
        <v>477</v>
      </c>
      <c r="C642" s="1" t="s">
        <v>56</v>
      </c>
      <c r="D642" s="18" t="s">
        <v>57</v>
      </c>
      <c r="E642" s="18" t="s">
        <v>1019</v>
      </c>
      <c r="F642" s="19">
        <v>44976</v>
      </c>
      <c r="G642" s="22">
        <v>784689.87</v>
      </c>
      <c r="H642" s="37">
        <f t="shared" si="31"/>
        <v>10</v>
      </c>
      <c r="I642" s="57" t="str">
        <f t="shared" si="29"/>
        <v>1-90 DAYS</v>
      </c>
      <c r="J642" s="37" t="str">
        <f t="shared" si="30"/>
        <v>0-180 DAYS</v>
      </c>
      <c r="L642" s="65"/>
    </row>
    <row r="643" spans="1:12" x14ac:dyDescent="0.35">
      <c r="A643" t="s">
        <v>790</v>
      </c>
      <c r="B643" t="s">
        <v>477</v>
      </c>
      <c r="C643" s="1" t="s">
        <v>56</v>
      </c>
      <c r="D643" s="18" t="s">
        <v>57</v>
      </c>
      <c r="E643" s="18" t="s">
        <v>1020</v>
      </c>
      <c r="F643" s="19">
        <v>44976</v>
      </c>
      <c r="G643" s="22">
        <v>8212.7999999999993</v>
      </c>
      <c r="H643" s="37">
        <f t="shared" si="31"/>
        <v>10</v>
      </c>
      <c r="I643" s="57" t="str">
        <f t="shared" si="29"/>
        <v>1-90 DAYS</v>
      </c>
      <c r="J643" s="37" t="str">
        <f t="shared" si="30"/>
        <v>0-180 DAYS</v>
      </c>
      <c r="L643" s="65"/>
    </row>
    <row r="644" spans="1:12" x14ac:dyDescent="0.35">
      <c r="A644" t="s">
        <v>790</v>
      </c>
      <c r="B644" t="s">
        <v>477</v>
      </c>
      <c r="C644" s="1" t="s">
        <v>56</v>
      </c>
      <c r="D644" s="18" t="s">
        <v>57</v>
      </c>
      <c r="E644" s="18" t="s">
        <v>1021</v>
      </c>
      <c r="F644" s="19">
        <v>44977</v>
      </c>
      <c r="G644" s="22">
        <v>59949.56</v>
      </c>
      <c r="H644" s="37">
        <f t="shared" si="31"/>
        <v>9</v>
      </c>
      <c r="I644" s="57" t="str">
        <f t="shared" si="29"/>
        <v>1-90 DAYS</v>
      </c>
      <c r="J644" s="37" t="str">
        <f t="shared" si="30"/>
        <v>0-180 DAYS</v>
      </c>
      <c r="L644" s="65"/>
    </row>
    <row r="645" spans="1:12" x14ac:dyDescent="0.35">
      <c r="A645" t="s">
        <v>790</v>
      </c>
      <c r="B645" t="s">
        <v>477</v>
      </c>
      <c r="C645" s="1" t="s">
        <v>56</v>
      </c>
      <c r="D645" s="18" t="s">
        <v>57</v>
      </c>
      <c r="E645" s="18" t="s">
        <v>1022</v>
      </c>
      <c r="F645" s="19">
        <v>44977</v>
      </c>
      <c r="G645" s="22">
        <v>1209852.67</v>
      </c>
      <c r="H645" s="37">
        <f t="shared" si="31"/>
        <v>9</v>
      </c>
      <c r="I645" s="57" t="str">
        <f t="shared" ref="I645:I668" si="32">IF(H645&lt;91,"1-90 DAYS",IF(H645&lt;121,"91-120DAYS",IF(H645&lt;181,"121-180 DAYS","Morethan180Days")))</f>
        <v>1-90 DAYS</v>
      </c>
      <c r="J645" s="37" t="str">
        <f t="shared" si="30"/>
        <v>0-180 DAYS</v>
      </c>
      <c r="L645" s="65"/>
    </row>
    <row r="646" spans="1:12" x14ac:dyDescent="0.35">
      <c r="A646" t="s">
        <v>790</v>
      </c>
      <c r="B646" t="s">
        <v>477</v>
      </c>
      <c r="C646" s="1" t="s">
        <v>56</v>
      </c>
      <c r="D646" s="18" t="s">
        <v>57</v>
      </c>
      <c r="E646" s="18" t="s">
        <v>1023</v>
      </c>
      <c r="F646" s="19">
        <v>44978</v>
      </c>
      <c r="G646" s="22">
        <v>1066539.8700000001</v>
      </c>
      <c r="H646" s="37">
        <f t="shared" si="31"/>
        <v>8</v>
      </c>
      <c r="I646" s="57" t="str">
        <f t="shared" si="32"/>
        <v>1-90 DAYS</v>
      </c>
      <c r="J646" s="37" t="str">
        <f t="shared" ref="J646:J668" si="33">IF(H646&lt;180,"0-180 DAYS","More than 180 Days")</f>
        <v>0-180 DAYS</v>
      </c>
      <c r="L646" s="65"/>
    </row>
    <row r="647" spans="1:12" x14ac:dyDescent="0.35">
      <c r="A647" t="s">
        <v>790</v>
      </c>
      <c r="B647" t="s">
        <v>477</v>
      </c>
      <c r="C647" s="1" t="s">
        <v>56</v>
      </c>
      <c r="D647" s="18" t="s">
        <v>57</v>
      </c>
      <c r="E647" s="18" t="s">
        <v>1024</v>
      </c>
      <c r="F647" s="19">
        <v>44978</v>
      </c>
      <c r="G647" s="22">
        <v>9628.7999999999993</v>
      </c>
      <c r="H647" s="37">
        <f t="shared" si="31"/>
        <v>8</v>
      </c>
      <c r="I647" s="57" t="str">
        <f t="shared" si="32"/>
        <v>1-90 DAYS</v>
      </c>
      <c r="J647" s="37" t="str">
        <f t="shared" si="33"/>
        <v>0-180 DAYS</v>
      </c>
      <c r="L647" s="65"/>
    </row>
    <row r="648" spans="1:12" x14ac:dyDescent="0.35">
      <c r="A648" t="s">
        <v>790</v>
      </c>
      <c r="B648" t="s">
        <v>477</v>
      </c>
      <c r="C648" s="18" t="s">
        <v>424</v>
      </c>
      <c r="D648" s="18" t="s">
        <v>425</v>
      </c>
      <c r="E648" s="18" t="s">
        <v>1025</v>
      </c>
      <c r="F648" s="19">
        <v>44981</v>
      </c>
      <c r="G648" s="21">
        <v>1086123.77</v>
      </c>
      <c r="H648" s="37">
        <f t="shared" si="31"/>
        <v>5</v>
      </c>
      <c r="I648" s="57" t="str">
        <f t="shared" si="32"/>
        <v>1-90 DAYS</v>
      </c>
      <c r="J648" s="37" t="str">
        <f t="shared" si="33"/>
        <v>0-180 DAYS</v>
      </c>
      <c r="L648" s="65"/>
    </row>
    <row r="649" spans="1:12" x14ac:dyDescent="0.35">
      <c r="A649" t="s">
        <v>790</v>
      </c>
      <c r="B649" t="s">
        <v>477</v>
      </c>
      <c r="C649" s="1" t="s">
        <v>56</v>
      </c>
      <c r="D649" s="18" t="s">
        <v>57</v>
      </c>
      <c r="E649" s="18" t="s">
        <v>1026</v>
      </c>
      <c r="F649" s="19">
        <v>44981</v>
      </c>
      <c r="G649" s="22">
        <v>314408.64</v>
      </c>
      <c r="H649" s="37">
        <f t="shared" si="31"/>
        <v>5</v>
      </c>
      <c r="I649" s="57" t="str">
        <f t="shared" si="32"/>
        <v>1-90 DAYS</v>
      </c>
      <c r="J649" s="37" t="str">
        <f t="shared" si="33"/>
        <v>0-180 DAYS</v>
      </c>
      <c r="L649" s="65"/>
    </row>
    <row r="650" spans="1:12" x14ac:dyDescent="0.35">
      <c r="A650" t="s">
        <v>790</v>
      </c>
      <c r="B650" t="s">
        <v>477</v>
      </c>
      <c r="C650" s="1" t="s">
        <v>56</v>
      </c>
      <c r="D650" s="18" t="s">
        <v>57</v>
      </c>
      <c r="E650" s="18" t="s">
        <v>1027</v>
      </c>
      <c r="F650" s="19">
        <v>44981</v>
      </c>
      <c r="G650" s="22">
        <v>3908.16</v>
      </c>
      <c r="H650" s="37">
        <f t="shared" si="31"/>
        <v>5</v>
      </c>
      <c r="I650" s="57" t="str">
        <f t="shared" si="32"/>
        <v>1-90 DAYS</v>
      </c>
      <c r="J650" s="37" t="str">
        <f t="shared" si="33"/>
        <v>0-180 DAYS</v>
      </c>
      <c r="L650" s="65"/>
    </row>
    <row r="651" spans="1:12" x14ac:dyDescent="0.35">
      <c r="A651" t="s">
        <v>790</v>
      </c>
      <c r="B651" t="s">
        <v>477</v>
      </c>
      <c r="C651" s="1" t="s">
        <v>56</v>
      </c>
      <c r="D651" s="18" t="s">
        <v>57</v>
      </c>
      <c r="E651" s="18" t="s">
        <v>1028</v>
      </c>
      <c r="F651" s="19">
        <v>44981</v>
      </c>
      <c r="G651" s="22">
        <v>1720563.88</v>
      </c>
      <c r="H651" s="37">
        <f t="shared" si="31"/>
        <v>5</v>
      </c>
      <c r="I651" s="57" t="str">
        <f t="shared" si="32"/>
        <v>1-90 DAYS</v>
      </c>
      <c r="J651" s="37" t="str">
        <f t="shared" si="33"/>
        <v>0-180 DAYS</v>
      </c>
      <c r="L651" s="65"/>
    </row>
    <row r="652" spans="1:12" x14ac:dyDescent="0.35">
      <c r="A652" t="s">
        <v>790</v>
      </c>
      <c r="B652" t="s">
        <v>477</v>
      </c>
      <c r="C652" s="1" t="s">
        <v>56</v>
      </c>
      <c r="D652" s="18" t="s">
        <v>57</v>
      </c>
      <c r="E652" s="18" t="s">
        <v>1029</v>
      </c>
      <c r="F652" s="19">
        <v>44982</v>
      </c>
      <c r="G652" s="22">
        <v>1770462.02</v>
      </c>
      <c r="H652" s="37">
        <f t="shared" si="31"/>
        <v>4</v>
      </c>
      <c r="I652" s="57" t="str">
        <f t="shared" si="32"/>
        <v>1-90 DAYS</v>
      </c>
      <c r="J652" s="37" t="str">
        <f t="shared" si="33"/>
        <v>0-180 DAYS</v>
      </c>
      <c r="L652" s="65"/>
    </row>
    <row r="653" spans="1:12" x14ac:dyDescent="0.35">
      <c r="A653" t="s">
        <v>790</v>
      </c>
      <c r="B653" t="s">
        <v>477</v>
      </c>
      <c r="C653" s="1" t="s">
        <v>56</v>
      </c>
      <c r="D653" s="18" t="s">
        <v>57</v>
      </c>
      <c r="E653" s="18" t="s">
        <v>1030</v>
      </c>
      <c r="F653" s="19">
        <v>44984</v>
      </c>
      <c r="G653" s="22">
        <v>1073651.46</v>
      </c>
      <c r="H653" s="37">
        <f t="shared" si="31"/>
        <v>2</v>
      </c>
      <c r="I653" s="57" t="str">
        <f t="shared" si="32"/>
        <v>1-90 DAYS</v>
      </c>
      <c r="J653" s="37" t="str">
        <f t="shared" si="33"/>
        <v>0-180 DAYS</v>
      </c>
      <c r="L653" s="65"/>
    </row>
    <row r="654" spans="1:12" x14ac:dyDescent="0.35">
      <c r="A654" t="s">
        <v>790</v>
      </c>
      <c r="B654" t="s">
        <v>477</v>
      </c>
      <c r="C654" s="1" t="s">
        <v>56</v>
      </c>
      <c r="D654" s="18" t="s">
        <v>57</v>
      </c>
      <c r="E654" s="18" t="s">
        <v>1031</v>
      </c>
      <c r="F654" s="19">
        <v>44984</v>
      </c>
      <c r="G654" s="22">
        <v>13423.68</v>
      </c>
      <c r="H654" s="37">
        <f t="shared" si="31"/>
        <v>2</v>
      </c>
      <c r="I654" s="57" t="str">
        <f t="shared" si="32"/>
        <v>1-90 DAYS</v>
      </c>
      <c r="J654" s="37" t="str">
        <f t="shared" si="33"/>
        <v>0-180 DAYS</v>
      </c>
      <c r="L654" s="65"/>
    </row>
    <row r="655" spans="1:12" x14ac:dyDescent="0.35">
      <c r="A655" t="s">
        <v>790</v>
      </c>
      <c r="B655" t="s">
        <v>477</v>
      </c>
      <c r="C655" s="1" t="s">
        <v>56</v>
      </c>
      <c r="D655" s="18" t="s">
        <v>57</v>
      </c>
      <c r="E655" s="18" t="s">
        <v>1032</v>
      </c>
      <c r="F655" s="19">
        <v>44984</v>
      </c>
      <c r="G655" s="22">
        <v>4083850.28</v>
      </c>
      <c r="H655" s="37">
        <f t="shared" si="31"/>
        <v>2</v>
      </c>
      <c r="I655" s="57" t="str">
        <f t="shared" si="32"/>
        <v>1-90 DAYS</v>
      </c>
      <c r="J655" s="37" t="str">
        <f t="shared" si="33"/>
        <v>0-180 DAYS</v>
      </c>
      <c r="L655" s="65"/>
    </row>
    <row r="656" spans="1:12" x14ac:dyDescent="0.35">
      <c r="A656" t="s">
        <v>790</v>
      </c>
      <c r="B656" t="s">
        <v>477</v>
      </c>
      <c r="C656" s="1" t="s">
        <v>56</v>
      </c>
      <c r="D656" s="18" t="s">
        <v>57</v>
      </c>
      <c r="E656" s="18" t="s">
        <v>1033</v>
      </c>
      <c r="F656" s="19">
        <v>44985</v>
      </c>
      <c r="G656" s="22">
        <v>1118274.97</v>
      </c>
      <c r="H656" s="37">
        <f t="shared" si="31"/>
        <v>1</v>
      </c>
      <c r="I656" s="57" t="str">
        <f t="shared" si="32"/>
        <v>1-90 DAYS</v>
      </c>
      <c r="J656" s="37" t="str">
        <f t="shared" si="33"/>
        <v>0-180 DAYS</v>
      </c>
      <c r="L656" s="65"/>
    </row>
    <row r="657" spans="1:12" x14ac:dyDescent="0.35">
      <c r="A657" t="s">
        <v>790</v>
      </c>
      <c r="B657" t="s">
        <v>477</v>
      </c>
      <c r="C657" s="1" t="s">
        <v>56</v>
      </c>
      <c r="D657" s="18" t="s">
        <v>57</v>
      </c>
      <c r="E657" s="18" t="s">
        <v>1034</v>
      </c>
      <c r="F657" s="19">
        <v>44985</v>
      </c>
      <c r="G657" s="22">
        <v>3681.6</v>
      </c>
      <c r="H657" s="37">
        <f t="shared" si="31"/>
        <v>1</v>
      </c>
      <c r="I657" s="57" t="str">
        <f t="shared" si="32"/>
        <v>1-90 DAYS</v>
      </c>
      <c r="J657" s="37" t="str">
        <f t="shared" si="33"/>
        <v>0-180 DAYS</v>
      </c>
      <c r="L657" s="65"/>
    </row>
    <row r="658" spans="1:12" x14ac:dyDescent="0.35">
      <c r="A658" t="s">
        <v>790</v>
      </c>
      <c r="B658" t="s">
        <v>477</v>
      </c>
      <c r="C658" s="1" t="s">
        <v>56</v>
      </c>
      <c r="D658" s="18" t="s">
        <v>57</v>
      </c>
      <c r="E658" s="18" t="s">
        <v>1035</v>
      </c>
      <c r="F658" s="19">
        <v>44959</v>
      </c>
      <c r="G658" s="22">
        <v>58607.03</v>
      </c>
      <c r="H658" s="37">
        <f t="shared" si="31"/>
        <v>27</v>
      </c>
      <c r="I658" s="57" t="str">
        <f t="shared" si="32"/>
        <v>1-90 DAYS</v>
      </c>
      <c r="J658" s="37" t="str">
        <f t="shared" si="33"/>
        <v>0-180 DAYS</v>
      </c>
      <c r="L658" s="65"/>
    </row>
    <row r="659" spans="1:12" x14ac:dyDescent="0.35">
      <c r="A659" t="s">
        <v>790</v>
      </c>
      <c r="B659" t="s">
        <v>477</v>
      </c>
      <c r="C659" s="1" t="s">
        <v>56</v>
      </c>
      <c r="D659" s="18" t="s">
        <v>57</v>
      </c>
      <c r="E659" s="18" t="s">
        <v>1036</v>
      </c>
      <c r="F659" s="19">
        <v>44960</v>
      </c>
      <c r="G659" s="22">
        <v>8239.5300000000007</v>
      </c>
      <c r="H659" s="37">
        <f t="shared" si="31"/>
        <v>26</v>
      </c>
      <c r="I659" s="57" t="str">
        <f t="shared" si="32"/>
        <v>1-90 DAYS</v>
      </c>
      <c r="J659" s="37" t="str">
        <f t="shared" si="33"/>
        <v>0-180 DAYS</v>
      </c>
      <c r="L659" s="65"/>
    </row>
    <row r="660" spans="1:12" x14ac:dyDescent="0.35">
      <c r="A660" t="s">
        <v>790</v>
      </c>
      <c r="B660" t="s">
        <v>477</v>
      </c>
      <c r="C660" s="1" t="s">
        <v>56</v>
      </c>
      <c r="D660" s="18" t="s">
        <v>57</v>
      </c>
      <c r="E660" s="18" t="s">
        <v>1037</v>
      </c>
      <c r="F660" s="19">
        <v>44970</v>
      </c>
      <c r="G660" s="22">
        <v>8311.9500000000007</v>
      </c>
      <c r="H660" s="37">
        <f t="shared" si="31"/>
        <v>16</v>
      </c>
      <c r="I660" s="57" t="str">
        <f t="shared" si="32"/>
        <v>1-90 DAYS</v>
      </c>
      <c r="J660" s="37" t="str">
        <f t="shared" si="33"/>
        <v>0-180 DAYS</v>
      </c>
      <c r="L660" s="65"/>
    </row>
    <row r="661" spans="1:12" x14ac:dyDescent="0.35">
      <c r="A661" t="s">
        <v>790</v>
      </c>
      <c r="B661" t="s">
        <v>477</v>
      </c>
      <c r="C661" s="1" t="s">
        <v>56</v>
      </c>
      <c r="D661" s="18" t="s">
        <v>57</v>
      </c>
      <c r="E661" s="18" t="s">
        <v>1038</v>
      </c>
      <c r="F661" s="19">
        <v>44970</v>
      </c>
      <c r="G661" s="22">
        <v>50447.82</v>
      </c>
      <c r="H661" s="37">
        <f t="shared" si="31"/>
        <v>16</v>
      </c>
      <c r="I661" s="57" t="str">
        <f t="shared" si="32"/>
        <v>1-90 DAYS</v>
      </c>
      <c r="J661" s="37" t="str">
        <f t="shared" si="33"/>
        <v>0-180 DAYS</v>
      </c>
      <c r="L661" s="65"/>
    </row>
    <row r="662" spans="1:12" x14ac:dyDescent="0.35">
      <c r="A662" t="s">
        <v>790</v>
      </c>
      <c r="B662" t="s">
        <v>477</v>
      </c>
      <c r="C662" s="1" t="s">
        <v>56</v>
      </c>
      <c r="D662" s="18" t="s">
        <v>57</v>
      </c>
      <c r="E662" s="18" t="s">
        <v>1039</v>
      </c>
      <c r="F662" s="19">
        <v>44974</v>
      </c>
      <c r="G662" s="22">
        <v>4085757.49</v>
      </c>
      <c r="H662" s="37">
        <f t="shared" si="31"/>
        <v>12</v>
      </c>
      <c r="I662" s="57" t="str">
        <f t="shared" si="32"/>
        <v>1-90 DAYS</v>
      </c>
      <c r="J662" s="37" t="str">
        <f t="shared" si="33"/>
        <v>0-180 DAYS</v>
      </c>
      <c r="L662" s="65"/>
    </row>
    <row r="663" spans="1:12" x14ac:dyDescent="0.35">
      <c r="A663" t="s">
        <v>790</v>
      </c>
      <c r="B663" t="s">
        <v>477</v>
      </c>
      <c r="C663" s="1" t="s">
        <v>56</v>
      </c>
      <c r="D663" s="18" t="s">
        <v>57</v>
      </c>
      <c r="E663" s="18" t="s">
        <v>1040</v>
      </c>
      <c r="F663" s="19">
        <v>44982</v>
      </c>
      <c r="G663" s="22">
        <v>101438.9</v>
      </c>
      <c r="H663" s="37">
        <f t="shared" si="31"/>
        <v>4</v>
      </c>
      <c r="I663" s="57" t="str">
        <f t="shared" si="32"/>
        <v>1-90 DAYS</v>
      </c>
      <c r="J663" s="37" t="str">
        <f t="shared" si="33"/>
        <v>0-180 DAYS</v>
      </c>
      <c r="L663" s="65"/>
    </row>
    <row r="664" spans="1:12" x14ac:dyDescent="0.35">
      <c r="A664" t="s">
        <v>790</v>
      </c>
      <c r="B664" t="s">
        <v>477</v>
      </c>
      <c r="C664" s="1" t="s">
        <v>56</v>
      </c>
      <c r="D664" s="18" t="s">
        <v>57</v>
      </c>
      <c r="E664" s="18" t="s">
        <v>1041</v>
      </c>
      <c r="F664" s="19">
        <v>44983</v>
      </c>
      <c r="G664" s="22">
        <v>576568.81999999995</v>
      </c>
      <c r="H664" s="37">
        <f t="shared" si="31"/>
        <v>3</v>
      </c>
      <c r="I664" s="57" t="str">
        <f t="shared" si="32"/>
        <v>1-90 DAYS</v>
      </c>
      <c r="J664" s="37" t="str">
        <f t="shared" si="33"/>
        <v>0-180 DAYS</v>
      </c>
      <c r="L664" s="65"/>
    </row>
    <row r="665" spans="1:12" x14ac:dyDescent="0.35">
      <c r="A665" t="s">
        <v>790</v>
      </c>
      <c r="B665" t="s">
        <v>477</v>
      </c>
      <c r="C665" s="1" t="s">
        <v>56</v>
      </c>
      <c r="D665" s="18" t="s">
        <v>57</v>
      </c>
      <c r="E665" s="18" t="s">
        <v>1042</v>
      </c>
      <c r="F665" s="19">
        <v>44985</v>
      </c>
      <c r="G665" s="22">
        <v>97536.31</v>
      </c>
      <c r="H665" s="37">
        <f t="shared" si="31"/>
        <v>1</v>
      </c>
      <c r="I665" s="57" t="str">
        <f t="shared" si="32"/>
        <v>1-90 DAYS</v>
      </c>
      <c r="J665" s="37" t="str">
        <f t="shared" si="33"/>
        <v>0-180 DAYS</v>
      </c>
      <c r="L665" s="65"/>
    </row>
    <row r="666" spans="1:12" x14ac:dyDescent="0.35">
      <c r="A666" t="s">
        <v>790</v>
      </c>
      <c r="B666" t="s">
        <v>477</v>
      </c>
      <c r="C666" s="1" t="s">
        <v>56</v>
      </c>
      <c r="D666" s="18" t="s">
        <v>57</v>
      </c>
      <c r="E666" s="18" t="s">
        <v>1043</v>
      </c>
      <c r="F666" s="19">
        <v>44985</v>
      </c>
      <c r="G666" s="22">
        <v>4810.32</v>
      </c>
      <c r="H666" s="37">
        <f t="shared" si="31"/>
        <v>1</v>
      </c>
      <c r="I666" s="57" t="str">
        <f t="shared" si="32"/>
        <v>1-90 DAYS</v>
      </c>
      <c r="J666" s="37" t="str">
        <f t="shared" si="33"/>
        <v>0-180 DAYS</v>
      </c>
      <c r="L666" s="65"/>
    </row>
    <row r="667" spans="1:12" x14ac:dyDescent="0.35">
      <c r="A667" t="s">
        <v>788</v>
      </c>
      <c r="B667" t="s">
        <v>1046</v>
      </c>
      <c r="C667" s="55" t="s">
        <v>1044</v>
      </c>
      <c r="D667" s="23" t="s">
        <v>39</v>
      </c>
      <c r="E667" s="56" t="s">
        <v>1047</v>
      </c>
      <c r="F667" s="19">
        <v>44985</v>
      </c>
      <c r="G667" s="36">
        <f>291.1232662*10^5</f>
        <v>29112326.619999997</v>
      </c>
      <c r="H667" s="37">
        <f>$H$3-F667+1</f>
        <v>1</v>
      </c>
      <c r="I667" s="57" t="str">
        <f t="shared" si="32"/>
        <v>1-90 DAYS</v>
      </c>
      <c r="J667" s="37" t="str">
        <f t="shared" si="33"/>
        <v>0-180 DAYS</v>
      </c>
      <c r="L667" s="65"/>
    </row>
    <row r="668" spans="1:12" x14ac:dyDescent="0.35">
      <c r="A668" t="s">
        <v>788</v>
      </c>
      <c r="B668" t="s">
        <v>1046</v>
      </c>
      <c r="C668" s="55" t="s">
        <v>1045</v>
      </c>
      <c r="D668" s="23" t="s">
        <v>39</v>
      </c>
      <c r="E668" s="56" t="s">
        <v>1047</v>
      </c>
      <c r="F668" s="19">
        <v>44985</v>
      </c>
      <c r="G668" s="36">
        <f>676.41137025*10^5</f>
        <v>67641137.025000006</v>
      </c>
      <c r="H668" s="37">
        <f>$H$3-F668+1</f>
        <v>1</v>
      </c>
      <c r="I668" s="57" t="str">
        <f t="shared" si="32"/>
        <v>1-90 DAYS</v>
      </c>
      <c r="J668" s="37" t="str">
        <f t="shared" si="33"/>
        <v>0-180 DAYS</v>
      </c>
    </row>
  </sheetData>
  <autoFilter ref="A4:I668" xr:uid="{00000000-0001-0000-0000-000000000000}"/>
  <conditionalFormatting sqref="E5:E108">
    <cfRule type="duplicateValues" dxfId="116" priority="3"/>
  </conditionalFormatting>
  <conditionalFormatting sqref="E5:E223">
    <cfRule type="duplicateValues" dxfId="115" priority="2"/>
  </conditionalFormatting>
  <conditionalFormatting sqref="E224:E244">
    <cfRule type="duplicateValues" dxfId="114" priority="7"/>
  </conditionalFormatting>
  <conditionalFormatting sqref="E245:E352">
    <cfRule type="duplicateValues" dxfId="11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BF90-778A-4895-936F-D3695686DA53}">
  <sheetPr codeName="Sheet3">
    <tabColor theme="7"/>
  </sheetPr>
  <dimension ref="A3:D16"/>
  <sheetViews>
    <sheetView workbookViewId="0">
      <selection activeCell="B7" sqref="B7"/>
    </sheetView>
  </sheetViews>
  <sheetFormatPr defaultRowHeight="14.5" x14ac:dyDescent="0.35"/>
  <cols>
    <col min="1" max="1" width="32.1796875" bestFit="1" customWidth="1"/>
    <col min="2" max="2" width="15.26953125" bestFit="1" customWidth="1"/>
    <col min="3" max="3" width="17.81640625" bestFit="1" customWidth="1"/>
    <col min="4" max="4" width="10.7265625" bestFit="1" customWidth="1"/>
  </cols>
  <sheetData>
    <row r="3" spans="1:4" x14ac:dyDescent="0.35">
      <c r="A3" s="58" t="s">
        <v>1049</v>
      </c>
      <c r="B3" s="58" t="s">
        <v>1053</v>
      </c>
    </row>
    <row r="4" spans="1:4" x14ac:dyDescent="0.35">
      <c r="A4" s="58" t="s">
        <v>1050</v>
      </c>
      <c r="B4" t="s">
        <v>3062</v>
      </c>
      <c r="C4" t="s">
        <v>782</v>
      </c>
      <c r="D4" t="s">
        <v>1048</v>
      </c>
    </row>
    <row r="5" spans="1:4" x14ac:dyDescent="0.35">
      <c r="A5" s="59" t="s">
        <v>788</v>
      </c>
      <c r="B5">
        <v>58146284.770318821</v>
      </c>
      <c r="D5">
        <v>58146284.770318821</v>
      </c>
    </row>
    <row r="6" spans="1:4" x14ac:dyDescent="0.35">
      <c r="A6" s="59" t="s">
        <v>790</v>
      </c>
      <c r="B6">
        <v>1050869904.4999996</v>
      </c>
      <c r="C6">
        <v>68024781.550000012</v>
      </c>
      <c r="D6">
        <v>1118894686.0499997</v>
      </c>
    </row>
    <row r="7" spans="1:4" x14ac:dyDescent="0.35">
      <c r="A7" s="59" t="s">
        <v>789</v>
      </c>
      <c r="B7">
        <v>58614495.010000005</v>
      </c>
      <c r="C7">
        <v>5012797.4099999992</v>
      </c>
      <c r="D7">
        <v>63627292.420000002</v>
      </c>
    </row>
    <row r="8" spans="1:4" x14ac:dyDescent="0.35">
      <c r="A8" s="59" t="s">
        <v>1048</v>
      </c>
      <c r="B8">
        <v>1167630684.2803185</v>
      </c>
      <c r="C8">
        <v>73037578.960000008</v>
      </c>
      <c r="D8">
        <v>1240668263.2403185</v>
      </c>
    </row>
    <row r="11" spans="1:4" x14ac:dyDescent="0.35">
      <c r="A11" s="58" t="s">
        <v>3063</v>
      </c>
      <c r="B11" s="58" t="s">
        <v>1053</v>
      </c>
    </row>
    <row r="12" spans="1:4" x14ac:dyDescent="0.35">
      <c r="A12" s="58" t="s">
        <v>1050</v>
      </c>
      <c r="B12" t="s">
        <v>3062</v>
      </c>
      <c r="C12" t="s">
        <v>782</v>
      </c>
      <c r="D12" t="s">
        <v>1048</v>
      </c>
    </row>
    <row r="13" spans="1:4" x14ac:dyDescent="0.35">
      <c r="A13" s="59" t="s">
        <v>788</v>
      </c>
      <c r="B13">
        <v>2</v>
      </c>
      <c r="D13">
        <v>2</v>
      </c>
    </row>
    <row r="14" spans="1:4" x14ac:dyDescent="0.35">
      <c r="A14" s="59" t="s">
        <v>790</v>
      </c>
      <c r="B14">
        <v>452</v>
      </c>
      <c r="C14">
        <v>36</v>
      </c>
      <c r="D14">
        <v>488</v>
      </c>
    </row>
    <row r="15" spans="1:4" x14ac:dyDescent="0.35">
      <c r="A15" s="59" t="s">
        <v>789</v>
      </c>
      <c r="B15">
        <v>130</v>
      </c>
      <c r="C15">
        <v>5</v>
      </c>
      <c r="D15">
        <v>135</v>
      </c>
    </row>
    <row r="16" spans="1:4" x14ac:dyDescent="0.35">
      <c r="A16" s="59" t="s">
        <v>1048</v>
      </c>
      <c r="B16">
        <v>584</v>
      </c>
      <c r="C16">
        <v>41</v>
      </c>
      <c r="D16">
        <v>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808B-5CE9-4AB3-90FD-E2F23CF0E5E8}">
  <sheetPr codeName="Sheet4" filterMode="1">
    <tabColor theme="7"/>
  </sheetPr>
  <dimension ref="A1:M679"/>
  <sheetViews>
    <sheetView workbookViewId="0">
      <pane ySplit="4" topLeftCell="A5" activePane="bottomLeft" state="frozen"/>
      <selection pane="bottomLeft" activeCell="I5" sqref="I5"/>
    </sheetView>
  </sheetViews>
  <sheetFormatPr defaultRowHeight="14.5" x14ac:dyDescent="0.35"/>
  <cols>
    <col min="3" max="3" width="38.7265625" bestFit="1" customWidth="1"/>
    <col min="5" max="5" width="16.6328125" bestFit="1" customWidth="1"/>
    <col min="6" max="6" width="17.453125" style="59" bestFit="1" customWidth="1"/>
    <col min="7" max="7" width="16.08984375" style="97" bestFit="1" customWidth="1"/>
    <col min="8" max="8" width="14.6328125" bestFit="1" customWidth="1"/>
    <col min="9" max="9" width="12.54296875" bestFit="1" customWidth="1"/>
    <col min="13" max="13" width="10" bestFit="1" customWidth="1"/>
  </cols>
  <sheetData>
    <row r="1" spans="1:13" x14ac:dyDescent="0.35">
      <c r="G1" s="97">
        <f>G2-G3</f>
        <v>-963430115.6099993</v>
      </c>
      <c r="H1" s="97"/>
      <c r="I1" s="73"/>
    </row>
    <row r="2" spans="1:13" x14ac:dyDescent="0.35">
      <c r="E2" s="66"/>
      <c r="F2" s="98"/>
      <c r="G2" s="97">
        <v>22708021.969999999</v>
      </c>
      <c r="H2" s="35">
        <v>45626</v>
      </c>
    </row>
    <row r="3" spans="1:13" x14ac:dyDescent="0.35">
      <c r="E3" s="66"/>
      <c r="F3" s="98"/>
      <c r="G3" s="150">
        <f>SUBTOTAL(9,G5:G679)/10^0</f>
        <v>986138137.57999933</v>
      </c>
      <c r="H3" s="35"/>
      <c r="M3" s="66"/>
    </row>
    <row r="4" spans="1:13" x14ac:dyDescent="0.35">
      <c r="A4" s="2" t="s">
        <v>478</v>
      </c>
      <c r="B4" s="2" t="s">
        <v>787</v>
      </c>
      <c r="C4" s="80" t="s">
        <v>472</v>
      </c>
      <c r="D4" s="80" t="s">
        <v>473</v>
      </c>
      <c r="E4" s="81" t="s">
        <v>474</v>
      </c>
      <c r="F4" s="82" t="s">
        <v>475</v>
      </c>
      <c r="G4" s="86" t="s">
        <v>476</v>
      </c>
      <c r="H4" s="83" t="s">
        <v>483</v>
      </c>
      <c r="I4" s="83" t="s">
        <v>484</v>
      </c>
      <c r="J4" s="83" t="s">
        <v>1051</v>
      </c>
      <c r="K4" s="89"/>
      <c r="L4" s="89"/>
    </row>
    <row r="5" spans="1:13" x14ac:dyDescent="0.35">
      <c r="A5" s="2" t="s">
        <v>1085</v>
      </c>
      <c r="B5" s="2" t="s">
        <v>790</v>
      </c>
      <c r="C5" s="37" t="s">
        <v>518</v>
      </c>
      <c r="D5" s="37" t="s">
        <v>507</v>
      </c>
      <c r="E5" s="37" t="s">
        <v>519</v>
      </c>
      <c r="F5" s="36" t="s">
        <v>1406</v>
      </c>
      <c r="G5" s="67">
        <v>3151699.2</v>
      </c>
      <c r="H5" s="37">
        <f t="shared" ref="H5:H68" si="0">$H$2-F5+1</f>
        <v>759</v>
      </c>
      <c r="I5" s="37" t="str">
        <f>IF(H5&lt;121,"0-120 DAYS",IF(H5&lt;181,"121-180 DAYS","More than 180 Days"))</f>
        <v>More than 180 Days</v>
      </c>
      <c r="J5" s="37" t="str">
        <f>IF(H5&lt;180,"0-180 DAYS","More than 180 Days")</f>
        <v>More than 180 Days</v>
      </c>
      <c r="M5" s="66"/>
    </row>
    <row r="6" spans="1:13" x14ac:dyDescent="0.35">
      <c r="A6" s="2" t="s">
        <v>1085</v>
      </c>
      <c r="B6" s="2" t="s">
        <v>790</v>
      </c>
      <c r="C6" s="37" t="s">
        <v>520</v>
      </c>
      <c r="D6" s="37" t="s">
        <v>507</v>
      </c>
      <c r="E6" s="37" t="s">
        <v>521</v>
      </c>
      <c r="F6" s="36" t="s">
        <v>1406</v>
      </c>
      <c r="G6" s="67">
        <v>3151699.2</v>
      </c>
      <c r="H6" s="37">
        <f t="shared" si="0"/>
        <v>759</v>
      </c>
      <c r="I6" s="37" t="str">
        <f>IF(H6&lt;121,"0-120 DAYS",IF(H6&lt;181,"121-180 DAYS","More than 180 Days"))</f>
        <v>More than 180 Days</v>
      </c>
      <c r="J6" s="37" t="str">
        <f t="shared" ref="J6:J69" si="1">IF(H6&lt;180,"0-180 DAYS","More than 180 Days")</f>
        <v>More than 180 Days</v>
      </c>
      <c r="M6" s="66"/>
    </row>
    <row r="7" spans="1:13" x14ac:dyDescent="0.35">
      <c r="A7" s="2" t="s">
        <v>1085</v>
      </c>
      <c r="B7" s="2" t="s">
        <v>790</v>
      </c>
      <c r="C7" s="44" t="s">
        <v>1197</v>
      </c>
      <c r="D7" s="2" t="s">
        <v>507</v>
      </c>
      <c r="E7" s="44" t="s">
        <v>1200</v>
      </c>
      <c r="F7" s="36" t="s">
        <v>1409</v>
      </c>
      <c r="G7" s="67">
        <v>1437238.08</v>
      </c>
      <c r="H7" s="37" t="e">
        <f t="shared" si="0"/>
        <v>#VALUE!</v>
      </c>
      <c r="I7" s="37" t="e">
        <f>IF(H7&lt;121,"0-120 DAYS",IF(H7&lt;181,"121-180 DAYS","More than 180 Days"))</f>
        <v>#VALUE!</v>
      </c>
      <c r="J7" s="37" t="e">
        <f t="shared" si="1"/>
        <v>#VALUE!</v>
      </c>
      <c r="M7" s="66"/>
    </row>
    <row r="8" spans="1:13" hidden="1" x14ac:dyDescent="0.35">
      <c r="A8" s="2" t="s">
        <v>1209</v>
      </c>
      <c r="B8" s="2" t="s">
        <v>789</v>
      </c>
      <c r="C8" s="44" t="s">
        <v>506</v>
      </c>
      <c r="D8" s="2" t="s">
        <v>507</v>
      </c>
      <c r="E8" s="135" t="s">
        <v>1240</v>
      </c>
      <c r="F8" s="36" t="s">
        <v>1415</v>
      </c>
      <c r="G8" s="67">
        <v>1488580.03</v>
      </c>
      <c r="H8" s="37">
        <f t="shared" si="0"/>
        <v>90</v>
      </c>
      <c r="I8" s="37" t="str">
        <f>IF(H8&lt;91,"1-90 DAYS",IF(H8&lt;121,"91-120DAYS",IF(H8&lt;181,"121-180 DAYS","More than 180 Days")))</f>
        <v>1-90 DAYS</v>
      </c>
      <c r="J8" s="37" t="str">
        <f t="shared" si="1"/>
        <v>0-180 DAYS</v>
      </c>
      <c r="M8" s="66"/>
    </row>
    <row r="9" spans="1:13" hidden="1" x14ac:dyDescent="0.35">
      <c r="A9" s="2" t="s">
        <v>1209</v>
      </c>
      <c r="B9" s="2" t="s">
        <v>789</v>
      </c>
      <c r="C9" s="44" t="s">
        <v>506</v>
      </c>
      <c r="D9" s="2" t="s">
        <v>507</v>
      </c>
      <c r="E9" s="135" t="s">
        <v>1241</v>
      </c>
      <c r="F9" s="36" t="s">
        <v>1415</v>
      </c>
      <c r="G9" s="67">
        <v>179830.58</v>
      </c>
      <c r="H9" s="37">
        <f t="shared" si="0"/>
        <v>90</v>
      </c>
      <c r="I9" s="37" t="str">
        <f>IF(H9&lt;91,"1-90 DAYS",IF(H9&lt;121,"91-120DAYS",IF(H9&lt;181,"121-180 DAYS","More than 180 Days")))</f>
        <v>1-90 DAYS</v>
      </c>
      <c r="J9" s="37" t="str">
        <f t="shared" si="1"/>
        <v>0-180 DAYS</v>
      </c>
      <c r="M9" s="66"/>
    </row>
    <row r="10" spans="1:13" hidden="1" x14ac:dyDescent="0.35">
      <c r="A10" s="2" t="s">
        <v>1209</v>
      </c>
      <c r="B10" s="2" t="s">
        <v>789</v>
      </c>
      <c r="C10" s="44" t="s">
        <v>506</v>
      </c>
      <c r="D10" s="2" t="s">
        <v>507</v>
      </c>
      <c r="E10" s="44" t="s">
        <v>1678</v>
      </c>
      <c r="F10" s="36" t="s">
        <v>1755</v>
      </c>
      <c r="G10" s="67">
        <v>1719678.72</v>
      </c>
      <c r="H10" s="37" t="e">
        <f t="shared" si="0"/>
        <v>#VALUE!</v>
      </c>
      <c r="I10" s="37" t="e">
        <f>IF(H10&lt;91,"1-90 DAYS",IF(H10&lt;121,"91-120DAYS",IF(H10&lt;181,"121-180 DAYS","More than 180 Days")))</f>
        <v>#VALUE!</v>
      </c>
      <c r="J10" s="37" t="e">
        <f t="shared" si="1"/>
        <v>#VALUE!</v>
      </c>
      <c r="M10" s="66"/>
    </row>
    <row r="11" spans="1:13" hidden="1" x14ac:dyDescent="0.35">
      <c r="A11" s="2" t="s">
        <v>1209</v>
      </c>
      <c r="B11" s="2" t="s">
        <v>789</v>
      </c>
      <c r="C11" s="44" t="s">
        <v>506</v>
      </c>
      <c r="D11" s="2" t="s">
        <v>507</v>
      </c>
      <c r="E11" s="44" t="s">
        <v>1679</v>
      </c>
      <c r="F11" s="36" t="s">
        <v>1755</v>
      </c>
      <c r="G11" s="67">
        <v>1293318.77</v>
      </c>
      <c r="H11" s="37" t="e">
        <f t="shared" si="0"/>
        <v>#VALUE!</v>
      </c>
      <c r="I11" s="37" t="e">
        <f>IF(H11&lt;91,"1-90 DAYS",IF(H11&lt;121,"91-120DAYS",IF(H11&lt;181,"121-180 DAYS","More than 180 Days")))</f>
        <v>#VALUE!</v>
      </c>
      <c r="J11" s="37" t="e">
        <f t="shared" si="1"/>
        <v>#VALUE!</v>
      </c>
      <c r="M11" s="66"/>
    </row>
    <row r="12" spans="1:13" hidden="1" x14ac:dyDescent="0.35">
      <c r="A12" s="2" t="s">
        <v>1209</v>
      </c>
      <c r="B12" s="2" t="s">
        <v>789</v>
      </c>
      <c r="C12" s="44" t="s">
        <v>506</v>
      </c>
      <c r="D12" s="2" t="s">
        <v>507</v>
      </c>
      <c r="E12" s="44" t="s">
        <v>1680</v>
      </c>
      <c r="F12" s="36" t="s">
        <v>1755</v>
      </c>
      <c r="G12" s="67">
        <v>331389.31</v>
      </c>
      <c r="H12" s="37" t="e">
        <f t="shared" si="0"/>
        <v>#VALUE!</v>
      </c>
      <c r="I12" s="37" t="e">
        <f>IF(H12&lt;91,"1-90 DAYS",IF(H12&lt;121,"91-120DAYS",IF(H12&lt;181,"121-180 DAYS","More than 180 Days")))</f>
        <v>#VALUE!</v>
      </c>
      <c r="J12" s="37" t="e">
        <f t="shared" si="1"/>
        <v>#VALUE!</v>
      </c>
      <c r="M12" s="66"/>
    </row>
    <row r="13" spans="1:13" x14ac:dyDescent="0.35">
      <c r="A13" s="2" t="s">
        <v>1085</v>
      </c>
      <c r="B13" s="2" t="s">
        <v>790</v>
      </c>
      <c r="C13" s="44" t="s">
        <v>1647</v>
      </c>
      <c r="D13" s="2" t="s">
        <v>507</v>
      </c>
      <c r="E13" s="44" t="s">
        <v>1692</v>
      </c>
      <c r="F13" s="36" t="s">
        <v>1735</v>
      </c>
      <c r="G13" s="67">
        <v>3034724</v>
      </c>
      <c r="H13" s="37">
        <f t="shared" si="0"/>
        <v>149</v>
      </c>
      <c r="I13" s="37" t="str">
        <f>IF(H13&lt;121,"0-120 DAYS",IF(H13&lt;181,"121-180 DAYS","More than 180 Days"))</f>
        <v>121-180 DAYS</v>
      </c>
      <c r="J13" s="37" t="str">
        <f t="shared" si="1"/>
        <v>0-180 DAYS</v>
      </c>
      <c r="M13" s="66"/>
    </row>
    <row r="14" spans="1:13" x14ac:dyDescent="0.35">
      <c r="A14" s="2" t="s">
        <v>1085</v>
      </c>
      <c r="B14" s="2" t="s">
        <v>790</v>
      </c>
      <c r="C14" s="44" t="s">
        <v>538</v>
      </c>
      <c r="D14" s="2" t="s">
        <v>507</v>
      </c>
      <c r="E14" s="44" t="s">
        <v>1699</v>
      </c>
      <c r="F14" s="36" t="s">
        <v>1746</v>
      </c>
      <c r="G14" s="67">
        <v>281395.43</v>
      </c>
      <c r="H14" s="37" t="e">
        <f t="shared" si="0"/>
        <v>#VALUE!</v>
      </c>
      <c r="I14" s="37" t="e">
        <f>IF(H14&lt;121,"0-120 DAYS",IF(H14&lt;181,"121-180 DAYS","More than 180 Days"))</f>
        <v>#VALUE!</v>
      </c>
      <c r="J14" s="37" t="e">
        <f t="shared" si="1"/>
        <v>#VALUE!</v>
      </c>
      <c r="M14" s="66"/>
    </row>
    <row r="15" spans="1:13" x14ac:dyDescent="0.35">
      <c r="A15" s="2" t="s">
        <v>1085</v>
      </c>
      <c r="B15" s="2" t="s">
        <v>790</v>
      </c>
      <c r="C15" s="44" t="s">
        <v>538</v>
      </c>
      <c r="D15" s="2" t="s">
        <v>507</v>
      </c>
      <c r="E15" s="44" t="s">
        <v>1702</v>
      </c>
      <c r="F15" s="36" t="s">
        <v>1752</v>
      </c>
      <c r="G15" s="67">
        <v>2953911</v>
      </c>
      <c r="H15" s="37" t="e">
        <f t="shared" si="0"/>
        <v>#VALUE!</v>
      </c>
      <c r="I15" s="37" t="e">
        <f>IF(H15&lt;121,"0-120 DAYS",IF(H15&lt;181,"121-180 DAYS","More than 180 Days"))</f>
        <v>#VALUE!</v>
      </c>
      <c r="J15" s="37" t="e">
        <f t="shared" si="1"/>
        <v>#VALUE!</v>
      </c>
      <c r="M15" s="66"/>
    </row>
    <row r="16" spans="1:13" x14ac:dyDescent="0.35">
      <c r="A16" s="2" t="s">
        <v>1085</v>
      </c>
      <c r="B16" s="2" t="s">
        <v>790</v>
      </c>
      <c r="C16" s="44" t="s">
        <v>526</v>
      </c>
      <c r="D16" s="2" t="s">
        <v>507</v>
      </c>
      <c r="E16" s="44" t="s">
        <v>1707</v>
      </c>
      <c r="F16" s="36" t="s">
        <v>1756</v>
      </c>
      <c r="G16" s="67">
        <v>5395392</v>
      </c>
      <c r="H16" s="37" t="e">
        <f t="shared" si="0"/>
        <v>#VALUE!</v>
      </c>
      <c r="I16" s="37" t="e">
        <f>IF(H16&lt;121,"0-120 DAYS",IF(H16&lt;181,"121-180 DAYS","More than 180 Days"))</f>
        <v>#VALUE!</v>
      </c>
      <c r="J16" s="37" t="e">
        <f t="shared" si="1"/>
        <v>#VALUE!</v>
      </c>
      <c r="M16" s="66"/>
    </row>
    <row r="17" spans="1:13" hidden="1" x14ac:dyDescent="0.35">
      <c r="A17" s="2" t="s">
        <v>1727</v>
      </c>
      <c r="B17" s="2" t="s">
        <v>788</v>
      </c>
      <c r="C17" s="44" t="s">
        <v>1729</v>
      </c>
      <c r="D17" s="2" t="s">
        <v>507</v>
      </c>
      <c r="E17" s="140" t="s">
        <v>2548</v>
      </c>
      <c r="F17" s="35">
        <v>45626</v>
      </c>
      <c r="G17" s="151">
        <v>21755961.243016753</v>
      </c>
      <c r="H17" s="37">
        <f t="shared" si="0"/>
        <v>1</v>
      </c>
      <c r="I17" s="37" t="str">
        <f>IF(H17&lt;91,"1-90 DAYS",IF(H17&lt;121,"91-120DAYS",IF(H17&lt;181,"121-180 DAYS","More than 180 Days")))</f>
        <v>1-90 DAYS</v>
      </c>
      <c r="J17" s="37" t="str">
        <f t="shared" si="1"/>
        <v>0-180 DAYS</v>
      </c>
      <c r="L17" t="s">
        <v>1730</v>
      </c>
      <c r="M17" s="66"/>
    </row>
    <row r="18" spans="1:13" hidden="1" x14ac:dyDescent="0.35">
      <c r="A18" s="2" t="s">
        <v>1727</v>
      </c>
      <c r="B18" s="2" t="s">
        <v>788</v>
      </c>
      <c r="C18" s="44" t="s">
        <v>1728</v>
      </c>
      <c r="D18" s="2" t="s">
        <v>507</v>
      </c>
      <c r="E18" s="140" t="s">
        <v>2548</v>
      </c>
      <c r="F18" s="35">
        <v>45626</v>
      </c>
      <c r="G18" s="151">
        <v>30004713.290000014</v>
      </c>
      <c r="H18" s="37">
        <f t="shared" si="0"/>
        <v>1</v>
      </c>
      <c r="I18" s="37" t="str">
        <f>IF(H18&lt;91,"1-90 DAYS",IF(H18&lt;121,"91-120DAYS",IF(H18&lt;181,"121-180 DAYS","More than 180 Days")))</f>
        <v>1-90 DAYS</v>
      </c>
      <c r="J18" s="37" t="str">
        <f t="shared" si="1"/>
        <v>0-180 DAYS</v>
      </c>
      <c r="L18" t="s">
        <v>1730</v>
      </c>
      <c r="M18" s="66"/>
    </row>
    <row r="19" spans="1:13" x14ac:dyDescent="0.35">
      <c r="A19" s="2" t="s">
        <v>1085</v>
      </c>
      <c r="B19" s="2" t="s">
        <v>790</v>
      </c>
      <c r="C19" s="44" t="s">
        <v>526</v>
      </c>
      <c r="D19" s="2" t="s">
        <v>507</v>
      </c>
      <c r="E19" s="44" t="s">
        <v>1811</v>
      </c>
      <c r="F19" s="36" t="s">
        <v>2020</v>
      </c>
      <c r="G19" s="67">
        <v>5392128</v>
      </c>
      <c r="H19" s="37">
        <f t="shared" si="0"/>
        <v>86</v>
      </c>
      <c r="I19" s="37" t="str">
        <f>IF(H19&lt;121,"0-120 DAYS",IF(H19&lt;181,"121-180 DAYS","More than 180 Days"))</f>
        <v>0-120 DAYS</v>
      </c>
      <c r="J19" s="37" t="str">
        <f t="shared" si="1"/>
        <v>0-180 DAYS</v>
      </c>
      <c r="M19" s="66"/>
    </row>
    <row r="20" spans="1:13" x14ac:dyDescent="0.35">
      <c r="A20" s="2" t="s">
        <v>1085</v>
      </c>
      <c r="B20" s="2" t="s">
        <v>790</v>
      </c>
      <c r="C20" s="144" t="s">
        <v>1091</v>
      </c>
      <c r="D20" s="2" t="s">
        <v>507</v>
      </c>
      <c r="E20" s="44" t="s">
        <v>1820</v>
      </c>
      <c r="F20" s="36" t="s">
        <v>2015</v>
      </c>
      <c r="G20" s="67">
        <v>3126641.28</v>
      </c>
      <c r="H20" s="37" t="e">
        <f t="shared" si="0"/>
        <v>#VALUE!</v>
      </c>
      <c r="I20" s="37" t="e">
        <f>IF(H20&lt;121,"0-120 DAYS",IF(H20&lt;181,"121-180 DAYS","More than 180 Days"))</f>
        <v>#VALUE!</v>
      </c>
      <c r="J20" s="37" t="e">
        <f t="shared" si="1"/>
        <v>#VALUE!</v>
      </c>
      <c r="M20" s="66"/>
    </row>
    <row r="21" spans="1:13" x14ac:dyDescent="0.35">
      <c r="A21" s="2" t="s">
        <v>1085</v>
      </c>
      <c r="B21" s="2" t="s">
        <v>790</v>
      </c>
      <c r="C21" s="144" t="s">
        <v>1054</v>
      </c>
      <c r="D21" s="2" t="s">
        <v>507</v>
      </c>
      <c r="E21" s="44" t="s">
        <v>1830</v>
      </c>
      <c r="F21" s="36" t="s">
        <v>2013</v>
      </c>
      <c r="G21">
        <v>7685.7</v>
      </c>
      <c r="H21" s="37" t="e">
        <f t="shared" si="0"/>
        <v>#VALUE!</v>
      </c>
      <c r="I21" s="37" t="e">
        <f>IF(H21&lt;121,"0-120 DAYS",IF(H21&lt;181,"121-180 DAYS","More than 180 Days"))</f>
        <v>#VALUE!</v>
      </c>
      <c r="J21" s="37" t="e">
        <f t="shared" si="1"/>
        <v>#VALUE!</v>
      </c>
      <c r="M21" s="66"/>
    </row>
    <row r="22" spans="1:13" hidden="1" x14ac:dyDescent="0.35">
      <c r="A22" s="2" t="s">
        <v>477</v>
      </c>
      <c r="B22" s="2" t="s">
        <v>790</v>
      </c>
      <c r="C22" s="2" t="s">
        <v>0</v>
      </c>
      <c r="D22" s="2" t="s">
        <v>1</v>
      </c>
      <c r="E22" s="3" t="s">
        <v>1058</v>
      </c>
      <c r="F22" s="36" t="s">
        <v>1425</v>
      </c>
      <c r="G22" s="67">
        <v>82517.399999999994</v>
      </c>
      <c r="H22" s="37">
        <f t="shared" si="0"/>
        <v>1031</v>
      </c>
      <c r="I22" s="37" t="str">
        <f t="shared" ref="I22:I59" si="2">IF(H22&lt;91,"1-90 DAYS",IF(H22&lt;121,"91-120DAYS",IF(H22&lt;181,"121-180 DAYS","More than 180 Days")))</f>
        <v>More than 180 Days</v>
      </c>
      <c r="J22" s="37" t="str">
        <f t="shared" si="1"/>
        <v>More than 180 Days</v>
      </c>
      <c r="M22" s="66"/>
    </row>
    <row r="23" spans="1:13" hidden="1" x14ac:dyDescent="0.35">
      <c r="A23" s="2" t="s">
        <v>477</v>
      </c>
      <c r="B23" s="2" t="s">
        <v>790</v>
      </c>
      <c r="C23" s="44" t="s">
        <v>0</v>
      </c>
      <c r="D23" s="44" t="s">
        <v>1</v>
      </c>
      <c r="E23" s="44" t="s">
        <v>1059</v>
      </c>
      <c r="F23" s="36" t="s">
        <v>1426</v>
      </c>
      <c r="G23" s="67">
        <v>49754.7</v>
      </c>
      <c r="H23" s="37">
        <f t="shared" si="0"/>
        <v>607</v>
      </c>
      <c r="I23" s="37" t="str">
        <f t="shared" si="2"/>
        <v>More than 180 Days</v>
      </c>
      <c r="J23" s="37" t="str">
        <f t="shared" si="1"/>
        <v>More than 180 Days</v>
      </c>
      <c r="M23" s="66"/>
    </row>
    <row r="24" spans="1:13" hidden="1" x14ac:dyDescent="0.35">
      <c r="A24" s="2" t="s">
        <v>477</v>
      </c>
      <c r="B24" s="2" t="s">
        <v>790</v>
      </c>
      <c r="C24" s="44" t="s">
        <v>3</v>
      </c>
      <c r="D24" s="44" t="s">
        <v>4</v>
      </c>
      <c r="E24" s="44" t="s">
        <v>1089</v>
      </c>
      <c r="F24" s="36" t="s">
        <v>1427</v>
      </c>
      <c r="G24" s="67">
        <v>8928.24</v>
      </c>
      <c r="H24" s="37">
        <f t="shared" si="0"/>
        <v>662</v>
      </c>
      <c r="I24" s="37" t="str">
        <f t="shared" si="2"/>
        <v>More than 180 Days</v>
      </c>
      <c r="J24" s="37" t="str">
        <f t="shared" si="1"/>
        <v>More than 180 Days</v>
      </c>
      <c r="M24" s="66"/>
    </row>
    <row r="25" spans="1:13" hidden="1" x14ac:dyDescent="0.35">
      <c r="A25" s="2" t="s">
        <v>477</v>
      </c>
      <c r="B25" s="2" t="s">
        <v>790</v>
      </c>
      <c r="C25" s="44" t="s">
        <v>3</v>
      </c>
      <c r="D25" s="44" t="s">
        <v>4</v>
      </c>
      <c r="E25" s="44" t="s">
        <v>1092</v>
      </c>
      <c r="F25" s="36" t="s">
        <v>1428</v>
      </c>
      <c r="G25" s="67">
        <v>1730.83</v>
      </c>
      <c r="H25" s="37" t="e">
        <f t="shared" si="0"/>
        <v>#VALUE!</v>
      </c>
      <c r="I25" s="37" t="e">
        <f t="shared" si="2"/>
        <v>#VALUE!</v>
      </c>
      <c r="J25" s="37" t="e">
        <f t="shared" si="1"/>
        <v>#VALUE!</v>
      </c>
      <c r="M25" s="66"/>
    </row>
    <row r="26" spans="1:13" hidden="1" x14ac:dyDescent="0.35">
      <c r="A26" s="2" t="s">
        <v>477</v>
      </c>
      <c r="B26" s="2" t="s">
        <v>790</v>
      </c>
      <c r="C26" s="2" t="s">
        <v>13</v>
      </c>
      <c r="D26" s="2" t="s">
        <v>14</v>
      </c>
      <c r="E26" s="3" t="s">
        <v>15</v>
      </c>
      <c r="F26" s="36" t="s">
        <v>1430</v>
      </c>
      <c r="G26" s="67">
        <v>81031.210000000006</v>
      </c>
      <c r="H26" s="37" t="e">
        <f t="shared" si="0"/>
        <v>#VALUE!</v>
      </c>
      <c r="I26" s="37" t="e">
        <f t="shared" si="2"/>
        <v>#VALUE!</v>
      </c>
      <c r="J26" s="37" t="e">
        <f t="shared" si="1"/>
        <v>#VALUE!</v>
      </c>
      <c r="M26" s="66"/>
    </row>
    <row r="27" spans="1:13" hidden="1" x14ac:dyDescent="0.35">
      <c r="A27" s="2" t="s">
        <v>477</v>
      </c>
      <c r="B27" s="2" t="s">
        <v>790</v>
      </c>
      <c r="C27" s="44" t="s">
        <v>277</v>
      </c>
      <c r="D27" s="44" t="s">
        <v>278</v>
      </c>
      <c r="E27" s="44" t="s">
        <v>1018</v>
      </c>
      <c r="F27" s="36" t="s">
        <v>1431</v>
      </c>
      <c r="G27" s="67">
        <v>19519.82</v>
      </c>
      <c r="H27" s="37" t="e">
        <f t="shared" si="0"/>
        <v>#VALUE!</v>
      </c>
      <c r="I27" s="37" t="e">
        <f t="shared" si="2"/>
        <v>#VALUE!</v>
      </c>
      <c r="J27" s="37" t="e">
        <f t="shared" si="1"/>
        <v>#VALUE!</v>
      </c>
      <c r="M27" s="66"/>
    </row>
    <row r="28" spans="1:13" hidden="1" x14ac:dyDescent="0.35">
      <c r="A28" s="2" t="s">
        <v>477</v>
      </c>
      <c r="B28" s="2" t="s">
        <v>790</v>
      </c>
      <c r="C28" s="2" t="s">
        <v>20</v>
      </c>
      <c r="D28" s="2" t="s">
        <v>21</v>
      </c>
      <c r="E28" s="3" t="s">
        <v>22</v>
      </c>
      <c r="F28" s="36" t="s">
        <v>1432</v>
      </c>
      <c r="G28" s="67">
        <v>978730</v>
      </c>
      <c r="H28" s="37">
        <f t="shared" si="0"/>
        <v>852</v>
      </c>
      <c r="I28" s="37" t="str">
        <f t="shared" si="2"/>
        <v>More than 180 Days</v>
      </c>
      <c r="J28" s="37" t="str">
        <f t="shared" si="1"/>
        <v>More than 180 Days</v>
      </c>
      <c r="M28" s="66"/>
    </row>
    <row r="29" spans="1:13" hidden="1" x14ac:dyDescent="0.35">
      <c r="A29" s="2" t="s">
        <v>477</v>
      </c>
      <c r="B29" s="2" t="s">
        <v>790</v>
      </c>
      <c r="C29" s="2" t="s">
        <v>20</v>
      </c>
      <c r="D29" s="2" t="s">
        <v>21</v>
      </c>
      <c r="E29" s="3" t="s">
        <v>23</v>
      </c>
      <c r="F29" s="36" t="s">
        <v>1432</v>
      </c>
      <c r="G29" s="67">
        <v>1039965</v>
      </c>
      <c r="H29" s="37">
        <f t="shared" si="0"/>
        <v>852</v>
      </c>
      <c r="I29" s="37" t="str">
        <f t="shared" si="2"/>
        <v>More than 180 Days</v>
      </c>
      <c r="J29" s="37" t="str">
        <f t="shared" si="1"/>
        <v>More than 180 Days</v>
      </c>
      <c r="M29" s="66"/>
    </row>
    <row r="30" spans="1:13" hidden="1" x14ac:dyDescent="0.35">
      <c r="A30" s="2" t="s">
        <v>477</v>
      </c>
      <c r="B30" s="2" t="s">
        <v>790</v>
      </c>
      <c r="C30" s="2" t="s">
        <v>20</v>
      </c>
      <c r="D30" s="2" t="s">
        <v>21</v>
      </c>
      <c r="E30" s="3" t="s">
        <v>24</v>
      </c>
      <c r="F30" s="36" t="s">
        <v>1433</v>
      </c>
      <c r="G30" s="67">
        <v>1160694.02</v>
      </c>
      <c r="H30" s="37" t="e">
        <f t="shared" si="0"/>
        <v>#VALUE!</v>
      </c>
      <c r="I30" s="37" t="e">
        <f t="shared" si="2"/>
        <v>#VALUE!</v>
      </c>
      <c r="J30" s="37" t="e">
        <f t="shared" si="1"/>
        <v>#VALUE!</v>
      </c>
      <c r="M30" s="66"/>
    </row>
    <row r="31" spans="1:13" hidden="1" x14ac:dyDescent="0.35">
      <c r="A31" s="2" t="s">
        <v>477</v>
      </c>
      <c r="B31" s="2" t="s">
        <v>790</v>
      </c>
      <c r="C31" s="2" t="s">
        <v>20</v>
      </c>
      <c r="D31" s="2" t="s">
        <v>21</v>
      </c>
      <c r="E31" s="3" t="s">
        <v>25</v>
      </c>
      <c r="F31" s="36" t="s">
        <v>1434</v>
      </c>
      <c r="G31" s="67">
        <v>1075361.1399999999</v>
      </c>
      <c r="H31" s="37" t="e">
        <f t="shared" si="0"/>
        <v>#VALUE!</v>
      </c>
      <c r="I31" s="37" t="e">
        <f t="shared" si="2"/>
        <v>#VALUE!</v>
      </c>
      <c r="J31" s="37" t="e">
        <f t="shared" si="1"/>
        <v>#VALUE!</v>
      </c>
      <c r="M31" s="66"/>
    </row>
    <row r="32" spans="1:13" hidden="1" x14ac:dyDescent="0.35">
      <c r="A32" s="2" t="s">
        <v>477</v>
      </c>
      <c r="B32" s="2" t="s">
        <v>790</v>
      </c>
      <c r="C32" s="44" t="s">
        <v>35</v>
      </c>
      <c r="D32" s="44" t="s">
        <v>36</v>
      </c>
      <c r="E32" s="44" t="s">
        <v>1192</v>
      </c>
      <c r="F32" s="36" t="s">
        <v>1436</v>
      </c>
      <c r="G32" s="67">
        <v>580857.09</v>
      </c>
      <c r="H32" s="37">
        <f t="shared" si="0"/>
        <v>385</v>
      </c>
      <c r="I32" s="37" t="str">
        <f t="shared" si="2"/>
        <v>More than 180 Days</v>
      </c>
      <c r="J32" s="37" t="str">
        <f t="shared" si="1"/>
        <v>More than 180 Days</v>
      </c>
      <c r="M32" s="66"/>
    </row>
    <row r="33" spans="1:13" hidden="1" x14ac:dyDescent="0.35">
      <c r="A33" s="2" t="s">
        <v>477</v>
      </c>
      <c r="B33" s="2" t="s">
        <v>790</v>
      </c>
      <c r="C33" s="2" t="s">
        <v>38</v>
      </c>
      <c r="D33" s="2" t="s">
        <v>39</v>
      </c>
      <c r="E33" s="2" t="s">
        <v>40</v>
      </c>
      <c r="F33" s="36" t="s">
        <v>1437</v>
      </c>
      <c r="G33" s="67">
        <v>1507988</v>
      </c>
      <c r="H33" s="37" t="e">
        <f t="shared" si="0"/>
        <v>#VALUE!</v>
      </c>
      <c r="I33" s="37" t="e">
        <f t="shared" si="2"/>
        <v>#VALUE!</v>
      </c>
      <c r="J33" s="37" t="e">
        <f t="shared" si="1"/>
        <v>#VALUE!</v>
      </c>
      <c r="M33" s="66"/>
    </row>
    <row r="34" spans="1:13" hidden="1" x14ac:dyDescent="0.35">
      <c r="A34" s="2" t="s">
        <v>477</v>
      </c>
      <c r="B34" s="2" t="s">
        <v>790</v>
      </c>
      <c r="C34" s="2" t="s">
        <v>38</v>
      </c>
      <c r="D34" s="2" t="s">
        <v>39</v>
      </c>
      <c r="E34" s="2" t="s">
        <v>41</v>
      </c>
      <c r="F34" s="36" t="s">
        <v>1438</v>
      </c>
      <c r="G34" s="67">
        <v>2089970</v>
      </c>
      <c r="H34" s="37">
        <f t="shared" si="0"/>
        <v>2617</v>
      </c>
      <c r="I34" s="37" t="str">
        <f t="shared" si="2"/>
        <v>More than 180 Days</v>
      </c>
      <c r="J34" s="37" t="str">
        <f t="shared" si="1"/>
        <v>More than 180 Days</v>
      </c>
      <c r="M34" s="66"/>
    </row>
    <row r="35" spans="1:13" hidden="1" x14ac:dyDescent="0.35">
      <c r="A35" s="2" t="s">
        <v>477</v>
      </c>
      <c r="B35" s="2" t="s">
        <v>790</v>
      </c>
      <c r="C35" s="44" t="s">
        <v>263</v>
      </c>
      <c r="D35" s="44" t="s">
        <v>264</v>
      </c>
      <c r="E35" s="44" t="s">
        <v>1399</v>
      </c>
      <c r="F35" s="36" t="s">
        <v>1473</v>
      </c>
      <c r="G35" s="67">
        <v>681843.97</v>
      </c>
      <c r="H35" s="37">
        <f t="shared" si="0"/>
        <v>58</v>
      </c>
      <c r="I35" s="37" t="str">
        <f t="shared" si="2"/>
        <v>1-90 DAYS</v>
      </c>
      <c r="J35" s="37" t="str">
        <f t="shared" si="1"/>
        <v>0-180 DAYS</v>
      </c>
      <c r="M35" s="66"/>
    </row>
    <row r="36" spans="1:13" hidden="1" x14ac:dyDescent="0.35">
      <c r="A36" s="2" t="s">
        <v>477</v>
      </c>
      <c r="B36" s="2" t="s">
        <v>790</v>
      </c>
      <c r="C36" s="44" t="s">
        <v>1496</v>
      </c>
      <c r="D36" s="44" t="s">
        <v>1499</v>
      </c>
      <c r="E36" s="44" t="s">
        <v>1560</v>
      </c>
      <c r="F36" s="36" t="s">
        <v>1753</v>
      </c>
      <c r="G36" s="67">
        <v>3066525</v>
      </c>
      <c r="H36" s="37" t="e">
        <f t="shared" si="0"/>
        <v>#VALUE!</v>
      </c>
      <c r="I36" s="37" t="e">
        <f t="shared" si="2"/>
        <v>#VALUE!</v>
      </c>
      <c r="J36" s="37" t="e">
        <f t="shared" si="1"/>
        <v>#VALUE!</v>
      </c>
      <c r="M36" s="66"/>
    </row>
    <row r="37" spans="1:13" hidden="1" x14ac:dyDescent="0.35">
      <c r="A37" s="2" t="s">
        <v>477</v>
      </c>
      <c r="B37" s="2" t="s">
        <v>790</v>
      </c>
      <c r="C37" s="44" t="s">
        <v>1496</v>
      </c>
      <c r="D37" s="44" t="s">
        <v>1499</v>
      </c>
      <c r="E37" s="44" t="s">
        <v>1561</v>
      </c>
      <c r="F37" s="36" t="s">
        <v>1753</v>
      </c>
      <c r="G37" s="67">
        <v>3066330</v>
      </c>
      <c r="H37" s="37" t="e">
        <f t="shared" si="0"/>
        <v>#VALUE!</v>
      </c>
      <c r="I37" s="37" t="e">
        <f t="shared" si="2"/>
        <v>#VALUE!</v>
      </c>
      <c r="J37" s="37" t="e">
        <f t="shared" si="1"/>
        <v>#VALUE!</v>
      </c>
      <c r="M37" s="66"/>
    </row>
    <row r="38" spans="1:13" hidden="1" x14ac:dyDescent="0.35">
      <c r="A38" s="2" t="s">
        <v>477</v>
      </c>
      <c r="B38" s="2" t="s">
        <v>790</v>
      </c>
      <c r="C38" s="44" t="s">
        <v>1496</v>
      </c>
      <c r="D38" s="44" t="s">
        <v>1499</v>
      </c>
      <c r="E38" s="44" t="s">
        <v>1562</v>
      </c>
      <c r="F38" s="36" t="s">
        <v>1753</v>
      </c>
      <c r="G38" s="67">
        <v>3063926</v>
      </c>
      <c r="H38" s="37" t="e">
        <f t="shared" si="0"/>
        <v>#VALUE!</v>
      </c>
      <c r="I38" s="37" t="e">
        <f t="shared" si="2"/>
        <v>#VALUE!</v>
      </c>
      <c r="J38" s="37" t="e">
        <f t="shared" si="1"/>
        <v>#VALUE!</v>
      </c>
      <c r="M38" s="66"/>
    </row>
    <row r="39" spans="1:13" hidden="1" x14ac:dyDescent="0.35">
      <c r="A39" s="2" t="s">
        <v>477</v>
      </c>
      <c r="B39" s="2" t="s">
        <v>790</v>
      </c>
      <c r="C39" s="44" t="s">
        <v>1496</v>
      </c>
      <c r="D39" s="44" t="s">
        <v>1499</v>
      </c>
      <c r="E39" s="44" t="s">
        <v>1563</v>
      </c>
      <c r="F39" s="36" t="s">
        <v>1753</v>
      </c>
      <c r="G39" s="67">
        <v>3063926</v>
      </c>
      <c r="H39" s="37" t="e">
        <f t="shared" si="0"/>
        <v>#VALUE!</v>
      </c>
      <c r="I39" s="37" t="e">
        <f t="shared" si="2"/>
        <v>#VALUE!</v>
      </c>
      <c r="J39" s="37" t="e">
        <f t="shared" si="1"/>
        <v>#VALUE!</v>
      </c>
      <c r="M39" s="66"/>
    </row>
    <row r="40" spans="1:13" hidden="1" x14ac:dyDescent="0.35">
      <c r="A40" s="2" t="s">
        <v>477</v>
      </c>
      <c r="B40" s="2" t="s">
        <v>790</v>
      </c>
      <c r="C40" s="44" t="s">
        <v>1496</v>
      </c>
      <c r="D40" s="44" t="s">
        <v>1499</v>
      </c>
      <c r="E40" s="44" t="s">
        <v>1564</v>
      </c>
      <c r="F40" s="36" t="s">
        <v>1753</v>
      </c>
      <c r="G40" s="67">
        <v>3063926</v>
      </c>
      <c r="H40" s="37" t="e">
        <f t="shared" si="0"/>
        <v>#VALUE!</v>
      </c>
      <c r="I40" s="37" t="e">
        <f t="shared" si="2"/>
        <v>#VALUE!</v>
      </c>
      <c r="J40" s="37" t="e">
        <f t="shared" si="1"/>
        <v>#VALUE!</v>
      </c>
      <c r="M40" s="66"/>
    </row>
    <row r="41" spans="1:13" hidden="1" x14ac:dyDescent="0.35">
      <c r="A41" s="2" t="s">
        <v>477</v>
      </c>
      <c r="B41" s="2" t="s">
        <v>790</v>
      </c>
      <c r="C41" s="44" t="s">
        <v>1496</v>
      </c>
      <c r="D41" s="44" t="s">
        <v>1499</v>
      </c>
      <c r="E41" s="44" t="s">
        <v>1565</v>
      </c>
      <c r="F41" s="36" t="s">
        <v>1753</v>
      </c>
      <c r="G41" s="67">
        <v>3063926</v>
      </c>
      <c r="H41" s="37" t="e">
        <f t="shared" si="0"/>
        <v>#VALUE!</v>
      </c>
      <c r="I41" s="37" t="e">
        <f t="shared" si="2"/>
        <v>#VALUE!</v>
      </c>
      <c r="J41" s="37" t="e">
        <f t="shared" si="1"/>
        <v>#VALUE!</v>
      </c>
      <c r="M41" s="66"/>
    </row>
    <row r="42" spans="1:13" hidden="1" x14ac:dyDescent="0.35">
      <c r="A42" s="2" t="s">
        <v>477</v>
      </c>
      <c r="B42" s="2" t="s">
        <v>790</v>
      </c>
      <c r="C42" s="44" t="s">
        <v>1496</v>
      </c>
      <c r="D42" s="44" t="s">
        <v>1499</v>
      </c>
      <c r="E42" s="44" t="s">
        <v>1570</v>
      </c>
      <c r="F42" s="36" t="s">
        <v>1755</v>
      </c>
      <c r="G42" s="67">
        <v>3063926</v>
      </c>
      <c r="H42" s="37" t="e">
        <f t="shared" si="0"/>
        <v>#VALUE!</v>
      </c>
      <c r="I42" s="37" t="e">
        <f t="shared" si="2"/>
        <v>#VALUE!</v>
      </c>
      <c r="J42" s="37" t="e">
        <f t="shared" si="1"/>
        <v>#VALUE!</v>
      </c>
      <c r="M42" s="66"/>
    </row>
    <row r="43" spans="1:13" hidden="1" x14ac:dyDescent="0.35">
      <c r="A43" s="2" t="s">
        <v>477</v>
      </c>
      <c r="B43" s="2" t="s">
        <v>790</v>
      </c>
      <c r="C43" s="44" t="s">
        <v>1496</v>
      </c>
      <c r="D43" s="44" t="s">
        <v>1499</v>
      </c>
      <c r="E43" s="44" t="s">
        <v>1571</v>
      </c>
      <c r="F43" s="36" t="s">
        <v>1755</v>
      </c>
      <c r="G43" s="67">
        <v>3063926</v>
      </c>
      <c r="H43" s="37" t="e">
        <f t="shared" si="0"/>
        <v>#VALUE!</v>
      </c>
      <c r="I43" s="37" t="e">
        <f t="shared" si="2"/>
        <v>#VALUE!</v>
      </c>
      <c r="J43" s="37" t="e">
        <f t="shared" si="1"/>
        <v>#VALUE!</v>
      </c>
      <c r="M43" s="66"/>
    </row>
    <row r="44" spans="1:13" hidden="1" x14ac:dyDescent="0.35">
      <c r="A44" s="2" t="s">
        <v>477</v>
      </c>
      <c r="B44" s="2" t="s">
        <v>790</v>
      </c>
      <c r="C44" s="44" t="s">
        <v>1496</v>
      </c>
      <c r="D44" s="44" t="s">
        <v>1499</v>
      </c>
      <c r="E44" s="44" t="s">
        <v>1572</v>
      </c>
      <c r="F44" s="36" t="s">
        <v>1755</v>
      </c>
      <c r="G44" s="67">
        <v>3063926</v>
      </c>
      <c r="H44" s="37" t="e">
        <f t="shared" si="0"/>
        <v>#VALUE!</v>
      </c>
      <c r="I44" s="37" t="e">
        <f t="shared" si="2"/>
        <v>#VALUE!</v>
      </c>
      <c r="J44" s="37" t="e">
        <f t="shared" si="1"/>
        <v>#VALUE!</v>
      </c>
      <c r="M44" s="66"/>
    </row>
    <row r="45" spans="1:13" hidden="1" x14ac:dyDescent="0.35">
      <c r="A45" s="2" t="s">
        <v>477</v>
      </c>
      <c r="B45" s="2" t="s">
        <v>790</v>
      </c>
      <c r="C45" s="44" t="s">
        <v>1496</v>
      </c>
      <c r="D45" s="44" t="s">
        <v>1499</v>
      </c>
      <c r="E45" s="44" t="s">
        <v>1573</v>
      </c>
      <c r="F45" s="36" t="s">
        <v>1755</v>
      </c>
      <c r="G45" s="67">
        <v>3063926</v>
      </c>
      <c r="H45" s="37" t="e">
        <f t="shared" si="0"/>
        <v>#VALUE!</v>
      </c>
      <c r="I45" s="37" t="e">
        <f t="shared" si="2"/>
        <v>#VALUE!</v>
      </c>
      <c r="J45" s="37" t="e">
        <f t="shared" si="1"/>
        <v>#VALUE!</v>
      </c>
      <c r="M45" s="66"/>
    </row>
    <row r="46" spans="1:13" hidden="1" x14ac:dyDescent="0.35">
      <c r="A46" s="2" t="s">
        <v>477</v>
      </c>
      <c r="B46" s="2" t="s">
        <v>790</v>
      </c>
      <c r="C46" s="44" t="s">
        <v>1496</v>
      </c>
      <c r="D46" s="44" t="s">
        <v>1499</v>
      </c>
      <c r="E46" s="44" t="s">
        <v>1574</v>
      </c>
      <c r="F46" s="36" t="s">
        <v>1755</v>
      </c>
      <c r="G46" s="67">
        <v>3063926</v>
      </c>
      <c r="H46" s="37" t="e">
        <f t="shared" si="0"/>
        <v>#VALUE!</v>
      </c>
      <c r="I46" s="37" t="e">
        <f t="shared" si="2"/>
        <v>#VALUE!</v>
      </c>
      <c r="J46" s="37" t="e">
        <f t="shared" si="1"/>
        <v>#VALUE!</v>
      </c>
      <c r="M46" s="66"/>
    </row>
    <row r="47" spans="1:13" hidden="1" x14ac:dyDescent="0.35">
      <c r="A47" s="2" t="s">
        <v>477</v>
      </c>
      <c r="B47" s="2" t="s">
        <v>790</v>
      </c>
      <c r="C47" s="44" t="s">
        <v>1496</v>
      </c>
      <c r="D47" s="44" t="s">
        <v>1499</v>
      </c>
      <c r="E47" s="44" t="s">
        <v>1575</v>
      </c>
      <c r="F47" s="36" t="s">
        <v>1755</v>
      </c>
      <c r="G47" s="67">
        <v>3063926</v>
      </c>
      <c r="H47" s="37" t="e">
        <f t="shared" si="0"/>
        <v>#VALUE!</v>
      </c>
      <c r="I47" s="37" t="e">
        <f t="shared" si="2"/>
        <v>#VALUE!</v>
      </c>
      <c r="J47" s="37" t="e">
        <f t="shared" si="1"/>
        <v>#VALUE!</v>
      </c>
      <c r="M47" s="66"/>
    </row>
    <row r="48" spans="1:13" hidden="1" x14ac:dyDescent="0.35">
      <c r="A48" s="2" t="s">
        <v>477</v>
      </c>
      <c r="B48" s="2" t="s">
        <v>790</v>
      </c>
      <c r="C48" s="44" t="s">
        <v>0</v>
      </c>
      <c r="D48" s="44" t="s">
        <v>1</v>
      </c>
      <c r="E48" s="44" t="s">
        <v>1610</v>
      </c>
      <c r="F48" s="36" t="s">
        <v>1739</v>
      </c>
      <c r="G48" s="67">
        <v>52321.2</v>
      </c>
      <c r="H48" s="37">
        <f t="shared" si="0"/>
        <v>26</v>
      </c>
      <c r="I48" s="37" t="str">
        <f t="shared" si="2"/>
        <v>1-90 DAYS</v>
      </c>
      <c r="J48" s="37" t="str">
        <f t="shared" si="1"/>
        <v>0-180 DAYS</v>
      </c>
      <c r="M48" s="66"/>
    </row>
    <row r="49" spans="1:13" hidden="1" x14ac:dyDescent="0.35">
      <c r="A49" s="2" t="s">
        <v>477</v>
      </c>
      <c r="B49" s="2" t="s">
        <v>790</v>
      </c>
      <c r="C49" s="44" t="s">
        <v>263</v>
      </c>
      <c r="D49" s="44" t="s">
        <v>264</v>
      </c>
      <c r="E49" s="44" t="s">
        <v>1619</v>
      </c>
      <c r="F49" s="36" t="s">
        <v>1747</v>
      </c>
      <c r="G49" s="67">
        <v>670565.34</v>
      </c>
      <c r="H49" s="37" t="e">
        <f t="shared" si="0"/>
        <v>#VALUE!</v>
      </c>
      <c r="I49" s="37" t="e">
        <f t="shared" si="2"/>
        <v>#VALUE!</v>
      </c>
      <c r="J49" s="37" t="e">
        <f t="shared" si="1"/>
        <v>#VALUE!</v>
      </c>
      <c r="M49" s="66"/>
    </row>
    <row r="50" spans="1:13" hidden="1" x14ac:dyDescent="0.35">
      <c r="A50" s="2" t="s">
        <v>477</v>
      </c>
      <c r="B50" s="2" t="s">
        <v>790</v>
      </c>
      <c r="C50" s="44" t="s">
        <v>430</v>
      </c>
      <c r="D50" s="44" t="s">
        <v>431</v>
      </c>
      <c r="E50" s="44" t="s">
        <v>1986</v>
      </c>
      <c r="F50" s="36" t="s">
        <v>2013</v>
      </c>
      <c r="G50" s="67">
        <v>78690.48</v>
      </c>
      <c r="H50" s="37" t="e">
        <f t="shared" si="0"/>
        <v>#VALUE!</v>
      </c>
      <c r="I50" s="37" t="e">
        <f t="shared" si="2"/>
        <v>#VALUE!</v>
      </c>
      <c r="J50" s="37" t="e">
        <f t="shared" si="1"/>
        <v>#VALUE!</v>
      </c>
      <c r="M50" s="66"/>
    </row>
    <row r="51" spans="1:13" hidden="1" x14ac:dyDescent="0.35">
      <c r="A51" s="2" t="s">
        <v>477</v>
      </c>
      <c r="B51" s="2" t="s">
        <v>790</v>
      </c>
      <c r="C51" s="44" t="s">
        <v>2032</v>
      </c>
      <c r="D51" s="44" t="s">
        <v>2063</v>
      </c>
      <c r="E51" s="44" t="s">
        <v>2039</v>
      </c>
      <c r="F51" s="36" t="s">
        <v>2259</v>
      </c>
      <c r="G51" s="67">
        <v>2847487.5</v>
      </c>
      <c r="H51" s="37">
        <f t="shared" si="0"/>
        <v>85</v>
      </c>
      <c r="I51" s="37" t="str">
        <f t="shared" si="2"/>
        <v>1-90 DAYS</v>
      </c>
      <c r="J51" s="37" t="str">
        <f t="shared" si="1"/>
        <v>0-180 DAYS</v>
      </c>
      <c r="M51" s="66"/>
    </row>
    <row r="52" spans="1:13" hidden="1" x14ac:dyDescent="0.35">
      <c r="A52" s="2" t="s">
        <v>477</v>
      </c>
      <c r="B52" s="2" t="s">
        <v>790</v>
      </c>
      <c r="C52" s="44" t="s">
        <v>2032</v>
      </c>
      <c r="D52" s="44" t="s">
        <v>2063</v>
      </c>
      <c r="E52" s="44" t="s">
        <v>2040</v>
      </c>
      <c r="F52" s="36" t="s">
        <v>2259</v>
      </c>
      <c r="G52" s="67">
        <v>2847487.5</v>
      </c>
      <c r="H52" s="37">
        <f t="shared" si="0"/>
        <v>85</v>
      </c>
      <c r="I52" s="37" t="str">
        <f t="shared" si="2"/>
        <v>1-90 DAYS</v>
      </c>
      <c r="J52" s="37" t="str">
        <f t="shared" si="1"/>
        <v>0-180 DAYS</v>
      </c>
      <c r="M52" s="66"/>
    </row>
    <row r="53" spans="1:13" hidden="1" x14ac:dyDescent="0.35">
      <c r="A53" s="2" t="s">
        <v>477</v>
      </c>
      <c r="B53" s="2" t="s">
        <v>790</v>
      </c>
      <c r="C53" s="44" t="s">
        <v>2032</v>
      </c>
      <c r="D53" s="44" t="s">
        <v>2063</v>
      </c>
      <c r="E53" s="44" t="s">
        <v>2042</v>
      </c>
      <c r="F53" s="36" t="s">
        <v>2261</v>
      </c>
      <c r="G53" s="67">
        <v>2932787.5</v>
      </c>
      <c r="H53" s="37">
        <f t="shared" si="0"/>
        <v>-6</v>
      </c>
      <c r="I53" s="37" t="str">
        <f t="shared" si="2"/>
        <v>1-90 DAYS</v>
      </c>
      <c r="J53" s="37" t="str">
        <f t="shared" si="1"/>
        <v>0-180 DAYS</v>
      </c>
      <c r="M53" s="66"/>
    </row>
    <row r="54" spans="1:13" hidden="1" x14ac:dyDescent="0.35">
      <c r="A54" s="2" t="s">
        <v>477</v>
      </c>
      <c r="B54" s="2" t="s">
        <v>790</v>
      </c>
      <c r="C54" s="44" t="s">
        <v>2032</v>
      </c>
      <c r="D54" s="44" t="s">
        <v>2063</v>
      </c>
      <c r="E54" s="44" t="s">
        <v>2043</v>
      </c>
      <c r="F54" s="36" t="s">
        <v>2261</v>
      </c>
      <c r="G54" s="67">
        <v>2932615.5</v>
      </c>
      <c r="H54" s="37">
        <f t="shared" si="0"/>
        <v>-6</v>
      </c>
      <c r="I54" s="37" t="str">
        <f t="shared" si="2"/>
        <v>1-90 DAYS</v>
      </c>
      <c r="J54" s="37" t="str">
        <f t="shared" si="1"/>
        <v>0-180 DAYS</v>
      </c>
      <c r="M54" s="66"/>
    </row>
    <row r="55" spans="1:13" hidden="1" x14ac:dyDescent="0.35">
      <c r="A55" s="2" t="s">
        <v>477</v>
      </c>
      <c r="B55" s="2" t="s">
        <v>790</v>
      </c>
      <c r="C55" s="44" t="s">
        <v>2032</v>
      </c>
      <c r="D55" s="44" t="s">
        <v>2063</v>
      </c>
      <c r="E55" s="44" t="s">
        <v>2044</v>
      </c>
      <c r="F55" s="36" t="s">
        <v>2261</v>
      </c>
      <c r="G55" s="67">
        <v>2932615.5</v>
      </c>
      <c r="H55" s="37">
        <f t="shared" si="0"/>
        <v>-6</v>
      </c>
      <c r="I55" s="37" t="str">
        <f t="shared" si="2"/>
        <v>1-90 DAYS</v>
      </c>
      <c r="J55" s="37" t="str">
        <f t="shared" si="1"/>
        <v>0-180 DAYS</v>
      </c>
      <c r="M55" s="66"/>
    </row>
    <row r="56" spans="1:13" hidden="1" x14ac:dyDescent="0.35">
      <c r="A56" s="2" t="s">
        <v>477</v>
      </c>
      <c r="B56" s="2" t="s">
        <v>790</v>
      </c>
      <c r="C56" s="44" t="s">
        <v>2032</v>
      </c>
      <c r="D56" s="44" t="s">
        <v>2063</v>
      </c>
      <c r="E56" s="44" t="s">
        <v>2045</v>
      </c>
      <c r="F56" s="36" t="s">
        <v>2261</v>
      </c>
      <c r="G56" s="67">
        <v>2932615.5</v>
      </c>
      <c r="H56" s="37">
        <f t="shared" si="0"/>
        <v>-6</v>
      </c>
      <c r="I56" s="37" t="str">
        <f t="shared" si="2"/>
        <v>1-90 DAYS</v>
      </c>
      <c r="J56" s="37" t="str">
        <f t="shared" si="1"/>
        <v>0-180 DAYS</v>
      </c>
      <c r="M56" s="66"/>
    </row>
    <row r="57" spans="1:13" hidden="1" x14ac:dyDescent="0.35">
      <c r="A57" s="2" t="s">
        <v>477</v>
      </c>
      <c r="B57" s="2" t="s">
        <v>790</v>
      </c>
      <c r="C57" s="44" t="s">
        <v>2032</v>
      </c>
      <c r="D57" s="44" t="s">
        <v>2063</v>
      </c>
      <c r="E57" s="44" t="s">
        <v>2046</v>
      </c>
      <c r="F57" s="36" t="s">
        <v>2252</v>
      </c>
      <c r="G57" s="67">
        <v>2845074.5</v>
      </c>
      <c r="H57" s="37" t="e">
        <f t="shared" si="0"/>
        <v>#VALUE!</v>
      </c>
      <c r="I57" s="37" t="e">
        <f t="shared" si="2"/>
        <v>#VALUE!</v>
      </c>
      <c r="J57" s="37" t="e">
        <f t="shared" si="1"/>
        <v>#VALUE!</v>
      </c>
      <c r="M57" s="66"/>
    </row>
    <row r="58" spans="1:13" hidden="1" x14ac:dyDescent="0.35">
      <c r="A58" s="2" t="s">
        <v>477</v>
      </c>
      <c r="B58" s="2" t="s">
        <v>790</v>
      </c>
      <c r="C58" s="44" t="s">
        <v>2032</v>
      </c>
      <c r="D58" s="44" t="s">
        <v>2063</v>
      </c>
      <c r="E58" s="44" t="s">
        <v>2047</v>
      </c>
      <c r="F58" s="36" t="s">
        <v>2252</v>
      </c>
      <c r="G58" s="67">
        <v>2845074.5</v>
      </c>
      <c r="H58" s="37" t="e">
        <f t="shared" si="0"/>
        <v>#VALUE!</v>
      </c>
      <c r="I58" s="37" t="e">
        <f t="shared" si="2"/>
        <v>#VALUE!</v>
      </c>
      <c r="J58" s="37" t="e">
        <f t="shared" si="1"/>
        <v>#VALUE!</v>
      </c>
      <c r="M58" s="66"/>
    </row>
    <row r="59" spans="1:13" hidden="1" x14ac:dyDescent="0.35">
      <c r="A59" s="2" t="s">
        <v>477</v>
      </c>
      <c r="B59" s="2" t="s">
        <v>790</v>
      </c>
      <c r="C59" s="44" t="s">
        <v>2032</v>
      </c>
      <c r="D59" s="44" t="s">
        <v>2063</v>
      </c>
      <c r="E59" s="44" t="s">
        <v>2048</v>
      </c>
      <c r="F59" s="36" t="s">
        <v>2252</v>
      </c>
      <c r="G59" s="67">
        <v>2845074.5</v>
      </c>
      <c r="H59" s="37" t="e">
        <f t="shared" si="0"/>
        <v>#VALUE!</v>
      </c>
      <c r="I59" s="37" t="e">
        <f t="shared" si="2"/>
        <v>#VALUE!</v>
      </c>
      <c r="J59" s="37" t="e">
        <f t="shared" si="1"/>
        <v>#VALUE!</v>
      </c>
      <c r="M59" s="66"/>
    </row>
    <row r="60" spans="1:13" x14ac:dyDescent="0.35">
      <c r="A60" s="2" t="s">
        <v>1085</v>
      </c>
      <c r="B60" s="2" t="s">
        <v>790</v>
      </c>
      <c r="C60" s="44" t="s">
        <v>536</v>
      </c>
      <c r="D60" t="s">
        <v>507</v>
      </c>
      <c r="E60" s="44" t="s">
        <v>2074</v>
      </c>
      <c r="F60" s="36" t="s">
        <v>2259</v>
      </c>
      <c r="G60" s="67">
        <v>3006712</v>
      </c>
      <c r="H60" s="37">
        <f t="shared" si="0"/>
        <v>85</v>
      </c>
      <c r="I60" s="37" t="str">
        <f t="shared" ref="I60:I123" si="3">IF(H60&lt;121,"0-120 DAYS",IF(H60&lt;181,"121-180 DAYS","More than 180 Days"))</f>
        <v>0-120 DAYS</v>
      </c>
      <c r="J60" s="37" t="str">
        <f t="shared" si="1"/>
        <v>0-180 DAYS</v>
      </c>
      <c r="L60" t="s">
        <v>1730</v>
      </c>
      <c r="M60" s="66"/>
    </row>
    <row r="61" spans="1:13" x14ac:dyDescent="0.35">
      <c r="A61" s="2" t="s">
        <v>1085</v>
      </c>
      <c r="B61" s="2" t="s">
        <v>790</v>
      </c>
      <c r="C61" s="44" t="s">
        <v>573</v>
      </c>
      <c r="D61" t="s">
        <v>507</v>
      </c>
      <c r="E61" s="44" t="s">
        <v>2076</v>
      </c>
      <c r="F61" s="36" t="s">
        <v>2253</v>
      </c>
      <c r="G61" s="67">
        <v>3139375.23</v>
      </c>
      <c r="H61" s="37">
        <f t="shared" si="0"/>
        <v>55</v>
      </c>
      <c r="I61" s="37" t="str">
        <f t="shared" si="3"/>
        <v>0-120 DAYS</v>
      </c>
      <c r="J61" s="37" t="str">
        <f t="shared" si="1"/>
        <v>0-180 DAYS</v>
      </c>
      <c r="L61" t="s">
        <v>1730</v>
      </c>
      <c r="M61" s="66"/>
    </row>
    <row r="62" spans="1:13" x14ac:dyDescent="0.35">
      <c r="A62" s="2" t="s">
        <v>1085</v>
      </c>
      <c r="B62" s="2" t="s">
        <v>790</v>
      </c>
      <c r="C62" s="44" t="s">
        <v>1246</v>
      </c>
      <c r="D62" t="s">
        <v>507</v>
      </c>
      <c r="E62" s="44" t="s">
        <v>2077</v>
      </c>
      <c r="F62" s="36" t="s">
        <v>2253</v>
      </c>
      <c r="G62" s="67">
        <v>2976020.29</v>
      </c>
      <c r="H62" s="37">
        <f t="shared" si="0"/>
        <v>55</v>
      </c>
      <c r="I62" s="37" t="str">
        <f t="shared" si="3"/>
        <v>0-120 DAYS</v>
      </c>
      <c r="J62" s="37" t="str">
        <f t="shared" si="1"/>
        <v>0-180 DAYS</v>
      </c>
      <c r="L62" t="s">
        <v>1730</v>
      </c>
      <c r="M62" s="66"/>
    </row>
    <row r="63" spans="1:13" x14ac:dyDescent="0.35">
      <c r="A63" s="2" t="s">
        <v>1085</v>
      </c>
      <c r="B63" s="2" t="s">
        <v>790</v>
      </c>
      <c r="C63" s="44" t="s">
        <v>617</v>
      </c>
      <c r="D63" t="s">
        <v>507</v>
      </c>
      <c r="E63" s="44" t="s">
        <v>2078</v>
      </c>
      <c r="F63" s="36" t="s">
        <v>2260</v>
      </c>
      <c r="G63" s="67">
        <f>3991564.29-2563262</f>
        <v>1428302.29</v>
      </c>
      <c r="H63" s="37">
        <f t="shared" si="0"/>
        <v>24</v>
      </c>
      <c r="I63" s="37" t="str">
        <f t="shared" si="3"/>
        <v>0-120 DAYS</v>
      </c>
      <c r="J63" s="37" t="str">
        <f t="shared" si="1"/>
        <v>0-180 DAYS</v>
      </c>
      <c r="L63" t="s">
        <v>1730</v>
      </c>
      <c r="M63" s="66"/>
    </row>
    <row r="64" spans="1:13" x14ac:dyDescent="0.35">
      <c r="A64" s="2" t="s">
        <v>1085</v>
      </c>
      <c r="B64" s="2" t="s">
        <v>790</v>
      </c>
      <c r="C64" s="44" t="s">
        <v>536</v>
      </c>
      <c r="D64" t="s">
        <v>507</v>
      </c>
      <c r="E64" s="44" t="s">
        <v>2079</v>
      </c>
      <c r="F64" s="36" t="s">
        <v>2252</v>
      </c>
      <c r="G64" s="67">
        <v>3286999.62</v>
      </c>
      <c r="H64" s="37" t="e">
        <f t="shared" si="0"/>
        <v>#VALUE!</v>
      </c>
      <c r="I64" s="37" t="e">
        <f t="shared" si="3"/>
        <v>#VALUE!</v>
      </c>
      <c r="J64" s="37" t="e">
        <f t="shared" si="1"/>
        <v>#VALUE!</v>
      </c>
      <c r="L64" t="s">
        <v>1730</v>
      </c>
      <c r="M64" s="66"/>
    </row>
    <row r="65" spans="1:13" x14ac:dyDescent="0.35">
      <c r="A65" s="2" t="s">
        <v>1085</v>
      </c>
      <c r="B65" s="2" t="s">
        <v>790</v>
      </c>
      <c r="C65" s="44" t="s">
        <v>573</v>
      </c>
      <c r="D65" t="s">
        <v>507</v>
      </c>
      <c r="E65" s="44" t="s">
        <v>2081</v>
      </c>
      <c r="F65" s="36" t="s">
        <v>2252</v>
      </c>
      <c r="G65" s="67">
        <v>3016896</v>
      </c>
      <c r="H65" s="37" t="e">
        <f t="shared" si="0"/>
        <v>#VALUE!</v>
      </c>
      <c r="I65" s="37" t="e">
        <f t="shared" si="3"/>
        <v>#VALUE!</v>
      </c>
      <c r="J65" s="37" t="e">
        <f t="shared" si="1"/>
        <v>#VALUE!</v>
      </c>
      <c r="L65" t="s">
        <v>1730</v>
      </c>
      <c r="M65" s="66"/>
    </row>
    <row r="66" spans="1:13" x14ac:dyDescent="0.35">
      <c r="A66" s="2" t="s">
        <v>1085</v>
      </c>
      <c r="B66" s="2" t="s">
        <v>790</v>
      </c>
      <c r="C66" s="44" t="s">
        <v>573</v>
      </c>
      <c r="D66" t="s">
        <v>507</v>
      </c>
      <c r="E66" s="44" t="s">
        <v>2082</v>
      </c>
      <c r="F66" s="36" t="s">
        <v>2252</v>
      </c>
      <c r="G66" s="67">
        <v>3125400.05</v>
      </c>
      <c r="H66" s="37" t="e">
        <f t="shared" si="0"/>
        <v>#VALUE!</v>
      </c>
      <c r="I66" s="37" t="e">
        <f t="shared" si="3"/>
        <v>#VALUE!</v>
      </c>
      <c r="J66" s="37" t="e">
        <f t="shared" si="1"/>
        <v>#VALUE!</v>
      </c>
      <c r="L66" t="s">
        <v>1730</v>
      </c>
      <c r="M66" s="66"/>
    </row>
    <row r="67" spans="1:13" x14ac:dyDescent="0.35">
      <c r="A67" s="2" t="s">
        <v>1085</v>
      </c>
      <c r="B67" s="2" t="s">
        <v>790</v>
      </c>
      <c r="C67" s="44" t="s">
        <v>1246</v>
      </c>
      <c r="D67" t="s">
        <v>507</v>
      </c>
      <c r="E67" s="44" t="s">
        <v>2083</v>
      </c>
      <c r="F67" s="36" t="s">
        <v>2265</v>
      </c>
      <c r="G67" s="67">
        <v>2993427.39</v>
      </c>
      <c r="H67" s="37" t="e">
        <f t="shared" si="0"/>
        <v>#VALUE!</v>
      </c>
      <c r="I67" s="37" t="e">
        <f t="shared" si="3"/>
        <v>#VALUE!</v>
      </c>
      <c r="J67" s="37" t="e">
        <f t="shared" si="1"/>
        <v>#VALUE!</v>
      </c>
      <c r="L67" t="s">
        <v>1730</v>
      </c>
      <c r="M67" s="66"/>
    </row>
    <row r="68" spans="1:13" x14ac:dyDescent="0.35">
      <c r="A68" s="2" t="s">
        <v>1085</v>
      </c>
      <c r="B68" s="2" t="s">
        <v>790</v>
      </c>
      <c r="C68" s="44" t="s">
        <v>2027</v>
      </c>
      <c r="D68" t="s">
        <v>507</v>
      </c>
      <c r="E68" s="44" t="s">
        <v>2087</v>
      </c>
      <c r="F68" s="36" t="s">
        <v>2266</v>
      </c>
      <c r="G68" s="67">
        <v>2247524.0299999998</v>
      </c>
      <c r="H68" s="37" t="e">
        <f t="shared" si="0"/>
        <v>#VALUE!</v>
      </c>
      <c r="I68" s="37" t="e">
        <f t="shared" si="3"/>
        <v>#VALUE!</v>
      </c>
      <c r="J68" s="37" t="e">
        <f t="shared" si="1"/>
        <v>#VALUE!</v>
      </c>
      <c r="L68" t="s">
        <v>1730</v>
      </c>
      <c r="M68" s="66"/>
    </row>
    <row r="69" spans="1:13" x14ac:dyDescent="0.35">
      <c r="A69" s="2" t="s">
        <v>1085</v>
      </c>
      <c r="B69" s="2" t="s">
        <v>790</v>
      </c>
      <c r="C69" s="44" t="s">
        <v>573</v>
      </c>
      <c r="D69" t="s">
        <v>507</v>
      </c>
      <c r="E69" s="44" t="s">
        <v>2088</v>
      </c>
      <c r="F69" s="36" t="s">
        <v>2266</v>
      </c>
      <c r="G69" s="67">
        <v>3804096.96</v>
      </c>
      <c r="H69" s="37" t="e">
        <f t="shared" ref="H69:H132" si="4">$H$2-F69+1</f>
        <v>#VALUE!</v>
      </c>
      <c r="I69" s="37" t="e">
        <f t="shared" si="3"/>
        <v>#VALUE!</v>
      </c>
      <c r="J69" s="37" t="e">
        <f t="shared" si="1"/>
        <v>#VALUE!</v>
      </c>
      <c r="L69" t="s">
        <v>1730</v>
      </c>
      <c r="M69" s="66"/>
    </row>
    <row r="70" spans="1:13" x14ac:dyDescent="0.35">
      <c r="A70" s="2" t="s">
        <v>1085</v>
      </c>
      <c r="B70" s="2" t="s">
        <v>790</v>
      </c>
      <c r="C70" s="44" t="s">
        <v>573</v>
      </c>
      <c r="D70" t="s">
        <v>507</v>
      </c>
      <c r="E70" s="44" t="s">
        <v>2091</v>
      </c>
      <c r="F70" s="36" t="s">
        <v>2267</v>
      </c>
      <c r="G70" s="67">
        <v>4180008.96</v>
      </c>
      <c r="H70" s="37" t="e">
        <f t="shared" si="4"/>
        <v>#VALUE!</v>
      </c>
      <c r="I70" s="37" t="e">
        <f t="shared" si="3"/>
        <v>#VALUE!</v>
      </c>
      <c r="J70" s="37" t="e">
        <f t="shared" ref="J70:J133" si="5">IF(H70&lt;180,"0-180 DAYS","More than 180 Days")</f>
        <v>#VALUE!</v>
      </c>
      <c r="L70" t="s">
        <v>1730</v>
      </c>
      <c r="M70" s="66"/>
    </row>
    <row r="71" spans="1:13" x14ac:dyDescent="0.35">
      <c r="A71" s="2" t="s">
        <v>1085</v>
      </c>
      <c r="B71" s="2" t="s">
        <v>790</v>
      </c>
      <c r="C71" s="44" t="s">
        <v>573</v>
      </c>
      <c r="D71" t="s">
        <v>507</v>
      </c>
      <c r="E71" s="44" t="s">
        <v>2092</v>
      </c>
      <c r="F71" s="36" t="s">
        <v>2267</v>
      </c>
      <c r="G71" s="67">
        <v>2874824.28</v>
      </c>
      <c r="H71" s="37" t="e">
        <f t="shared" si="4"/>
        <v>#VALUE!</v>
      </c>
      <c r="I71" s="37" t="e">
        <f t="shared" si="3"/>
        <v>#VALUE!</v>
      </c>
      <c r="J71" s="37" t="e">
        <f t="shared" si="5"/>
        <v>#VALUE!</v>
      </c>
      <c r="L71" t="s">
        <v>1730</v>
      </c>
      <c r="M71" s="66"/>
    </row>
    <row r="72" spans="1:13" x14ac:dyDescent="0.35">
      <c r="A72" s="2" t="s">
        <v>1085</v>
      </c>
      <c r="B72" s="2" t="s">
        <v>790</v>
      </c>
      <c r="C72" s="44" t="s">
        <v>2027</v>
      </c>
      <c r="D72" t="s">
        <v>507</v>
      </c>
      <c r="E72" s="44" t="s">
        <v>2095</v>
      </c>
      <c r="F72" s="36" t="s">
        <v>2264</v>
      </c>
      <c r="G72" s="67">
        <v>2363362.88</v>
      </c>
      <c r="H72" s="37" t="e">
        <f t="shared" si="4"/>
        <v>#VALUE!</v>
      </c>
      <c r="I72" s="37" t="e">
        <f t="shared" si="3"/>
        <v>#VALUE!</v>
      </c>
      <c r="J72" s="37" t="e">
        <f t="shared" si="5"/>
        <v>#VALUE!</v>
      </c>
      <c r="L72" t="s">
        <v>1730</v>
      </c>
      <c r="M72" s="66"/>
    </row>
    <row r="73" spans="1:13" x14ac:dyDescent="0.35">
      <c r="A73" s="2" t="s">
        <v>1085</v>
      </c>
      <c r="B73" s="2" t="s">
        <v>790</v>
      </c>
      <c r="C73" s="44" t="s">
        <v>573</v>
      </c>
      <c r="D73" t="s">
        <v>507</v>
      </c>
      <c r="E73" s="44" t="s">
        <v>2096</v>
      </c>
      <c r="F73" s="36" t="s">
        <v>2264</v>
      </c>
      <c r="G73" s="67">
        <v>3957707.52</v>
      </c>
      <c r="H73" s="37" t="e">
        <f t="shared" si="4"/>
        <v>#VALUE!</v>
      </c>
      <c r="I73" s="37" t="e">
        <f t="shared" si="3"/>
        <v>#VALUE!</v>
      </c>
      <c r="J73" s="37" t="e">
        <f t="shared" si="5"/>
        <v>#VALUE!</v>
      </c>
      <c r="L73" t="s">
        <v>1730</v>
      </c>
      <c r="M73" s="66"/>
    </row>
    <row r="74" spans="1:13" x14ac:dyDescent="0.35">
      <c r="A74" s="2" t="s">
        <v>1085</v>
      </c>
      <c r="B74" s="2" t="s">
        <v>790</v>
      </c>
      <c r="C74" s="44" t="s">
        <v>538</v>
      </c>
      <c r="D74" t="s">
        <v>507</v>
      </c>
      <c r="E74" s="44" t="s">
        <v>2103</v>
      </c>
      <c r="F74" s="36" t="s">
        <v>2263</v>
      </c>
      <c r="G74" s="67">
        <v>3006104.15</v>
      </c>
      <c r="H74" s="37">
        <f t="shared" si="4"/>
        <v>269</v>
      </c>
      <c r="I74" s="37" t="str">
        <f t="shared" si="3"/>
        <v>More than 180 Days</v>
      </c>
      <c r="J74" s="37" t="str">
        <f t="shared" si="5"/>
        <v>More than 180 Days</v>
      </c>
      <c r="M74" s="66"/>
    </row>
    <row r="75" spans="1:13" x14ac:dyDescent="0.35">
      <c r="A75" s="2" t="s">
        <v>1085</v>
      </c>
      <c r="B75" s="2" t="s">
        <v>790</v>
      </c>
      <c r="C75" s="44" t="s">
        <v>570</v>
      </c>
      <c r="D75" t="s">
        <v>507</v>
      </c>
      <c r="E75" s="44" t="s">
        <v>2104</v>
      </c>
      <c r="F75" s="36" t="s">
        <v>2257</v>
      </c>
      <c r="G75" s="67">
        <v>3009283.2</v>
      </c>
      <c r="H75" s="37">
        <f t="shared" si="4"/>
        <v>238</v>
      </c>
      <c r="I75" s="37" t="str">
        <f t="shared" si="3"/>
        <v>More than 180 Days</v>
      </c>
      <c r="J75" s="37" t="str">
        <f t="shared" si="5"/>
        <v>More than 180 Days</v>
      </c>
      <c r="L75" t="s">
        <v>1730</v>
      </c>
      <c r="M75" s="66"/>
    </row>
    <row r="76" spans="1:13" x14ac:dyDescent="0.35">
      <c r="A76" s="2" t="s">
        <v>1085</v>
      </c>
      <c r="B76" s="2" t="s">
        <v>790</v>
      </c>
      <c r="C76" s="44" t="s">
        <v>570</v>
      </c>
      <c r="D76" t="s">
        <v>507</v>
      </c>
      <c r="E76" s="44" t="s">
        <v>2108</v>
      </c>
      <c r="F76" s="36" t="s">
        <v>2258</v>
      </c>
      <c r="G76" s="67">
        <v>3135984</v>
      </c>
      <c r="H76" s="37">
        <f t="shared" si="4"/>
        <v>116</v>
      </c>
      <c r="I76" s="37" t="str">
        <f t="shared" si="3"/>
        <v>0-120 DAYS</v>
      </c>
      <c r="J76" s="37" t="str">
        <f t="shared" si="5"/>
        <v>0-180 DAYS</v>
      </c>
      <c r="L76" t="s">
        <v>1730</v>
      </c>
      <c r="M76" s="66"/>
    </row>
    <row r="77" spans="1:13" x14ac:dyDescent="0.35">
      <c r="A77" s="2" t="s">
        <v>1085</v>
      </c>
      <c r="B77" s="2" t="s">
        <v>790</v>
      </c>
      <c r="C77" s="44" t="s">
        <v>1091</v>
      </c>
      <c r="D77" t="s">
        <v>507</v>
      </c>
      <c r="E77" s="44" t="s">
        <v>2113</v>
      </c>
      <c r="F77" s="36" t="s">
        <v>2260</v>
      </c>
      <c r="G77" s="67">
        <v>3130426.56</v>
      </c>
      <c r="H77" s="37">
        <f t="shared" si="4"/>
        <v>24</v>
      </c>
      <c r="I77" s="37" t="str">
        <f t="shared" si="3"/>
        <v>0-120 DAYS</v>
      </c>
      <c r="J77" s="37" t="str">
        <f t="shared" si="5"/>
        <v>0-180 DAYS</v>
      </c>
      <c r="L77" t="s">
        <v>1730</v>
      </c>
      <c r="M77" s="66"/>
    </row>
    <row r="78" spans="1:13" x14ac:dyDescent="0.35">
      <c r="A78" s="2" t="s">
        <v>1085</v>
      </c>
      <c r="B78" s="2" t="s">
        <v>790</v>
      </c>
      <c r="C78" s="44" t="s">
        <v>1086</v>
      </c>
      <c r="D78" t="s">
        <v>507</v>
      </c>
      <c r="E78" s="44" t="s">
        <v>2116</v>
      </c>
      <c r="F78" s="36" t="s">
        <v>2268</v>
      </c>
      <c r="G78" s="67">
        <v>761667</v>
      </c>
      <c r="H78" s="37" t="e">
        <f t="shared" si="4"/>
        <v>#VALUE!</v>
      </c>
      <c r="I78" s="37" t="e">
        <f t="shared" si="3"/>
        <v>#VALUE!</v>
      </c>
      <c r="J78" s="37" t="e">
        <f t="shared" si="5"/>
        <v>#VALUE!</v>
      </c>
      <c r="L78" t="s">
        <v>1730</v>
      </c>
      <c r="M78" s="66"/>
    </row>
    <row r="79" spans="1:13" x14ac:dyDescent="0.35">
      <c r="A79" s="2" t="s">
        <v>1085</v>
      </c>
      <c r="B79" s="2" t="s">
        <v>790</v>
      </c>
      <c r="C79" s="44" t="s">
        <v>1086</v>
      </c>
      <c r="D79" t="s">
        <v>507</v>
      </c>
      <c r="E79" s="44" t="s">
        <v>2117</v>
      </c>
      <c r="F79" s="36" t="s">
        <v>2268</v>
      </c>
      <c r="G79" s="67">
        <v>1599537.09</v>
      </c>
      <c r="H79" s="37" t="e">
        <f t="shared" si="4"/>
        <v>#VALUE!</v>
      </c>
      <c r="I79" s="37" t="e">
        <f t="shared" si="3"/>
        <v>#VALUE!</v>
      </c>
      <c r="J79" s="37" t="e">
        <f t="shared" si="5"/>
        <v>#VALUE!</v>
      </c>
      <c r="L79" t="s">
        <v>1730</v>
      </c>
      <c r="M79" s="66"/>
    </row>
    <row r="80" spans="1:13" x14ac:dyDescent="0.35">
      <c r="A80" s="2" t="s">
        <v>1085</v>
      </c>
      <c r="B80" s="2" t="s">
        <v>790</v>
      </c>
      <c r="C80" s="44" t="s">
        <v>1086</v>
      </c>
      <c r="D80" t="s">
        <v>507</v>
      </c>
      <c r="E80" s="44" t="s">
        <v>2118</v>
      </c>
      <c r="F80" s="36" t="s">
        <v>2269</v>
      </c>
      <c r="G80" s="67">
        <v>347311.88</v>
      </c>
      <c r="H80" s="37" t="e">
        <f t="shared" si="4"/>
        <v>#VALUE!</v>
      </c>
      <c r="I80" s="37" t="e">
        <f t="shared" si="3"/>
        <v>#VALUE!</v>
      </c>
      <c r="J80" s="37" t="e">
        <f t="shared" si="5"/>
        <v>#VALUE!</v>
      </c>
      <c r="L80" t="s">
        <v>1730</v>
      </c>
      <c r="M80" s="66"/>
    </row>
    <row r="81" spans="1:13" x14ac:dyDescent="0.35">
      <c r="A81" s="2" t="s">
        <v>1085</v>
      </c>
      <c r="B81" s="2" t="s">
        <v>790</v>
      </c>
      <c r="C81" s="44" t="s">
        <v>570</v>
      </c>
      <c r="D81" t="s">
        <v>507</v>
      </c>
      <c r="E81" s="44" t="s">
        <v>2119</v>
      </c>
      <c r="F81" s="36" t="s">
        <v>2254</v>
      </c>
      <c r="G81" s="67">
        <v>3209421.6</v>
      </c>
      <c r="H81" s="37" t="e">
        <f t="shared" si="4"/>
        <v>#VALUE!</v>
      </c>
      <c r="I81" s="37" t="e">
        <f t="shared" si="3"/>
        <v>#VALUE!</v>
      </c>
      <c r="J81" s="37" t="e">
        <f t="shared" si="5"/>
        <v>#VALUE!</v>
      </c>
      <c r="L81" t="s">
        <v>1730</v>
      </c>
      <c r="M81" s="66"/>
    </row>
    <row r="82" spans="1:13" x14ac:dyDescent="0.35">
      <c r="A82" s="2" t="s">
        <v>1085</v>
      </c>
      <c r="B82" s="2" t="s">
        <v>790</v>
      </c>
      <c r="C82" s="44" t="s">
        <v>1086</v>
      </c>
      <c r="D82" t="s">
        <v>507</v>
      </c>
      <c r="E82" s="44" t="s">
        <v>2120</v>
      </c>
      <c r="F82" s="36" t="s">
        <v>2254</v>
      </c>
      <c r="G82" s="67">
        <v>1939281.9199999999</v>
      </c>
      <c r="H82" s="37" t="e">
        <f t="shared" si="4"/>
        <v>#VALUE!</v>
      </c>
      <c r="I82" s="37" t="e">
        <f t="shared" si="3"/>
        <v>#VALUE!</v>
      </c>
      <c r="J82" s="37" t="e">
        <f t="shared" si="5"/>
        <v>#VALUE!</v>
      </c>
      <c r="L82" t="s">
        <v>1730</v>
      </c>
      <c r="M82" s="66"/>
    </row>
    <row r="83" spans="1:13" x14ac:dyDescent="0.35">
      <c r="A83" s="2" t="s">
        <v>1085</v>
      </c>
      <c r="B83" s="2" t="s">
        <v>790</v>
      </c>
      <c r="C83" s="44" t="s">
        <v>1647</v>
      </c>
      <c r="D83" t="s">
        <v>507</v>
      </c>
      <c r="E83" s="44" t="s">
        <v>2122</v>
      </c>
      <c r="F83" s="36" t="s">
        <v>2265</v>
      </c>
      <c r="G83" s="67">
        <v>2986727.04</v>
      </c>
      <c r="H83" s="37" t="e">
        <f t="shared" si="4"/>
        <v>#VALUE!</v>
      </c>
      <c r="I83" s="37" t="e">
        <f t="shared" si="3"/>
        <v>#VALUE!</v>
      </c>
      <c r="J83" s="37" t="e">
        <f t="shared" si="5"/>
        <v>#VALUE!</v>
      </c>
      <c r="L83" t="s">
        <v>1730</v>
      </c>
      <c r="M83" s="66"/>
    </row>
    <row r="84" spans="1:13" x14ac:dyDescent="0.35">
      <c r="A84" s="2" t="s">
        <v>1085</v>
      </c>
      <c r="B84" s="2" t="s">
        <v>790</v>
      </c>
      <c r="C84" s="44" t="s">
        <v>526</v>
      </c>
      <c r="D84" t="s">
        <v>507</v>
      </c>
      <c r="E84" s="44" t="s">
        <v>2124</v>
      </c>
      <c r="F84" s="36" t="s">
        <v>2255</v>
      </c>
      <c r="G84" s="67">
        <v>5398656</v>
      </c>
      <c r="H84" s="37" t="e">
        <f t="shared" si="4"/>
        <v>#VALUE!</v>
      </c>
      <c r="I84" s="37" t="e">
        <f t="shared" si="3"/>
        <v>#VALUE!</v>
      </c>
      <c r="J84" s="37" t="e">
        <f t="shared" si="5"/>
        <v>#VALUE!</v>
      </c>
      <c r="L84" t="s">
        <v>1730</v>
      </c>
      <c r="M84" s="66"/>
    </row>
    <row r="85" spans="1:13" x14ac:dyDescent="0.35">
      <c r="A85" s="2" t="s">
        <v>1085</v>
      </c>
      <c r="B85" s="2" t="s">
        <v>790</v>
      </c>
      <c r="C85" s="44" t="s">
        <v>1249</v>
      </c>
      <c r="D85" t="s">
        <v>507</v>
      </c>
      <c r="E85" s="44" t="s">
        <v>2125</v>
      </c>
      <c r="F85" s="36" t="s">
        <v>2270</v>
      </c>
      <c r="G85" s="67">
        <v>3298752</v>
      </c>
      <c r="H85" s="37" t="e">
        <f t="shared" si="4"/>
        <v>#VALUE!</v>
      </c>
      <c r="I85" s="37" t="e">
        <f t="shared" si="3"/>
        <v>#VALUE!</v>
      </c>
      <c r="J85" s="37" t="e">
        <f t="shared" si="5"/>
        <v>#VALUE!</v>
      </c>
      <c r="L85" t="s">
        <v>1730</v>
      </c>
      <c r="M85" s="66"/>
    </row>
    <row r="86" spans="1:13" x14ac:dyDescent="0.35">
      <c r="A86" s="2" t="s">
        <v>1085</v>
      </c>
      <c r="B86" s="2" t="s">
        <v>790</v>
      </c>
      <c r="C86" s="44" t="s">
        <v>1249</v>
      </c>
      <c r="D86" t="s">
        <v>507</v>
      </c>
      <c r="E86" s="44" t="s">
        <v>2126</v>
      </c>
      <c r="F86" s="36" t="s">
        <v>2271</v>
      </c>
      <c r="G86" s="67">
        <v>2700631.3</v>
      </c>
      <c r="H86" s="37" t="e">
        <f t="shared" si="4"/>
        <v>#VALUE!</v>
      </c>
      <c r="I86" s="37" t="e">
        <f t="shared" si="3"/>
        <v>#VALUE!</v>
      </c>
      <c r="J86" s="37" t="e">
        <f t="shared" si="5"/>
        <v>#VALUE!</v>
      </c>
      <c r="L86" t="s">
        <v>1730</v>
      </c>
      <c r="M86" s="66"/>
    </row>
    <row r="87" spans="1:13" x14ac:dyDescent="0.35">
      <c r="A87" s="2" t="s">
        <v>1085</v>
      </c>
      <c r="B87" s="2" t="s">
        <v>790</v>
      </c>
      <c r="C87" s="44" t="s">
        <v>1249</v>
      </c>
      <c r="D87" t="s">
        <v>507</v>
      </c>
      <c r="E87" s="44" t="s">
        <v>2127</v>
      </c>
      <c r="F87" s="36" t="s">
        <v>2256</v>
      </c>
      <c r="G87" s="67">
        <v>1786989.6</v>
      </c>
      <c r="H87" s="37" t="e">
        <f t="shared" si="4"/>
        <v>#VALUE!</v>
      </c>
      <c r="I87" s="37" t="e">
        <f t="shared" si="3"/>
        <v>#VALUE!</v>
      </c>
      <c r="J87" s="37" t="e">
        <f t="shared" si="5"/>
        <v>#VALUE!</v>
      </c>
      <c r="L87" t="s">
        <v>1730</v>
      </c>
      <c r="M87" s="66"/>
    </row>
    <row r="88" spans="1:13" x14ac:dyDescent="0.35">
      <c r="A88" s="2" t="s">
        <v>1085</v>
      </c>
      <c r="B88" s="2" t="s">
        <v>790</v>
      </c>
      <c r="C88" s="44" t="s">
        <v>538</v>
      </c>
      <c r="D88" t="s">
        <v>507</v>
      </c>
      <c r="E88" s="44" t="s">
        <v>2131</v>
      </c>
      <c r="F88" s="36" t="s">
        <v>2272</v>
      </c>
      <c r="G88" s="67">
        <v>3105952.2</v>
      </c>
      <c r="H88" s="37" t="e">
        <f t="shared" si="4"/>
        <v>#VALUE!</v>
      </c>
      <c r="I88" s="37" t="e">
        <f t="shared" si="3"/>
        <v>#VALUE!</v>
      </c>
      <c r="J88" s="37" t="e">
        <f t="shared" si="5"/>
        <v>#VALUE!</v>
      </c>
      <c r="L88" t="s">
        <v>1730</v>
      </c>
      <c r="M88" s="66"/>
    </row>
    <row r="89" spans="1:13" x14ac:dyDescent="0.35">
      <c r="A89" s="2" t="s">
        <v>1085</v>
      </c>
      <c r="B89" s="2" t="s">
        <v>790</v>
      </c>
      <c r="C89" s="44" t="s">
        <v>1055</v>
      </c>
      <c r="D89" t="s">
        <v>507</v>
      </c>
      <c r="E89" s="44" t="s">
        <v>2139</v>
      </c>
      <c r="F89" s="36" t="s">
        <v>2271</v>
      </c>
      <c r="G89" s="67">
        <v>3072747.6</v>
      </c>
      <c r="H89" s="37" t="e">
        <f t="shared" si="4"/>
        <v>#VALUE!</v>
      </c>
      <c r="I89" s="37" t="e">
        <f t="shared" si="3"/>
        <v>#VALUE!</v>
      </c>
      <c r="J89" s="37" t="e">
        <f t="shared" si="5"/>
        <v>#VALUE!</v>
      </c>
      <c r="L89" t="s">
        <v>1730</v>
      </c>
      <c r="M89" s="66"/>
    </row>
    <row r="90" spans="1:13" x14ac:dyDescent="0.35">
      <c r="A90" s="2" t="s">
        <v>1085</v>
      </c>
      <c r="B90" s="2" t="s">
        <v>790</v>
      </c>
      <c r="C90" s="44" t="s">
        <v>536</v>
      </c>
      <c r="D90" t="s">
        <v>507</v>
      </c>
      <c r="E90" s="44" t="s">
        <v>769</v>
      </c>
      <c r="F90" s="36" t="s">
        <v>2262</v>
      </c>
      <c r="G90" s="67">
        <v>320076.2</v>
      </c>
      <c r="H90" s="37" t="e">
        <f t="shared" si="4"/>
        <v>#VALUE!</v>
      </c>
      <c r="I90" s="37" t="e">
        <f t="shared" si="3"/>
        <v>#VALUE!</v>
      </c>
      <c r="J90" s="37" t="e">
        <f t="shared" si="5"/>
        <v>#VALUE!</v>
      </c>
      <c r="L90" t="s">
        <v>1730</v>
      </c>
      <c r="M90" s="66"/>
    </row>
    <row r="91" spans="1:13" x14ac:dyDescent="0.35">
      <c r="A91" s="2" t="s">
        <v>1085</v>
      </c>
      <c r="B91" s="2" t="s">
        <v>790</v>
      </c>
      <c r="C91" s="44" t="s">
        <v>548</v>
      </c>
      <c r="D91" t="s">
        <v>507</v>
      </c>
      <c r="E91" s="44" t="s">
        <v>730</v>
      </c>
      <c r="F91" s="36" t="s">
        <v>2262</v>
      </c>
      <c r="G91" s="67">
        <v>3385518.12</v>
      </c>
      <c r="H91" s="37" t="e">
        <f t="shared" si="4"/>
        <v>#VALUE!</v>
      </c>
      <c r="I91" s="37" t="e">
        <f t="shared" si="3"/>
        <v>#VALUE!</v>
      </c>
      <c r="J91" s="37" t="e">
        <f t="shared" si="5"/>
        <v>#VALUE!</v>
      </c>
      <c r="L91" t="s">
        <v>1730</v>
      </c>
      <c r="M91" s="66"/>
    </row>
    <row r="92" spans="1:13" x14ac:dyDescent="0.35">
      <c r="A92" s="2" t="s">
        <v>1085</v>
      </c>
      <c r="B92" s="2" t="s">
        <v>790</v>
      </c>
      <c r="C92" s="44" t="s">
        <v>548</v>
      </c>
      <c r="D92" t="s">
        <v>507</v>
      </c>
      <c r="E92" s="44" t="s">
        <v>734</v>
      </c>
      <c r="F92" s="36" t="s">
        <v>2262</v>
      </c>
      <c r="G92" s="67">
        <v>3339593.1</v>
      </c>
      <c r="H92" s="37" t="e">
        <f t="shared" si="4"/>
        <v>#VALUE!</v>
      </c>
      <c r="I92" s="37" t="e">
        <f t="shared" si="3"/>
        <v>#VALUE!</v>
      </c>
      <c r="J92" s="37" t="e">
        <f t="shared" si="5"/>
        <v>#VALUE!</v>
      </c>
      <c r="L92" t="s">
        <v>1730</v>
      </c>
      <c r="M92" s="66"/>
    </row>
    <row r="93" spans="1:13" x14ac:dyDescent="0.35">
      <c r="A93" s="88" t="s">
        <v>1085</v>
      </c>
      <c r="B93" s="88" t="s">
        <v>790</v>
      </c>
      <c r="C93" t="s">
        <v>536</v>
      </c>
      <c r="D93" s="37" t="s">
        <v>507</v>
      </c>
      <c r="E93" s="18" t="s">
        <v>2274</v>
      </c>
      <c r="F93" s="36" t="s">
        <v>2355</v>
      </c>
      <c r="G93" s="67">
        <v>3251659.51</v>
      </c>
      <c r="H93" s="37">
        <f t="shared" si="4"/>
        <v>297</v>
      </c>
      <c r="I93" s="37" t="str">
        <f t="shared" si="3"/>
        <v>More than 180 Days</v>
      </c>
      <c r="J93" s="37" t="str">
        <f t="shared" si="5"/>
        <v>More than 180 Days</v>
      </c>
      <c r="L93" t="s">
        <v>1730</v>
      </c>
      <c r="M93" s="66"/>
    </row>
    <row r="94" spans="1:13" x14ac:dyDescent="0.35">
      <c r="A94" s="88" t="s">
        <v>1085</v>
      </c>
      <c r="B94" s="88" t="s">
        <v>790</v>
      </c>
      <c r="C94" t="s">
        <v>573</v>
      </c>
      <c r="D94" s="37" t="s">
        <v>507</v>
      </c>
      <c r="E94" s="18" t="s">
        <v>2275</v>
      </c>
      <c r="F94" s="36" t="s">
        <v>2355</v>
      </c>
      <c r="G94" s="67">
        <v>3955524.14</v>
      </c>
      <c r="H94" s="37">
        <f t="shared" si="4"/>
        <v>297</v>
      </c>
      <c r="I94" s="37" t="str">
        <f t="shared" si="3"/>
        <v>More than 180 Days</v>
      </c>
      <c r="J94" s="37" t="str">
        <f t="shared" si="5"/>
        <v>More than 180 Days</v>
      </c>
      <c r="L94" t="s">
        <v>1730</v>
      </c>
      <c r="M94" s="66"/>
    </row>
    <row r="95" spans="1:13" x14ac:dyDescent="0.35">
      <c r="A95" s="88" t="s">
        <v>1085</v>
      </c>
      <c r="B95" s="88" t="s">
        <v>790</v>
      </c>
      <c r="C95" t="s">
        <v>606</v>
      </c>
      <c r="D95" s="37" t="s">
        <v>507</v>
      </c>
      <c r="E95" s="18" t="s">
        <v>2276</v>
      </c>
      <c r="F95" s="36" t="s">
        <v>2356</v>
      </c>
      <c r="G95" s="67">
        <v>282900.64</v>
      </c>
      <c r="H95" s="37">
        <f t="shared" si="4"/>
        <v>146</v>
      </c>
      <c r="I95" s="37" t="str">
        <f t="shared" si="3"/>
        <v>121-180 DAYS</v>
      </c>
      <c r="J95" s="37" t="str">
        <f t="shared" si="5"/>
        <v>0-180 DAYS</v>
      </c>
      <c r="L95" t="s">
        <v>1730</v>
      </c>
      <c r="M95" s="66"/>
    </row>
    <row r="96" spans="1:13" x14ac:dyDescent="0.35">
      <c r="A96" s="88" t="s">
        <v>1085</v>
      </c>
      <c r="B96" s="88" t="s">
        <v>790</v>
      </c>
      <c r="C96" t="s">
        <v>606</v>
      </c>
      <c r="D96" s="37" t="s">
        <v>507</v>
      </c>
      <c r="E96" s="18" t="s">
        <v>2277</v>
      </c>
      <c r="F96" s="36" t="s">
        <v>2356</v>
      </c>
      <c r="G96" s="67">
        <v>2922740.88</v>
      </c>
      <c r="H96" s="37">
        <f t="shared" si="4"/>
        <v>146</v>
      </c>
      <c r="I96" s="37" t="str">
        <f t="shared" si="3"/>
        <v>121-180 DAYS</v>
      </c>
      <c r="J96" s="37" t="str">
        <f t="shared" si="5"/>
        <v>0-180 DAYS</v>
      </c>
      <c r="L96" t="s">
        <v>1730</v>
      </c>
      <c r="M96" s="66"/>
    </row>
    <row r="97" spans="1:13" x14ac:dyDescent="0.35">
      <c r="A97" s="88" t="s">
        <v>1085</v>
      </c>
      <c r="B97" s="88" t="s">
        <v>790</v>
      </c>
      <c r="C97" t="s">
        <v>647</v>
      </c>
      <c r="D97" s="37" t="s">
        <v>507</v>
      </c>
      <c r="E97" s="18" t="s">
        <v>2278</v>
      </c>
      <c r="F97" s="36" t="s">
        <v>2357</v>
      </c>
      <c r="G97" s="67">
        <v>3071561</v>
      </c>
      <c r="H97" s="37">
        <f t="shared" si="4"/>
        <v>54</v>
      </c>
      <c r="I97" s="37" t="str">
        <f t="shared" si="3"/>
        <v>0-120 DAYS</v>
      </c>
      <c r="J97" s="37" t="str">
        <f t="shared" si="5"/>
        <v>0-180 DAYS</v>
      </c>
      <c r="L97" t="s">
        <v>1730</v>
      </c>
      <c r="M97" s="66"/>
    </row>
    <row r="98" spans="1:13" x14ac:dyDescent="0.35">
      <c r="A98" s="88" t="s">
        <v>1085</v>
      </c>
      <c r="B98" s="88" t="s">
        <v>790</v>
      </c>
      <c r="C98" t="s">
        <v>573</v>
      </c>
      <c r="D98" s="37" t="s">
        <v>507</v>
      </c>
      <c r="E98" s="18" t="s">
        <v>2279</v>
      </c>
      <c r="F98" s="36" t="s">
        <v>2357</v>
      </c>
      <c r="G98" s="67">
        <v>4587669.62</v>
      </c>
      <c r="H98" s="37">
        <f t="shared" si="4"/>
        <v>54</v>
      </c>
      <c r="I98" s="37" t="str">
        <f t="shared" si="3"/>
        <v>0-120 DAYS</v>
      </c>
      <c r="J98" s="37" t="str">
        <f t="shared" si="5"/>
        <v>0-180 DAYS</v>
      </c>
      <c r="L98" t="s">
        <v>1730</v>
      </c>
      <c r="M98" s="66"/>
    </row>
    <row r="99" spans="1:13" x14ac:dyDescent="0.35">
      <c r="A99" s="88" t="s">
        <v>1085</v>
      </c>
      <c r="B99" s="88" t="s">
        <v>790</v>
      </c>
      <c r="C99" t="s">
        <v>606</v>
      </c>
      <c r="D99" s="37" t="s">
        <v>507</v>
      </c>
      <c r="E99" s="18" t="s">
        <v>2280</v>
      </c>
      <c r="F99" s="36" t="s">
        <v>2358</v>
      </c>
      <c r="G99" s="67">
        <v>2944613.28</v>
      </c>
      <c r="H99" s="37" t="e">
        <f t="shared" si="4"/>
        <v>#VALUE!</v>
      </c>
      <c r="I99" s="37" t="e">
        <f t="shared" si="3"/>
        <v>#VALUE!</v>
      </c>
      <c r="J99" s="37" t="e">
        <f t="shared" si="5"/>
        <v>#VALUE!</v>
      </c>
      <c r="L99" t="s">
        <v>1730</v>
      </c>
      <c r="M99" s="66"/>
    </row>
    <row r="100" spans="1:13" x14ac:dyDescent="0.35">
      <c r="A100" s="88" t="s">
        <v>1085</v>
      </c>
      <c r="B100" s="88" t="s">
        <v>790</v>
      </c>
      <c r="C100" t="s">
        <v>1086</v>
      </c>
      <c r="D100" s="37" t="s">
        <v>507</v>
      </c>
      <c r="E100" s="18" t="s">
        <v>2281</v>
      </c>
      <c r="F100" s="36" t="s">
        <v>2359</v>
      </c>
      <c r="G100" s="67">
        <v>2292025.14</v>
      </c>
      <c r="H100" s="37" t="e">
        <f t="shared" si="4"/>
        <v>#VALUE!</v>
      </c>
      <c r="I100" s="37" t="e">
        <f t="shared" si="3"/>
        <v>#VALUE!</v>
      </c>
      <c r="J100" s="37" t="e">
        <f t="shared" si="5"/>
        <v>#VALUE!</v>
      </c>
      <c r="L100" t="s">
        <v>1730</v>
      </c>
      <c r="M100" s="66"/>
    </row>
    <row r="101" spans="1:13" x14ac:dyDescent="0.35">
      <c r="A101" s="88" t="s">
        <v>1085</v>
      </c>
      <c r="B101" s="88" t="s">
        <v>790</v>
      </c>
      <c r="C101" t="s">
        <v>1086</v>
      </c>
      <c r="D101" s="37" t="s">
        <v>507</v>
      </c>
      <c r="E101" s="18" t="s">
        <v>2282</v>
      </c>
      <c r="F101" s="36" t="s">
        <v>2359</v>
      </c>
      <c r="G101" s="67">
        <v>309289.89</v>
      </c>
      <c r="H101" s="37" t="e">
        <f t="shared" si="4"/>
        <v>#VALUE!</v>
      </c>
      <c r="I101" s="37" t="e">
        <f t="shared" si="3"/>
        <v>#VALUE!</v>
      </c>
      <c r="J101" s="37" t="e">
        <f t="shared" si="5"/>
        <v>#VALUE!</v>
      </c>
      <c r="L101" t="s">
        <v>1730</v>
      </c>
      <c r="M101" s="66"/>
    </row>
    <row r="102" spans="1:13" x14ac:dyDescent="0.35">
      <c r="A102" s="88" t="s">
        <v>1085</v>
      </c>
      <c r="B102" s="88" t="s">
        <v>790</v>
      </c>
      <c r="C102" t="s">
        <v>1086</v>
      </c>
      <c r="D102" s="37" t="s">
        <v>507</v>
      </c>
      <c r="E102" s="18" t="s">
        <v>2283</v>
      </c>
      <c r="F102" s="36" t="s">
        <v>2359</v>
      </c>
      <c r="G102" s="67">
        <v>33321.440000000002</v>
      </c>
      <c r="H102" s="37" t="e">
        <f t="shared" si="4"/>
        <v>#VALUE!</v>
      </c>
      <c r="I102" s="37" t="e">
        <f t="shared" si="3"/>
        <v>#VALUE!</v>
      </c>
      <c r="J102" s="37" t="e">
        <f t="shared" si="5"/>
        <v>#VALUE!</v>
      </c>
      <c r="L102" t="s">
        <v>1730</v>
      </c>
      <c r="M102" s="66"/>
    </row>
    <row r="103" spans="1:13" x14ac:dyDescent="0.35">
      <c r="A103" s="88" t="s">
        <v>1085</v>
      </c>
      <c r="B103" s="88" t="s">
        <v>790</v>
      </c>
      <c r="C103" t="s">
        <v>1086</v>
      </c>
      <c r="D103" s="37" t="s">
        <v>507</v>
      </c>
      <c r="E103" s="18" t="s">
        <v>2284</v>
      </c>
      <c r="F103" s="36" t="s">
        <v>2360</v>
      </c>
      <c r="G103" s="67">
        <v>1858191.62</v>
      </c>
      <c r="H103" s="37" t="e">
        <f t="shared" si="4"/>
        <v>#VALUE!</v>
      </c>
      <c r="I103" s="37" t="e">
        <f t="shared" si="3"/>
        <v>#VALUE!</v>
      </c>
      <c r="J103" s="37" t="e">
        <f t="shared" si="5"/>
        <v>#VALUE!</v>
      </c>
      <c r="L103" t="s">
        <v>1730</v>
      </c>
      <c r="M103" s="66"/>
    </row>
    <row r="104" spans="1:13" x14ac:dyDescent="0.35">
      <c r="A104" s="88" t="s">
        <v>1085</v>
      </c>
      <c r="B104" s="88" t="s">
        <v>790</v>
      </c>
      <c r="C104" t="s">
        <v>1086</v>
      </c>
      <c r="D104" s="37" t="s">
        <v>507</v>
      </c>
      <c r="E104" s="18" t="s">
        <v>2285</v>
      </c>
      <c r="F104" s="36" t="s">
        <v>2360</v>
      </c>
      <c r="G104" s="67">
        <v>903992.55</v>
      </c>
      <c r="H104" s="37" t="e">
        <f t="shared" si="4"/>
        <v>#VALUE!</v>
      </c>
      <c r="I104" s="37" t="e">
        <f t="shared" si="3"/>
        <v>#VALUE!</v>
      </c>
      <c r="J104" s="37" t="e">
        <f t="shared" si="5"/>
        <v>#VALUE!</v>
      </c>
      <c r="L104" t="s">
        <v>1730</v>
      </c>
      <c r="M104" s="66"/>
    </row>
    <row r="105" spans="1:13" x14ac:dyDescent="0.35">
      <c r="A105" s="88" t="s">
        <v>1085</v>
      </c>
      <c r="B105" s="88" t="s">
        <v>790</v>
      </c>
      <c r="C105" t="s">
        <v>647</v>
      </c>
      <c r="D105" s="37" t="s">
        <v>507</v>
      </c>
      <c r="E105" s="18" t="s">
        <v>2286</v>
      </c>
      <c r="F105" s="36" t="s">
        <v>2361</v>
      </c>
      <c r="G105" s="67">
        <v>3669696</v>
      </c>
      <c r="H105" s="37" t="e">
        <f t="shared" si="4"/>
        <v>#VALUE!</v>
      </c>
      <c r="I105" s="37" t="e">
        <f t="shared" si="3"/>
        <v>#VALUE!</v>
      </c>
      <c r="J105" s="37" t="e">
        <f t="shared" si="5"/>
        <v>#VALUE!</v>
      </c>
      <c r="L105" t="s">
        <v>1730</v>
      </c>
      <c r="M105" s="66"/>
    </row>
    <row r="106" spans="1:13" x14ac:dyDescent="0.35">
      <c r="A106" s="88" t="s">
        <v>1085</v>
      </c>
      <c r="B106" s="88" t="s">
        <v>790</v>
      </c>
      <c r="C106" t="s">
        <v>797</v>
      </c>
      <c r="D106" s="37" t="s">
        <v>507</v>
      </c>
      <c r="E106" s="18" t="s">
        <v>2287</v>
      </c>
      <c r="F106" s="36" t="s">
        <v>2361</v>
      </c>
      <c r="G106" s="67">
        <v>3749472</v>
      </c>
      <c r="H106" s="37" t="e">
        <f t="shared" si="4"/>
        <v>#VALUE!</v>
      </c>
      <c r="I106" s="37" t="e">
        <f t="shared" si="3"/>
        <v>#VALUE!</v>
      </c>
      <c r="J106" s="37" t="e">
        <f t="shared" si="5"/>
        <v>#VALUE!</v>
      </c>
      <c r="L106" t="s">
        <v>1730</v>
      </c>
      <c r="M106" s="66"/>
    </row>
    <row r="107" spans="1:13" x14ac:dyDescent="0.35">
      <c r="A107" s="88" t="s">
        <v>1085</v>
      </c>
      <c r="B107" s="88" t="s">
        <v>790</v>
      </c>
      <c r="C107" t="s">
        <v>667</v>
      </c>
      <c r="D107" s="37" t="s">
        <v>507</v>
      </c>
      <c r="E107" s="18" t="s">
        <v>2288</v>
      </c>
      <c r="F107" s="36" t="s">
        <v>2362</v>
      </c>
      <c r="G107" s="67">
        <v>2915563.5</v>
      </c>
      <c r="H107" s="37" t="e">
        <f t="shared" si="4"/>
        <v>#VALUE!</v>
      </c>
      <c r="I107" s="37" t="e">
        <f t="shared" si="3"/>
        <v>#VALUE!</v>
      </c>
      <c r="J107" s="37" t="e">
        <f t="shared" si="5"/>
        <v>#VALUE!</v>
      </c>
      <c r="L107" t="s">
        <v>1730</v>
      </c>
      <c r="M107" s="66"/>
    </row>
    <row r="108" spans="1:13" x14ac:dyDescent="0.35">
      <c r="A108" s="88" t="s">
        <v>1085</v>
      </c>
      <c r="B108" s="88" t="s">
        <v>790</v>
      </c>
      <c r="C108" t="s">
        <v>600</v>
      </c>
      <c r="D108" s="37" t="s">
        <v>507</v>
      </c>
      <c r="E108" s="18" t="s">
        <v>2289</v>
      </c>
      <c r="F108" s="36" t="s">
        <v>2362</v>
      </c>
      <c r="G108" s="67">
        <v>3521150.6</v>
      </c>
      <c r="H108" s="37" t="e">
        <f t="shared" si="4"/>
        <v>#VALUE!</v>
      </c>
      <c r="I108" s="37" t="e">
        <f t="shared" si="3"/>
        <v>#VALUE!</v>
      </c>
      <c r="J108" s="37" t="e">
        <f t="shared" si="5"/>
        <v>#VALUE!</v>
      </c>
      <c r="L108" t="s">
        <v>1730</v>
      </c>
      <c r="M108" s="66"/>
    </row>
    <row r="109" spans="1:13" x14ac:dyDescent="0.35">
      <c r="A109" s="88" t="s">
        <v>1085</v>
      </c>
      <c r="B109" s="88" t="s">
        <v>790</v>
      </c>
      <c r="C109" t="s">
        <v>536</v>
      </c>
      <c r="D109" s="37" t="s">
        <v>507</v>
      </c>
      <c r="E109" s="18" t="s">
        <v>2290</v>
      </c>
      <c r="F109" s="36" t="s">
        <v>2363</v>
      </c>
      <c r="G109" s="67">
        <v>2843850.15</v>
      </c>
      <c r="H109" s="37" t="e">
        <f t="shared" si="4"/>
        <v>#VALUE!</v>
      </c>
      <c r="I109" s="37" t="e">
        <f t="shared" si="3"/>
        <v>#VALUE!</v>
      </c>
      <c r="J109" s="37" t="e">
        <f t="shared" si="5"/>
        <v>#VALUE!</v>
      </c>
      <c r="L109" t="s">
        <v>1730</v>
      </c>
      <c r="M109" s="66"/>
    </row>
    <row r="110" spans="1:13" x14ac:dyDescent="0.35">
      <c r="A110" s="88" t="s">
        <v>1085</v>
      </c>
      <c r="B110" s="88" t="s">
        <v>790</v>
      </c>
      <c r="C110" t="s">
        <v>530</v>
      </c>
      <c r="D110" s="37" t="s">
        <v>507</v>
      </c>
      <c r="E110" s="18" t="s">
        <v>2291</v>
      </c>
      <c r="F110" s="36" t="s">
        <v>2363</v>
      </c>
      <c r="G110" s="67">
        <v>3757470.37</v>
      </c>
      <c r="H110" s="37" t="e">
        <f t="shared" si="4"/>
        <v>#VALUE!</v>
      </c>
      <c r="I110" s="37" t="e">
        <f t="shared" si="3"/>
        <v>#VALUE!</v>
      </c>
      <c r="J110" s="37" t="e">
        <f t="shared" si="5"/>
        <v>#VALUE!</v>
      </c>
      <c r="L110" t="s">
        <v>1730</v>
      </c>
      <c r="M110" s="66"/>
    </row>
    <row r="111" spans="1:13" x14ac:dyDescent="0.35">
      <c r="A111" s="88" t="s">
        <v>1085</v>
      </c>
      <c r="B111" s="88" t="s">
        <v>790</v>
      </c>
      <c r="C111" t="s">
        <v>598</v>
      </c>
      <c r="D111" s="37" t="s">
        <v>507</v>
      </c>
      <c r="E111" s="18" t="s">
        <v>2292</v>
      </c>
      <c r="F111" s="36" t="s">
        <v>2363</v>
      </c>
      <c r="G111" s="67">
        <v>3620742.16</v>
      </c>
      <c r="H111" s="37" t="e">
        <f t="shared" si="4"/>
        <v>#VALUE!</v>
      </c>
      <c r="I111" s="37" t="e">
        <f t="shared" si="3"/>
        <v>#VALUE!</v>
      </c>
      <c r="J111" s="37" t="e">
        <f t="shared" si="5"/>
        <v>#VALUE!</v>
      </c>
      <c r="L111" t="s">
        <v>1730</v>
      </c>
      <c r="M111" s="66"/>
    </row>
    <row r="112" spans="1:13" x14ac:dyDescent="0.35">
      <c r="A112" s="88" t="s">
        <v>1085</v>
      </c>
      <c r="B112" s="88" t="s">
        <v>790</v>
      </c>
      <c r="C112" t="s">
        <v>600</v>
      </c>
      <c r="D112" s="37" t="s">
        <v>507</v>
      </c>
      <c r="E112" s="18" t="s">
        <v>2293</v>
      </c>
      <c r="F112" s="36" t="s">
        <v>2364</v>
      </c>
      <c r="G112" s="67">
        <v>1633475.93</v>
      </c>
      <c r="H112" s="37" t="e">
        <f t="shared" si="4"/>
        <v>#VALUE!</v>
      </c>
      <c r="I112" s="37" t="e">
        <f t="shared" si="3"/>
        <v>#VALUE!</v>
      </c>
      <c r="J112" s="37" t="e">
        <f t="shared" si="5"/>
        <v>#VALUE!</v>
      </c>
      <c r="L112" t="s">
        <v>1730</v>
      </c>
      <c r="M112" s="66"/>
    </row>
    <row r="113" spans="1:13" x14ac:dyDescent="0.35">
      <c r="A113" s="88" t="s">
        <v>1085</v>
      </c>
      <c r="B113" s="88" t="s">
        <v>790</v>
      </c>
      <c r="C113" t="s">
        <v>1329</v>
      </c>
      <c r="D113" s="37" t="s">
        <v>507</v>
      </c>
      <c r="E113" s="18" t="s">
        <v>2294</v>
      </c>
      <c r="F113" s="36" t="s">
        <v>2364</v>
      </c>
      <c r="G113" s="67">
        <v>3191742.07</v>
      </c>
      <c r="H113" s="37" t="e">
        <f t="shared" si="4"/>
        <v>#VALUE!</v>
      </c>
      <c r="I113" s="37" t="e">
        <f t="shared" si="3"/>
        <v>#VALUE!</v>
      </c>
      <c r="J113" s="37" t="e">
        <f t="shared" si="5"/>
        <v>#VALUE!</v>
      </c>
      <c r="L113" t="s">
        <v>1730</v>
      </c>
      <c r="M113" s="66"/>
    </row>
    <row r="114" spans="1:13" x14ac:dyDescent="0.35">
      <c r="A114" s="88" t="s">
        <v>1085</v>
      </c>
      <c r="B114" s="88" t="s">
        <v>790</v>
      </c>
      <c r="C114" t="s">
        <v>538</v>
      </c>
      <c r="D114" s="37" t="s">
        <v>507</v>
      </c>
      <c r="E114" s="18" t="s">
        <v>2295</v>
      </c>
      <c r="F114" s="36" t="s">
        <v>2365</v>
      </c>
      <c r="G114" s="67">
        <v>3211573.63</v>
      </c>
      <c r="H114" s="37" t="e">
        <f t="shared" si="4"/>
        <v>#VALUE!</v>
      </c>
      <c r="I114" s="37" t="e">
        <f t="shared" si="3"/>
        <v>#VALUE!</v>
      </c>
      <c r="J114" s="37" t="e">
        <f t="shared" si="5"/>
        <v>#VALUE!</v>
      </c>
      <c r="L114" t="s">
        <v>1730</v>
      </c>
      <c r="M114" s="66"/>
    </row>
    <row r="115" spans="1:13" x14ac:dyDescent="0.35">
      <c r="A115" s="88" t="s">
        <v>1085</v>
      </c>
      <c r="B115" s="88" t="s">
        <v>790</v>
      </c>
      <c r="C115" t="s">
        <v>1086</v>
      </c>
      <c r="D115" s="37" t="s">
        <v>507</v>
      </c>
      <c r="E115" s="18" t="s">
        <v>2296</v>
      </c>
      <c r="F115" s="36" t="s">
        <v>2366</v>
      </c>
      <c r="G115" s="67">
        <v>28329.72</v>
      </c>
      <c r="H115" s="37">
        <f t="shared" si="4"/>
        <v>207</v>
      </c>
      <c r="I115" s="37" t="str">
        <f t="shared" si="3"/>
        <v>More than 180 Days</v>
      </c>
      <c r="J115" s="37" t="str">
        <f t="shared" si="5"/>
        <v>More than 180 Days</v>
      </c>
      <c r="L115" t="s">
        <v>1730</v>
      </c>
      <c r="M115" s="66"/>
    </row>
    <row r="116" spans="1:13" x14ac:dyDescent="0.35">
      <c r="A116" s="88" t="s">
        <v>1085</v>
      </c>
      <c r="B116" s="88" t="s">
        <v>790</v>
      </c>
      <c r="C116" t="s">
        <v>1086</v>
      </c>
      <c r="D116" s="37" t="s">
        <v>507</v>
      </c>
      <c r="E116" s="18" t="s">
        <v>2297</v>
      </c>
      <c r="F116" s="36" t="s">
        <v>2366</v>
      </c>
      <c r="G116" s="67">
        <v>2313321.96</v>
      </c>
      <c r="H116" s="37">
        <f t="shared" si="4"/>
        <v>207</v>
      </c>
      <c r="I116" s="37" t="str">
        <f t="shared" si="3"/>
        <v>More than 180 Days</v>
      </c>
      <c r="J116" s="37" t="str">
        <f t="shared" si="5"/>
        <v>More than 180 Days</v>
      </c>
      <c r="L116" t="s">
        <v>1730</v>
      </c>
      <c r="M116" s="66"/>
    </row>
    <row r="117" spans="1:13" x14ac:dyDescent="0.35">
      <c r="A117" s="88" t="s">
        <v>1085</v>
      </c>
      <c r="B117" s="88" t="s">
        <v>790</v>
      </c>
      <c r="C117" t="s">
        <v>2273</v>
      </c>
      <c r="D117" s="37" t="s">
        <v>507</v>
      </c>
      <c r="E117" s="18" t="s">
        <v>2298</v>
      </c>
      <c r="F117" s="36" t="s">
        <v>2366</v>
      </c>
      <c r="G117" s="67">
        <v>2331128.15</v>
      </c>
      <c r="H117" s="37">
        <f t="shared" si="4"/>
        <v>207</v>
      </c>
      <c r="I117" s="37" t="str">
        <f t="shared" si="3"/>
        <v>More than 180 Days</v>
      </c>
      <c r="J117" s="37" t="str">
        <f t="shared" si="5"/>
        <v>More than 180 Days</v>
      </c>
      <c r="L117" t="s">
        <v>1730</v>
      </c>
      <c r="M117" s="66"/>
    </row>
    <row r="118" spans="1:13" x14ac:dyDescent="0.35">
      <c r="A118" s="88" t="s">
        <v>1085</v>
      </c>
      <c r="B118" s="88" t="s">
        <v>790</v>
      </c>
      <c r="C118" t="s">
        <v>564</v>
      </c>
      <c r="D118" s="37" t="s">
        <v>507</v>
      </c>
      <c r="E118" s="18" t="s">
        <v>2299</v>
      </c>
      <c r="F118" s="36" t="s">
        <v>2366</v>
      </c>
      <c r="G118" s="67">
        <v>1927732.85</v>
      </c>
      <c r="H118" s="37">
        <f t="shared" si="4"/>
        <v>207</v>
      </c>
      <c r="I118" s="37" t="str">
        <f t="shared" si="3"/>
        <v>More than 180 Days</v>
      </c>
      <c r="J118" s="37" t="str">
        <f t="shared" si="5"/>
        <v>More than 180 Days</v>
      </c>
      <c r="L118" t="s">
        <v>1730</v>
      </c>
      <c r="M118" s="66"/>
    </row>
    <row r="119" spans="1:13" x14ac:dyDescent="0.35">
      <c r="A119" s="88" t="s">
        <v>1085</v>
      </c>
      <c r="B119" s="88" t="s">
        <v>790</v>
      </c>
      <c r="C119" t="s">
        <v>570</v>
      </c>
      <c r="D119" s="37" t="s">
        <v>507</v>
      </c>
      <c r="E119" s="18" t="s">
        <v>2300</v>
      </c>
      <c r="F119" s="36" t="s">
        <v>2367</v>
      </c>
      <c r="G119" s="67">
        <v>1658706.71</v>
      </c>
      <c r="H119" s="37">
        <f t="shared" si="4"/>
        <v>84</v>
      </c>
      <c r="I119" s="37" t="str">
        <f t="shared" si="3"/>
        <v>0-120 DAYS</v>
      </c>
      <c r="J119" s="37" t="str">
        <f t="shared" si="5"/>
        <v>0-180 DAYS</v>
      </c>
      <c r="L119" t="s">
        <v>1730</v>
      </c>
      <c r="M119" s="66"/>
    </row>
    <row r="120" spans="1:13" x14ac:dyDescent="0.35">
      <c r="A120" s="88" t="s">
        <v>1085</v>
      </c>
      <c r="B120" s="88" t="s">
        <v>790</v>
      </c>
      <c r="C120" t="s">
        <v>728</v>
      </c>
      <c r="D120" s="37" t="s">
        <v>507</v>
      </c>
      <c r="E120" s="18" t="s">
        <v>2301</v>
      </c>
      <c r="F120" s="36" t="s">
        <v>2367</v>
      </c>
      <c r="G120" s="67">
        <v>3193618.95</v>
      </c>
      <c r="H120" s="37">
        <f t="shared" si="4"/>
        <v>84</v>
      </c>
      <c r="I120" s="37" t="str">
        <f t="shared" si="3"/>
        <v>0-120 DAYS</v>
      </c>
      <c r="J120" s="37" t="str">
        <f t="shared" si="5"/>
        <v>0-180 DAYS</v>
      </c>
      <c r="L120" t="s">
        <v>1730</v>
      </c>
      <c r="M120" s="66"/>
    </row>
    <row r="121" spans="1:13" x14ac:dyDescent="0.35">
      <c r="A121" s="88" t="s">
        <v>1085</v>
      </c>
      <c r="B121" s="88" t="s">
        <v>790</v>
      </c>
      <c r="C121" t="s">
        <v>761</v>
      </c>
      <c r="D121" s="37" t="s">
        <v>507</v>
      </c>
      <c r="E121" s="18" t="s">
        <v>2302</v>
      </c>
      <c r="F121" s="36" t="s">
        <v>2357</v>
      </c>
      <c r="G121" s="67">
        <v>989072.8</v>
      </c>
      <c r="H121" s="37">
        <f t="shared" si="4"/>
        <v>54</v>
      </c>
      <c r="I121" s="37" t="str">
        <f t="shared" si="3"/>
        <v>0-120 DAYS</v>
      </c>
      <c r="J121" s="37" t="str">
        <f t="shared" si="5"/>
        <v>0-180 DAYS</v>
      </c>
      <c r="L121" t="s">
        <v>1730</v>
      </c>
      <c r="M121" s="66"/>
    </row>
    <row r="122" spans="1:13" x14ac:dyDescent="0.35">
      <c r="A122" s="88" t="s">
        <v>1085</v>
      </c>
      <c r="B122" s="88" t="s">
        <v>790</v>
      </c>
      <c r="C122" t="s">
        <v>1249</v>
      </c>
      <c r="D122" s="37" t="s">
        <v>507</v>
      </c>
      <c r="E122" s="18" t="s">
        <v>2303</v>
      </c>
      <c r="F122" s="36" t="s">
        <v>2368</v>
      </c>
      <c r="G122" s="67">
        <v>3300744</v>
      </c>
      <c r="H122" s="37">
        <f t="shared" si="4"/>
        <v>-7</v>
      </c>
      <c r="I122" s="37" t="str">
        <f t="shared" si="3"/>
        <v>0-120 DAYS</v>
      </c>
      <c r="J122" s="37" t="str">
        <f t="shared" si="5"/>
        <v>0-180 DAYS</v>
      </c>
      <c r="L122" t="s">
        <v>1730</v>
      </c>
      <c r="M122" s="66"/>
    </row>
    <row r="123" spans="1:13" x14ac:dyDescent="0.35">
      <c r="A123" s="88" t="s">
        <v>1085</v>
      </c>
      <c r="B123" s="88" t="s">
        <v>790</v>
      </c>
      <c r="C123" t="s">
        <v>564</v>
      </c>
      <c r="D123" s="37" t="s">
        <v>507</v>
      </c>
      <c r="E123" s="18" t="s">
        <v>2304</v>
      </c>
      <c r="F123" s="36" t="s">
        <v>2358</v>
      </c>
      <c r="G123" s="67">
        <v>2917924.08</v>
      </c>
      <c r="H123" s="37" t="e">
        <f t="shared" si="4"/>
        <v>#VALUE!</v>
      </c>
      <c r="I123" s="37" t="e">
        <f t="shared" si="3"/>
        <v>#VALUE!</v>
      </c>
      <c r="J123" s="37" t="e">
        <f t="shared" si="5"/>
        <v>#VALUE!</v>
      </c>
      <c r="L123" t="s">
        <v>1730</v>
      </c>
      <c r="M123" s="66"/>
    </row>
    <row r="124" spans="1:13" x14ac:dyDescent="0.35">
      <c r="A124" s="88" t="s">
        <v>1085</v>
      </c>
      <c r="B124" s="88" t="s">
        <v>790</v>
      </c>
      <c r="C124" t="s">
        <v>1249</v>
      </c>
      <c r="D124" s="37" t="s">
        <v>507</v>
      </c>
      <c r="E124" s="18" t="s">
        <v>2305</v>
      </c>
      <c r="F124" s="36" t="s">
        <v>2360</v>
      </c>
      <c r="G124" s="67">
        <v>3310704</v>
      </c>
      <c r="H124" s="37" t="e">
        <f t="shared" si="4"/>
        <v>#VALUE!</v>
      </c>
      <c r="I124" s="37" t="e">
        <f t="shared" ref="I124:I140" si="6">IF(H124&lt;121,"0-120 DAYS",IF(H124&lt;181,"121-180 DAYS","More than 180 Days"))</f>
        <v>#VALUE!</v>
      </c>
      <c r="J124" s="37" t="e">
        <f t="shared" si="5"/>
        <v>#VALUE!</v>
      </c>
      <c r="L124" t="s">
        <v>1730</v>
      </c>
      <c r="M124" s="66"/>
    </row>
    <row r="125" spans="1:13" x14ac:dyDescent="0.35">
      <c r="A125" s="88" t="s">
        <v>1085</v>
      </c>
      <c r="B125" s="88" t="s">
        <v>790</v>
      </c>
      <c r="C125" t="s">
        <v>728</v>
      </c>
      <c r="D125" s="37" t="s">
        <v>507</v>
      </c>
      <c r="E125" s="18" t="s">
        <v>2306</v>
      </c>
      <c r="F125" s="36" t="s">
        <v>2360</v>
      </c>
      <c r="G125" s="67">
        <v>3186054</v>
      </c>
      <c r="H125" s="37" t="e">
        <f t="shared" si="4"/>
        <v>#VALUE!</v>
      </c>
      <c r="I125" s="37" t="e">
        <f t="shared" si="6"/>
        <v>#VALUE!</v>
      </c>
      <c r="J125" s="37" t="e">
        <f t="shared" si="5"/>
        <v>#VALUE!</v>
      </c>
      <c r="L125" t="s">
        <v>1730</v>
      </c>
      <c r="M125" s="66"/>
    </row>
    <row r="126" spans="1:13" x14ac:dyDescent="0.35">
      <c r="A126" s="88" t="s">
        <v>1085</v>
      </c>
      <c r="B126" s="88" t="s">
        <v>790</v>
      </c>
      <c r="C126" t="s">
        <v>1249</v>
      </c>
      <c r="D126" s="37" t="s">
        <v>507</v>
      </c>
      <c r="E126" s="18" t="s">
        <v>2307</v>
      </c>
      <c r="F126" s="36" t="s">
        <v>2369</v>
      </c>
      <c r="G126" s="67">
        <v>3400452</v>
      </c>
      <c r="H126" s="37" t="e">
        <f t="shared" si="4"/>
        <v>#VALUE!</v>
      </c>
      <c r="I126" s="37" t="e">
        <f t="shared" si="6"/>
        <v>#VALUE!</v>
      </c>
      <c r="J126" s="37" t="e">
        <f t="shared" si="5"/>
        <v>#VALUE!</v>
      </c>
      <c r="L126" t="s">
        <v>1730</v>
      </c>
      <c r="M126" s="66"/>
    </row>
    <row r="127" spans="1:13" x14ac:dyDescent="0.35">
      <c r="A127" s="88" t="s">
        <v>1085</v>
      </c>
      <c r="B127" s="88" t="s">
        <v>790</v>
      </c>
      <c r="C127" t="s">
        <v>564</v>
      </c>
      <c r="D127" s="37" t="s">
        <v>507</v>
      </c>
      <c r="E127" s="18" t="s">
        <v>2308</v>
      </c>
      <c r="F127" s="36" t="s">
        <v>2369</v>
      </c>
      <c r="G127" s="67">
        <v>3123481.25</v>
      </c>
      <c r="H127" s="37" t="e">
        <f t="shared" si="4"/>
        <v>#VALUE!</v>
      </c>
      <c r="I127" s="37" t="e">
        <f t="shared" si="6"/>
        <v>#VALUE!</v>
      </c>
      <c r="J127" s="37" t="e">
        <f t="shared" si="5"/>
        <v>#VALUE!</v>
      </c>
      <c r="L127" t="s">
        <v>1730</v>
      </c>
      <c r="M127" s="66"/>
    </row>
    <row r="128" spans="1:13" x14ac:dyDescent="0.35">
      <c r="A128" s="88" t="s">
        <v>1085</v>
      </c>
      <c r="B128" s="88" t="s">
        <v>790</v>
      </c>
      <c r="C128" t="s">
        <v>575</v>
      </c>
      <c r="D128" s="37" t="s">
        <v>507</v>
      </c>
      <c r="E128" s="18" t="s">
        <v>2309</v>
      </c>
      <c r="F128" s="36" t="s">
        <v>2370</v>
      </c>
      <c r="G128" s="67">
        <v>3903220.08</v>
      </c>
      <c r="H128" s="37" t="e">
        <f t="shared" si="4"/>
        <v>#VALUE!</v>
      </c>
      <c r="I128" s="37" t="e">
        <f t="shared" si="6"/>
        <v>#VALUE!</v>
      </c>
      <c r="J128" s="37" t="e">
        <f t="shared" si="5"/>
        <v>#VALUE!</v>
      </c>
      <c r="L128" t="s">
        <v>1730</v>
      </c>
      <c r="M128" s="66"/>
    </row>
    <row r="129" spans="1:13" x14ac:dyDescent="0.35">
      <c r="A129" s="88" t="s">
        <v>1085</v>
      </c>
      <c r="B129" s="88" t="s">
        <v>790</v>
      </c>
      <c r="C129" t="s">
        <v>570</v>
      </c>
      <c r="D129" s="37" t="s">
        <v>507</v>
      </c>
      <c r="E129" s="18" t="s">
        <v>2310</v>
      </c>
      <c r="F129" s="36" t="s">
        <v>2363</v>
      </c>
      <c r="G129" s="67">
        <v>3151152</v>
      </c>
      <c r="H129" s="37" t="e">
        <f t="shared" si="4"/>
        <v>#VALUE!</v>
      </c>
      <c r="I129" s="37" t="e">
        <f t="shared" si="6"/>
        <v>#VALUE!</v>
      </c>
      <c r="J129" s="37" t="e">
        <f t="shared" si="5"/>
        <v>#VALUE!</v>
      </c>
      <c r="L129" t="s">
        <v>1730</v>
      </c>
      <c r="M129" s="66"/>
    </row>
    <row r="130" spans="1:13" x14ac:dyDescent="0.35">
      <c r="A130" s="88" t="s">
        <v>1085</v>
      </c>
      <c r="B130" s="88" t="s">
        <v>790</v>
      </c>
      <c r="C130" t="s">
        <v>570</v>
      </c>
      <c r="D130" s="37" t="s">
        <v>507</v>
      </c>
      <c r="E130" s="18" t="s">
        <v>2311</v>
      </c>
      <c r="F130" s="36" t="s">
        <v>2353</v>
      </c>
      <c r="G130" s="67">
        <v>3378912.48</v>
      </c>
      <c r="H130" s="37" t="e">
        <f t="shared" si="4"/>
        <v>#VALUE!</v>
      </c>
      <c r="I130" s="37" t="e">
        <f t="shared" si="6"/>
        <v>#VALUE!</v>
      </c>
      <c r="J130" s="37" t="e">
        <f t="shared" si="5"/>
        <v>#VALUE!</v>
      </c>
      <c r="L130" t="s">
        <v>1730</v>
      </c>
      <c r="M130" s="66"/>
    </row>
    <row r="131" spans="1:13" x14ac:dyDescent="0.35">
      <c r="A131" s="88" t="s">
        <v>1085</v>
      </c>
      <c r="B131" s="88" t="s">
        <v>790</v>
      </c>
      <c r="C131" t="s">
        <v>1647</v>
      </c>
      <c r="D131" s="37" t="s">
        <v>507</v>
      </c>
      <c r="E131" s="18" t="s">
        <v>2312</v>
      </c>
      <c r="F131" s="36" t="s">
        <v>2353</v>
      </c>
      <c r="G131" s="67">
        <v>2976430.09</v>
      </c>
      <c r="H131" s="37" t="e">
        <f t="shared" si="4"/>
        <v>#VALUE!</v>
      </c>
      <c r="I131" s="37" t="e">
        <f t="shared" si="6"/>
        <v>#VALUE!</v>
      </c>
      <c r="J131" s="37" t="e">
        <f t="shared" si="5"/>
        <v>#VALUE!</v>
      </c>
      <c r="L131" t="s">
        <v>1730</v>
      </c>
      <c r="M131" s="66"/>
    </row>
    <row r="132" spans="1:13" x14ac:dyDescent="0.35">
      <c r="A132" s="88" t="s">
        <v>1085</v>
      </c>
      <c r="B132" s="88" t="s">
        <v>790</v>
      </c>
      <c r="C132" t="s">
        <v>570</v>
      </c>
      <c r="D132" s="37" t="s">
        <v>507</v>
      </c>
      <c r="E132" s="18" t="s">
        <v>2313</v>
      </c>
      <c r="F132" s="36" t="s">
        <v>2364</v>
      </c>
      <c r="G132" s="67">
        <v>3151152</v>
      </c>
      <c r="H132" s="37" t="e">
        <f t="shared" si="4"/>
        <v>#VALUE!</v>
      </c>
      <c r="I132" s="37" t="e">
        <f t="shared" si="6"/>
        <v>#VALUE!</v>
      </c>
      <c r="J132" s="37" t="e">
        <f t="shared" si="5"/>
        <v>#VALUE!</v>
      </c>
      <c r="L132" t="s">
        <v>1730</v>
      </c>
      <c r="M132" s="66"/>
    </row>
    <row r="133" spans="1:13" x14ac:dyDescent="0.35">
      <c r="A133" s="88" t="s">
        <v>1085</v>
      </c>
      <c r="B133" s="88" t="s">
        <v>790</v>
      </c>
      <c r="C133" t="s">
        <v>1086</v>
      </c>
      <c r="D133" s="37" t="s">
        <v>507</v>
      </c>
      <c r="E133" s="18" t="s">
        <v>2314</v>
      </c>
      <c r="F133" s="36" t="s">
        <v>2354</v>
      </c>
      <c r="G133" s="67">
        <v>2778009.73</v>
      </c>
      <c r="H133" s="37" t="e">
        <f t="shared" ref="H133:H196" si="7">$H$2-F133+1</f>
        <v>#VALUE!</v>
      </c>
      <c r="I133" s="37" t="e">
        <f t="shared" si="6"/>
        <v>#VALUE!</v>
      </c>
      <c r="J133" s="37" t="e">
        <f t="shared" si="5"/>
        <v>#VALUE!</v>
      </c>
      <c r="L133" t="s">
        <v>1730</v>
      </c>
      <c r="M133" s="66"/>
    </row>
    <row r="134" spans="1:13" x14ac:dyDescent="0.35">
      <c r="A134" s="88" t="s">
        <v>1085</v>
      </c>
      <c r="B134" s="88" t="s">
        <v>790</v>
      </c>
      <c r="C134" t="s">
        <v>1086</v>
      </c>
      <c r="D134" s="37" t="s">
        <v>507</v>
      </c>
      <c r="E134" s="18" t="s">
        <v>2315</v>
      </c>
      <c r="F134" s="36" t="s">
        <v>2371</v>
      </c>
      <c r="G134" s="67">
        <v>30597.42</v>
      </c>
      <c r="H134" s="37" t="e">
        <f t="shared" si="7"/>
        <v>#VALUE!</v>
      </c>
      <c r="I134" s="37" t="e">
        <f t="shared" si="6"/>
        <v>#VALUE!</v>
      </c>
      <c r="J134" s="37" t="e">
        <f t="shared" ref="J134:J197" si="8">IF(H134&lt;180,"0-180 DAYS","More than 180 Days")</f>
        <v>#VALUE!</v>
      </c>
      <c r="L134" t="s">
        <v>1730</v>
      </c>
      <c r="M134" s="66"/>
    </row>
    <row r="135" spans="1:13" x14ac:dyDescent="0.35">
      <c r="A135" s="88" t="s">
        <v>1085</v>
      </c>
      <c r="B135" s="88" t="s">
        <v>790</v>
      </c>
      <c r="C135" t="s">
        <v>1086</v>
      </c>
      <c r="D135" s="37" t="s">
        <v>507</v>
      </c>
      <c r="E135" s="18" t="s">
        <v>2316</v>
      </c>
      <c r="F135" s="36" t="s">
        <v>2371</v>
      </c>
      <c r="G135" s="67">
        <v>53803.1</v>
      </c>
      <c r="H135" s="37" t="e">
        <f t="shared" si="7"/>
        <v>#VALUE!</v>
      </c>
      <c r="I135" s="37" t="e">
        <f t="shared" si="6"/>
        <v>#VALUE!</v>
      </c>
      <c r="J135" s="37" t="e">
        <f t="shared" si="8"/>
        <v>#VALUE!</v>
      </c>
      <c r="L135" t="s">
        <v>1730</v>
      </c>
      <c r="M135" s="66"/>
    </row>
    <row r="136" spans="1:13" x14ac:dyDescent="0.35">
      <c r="A136" s="88" t="s">
        <v>1085</v>
      </c>
      <c r="B136" s="88" t="s">
        <v>790</v>
      </c>
      <c r="C136" t="s">
        <v>1086</v>
      </c>
      <c r="D136" s="37" t="s">
        <v>507</v>
      </c>
      <c r="E136" s="18" t="s">
        <v>2317</v>
      </c>
      <c r="F136" s="36" t="s">
        <v>2371</v>
      </c>
      <c r="G136" s="67">
        <v>2586163.41</v>
      </c>
      <c r="H136" s="37" t="e">
        <f t="shared" si="7"/>
        <v>#VALUE!</v>
      </c>
      <c r="I136" s="37" t="e">
        <f t="shared" si="6"/>
        <v>#VALUE!</v>
      </c>
      <c r="J136" s="37" t="e">
        <f t="shared" si="8"/>
        <v>#VALUE!</v>
      </c>
      <c r="L136" t="s">
        <v>1730</v>
      </c>
      <c r="M136" s="66"/>
    </row>
    <row r="137" spans="1:13" x14ac:dyDescent="0.35">
      <c r="A137" s="88" t="s">
        <v>1085</v>
      </c>
      <c r="B137" s="88" t="s">
        <v>790</v>
      </c>
      <c r="C137" t="s">
        <v>678</v>
      </c>
      <c r="D137" s="37" t="s">
        <v>507</v>
      </c>
      <c r="E137" s="18" t="s">
        <v>2318</v>
      </c>
      <c r="F137" s="36" t="s">
        <v>2367</v>
      </c>
      <c r="G137" s="67">
        <v>299454.84999999998</v>
      </c>
      <c r="H137" s="37">
        <f t="shared" si="7"/>
        <v>84</v>
      </c>
      <c r="I137" s="37" t="str">
        <f t="shared" si="6"/>
        <v>0-120 DAYS</v>
      </c>
      <c r="J137" s="37" t="str">
        <f t="shared" si="8"/>
        <v>0-180 DAYS</v>
      </c>
      <c r="L137" t="s">
        <v>1730</v>
      </c>
      <c r="M137" s="66"/>
    </row>
    <row r="138" spans="1:13" x14ac:dyDescent="0.35">
      <c r="A138" s="88" t="s">
        <v>1085</v>
      </c>
      <c r="B138" s="88" t="s">
        <v>790</v>
      </c>
      <c r="C138" t="s">
        <v>1330</v>
      </c>
      <c r="D138" s="37" t="s">
        <v>507</v>
      </c>
      <c r="E138" s="18" t="s">
        <v>2319</v>
      </c>
      <c r="F138" s="36" t="s">
        <v>2369</v>
      </c>
      <c r="G138" s="67">
        <v>3535502.06</v>
      </c>
      <c r="H138" s="37" t="e">
        <f t="shared" si="7"/>
        <v>#VALUE!</v>
      </c>
      <c r="I138" s="37" t="e">
        <f t="shared" si="6"/>
        <v>#VALUE!</v>
      </c>
      <c r="J138" s="37" t="e">
        <f t="shared" si="8"/>
        <v>#VALUE!</v>
      </c>
      <c r="L138" t="s">
        <v>1730</v>
      </c>
      <c r="M138" s="66"/>
    </row>
    <row r="139" spans="1:13" x14ac:dyDescent="0.35">
      <c r="A139" s="88" t="s">
        <v>1085</v>
      </c>
      <c r="B139" s="88" t="s">
        <v>790</v>
      </c>
      <c r="C139" t="s">
        <v>1330</v>
      </c>
      <c r="D139" s="37" t="s">
        <v>507</v>
      </c>
      <c r="E139" s="18" t="s">
        <v>2320</v>
      </c>
      <c r="F139" s="36" t="s">
        <v>2362</v>
      </c>
      <c r="G139" s="67">
        <v>3216965.74</v>
      </c>
      <c r="H139" s="37" t="e">
        <f t="shared" si="7"/>
        <v>#VALUE!</v>
      </c>
      <c r="I139" s="37" t="e">
        <f t="shared" si="6"/>
        <v>#VALUE!</v>
      </c>
      <c r="J139" s="37" t="e">
        <f t="shared" si="8"/>
        <v>#VALUE!</v>
      </c>
      <c r="L139" t="s">
        <v>1730</v>
      </c>
      <c r="M139" s="66"/>
    </row>
    <row r="140" spans="1:13" x14ac:dyDescent="0.35">
      <c r="A140" s="88" t="s">
        <v>1085</v>
      </c>
      <c r="B140" s="88" t="s">
        <v>790</v>
      </c>
      <c r="C140" t="s">
        <v>538</v>
      </c>
      <c r="D140" s="37" t="s">
        <v>507</v>
      </c>
      <c r="E140" s="18" t="s">
        <v>776</v>
      </c>
      <c r="F140" s="36" t="s">
        <v>2363</v>
      </c>
      <c r="G140" s="67">
        <v>3317388.78</v>
      </c>
      <c r="H140" s="37" t="e">
        <f t="shared" si="7"/>
        <v>#VALUE!</v>
      </c>
      <c r="I140" s="37" t="e">
        <f t="shared" si="6"/>
        <v>#VALUE!</v>
      </c>
      <c r="J140" s="37" t="e">
        <f t="shared" si="8"/>
        <v>#VALUE!</v>
      </c>
      <c r="L140" t="s">
        <v>1730</v>
      </c>
      <c r="M140" s="66"/>
    </row>
    <row r="141" spans="1:13" hidden="1" x14ac:dyDescent="0.35">
      <c r="A141" s="2" t="s">
        <v>477</v>
      </c>
      <c r="B141" s="2" t="s">
        <v>790</v>
      </c>
      <c r="C141" s="18" t="s">
        <v>1080</v>
      </c>
      <c r="D141" s="18" t="s">
        <v>1081</v>
      </c>
      <c r="E141" s="18" t="s">
        <v>2323</v>
      </c>
      <c r="F141" s="36" t="s">
        <v>2373</v>
      </c>
      <c r="G141" s="67">
        <v>106601</v>
      </c>
      <c r="H141" s="37">
        <f t="shared" si="7"/>
        <v>176</v>
      </c>
      <c r="I141" s="37" t="str">
        <f t="shared" ref="I141:I165" si="9">IF(H141&lt;91,"1-90 DAYS",IF(H141&lt;121,"91-120DAYS",IF(H141&lt;181,"121-180 DAYS","More than 180 Days")))</f>
        <v>121-180 DAYS</v>
      </c>
      <c r="J141" s="37" t="str">
        <f t="shared" si="8"/>
        <v>0-180 DAYS</v>
      </c>
      <c r="L141" t="s">
        <v>1730</v>
      </c>
      <c r="M141" s="66"/>
    </row>
    <row r="142" spans="1:13" hidden="1" x14ac:dyDescent="0.35">
      <c r="A142" s="2" t="s">
        <v>477</v>
      </c>
      <c r="B142" s="2" t="s">
        <v>790</v>
      </c>
      <c r="C142" s="18" t="s">
        <v>1080</v>
      </c>
      <c r="D142" s="18" t="s">
        <v>1081</v>
      </c>
      <c r="E142" s="18" t="s">
        <v>2324</v>
      </c>
      <c r="F142" s="36" t="s">
        <v>2367</v>
      </c>
      <c r="G142" s="67">
        <v>301129.09000000003</v>
      </c>
      <c r="H142" s="37">
        <f t="shared" si="7"/>
        <v>84</v>
      </c>
      <c r="I142" s="37" t="str">
        <f t="shared" si="9"/>
        <v>1-90 DAYS</v>
      </c>
      <c r="J142" s="37" t="str">
        <f t="shared" si="8"/>
        <v>0-180 DAYS</v>
      </c>
      <c r="L142" t="s">
        <v>1730</v>
      </c>
      <c r="M142" s="66"/>
    </row>
    <row r="143" spans="1:13" hidden="1" x14ac:dyDescent="0.35">
      <c r="A143" s="2" t="s">
        <v>477</v>
      </c>
      <c r="B143" s="2" t="s">
        <v>790</v>
      </c>
      <c r="C143" s="18" t="s">
        <v>1080</v>
      </c>
      <c r="D143" s="18" t="s">
        <v>1081</v>
      </c>
      <c r="E143" s="18" t="s">
        <v>2325</v>
      </c>
      <c r="F143" s="36" t="s">
        <v>2367</v>
      </c>
      <c r="G143" s="67">
        <v>301129.09000000003</v>
      </c>
      <c r="H143" s="37">
        <f t="shared" si="7"/>
        <v>84</v>
      </c>
      <c r="I143" s="37" t="str">
        <f t="shared" si="9"/>
        <v>1-90 DAYS</v>
      </c>
      <c r="J143" s="37" t="str">
        <f t="shared" si="8"/>
        <v>0-180 DAYS</v>
      </c>
      <c r="L143" t="s">
        <v>1730</v>
      </c>
      <c r="M143" s="66"/>
    </row>
    <row r="144" spans="1:13" hidden="1" x14ac:dyDescent="0.35">
      <c r="A144" s="2" t="s">
        <v>477</v>
      </c>
      <c r="B144" s="2" t="s">
        <v>790</v>
      </c>
      <c r="C144" s="18" t="s">
        <v>221</v>
      </c>
      <c r="D144" s="18" t="s">
        <v>222</v>
      </c>
      <c r="E144" s="18" t="s">
        <v>2326</v>
      </c>
      <c r="F144" s="36" t="s">
        <v>2374</v>
      </c>
      <c r="G144" s="67">
        <v>194287.24</v>
      </c>
      <c r="H144" s="37" t="e">
        <f t="shared" si="7"/>
        <v>#VALUE!</v>
      </c>
      <c r="I144" s="37" t="e">
        <f t="shared" si="9"/>
        <v>#VALUE!</v>
      </c>
      <c r="J144" s="37" t="e">
        <f t="shared" si="8"/>
        <v>#VALUE!</v>
      </c>
      <c r="L144" t="s">
        <v>1730</v>
      </c>
      <c r="M144" s="66"/>
    </row>
    <row r="145" spans="1:13" hidden="1" x14ac:dyDescent="0.35">
      <c r="A145" s="2" t="s">
        <v>477</v>
      </c>
      <c r="B145" s="2" t="s">
        <v>790</v>
      </c>
      <c r="C145" s="18" t="s">
        <v>1206</v>
      </c>
      <c r="D145" s="18" t="s">
        <v>1207</v>
      </c>
      <c r="E145" s="18" t="s">
        <v>2327</v>
      </c>
      <c r="F145" s="36" t="s">
        <v>2374</v>
      </c>
      <c r="G145" s="67">
        <v>3315</v>
      </c>
      <c r="H145" s="37" t="e">
        <f t="shared" si="7"/>
        <v>#VALUE!</v>
      </c>
      <c r="I145" s="37" t="e">
        <f t="shared" si="9"/>
        <v>#VALUE!</v>
      </c>
      <c r="J145" s="37" t="e">
        <f t="shared" si="8"/>
        <v>#VALUE!</v>
      </c>
      <c r="L145" t="s">
        <v>1730</v>
      </c>
      <c r="M145" s="66"/>
    </row>
    <row r="146" spans="1:13" hidden="1" x14ac:dyDescent="0.35">
      <c r="A146" s="2" t="s">
        <v>477</v>
      </c>
      <c r="B146" s="2" t="s">
        <v>790</v>
      </c>
      <c r="C146" s="18" t="s">
        <v>2033</v>
      </c>
      <c r="D146" s="18" t="s">
        <v>1499</v>
      </c>
      <c r="E146" s="18" t="s">
        <v>2328</v>
      </c>
      <c r="F146" s="36" t="s">
        <v>2359</v>
      </c>
      <c r="G146" s="67">
        <f>26968204.8-10099587</f>
        <v>16868617.800000001</v>
      </c>
      <c r="H146" s="37" t="e">
        <f t="shared" si="7"/>
        <v>#VALUE!</v>
      </c>
      <c r="I146" s="37" t="e">
        <f t="shared" si="9"/>
        <v>#VALUE!</v>
      </c>
      <c r="J146" s="37" t="e">
        <f t="shared" si="8"/>
        <v>#VALUE!</v>
      </c>
      <c r="L146" t="s">
        <v>1730</v>
      </c>
      <c r="M146" s="66"/>
    </row>
    <row r="147" spans="1:13" hidden="1" x14ac:dyDescent="0.35">
      <c r="A147" s="2" t="s">
        <v>477</v>
      </c>
      <c r="B147" s="2" t="s">
        <v>790</v>
      </c>
      <c r="C147" s="18" t="s">
        <v>2033</v>
      </c>
      <c r="D147" s="18" t="s">
        <v>1499</v>
      </c>
      <c r="E147" s="18" t="s">
        <v>2329</v>
      </c>
      <c r="F147" s="36" t="s">
        <v>2359</v>
      </c>
      <c r="G147" s="67">
        <v>1569174.16</v>
      </c>
      <c r="H147" s="37" t="e">
        <f t="shared" si="7"/>
        <v>#VALUE!</v>
      </c>
      <c r="I147" s="37" t="e">
        <f t="shared" si="9"/>
        <v>#VALUE!</v>
      </c>
      <c r="J147" s="37" t="e">
        <f t="shared" si="8"/>
        <v>#VALUE!</v>
      </c>
      <c r="L147" t="s">
        <v>1730</v>
      </c>
      <c r="M147" s="66"/>
    </row>
    <row r="148" spans="1:13" hidden="1" x14ac:dyDescent="0.35">
      <c r="A148" s="2" t="s">
        <v>477</v>
      </c>
      <c r="B148" s="2" t="s">
        <v>790</v>
      </c>
      <c r="C148" s="18" t="s">
        <v>1080</v>
      </c>
      <c r="D148" s="18" t="s">
        <v>1081</v>
      </c>
      <c r="E148" s="18" t="s">
        <v>2330</v>
      </c>
      <c r="F148" s="36" t="s">
        <v>2375</v>
      </c>
      <c r="G148" s="67">
        <v>356346.28</v>
      </c>
      <c r="H148" s="37" t="e">
        <f t="shared" si="7"/>
        <v>#VALUE!</v>
      </c>
      <c r="I148" s="37" t="e">
        <f t="shared" si="9"/>
        <v>#VALUE!</v>
      </c>
      <c r="J148" s="37" t="e">
        <f t="shared" si="8"/>
        <v>#VALUE!</v>
      </c>
      <c r="L148" t="s">
        <v>1730</v>
      </c>
      <c r="M148" s="66"/>
    </row>
    <row r="149" spans="1:13" hidden="1" x14ac:dyDescent="0.35">
      <c r="A149" s="2" t="s">
        <v>477</v>
      </c>
      <c r="B149" s="2" t="s">
        <v>790</v>
      </c>
      <c r="C149" s="18" t="s">
        <v>1080</v>
      </c>
      <c r="D149" s="18" t="s">
        <v>1081</v>
      </c>
      <c r="E149" s="18" t="s">
        <v>2331</v>
      </c>
      <c r="F149" s="36" t="s">
        <v>2375</v>
      </c>
      <c r="G149" s="67">
        <v>1505643.47</v>
      </c>
      <c r="H149" s="37" t="e">
        <f t="shared" si="7"/>
        <v>#VALUE!</v>
      </c>
      <c r="I149" s="37" t="e">
        <f t="shared" si="9"/>
        <v>#VALUE!</v>
      </c>
      <c r="J149" s="37" t="e">
        <f t="shared" si="8"/>
        <v>#VALUE!</v>
      </c>
      <c r="L149" t="s">
        <v>1730</v>
      </c>
      <c r="M149" s="66"/>
    </row>
    <row r="150" spans="1:13" hidden="1" x14ac:dyDescent="0.35">
      <c r="A150" s="2" t="s">
        <v>477</v>
      </c>
      <c r="B150" s="2" t="s">
        <v>790</v>
      </c>
      <c r="C150" s="18" t="s">
        <v>1080</v>
      </c>
      <c r="D150" s="18" t="s">
        <v>1081</v>
      </c>
      <c r="E150" s="18" t="s">
        <v>2332</v>
      </c>
      <c r="F150" s="36" t="s">
        <v>2361</v>
      </c>
      <c r="G150" s="67">
        <v>1505643.47</v>
      </c>
      <c r="H150" s="37" t="e">
        <f t="shared" si="7"/>
        <v>#VALUE!</v>
      </c>
      <c r="I150" s="37" t="e">
        <f t="shared" si="9"/>
        <v>#VALUE!</v>
      </c>
      <c r="J150" s="37" t="e">
        <f t="shared" si="8"/>
        <v>#VALUE!</v>
      </c>
      <c r="L150" t="s">
        <v>1730</v>
      </c>
      <c r="M150" s="66"/>
    </row>
    <row r="151" spans="1:13" hidden="1" x14ac:dyDescent="0.35">
      <c r="A151" s="2" t="s">
        <v>477</v>
      </c>
      <c r="B151" s="2" t="s">
        <v>790</v>
      </c>
      <c r="C151" s="18" t="s">
        <v>1080</v>
      </c>
      <c r="D151" s="18" t="s">
        <v>1081</v>
      </c>
      <c r="E151" s="18" t="s">
        <v>2333</v>
      </c>
      <c r="F151" s="36" t="s">
        <v>2376</v>
      </c>
      <c r="G151" s="67">
        <v>356346.28</v>
      </c>
      <c r="H151" s="37" t="e">
        <f t="shared" si="7"/>
        <v>#VALUE!</v>
      </c>
      <c r="I151" s="37" t="e">
        <f t="shared" si="9"/>
        <v>#VALUE!</v>
      </c>
      <c r="J151" s="37" t="e">
        <f t="shared" si="8"/>
        <v>#VALUE!</v>
      </c>
      <c r="L151" t="s">
        <v>1730</v>
      </c>
      <c r="M151" s="66"/>
    </row>
    <row r="152" spans="1:13" hidden="1" x14ac:dyDescent="0.35">
      <c r="A152" s="2" t="s">
        <v>477</v>
      </c>
      <c r="B152" s="2" t="s">
        <v>790</v>
      </c>
      <c r="C152" s="18" t="s">
        <v>1080</v>
      </c>
      <c r="D152" s="18" t="s">
        <v>1081</v>
      </c>
      <c r="E152" s="18" t="s">
        <v>2334</v>
      </c>
      <c r="F152" s="36" t="s">
        <v>2376</v>
      </c>
      <c r="G152" s="67">
        <v>297249.89</v>
      </c>
      <c r="H152" s="37" t="e">
        <f t="shared" si="7"/>
        <v>#VALUE!</v>
      </c>
      <c r="I152" s="37" t="e">
        <f t="shared" si="9"/>
        <v>#VALUE!</v>
      </c>
      <c r="J152" s="37" t="e">
        <f t="shared" si="8"/>
        <v>#VALUE!</v>
      </c>
      <c r="L152" t="s">
        <v>1730</v>
      </c>
      <c r="M152" s="66"/>
    </row>
    <row r="153" spans="1:13" hidden="1" x14ac:dyDescent="0.35">
      <c r="A153" s="2" t="s">
        <v>477</v>
      </c>
      <c r="B153" s="2" t="s">
        <v>790</v>
      </c>
      <c r="C153" s="18" t="s">
        <v>1080</v>
      </c>
      <c r="D153" s="18" t="s">
        <v>1081</v>
      </c>
      <c r="E153" s="18" t="s">
        <v>2335</v>
      </c>
      <c r="F153" s="36" t="s">
        <v>2376</v>
      </c>
      <c r="G153" s="67">
        <v>602257.19999999995</v>
      </c>
      <c r="H153" s="37" t="e">
        <f t="shared" si="7"/>
        <v>#VALUE!</v>
      </c>
      <c r="I153" s="37" t="e">
        <f t="shared" si="9"/>
        <v>#VALUE!</v>
      </c>
      <c r="J153" s="37" t="e">
        <f t="shared" si="8"/>
        <v>#VALUE!</v>
      </c>
      <c r="L153" t="s">
        <v>1730</v>
      </c>
      <c r="M153" s="66"/>
    </row>
    <row r="154" spans="1:13" hidden="1" x14ac:dyDescent="0.35">
      <c r="A154" s="2" t="s">
        <v>477</v>
      </c>
      <c r="B154" s="2" t="s">
        <v>790</v>
      </c>
      <c r="C154" s="18" t="s">
        <v>1080</v>
      </c>
      <c r="D154" s="18" t="s">
        <v>1081</v>
      </c>
      <c r="E154" s="18" t="s">
        <v>2336</v>
      </c>
      <c r="F154" s="36" t="s">
        <v>2371</v>
      </c>
      <c r="G154" s="67">
        <v>356346.28</v>
      </c>
      <c r="H154" s="37" t="e">
        <f t="shared" si="7"/>
        <v>#VALUE!</v>
      </c>
      <c r="I154" s="37" t="e">
        <f t="shared" si="9"/>
        <v>#VALUE!</v>
      </c>
      <c r="J154" s="37" t="e">
        <f t="shared" si="8"/>
        <v>#VALUE!</v>
      </c>
      <c r="L154" t="s">
        <v>1730</v>
      </c>
      <c r="M154" s="66"/>
    </row>
    <row r="155" spans="1:13" hidden="1" x14ac:dyDescent="0.35">
      <c r="A155" s="2" t="s">
        <v>477</v>
      </c>
      <c r="B155" s="2" t="s">
        <v>790</v>
      </c>
      <c r="C155" s="18" t="s">
        <v>1080</v>
      </c>
      <c r="D155" s="18" t="s">
        <v>1081</v>
      </c>
      <c r="E155" s="18" t="s">
        <v>2337</v>
      </c>
      <c r="F155" s="36" t="s">
        <v>2371</v>
      </c>
      <c r="G155" s="67">
        <v>1187820.58</v>
      </c>
      <c r="H155" s="37" t="e">
        <f t="shared" si="7"/>
        <v>#VALUE!</v>
      </c>
      <c r="I155" s="37" t="e">
        <f t="shared" si="9"/>
        <v>#VALUE!</v>
      </c>
      <c r="J155" s="37" t="e">
        <f t="shared" si="8"/>
        <v>#VALUE!</v>
      </c>
      <c r="L155" t="s">
        <v>1730</v>
      </c>
      <c r="M155" s="66"/>
    </row>
    <row r="156" spans="1:13" hidden="1" x14ac:dyDescent="0.35">
      <c r="A156" s="2" t="s">
        <v>477</v>
      </c>
      <c r="B156" s="2" t="s">
        <v>790</v>
      </c>
      <c r="C156" s="18" t="s">
        <v>1080</v>
      </c>
      <c r="D156" s="18" t="s">
        <v>1081</v>
      </c>
      <c r="E156" s="18" t="s">
        <v>2338</v>
      </c>
      <c r="F156" s="36" t="s">
        <v>2377</v>
      </c>
      <c r="G156" s="67">
        <v>2543291.7999999998</v>
      </c>
      <c r="H156" s="37" t="e">
        <f t="shared" si="7"/>
        <v>#VALUE!</v>
      </c>
      <c r="I156" s="37" t="e">
        <f t="shared" si="9"/>
        <v>#VALUE!</v>
      </c>
      <c r="J156" s="37" t="e">
        <f t="shared" si="8"/>
        <v>#VALUE!</v>
      </c>
      <c r="L156" t="s">
        <v>1730</v>
      </c>
      <c r="M156" s="66"/>
    </row>
    <row r="157" spans="1:13" hidden="1" x14ac:dyDescent="0.35">
      <c r="A157" s="2" t="s">
        <v>477</v>
      </c>
      <c r="B157" s="2" t="s">
        <v>790</v>
      </c>
      <c r="C157" s="18" t="s">
        <v>1080</v>
      </c>
      <c r="D157" s="18" t="s">
        <v>1081</v>
      </c>
      <c r="E157" s="18" t="s">
        <v>2339</v>
      </c>
      <c r="F157" s="36" t="s">
        <v>2377</v>
      </c>
      <c r="G157" s="67">
        <v>1268699.58</v>
      </c>
      <c r="H157" s="37" t="e">
        <f t="shared" si="7"/>
        <v>#VALUE!</v>
      </c>
      <c r="I157" s="37" t="e">
        <f t="shared" si="9"/>
        <v>#VALUE!</v>
      </c>
      <c r="J157" s="37" t="e">
        <f t="shared" si="8"/>
        <v>#VALUE!</v>
      </c>
      <c r="L157" t="s">
        <v>1730</v>
      </c>
      <c r="M157" s="66"/>
    </row>
    <row r="158" spans="1:13" hidden="1" x14ac:dyDescent="0.35">
      <c r="A158" s="2" t="s">
        <v>477</v>
      </c>
      <c r="B158" s="2" t="s">
        <v>790</v>
      </c>
      <c r="C158" s="18" t="s">
        <v>1080</v>
      </c>
      <c r="D158" s="18" t="s">
        <v>1081</v>
      </c>
      <c r="E158" s="18" t="s">
        <v>2340</v>
      </c>
      <c r="F158" s="36" t="s">
        <v>2377</v>
      </c>
      <c r="G158" s="67">
        <v>602257.19999999995</v>
      </c>
      <c r="H158" s="37" t="e">
        <f t="shared" si="7"/>
        <v>#VALUE!</v>
      </c>
      <c r="I158" s="37" t="e">
        <f t="shared" si="9"/>
        <v>#VALUE!</v>
      </c>
      <c r="J158" s="37" t="e">
        <f t="shared" si="8"/>
        <v>#VALUE!</v>
      </c>
      <c r="L158" t="s">
        <v>1730</v>
      </c>
      <c r="M158" s="66"/>
    </row>
    <row r="159" spans="1:13" hidden="1" x14ac:dyDescent="0.35">
      <c r="A159" s="2" t="s">
        <v>477</v>
      </c>
      <c r="B159" s="2" t="s">
        <v>790</v>
      </c>
      <c r="C159" s="18" t="s">
        <v>1080</v>
      </c>
      <c r="D159" s="18" t="s">
        <v>1081</v>
      </c>
      <c r="E159" s="18" t="s">
        <v>2341</v>
      </c>
      <c r="F159" s="36" t="s">
        <v>2377</v>
      </c>
      <c r="G159" s="67">
        <v>304435.43</v>
      </c>
      <c r="H159" s="37" t="e">
        <f t="shared" si="7"/>
        <v>#VALUE!</v>
      </c>
      <c r="I159" s="37" t="e">
        <f t="shared" si="9"/>
        <v>#VALUE!</v>
      </c>
      <c r="J159" s="37" t="e">
        <f t="shared" si="8"/>
        <v>#VALUE!</v>
      </c>
      <c r="L159" t="s">
        <v>1730</v>
      </c>
      <c r="M159" s="66"/>
    </row>
    <row r="160" spans="1:13" hidden="1" x14ac:dyDescent="0.35">
      <c r="A160" s="2" t="s">
        <v>477</v>
      </c>
      <c r="B160" s="2" t="s">
        <v>790</v>
      </c>
      <c r="C160" s="18" t="s">
        <v>1080</v>
      </c>
      <c r="D160" s="18" t="s">
        <v>1081</v>
      </c>
      <c r="E160" s="18" t="s">
        <v>2342</v>
      </c>
      <c r="F160" s="36" t="s">
        <v>2377</v>
      </c>
      <c r="G160" s="67">
        <v>300491.89</v>
      </c>
      <c r="H160" s="37" t="e">
        <f t="shared" si="7"/>
        <v>#VALUE!</v>
      </c>
      <c r="I160" s="37" t="e">
        <f t="shared" si="9"/>
        <v>#VALUE!</v>
      </c>
      <c r="J160" s="37" t="e">
        <f t="shared" si="8"/>
        <v>#VALUE!</v>
      </c>
      <c r="L160" t="s">
        <v>1730</v>
      </c>
      <c r="M160" s="66"/>
    </row>
    <row r="161" spans="1:13" hidden="1" x14ac:dyDescent="0.35">
      <c r="A161" s="2" t="s">
        <v>477</v>
      </c>
      <c r="B161" s="2" t="s">
        <v>790</v>
      </c>
      <c r="C161" s="18" t="s">
        <v>1080</v>
      </c>
      <c r="D161" s="18" t="s">
        <v>1081</v>
      </c>
      <c r="E161" s="18" t="s">
        <v>2343</v>
      </c>
      <c r="F161" s="36" t="s">
        <v>2377</v>
      </c>
      <c r="G161" s="67">
        <v>338261.26</v>
      </c>
      <c r="H161" s="37" t="e">
        <f t="shared" si="7"/>
        <v>#VALUE!</v>
      </c>
      <c r="I161" s="37" t="e">
        <f t="shared" si="9"/>
        <v>#VALUE!</v>
      </c>
      <c r="J161" s="37" t="e">
        <f t="shared" si="8"/>
        <v>#VALUE!</v>
      </c>
      <c r="L161" t="s">
        <v>1730</v>
      </c>
      <c r="M161" s="66"/>
    </row>
    <row r="162" spans="1:13" hidden="1" x14ac:dyDescent="0.35">
      <c r="A162" s="2" t="s">
        <v>477</v>
      </c>
      <c r="B162" s="2" t="s">
        <v>790</v>
      </c>
      <c r="C162" s="18" t="s">
        <v>1080</v>
      </c>
      <c r="D162" s="18" t="s">
        <v>1081</v>
      </c>
      <c r="E162" s="18" t="s">
        <v>2344</v>
      </c>
      <c r="F162" s="36" t="s">
        <v>2377</v>
      </c>
      <c r="G162" s="67">
        <v>1271645.3999999999</v>
      </c>
      <c r="H162" s="37" t="e">
        <f t="shared" si="7"/>
        <v>#VALUE!</v>
      </c>
      <c r="I162" s="37" t="e">
        <f t="shared" si="9"/>
        <v>#VALUE!</v>
      </c>
      <c r="J162" s="37" t="e">
        <f t="shared" si="8"/>
        <v>#VALUE!</v>
      </c>
      <c r="L162" t="s">
        <v>1730</v>
      </c>
      <c r="M162" s="66"/>
    </row>
    <row r="163" spans="1:13" hidden="1" x14ac:dyDescent="0.35">
      <c r="A163" s="2" t="s">
        <v>477</v>
      </c>
      <c r="B163" s="2" t="s">
        <v>790</v>
      </c>
      <c r="C163" s="18" t="s">
        <v>3</v>
      </c>
      <c r="D163" s="18" t="s">
        <v>4</v>
      </c>
      <c r="E163" s="18" t="s">
        <v>2345</v>
      </c>
      <c r="F163" s="36" t="s">
        <v>2361</v>
      </c>
      <c r="G163" s="67">
        <v>1513386.88</v>
      </c>
      <c r="H163" s="37" t="e">
        <f t="shared" si="7"/>
        <v>#VALUE!</v>
      </c>
      <c r="I163" s="37" t="e">
        <f t="shared" si="9"/>
        <v>#VALUE!</v>
      </c>
      <c r="J163" s="37" t="e">
        <f t="shared" si="8"/>
        <v>#VALUE!</v>
      </c>
      <c r="L163" t="s">
        <v>1730</v>
      </c>
      <c r="M163" s="66"/>
    </row>
    <row r="164" spans="1:13" hidden="1" x14ac:dyDescent="0.35">
      <c r="A164" s="2" t="s">
        <v>477</v>
      </c>
      <c r="B164" s="2" t="s">
        <v>790</v>
      </c>
      <c r="C164" s="18" t="s">
        <v>5</v>
      </c>
      <c r="D164" s="18" t="s">
        <v>6</v>
      </c>
      <c r="E164" s="18" t="s">
        <v>2346</v>
      </c>
      <c r="F164" s="36" t="s">
        <v>2376</v>
      </c>
      <c r="G164" s="67">
        <v>14691</v>
      </c>
      <c r="H164" s="37" t="e">
        <f t="shared" si="7"/>
        <v>#VALUE!</v>
      </c>
      <c r="I164" s="37" t="e">
        <f t="shared" si="9"/>
        <v>#VALUE!</v>
      </c>
      <c r="J164" s="37" t="e">
        <f t="shared" si="8"/>
        <v>#VALUE!</v>
      </c>
      <c r="L164" t="s">
        <v>1730</v>
      </c>
      <c r="M164" s="66"/>
    </row>
    <row r="165" spans="1:13" hidden="1" x14ac:dyDescent="0.35">
      <c r="A165" s="2" t="s">
        <v>1209</v>
      </c>
      <c r="B165" s="2" t="s">
        <v>789</v>
      </c>
      <c r="C165" s="18" t="s">
        <v>506</v>
      </c>
      <c r="D165" s="37" t="s">
        <v>507</v>
      </c>
      <c r="E165" s="18" t="s">
        <v>2349</v>
      </c>
      <c r="F165" s="36" t="s">
        <v>2378</v>
      </c>
      <c r="G165" s="67">
        <v>3950349.63</v>
      </c>
      <c r="H165" s="37" t="e">
        <f t="shared" si="7"/>
        <v>#VALUE!</v>
      </c>
      <c r="I165" s="37" t="e">
        <f t="shared" si="9"/>
        <v>#VALUE!</v>
      </c>
      <c r="J165" s="37" t="e">
        <f t="shared" si="8"/>
        <v>#VALUE!</v>
      </c>
      <c r="M165" s="66"/>
    </row>
    <row r="166" spans="1:13" x14ac:dyDescent="0.35">
      <c r="A166" s="2" t="s">
        <v>1085</v>
      </c>
      <c r="B166" s="2" t="s">
        <v>790</v>
      </c>
      <c r="C166" s="44" t="s">
        <v>814</v>
      </c>
      <c r="D166" t="s">
        <v>507</v>
      </c>
      <c r="E166" s="18" t="s">
        <v>2350</v>
      </c>
      <c r="F166" s="36" t="s">
        <v>2366</v>
      </c>
      <c r="G166" s="67">
        <v>4435709.8499999996</v>
      </c>
      <c r="H166" s="37">
        <f t="shared" si="7"/>
        <v>207</v>
      </c>
      <c r="I166" s="37" t="str">
        <f>IF(H166&lt;121,"0-120 DAYS",IF(H166&lt;181,"121-180 DAYS","More than 180 Days"))</f>
        <v>More than 180 Days</v>
      </c>
      <c r="J166" s="37" t="str">
        <f t="shared" si="8"/>
        <v>More than 180 Days</v>
      </c>
      <c r="L166" t="s">
        <v>1730</v>
      </c>
      <c r="M166" s="66"/>
    </row>
    <row r="167" spans="1:13" x14ac:dyDescent="0.35">
      <c r="A167" s="2" t="s">
        <v>1085</v>
      </c>
      <c r="B167" s="2" t="s">
        <v>790</v>
      </c>
      <c r="C167" s="44" t="s">
        <v>814</v>
      </c>
      <c r="D167" t="s">
        <v>507</v>
      </c>
      <c r="E167" s="18" t="s">
        <v>2351</v>
      </c>
      <c r="F167" s="36" t="s">
        <v>2372</v>
      </c>
      <c r="G167" s="67">
        <v>4438182.38</v>
      </c>
      <c r="H167" s="37">
        <f t="shared" si="7"/>
        <v>115</v>
      </c>
      <c r="I167" s="37" t="str">
        <f>IF(H167&lt;121,"0-120 DAYS",IF(H167&lt;181,"121-180 DAYS","More than 180 Days"))</f>
        <v>0-120 DAYS</v>
      </c>
      <c r="J167" s="37" t="str">
        <f t="shared" si="8"/>
        <v>0-180 DAYS</v>
      </c>
      <c r="L167" t="s">
        <v>1730</v>
      </c>
      <c r="M167" s="66"/>
    </row>
    <row r="168" spans="1:13" hidden="1" x14ac:dyDescent="0.35">
      <c r="A168" s="2" t="s">
        <v>477</v>
      </c>
      <c r="B168" s="2" t="s">
        <v>790</v>
      </c>
      <c r="C168" s="18" t="s">
        <v>1080</v>
      </c>
      <c r="D168" s="18" t="s">
        <v>1081</v>
      </c>
      <c r="E168" s="18" t="s">
        <v>2383</v>
      </c>
      <c r="F168" s="19" t="s">
        <v>2644</v>
      </c>
      <c r="G168" s="108">
        <v>1014959.46</v>
      </c>
      <c r="H168" s="37">
        <f t="shared" si="7"/>
        <v>327</v>
      </c>
      <c r="I168" s="37" t="str">
        <f t="shared" ref="I168:I218" si="10">IF(H168&lt;91,"1-90 DAYS",IF(H168&lt;121,"91-120DAYS",IF(H168&lt;181,"121-180 DAYS","More than 180 Days")))</f>
        <v>More than 180 Days</v>
      </c>
      <c r="J168" s="37" t="str">
        <f t="shared" si="8"/>
        <v>More than 180 Days</v>
      </c>
      <c r="L168" t="s">
        <v>1730</v>
      </c>
      <c r="M168" s="66"/>
    </row>
    <row r="169" spans="1:13" hidden="1" x14ac:dyDescent="0.35">
      <c r="A169" s="2" t="s">
        <v>477</v>
      </c>
      <c r="B169" s="2" t="s">
        <v>790</v>
      </c>
      <c r="C169" s="18" t="s">
        <v>1080</v>
      </c>
      <c r="D169" s="18" t="s">
        <v>1081</v>
      </c>
      <c r="E169" s="18" t="s">
        <v>2384</v>
      </c>
      <c r="F169" s="19" t="s">
        <v>2644</v>
      </c>
      <c r="G169" s="108">
        <v>602257.18000000005</v>
      </c>
      <c r="H169" s="37">
        <f t="shared" si="7"/>
        <v>327</v>
      </c>
      <c r="I169" s="37" t="str">
        <f t="shared" si="10"/>
        <v>More than 180 Days</v>
      </c>
      <c r="J169" s="37" t="str">
        <f t="shared" si="8"/>
        <v>More than 180 Days</v>
      </c>
      <c r="L169" t="s">
        <v>1730</v>
      </c>
      <c r="M169" s="66"/>
    </row>
    <row r="170" spans="1:13" hidden="1" x14ac:dyDescent="0.35">
      <c r="A170" s="2" t="s">
        <v>477</v>
      </c>
      <c r="B170" s="2" t="s">
        <v>790</v>
      </c>
      <c r="C170" s="18" t="s">
        <v>1080</v>
      </c>
      <c r="D170" s="18" t="s">
        <v>1081</v>
      </c>
      <c r="E170" s="18" t="s">
        <v>2385</v>
      </c>
      <c r="F170" s="19" t="s">
        <v>2504</v>
      </c>
      <c r="G170" s="108">
        <v>466544.16</v>
      </c>
      <c r="H170" s="37">
        <f t="shared" si="7"/>
        <v>175</v>
      </c>
      <c r="I170" s="37" t="str">
        <f t="shared" si="10"/>
        <v>121-180 DAYS</v>
      </c>
      <c r="J170" s="37" t="str">
        <f t="shared" si="8"/>
        <v>0-180 DAYS</v>
      </c>
      <c r="L170" t="s">
        <v>1730</v>
      </c>
      <c r="M170" s="66"/>
    </row>
    <row r="171" spans="1:13" hidden="1" x14ac:dyDescent="0.35">
      <c r="A171" s="2" t="s">
        <v>477</v>
      </c>
      <c r="B171" s="2" t="s">
        <v>790</v>
      </c>
      <c r="C171" s="18" t="s">
        <v>2379</v>
      </c>
      <c r="D171" s="18" t="s">
        <v>2422</v>
      </c>
      <c r="E171" s="18" t="s">
        <v>2386</v>
      </c>
      <c r="F171" s="19" t="s">
        <v>2504</v>
      </c>
      <c r="G171" s="108">
        <v>688974.21</v>
      </c>
      <c r="H171" s="37">
        <f t="shared" si="7"/>
        <v>175</v>
      </c>
      <c r="I171" s="37" t="str">
        <f t="shared" si="10"/>
        <v>121-180 DAYS</v>
      </c>
      <c r="J171" s="37" t="str">
        <f t="shared" si="8"/>
        <v>0-180 DAYS</v>
      </c>
      <c r="L171" t="s">
        <v>1730</v>
      </c>
      <c r="M171" s="66"/>
    </row>
    <row r="172" spans="1:13" hidden="1" x14ac:dyDescent="0.35">
      <c r="A172" s="2" t="s">
        <v>477</v>
      </c>
      <c r="B172" s="2" t="s">
        <v>790</v>
      </c>
      <c r="C172" s="18" t="s">
        <v>1080</v>
      </c>
      <c r="D172" s="18" t="s">
        <v>1081</v>
      </c>
      <c r="E172" s="18" t="s">
        <v>2387</v>
      </c>
      <c r="F172" s="19" t="s">
        <v>2506</v>
      </c>
      <c r="G172" s="108">
        <v>1490376.94</v>
      </c>
      <c r="H172" s="37" t="e">
        <f t="shared" si="7"/>
        <v>#VALUE!</v>
      </c>
      <c r="I172" s="37" t="e">
        <f t="shared" si="10"/>
        <v>#VALUE!</v>
      </c>
      <c r="J172" s="37" t="e">
        <f t="shared" si="8"/>
        <v>#VALUE!</v>
      </c>
      <c r="L172" t="s">
        <v>1730</v>
      </c>
      <c r="M172" s="66"/>
    </row>
    <row r="173" spans="1:13" hidden="1" x14ac:dyDescent="0.35">
      <c r="A173" s="2" t="s">
        <v>477</v>
      </c>
      <c r="B173" s="2" t="s">
        <v>790</v>
      </c>
      <c r="C173" s="18" t="s">
        <v>1080</v>
      </c>
      <c r="D173" s="18" t="s">
        <v>1081</v>
      </c>
      <c r="E173" s="18" t="s">
        <v>2388</v>
      </c>
      <c r="F173" s="19" t="s">
        <v>2506</v>
      </c>
      <c r="G173" s="108">
        <v>1396579.76</v>
      </c>
      <c r="H173" s="37" t="e">
        <f t="shared" si="7"/>
        <v>#VALUE!</v>
      </c>
      <c r="I173" s="37" t="e">
        <f t="shared" si="10"/>
        <v>#VALUE!</v>
      </c>
      <c r="J173" s="37" t="e">
        <f t="shared" si="8"/>
        <v>#VALUE!</v>
      </c>
      <c r="L173" t="s">
        <v>1730</v>
      </c>
      <c r="M173" s="66"/>
    </row>
    <row r="174" spans="1:13" hidden="1" x14ac:dyDescent="0.35">
      <c r="A174" s="2" t="s">
        <v>477</v>
      </c>
      <c r="B174" s="2" t="s">
        <v>790</v>
      </c>
      <c r="C174" s="18" t="s">
        <v>1080</v>
      </c>
      <c r="D174" s="18" t="s">
        <v>1081</v>
      </c>
      <c r="E174" s="18" t="s">
        <v>2389</v>
      </c>
      <c r="F174" s="19" t="s">
        <v>2506</v>
      </c>
      <c r="G174" s="108">
        <v>349145.18</v>
      </c>
      <c r="H174" s="37" t="e">
        <f t="shared" si="7"/>
        <v>#VALUE!</v>
      </c>
      <c r="I174" s="37" t="e">
        <f t="shared" si="10"/>
        <v>#VALUE!</v>
      </c>
      <c r="J174" s="37" t="e">
        <f t="shared" si="8"/>
        <v>#VALUE!</v>
      </c>
      <c r="L174" t="s">
        <v>1730</v>
      </c>
      <c r="M174" s="66"/>
    </row>
    <row r="175" spans="1:13" hidden="1" x14ac:dyDescent="0.35">
      <c r="A175" s="2" t="s">
        <v>477</v>
      </c>
      <c r="B175" s="2" t="s">
        <v>790</v>
      </c>
      <c r="C175" s="18" t="s">
        <v>1080</v>
      </c>
      <c r="D175" s="18" t="s">
        <v>1081</v>
      </c>
      <c r="E175" s="18" t="s">
        <v>2390</v>
      </c>
      <c r="F175" s="19" t="s">
        <v>2507</v>
      </c>
      <c r="G175" s="108">
        <v>1490376.94</v>
      </c>
      <c r="H175" s="37" t="e">
        <f t="shared" si="7"/>
        <v>#VALUE!</v>
      </c>
      <c r="I175" s="37" t="e">
        <f t="shared" si="10"/>
        <v>#VALUE!</v>
      </c>
      <c r="J175" s="37" t="e">
        <f t="shared" si="8"/>
        <v>#VALUE!</v>
      </c>
      <c r="L175" t="s">
        <v>1730</v>
      </c>
      <c r="M175" s="66"/>
    </row>
    <row r="176" spans="1:13" hidden="1" x14ac:dyDescent="0.35">
      <c r="A176" s="2" t="s">
        <v>477</v>
      </c>
      <c r="B176" s="2" t="s">
        <v>790</v>
      </c>
      <c r="C176" s="18" t="s">
        <v>1080</v>
      </c>
      <c r="D176" s="18" t="s">
        <v>1081</v>
      </c>
      <c r="E176" s="18" t="s">
        <v>2391</v>
      </c>
      <c r="F176" s="19" t="s">
        <v>2507</v>
      </c>
      <c r="G176" s="108">
        <v>583263.98</v>
      </c>
      <c r="H176" s="37" t="e">
        <f t="shared" si="7"/>
        <v>#VALUE!</v>
      </c>
      <c r="I176" s="37" t="e">
        <f t="shared" si="10"/>
        <v>#VALUE!</v>
      </c>
      <c r="J176" s="37" t="e">
        <f t="shared" si="8"/>
        <v>#VALUE!</v>
      </c>
      <c r="L176" t="s">
        <v>1730</v>
      </c>
      <c r="M176" s="66"/>
    </row>
    <row r="177" spans="1:13" hidden="1" x14ac:dyDescent="0.35">
      <c r="A177" s="2" t="s">
        <v>477</v>
      </c>
      <c r="B177" s="2" t="s">
        <v>790</v>
      </c>
      <c r="C177" s="18" t="s">
        <v>2033</v>
      </c>
      <c r="D177" s="18" t="s">
        <v>1499</v>
      </c>
      <c r="E177" s="18" t="s">
        <v>2392</v>
      </c>
      <c r="F177" s="19" t="s">
        <v>2645</v>
      </c>
      <c r="G177" s="108">
        <v>16605477.9</v>
      </c>
      <c r="H177" s="37" t="e">
        <f t="shared" si="7"/>
        <v>#VALUE!</v>
      </c>
      <c r="I177" s="37" t="e">
        <f t="shared" si="10"/>
        <v>#VALUE!</v>
      </c>
      <c r="J177" s="37" t="e">
        <f t="shared" si="8"/>
        <v>#VALUE!</v>
      </c>
      <c r="L177" t="s">
        <v>1730</v>
      </c>
      <c r="M177" s="66"/>
    </row>
    <row r="178" spans="1:13" hidden="1" x14ac:dyDescent="0.35">
      <c r="A178" s="2" t="s">
        <v>477</v>
      </c>
      <c r="B178" s="2" t="s">
        <v>790</v>
      </c>
      <c r="C178" s="18" t="s">
        <v>2033</v>
      </c>
      <c r="D178" s="18" t="s">
        <v>1499</v>
      </c>
      <c r="E178" s="18" t="s">
        <v>2393</v>
      </c>
      <c r="F178" s="19" t="s">
        <v>2645</v>
      </c>
      <c r="G178" s="108">
        <v>8554936.5</v>
      </c>
      <c r="H178" s="37" t="e">
        <f t="shared" si="7"/>
        <v>#VALUE!</v>
      </c>
      <c r="I178" s="37" t="e">
        <f t="shared" si="10"/>
        <v>#VALUE!</v>
      </c>
      <c r="J178" s="37" t="e">
        <f t="shared" si="8"/>
        <v>#VALUE!</v>
      </c>
      <c r="L178" t="s">
        <v>1730</v>
      </c>
      <c r="M178" s="66"/>
    </row>
    <row r="179" spans="1:13" hidden="1" x14ac:dyDescent="0.35">
      <c r="A179" s="2" t="s">
        <v>477</v>
      </c>
      <c r="B179" s="2" t="s">
        <v>790</v>
      </c>
      <c r="C179" s="18" t="s">
        <v>1080</v>
      </c>
      <c r="D179" s="18" t="s">
        <v>1081</v>
      </c>
      <c r="E179" s="18" t="s">
        <v>2394</v>
      </c>
      <c r="F179" s="19" t="s">
        <v>2508</v>
      </c>
      <c r="G179" s="108">
        <v>871287.38</v>
      </c>
      <c r="H179" s="37" t="e">
        <f t="shared" si="7"/>
        <v>#VALUE!</v>
      </c>
      <c r="I179" s="37" t="e">
        <f t="shared" si="10"/>
        <v>#VALUE!</v>
      </c>
      <c r="J179" s="37" t="e">
        <f t="shared" si="8"/>
        <v>#VALUE!</v>
      </c>
      <c r="L179" t="s">
        <v>1730</v>
      </c>
      <c r="M179" s="66"/>
    </row>
    <row r="180" spans="1:13" hidden="1" x14ac:dyDescent="0.35">
      <c r="A180" s="2" t="s">
        <v>477</v>
      </c>
      <c r="B180" s="2" t="s">
        <v>790</v>
      </c>
      <c r="C180" s="18" t="s">
        <v>1080</v>
      </c>
      <c r="D180" s="18" t="s">
        <v>1081</v>
      </c>
      <c r="E180" s="18" t="s">
        <v>2395</v>
      </c>
      <c r="F180" s="19" t="s">
        <v>2646</v>
      </c>
      <c r="G180" s="108">
        <v>357690.82</v>
      </c>
      <c r="H180" s="37" t="e">
        <f t="shared" si="7"/>
        <v>#VALUE!</v>
      </c>
      <c r="I180" s="37" t="e">
        <f t="shared" si="10"/>
        <v>#VALUE!</v>
      </c>
      <c r="J180" s="37" t="e">
        <f t="shared" si="8"/>
        <v>#VALUE!</v>
      </c>
      <c r="L180" t="s">
        <v>1730</v>
      </c>
      <c r="M180" s="66"/>
    </row>
    <row r="181" spans="1:13" hidden="1" x14ac:dyDescent="0.35">
      <c r="A181" s="2" t="s">
        <v>477</v>
      </c>
      <c r="B181" s="2" t="s">
        <v>790</v>
      </c>
      <c r="C181" s="18" t="s">
        <v>1080</v>
      </c>
      <c r="D181" s="18" t="s">
        <v>1081</v>
      </c>
      <c r="E181" s="18" t="s">
        <v>2396</v>
      </c>
      <c r="F181" s="19" t="s">
        <v>2646</v>
      </c>
      <c r="G181" s="108">
        <v>238460.56</v>
      </c>
      <c r="H181" s="37" t="e">
        <f t="shared" si="7"/>
        <v>#VALUE!</v>
      </c>
      <c r="I181" s="37" t="e">
        <f t="shared" si="10"/>
        <v>#VALUE!</v>
      </c>
      <c r="J181" s="37" t="e">
        <f t="shared" si="8"/>
        <v>#VALUE!</v>
      </c>
      <c r="L181" t="s">
        <v>1730</v>
      </c>
      <c r="M181" s="66"/>
    </row>
    <row r="182" spans="1:13" hidden="1" x14ac:dyDescent="0.35">
      <c r="A182" s="2" t="s">
        <v>477</v>
      </c>
      <c r="B182" s="2" t="s">
        <v>790</v>
      </c>
      <c r="C182" s="18" t="s">
        <v>1080</v>
      </c>
      <c r="D182" s="18" t="s">
        <v>1081</v>
      </c>
      <c r="E182" s="18" t="s">
        <v>2397</v>
      </c>
      <c r="F182" s="19" t="s">
        <v>2509</v>
      </c>
      <c r="G182" s="108">
        <v>1156339.3999999999</v>
      </c>
      <c r="H182" s="37" t="e">
        <f t="shared" si="7"/>
        <v>#VALUE!</v>
      </c>
      <c r="I182" s="37" t="e">
        <f t="shared" si="10"/>
        <v>#VALUE!</v>
      </c>
      <c r="J182" s="37" t="e">
        <f t="shared" si="8"/>
        <v>#VALUE!</v>
      </c>
      <c r="L182" t="s">
        <v>1730</v>
      </c>
      <c r="M182" s="66"/>
    </row>
    <row r="183" spans="1:13" hidden="1" x14ac:dyDescent="0.35">
      <c r="A183" s="2" t="s">
        <v>477</v>
      </c>
      <c r="B183" s="2" t="s">
        <v>790</v>
      </c>
      <c r="C183" s="18" t="s">
        <v>1080</v>
      </c>
      <c r="D183" s="18" t="s">
        <v>1081</v>
      </c>
      <c r="E183" s="18" t="s">
        <v>2398</v>
      </c>
      <c r="F183" s="19" t="s">
        <v>2510</v>
      </c>
      <c r="G183" s="108">
        <v>116381.4</v>
      </c>
      <c r="H183" s="37" t="e">
        <f t="shared" si="7"/>
        <v>#VALUE!</v>
      </c>
      <c r="I183" s="37" t="e">
        <f t="shared" si="10"/>
        <v>#VALUE!</v>
      </c>
      <c r="J183" s="37" t="e">
        <f t="shared" si="8"/>
        <v>#VALUE!</v>
      </c>
      <c r="L183" t="s">
        <v>1730</v>
      </c>
      <c r="M183" s="66"/>
    </row>
    <row r="184" spans="1:13" hidden="1" x14ac:dyDescent="0.35">
      <c r="A184" s="2" t="s">
        <v>477</v>
      </c>
      <c r="B184" s="2" t="s">
        <v>790</v>
      </c>
      <c r="C184" s="18" t="s">
        <v>1080</v>
      </c>
      <c r="D184" s="18" t="s">
        <v>1081</v>
      </c>
      <c r="E184" s="18" t="s">
        <v>2399</v>
      </c>
      <c r="F184" s="19" t="s">
        <v>2510</v>
      </c>
      <c r="G184" s="108">
        <v>2799832.36</v>
      </c>
      <c r="H184" s="37" t="e">
        <f t="shared" si="7"/>
        <v>#VALUE!</v>
      </c>
      <c r="I184" s="37" t="e">
        <f t="shared" si="10"/>
        <v>#VALUE!</v>
      </c>
      <c r="J184" s="37" t="e">
        <f t="shared" si="8"/>
        <v>#VALUE!</v>
      </c>
      <c r="L184" t="s">
        <v>1730</v>
      </c>
      <c r="M184" s="66"/>
    </row>
    <row r="185" spans="1:13" hidden="1" x14ac:dyDescent="0.35">
      <c r="A185" s="2" t="s">
        <v>477</v>
      </c>
      <c r="B185" s="2" t="s">
        <v>790</v>
      </c>
      <c r="C185" s="18" t="s">
        <v>1080</v>
      </c>
      <c r="D185" s="18" t="s">
        <v>1081</v>
      </c>
      <c r="E185" s="18" t="s">
        <v>2400</v>
      </c>
      <c r="F185" s="19" t="s">
        <v>2510</v>
      </c>
      <c r="G185" s="108">
        <v>1244695.96</v>
      </c>
      <c r="H185" s="37" t="e">
        <f t="shared" si="7"/>
        <v>#VALUE!</v>
      </c>
      <c r="I185" s="37" t="e">
        <f t="shared" si="10"/>
        <v>#VALUE!</v>
      </c>
      <c r="J185" s="37" t="e">
        <f t="shared" si="8"/>
        <v>#VALUE!</v>
      </c>
      <c r="L185" t="s">
        <v>1730</v>
      </c>
      <c r="M185" s="66"/>
    </row>
    <row r="186" spans="1:13" hidden="1" x14ac:dyDescent="0.35">
      <c r="A186" s="2" t="s">
        <v>477</v>
      </c>
      <c r="B186" s="2" t="s">
        <v>790</v>
      </c>
      <c r="C186" s="18" t="s">
        <v>1080</v>
      </c>
      <c r="D186" s="18" t="s">
        <v>1081</v>
      </c>
      <c r="E186" s="18" t="s">
        <v>75</v>
      </c>
      <c r="F186" s="19" t="s">
        <v>2512</v>
      </c>
      <c r="G186" s="108">
        <v>692842.78</v>
      </c>
      <c r="H186" s="37" t="e">
        <f t="shared" si="7"/>
        <v>#VALUE!</v>
      </c>
      <c r="I186" s="37" t="e">
        <f t="shared" si="10"/>
        <v>#VALUE!</v>
      </c>
      <c r="J186" s="37" t="e">
        <f t="shared" si="8"/>
        <v>#VALUE!</v>
      </c>
      <c r="L186" t="s">
        <v>1730</v>
      </c>
      <c r="M186" s="66"/>
    </row>
    <row r="187" spans="1:13" hidden="1" x14ac:dyDescent="0.35">
      <c r="A187" s="2" t="s">
        <v>477</v>
      </c>
      <c r="B187" s="2" t="s">
        <v>790</v>
      </c>
      <c r="C187" s="18" t="s">
        <v>1080</v>
      </c>
      <c r="D187" s="18" t="s">
        <v>1081</v>
      </c>
      <c r="E187" s="18" t="s">
        <v>76</v>
      </c>
      <c r="F187" s="19" t="s">
        <v>2512</v>
      </c>
      <c r="G187" s="108">
        <v>94487.94</v>
      </c>
      <c r="H187" s="37" t="e">
        <f t="shared" si="7"/>
        <v>#VALUE!</v>
      </c>
      <c r="I187" s="37" t="e">
        <f t="shared" si="10"/>
        <v>#VALUE!</v>
      </c>
      <c r="J187" s="37" t="e">
        <f t="shared" si="8"/>
        <v>#VALUE!</v>
      </c>
      <c r="L187" t="s">
        <v>1730</v>
      </c>
      <c r="M187" s="66"/>
    </row>
    <row r="188" spans="1:13" hidden="1" x14ac:dyDescent="0.35">
      <c r="A188" s="2" t="s">
        <v>477</v>
      </c>
      <c r="B188" s="2" t="s">
        <v>790</v>
      </c>
      <c r="C188" s="18" t="s">
        <v>2380</v>
      </c>
      <c r="D188" s="18" t="s">
        <v>1081</v>
      </c>
      <c r="E188" s="18" t="s">
        <v>84</v>
      </c>
      <c r="F188" s="19" t="s">
        <v>2500</v>
      </c>
      <c r="G188" s="108">
        <v>1156929.3999999999</v>
      </c>
      <c r="H188" s="37" t="e">
        <f t="shared" si="7"/>
        <v>#VALUE!</v>
      </c>
      <c r="I188" s="37" t="e">
        <f t="shared" si="10"/>
        <v>#VALUE!</v>
      </c>
      <c r="J188" s="37" t="e">
        <f t="shared" si="8"/>
        <v>#VALUE!</v>
      </c>
      <c r="L188" t="s">
        <v>1730</v>
      </c>
      <c r="M188" s="66"/>
    </row>
    <row r="189" spans="1:13" hidden="1" x14ac:dyDescent="0.35">
      <c r="A189" s="2" t="s">
        <v>477</v>
      </c>
      <c r="B189" s="2" t="s">
        <v>790</v>
      </c>
      <c r="C189" s="18" t="s">
        <v>2380</v>
      </c>
      <c r="D189" s="18" t="s">
        <v>1081</v>
      </c>
      <c r="E189" s="18" t="s">
        <v>2401</v>
      </c>
      <c r="F189" s="19" t="s">
        <v>2500</v>
      </c>
      <c r="G189" s="108">
        <v>1156339.3999999999</v>
      </c>
      <c r="H189" s="37" t="e">
        <f t="shared" si="7"/>
        <v>#VALUE!</v>
      </c>
      <c r="I189" s="37" t="e">
        <f t="shared" si="10"/>
        <v>#VALUE!</v>
      </c>
      <c r="J189" s="37" t="e">
        <f t="shared" si="8"/>
        <v>#VALUE!</v>
      </c>
      <c r="L189" t="s">
        <v>1730</v>
      </c>
      <c r="M189" s="66"/>
    </row>
    <row r="190" spans="1:13" hidden="1" x14ac:dyDescent="0.35">
      <c r="A190" s="2" t="s">
        <v>477</v>
      </c>
      <c r="B190" s="2" t="s">
        <v>790</v>
      </c>
      <c r="C190" s="18" t="s">
        <v>2380</v>
      </c>
      <c r="D190" s="18" t="s">
        <v>1081</v>
      </c>
      <c r="E190" s="18" t="s">
        <v>2402</v>
      </c>
      <c r="F190" s="19" t="s">
        <v>2500</v>
      </c>
      <c r="G190" s="108">
        <v>871287.38</v>
      </c>
      <c r="H190" s="37" t="e">
        <f t="shared" si="7"/>
        <v>#VALUE!</v>
      </c>
      <c r="I190" s="37" t="e">
        <f t="shared" si="10"/>
        <v>#VALUE!</v>
      </c>
      <c r="J190" s="37" t="e">
        <f t="shared" si="8"/>
        <v>#VALUE!</v>
      </c>
      <c r="L190" t="s">
        <v>1730</v>
      </c>
      <c r="M190" s="66"/>
    </row>
    <row r="191" spans="1:13" hidden="1" x14ac:dyDescent="0.35">
      <c r="A191" s="2" t="s">
        <v>477</v>
      </c>
      <c r="B191" s="2" t="s">
        <v>790</v>
      </c>
      <c r="C191" s="18" t="s">
        <v>2380</v>
      </c>
      <c r="D191" s="18" t="s">
        <v>1081</v>
      </c>
      <c r="E191" s="18" t="s">
        <v>2403</v>
      </c>
      <c r="F191" s="19" t="s">
        <v>2500</v>
      </c>
      <c r="G191" s="108">
        <v>2364922.7200000002</v>
      </c>
      <c r="H191" s="37" t="e">
        <f t="shared" si="7"/>
        <v>#VALUE!</v>
      </c>
      <c r="I191" s="37" t="e">
        <f t="shared" si="10"/>
        <v>#VALUE!</v>
      </c>
      <c r="J191" s="37" t="e">
        <f t="shared" si="8"/>
        <v>#VALUE!</v>
      </c>
      <c r="L191" t="s">
        <v>1730</v>
      </c>
      <c r="M191" s="66"/>
    </row>
    <row r="192" spans="1:13" hidden="1" x14ac:dyDescent="0.35">
      <c r="A192" s="2" t="s">
        <v>477</v>
      </c>
      <c r="B192" s="2" t="s">
        <v>790</v>
      </c>
      <c r="C192" s="18" t="s">
        <v>2381</v>
      </c>
      <c r="D192" s="18" t="s">
        <v>2423</v>
      </c>
      <c r="E192" s="18" t="s">
        <v>2404</v>
      </c>
      <c r="F192" s="19" t="s">
        <v>2504</v>
      </c>
      <c r="G192" s="108">
        <v>87107.3</v>
      </c>
      <c r="H192" s="37">
        <f t="shared" si="7"/>
        <v>175</v>
      </c>
      <c r="I192" s="37" t="str">
        <f t="shared" si="10"/>
        <v>121-180 DAYS</v>
      </c>
      <c r="J192" s="37" t="str">
        <f t="shared" si="8"/>
        <v>0-180 DAYS</v>
      </c>
      <c r="L192" t="s">
        <v>1730</v>
      </c>
      <c r="M192" s="66"/>
    </row>
    <row r="193" spans="1:13" hidden="1" x14ac:dyDescent="0.35">
      <c r="A193" s="2" t="s">
        <v>477</v>
      </c>
      <c r="B193" s="2" t="s">
        <v>790</v>
      </c>
      <c r="C193" s="18" t="s">
        <v>2322</v>
      </c>
      <c r="D193" s="18" t="s">
        <v>2348</v>
      </c>
      <c r="E193" s="18" t="s">
        <v>53</v>
      </c>
      <c r="F193" s="19" t="s">
        <v>2647</v>
      </c>
      <c r="G193" s="108">
        <v>41117.1</v>
      </c>
      <c r="H193" s="37" t="e">
        <f t="shared" si="7"/>
        <v>#VALUE!</v>
      </c>
      <c r="I193" s="37" t="e">
        <f t="shared" si="10"/>
        <v>#VALUE!</v>
      </c>
      <c r="J193" s="37" t="e">
        <f t="shared" si="8"/>
        <v>#VALUE!</v>
      </c>
      <c r="L193" t="s">
        <v>1730</v>
      </c>
      <c r="M193" s="66"/>
    </row>
    <row r="194" spans="1:13" hidden="1" x14ac:dyDescent="0.35">
      <c r="A194" s="2" t="s">
        <v>477</v>
      </c>
      <c r="B194" s="2" t="s">
        <v>790</v>
      </c>
      <c r="C194" s="18" t="s">
        <v>1840</v>
      </c>
      <c r="D194" s="18" t="s">
        <v>2003</v>
      </c>
      <c r="E194" s="18" t="s">
        <v>2405</v>
      </c>
      <c r="F194" s="19" t="s">
        <v>2646</v>
      </c>
      <c r="G194" s="108">
        <v>623040</v>
      </c>
      <c r="H194" s="37" t="e">
        <f t="shared" si="7"/>
        <v>#VALUE!</v>
      </c>
      <c r="I194" s="37" t="e">
        <f t="shared" si="10"/>
        <v>#VALUE!</v>
      </c>
      <c r="J194" s="37" t="e">
        <f t="shared" si="8"/>
        <v>#VALUE!</v>
      </c>
      <c r="L194" t="s">
        <v>1730</v>
      </c>
      <c r="M194" s="66"/>
    </row>
    <row r="195" spans="1:13" hidden="1" x14ac:dyDescent="0.35">
      <c r="A195" s="2" t="s">
        <v>477</v>
      </c>
      <c r="B195" s="2" t="s">
        <v>790</v>
      </c>
      <c r="C195" s="18" t="s">
        <v>259</v>
      </c>
      <c r="D195" s="18" t="s">
        <v>260</v>
      </c>
      <c r="E195" s="18" t="s">
        <v>2406</v>
      </c>
      <c r="F195" s="19" t="s">
        <v>2520</v>
      </c>
      <c r="G195" s="108">
        <v>13217.25</v>
      </c>
      <c r="H195" s="37" t="e">
        <f t="shared" si="7"/>
        <v>#VALUE!</v>
      </c>
      <c r="I195" s="37" t="e">
        <f t="shared" si="10"/>
        <v>#VALUE!</v>
      </c>
      <c r="J195" s="37" t="e">
        <f t="shared" si="8"/>
        <v>#VALUE!</v>
      </c>
      <c r="L195" t="s">
        <v>1730</v>
      </c>
      <c r="M195" s="66"/>
    </row>
    <row r="196" spans="1:13" hidden="1" x14ac:dyDescent="0.35">
      <c r="A196" s="2" t="s">
        <v>1209</v>
      </c>
      <c r="B196" s="2" t="s">
        <v>789</v>
      </c>
      <c r="C196" s="18" t="s">
        <v>125</v>
      </c>
      <c r="D196" s="18" t="s">
        <v>57</v>
      </c>
      <c r="E196" s="18" t="s">
        <v>2407</v>
      </c>
      <c r="F196" s="19" t="s">
        <v>2512</v>
      </c>
      <c r="G196" s="108">
        <v>683820</v>
      </c>
      <c r="H196" s="37" t="e">
        <f t="shared" si="7"/>
        <v>#VALUE!</v>
      </c>
      <c r="I196" s="37" t="e">
        <f t="shared" si="10"/>
        <v>#VALUE!</v>
      </c>
      <c r="J196" s="37" t="e">
        <f t="shared" si="8"/>
        <v>#VALUE!</v>
      </c>
      <c r="M196" s="66"/>
    </row>
    <row r="197" spans="1:13" hidden="1" x14ac:dyDescent="0.35">
      <c r="A197" s="2" t="s">
        <v>1209</v>
      </c>
      <c r="B197" s="2" t="s">
        <v>789</v>
      </c>
      <c r="C197" s="18" t="s">
        <v>125</v>
      </c>
      <c r="D197" s="18" t="s">
        <v>57</v>
      </c>
      <c r="E197" s="18" t="s">
        <v>2408</v>
      </c>
      <c r="F197" s="19" t="s">
        <v>2500</v>
      </c>
      <c r="G197" s="108">
        <v>3486353.74</v>
      </c>
      <c r="H197" s="37" t="e">
        <f t="shared" ref="H197:H260" si="11">$H$2-F197+1</f>
        <v>#VALUE!</v>
      </c>
      <c r="I197" s="37" t="e">
        <f t="shared" si="10"/>
        <v>#VALUE!</v>
      </c>
      <c r="J197" s="37" t="e">
        <f t="shared" si="8"/>
        <v>#VALUE!</v>
      </c>
      <c r="M197" s="66"/>
    </row>
    <row r="198" spans="1:13" hidden="1" x14ac:dyDescent="0.35">
      <c r="A198" s="2" t="s">
        <v>477</v>
      </c>
      <c r="B198" s="2" t="s">
        <v>790</v>
      </c>
      <c r="C198" s="18" t="s">
        <v>2382</v>
      </c>
      <c r="D198" s="18" t="s">
        <v>2424</v>
      </c>
      <c r="E198" s="18" t="s">
        <v>2409</v>
      </c>
      <c r="F198" s="19" t="s">
        <v>2500</v>
      </c>
      <c r="G198" s="108">
        <v>73160</v>
      </c>
      <c r="H198" s="37" t="e">
        <f t="shared" si="11"/>
        <v>#VALUE!</v>
      </c>
      <c r="I198" s="37" t="e">
        <f t="shared" si="10"/>
        <v>#VALUE!</v>
      </c>
      <c r="J198" s="37" t="e">
        <f t="shared" ref="J198:J261" si="12">IF(H198&lt;180,"0-180 DAYS","More than 180 Days")</f>
        <v>#VALUE!</v>
      </c>
      <c r="L198" t="s">
        <v>1730</v>
      </c>
      <c r="M198" s="66"/>
    </row>
    <row r="199" spans="1:13" hidden="1" x14ac:dyDescent="0.35">
      <c r="A199" s="2" t="s">
        <v>1209</v>
      </c>
      <c r="B199" s="2" t="s">
        <v>789</v>
      </c>
      <c r="C199" s="18" t="s">
        <v>125</v>
      </c>
      <c r="D199" s="18" t="s">
        <v>57</v>
      </c>
      <c r="E199" s="18" t="s">
        <v>2410</v>
      </c>
      <c r="F199" s="19" t="s">
        <v>2504</v>
      </c>
      <c r="G199" s="108">
        <v>939110.85</v>
      </c>
      <c r="H199" s="37">
        <f t="shared" si="11"/>
        <v>175</v>
      </c>
      <c r="I199" s="37" t="str">
        <f t="shared" si="10"/>
        <v>121-180 DAYS</v>
      </c>
      <c r="J199" s="37" t="str">
        <f t="shared" si="12"/>
        <v>0-180 DAYS</v>
      </c>
      <c r="M199" s="66"/>
    </row>
    <row r="200" spans="1:13" hidden="1" x14ac:dyDescent="0.35">
      <c r="A200" s="2" t="s">
        <v>1209</v>
      </c>
      <c r="B200" s="2" t="s">
        <v>789</v>
      </c>
      <c r="C200" s="18" t="s">
        <v>125</v>
      </c>
      <c r="D200" s="18" t="s">
        <v>57</v>
      </c>
      <c r="E200" s="18" t="s">
        <v>2411</v>
      </c>
      <c r="F200" s="19" t="s">
        <v>2504</v>
      </c>
      <c r="G200" s="108">
        <v>81873.009999999995</v>
      </c>
      <c r="H200" s="37">
        <f t="shared" si="11"/>
        <v>175</v>
      </c>
      <c r="I200" s="37" t="str">
        <f t="shared" si="10"/>
        <v>121-180 DAYS</v>
      </c>
      <c r="J200" s="37" t="str">
        <f t="shared" si="12"/>
        <v>0-180 DAYS</v>
      </c>
      <c r="M200" s="66"/>
    </row>
    <row r="201" spans="1:13" hidden="1" x14ac:dyDescent="0.35">
      <c r="A201" s="2" t="s">
        <v>1209</v>
      </c>
      <c r="B201" s="2" t="s">
        <v>789</v>
      </c>
      <c r="C201" s="18" t="s">
        <v>125</v>
      </c>
      <c r="D201" s="18" t="s">
        <v>57</v>
      </c>
      <c r="E201" s="18" t="s">
        <v>2412</v>
      </c>
      <c r="F201" s="19" t="s">
        <v>2521</v>
      </c>
      <c r="G201" s="108">
        <v>6807.96</v>
      </c>
      <c r="H201" s="37">
        <f t="shared" si="11"/>
        <v>114</v>
      </c>
      <c r="I201" s="37" t="str">
        <f t="shared" si="10"/>
        <v>91-120DAYS</v>
      </c>
      <c r="J201" s="37" t="str">
        <f t="shared" si="12"/>
        <v>0-180 DAYS</v>
      </c>
      <c r="M201" s="66"/>
    </row>
    <row r="202" spans="1:13" hidden="1" x14ac:dyDescent="0.35">
      <c r="A202" s="2" t="s">
        <v>1209</v>
      </c>
      <c r="B202" s="2" t="s">
        <v>789</v>
      </c>
      <c r="C202" s="18" t="s">
        <v>125</v>
      </c>
      <c r="D202" s="18" t="s">
        <v>57</v>
      </c>
      <c r="E202" s="18" t="s">
        <v>2413</v>
      </c>
      <c r="F202" s="19" t="s">
        <v>2522</v>
      </c>
      <c r="G202" s="108">
        <v>71574.95</v>
      </c>
      <c r="H202" s="37">
        <f t="shared" si="11"/>
        <v>-8</v>
      </c>
      <c r="I202" s="37" t="str">
        <f t="shared" si="10"/>
        <v>1-90 DAYS</v>
      </c>
      <c r="J202" s="37" t="str">
        <f t="shared" si="12"/>
        <v>0-180 DAYS</v>
      </c>
      <c r="M202" s="66"/>
    </row>
    <row r="203" spans="1:13" hidden="1" x14ac:dyDescent="0.35">
      <c r="A203" s="2" t="s">
        <v>1209</v>
      </c>
      <c r="B203" s="2" t="s">
        <v>789</v>
      </c>
      <c r="C203" s="18" t="s">
        <v>125</v>
      </c>
      <c r="D203" s="18" t="s">
        <v>57</v>
      </c>
      <c r="E203" s="18" t="s">
        <v>2414</v>
      </c>
      <c r="F203" s="19" t="s">
        <v>2516</v>
      </c>
      <c r="G203" s="108">
        <v>84628.76</v>
      </c>
      <c r="H203" s="37" t="e">
        <f t="shared" si="11"/>
        <v>#VALUE!</v>
      </c>
      <c r="I203" s="37" t="e">
        <f t="shared" si="10"/>
        <v>#VALUE!</v>
      </c>
      <c r="J203" s="37" t="e">
        <f t="shared" si="12"/>
        <v>#VALUE!</v>
      </c>
      <c r="M203" s="66"/>
    </row>
    <row r="204" spans="1:13" hidden="1" x14ac:dyDescent="0.35">
      <c r="A204" s="2" t="s">
        <v>1209</v>
      </c>
      <c r="B204" s="2" t="s">
        <v>789</v>
      </c>
      <c r="C204" s="18" t="s">
        <v>125</v>
      </c>
      <c r="D204" s="18" t="s">
        <v>57</v>
      </c>
      <c r="E204" s="18" t="s">
        <v>2415</v>
      </c>
      <c r="F204" s="19" t="s">
        <v>2517</v>
      </c>
      <c r="G204" s="108">
        <v>2796380.89</v>
      </c>
      <c r="H204" s="37" t="e">
        <f t="shared" si="11"/>
        <v>#VALUE!</v>
      </c>
      <c r="I204" s="37" t="e">
        <f t="shared" si="10"/>
        <v>#VALUE!</v>
      </c>
      <c r="J204" s="37" t="e">
        <f t="shared" si="12"/>
        <v>#VALUE!</v>
      </c>
      <c r="M204" s="66"/>
    </row>
    <row r="205" spans="1:13" hidden="1" x14ac:dyDescent="0.35">
      <c r="A205" s="2" t="s">
        <v>1209</v>
      </c>
      <c r="B205" s="2" t="s">
        <v>789</v>
      </c>
      <c r="C205" s="18" t="s">
        <v>125</v>
      </c>
      <c r="D205" s="18" t="s">
        <v>57</v>
      </c>
      <c r="E205" s="18" t="s">
        <v>2416</v>
      </c>
      <c r="F205" s="19" t="s">
        <v>2517</v>
      </c>
      <c r="G205" s="108">
        <v>51671.03</v>
      </c>
      <c r="H205" s="37" t="e">
        <f t="shared" si="11"/>
        <v>#VALUE!</v>
      </c>
      <c r="I205" s="37" t="e">
        <f t="shared" si="10"/>
        <v>#VALUE!</v>
      </c>
      <c r="J205" s="37" t="e">
        <f t="shared" si="12"/>
        <v>#VALUE!</v>
      </c>
      <c r="M205" s="66"/>
    </row>
    <row r="206" spans="1:13" hidden="1" x14ac:dyDescent="0.35">
      <c r="A206" s="2" t="s">
        <v>1209</v>
      </c>
      <c r="B206" s="2" t="s">
        <v>789</v>
      </c>
      <c r="C206" s="18" t="s">
        <v>125</v>
      </c>
      <c r="D206" s="18" t="s">
        <v>57</v>
      </c>
      <c r="E206" s="18" t="s">
        <v>2417</v>
      </c>
      <c r="F206" s="19" t="s">
        <v>2518</v>
      </c>
      <c r="G206" s="108">
        <v>9197.08</v>
      </c>
      <c r="H206" s="37" t="e">
        <f t="shared" si="11"/>
        <v>#VALUE!</v>
      </c>
      <c r="I206" s="37" t="e">
        <f t="shared" si="10"/>
        <v>#VALUE!</v>
      </c>
      <c r="J206" s="37" t="e">
        <f t="shared" si="12"/>
        <v>#VALUE!</v>
      </c>
      <c r="M206" s="66"/>
    </row>
    <row r="207" spans="1:13" hidden="1" x14ac:dyDescent="0.35">
      <c r="A207" s="2" t="s">
        <v>1209</v>
      </c>
      <c r="B207" s="2" t="s">
        <v>789</v>
      </c>
      <c r="C207" s="18" t="s">
        <v>125</v>
      </c>
      <c r="D207" s="18" t="s">
        <v>57</v>
      </c>
      <c r="E207" s="18" t="s">
        <v>2418</v>
      </c>
      <c r="F207" s="19" t="s">
        <v>2511</v>
      </c>
      <c r="G207" s="108">
        <v>1570443.53</v>
      </c>
      <c r="H207" s="37" t="e">
        <f t="shared" si="11"/>
        <v>#VALUE!</v>
      </c>
      <c r="I207" s="37" t="e">
        <f t="shared" si="10"/>
        <v>#VALUE!</v>
      </c>
      <c r="J207" s="37" t="e">
        <f t="shared" si="12"/>
        <v>#VALUE!</v>
      </c>
      <c r="M207" s="66"/>
    </row>
    <row r="208" spans="1:13" hidden="1" x14ac:dyDescent="0.35">
      <c r="A208" s="2" t="s">
        <v>1209</v>
      </c>
      <c r="B208" s="2" t="s">
        <v>789</v>
      </c>
      <c r="C208" s="18" t="s">
        <v>125</v>
      </c>
      <c r="D208" s="18" t="s">
        <v>57</v>
      </c>
      <c r="E208" s="18" t="s">
        <v>2419</v>
      </c>
      <c r="F208" s="19" t="s">
        <v>2511</v>
      </c>
      <c r="G208" s="108">
        <v>11842.11</v>
      </c>
      <c r="H208" s="37" t="e">
        <f t="shared" si="11"/>
        <v>#VALUE!</v>
      </c>
      <c r="I208" s="37" t="e">
        <f t="shared" si="10"/>
        <v>#VALUE!</v>
      </c>
      <c r="J208" s="37" t="e">
        <f t="shared" si="12"/>
        <v>#VALUE!</v>
      </c>
      <c r="M208" s="66"/>
    </row>
    <row r="209" spans="1:13" hidden="1" x14ac:dyDescent="0.35">
      <c r="A209" s="2" t="s">
        <v>1209</v>
      </c>
      <c r="B209" s="2" t="s">
        <v>789</v>
      </c>
      <c r="C209" s="18" t="s">
        <v>125</v>
      </c>
      <c r="D209" s="18" t="s">
        <v>57</v>
      </c>
      <c r="E209" s="18" t="s">
        <v>2420</v>
      </c>
      <c r="F209" s="19" t="s">
        <v>2512</v>
      </c>
      <c r="G209" s="108">
        <v>838413.94</v>
      </c>
      <c r="H209" s="37" t="e">
        <f t="shared" si="11"/>
        <v>#VALUE!</v>
      </c>
      <c r="I209" s="37" t="e">
        <f t="shared" si="10"/>
        <v>#VALUE!</v>
      </c>
      <c r="J209" s="37" t="e">
        <f t="shared" si="12"/>
        <v>#VALUE!</v>
      </c>
      <c r="M209" s="66"/>
    </row>
    <row r="210" spans="1:13" hidden="1" x14ac:dyDescent="0.35">
      <c r="A210" s="2" t="s">
        <v>1209</v>
      </c>
      <c r="B210" s="2" t="s">
        <v>789</v>
      </c>
      <c r="C210" s="18" t="s">
        <v>125</v>
      </c>
      <c r="D210" s="18" t="s">
        <v>57</v>
      </c>
      <c r="E210" s="18" t="s">
        <v>2421</v>
      </c>
      <c r="F210" s="19" t="s">
        <v>2500</v>
      </c>
      <c r="G210" s="108">
        <v>1450065.94</v>
      </c>
      <c r="H210" s="37" t="e">
        <f t="shared" si="11"/>
        <v>#VALUE!</v>
      </c>
      <c r="I210" s="37" t="e">
        <f t="shared" si="10"/>
        <v>#VALUE!</v>
      </c>
      <c r="J210" s="37" t="e">
        <f t="shared" si="12"/>
        <v>#VALUE!</v>
      </c>
      <c r="M210" s="66"/>
    </row>
    <row r="211" spans="1:13" hidden="1" x14ac:dyDescent="0.35">
      <c r="A211" s="2" t="s">
        <v>1209</v>
      </c>
      <c r="B211" s="2" t="s">
        <v>789</v>
      </c>
      <c r="C211" s="18" t="s">
        <v>125</v>
      </c>
      <c r="D211" s="18" t="s">
        <v>57</v>
      </c>
      <c r="E211" s="18" t="s">
        <v>2549</v>
      </c>
      <c r="F211" s="19" t="s">
        <v>2648</v>
      </c>
      <c r="G211" s="18">
        <v>1306031.0900000001</v>
      </c>
      <c r="H211" s="37" t="e">
        <f t="shared" si="11"/>
        <v>#VALUE!</v>
      </c>
      <c r="I211" s="37" t="e">
        <f t="shared" si="10"/>
        <v>#VALUE!</v>
      </c>
      <c r="J211" s="37" t="e">
        <f t="shared" si="12"/>
        <v>#VALUE!</v>
      </c>
      <c r="M211" s="66"/>
    </row>
    <row r="212" spans="1:13" hidden="1" x14ac:dyDescent="0.35">
      <c r="A212" s="2" t="s">
        <v>1209</v>
      </c>
      <c r="B212" s="2" t="s">
        <v>789</v>
      </c>
      <c r="C212" s="18" t="s">
        <v>125</v>
      </c>
      <c r="D212" s="18" t="s">
        <v>57</v>
      </c>
      <c r="E212" s="18" t="s">
        <v>2550</v>
      </c>
      <c r="F212" s="19" t="s">
        <v>2648</v>
      </c>
      <c r="G212" s="18">
        <v>1396298.44</v>
      </c>
      <c r="H212" s="37" t="e">
        <f t="shared" si="11"/>
        <v>#VALUE!</v>
      </c>
      <c r="I212" s="37" t="e">
        <f t="shared" si="10"/>
        <v>#VALUE!</v>
      </c>
      <c r="J212" s="37" t="e">
        <f t="shared" si="12"/>
        <v>#VALUE!</v>
      </c>
      <c r="M212" s="66"/>
    </row>
    <row r="213" spans="1:13" hidden="1" x14ac:dyDescent="0.35">
      <c r="A213" s="2" t="s">
        <v>1209</v>
      </c>
      <c r="B213" s="2" t="s">
        <v>789</v>
      </c>
      <c r="C213" s="18" t="s">
        <v>125</v>
      </c>
      <c r="D213" s="18" t="s">
        <v>57</v>
      </c>
      <c r="E213" s="18" t="s">
        <v>2551</v>
      </c>
      <c r="F213" s="19" t="s">
        <v>2649</v>
      </c>
      <c r="G213" s="18">
        <v>5220.13</v>
      </c>
      <c r="H213" s="37" t="e">
        <f t="shared" si="11"/>
        <v>#VALUE!</v>
      </c>
      <c r="I213" s="37" t="e">
        <f t="shared" si="10"/>
        <v>#VALUE!</v>
      </c>
      <c r="J213" s="37" t="e">
        <f t="shared" si="12"/>
        <v>#VALUE!</v>
      </c>
      <c r="M213" s="66"/>
    </row>
    <row r="214" spans="1:13" hidden="1" x14ac:dyDescent="0.35">
      <c r="A214" s="2" t="s">
        <v>1209</v>
      </c>
      <c r="B214" s="2" t="s">
        <v>789</v>
      </c>
      <c r="C214" s="18" t="s">
        <v>125</v>
      </c>
      <c r="D214" s="18" t="s">
        <v>57</v>
      </c>
      <c r="E214" s="18" t="s">
        <v>2552</v>
      </c>
      <c r="F214" s="19" t="s">
        <v>2649</v>
      </c>
      <c r="G214" s="18">
        <v>1030589.43</v>
      </c>
      <c r="H214" s="37" t="e">
        <f t="shared" si="11"/>
        <v>#VALUE!</v>
      </c>
      <c r="I214" s="37" t="e">
        <f t="shared" si="10"/>
        <v>#VALUE!</v>
      </c>
      <c r="J214" s="37" t="e">
        <f t="shared" si="12"/>
        <v>#VALUE!</v>
      </c>
      <c r="M214" s="66"/>
    </row>
    <row r="215" spans="1:13" hidden="1" x14ac:dyDescent="0.35">
      <c r="A215" s="2" t="s">
        <v>1209</v>
      </c>
      <c r="B215" s="2" t="s">
        <v>789</v>
      </c>
      <c r="C215" s="18" t="s">
        <v>125</v>
      </c>
      <c r="D215" s="18" t="s">
        <v>57</v>
      </c>
      <c r="E215" s="18" t="s">
        <v>2553</v>
      </c>
      <c r="F215" s="19" t="s">
        <v>2547</v>
      </c>
      <c r="G215" s="18">
        <v>1685052.3</v>
      </c>
      <c r="H215" s="37" t="e">
        <f t="shared" si="11"/>
        <v>#VALUE!</v>
      </c>
      <c r="I215" s="37" t="e">
        <f t="shared" si="10"/>
        <v>#VALUE!</v>
      </c>
      <c r="J215" s="37" t="e">
        <f t="shared" si="12"/>
        <v>#VALUE!</v>
      </c>
      <c r="M215" s="66"/>
    </row>
    <row r="216" spans="1:13" hidden="1" x14ac:dyDescent="0.35">
      <c r="A216" s="2" t="s">
        <v>1209</v>
      </c>
      <c r="B216" s="2" t="s">
        <v>789</v>
      </c>
      <c r="C216" s="18" t="s">
        <v>125</v>
      </c>
      <c r="D216" s="18" t="s">
        <v>57</v>
      </c>
      <c r="E216" s="18" t="s">
        <v>2554</v>
      </c>
      <c r="F216" s="19" t="s">
        <v>2650</v>
      </c>
      <c r="G216" s="18">
        <v>113144.88</v>
      </c>
      <c r="H216" s="37" t="e">
        <f t="shared" si="11"/>
        <v>#VALUE!</v>
      </c>
      <c r="I216" s="37" t="e">
        <f t="shared" si="10"/>
        <v>#VALUE!</v>
      </c>
      <c r="J216" s="37" t="e">
        <f t="shared" si="12"/>
        <v>#VALUE!</v>
      </c>
      <c r="M216" s="66"/>
    </row>
    <row r="217" spans="1:13" hidden="1" x14ac:dyDescent="0.35">
      <c r="A217" s="2" t="s">
        <v>1209</v>
      </c>
      <c r="B217" s="2" t="s">
        <v>789</v>
      </c>
      <c r="C217" s="18" t="s">
        <v>125</v>
      </c>
      <c r="D217" s="18" t="s">
        <v>57</v>
      </c>
      <c r="E217" s="18" t="s">
        <v>2555</v>
      </c>
      <c r="F217" s="19" t="s">
        <v>2651</v>
      </c>
      <c r="G217" s="18">
        <v>1375100.56</v>
      </c>
      <c r="H217" s="37">
        <f t="shared" si="11"/>
        <v>144</v>
      </c>
      <c r="I217" s="37" t="str">
        <f t="shared" si="10"/>
        <v>121-180 DAYS</v>
      </c>
      <c r="J217" s="37" t="str">
        <f t="shared" si="12"/>
        <v>0-180 DAYS</v>
      </c>
      <c r="M217" s="66"/>
    </row>
    <row r="218" spans="1:13" hidden="1" x14ac:dyDescent="0.35">
      <c r="A218" s="2" t="s">
        <v>1209</v>
      </c>
      <c r="B218" s="2" t="s">
        <v>789</v>
      </c>
      <c r="C218" s="18" t="s">
        <v>125</v>
      </c>
      <c r="D218" s="18" t="s">
        <v>57</v>
      </c>
      <c r="E218" s="18" t="s">
        <v>2556</v>
      </c>
      <c r="F218" s="19" t="s">
        <v>2652</v>
      </c>
      <c r="G218" s="18">
        <v>19387.96</v>
      </c>
      <c r="H218" s="37" t="e">
        <f t="shared" si="11"/>
        <v>#VALUE!</v>
      </c>
      <c r="I218" s="37" t="e">
        <f t="shared" si="10"/>
        <v>#VALUE!</v>
      </c>
      <c r="J218" s="37" t="e">
        <f t="shared" si="12"/>
        <v>#VALUE!</v>
      </c>
      <c r="M218" s="66"/>
    </row>
    <row r="219" spans="1:13" x14ac:dyDescent="0.35">
      <c r="A219" s="2" t="s">
        <v>1085</v>
      </c>
      <c r="B219" s="2" t="s">
        <v>790</v>
      </c>
      <c r="C219" s="18" t="s">
        <v>617</v>
      </c>
      <c r="D219" s="37" t="s">
        <v>507</v>
      </c>
      <c r="E219" s="18" t="s">
        <v>2428</v>
      </c>
      <c r="F219" s="19" t="s">
        <v>2644</v>
      </c>
      <c r="G219" s="108">
        <v>4245241.6100000003</v>
      </c>
      <c r="H219" s="37">
        <f t="shared" si="11"/>
        <v>327</v>
      </c>
      <c r="I219" s="37" t="str">
        <f t="shared" ref="I219:I234" si="13">IF(H219&lt;121,"0-120 DAYS",IF(H219&lt;181,"121-180 DAYS","More than 180 Days"))</f>
        <v>More than 180 Days</v>
      </c>
      <c r="J219" s="37" t="str">
        <f t="shared" si="12"/>
        <v>More than 180 Days</v>
      </c>
      <c r="L219" t="s">
        <v>1730</v>
      </c>
      <c r="M219" s="66"/>
    </row>
    <row r="220" spans="1:13" x14ac:dyDescent="0.35">
      <c r="A220" s="2" t="s">
        <v>1085</v>
      </c>
      <c r="B220" s="2" t="s">
        <v>790</v>
      </c>
      <c r="C220" s="18" t="s">
        <v>631</v>
      </c>
      <c r="D220" s="37" t="s">
        <v>507</v>
      </c>
      <c r="E220" s="18" t="s">
        <v>2429</v>
      </c>
      <c r="F220" s="19" t="s">
        <v>2644</v>
      </c>
      <c r="G220" s="108">
        <v>3042124.8</v>
      </c>
      <c r="H220" s="37">
        <f t="shared" si="11"/>
        <v>327</v>
      </c>
      <c r="I220" s="37" t="str">
        <f t="shared" si="13"/>
        <v>More than 180 Days</v>
      </c>
      <c r="J220" s="37" t="str">
        <f t="shared" si="12"/>
        <v>More than 180 Days</v>
      </c>
      <c r="L220" t="s">
        <v>1730</v>
      </c>
      <c r="M220" s="66"/>
    </row>
    <row r="221" spans="1:13" x14ac:dyDescent="0.35">
      <c r="A221" s="2" t="s">
        <v>1085</v>
      </c>
      <c r="B221" s="2" t="s">
        <v>790</v>
      </c>
      <c r="C221" s="18" t="s">
        <v>631</v>
      </c>
      <c r="D221" s="37" t="s">
        <v>507</v>
      </c>
      <c r="E221" s="18" t="s">
        <v>2430</v>
      </c>
      <c r="F221" s="19" t="s">
        <v>2644</v>
      </c>
      <c r="G221" s="108">
        <v>3042124.8</v>
      </c>
      <c r="H221" s="37">
        <f t="shared" si="11"/>
        <v>327</v>
      </c>
      <c r="I221" s="37" t="str">
        <f t="shared" si="13"/>
        <v>More than 180 Days</v>
      </c>
      <c r="J221" s="37" t="str">
        <f t="shared" si="12"/>
        <v>More than 180 Days</v>
      </c>
      <c r="L221" t="s">
        <v>1730</v>
      </c>
      <c r="M221" s="66"/>
    </row>
    <row r="222" spans="1:13" x14ac:dyDescent="0.35">
      <c r="A222" s="2" t="s">
        <v>1085</v>
      </c>
      <c r="B222" s="2" t="s">
        <v>790</v>
      </c>
      <c r="C222" s="18" t="s">
        <v>631</v>
      </c>
      <c r="D222" s="37" t="s">
        <v>507</v>
      </c>
      <c r="E222" s="18" t="s">
        <v>2431</v>
      </c>
      <c r="F222" s="19" t="s">
        <v>2644</v>
      </c>
      <c r="G222" s="108">
        <v>3042124.8</v>
      </c>
      <c r="H222" s="37">
        <f t="shared" si="11"/>
        <v>327</v>
      </c>
      <c r="I222" s="37" t="str">
        <f t="shared" si="13"/>
        <v>More than 180 Days</v>
      </c>
      <c r="J222" s="37" t="str">
        <f t="shared" si="12"/>
        <v>More than 180 Days</v>
      </c>
      <c r="L222" t="s">
        <v>1730</v>
      </c>
      <c r="M222" s="66"/>
    </row>
    <row r="223" spans="1:13" x14ac:dyDescent="0.35">
      <c r="A223" s="2" t="s">
        <v>1085</v>
      </c>
      <c r="B223" s="2" t="s">
        <v>790</v>
      </c>
      <c r="C223" s="18" t="s">
        <v>617</v>
      </c>
      <c r="D223" s="37" t="s">
        <v>507</v>
      </c>
      <c r="E223" s="18" t="s">
        <v>2432</v>
      </c>
      <c r="F223" s="19" t="s">
        <v>2513</v>
      </c>
      <c r="G223" s="108">
        <v>4128675.58</v>
      </c>
      <c r="H223" s="37">
        <f t="shared" si="11"/>
        <v>296</v>
      </c>
      <c r="I223" s="37" t="str">
        <f t="shared" si="13"/>
        <v>More than 180 Days</v>
      </c>
      <c r="J223" s="37" t="str">
        <f t="shared" si="12"/>
        <v>More than 180 Days</v>
      </c>
      <c r="L223" t="s">
        <v>1730</v>
      </c>
      <c r="M223" s="66"/>
    </row>
    <row r="224" spans="1:13" x14ac:dyDescent="0.35">
      <c r="A224" s="2" t="s">
        <v>1085</v>
      </c>
      <c r="B224" s="2" t="s">
        <v>790</v>
      </c>
      <c r="C224" s="18" t="s">
        <v>797</v>
      </c>
      <c r="D224" s="37" t="s">
        <v>507</v>
      </c>
      <c r="E224" s="18" t="s">
        <v>2433</v>
      </c>
      <c r="F224" s="19" t="s">
        <v>2503</v>
      </c>
      <c r="G224" s="108">
        <v>3749472</v>
      </c>
      <c r="H224" s="37">
        <f t="shared" si="11"/>
        <v>206</v>
      </c>
      <c r="I224" s="37" t="str">
        <f t="shared" si="13"/>
        <v>More than 180 Days</v>
      </c>
      <c r="J224" s="37" t="str">
        <f t="shared" si="12"/>
        <v>More than 180 Days</v>
      </c>
      <c r="L224" t="s">
        <v>1730</v>
      </c>
      <c r="M224" s="66"/>
    </row>
    <row r="225" spans="1:13" x14ac:dyDescent="0.35">
      <c r="A225" s="2" t="s">
        <v>1085</v>
      </c>
      <c r="B225" s="2" t="s">
        <v>790</v>
      </c>
      <c r="C225" s="18" t="s">
        <v>538</v>
      </c>
      <c r="D225" s="37" t="s">
        <v>507</v>
      </c>
      <c r="E225" s="18" t="s">
        <v>2434</v>
      </c>
      <c r="F225" s="19" t="s">
        <v>2503</v>
      </c>
      <c r="G225" s="108">
        <v>3241595.33</v>
      </c>
      <c r="H225" s="37">
        <f t="shared" si="11"/>
        <v>206</v>
      </c>
      <c r="I225" s="37" t="str">
        <f t="shared" si="13"/>
        <v>More than 180 Days</v>
      </c>
      <c r="J225" s="37" t="str">
        <f t="shared" si="12"/>
        <v>More than 180 Days</v>
      </c>
      <c r="L225" t="s">
        <v>1730</v>
      </c>
      <c r="M225" s="66"/>
    </row>
    <row r="226" spans="1:13" x14ac:dyDescent="0.35">
      <c r="A226" s="2" t="s">
        <v>1085</v>
      </c>
      <c r="B226" s="2" t="s">
        <v>790</v>
      </c>
      <c r="C226" s="18" t="s">
        <v>617</v>
      </c>
      <c r="D226" s="37" t="s">
        <v>507</v>
      </c>
      <c r="E226" s="18" t="s">
        <v>2435</v>
      </c>
      <c r="F226" s="19" t="s">
        <v>2523</v>
      </c>
      <c r="G226" s="108">
        <v>4251055.3899999997</v>
      </c>
      <c r="H226" s="37">
        <f t="shared" si="11"/>
        <v>83</v>
      </c>
      <c r="I226" s="37" t="str">
        <f t="shared" si="13"/>
        <v>0-120 DAYS</v>
      </c>
      <c r="J226" s="37" t="str">
        <f t="shared" si="12"/>
        <v>0-180 DAYS</v>
      </c>
      <c r="L226" t="s">
        <v>1730</v>
      </c>
      <c r="M226" s="66"/>
    </row>
    <row r="227" spans="1:13" x14ac:dyDescent="0.35">
      <c r="A227" s="2" t="s">
        <v>1085</v>
      </c>
      <c r="B227" s="2" t="s">
        <v>790</v>
      </c>
      <c r="C227" s="18" t="s">
        <v>797</v>
      </c>
      <c r="D227" s="37" t="s">
        <v>507</v>
      </c>
      <c r="E227" s="18" t="s">
        <v>2436</v>
      </c>
      <c r="F227" s="19" t="s">
        <v>2505</v>
      </c>
      <c r="G227" s="108">
        <v>3751728</v>
      </c>
      <c r="H227" s="37">
        <f t="shared" si="11"/>
        <v>22</v>
      </c>
      <c r="I227" s="37" t="str">
        <f t="shared" si="13"/>
        <v>0-120 DAYS</v>
      </c>
      <c r="J227" s="37" t="str">
        <f t="shared" si="12"/>
        <v>0-180 DAYS</v>
      </c>
      <c r="L227" t="s">
        <v>1730</v>
      </c>
      <c r="M227" s="66"/>
    </row>
    <row r="228" spans="1:13" x14ac:dyDescent="0.35">
      <c r="A228" s="2" t="s">
        <v>1085</v>
      </c>
      <c r="B228" s="2" t="s">
        <v>790</v>
      </c>
      <c r="C228" s="18" t="s">
        <v>647</v>
      </c>
      <c r="D228" s="37" t="s">
        <v>507</v>
      </c>
      <c r="E228" s="18" t="s">
        <v>2437</v>
      </c>
      <c r="F228" s="19" t="s">
        <v>2506</v>
      </c>
      <c r="G228" s="108">
        <v>3671904</v>
      </c>
      <c r="H228" s="37" t="e">
        <f t="shared" si="11"/>
        <v>#VALUE!</v>
      </c>
      <c r="I228" s="37" t="e">
        <f t="shared" si="13"/>
        <v>#VALUE!</v>
      </c>
      <c r="J228" s="37" t="e">
        <f t="shared" si="12"/>
        <v>#VALUE!</v>
      </c>
      <c r="L228" t="s">
        <v>1730</v>
      </c>
      <c r="M228" s="66"/>
    </row>
    <row r="229" spans="1:13" x14ac:dyDescent="0.35">
      <c r="A229" s="2" t="s">
        <v>1085</v>
      </c>
      <c r="B229" s="2" t="s">
        <v>790</v>
      </c>
      <c r="C229" s="18" t="s">
        <v>557</v>
      </c>
      <c r="D229" s="37" t="s">
        <v>507</v>
      </c>
      <c r="E229" s="18" t="s">
        <v>2438</v>
      </c>
      <c r="F229" s="19" t="s">
        <v>2506</v>
      </c>
      <c r="G229" s="108">
        <v>373548.83</v>
      </c>
      <c r="H229" s="37" t="e">
        <f t="shared" si="11"/>
        <v>#VALUE!</v>
      </c>
      <c r="I229" s="37" t="e">
        <f t="shared" si="13"/>
        <v>#VALUE!</v>
      </c>
      <c r="J229" s="37" t="e">
        <f t="shared" si="12"/>
        <v>#VALUE!</v>
      </c>
      <c r="L229" t="s">
        <v>1730</v>
      </c>
      <c r="M229" s="66"/>
    </row>
    <row r="230" spans="1:13" x14ac:dyDescent="0.35">
      <c r="A230" s="2" t="s">
        <v>1085</v>
      </c>
      <c r="B230" s="2" t="s">
        <v>790</v>
      </c>
      <c r="C230" s="18" t="s">
        <v>575</v>
      </c>
      <c r="D230" s="37" t="s">
        <v>507</v>
      </c>
      <c r="E230" s="18" t="s">
        <v>2439</v>
      </c>
      <c r="F230" s="19" t="s">
        <v>2647</v>
      </c>
      <c r="G230" s="108">
        <v>3544184.31</v>
      </c>
      <c r="H230" s="37" t="e">
        <f t="shared" si="11"/>
        <v>#VALUE!</v>
      </c>
      <c r="I230" s="37" t="e">
        <f t="shared" si="13"/>
        <v>#VALUE!</v>
      </c>
      <c r="J230" s="37" t="e">
        <f t="shared" si="12"/>
        <v>#VALUE!</v>
      </c>
      <c r="L230" t="s">
        <v>1730</v>
      </c>
      <c r="M230" s="66"/>
    </row>
    <row r="231" spans="1:13" x14ac:dyDescent="0.35">
      <c r="A231" s="2" t="s">
        <v>1085</v>
      </c>
      <c r="B231" s="2" t="s">
        <v>790</v>
      </c>
      <c r="C231" s="18" t="s">
        <v>2425</v>
      </c>
      <c r="D231" s="37" t="s">
        <v>507</v>
      </c>
      <c r="E231" s="18" t="s">
        <v>2440</v>
      </c>
      <c r="F231" s="19" t="s">
        <v>2645</v>
      </c>
      <c r="G231" s="108">
        <v>32028.55</v>
      </c>
      <c r="H231" s="37" t="e">
        <f t="shared" si="11"/>
        <v>#VALUE!</v>
      </c>
      <c r="I231" s="37" t="e">
        <f t="shared" si="13"/>
        <v>#VALUE!</v>
      </c>
      <c r="J231" s="37" t="e">
        <f t="shared" si="12"/>
        <v>#VALUE!</v>
      </c>
      <c r="L231" t="s">
        <v>1730</v>
      </c>
      <c r="M231" s="66"/>
    </row>
    <row r="232" spans="1:13" x14ac:dyDescent="0.35">
      <c r="A232" s="2" t="s">
        <v>1085</v>
      </c>
      <c r="B232" s="2" t="s">
        <v>790</v>
      </c>
      <c r="C232" s="18" t="s">
        <v>631</v>
      </c>
      <c r="D232" s="37" t="s">
        <v>507</v>
      </c>
      <c r="E232" s="18" t="s">
        <v>2441</v>
      </c>
      <c r="F232" s="19" t="s">
        <v>2516</v>
      </c>
      <c r="G232" s="108">
        <v>3043955.2</v>
      </c>
      <c r="H232" s="37" t="e">
        <f t="shared" si="11"/>
        <v>#VALUE!</v>
      </c>
      <c r="I232" s="37" t="e">
        <f t="shared" si="13"/>
        <v>#VALUE!</v>
      </c>
      <c r="J232" s="37" t="e">
        <f t="shared" si="12"/>
        <v>#VALUE!</v>
      </c>
      <c r="L232" t="s">
        <v>1730</v>
      </c>
      <c r="M232" s="66"/>
    </row>
    <row r="233" spans="1:13" x14ac:dyDescent="0.35">
      <c r="A233" s="2" t="s">
        <v>1085</v>
      </c>
      <c r="B233" s="2" t="s">
        <v>790</v>
      </c>
      <c r="C233" s="18" t="s">
        <v>2426</v>
      </c>
      <c r="D233" s="37" t="s">
        <v>507</v>
      </c>
      <c r="E233" s="18" t="s">
        <v>2442</v>
      </c>
      <c r="F233" s="19" t="s">
        <v>2517</v>
      </c>
      <c r="G233" s="108">
        <v>5604371.5999999996</v>
      </c>
      <c r="H233" s="37" t="e">
        <f t="shared" si="11"/>
        <v>#VALUE!</v>
      </c>
      <c r="I233" s="37" t="e">
        <f t="shared" si="13"/>
        <v>#VALUE!</v>
      </c>
      <c r="J233" s="37" t="e">
        <f t="shared" si="12"/>
        <v>#VALUE!</v>
      </c>
      <c r="L233" t="s">
        <v>1730</v>
      </c>
      <c r="M233" s="66"/>
    </row>
    <row r="234" spans="1:13" x14ac:dyDescent="0.35">
      <c r="A234" s="2" t="s">
        <v>1085</v>
      </c>
      <c r="B234" s="2" t="s">
        <v>790</v>
      </c>
      <c r="C234" s="18" t="s">
        <v>2427</v>
      </c>
      <c r="D234" s="37" t="s">
        <v>507</v>
      </c>
      <c r="E234" s="18" t="s">
        <v>2443</v>
      </c>
      <c r="F234" s="19" t="s">
        <v>2517</v>
      </c>
      <c r="G234" s="108">
        <v>3650518.08</v>
      </c>
      <c r="H234" s="37" t="e">
        <f t="shared" si="11"/>
        <v>#VALUE!</v>
      </c>
      <c r="I234" s="37" t="e">
        <f t="shared" si="13"/>
        <v>#VALUE!</v>
      </c>
      <c r="J234" s="37" t="e">
        <f t="shared" si="12"/>
        <v>#VALUE!</v>
      </c>
      <c r="L234" t="s">
        <v>1730</v>
      </c>
      <c r="M234" s="66"/>
    </row>
    <row r="235" spans="1:13" hidden="1" x14ac:dyDescent="0.35">
      <c r="A235" s="2" t="s">
        <v>1209</v>
      </c>
      <c r="B235" s="2" t="s">
        <v>789</v>
      </c>
      <c r="C235" s="18" t="s">
        <v>506</v>
      </c>
      <c r="D235" s="37" t="s">
        <v>507</v>
      </c>
      <c r="E235" s="18" t="s">
        <v>2444</v>
      </c>
      <c r="F235" s="19" t="s">
        <v>2517</v>
      </c>
      <c r="G235" s="108">
        <v>3494715.82</v>
      </c>
      <c r="H235" s="37" t="e">
        <f t="shared" si="11"/>
        <v>#VALUE!</v>
      </c>
      <c r="I235" s="37" t="e">
        <f>IF(H235&lt;91,"1-90 DAYS",IF(H235&lt;121,"91-120DAYS",IF(H235&lt;181,"121-180 DAYS","More than 180 Days")))</f>
        <v>#VALUE!</v>
      </c>
      <c r="J235" s="37" t="e">
        <f t="shared" si="12"/>
        <v>#VALUE!</v>
      </c>
      <c r="M235" s="66"/>
    </row>
    <row r="236" spans="1:13" hidden="1" x14ac:dyDescent="0.35">
      <c r="A236" s="2" t="s">
        <v>1209</v>
      </c>
      <c r="B236" s="2" t="s">
        <v>789</v>
      </c>
      <c r="C236" s="18" t="s">
        <v>506</v>
      </c>
      <c r="D236" s="37" t="s">
        <v>507</v>
      </c>
      <c r="E236" s="18" t="s">
        <v>2445</v>
      </c>
      <c r="F236" s="19" t="s">
        <v>2517</v>
      </c>
      <c r="G236" s="108">
        <v>221958.12</v>
      </c>
      <c r="H236" s="37" t="e">
        <f t="shared" si="11"/>
        <v>#VALUE!</v>
      </c>
      <c r="I236" s="37" t="e">
        <f>IF(H236&lt;91,"1-90 DAYS",IF(H236&lt;121,"91-120DAYS",IF(H236&lt;181,"121-180 DAYS","More than 180 Days")))</f>
        <v>#VALUE!</v>
      </c>
      <c r="J236" s="37" t="e">
        <f t="shared" si="12"/>
        <v>#VALUE!</v>
      </c>
      <c r="M236" s="66"/>
    </row>
    <row r="237" spans="1:13" x14ac:dyDescent="0.35">
      <c r="A237" s="2" t="s">
        <v>1085</v>
      </c>
      <c r="B237" s="2" t="s">
        <v>790</v>
      </c>
      <c r="C237" s="18" t="s">
        <v>600</v>
      </c>
      <c r="D237" s="37" t="s">
        <v>507</v>
      </c>
      <c r="E237" s="18" t="s">
        <v>2446</v>
      </c>
      <c r="F237" s="19" t="s">
        <v>2518</v>
      </c>
      <c r="G237" s="108">
        <v>3793740.27</v>
      </c>
      <c r="H237" s="37" t="e">
        <f t="shared" si="11"/>
        <v>#VALUE!</v>
      </c>
      <c r="I237" s="37" t="e">
        <f t="shared" ref="I237:I294" si="14">IF(H237&lt;121,"0-120 DAYS",IF(H237&lt;181,"121-180 DAYS","More than 180 Days"))</f>
        <v>#VALUE!</v>
      </c>
      <c r="J237" s="37" t="e">
        <f t="shared" si="12"/>
        <v>#VALUE!</v>
      </c>
      <c r="L237" t="s">
        <v>1730</v>
      </c>
      <c r="M237" s="66"/>
    </row>
    <row r="238" spans="1:13" x14ac:dyDescent="0.35">
      <c r="A238" s="2" t="s">
        <v>1085</v>
      </c>
      <c r="B238" s="2" t="s">
        <v>790</v>
      </c>
      <c r="C238" s="18" t="s">
        <v>584</v>
      </c>
      <c r="D238" s="37" t="s">
        <v>507</v>
      </c>
      <c r="E238" s="18" t="s">
        <v>2447</v>
      </c>
      <c r="F238" s="19" t="s">
        <v>2518</v>
      </c>
      <c r="G238" s="108">
        <v>3381682.59</v>
      </c>
      <c r="H238" s="37" t="e">
        <f t="shared" si="11"/>
        <v>#VALUE!</v>
      </c>
      <c r="I238" s="37" t="e">
        <f t="shared" si="14"/>
        <v>#VALUE!</v>
      </c>
      <c r="J238" s="37" t="e">
        <f t="shared" si="12"/>
        <v>#VALUE!</v>
      </c>
      <c r="L238" t="s">
        <v>1730</v>
      </c>
      <c r="M238" s="66"/>
    </row>
    <row r="239" spans="1:13" x14ac:dyDescent="0.35">
      <c r="A239" s="2" t="s">
        <v>1085</v>
      </c>
      <c r="B239" s="2" t="s">
        <v>790</v>
      </c>
      <c r="C239" s="18" t="s">
        <v>606</v>
      </c>
      <c r="D239" s="37" t="s">
        <v>507</v>
      </c>
      <c r="E239" s="18" t="s">
        <v>2448</v>
      </c>
      <c r="F239" s="19" t="s">
        <v>2508</v>
      </c>
      <c r="G239" s="108">
        <v>3099962.6</v>
      </c>
      <c r="H239" s="37" t="e">
        <f t="shared" si="11"/>
        <v>#VALUE!</v>
      </c>
      <c r="I239" s="37" t="e">
        <f t="shared" si="14"/>
        <v>#VALUE!</v>
      </c>
      <c r="J239" s="37" t="e">
        <f t="shared" si="12"/>
        <v>#VALUE!</v>
      </c>
      <c r="L239" t="s">
        <v>1730</v>
      </c>
      <c r="M239" s="66"/>
    </row>
    <row r="240" spans="1:13" x14ac:dyDescent="0.35">
      <c r="A240" s="2" t="s">
        <v>1085</v>
      </c>
      <c r="B240" s="2" t="s">
        <v>790</v>
      </c>
      <c r="C240" s="18" t="s">
        <v>577</v>
      </c>
      <c r="D240" s="37" t="s">
        <v>507</v>
      </c>
      <c r="E240" s="18" t="s">
        <v>2449</v>
      </c>
      <c r="F240" s="19" t="s">
        <v>2508</v>
      </c>
      <c r="G240" s="108">
        <v>4443120</v>
      </c>
      <c r="H240" s="37" t="e">
        <f t="shared" si="11"/>
        <v>#VALUE!</v>
      </c>
      <c r="I240" s="37" t="e">
        <f t="shared" si="14"/>
        <v>#VALUE!</v>
      </c>
      <c r="J240" s="37" t="e">
        <f t="shared" si="12"/>
        <v>#VALUE!</v>
      </c>
      <c r="L240" t="s">
        <v>1730</v>
      </c>
      <c r="M240" s="66"/>
    </row>
    <row r="241" spans="1:13" x14ac:dyDescent="0.35">
      <c r="A241" s="2" t="s">
        <v>1085</v>
      </c>
      <c r="B241" s="2" t="s">
        <v>790</v>
      </c>
      <c r="C241" s="18" t="s">
        <v>1328</v>
      </c>
      <c r="D241" s="37" t="s">
        <v>507</v>
      </c>
      <c r="E241" s="18" t="s">
        <v>2450</v>
      </c>
      <c r="F241" s="19" t="s">
        <v>2520</v>
      </c>
      <c r="G241" s="108">
        <v>3650518.08</v>
      </c>
      <c r="H241" s="37" t="e">
        <f t="shared" si="11"/>
        <v>#VALUE!</v>
      </c>
      <c r="I241" s="37" t="e">
        <f t="shared" si="14"/>
        <v>#VALUE!</v>
      </c>
      <c r="J241" s="37" t="e">
        <f t="shared" si="12"/>
        <v>#VALUE!</v>
      </c>
      <c r="L241" t="s">
        <v>1730</v>
      </c>
      <c r="M241" s="66"/>
    </row>
    <row r="242" spans="1:13" x14ac:dyDescent="0.35">
      <c r="A242" s="2" t="s">
        <v>1085</v>
      </c>
      <c r="B242" s="2" t="s">
        <v>790</v>
      </c>
      <c r="C242" s="18" t="s">
        <v>536</v>
      </c>
      <c r="D242" s="37" t="s">
        <v>507</v>
      </c>
      <c r="E242" s="18" t="s">
        <v>2451</v>
      </c>
      <c r="F242" s="19" t="s">
        <v>2509</v>
      </c>
      <c r="G242" s="108">
        <v>3296076.3</v>
      </c>
      <c r="H242" s="37" t="e">
        <f t="shared" si="11"/>
        <v>#VALUE!</v>
      </c>
      <c r="I242" s="37" t="e">
        <f t="shared" si="14"/>
        <v>#VALUE!</v>
      </c>
      <c r="J242" s="37" t="e">
        <f t="shared" si="12"/>
        <v>#VALUE!</v>
      </c>
      <c r="L242" t="s">
        <v>1730</v>
      </c>
      <c r="M242" s="66"/>
    </row>
    <row r="243" spans="1:13" x14ac:dyDescent="0.35">
      <c r="A243" s="2" t="s">
        <v>1085</v>
      </c>
      <c r="B243" s="2" t="s">
        <v>790</v>
      </c>
      <c r="C243" s="18" t="s">
        <v>653</v>
      </c>
      <c r="D243" s="37" t="s">
        <v>507</v>
      </c>
      <c r="E243" s="18" t="s">
        <v>2452</v>
      </c>
      <c r="F243" s="19" t="s">
        <v>2510</v>
      </c>
      <c r="G243" s="108">
        <v>4834850.8499999996</v>
      </c>
      <c r="H243" s="37" t="e">
        <f t="shared" si="11"/>
        <v>#VALUE!</v>
      </c>
      <c r="I243" s="37" t="e">
        <f t="shared" si="14"/>
        <v>#VALUE!</v>
      </c>
      <c r="J243" s="37" t="e">
        <f t="shared" si="12"/>
        <v>#VALUE!</v>
      </c>
      <c r="L243" t="s">
        <v>1730</v>
      </c>
      <c r="M243" s="66"/>
    </row>
    <row r="244" spans="1:13" x14ac:dyDescent="0.35">
      <c r="A244" s="2" t="s">
        <v>1085</v>
      </c>
      <c r="B244" s="2" t="s">
        <v>790</v>
      </c>
      <c r="C244" s="18" t="s">
        <v>564</v>
      </c>
      <c r="D244" s="37" t="s">
        <v>507</v>
      </c>
      <c r="E244" s="18" t="s">
        <v>2453</v>
      </c>
      <c r="F244" s="19" t="s">
        <v>2644</v>
      </c>
      <c r="G244" s="108">
        <v>3243908.18</v>
      </c>
      <c r="H244" s="37">
        <f t="shared" si="11"/>
        <v>327</v>
      </c>
      <c r="I244" s="37" t="str">
        <f t="shared" si="14"/>
        <v>More than 180 Days</v>
      </c>
      <c r="J244" s="37" t="str">
        <f t="shared" si="12"/>
        <v>More than 180 Days</v>
      </c>
      <c r="L244" t="s">
        <v>1730</v>
      </c>
      <c r="M244" s="66"/>
    </row>
    <row r="245" spans="1:13" x14ac:dyDescent="0.35">
      <c r="A245" s="2" t="s">
        <v>1085</v>
      </c>
      <c r="B245" s="2" t="s">
        <v>790</v>
      </c>
      <c r="C245" s="18" t="s">
        <v>1247</v>
      </c>
      <c r="D245" s="37" t="s">
        <v>507</v>
      </c>
      <c r="E245" s="18" t="s">
        <v>2454</v>
      </c>
      <c r="F245" s="19" t="s">
        <v>2513</v>
      </c>
      <c r="G245" s="108">
        <v>1350009.3</v>
      </c>
      <c r="H245" s="37">
        <f t="shared" si="11"/>
        <v>296</v>
      </c>
      <c r="I245" s="37" t="str">
        <f t="shared" si="14"/>
        <v>More than 180 Days</v>
      </c>
      <c r="J245" s="37" t="str">
        <f t="shared" si="12"/>
        <v>More than 180 Days</v>
      </c>
      <c r="L245" t="s">
        <v>1730</v>
      </c>
      <c r="M245" s="66"/>
    </row>
    <row r="246" spans="1:13" x14ac:dyDescent="0.35">
      <c r="A246" s="2" t="s">
        <v>1085</v>
      </c>
      <c r="B246" s="2" t="s">
        <v>790</v>
      </c>
      <c r="C246" s="18" t="s">
        <v>635</v>
      </c>
      <c r="D246" s="37" t="s">
        <v>507</v>
      </c>
      <c r="E246" s="18" t="s">
        <v>2455</v>
      </c>
      <c r="F246" s="19" t="s">
        <v>2513</v>
      </c>
      <c r="G246" s="108">
        <v>3120660.95</v>
      </c>
      <c r="H246" s="37">
        <f t="shared" si="11"/>
        <v>296</v>
      </c>
      <c r="I246" s="37" t="str">
        <f t="shared" si="14"/>
        <v>More than 180 Days</v>
      </c>
      <c r="J246" s="37" t="str">
        <f t="shared" si="12"/>
        <v>More than 180 Days</v>
      </c>
      <c r="L246" t="s">
        <v>1730</v>
      </c>
      <c r="M246" s="66"/>
    </row>
    <row r="247" spans="1:13" x14ac:dyDescent="0.35">
      <c r="A247" s="2" t="s">
        <v>1085</v>
      </c>
      <c r="B247" s="2" t="s">
        <v>790</v>
      </c>
      <c r="C247" s="18" t="s">
        <v>650</v>
      </c>
      <c r="D247" s="37" t="s">
        <v>507</v>
      </c>
      <c r="E247" s="18" t="s">
        <v>1273</v>
      </c>
      <c r="F247" s="19" t="s">
        <v>2501</v>
      </c>
      <c r="G247" s="108">
        <v>2895334.47</v>
      </c>
      <c r="H247" s="37">
        <f t="shared" si="11"/>
        <v>267</v>
      </c>
      <c r="I247" s="37" t="str">
        <f t="shared" si="14"/>
        <v>More than 180 Days</v>
      </c>
      <c r="J247" s="37" t="str">
        <f t="shared" si="12"/>
        <v>More than 180 Days</v>
      </c>
      <c r="L247" t="s">
        <v>1730</v>
      </c>
      <c r="M247" s="66"/>
    </row>
    <row r="248" spans="1:13" x14ac:dyDescent="0.35">
      <c r="A248" s="2" t="s">
        <v>1085</v>
      </c>
      <c r="B248" s="2" t="s">
        <v>790</v>
      </c>
      <c r="C248" s="18" t="s">
        <v>1086</v>
      </c>
      <c r="D248" s="37" t="s">
        <v>507</v>
      </c>
      <c r="E248" s="18" t="s">
        <v>2456</v>
      </c>
      <c r="F248" s="19" t="s">
        <v>2502</v>
      </c>
      <c r="G248" s="108">
        <v>3001173.12</v>
      </c>
      <c r="H248" s="37">
        <f t="shared" si="11"/>
        <v>236</v>
      </c>
      <c r="I248" s="37" t="str">
        <f t="shared" si="14"/>
        <v>More than 180 Days</v>
      </c>
      <c r="J248" s="37" t="str">
        <f t="shared" si="12"/>
        <v>More than 180 Days</v>
      </c>
      <c r="L248" t="s">
        <v>1730</v>
      </c>
      <c r="M248" s="66"/>
    </row>
    <row r="249" spans="1:13" x14ac:dyDescent="0.35">
      <c r="A249" s="2" t="s">
        <v>1085</v>
      </c>
      <c r="B249" s="2" t="s">
        <v>790</v>
      </c>
      <c r="C249" s="18" t="s">
        <v>1086</v>
      </c>
      <c r="D249" s="37" t="s">
        <v>507</v>
      </c>
      <c r="E249" s="18" t="s">
        <v>2457</v>
      </c>
      <c r="F249" s="19" t="s">
        <v>2502</v>
      </c>
      <c r="G249" s="108">
        <v>29812.13</v>
      </c>
      <c r="H249" s="37">
        <f t="shared" si="11"/>
        <v>236</v>
      </c>
      <c r="I249" s="37" t="str">
        <f t="shared" si="14"/>
        <v>More than 180 Days</v>
      </c>
      <c r="J249" s="37" t="str">
        <f t="shared" si="12"/>
        <v>More than 180 Days</v>
      </c>
      <c r="L249" t="s">
        <v>1730</v>
      </c>
      <c r="M249" s="66"/>
    </row>
    <row r="250" spans="1:13" x14ac:dyDescent="0.35">
      <c r="A250" s="2" t="s">
        <v>1085</v>
      </c>
      <c r="B250" s="2" t="s">
        <v>790</v>
      </c>
      <c r="C250" s="18" t="s">
        <v>1086</v>
      </c>
      <c r="D250" s="37" t="s">
        <v>507</v>
      </c>
      <c r="E250" s="18" t="s">
        <v>2458</v>
      </c>
      <c r="F250" s="19" t="s">
        <v>2502</v>
      </c>
      <c r="G250" s="108">
        <v>2237221.52</v>
      </c>
      <c r="H250" s="37">
        <f t="shared" si="11"/>
        <v>236</v>
      </c>
      <c r="I250" s="37" t="str">
        <f t="shared" si="14"/>
        <v>More than 180 Days</v>
      </c>
      <c r="J250" s="37" t="str">
        <f t="shared" si="12"/>
        <v>More than 180 Days</v>
      </c>
      <c r="L250" t="s">
        <v>1730</v>
      </c>
      <c r="M250" s="66"/>
    </row>
    <row r="251" spans="1:13" x14ac:dyDescent="0.35">
      <c r="A251" s="2" t="s">
        <v>1085</v>
      </c>
      <c r="B251" s="2" t="s">
        <v>790</v>
      </c>
      <c r="C251" s="18" t="s">
        <v>650</v>
      </c>
      <c r="D251" s="37" t="s">
        <v>507</v>
      </c>
      <c r="E251" s="18" t="s">
        <v>1281</v>
      </c>
      <c r="F251" s="19" t="s">
        <v>2502</v>
      </c>
      <c r="G251" s="108">
        <v>3468735.27</v>
      </c>
      <c r="H251" s="37">
        <f t="shared" si="11"/>
        <v>236</v>
      </c>
      <c r="I251" s="37" t="str">
        <f t="shared" si="14"/>
        <v>More than 180 Days</v>
      </c>
      <c r="J251" s="37" t="str">
        <f t="shared" si="12"/>
        <v>More than 180 Days</v>
      </c>
      <c r="L251" t="s">
        <v>1730</v>
      </c>
      <c r="M251" s="66"/>
    </row>
    <row r="252" spans="1:13" x14ac:dyDescent="0.35">
      <c r="A252" s="2" t="s">
        <v>1085</v>
      </c>
      <c r="B252" s="2" t="s">
        <v>790</v>
      </c>
      <c r="C252" s="18" t="s">
        <v>1249</v>
      </c>
      <c r="D252" s="37" t="s">
        <v>507</v>
      </c>
      <c r="E252" s="18" t="s">
        <v>2459</v>
      </c>
      <c r="F252" s="19" t="s">
        <v>2524</v>
      </c>
      <c r="G252" s="108">
        <v>3312696</v>
      </c>
      <c r="H252" s="37">
        <f t="shared" si="11"/>
        <v>145</v>
      </c>
      <c r="I252" s="37" t="str">
        <f t="shared" si="14"/>
        <v>121-180 DAYS</v>
      </c>
      <c r="J252" s="37" t="str">
        <f t="shared" si="12"/>
        <v>0-180 DAYS</v>
      </c>
      <c r="L252" t="s">
        <v>1730</v>
      </c>
      <c r="M252" s="66"/>
    </row>
    <row r="253" spans="1:13" x14ac:dyDescent="0.35">
      <c r="A253" s="2" t="s">
        <v>1085</v>
      </c>
      <c r="B253" s="2" t="s">
        <v>790</v>
      </c>
      <c r="C253" s="18" t="s">
        <v>1086</v>
      </c>
      <c r="D253" s="37" t="s">
        <v>507</v>
      </c>
      <c r="E253" s="18" t="s">
        <v>2460</v>
      </c>
      <c r="F253" s="19" t="s">
        <v>2524</v>
      </c>
      <c r="G253" s="108">
        <v>24421.99</v>
      </c>
      <c r="H253" s="37">
        <f t="shared" si="11"/>
        <v>145</v>
      </c>
      <c r="I253" s="37" t="str">
        <f t="shared" si="14"/>
        <v>121-180 DAYS</v>
      </c>
      <c r="J253" s="37" t="str">
        <f t="shared" si="12"/>
        <v>0-180 DAYS</v>
      </c>
      <c r="L253" t="s">
        <v>1730</v>
      </c>
      <c r="M253" s="66"/>
    </row>
    <row r="254" spans="1:13" x14ac:dyDescent="0.35">
      <c r="A254" s="2" t="s">
        <v>1085</v>
      </c>
      <c r="B254" s="2" t="s">
        <v>790</v>
      </c>
      <c r="C254" s="18" t="s">
        <v>1086</v>
      </c>
      <c r="D254" s="37" t="s">
        <v>507</v>
      </c>
      <c r="E254" s="18" t="s">
        <v>2461</v>
      </c>
      <c r="F254" s="19" t="s">
        <v>2524</v>
      </c>
      <c r="G254" s="108">
        <v>63983.09</v>
      </c>
      <c r="H254" s="37">
        <f t="shared" si="11"/>
        <v>145</v>
      </c>
      <c r="I254" s="37" t="str">
        <f t="shared" si="14"/>
        <v>121-180 DAYS</v>
      </c>
      <c r="J254" s="37" t="str">
        <f t="shared" si="12"/>
        <v>0-180 DAYS</v>
      </c>
      <c r="L254" t="s">
        <v>1730</v>
      </c>
      <c r="M254" s="66"/>
    </row>
    <row r="255" spans="1:13" x14ac:dyDescent="0.35">
      <c r="A255" s="2" t="s">
        <v>1085</v>
      </c>
      <c r="B255" s="2" t="s">
        <v>790</v>
      </c>
      <c r="C255" s="18" t="s">
        <v>575</v>
      </c>
      <c r="D255" s="37" t="s">
        <v>507</v>
      </c>
      <c r="E255" s="18" t="s">
        <v>2462</v>
      </c>
      <c r="F255" s="19" t="s">
        <v>2524</v>
      </c>
      <c r="G255" s="108">
        <v>3947159.94</v>
      </c>
      <c r="H255" s="37">
        <f t="shared" si="11"/>
        <v>145</v>
      </c>
      <c r="I255" s="37" t="str">
        <f t="shared" si="14"/>
        <v>121-180 DAYS</v>
      </c>
      <c r="J255" s="37" t="str">
        <f t="shared" si="12"/>
        <v>0-180 DAYS</v>
      </c>
      <c r="L255" t="s">
        <v>1730</v>
      </c>
      <c r="M255" s="66"/>
    </row>
    <row r="256" spans="1:13" x14ac:dyDescent="0.35">
      <c r="A256" s="2" t="s">
        <v>1085</v>
      </c>
      <c r="B256" s="2" t="s">
        <v>790</v>
      </c>
      <c r="C256" s="18" t="s">
        <v>650</v>
      </c>
      <c r="D256" s="37" t="s">
        <v>507</v>
      </c>
      <c r="E256" s="18" t="s">
        <v>2463</v>
      </c>
      <c r="F256" s="19" t="s">
        <v>2524</v>
      </c>
      <c r="G256" s="108">
        <v>2887120.8</v>
      </c>
      <c r="H256" s="37">
        <f t="shared" si="11"/>
        <v>145</v>
      </c>
      <c r="I256" s="37" t="str">
        <f t="shared" si="14"/>
        <v>121-180 DAYS</v>
      </c>
      <c r="J256" s="37" t="str">
        <f t="shared" si="12"/>
        <v>0-180 DAYS</v>
      </c>
      <c r="L256" t="s">
        <v>1730</v>
      </c>
      <c r="M256" s="66"/>
    </row>
    <row r="257" spans="1:13" x14ac:dyDescent="0.35">
      <c r="A257" s="2" t="s">
        <v>1085</v>
      </c>
      <c r="B257" s="2" t="s">
        <v>790</v>
      </c>
      <c r="C257" s="18" t="s">
        <v>1086</v>
      </c>
      <c r="D257" s="37" t="s">
        <v>507</v>
      </c>
      <c r="E257" s="18" t="s">
        <v>2464</v>
      </c>
      <c r="F257" s="19" t="s">
        <v>2521</v>
      </c>
      <c r="G257" s="108">
        <v>1028226.25</v>
      </c>
      <c r="H257" s="37">
        <f t="shared" si="11"/>
        <v>114</v>
      </c>
      <c r="I257" s="37" t="str">
        <f t="shared" si="14"/>
        <v>0-120 DAYS</v>
      </c>
      <c r="J257" s="37" t="str">
        <f t="shared" si="12"/>
        <v>0-180 DAYS</v>
      </c>
      <c r="L257" t="s">
        <v>1730</v>
      </c>
      <c r="M257" s="66"/>
    </row>
    <row r="258" spans="1:13" x14ac:dyDescent="0.35">
      <c r="A258" s="2" t="s">
        <v>1085</v>
      </c>
      <c r="B258" s="2" t="s">
        <v>790</v>
      </c>
      <c r="C258" s="18" t="s">
        <v>1086</v>
      </c>
      <c r="D258" s="37" t="s">
        <v>507</v>
      </c>
      <c r="E258" s="18" t="s">
        <v>2465</v>
      </c>
      <c r="F258" s="19" t="s">
        <v>2521</v>
      </c>
      <c r="G258" s="108">
        <v>1254493.2</v>
      </c>
      <c r="H258" s="37">
        <f t="shared" si="11"/>
        <v>114</v>
      </c>
      <c r="I258" s="37" t="str">
        <f t="shared" si="14"/>
        <v>0-120 DAYS</v>
      </c>
      <c r="J258" s="37" t="str">
        <f t="shared" si="12"/>
        <v>0-180 DAYS</v>
      </c>
      <c r="L258" t="s">
        <v>1730</v>
      </c>
      <c r="M258" s="66"/>
    </row>
    <row r="259" spans="1:13" x14ac:dyDescent="0.35">
      <c r="A259" s="2" t="s">
        <v>1085</v>
      </c>
      <c r="B259" s="2" t="s">
        <v>790</v>
      </c>
      <c r="C259" s="18" t="s">
        <v>564</v>
      </c>
      <c r="D259" s="37" t="s">
        <v>507</v>
      </c>
      <c r="E259" s="18" t="s">
        <v>2466</v>
      </c>
      <c r="F259" s="19" t="s">
        <v>2521</v>
      </c>
      <c r="G259" s="108">
        <v>3038018.09</v>
      </c>
      <c r="H259" s="37">
        <f t="shared" si="11"/>
        <v>114</v>
      </c>
      <c r="I259" s="37" t="str">
        <f t="shared" si="14"/>
        <v>0-120 DAYS</v>
      </c>
      <c r="J259" s="37" t="str">
        <f t="shared" si="12"/>
        <v>0-180 DAYS</v>
      </c>
      <c r="L259" t="s">
        <v>1730</v>
      </c>
      <c r="M259" s="66"/>
    </row>
    <row r="260" spans="1:13" x14ac:dyDescent="0.35">
      <c r="A260" s="2" t="s">
        <v>1085</v>
      </c>
      <c r="B260" s="2" t="s">
        <v>790</v>
      </c>
      <c r="C260" s="18" t="s">
        <v>664</v>
      </c>
      <c r="D260" s="37" t="s">
        <v>507</v>
      </c>
      <c r="E260" s="18" t="s">
        <v>2467</v>
      </c>
      <c r="F260" s="19" t="s">
        <v>2653</v>
      </c>
      <c r="G260" s="108">
        <v>880027.27</v>
      </c>
      <c r="H260" s="37" t="e">
        <f t="shared" si="11"/>
        <v>#VALUE!</v>
      </c>
      <c r="I260" s="37" t="e">
        <f t="shared" si="14"/>
        <v>#VALUE!</v>
      </c>
      <c r="J260" s="37" t="e">
        <f t="shared" si="12"/>
        <v>#VALUE!</v>
      </c>
      <c r="L260" t="s">
        <v>1730</v>
      </c>
      <c r="M260" s="66"/>
    </row>
    <row r="261" spans="1:13" x14ac:dyDescent="0.35">
      <c r="A261" s="2" t="s">
        <v>1085</v>
      </c>
      <c r="B261" s="2" t="s">
        <v>790</v>
      </c>
      <c r="C261" s="18" t="s">
        <v>664</v>
      </c>
      <c r="D261" s="37" t="s">
        <v>507</v>
      </c>
      <c r="E261" s="18" t="s">
        <v>2468</v>
      </c>
      <c r="F261" s="19" t="s">
        <v>2653</v>
      </c>
      <c r="G261" s="108">
        <v>405377.04</v>
      </c>
      <c r="H261" s="37" t="e">
        <f t="shared" ref="H261:H324" si="15">$H$2-F261+1</f>
        <v>#VALUE!</v>
      </c>
      <c r="I261" s="37" t="e">
        <f t="shared" si="14"/>
        <v>#VALUE!</v>
      </c>
      <c r="J261" s="37" t="e">
        <f t="shared" si="12"/>
        <v>#VALUE!</v>
      </c>
      <c r="L261" t="s">
        <v>1730</v>
      </c>
      <c r="M261" s="66"/>
    </row>
    <row r="262" spans="1:13" x14ac:dyDescent="0.35">
      <c r="A262" s="2" t="s">
        <v>1085</v>
      </c>
      <c r="B262" s="2" t="s">
        <v>790</v>
      </c>
      <c r="C262" s="18" t="s">
        <v>1086</v>
      </c>
      <c r="D262" s="37" t="s">
        <v>507</v>
      </c>
      <c r="E262" s="18" t="s">
        <v>2469</v>
      </c>
      <c r="F262" s="19" t="s">
        <v>2645</v>
      </c>
      <c r="G262" s="108">
        <v>2152352.7200000002</v>
      </c>
      <c r="H262" s="37" t="e">
        <f t="shared" si="15"/>
        <v>#VALUE!</v>
      </c>
      <c r="I262" s="37" t="e">
        <f t="shared" si="14"/>
        <v>#VALUE!</v>
      </c>
      <c r="J262" s="37" t="e">
        <f t="shared" ref="J262:J325" si="16">IF(H262&lt;180,"0-180 DAYS","More than 180 Days")</f>
        <v>#VALUE!</v>
      </c>
      <c r="L262" t="s">
        <v>1730</v>
      </c>
      <c r="M262" s="66"/>
    </row>
    <row r="263" spans="1:13" x14ac:dyDescent="0.35">
      <c r="A263" s="2" t="s">
        <v>1085</v>
      </c>
      <c r="B263" s="2" t="s">
        <v>790</v>
      </c>
      <c r="C263" s="18" t="s">
        <v>650</v>
      </c>
      <c r="D263" s="37" t="s">
        <v>507</v>
      </c>
      <c r="E263" s="18" t="s">
        <v>2470</v>
      </c>
      <c r="F263" s="19" t="s">
        <v>2645</v>
      </c>
      <c r="G263" s="108">
        <v>2922468.26</v>
      </c>
      <c r="H263" s="37" t="e">
        <f t="shared" si="15"/>
        <v>#VALUE!</v>
      </c>
      <c r="I263" s="37" t="e">
        <f t="shared" si="14"/>
        <v>#VALUE!</v>
      </c>
      <c r="J263" s="37" t="e">
        <f t="shared" si="16"/>
        <v>#VALUE!</v>
      </c>
      <c r="L263" t="s">
        <v>1730</v>
      </c>
      <c r="M263" s="66"/>
    </row>
    <row r="264" spans="1:13" x14ac:dyDescent="0.35">
      <c r="A264" s="2" t="s">
        <v>1085</v>
      </c>
      <c r="B264" s="2" t="s">
        <v>790</v>
      </c>
      <c r="C264" s="18" t="s">
        <v>1086</v>
      </c>
      <c r="D264" s="37" t="s">
        <v>507</v>
      </c>
      <c r="E264" s="18" t="s">
        <v>2471</v>
      </c>
      <c r="F264" s="19" t="s">
        <v>2515</v>
      </c>
      <c r="G264" s="108">
        <v>2705326.83</v>
      </c>
      <c r="H264" s="37" t="e">
        <f t="shared" si="15"/>
        <v>#VALUE!</v>
      </c>
      <c r="I264" s="37" t="e">
        <f t="shared" si="14"/>
        <v>#VALUE!</v>
      </c>
      <c r="J264" s="37" t="e">
        <f t="shared" si="16"/>
        <v>#VALUE!</v>
      </c>
      <c r="L264" t="s">
        <v>1730</v>
      </c>
      <c r="M264" s="66"/>
    </row>
    <row r="265" spans="1:13" x14ac:dyDescent="0.35">
      <c r="A265" s="2" t="s">
        <v>1085</v>
      </c>
      <c r="B265" s="2" t="s">
        <v>790</v>
      </c>
      <c r="C265" s="18" t="s">
        <v>650</v>
      </c>
      <c r="D265" s="37" t="s">
        <v>507</v>
      </c>
      <c r="E265" s="18" t="s">
        <v>2472</v>
      </c>
      <c r="F265" s="19" t="s">
        <v>2515</v>
      </c>
      <c r="G265" s="108">
        <v>5591538.9299999997</v>
      </c>
      <c r="H265" s="37" t="e">
        <f t="shared" si="15"/>
        <v>#VALUE!</v>
      </c>
      <c r="I265" s="37" t="e">
        <f t="shared" si="14"/>
        <v>#VALUE!</v>
      </c>
      <c r="J265" s="37" t="e">
        <f t="shared" si="16"/>
        <v>#VALUE!</v>
      </c>
      <c r="L265" t="s">
        <v>1730</v>
      </c>
      <c r="M265" s="66"/>
    </row>
    <row r="266" spans="1:13" x14ac:dyDescent="0.35">
      <c r="A266" s="2" t="s">
        <v>1085</v>
      </c>
      <c r="B266" s="2" t="s">
        <v>790</v>
      </c>
      <c r="C266" s="18" t="s">
        <v>1086</v>
      </c>
      <c r="D266" s="37" t="s">
        <v>507</v>
      </c>
      <c r="E266" s="18" t="s">
        <v>2473</v>
      </c>
      <c r="F266" s="19" t="s">
        <v>2516</v>
      </c>
      <c r="G266" s="108">
        <v>2577757.2599999998</v>
      </c>
      <c r="H266" s="37" t="e">
        <f t="shared" si="15"/>
        <v>#VALUE!</v>
      </c>
      <c r="I266" s="37" t="e">
        <f t="shared" si="14"/>
        <v>#VALUE!</v>
      </c>
      <c r="J266" s="37" t="e">
        <f t="shared" si="16"/>
        <v>#VALUE!</v>
      </c>
      <c r="L266" t="s">
        <v>1730</v>
      </c>
      <c r="M266" s="66"/>
    </row>
    <row r="267" spans="1:13" x14ac:dyDescent="0.35">
      <c r="A267" s="2" t="s">
        <v>1085</v>
      </c>
      <c r="B267" s="2" t="s">
        <v>790</v>
      </c>
      <c r="C267" s="18" t="s">
        <v>650</v>
      </c>
      <c r="D267" s="37" t="s">
        <v>507</v>
      </c>
      <c r="E267" s="18" t="s">
        <v>2474</v>
      </c>
      <c r="F267" s="19" t="s">
        <v>2518</v>
      </c>
      <c r="G267" s="108">
        <v>3071304.08</v>
      </c>
      <c r="H267" s="37" t="e">
        <f t="shared" si="15"/>
        <v>#VALUE!</v>
      </c>
      <c r="I267" s="37" t="e">
        <f t="shared" si="14"/>
        <v>#VALUE!</v>
      </c>
      <c r="J267" s="37" t="e">
        <f t="shared" si="16"/>
        <v>#VALUE!</v>
      </c>
      <c r="L267" t="s">
        <v>1730</v>
      </c>
      <c r="M267" s="66"/>
    </row>
    <row r="268" spans="1:13" x14ac:dyDescent="0.35">
      <c r="A268" s="2" t="s">
        <v>1085</v>
      </c>
      <c r="B268" s="2" t="s">
        <v>790</v>
      </c>
      <c r="C268" s="18" t="s">
        <v>600</v>
      </c>
      <c r="D268" s="37" t="s">
        <v>507</v>
      </c>
      <c r="E268" s="18" t="s">
        <v>2475</v>
      </c>
      <c r="F268" s="19" t="s">
        <v>2519</v>
      </c>
      <c r="G268" s="108">
        <v>3592090.16</v>
      </c>
      <c r="H268" s="37" t="e">
        <f t="shared" si="15"/>
        <v>#VALUE!</v>
      </c>
      <c r="I268" s="37" t="e">
        <f t="shared" si="14"/>
        <v>#VALUE!</v>
      </c>
      <c r="J268" s="37" t="e">
        <f t="shared" si="16"/>
        <v>#VALUE!</v>
      </c>
      <c r="L268" t="s">
        <v>1730</v>
      </c>
      <c r="M268" s="66"/>
    </row>
    <row r="269" spans="1:13" x14ac:dyDescent="0.35">
      <c r="A269" s="2" t="s">
        <v>1085</v>
      </c>
      <c r="B269" s="2" t="s">
        <v>790</v>
      </c>
      <c r="C269" s="18" t="s">
        <v>650</v>
      </c>
      <c r="D269" s="37" t="s">
        <v>507</v>
      </c>
      <c r="E269" s="18" t="s">
        <v>2476</v>
      </c>
      <c r="F269" s="19" t="s">
        <v>2646</v>
      </c>
      <c r="G269" s="108">
        <v>2920872.15</v>
      </c>
      <c r="H269" s="37" t="e">
        <f t="shared" si="15"/>
        <v>#VALUE!</v>
      </c>
      <c r="I269" s="37" t="e">
        <f t="shared" si="14"/>
        <v>#VALUE!</v>
      </c>
      <c r="J269" s="37" t="e">
        <f t="shared" si="16"/>
        <v>#VALUE!</v>
      </c>
      <c r="L269" t="s">
        <v>1730</v>
      </c>
      <c r="M269" s="66"/>
    </row>
    <row r="270" spans="1:13" x14ac:dyDescent="0.35">
      <c r="A270" s="2" t="s">
        <v>1085</v>
      </c>
      <c r="B270" s="2" t="s">
        <v>790</v>
      </c>
      <c r="C270" s="18" t="s">
        <v>570</v>
      </c>
      <c r="D270" s="37" t="s">
        <v>507</v>
      </c>
      <c r="E270" s="18" t="s">
        <v>2477</v>
      </c>
      <c r="F270" s="19" t="s">
        <v>2509</v>
      </c>
      <c r="G270" s="108">
        <v>3143568</v>
      </c>
      <c r="H270" s="37" t="e">
        <f t="shared" si="15"/>
        <v>#VALUE!</v>
      </c>
      <c r="I270" s="37" t="e">
        <f t="shared" si="14"/>
        <v>#VALUE!</v>
      </c>
      <c r="J270" s="37" t="e">
        <f t="shared" si="16"/>
        <v>#VALUE!</v>
      </c>
      <c r="L270" t="s">
        <v>1730</v>
      </c>
      <c r="M270" s="66"/>
    </row>
    <row r="271" spans="1:13" x14ac:dyDescent="0.35">
      <c r="A271" s="2" t="s">
        <v>1085</v>
      </c>
      <c r="B271" s="2" t="s">
        <v>790</v>
      </c>
      <c r="C271" s="18" t="s">
        <v>538</v>
      </c>
      <c r="D271" s="37" t="s">
        <v>507</v>
      </c>
      <c r="E271" s="18" t="s">
        <v>2478</v>
      </c>
      <c r="F271" s="19" t="s">
        <v>2509</v>
      </c>
      <c r="G271" s="108">
        <v>3052440</v>
      </c>
      <c r="H271" s="37" t="e">
        <f t="shared" si="15"/>
        <v>#VALUE!</v>
      </c>
      <c r="I271" s="37" t="e">
        <f t="shared" si="14"/>
        <v>#VALUE!</v>
      </c>
      <c r="J271" s="37" t="e">
        <f t="shared" si="16"/>
        <v>#VALUE!</v>
      </c>
      <c r="L271" t="s">
        <v>1730</v>
      </c>
      <c r="M271" s="66"/>
    </row>
    <row r="272" spans="1:13" x14ac:dyDescent="0.35">
      <c r="A272" s="2" t="s">
        <v>1085</v>
      </c>
      <c r="B272" s="2" t="s">
        <v>790</v>
      </c>
      <c r="C272" s="18" t="s">
        <v>1086</v>
      </c>
      <c r="D272" s="37" t="s">
        <v>507</v>
      </c>
      <c r="E272" s="18" t="s">
        <v>2479</v>
      </c>
      <c r="F272" s="19" t="s">
        <v>2510</v>
      </c>
      <c r="G272" s="108">
        <v>2173608.9900000002</v>
      </c>
      <c r="H272" s="37" t="e">
        <f t="shared" si="15"/>
        <v>#VALUE!</v>
      </c>
      <c r="I272" s="37" t="e">
        <f t="shared" si="14"/>
        <v>#VALUE!</v>
      </c>
      <c r="J272" s="37" t="e">
        <f t="shared" si="16"/>
        <v>#VALUE!</v>
      </c>
      <c r="L272" t="s">
        <v>1730</v>
      </c>
      <c r="M272" s="66"/>
    </row>
    <row r="273" spans="1:13" x14ac:dyDescent="0.35">
      <c r="A273" s="2" t="s">
        <v>1085</v>
      </c>
      <c r="B273" s="2" t="s">
        <v>790</v>
      </c>
      <c r="C273" s="18" t="s">
        <v>1086</v>
      </c>
      <c r="D273" s="37" t="s">
        <v>507</v>
      </c>
      <c r="E273" s="18" t="s">
        <v>2480</v>
      </c>
      <c r="F273" s="19" t="s">
        <v>2510</v>
      </c>
      <c r="G273" s="108">
        <v>187768.5</v>
      </c>
      <c r="H273" s="37" t="e">
        <f t="shared" si="15"/>
        <v>#VALUE!</v>
      </c>
      <c r="I273" s="37" t="e">
        <f t="shared" si="14"/>
        <v>#VALUE!</v>
      </c>
      <c r="J273" s="37" t="e">
        <f t="shared" si="16"/>
        <v>#VALUE!</v>
      </c>
      <c r="L273" t="s">
        <v>1730</v>
      </c>
      <c r="M273" s="66"/>
    </row>
    <row r="274" spans="1:13" x14ac:dyDescent="0.35">
      <c r="A274" s="2" t="s">
        <v>1085</v>
      </c>
      <c r="B274" s="2" t="s">
        <v>790</v>
      </c>
      <c r="C274" s="18" t="s">
        <v>1086</v>
      </c>
      <c r="D274" s="37" t="s">
        <v>507</v>
      </c>
      <c r="E274" s="18" t="s">
        <v>2481</v>
      </c>
      <c r="F274" s="19" t="s">
        <v>2510</v>
      </c>
      <c r="G274" s="108">
        <v>128703.91</v>
      </c>
      <c r="H274" s="37" t="e">
        <f t="shared" si="15"/>
        <v>#VALUE!</v>
      </c>
      <c r="I274" s="37" t="e">
        <f t="shared" si="14"/>
        <v>#VALUE!</v>
      </c>
      <c r="J274" s="37" t="e">
        <f t="shared" si="16"/>
        <v>#VALUE!</v>
      </c>
      <c r="L274" t="s">
        <v>1730</v>
      </c>
      <c r="M274" s="66"/>
    </row>
    <row r="275" spans="1:13" x14ac:dyDescent="0.35">
      <c r="A275" s="2" t="s">
        <v>1085</v>
      </c>
      <c r="B275" s="2" t="s">
        <v>790</v>
      </c>
      <c r="C275" s="18" t="s">
        <v>635</v>
      </c>
      <c r="D275" s="37" t="s">
        <v>507</v>
      </c>
      <c r="E275" s="18" t="s">
        <v>2482</v>
      </c>
      <c r="F275" s="19" t="s">
        <v>2512</v>
      </c>
      <c r="G275" s="108">
        <v>3102559.03</v>
      </c>
      <c r="H275" s="37" t="e">
        <f t="shared" si="15"/>
        <v>#VALUE!</v>
      </c>
      <c r="I275" s="37" t="e">
        <f t="shared" si="14"/>
        <v>#VALUE!</v>
      </c>
      <c r="J275" s="37" t="e">
        <f t="shared" si="16"/>
        <v>#VALUE!</v>
      </c>
      <c r="L275" t="s">
        <v>1730</v>
      </c>
      <c r="M275" s="66"/>
    </row>
    <row r="276" spans="1:13" x14ac:dyDescent="0.35">
      <c r="A276" s="2" t="s">
        <v>1085</v>
      </c>
      <c r="B276" s="2" t="s">
        <v>790</v>
      </c>
      <c r="C276" s="18" t="s">
        <v>650</v>
      </c>
      <c r="D276" s="37" t="s">
        <v>507</v>
      </c>
      <c r="E276" s="18" t="s">
        <v>2483</v>
      </c>
      <c r="F276" s="19" t="s">
        <v>2500</v>
      </c>
      <c r="G276" s="108">
        <v>3904488</v>
      </c>
      <c r="H276" s="37" t="e">
        <f t="shared" si="15"/>
        <v>#VALUE!</v>
      </c>
      <c r="I276" s="37" t="e">
        <f t="shared" si="14"/>
        <v>#VALUE!</v>
      </c>
      <c r="J276" s="37" t="e">
        <f t="shared" si="16"/>
        <v>#VALUE!</v>
      </c>
      <c r="L276" t="s">
        <v>1730</v>
      </c>
      <c r="M276" s="66"/>
    </row>
    <row r="277" spans="1:13" x14ac:dyDescent="0.35">
      <c r="A277" s="2" t="s">
        <v>1085</v>
      </c>
      <c r="B277" s="2" t="s">
        <v>790</v>
      </c>
      <c r="C277" s="18" t="s">
        <v>1055</v>
      </c>
      <c r="D277" s="37" t="s">
        <v>507</v>
      </c>
      <c r="E277" s="18" t="s">
        <v>2484</v>
      </c>
      <c r="F277" s="19" t="s">
        <v>2501</v>
      </c>
      <c r="G277" s="108">
        <v>3230928</v>
      </c>
      <c r="H277" s="37">
        <f t="shared" si="15"/>
        <v>267</v>
      </c>
      <c r="I277" s="37" t="str">
        <f t="shared" si="14"/>
        <v>More than 180 Days</v>
      </c>
      <c r="J277" s="37" t="str">
        <f t="shared" si="16"/>
        <v>More than 180 Days</v>
      </c>
      <c r="L277" t="s">
        <v>1730</v>
      </c>
      <c r="M277" s="66"/>
    </row>
    <row r="278" spans="1:13" x14ac:dyDescent="0.35">
      <c r="A278" s="2" t="s">
        <v>1085</v>
      </c>
      <c r="B278" s="2" t="s">
        <v>790</v>
      </c>
      <c r="C278" s="18" t="s">
        <v>707</v>
      </c>
      <c r="D278" s="37" t="s">
        <v>507</v>
      </c>
      <c r="E278" s="18" t="s">
        <v>2485</v>
      </c>
      <c r="F278" s="19" t="s">
        <v>2501</v>
      </c>
      <c r="G278" s="108">
        <v>3095308.8</v>
      </c>
      <c r="H278" s="37">
        <f t="shared" si="15"/>
        <v>267</v>
      </c>
      <c r="I278" s="37" t="str">
        <f t="shared" si="14"/>
        <v>More than 180 Days</v>
      </c>
      <c r="J278" s="37" t="str">
        <f t="shared" si="16"/>
        <v>More than 180 Days</v>
      </c>
      <c r="L278" t="s">
        <v>1730</v>
      </c>
      <c r="M278" s="66"/>
    </row>
    <row r="279" spans="1:13" x14ac:dyDescent="0.35">
      <c r="A279" s="2" t="s">
        <v>1085</v>
      </c>
      <c r="B279" s="2" t="s">
        <v>790</v>
      </c>
      <c r="C279" s="18" t="s">
        <v>540</v>
      </c>
      <c r="D279" s="37" t="s">
        <v>507</v>
      </c>
      <c r="E279" s="18" t="s">
        <v>2486</v>
      </c>
      <c r="F279" s="19" t="s">
        <v>2503</v>
      </c>
      <c r="G279" s="108">
        <v>1903105.34</v>
      </c>
      <c r="H279" s="37">
        <f t="shared" si="15"/>
        <v>206</v>
      </c>
      <c r="I279" s="37" t="str">
        <f t="shared" si="14"/>
        <v>More than 180 Days</v>
      </c>
      <c r="J279" s="37" t="str">
        <f t="shared" si="16"/>
        <v>More than 180 Days</v>
      </c>
      <c r="L279" t="s">
        <v>1730</v>
      </c>
      <c r="M279" s="66"/>
    </row>
    <row r="280" spans="1:13" x14ac:dyDescent="0.35">
      <c r="A280" s="2" t="s">
        <v>1085</v>
      </c>
      <c r="B280" s="2" t="s">
        <v>790</v>
      </c>
      <c r="C280" s="18" t="s">
        <v>540</v>
      </c>
      <c r="D280" s="37" t="s">
        <v>507</v>
      </c>
      <c r="E280" s="18" t="s">
        <v>2487</v>
      </c>
      <c r="F280" s="19" t="s">
        <v>2503</v>
      </c>
      <c r="G280" s="108">
        <v>782196.8</v>
      </c>
      <c r="H280" s="37">
        <f t="shared" si="15"/>
        <v>206</v>
      </c>
      <c r="I280" s="37" t="str">
        <f t="shared" si="14"/>
        <v>More than 180 Days</v>
      </c>
      <c r="J280" s="37" t="str">
        <f t="shared" si="16"/>
        <v>More than 180 Days</v>
      </c>
      <c r="L280" t="s">
        <v>1730</v>
      </c>
      <c r="M280" s="66"/>
    </row>
    <row r="281" spans="1:13" x14ac:dyDescent="0.35">
      <c r="A281" s="2" t="s">
        <v>1085</v>
      </c>
      <c r="B281" s="2" t="s">
        <v>790</v>
      </c>
      <c r="C281" s="18" t="s">
        <v>588</v>
      </c>
      <c r="D281" s="37" t="s">
        <v>507</v>
      </c>
      <c r="E281" s="18" t="s">
        <v>2488</v>
      </c>
      <c r="F281" s="19" t="s">
        <v>2503</v>
      </c>
      <c r="G281" s="108">
        <v>3535871.76</v>
      </c>
      <c r="H281" s="37">
        <f t="shared" si="15"/>
        <v>206</v>
      </c>
      <c r="I281" s="37" t="str">
        <f t="shared" si="14"/>
        <v>More than 180 Days</v>
      </c>
      <c r="J281" s="37" t="str">
        <f t="shared" si="16"/>
        <v>More than 180 Days</v>
      </c>
      <c r="L281" t="s">
        <v>1730</v>
      </c>
      <c r="M281" s="66"/>
    </row>
    <row r="282" spans="1:13" x14ac:dyDescent="0.35">
      <c r="A282" s="2" t="s">
        <v>1085</v>
      </c>
      <c r="B282" s="2" t="s">
        <v>790</v>
      </c>
      <c r="C282" s="18" t="s">
        <v>588</v>
      </c>
      <c r="D282" s="37" t="s">
        <v>507</v>
      </c>
      <c r="E282" s="18" t="s">
        <v>2489</v>
      </c>
      <c r="F282" s="19" t="s">
        <v>2523</v>
      </c>
      <c r="G282" s="108">
        <v>3539720.44</v>
      </c>
      <c r="H282" s="37">
        <f t="shared" si="15"/>
        <v>83</v>
      </c>
      <c r="I282" s="37" t="str">
        <f t="shared" si="14"/>
        <v>0-120 DAYS</v>
      </c>
      <c r="J282" s="37" t="str">
        <f t="shared" si="16"/>
        <v>0-180 DAYS</v>
      </c>
      <c r="L282" t="s">
        <v>1730</v>
      </c>
      <c r="M282" s="66"/>
    </row>
    <row r="283" spans="1:13" x14ac:dyDescent="0.35">
      <c r="A283" s="2" t="s">
        <v>1085</v>
      </c>
      <c r="B283" s="2" t="s">
        <v>790</v>
      </c>
      <c r="C283" s="18" t="s">
        <v>588</v>
      </c>
      <c r="D283" s="37" t="s">
        <v>507</v>
      </c>
      <c r="E283" s="18" t="s">
        <v>2490</v>
      </c>
      <c r="F283" s="19" t="s">
        <v>2653</v>
      </c>
      <c r="G283" s="108">
        <v>3600062.4</v>
      </c>
      <c r="H283" s="37" t="e">
        <f t="shared" si="15"/>
        <v>#VALUE!</v>
      </c>
      <c r="I283" s="37" t="e">
        <f t="shared" si="14"/>
        <v>#VALUE!</v>
      </c>
      <c r="J283" s="37" t="e">
        <f t="shared" si="16"/>
        <v>#VALUE!</v>
      </c>
      <c r="L283" t="s">
        <v>1730</v>
      </c>
      <c r="M283" s="66"/>
    </row>
    <row r="284" spans="1:13" x14ac:dyDescent="0.35">
      <c r="A284" s="2" t="s">
        <v>1085</v>
      </c>
      <c r="B284" s="2" t="s">
        <v>790</v>
      </c>
      <c r="C284" s="18" t="s">
        <v>584</v>
      </c>
      <c r="D284" s="37" t="s">
        <v>507</v>
      </c>
      <c r="E284" s="18" t="s">
        <v>2491</v>
      </c>
      <c r="F284" s="19" t="s">
        <v>2515</v>
      </c>
      <c r="G284" s="108">
        <v>3253795.88</v>
      </c>
      <c r="H284" s="37" t="e">
        <f t="shared" si="15"/>
        <v>#VALUE!</v>
      </c>
      <c r="I284" s="37" t="e">
        <f t="shared" si="14"/>
        <v>#VALUE!</v>
      </c>
      <c r="J284" s="37" t="e">
        <f t="shared" si="16"/>
        <v>#VALUE!</v>
      </c>
      <c r="L284" t="s">
        <v>1730</v>
      </c>
      <c r="M284" s="66"/>
    </row>
    <row r="285" spans="1:13" x14ac:dyDescent="0.35">
      <c r="A285" s="2" t="s">
        <v>1085</v>
      </c>
      <c r="B285" s="2" t="s">
        <v>790</v>
      </c>
      <c r="C285" s="18" t="s">
        <v>1055</v>
      </c>
      <c r="D285" s="37" t="s">
        <v>507</v>
      </c>
      <c r="E285" s="18" t="s">
        <v>2492</v>
      </c>
      <c r="F285" s="19" t="s">
        <v>2508</v>
      </c>
      <c r="G285" s="108">
        <v>3223152</v>
      </c>
      <c r="H285" s="37" t="e">
        <f t="shared" si="15"/>
        <v>#VALUE!</v>
      </c>
      <c r="I285" s="37" t="e">
        <f t="shared" si="14"/>
        <v>#VALUE!</v>
      </c>
      <c r="J285" s="37" t="e">
        <f t="shared" si="16"/>
        <v>#VALUE!</v>
      </c>
      <c r="L285" t="s">
        <v>1730</v>
      </c>
      <c r="M285" s="66"/>
    </row>
    <row r="286" spans="1:13" x14ac:dyDescent="0.35">
      <c r="A286" s="2" t="s">
        <v>1085</v>
      </c>
      <c r="B286" s="2" t="s">
        <v>790</v>
      </c>
      <c r="C286" s="18" t="s">
        <v>584</v>
      </c>
      <c r="D286" s="37" t="s">
        <v>507</v>
      </c>
      <c r="E286" s="18" t="s">
        <v>2493</v>
      </c>
      <c r="F286" s="19" t="s">
        <v>2508</v>
      </c>
      <c r="G286" s="108">
        <v>3598780.19</v>
      </c>
      <c r="H286" s="37" t="e">
        <f t="shared" si="15"/>
        <v>#VALUE!</v>
      </c>
      <c r="I286" s="37" t="e">
        <f t="shared" si="14"/>
        <v>#VALUE!</v>
      </c>
      <c r="J286" s="37" t="e">
        <f t="shared" si="16"/>
        <v>#VALUE!</v>
      </c>
      <c r="L286" t="s">
        <v>1730</v>
      </c>
      <c r="M286" s="66"/>
    </row>
    <row r="287" spans="1:13" x14ac:dyDescent="0.35">
      <c r="A287" s="2" t="s">
        <v>1085</v>
      </c>
      <c r="B287" s="2" t="s">
        <v>790</v>
      </c>
      <c r="C287" s="18" t="s">
        <v>588</v>
      </c>
      <c r="D287" s="37" t="s">
        <v>507</v>
      </c>
      <c r="E287" s="18" t="s">
        <v>2494</v>
      </c>
      <c r="F287" s="19" t="s">
        <v>2508</v>
      </c>
      <c r="G287" s="108">
        <v>3636052.03</v>
      </c>
      <c r="H287" s="37" t="e">
        <f t="shared" si="15"/>
        <v>#VALUE!</v>
      </c>
      <c r="I287" s="37" t="e">
        <f t="shared" si="14"/>
        <v>#VALUE!</v>
      </c>
      <c r="J287" s="37" t="e">
        <f t="shared" si="16"/>
        <v>#VALUE!</v>
      </c>
      <c r="L287" t="s">
        <v>1730</v>
      </c>
      <c r="M287" s="66"/>
    </row>
    <row r="288" spans="1:13" x14ac:dyDescent="0.35">
      <c r="A288" s="2" t="s">
        <v>1085</v>
      </c>
      <c r="B288" s="2" t="s">
        <v>790</v>
      </c>
      <c r="C288" s="18" t="s">
        <v>581</v>
      </c>
      <c r="D288" s="37" t="s">
        <v>507</v>
      </c>
      <c r="E288" s="18" t="s">
        <v>2495</v>
      </c>
      <c r="F288" s="19" t="s">
        <v>2646</v>
      </c>
      <c r="G288" s="108">
        <v>3818108.35</v>
      </c>
      <c r="H288" s="37" t="e">
        <f t="shared" si="15"/>
        <v>#VALUE!</v>
      </c>
      <c r="I288" s="37" t="e">
        <f t="shared" si="14"/>
        <v>#VALUE!</v>
      </c>
      <c r="J288" s="37" t="e">
        <f t="shared" si="16"/>
        <v>#VALUE!</v>
      </c>
      <c r="L288" t="s">
        <v>1730</v>
      </c>
      <c r="M288" s="66"/>
    </row>
    <row r="289" spans="1:13" x14ac:dyDescent="0.35">
      <c r="A289" s="2" t="s">
        <v>1085</v>
      </c>
      <c r="B289" s="2" t="s">
        <v>790</v>
      </c>
      <c r="C289" s="18" t="s">
        <v>584</v>
      </c>
      <c r="D289" s="37" t="s">
        <v>507</v>
      </c>
      <c r="E289" s="18" t="s">
        <v>2496</v>
      </c>
      <c r="F289" s="19" t="s">
        <v>2509</v>
      </c>
      <c r="G289" s="108">
        <v>3199329.54</v>
      </c>
      <c r="H289" s="37" t="e">
        <f t="shared" si="15"/>
        <v>#VALUE!</v>
      </c>
      <c r="I289" s="37" t="e">
        <f t="shared" si="14"/>
        <v>#VALUE!</v>
      </c>
      <c r="J289" s="37" t="e">
        <f t="shared" si="16"/>
        <v>#VALUE!</v>
      </c>
      <c r="L289" t="s">
        <v>1730</v>
      </c>
      <c r="M289" s="66"/>
    </row>
    <row r="290" spans="1:13" x14ac:dyDescent="0.35">
      <c r="A290" s="2" t="s">
        <v>1085</v>
      </c>
      <c r="B290" s="2" t="s">
        <v>790</v>
      </c>
      <c r="C290" s="18" t="s">
        <v>584</v>
      </c>
      <c r="D290" s="37" t="s">
        <v>507</v>
      </c>
      <c r="E290" s="18" t="s">
        <v>2497</v>
      </c>
      <c r="F290" s="19" t="s">
        <v>2511</v>
      </c>
      <c r="G290" s="108">
        <v>3624104.88</v>
      </c>
      <c r="H290" s="37" t="e">
        <f t="shared" si="15"/>
        <v>#VALUE!</v>
      </c>
      <c r="I290" s="37" t="e">
        <f t="shared" si="14"/>
        <v>#VALUE!</v>
      </c>
      <c r="J290" s="37" t="e">
        <f t="shared" si="16"/>
        <v>#VALUE!</v>
      </c>
      <c r="L290" t="s">
        <v>1730</v>
      </c>
      <c r="M290" s="66"/>
    </row>
    <row r="291" spans="1:13" x14ac:dyDescent="0.35">
      <c r="A291" s="2" t="s">
        <v>1085</v>
      </c>
      <c r="B291" s="2" t="s">
        <v>790</v>
      </c>
      <c r="C291" s="18" t="s">
        <v>538</v>
      </c>
      <c r="D291" s="37" t="s">
        <v>507</v>
      </c>
      <c r="E291" s="18" t="s">
        <v>778</v>
      </c>
      <c r="F291" s="19" t="s">
        <v>2514</v>
      </c>
      <c r="G291" s="108">
        <v>3265107.86</v>
      </c>
      <c r="H291" s="37">
        <f t="shared" si="15"/>
        <v>53</v>
      </c>
      <c r="I291" s="37" t="str">
        <f t="shared" si="14"/>
        <v>0-120 DAYS</v>
      </c>
      <c r="J291" s="37" t="str">
        <f t="shared" si="16"/>
        <v>0-180 DAYS</v>
      </c>
      <c r="L291" t="s">
        <v>1730</v>
      </c>
      <c r="M291" s="66"/>
    </row>
    <row r="292" spans="1:13" x14ac:dyDescent="0.35">
      <c r="A292" s="2" t="s">
        <v>1085</v>
      </c>
      <c r="B292" s="2" t="s">
        <v>790</v>
      </c>
      <c r="C292" s="18" t="s">
        <v>548</v>
      </c>
      <c r="D292" s="37" t="s">
        <v>507</v>
      </c>
      <c r="E292" s="18" t="s">
        <v>820</v>
      </c>
      <c r="F292" s="19" t="s">
        <v>2505</v>
      </c>
      <c r="G292" s="108">
        <v>4635142.7</v>
      </c>
      <c r="H292" s="37">
        <f t="shared" si="15"/>
        <v>22</v>
      </c>
      <c r="I292" s="37" t="str">
        <f t="shared" si="14"/>
        <v>0-120 DAYS</v>
      </c>
      <c r="J292" s="37" t="str">
        <f t="shared" si="16"/>
        <v>0-180 DAYS</v>
      </c>
      <c r="L292" t="s">
        <v>1730</v>
      </c>
      <c r="M292" s="66"/>
    </row>
    <row r="293" spans="1:13" x14ac:dyDescent="0.35">
      <c r="A293" s="2" t="s">
        <v>1085</v>
      </c>
      <c r="B293" s="2" t="s">
        <v>790</v>
      </c>
      <c r="C293" s="18" t="s">
        <v>538</v>
      </c>
      <c r="D293" s="37" t="s">
        <v>507</v>
      </c>
      <c r="E293" s="18" t="s">
        <v>823</v>
      </c>
      <c r="F293" s="19" t="s">
        <v>2518</v>
      </c>
      <c r="G293" s="108">
        <v>3375462.47</v>
      </c>
      <c r="H293" s="37" t="e">
        <f t="shared" si="15"/>
        <v>#VALUE!</v>
      </c>
      <c r="I293" s="37" t="e">
        <f t="shared" si="14"/>
        <v>#VALUE!</v>
      </c>
      <c r="J293" s="37" t="e">
        <f t="shared" si="16"/>
        <v>#VALUE!</v>
      </c>
      <c r="L293" t="s">
        <v>1730</v>
      </c>
      <c r="M293" s="66"/>
    </row>
    <row r="294" spans="1:13" x14ac:dyDescent="0.35">
      <c r="A294" s="2" t="s">
        <v>1085</v>
      </c>
      <c r="B294" s="2" t="s">
        <v>790</v>
      </c>
      <c r="C294" s="18" t="s">
        <v>596</v>
      </c>
      <c r="D294" s="37" t="s">
        <v>507</v>
      </c>
      <c r="E294" s="18" t="s">
        <v>2498</v>
      </c>
      <c r="F294" s="19" t="s">
        <v>2509</v>
      </c>
      <c r="G294" s="108">
        <v>4118638.63</v>
      </c>
      <c r="H294" s="37" t="e">
        <f t="shared" si="15"/>
        <v>#VALUE!</v>
      </c>
      <c r="I294" s="37" t="e">
        <f t="shared" si="14"/>
        <v>#VALUE!</v>
      </c>
      <c r="J294" s="37" t="e">
        <f t="shared" si="16"/>
        <v>#VALUE!</v>
      </c>
      <c r="L294" t="s">
        <v>1730</v>
      </c>
      <c r="M294" s="66"/>
    </row>
    <row r="295" spans="1:13" hidden="1" x14ac:dyDescent="0.35">
      <c r="A295" s="88" t="s">
        <v>477</v>
      </c>
      <c r="B295" s="2" t="s">
        <v>790</v>
      </c>
      <c r="C295" s="18" t="s">
        <v>2380</v>
      </c>
      <c r="D295" s="18" t="s">
        <v>1081</v>
      </c>
      <c r="E295" s="18" t="s">
        <v>101</v>
      </c>
      <c r="F295" s="19" t="s">
        <v>2655</v>
      </c>
      <c r="G295" s="18">
        <v>596150.38</v>
      </c>
      <c r="H295" s="37">
        <f t="shared" si="15"/>
        <v>205</v>
      </c>
      <c r="I295" s="37" t="str">
        <f t="shared" ref="I295:I325" si="17">IF(H295&lt;91,"1-90 DAYS",IF(H295&lt;121,"91-120DAYS",IF(H295&lt;181,"121-180 DAYS","More than 180 Days")))</f>
        <v>More than 180 Days</v>
      </c>
      <c r="J295" s="37" t="str">
        <f t="shared" si="16"/>
        <v>More than 180 Days</v>
      </c>
      <c r="L295" t="s">
        <v>1730</v>
      </c>
      <c r="M295" s="66"/>
    </row>
    <row r="296" spans="1:13" hidden="1" x14ac:dyDescent="0.35">
      <c r="A296" s="88" t="s">
        <v>477</v>
      </c>
      <c r="B296" s="2" t="s">
        <v>790</v>
      </c>
      <c r="C296" s="18" t="s">
        <v>1838</v>
      </c>
      <c r="D296" s="18" t="s">
        <v>2001</v>
      </c>
      <c r="E296" s="18" t="s">
        <v>2530</v>
      </c>
      <c r="F296" s="19" t="s">
        <v>2651</v>
      </c>
      <c r="G296" s="18">
        <f>822794.98-600347</f>
        <v>222447.97999999998</v>
      </c>
      <c r="H296" s="37">
        <f t="shared" si="15"/>
        <v>144</v>
      </c>
      <c r="I296" s="37" t="str">
        <f t="shared" si="17"/>
        <v>121-180 DAYS</v>
      </c>
      <c r="J296" s="37" t="str">
        <f t="shared" si="16"/>
        <v>0-180 DAYS</v>
      </c>
      <c r="L296" t="s">
        <v>1730</v>
      </c>
      <c r="M296" s="66"/>
    </row>
    <row r="297" spans="1:13" hidden="1" x14ac:dyDescent="0.35">
      <c r="A297" s="88" t="s">
        <v>477</v>
      </c>
      <c r="B297" s="2" t="s">
        <v>790</v>
      </c>
      <c r="C297" s="18" t="s">
        <v>2380</v>
      </c>
      <c r="D297" s="18" t="s">
        <v>1081</v>
      </c>
      <c r="E297" s="18" t="s">
        <v>2531</v>
      </c>
      <c r="F297" s="19" t="s">
        <v>2651</v>
      </c>
      <c r="G297" s="18">
        <v>178844.92</v>
      </c>
      <c r="H297" s="37">
        <f t="shared" si="15"/>
        <v>144</v>
      </c>
      <c r="I297" s="37" t="str">
        <f t="shared" si="17"/>
        <v>121-180 DAYS</v>
      </c>
      <c r="J297" s="37" t="str">
        <f t="shared" si="16"/>
        <v>0-180 DAYS</v>
      </c>
      <c r="L297" t="s">
        <v>1730</v>
      </c>
      <c r="M297" s="66"/>
    </row>
    <row r="298" spans="1:13" hidden="1" x14ac:dyDescent="0.35">
      <c r="A298" s="88" t="s">
        <v>477</v>
      </c>
      <c r="B298" s="2" t="s">
        <v>790</v>
      </c>
      <c r="C298" s="18" t="s">
        <v>2380</v>
      </c>
      <c r="D298" s="18" t="s">
        <v>1081</v>
      </c>
      <c r="E298" s="18" t="s">
        <v>105</v>
      </c>
      <c r="F298" s="19" t="s">
        <v>2651</v>
      </c>
      <c r="G298" s="18">
        <v>1311532.04</v>
      </c>
      <c r="H298" s="37">
        <f t="shared" si="15"/>
        <v>144</v>
      </c>
      <c r="I298" s="37" t="str">
        <f t="shared" si="17"/>
        <v>121-180 DAYS</v>
      </c>
      <c r="J298" s="37" t="str">
        <f t="shared" si="16"/>
        <v>0-180 DAYS</v>
      </c>
      <c r="L298" t="s">
        <v>1730</v>
      </c>
      <c r="M298" s="66"/>
    </row>
    <row r="299" spans="1:13" hidden="1" x14ac:dyDescent="0.35">
      <c r="A299" s="88" t="s">
        <v>477</v>
      </c>
      <c r="B299" s="2" t="s">
        <v>790</v>
      </c>
      <c r="C299" s="18" t="s">
        <v>2380</v>
      </c>
      <c r="D299" s="18" t="s">
        <v>1081</v>
      </c>
      <c r="E299" s="18" t="s">
        <v>2532</v>
      </c>
      <c r="F299" s="19" t="s">
        <v>2656</v>
      </c>
      <c r="G299" s="18">
        <v>359135.98</v>
      </c>
      <c r="H299" s="37">
        <f t="shared" si="15"/>
        <v>113</v>
      </c>
      <c r="I299" s="37" t="str">
        <f t="shared" si="17"/>
        <v>91-120DAYS</v>
      </c>
      <c r="J299" s="37" t="str">
        <f t="shared" si="16"/>
        <v>0-180 DAYS</v>
      </c>
      <c r="L299" t="s">
        <v>1730</v>
      </c>
      <c r="M299" s="66"/>
    </row>
    <row r="300" spans="1:13" hidden="1" x14ac:dyDescent="0.35">
      <c r="A300" s="88" t="s">
        <v>477</v>
      </c>
      <c r="B300" s="2" t="s">
        <v>790</v>
      </c>
      <c r="C300" s="18" t="s">
        <v>2380</v>
      </c>
      <c r="D300" s="18" t="s">
        <v>1081</v>
      </c>
      <c r="E300" s="18" t="s">
        <v>128</v>
      </c>
      <c r="F300" s="19" t="s">
        <v>2658</v>
      </c>
      <c r="G300" s="18">
        <v>346315.2</v>
      </c>
      <c r="H300" s="37">
        <f t="shared" si="15"/>
        <v>21</v>
      </c>
      <c r="I300" s="37" t="str">
        <f t="shared" si="17"/>
        <v>1-90 DAYS</v>
      </c>
      <c r="J300" s="37" t="str">
        <f t="shared" si="16"/>
        <v>0-180 DAYS</v>
      </c>
      <c r="L300" t="s">
        <v>1730</v>
      </c>
      <c r="M300" s="66"/>
    </row>
    <row r="301" spans="1:13" hidden="1" x14ac:dyDescent="0.35">
      <c r="A301" s="88" t="s">
        <v>477</v>
      </c>
      <c r="B301" s="2" t="s">
        <v>790</v>
      </c>
      <c r="C301" s="18" t="s">
        <v>1838</v>
      </c>
      <c r="D301" s="18" t="s">
        <v>2001</v>
      </c>
      <c r="E301" s="18" t="s">
        <v>136</v>
      </c>
      <c r="F301" s="19" t="s">
        <v>2546</v>
      </c>
      <c r="G301" s="18">
        <v>840512.82</v>
      </c>
      <c r="H301" s="37" t="e">
        <f t="shared" si="15"/>
        <v>#VALUE!</v>
      </c>
      <c r="I301" s="37" t="e">
        <f t="shared" si="17"/>
        <v>#VALUE!</v>
      </c>
      <c r="J301" s="37" t="e">
        <f t="shared" si="16"/>
        <v>#VALUE!</v>
      </c>
      <c r="L301" t="s">
        <v>1730</v>
      </c>
      <c r="M301" s="66"/>
    </row>
    <row r="302" spans="1:13" hidden="1" x14ac:dyDescent="0.35">
      <c r="A302" s="88" t="s">
        <v>477</v>
      </c>
      <c r="B302" s="2" t="s">
        <v>790</v>
      </c>
      <c r="C302" s="18" t="s">
        <v>2380</v>
      </c>
      <c r="D302" s="18" t="s">
        <v>1081</v>
      </c>
      <c r="E302" s="18" t="s">
        <v>138</v>
      </c>
      <c r="F302" s="19" t="s">
        <v>2546</v>
      </c>
      <c r="G302" s="18">
        <v>230876.79999999999</v>
      </c>
      <c r="H302" s="37" t="e">
        <f t="shared" si="15"/>
        <v>#VALUE!</v>
      </c>
      <c r="I302" s="37" t="e">
        <f t="shared" si="17"/>
        <v>#VALUE!</v>
      </c>
      <c r="J302" s="37" t="e">
        <f t="shared" si="16"/>
        <v>#VALUE!</v>
      </c>
      <c r="L302" t="s">
        <v>1730</v>
      </c>
      <c r="M302" s="66"/>
    </row>
    <row r="303" spans="1:13" hidden="1" x14ac:dyDescent="0.35">
      <c r="A303" s="88" t="s">
        <v>477</v>
      </c>
      <c r="B303" s="2" t="s">
        <v>790</v>
      </c>
      <c r="C303" s="18" t="s">
        <v>2380</v>
      </c>
      <c r="D303" s="18" t="s">
        <v>1081</v>
      </c>
      <c r="E303" s="18" t="s">
        <v>147</v>
      </c>
      <c r="F303" s="19" t="s">
        <v>2659</v>
      </c>
      <c r="G303" s="18">
        <v>1490376.94</v>
      </c>
      <c r="H303" s="37" t="e">
        <f t="shared" si="15"/>
        <v>#VALUE!</v>
      </c>
      <c r="I303" s="37" t="e">
        <f t="shared" si="17"/>
        <v>#VALUE!</v>
      </c>
      <c r="J303" s="37" t="e">
        <f t="shared" si="16"/>
        <v>#VALUE!</v>
      </c>
      <c r="L303" t="s">
        <v>1730</v>
      </c>
      <c r="M303" s="66"/>
    </row>
    <row r="304" spans="1:13" hidden="1" x14ac:dyDescent="0.35">
      <c r="A304" s="88" t="s">
        <v>477</v>
      </c>
      <c r="B304" s="2" t="s">
        <v>790</v>
      </c>
      <c r="C304" s="18" t="s">
        <v>2380</v>
      </c>
      <c r="D304" s="18" t="s">
        <v>1081</v>
      </c>
      <c r="E304" s="18" t="s">
        <v>2533</v>
      </c>
      <c r="F304" s="19" t="s">
        <v>2652</v>
      </c>
      <c r="G304" s="18">
        <v>596150.38</v>
      </c>
      <c r="H304" s="37" t="e">
        <f t="shared" si="15"/>
        <v>#VALUE!</v>
      </c>
      <c r="I304" s="37" t="e">
        <f t="shared" si="17"/>
        <v>#VALUE!</v>
      </c>
      <c r="J304" s="37" t="e">
        <f t="shared" si="16"/>
        <v>#VALUE!</v>
      </c>
      <c r="L304" t="s">
        <v>1730</v>
      </c>
      <c r="M304" s="66"/>
    </row>
    <row r="305" spans="1:13" hidden="1" x14ac:dyDescent="0.35">
      <c r="A305" s="88" t="s">
        <v>477</v>
      </c>
      <c r="B305" s="2" t="s">
        <v>790</v>
      </c>
      <c r="C305" s="18" t="s">
        <v>2380</v>
      </c>
      <c r="D305" s="18" t="s">
        <v>1081</v>
      </c>
      <c r="E305" s="18" t="s">
        <v>2534</v>
      </c>
      <c r="F305" s="19" t="s">
        <v>2660</v>
      </c>
      <c r="G305" s="18">
        <v>596150.38</v>
      </c>
      <c r="H305" s="37" t="e">
        <f t="shared" si="15"/>
        <v>#VALUE!</v>
      </c>
      <c r="I305" s="37" t="e">
        <f t="shared" si="17"/>
        <v>#VALUE!</v>
      </c>
      <c r="J305" s="37" t="e">
        <f t="shared" si="16"/>
        <v>#VALUE!</v>
      </c>
      <c r="L305" t="s">
        <v>1730</v>
      </c>
      <c r="M305" s="66"/>
    </row>
    <row r="306" spans="1:13" hidden="1" x14ac:dyDescent="0.35">
      <c r="A306" s="88" t="s">
        <v>477</v>
      </c>
      <c r="B306" s="2" t="s">
        <v>790</v>
      </c>
      <c r="C306" s="18" t="s">
        <v>1087</v>
      </c>
      <c r="D306" s="18" t="s">
        <v>1088</v>
      </c>
      <c r="E306" s="18" t="s">
        <v>2535</v>
      </c>
      <c r="F306" s="19" t="s">
        <v>2661</v>
      </c>
      <c r="G306" s="18">
        <f>167229.2-101</f>
        <v>167128.20000000001</v>
      </c>
      <c r="H306" s="37" t="e">
        <f t="shared" si="15"/>
        <v>#VALUE!</v>
      </c>
      <c r="I306" s="37" t="e">
        <f t="shared" si="17"/>
        <v>#VALUE!</v>
      </c>
      <c r="J306" s="37" t="e">
        <f t="shared" si="16"/>
        <v>#VALUE!</v>
      </c>
      <c r="L306" t="s">
        <v>1730</v>
      </c>
      <c r="M306" s="66"/>
    </row>
    <row r="307" spans="1:13" hidden="1" x14ac:dyDescent="0.35">
      <c r="A307" s="88" t="s">
        <v>477</v>
      </c>
      <c r="B307" s="2" t="s">
        <v>790</v>
      </c>
      <c r="C307" s="18" t="s">
        <v>1087</v>
      </c>
      <c r="D307" s="18" t="s">
        <v>1088</v>
      </c>
      <c r="E307" s="18" t="s">
        <v>175</v>
      </c>
      <c r="F307" s="19" t="s">
        <v>2661</v>
      </c>
      <c r="G307" s="18">
        <v>97091</v>
      </c>
      <c r="H307" s="37" t="e">
        <f t="shared" si="15"/>
        <v>#VALUE!</v>
      </c>
      <c r="I307" s="37" t="e">
        <f t="shared" si="17"/>
        <v>#VALUE!</v>
      </c>
      <c r="J307" s="37" t="e">
        <f t="shared" si="16"/>
        <v>#VALUE!</v>
      </c>
      <c r="L307" t="s">
        <v>1730</v>
      </c>
      <c r="M307" s="66"/>
    </row>
    <row r="308" spans="1:13" hidden="1" x14ac:dyDescent="0.35">
      <c r="A308" s="88" t="s">
        <v>477</v>
      </c>
      <c r="B308" s="2" t="s">
        <v>790</v>
      </c>
      <c r="C308" s="18" t="s">
        <v>1087</v>
      </c>
      <c r="D308" s="18" t="s">
        <v>1088</v>
      </c>
      <c r="E308" s="18" t="s">
        <v>2536</v>
      </c>
      <c r="F308" s="19" t="s">
        <v>2661</v>
      </c>
      <c r="G308" s="18">
        <v>80908.5</v>
      </c>
      <c r="H308" s="37" t="e">
        <f t="shared" si="15"/>
        <v>#VALUE!</v>
      </c>
      <c r="I308" s="37" t="e">
        <f t="shared" si="17"/>
        <v>#VALUE!</v>
      </c>
      <c r="J308" s="37" t="e">
        <f t="shared" si="16"/>
        <v>#VALUE!</v>
      </c>
      <c r="L308" t="s">
        <v>1730</v>
      </c>
      <c r="M308" s="66"/>
    </row>
    <row r="309" spans="1:13" hidden="1" x14ac:dyDescent="0.35">
      <c r="A309" s="88" t="s">
        <v>477</v>
      </c>
      <c r="B309" s="2" t="s">
        <v>790</v>
      </c>
      <c r="C309" s="18" t="s">
        <v>2526</v>
      </c>
      <c r="D309" s="18" t="s">
        <v>2528</v>
      </c>
      <c r="E309" s="18" t="s">
        <v>2537</v>
      </c>
      <c r="F309" s="19" t="s">
        <v>2661</v>
      </c>
      <c r="G309" s="18">
        <v>73081.179999999993</v>
      </c>
      <c r="H309" s="37" t="e">
        <f t="shared" si="15"/>
        <v>#VALUE!</v>
      </c>
      <c r="I309" s="37" t="e">
        <f t="shared" si="17"/>
        <v>#VALUE!</v>
      </c>
      <c r="J309" s="37" t="e">
        <f t="shared" si="16"/>
        <v>#VALUE!</v>
      </c>
      <c r="L309" t="s">
        <v>1730</v>
      </c>
      <c r="M309" s="66"/>
    </row>
    <row r="310" spans="1:13" hidden="1" x14ac:dyDescent="0.35">
      <c r="A310" s="88" t="s">
        <v>477</v>
      </c>
      <c r="B310" s="2" t="s">
        <v>790</v>
      </c>
      <c r="C310" s="18" t="s">
        <v>1087</v>
      </c>
      <c r="D310" s="18" t="s">
        <v>1088</v>
      </c>
      <c r="E310" s="18" t="s">
        <v>179</v>
      </c>
      <c r="F310" s="19" t="s">
        <v>2662</v>
      </c>
      <c r="G310" s="18">
        <v>174345</v>
      </c>
      <c r="H310" s="37" t="e">
        <f t="shared" si="15"/>
        <v>#VALUE!</v>
      </c>
      <c r="I310" s="37" t="e">
        <f t="shared" si="17"/>
        <v>#VALUE!</v>
      </c>
      <c r="J310" s="37" t="e">
        <f t="shared" si="16"/>
        <v>#VALUE!</v>
      </c>
      <c r="L310" t="s">
        <v>1730</v>
      </c>
      <c r="M310" s="66"/>
    </row>
    <row r="311" spans="1:13" hidden="1" x14ac:dyDescent="0.35">
      <c r="A311" s="88" t="s">
        <v>477</v>
      </c>
      <c r="B311" s="2" t="s">
        <v>790</v>
      </c>
      <c r="C311" s="18" t="s">
        <v>1087</v>
      </c>
      <c r="D311" s="18" t="s">
        <v>1088</v>
      </c>
      <c r="E311" s="18" t="s">
        <v>180</v>
      </c>
      <c r="F311" s="19" t="s">
        <v>2662</v>
      </c>
      <c r="G311" s="18">
        <v>174345</v>
      </c>
      <c r="H311" s="37" t="e">
        <f t="shared" si="15"/>
        <v>#VALUE!</v>
      </c>
      <c r="I311" s="37" t="e">
        <f t="shared" si="17"/>
        <v>#VALUE!</v>
      </c>
      <c r="J311" s="37" t="e">
        <f t="shared" si="16"/>
        <v>#VALUE!</v>
      </c>
      <c r="L311" t="s">
        <v>1730</v>
      </c>
      <c r="M311" s="66"/>
    </row>
    <row r="312" spans="1:13" hidden="1" x14ac:dyDescent="0.35">
      <c r="A312" s="88" t="s">
        <v>477</v>
      </c>
      <c r="B312" s="2" t="s">
        <v>790</v>
      </c>
      <c r="C312" s="18" t="s">
        <v>1206</v>
      </c>
      <c r="D312" s="18" t="s">
        <v>1207</v>
      </c>
      <c r="E312" s="18" t="s">
        <v>2538</v>
      </c>
      <c r="F312" s="19" t="s">
        <v>2662</v>
      </c>
      <c r="G312" s="18">
        <v>2389500</v>
      </c>
      <c r="H312" s="37" t="e">
        <f t="shared" si="15"/>
        <v>#VALUE!</v>
      </c>
      <c r="I312" s="37" t="e">
        <f t="shared" si="17"/>
        <v>#VALUE!</v>
      </c>
      <c r="J312" s="37" t="e">
        <f t="shared" si="16"/>
        <v>#VALUE!</v>
      </c>
      <c r="L312" t="s">
        <v>1730</v>
      </c>
      <c r="M312" s="66"/>
    </row>
    <row r="313" spans="1:13" hidden="1" x14ac:dyDescent="0.35">
      <c r="A313" s="88" t="s">
        <v>477</v>
      </c>
      <c r="B313" s="2" t="s">
        <v>790</v>
      </c>
      <c r="C313" s="18" t="s">
        <v>1087</v>
      </c>
      <c r="D313" s="18" t="s">
        <v>1088</v>
      </c>
      <c r="E313" s="18" t="s">
        <v>192</v>
      </c>
      <c r="F313" s="19" t="s">
        <v>2663</v>
      </c>
      <c r="G313" s="18">
        <v>41460.480000000003</v>
      </c>
      <c r="H313" s="37" t="e">
        <f t="shared" si="15"/>
        <v>#VALUE!</v>
      </c>
      <c r="I313" s="37" t="e">
        <f t="shared" si="17"/>
        <v>#VALUE!</v>
      </c>
      <c r="J313" s="37" t="e">
        <f t="shared" si="16"/>
        <v>#VALUE!</v>
      </c>
      <c r="L313" t="s">
        <v>1730</v>
      </c>
      <c r="M313" s="66"/>
    </row>
    <row r="314" spans="1:13" hidden="1" x14ac:dyDescent="0.35">
      <c r="A314" s="88" t="s">
        <v>477</v>
      </c>
      <c r="B314" s="2" t="s">
        <v>790</v>
      </c>
      <c r="C314" s="18" t="s">
        <v>1087</v>
      </c>
      <c r="D314" s="18" t="s">
        <v>1088</v>
      </c>
      <c r="E314" s="18" t="s">
        <v>193</v>
      </c>
      <c r="F314" s="19" t="s">
        <v>2663</v>
      </c>
      <c r="G314" s="18">
        <v>174345</v>
      </c>
      <c r="H314" s="37" t="e">
        <f t="shared" si="15"/>
        <v>#VALUE!</v>
      </c>
      <c r="I314" s="37" t="e">
        <f t="shared" si="17"/>
        <v>#VALUE!</v>
      </c>
      <c r="J314" s="37" t="e">
        <f t="shared" si="16"/>
        <v>#VALUE!</v>
      </c>
      <c r="L314" t="s">
        <v>1730</v>
      </c>
      <c r="M314" s="66"/>
    </row>
    <row r="315" spans="1:13" hidden="1" x14ac:dyDescent="0.35">
      <c r="A315" s="88" t="s">
        <v>477</v>
      </c>
      <c r="B315" s="2" t="s">
        <v>790</v>
      </c>
      <c r="C315" s="18" t="s">
        <v>1087</v>
      </c>
      <c r="D315" s="18" t="s">
        <v>1088</v>
      </c>
      <c r="E315" s="18" t="s">
        <v>194</v>
      </c>
      <c r="F315" s="19" t="s">
        <v>2663</v>
      </c>
      <c r="G315" s="18">
        <v>52303.5</v>
      </c>
      <c r="H315" s="37" t="e">
        <f t="shared" si="15"/>
        <v>#VALUE!</v>
      </c>
      <c r="I315" s="37" t="e">
        <f t="shared" si="17"/>
        <v>#VALUE!</v>
      </c>
      <c r="J315" s="37" t="e">
        <f t="shared" si="16"/>
        <v>#VALUE!</v>
      </c>
      <c r="L315" t="s">
        <v>1730</v>
      </c>
      <c r="M315" s="66"/>
    </row>
    <row r="316" spans="1:13" hidden="1" x14ac:dyDescent="0.35">
      <c r="A316" s="88" t="s">
        <v>477</v>
      </c>
      <c r="B316" s="2" t="s">
        <v>790</v>
      </c>
      <c r="C316" s="18" t="s">
        <v>2380</v>
      </c>
      <c r="D316" s="18" t="s">
        <v>1081</v>
      </c>
      <c r="E316" s="18" t="s">
        <v>198</v>
      </c>
      <c r="F316" s="19" t="s">
        <v>2648</v>
      </c>
      <c r="G316" s="18">
        <v>1490376.94</v>
      </c>
      <c r="H316" s="37" t="e">
        <f t="shared" si="15"/>
        <v>#VALUE!</v>
      </c>
      <c r="I316" s="37" t="e">
        <f t="shared" si="17"/>
        <v>#VALUE!</v>
      </c>
      <c r="J316" s="37" t="e">
        <f t="shared" si="16"/>
        <v>#VALUE!</v>
      </c>
      <c r="L316" t="s">
        <v>1730</v>
      </c>
      <c r="M316" s="66"/>
    </row>
    <row r="317" spans="1:13" hidden="1" x14ac:dyDescent="0.35">
      <c r="A317" s="88" t="s">
        <v>477</v>
      </c>
      <c r="B317" s="2" t="s">
        <v>790</v>
      </c>
      <c r="C317" s="18" t="s">
        <v>2380</v>
      </c>
      <c r="D317" s="18" t="s">
        <v>1081</v>
      </c>
      <c r="E317" s="18" t="s">
        <v>209</v>
      </c>
      <c r="F317" s="19" t="s">
        <v>2664</v>
      </c>
      <c r="G317" s="18">
        <v>1269823.3600000001</v>
      </c>
      <c r="H317" s="37" t="e">
        <f t="shared" si="15"/>
        <v>#VALUE!</v>
      </c>
      <c r="I317" s="37" t="e">
        <f t="shared" si="17"/>
        <v>#VALUE!</v>
      </c>
      <c r="J317" s="37" t="e">
        <f t="shared" si="16"/>
        <v>#VALUE!</v>
      </c>
      <c r="L317" t="s">
        <v>1730</v>
      </c>
      <c r="M317" s="66"/>
    </row>
    <row r="318" spans="1:13" hidden="1" x14ac:dyDescent="0.35">
      <c r="A318" s="88" t="s">
        <v>477</v>
      </c>
      <c r="B318" s="2" t="s">
        <v>790</v>
      </c>
      <c r="C318" s="18" t="s">
        <v>2380</v>
      </c>
      <c r="D318" s="18" t="s">
        <v>1081</v>
      </c>
      <c r="E318" s="18" t="s">
        <v>2539</v>
      </c>
      <c r="F318" s="19" t="s">
        <v>2547</v>
      </c>
      <c r="G318" s="18">
        <v>2799832.36</v>
      </c>
      <c r="H318" s="37" t="e">
        <f t="shared" si="15"/>
        <v>#VALUE!</v>
      </c>
      <c r="I318" s="37" t="e">
        <f t="shared" si="17"/>
        <v>#VALUE!</v>
      </c>
      <c r="J318" s="37" t="e">
        <f t="shared" si="16"/>
        <v>#VALUE!</v>
      </c>
      <c r="L318" t="s">
        <v>1730</v>
      </c>
      <c r="M318" s="66"/>
    </row>
    <row r="319" spans="1:13" hidden="1" x14ac:dyDescent="0.35">
      <c r="A319" s="88" t="s">
        <v>477</v>
      </c>
      <c r="B319" s="2" t="s">
        <v>790</v>
      </c>
      <c r="C319" s="18" t="s">
        <v>2380</v>
      </c>
      <c r="D319" s="18" t="s">
        <v>1081</v>
      </c>
      <c r="E319" s="18" t="s">
        <v>224</v>
      </c>
      <c r="F319" s="19" t="s">
        <v>2650</v>
      </c>
      <c r="G319" s="18">
        <v>536535.74</v>
      </c>
      <c r="H319" s="37" t="e">
        <f t="shared" si="15"/>
        <v>#VALUE!</v>
      </c>
      <c r="I319" s="37" t="e">
        <f t="shared" si="17"/>
        <v>#VALUE!</v>
      </c>
      <c r="J319" s="37" t="e">
        <f t="shared" si="16"/>
        <v>#VALUE!</v>
      </c>
      <c r="L319" t="s">
        <v>1730</v>
      </c>
      <c r="M319" s="66"/>
    </row>
    <row r="320" spans="1:13" hidden="1" x14ac:dyDescent="0.35">
      <c r="A320" s="88" t="s">
        <v>477</v>
      </c>
      <c r="B320" s="2" t="s">
        <v>790</v>
      </c>
      <c r="C320" s="18" t="s">
        <v>2380</v>
      </c>
      <c r="D320" s="18" t="s">
        <v>1081</v>
      </c>
      <c r="E320" s="18" t="s">
        <v>2540</v>
      </c>
      <c r="F320" s="19" t="s">
        <v>2650</v>
      </c>
      <c r="G320" s="18">
        <v>298075.18</v>
      </c>
      <c r="H320" s="37" t="e">
        <f t="shared" si="15"/>
        <v>#VALUE!</v>
      </c>
      <c r="I320" s="37" t="e">
        <f t="shared" si="17"/>
        <v>#VALUE!</v>
      </c>
      <c r="J320" s="37" t="e">
        <f t="shared" si="16"/>
        <v>#VALUE!</v>
      </c>
      <c r="L320" t="s">
        <v>1730</v>
      </c>
      <c r="M320" s="66"/>
    </row>
    <row r="321" spans="1:13" hidden="1" x14ac:dyDescent="0.35">
      <c r="A321" s="88" t="s">
        <v>477</v>
      </c>
      <c r="B321" s="2" t="s">
        <v>790</v>
      </c>
      <c r="C321" s="18" t="s">
        <v>51</v>
      </c>
      <c r="D321" s="18" t="s">
        <v>52</v>
      </c>
      <c r="E321" s="18" t="s">
        <v>2541</v>
      </c>
      <c r="F321" s="19" t="s">
        <v>2665</v>
      </c>
      <c r="G321" s="18">
        <v>2043</v>
      </c>
      <c r="H321" s="37">
        <f t="shared" si="15"/>
        <v>235</v>
      </c>
      <c r="I321" s="37" t="str">
        <f t="shared" si="17"/>
        <v>More than 180 Days</v>
      </c>
      <c r="J321" s="37" t="str">
        <f t="shared" si="16"/>
        <v>More than 180 Days</v>
      </c>
      <c r="L321" t="s">
        <v>1730</v>
      </c>
      <c r="M321" s="66"/>
    </row>
    <row r="322" spans="1:13" hidden="1" x14ac:dyDescent="0.35">
      <c r="A322" s="88" t="s">
        <v>477</v>
      </c>
      <c r="B322" s="2" t="s">
        <v>790</v>
      </c>
      <c r="C322" s="18" t="s">
        <v>2322</v>
      </c>
      <c r="D322" s="18" t="s">
        <v>2348</v>
      </c>
      <c r="E322" s="18" t="s">
        <v>2542</v>
      </c>
      <c r="F322" s="19" t="s">
        <v>2656</v>
      </c>
      <c r="G322" s="18">
        <v>41117.1</v>
      </c>
      <c r="H322" s="37">
        <f t="shared" si="15"/>
        <v>113</v>
      </c>
      <c r="I322" s="37" t="str">
        <f t="shared" si="17"/>
        <v>91-120DAYS</v>
      </c>
      <c r="J322" s="37" t="str">
        <f t="shared" si="16"/>
        <v>0-180 DAYS</v>
      </c>
      <c r="L322" t="s">
        <v>1730</v>
      </c>
      <c r="M322" s="66"/>
    </row>
    <row r="323" spans="1:13" hidden="1" x14ac:dyDescent="0.35">
      <c r="A323" s="88" t="s">
        <v>477</v>
      </c>
      <c r="B323" s="2" t="s">
        <v>790</v>
      </c>
      <c r="C323" s="18" t="s">
        <v>1082</v>
      </c>
      <c r="D323" s="18" t="s">
        <v>1083</v>
      </c>
      <c r="E323" s="18" t="s">
        <v>2543</v>
      </c>
      <c r="F323" s="19" t="s">
        <v>2659</v>
      </c>
      <c r="G323" s="18">
        <v>3709</v>
      </c>
      <c r="H323" s="37" t="e">
        <f t="shared" si="15"/>
        <v>#VALUE!</v>
      </c>
      <c r="I323" s="37" t="e">
        <f t="shared" si="17"/>
        <v>#VALUE!</v>
      </c>
      <c r="J323" s="37" t="e">
        <f t="shared" si="16"/>
        <v>#VALUE!</v>
      </c>
      <c r="L323" t="s">
        <v>1730</v>
      </c>
      <c r="M323" s="66"/>
    </row>
    <row r="324" spans="1:13" hidden="1" x14ac:dyDescent="0.35">
      <c r="A324" s="88" t="s">
        <v>477</v>
      </c>
      <c r="B324" s="2" t="s">
        <v>790</v>
      </c>
      <c r="C324" s="18" t="s">
        <v>263</v>
      </c>
      <c r="D324" s="18" t="s">
        <v>264</v>
      </c>
      <c r="E324" s="18" t="s">
        <v>2544</v>
      </c>
      <c r="F324" s="19" t="s">
        <v>2660</v>
      </c>
      <c r="G324" s="18">
        <v>890576.65</v>
      </c>
      <c r="H324" s="37" t="e">
        <f t="shared" si="15"/>
        <v>#VALUE!</v>
      </c>
      <c r="I324" s="37" t="e">
        <f t="shared" si="17"/>
        <v>#VALUE!</v>
      </c>
      <c r="J324" s="37" t="e">
        <f t="shared" si="16"/>
        <v>#VALUE!</v>
      </c>
      <c r="L324" t="s">
        <v>1730</v>
      </c>
      <c r="M324" s="66"/>
    </row>
    <row r="325" spans="1:13" hidden="1" x14ac:dyDescent="0.35">
      <c r="A325" s="88" t="s">
        <v>477</v>
      </c>
      <c r="B325" s="2" t="s">
        <v>790</v>
      </c>
      <c r="C325" s="18" t="s">
        <v>2381</v>
      </c>
      <c r="D325" s="18" t="s">
        <v>2423</v>
      </c>
      <c r="E325" s="18" t="s">
        <v>2545</v>
      </c>
      <c r="F325" s="19" t="s">
        <v>2648</v>
      </c>
      <c r="G325" s="18">
        <v>91848.56</v>
      </c>
      <c r="H325" s="37" t="e">
        <f t="shared" ref="H325:H388" si="18">$H$2-F325+1</f>
        <v>#VALUE!</v>
      </c>
      <c r="I325" s="37" t="e">
        <f t="shared" si="17"/>
        <v>#VALUE!</v>
      </c>
      <c r="J325" s="37" t="e">
        <f t="shared" si="16"/>
        <v>#VALUE!</v>
      </c>
      <c r="L325" t="s">
        <v>1730</v>
      </c>
      <c r="M325" s="66"/>
    </row>
    <row r="326" spans="1:13" x14ac:dyDescent="0.35">
      <c r="A326" s="88" t="s">
        <v>1085</v>
      </c>
      <c r="B326" s="2" t="s">
        <v>790</v>
      </c>
      <c r="C326" s="18" t="s">
        <v>575</v>
      </c>
      <c r="D326" s="2" t="s">
        <v>507</v>
      </c>
      <c r="E326" s="18" t="s">
        <v>2569</v>
      </c>
      <c r="F326" s="19" t="s">
        <v>2654</v>
      </c>
      <c r="G326" s="18">
        <v>3199320.38</v>
      </c>
      <c r="H326" s="37">
        <f t="shared" si="18"/>
        <v>326</v>
      </c>
      <c r="I326" s="37" t="str">
        <f t="shared" ref="I326:I389" si="19">IF(H326&lt;121,"0-120 DAYS",IF(H326&lt;181,"121-180 DAYS","More than 180 Days"))</f>
        <v>More than 180 Days</v>
      </c>
      <c r="J326" s="37" t="str">
        <f t="shared" ref="J326:J389" si="20">IF(H326&lt;180,"0-180 DAYS","More than 180 Days")</f>
        <v>More than 180 Days</v>
      </c>
      <c r="L326" t="s">
        <v>1730</v>
      </c>
      <c r="M326" s="66"/>
    </row>
    <row r="327" spans="1:13" x14ac:dyDescent="0.35">
      <c r="A327" s="88" t="s">
        <v>1085</v>
      </c>
      <c r="B327" s="2" t="s">
        <v>790</v>
      </c>
      <c r="C327" s="18" t="s">
        <v>600</v>
      </c>
      <c r="D327" s="2" t="s">
        <v>507</v>
      </c>
      <c r="E327" s="18" t="s">
        <v>2570</v>
      </c>
      <c r="F327" s="19" t="s">
        <v>2667</v>
      </c>
      <c r="G327" s="18">
        <v>3774623.53</v>
      </c>
      <c r="H327" s="37">
        <f t="shared" si="18"/>
        <v>295</v>
      </c>
      <c r="I327" s="37" t="str">
        <f t="shared" si="19"/>
        <v>More than 180 Days</v>
      </c>
      <c r="J327" s="37" t="str">
        <f t="shared" si="20"/>
        <v>More than 180 Days</v>
      </c>
      <c r="L327" t="s">
        <v>1730</v>
      </c>
      <c r="M327" s="66"/>
    </row>
    <row r="328" spans="1:13" x14ac:dyDescent="0.35">
      <c r="A328" s="88" t="s">
        <v>1085</v>
      </c>
      <c r="B328" s="2" t="s">
        <v>790</v>
      </c>
      <c r="C328" s="18" t="s">
        <v>631</v>
      </c>
      <c r="D328" s="2" t="s">
        <v>507</v>
      </c>
      <c r="E328" s="18" t="s">
        <v>2571</v>
      </c>
      <c r="F328" s="19" t="s">
        <v>2667</v>
      </c>
      <c r="G328" s="18">
        <v>3034803.2</v>
      </c>
      <c r="H328" s="37">
        <f t="shared" si="18"/>
        <v>295</v>
      </c>
      <c r="I328" s="37" t="str">
        <f t="shared" si="19"/>
        <v>More than 180 Days</v>
      </c>
      <c r="J328" s="37" t="str">
        <f t="shared" si="20"/>
        <v>More than 180 Days</v>
      </c>
      <c r="L328" t="s">
        <v>1730</v>
      </c>
      <c r="M328" s="66"/>
    </row>
    <row r="329" spans="1:13" x14ac:dyDescent="0.35">
      <c r="A329" s="88" t="s">
        <v>1085</v>
      </c>
      <c r="B329" s="2" t="s">
        <v>790</v>
      </c>
      <c r="C329" s="18" t="s">
        <v>617</v>
      </c>
      <c r="D329" s="2" t="s">
        <v>507</v>
      </c>
      <c r="E329" s="18" t="s">
        <v>2572</v>
      </c>
      <c r="F329" s="19" t="s">
        <v>2668</v>
      </c>
      <c r="G329" s="18">
        <v>4386569.7699999996</v>
      </c>
      <c r="H329" s="37">
        <f t="shared" si="18"/>
        <v>266</v>
      </c>
      <c r="I329" s="37" t="str">
        <f t="shared" si="19"/>
        <v>More than 180 Days</v>
      </c>
      <c r="J329" s="37" t="str">
        <f t="shared" si="20"/>
        <v>More than 180 Days</v>
      </c>
      <c r="L329" t="s">
        <v>1730</v>
      </c>
      <c r="M329" s="66"/>
    </row>
    <row r="330" spans="1:13" x14ac:dyDescent="0.35">
      <c r="A330" s="88" t="s">
        <v>1085</v>
      </c>
      <c r="B330" s="2" t="s">
        <v>790</v>
      </c>
      <c r="C330" s="18" t="s">
        <v>538</v>
      </c>
      <c r="D330" s="2" t="s">
        <v>507</v>
      </c>
      <c r="E330" s="18" t="s">
        <v>2573</v>
      </c>
      <c r="F330" s="19" t="s">
        <v>2668</v>
      </c>
      <c r="G330" s="18">
        <v>2918484</v>
      </c>
      <c r="H330" s="37">
        <f t="shared" si="18"/>
        <v>266</v>
      </c>
      <c r="I330" s="37" t="str">
        <f t="shared" si="19"/>
        <v>More than 180 Days</v>
      </c>
      <c r="J330" s="37" t="str">
        <f t="shared" si="20"/>
        <v>More than 180 Days</v>
      </c>
      <c r="L330" t="s">
        <v>1730</v>
      </c>
      <c r="M330" s="66"/>
    </row>
    <row r="331" spans="1:13" x14ac:dyDescent="0.35">
      <c r="A331" s="88" t="s">
        <v>1085</v>
      </c>
      <c r="B331" s="2" t="s">
        <v>790</v>
      </c>
      <c r="C331" s="18" t="s">
        <v>1328</v>
      </c>
      <c r="D331" s="2" t="s">
        <v>507</v>
      </c>
      <c r="E331" s="18" t="s">
        <v>2574</v>
      </c>
      <c r="F331" s="19" t="s">
        <v>2651</v>
      </c>
      <c r="G331" s="18">
        <v>3659325.12</v>
      </c>
      <c r="H331" s="37">
        <f t="shared" si="18"/>
        <v>144</v>
      </c>
      <c r="I331" s="37" t="str">
        <f t="shared" si="19"/>
        <v>121-180 DAYS</v>
      </c>
      <c r="J331" s="37" t="str">
        <f t="shared" si="20"/>
        <v>0-180 DAYS</v>
      </c>
      <c r="L331" t="s">
        <v>1730</v>
      </c>
      <c r="M331" s="66"/>
    </row>
    <row r="332" spans="1:13" x14ac:dyDescent="0.35">
      <c r="A332" s="88" t="s">
        <v>1085</v>
      </c>
      <c r="B332" s="2" t="s">
        <v>790</v>
      </c>
      <c r="C332" s="18" t="s">
        <v>573</v>
      </c>
      <c r="D332" s="2" t="s">
        <v>507</v>
      </c>
      <c r="E332" s="18" t="s">
        <v>2575</v>
      </c>
      <c r="F332" s="19" t="s">
        <v>2656</v>
      </c>
      <c r="G332" s="18">
        <v>41633.1</v>
      </c>
      <c r="H332" s="37">
        <f t="shared" si="18"/>
        <v>113</v>
      </c>
      <c r="I332" s="37" t="str">
        <f t="shared" si="19"/>
        <v>0-120 DAYS</v>
      </c>
      <c r="J332" s="37" t="str">
        <f t="shared" si="20"/>
        <v>0-180 DAYS</v>
      </c>
      <c r="L332" t="s">
        <v>1730</v>
      </c>
      <c r="M332" s="66"/>
    </row>
    <row r="333" spans="1:13" x14ac:dyDescent="0.35">
      <c r="A333" s="88" t="s">
        <v>1085</v>
      </c>
      <c r="B333" s="2" t="s">
        <v>790</v>
      </c>
      <c r="C333" s="18" t="s">
        <v>1244</v>
      </c>
      <c r="D333" s="2" t="s">
        <v>507</v>
      </c>
      <c r="E333" s="18" t="s">
        <v>2562</v>
      </c>
      <c r="F333" s="19" t="s">
        <v>2669</v>
      </c>
      <c r="G333" s="18">
        <v>1931857.03</v>
      </c>
      <c r="H333" s="37" t="e">
        <f t="shared" si="18"/>
        <v>#VALUE!</v>
      </c>
      <c r="I333" s="37" t="e">
        <f t="shared" si="19"/>
        <v>#VALUE!</v>
      </c>
      <c r="J333" s="37" t="e">
        <f t="shared" si="20"/>
        <v>#VALUE!</v>
      </c>
      <c r="L333" t="s">
        <v>1730</v>
      </c>
      <c r="M333" s="66"/>
    </row>
    <row r="334" spans="1:13" x14ac:dyDescent="0.35">
      <c r="A334" s="88" t="s">
        <v>1085</v>
      </c>
      <c r="B334" s="2" t="s">
        <v>790</v>
      </c>
      <c r="C334" s="18" t="s">
        <v>1244</v>
      </c>
      <c r="D334" s="2" t="s">
        <v>507</v>
      </c>
      <c r="E334" s="18" t="s">
        <v>2563</v>
      </c>
      <c r="F334" s="19" t="s">
        <v>2669</v>
      </c>
      <c r="G334" s="18">
        <v>3239687.57</v>
      </c>
      <c r="H334" s="37" t="e">
        <f t="shared" si="18"/>
        <v>#VALUE!</v>
      </c>
      <c r="I334" s="37" t="e">
        <f t="shared" si="19"/>
        <v>#VALUE!</v>
      </c>
      <c r="J334" s="37" t="e">
        <f t="shared" si="20"/>
        <v>#VALUE!</v>
      </c>
      <c r="L334" t="s">
        <v>1730</v>
      </c>
      <c r="M334" s="66"/>
    </row>
    <row r="335" spans="1:13" x14ac:dyDescent="0.35">
      <c r="A335" s="88" t="s">
        <v>1085</v>
      </c>
      <c r="B335" s="2" t="s">
        <v>790</v>
      </c>
      <c r="C335" s="18" t="s">
        <v>538</v>
      </c>
      <c r="D335" s="2" t="s">
        <v>507</v>
      </c>
      <c r="E335" s="18" t="s">
        <v>2576</v>
      </c>
      <c r="F335" s="19" t="s">
        <v>2546</v>
      </c>
      <c r="G335" s="18">
        <v>2904130.8</v>
      </c>
      <c r="H335" s="37" t="e">
        <f t="shared" si="18"/>
        <v>#VALUE!</v>
      </c>
      <c r="I335" s="37" t="e">
        <f t="shared" si="19"/>
        <v>#VALUE!</v>
      </c>
      <c r="J335" s="37" t="e">
        <f t="shared" si="20"/>
        <v>#VALUE!</v>
      </c>
      <c r="L335" t="s">
        <v>1730</v>
      </c>
      <c r="M335" s="66"/>
    </row>
    <row r="336" spans="1:13" x14ac:dyDescent="0.35">
      <c r="A336" s="88" t="s">
        <v>1085</v>
      </c>
      <c r="B336" s="2" t="s">
        <v>790</v>
      </c>
      <c r="C336" s="18" t="s">
        <v>538</v>
      </c>
      <c r="D336" s="2" t="s">
        <v>507</v>
      </c>
      <c r="E336" s="18" t="s">
        <v>2577</v>
      </c>
      <c r="F336" s="19" t="s">
        <v>2546</v>
      </c>
      <c r="G336" s="18">
        <v>75389.399999999994</v>
      </c>
      <c r="H336" s="37" t="e">
        <f t="shared" si="18"/>
        <v>#VALUE!</v>
      </c>
      <c r="I336" s="37" t="e">
        <f t="shared" si="19"/>
        <v>#VALUE!</v>
      </c>
      <c r="J336" s="37" t="e">
        <f t="shared" si="20"/>
        <v>#VALUE!</v>
      </c>
      <c r="L336" t="s">
        <v>1730</v>
      </c>
      <c r="M336" s="66"/>
    </row>
    <row r="337" spans="1:13" x14ac:dyDescent="0.35">
      <c r="A337" s="88" t="s">
        <v>1085</v>
      </c>
      <c r="B337" s="2" t="s">
        <v>790</v>
      </c>
      <c r="C337" s="18" t="s">
        <v>548</v>
      </c>
      <c r="D337" s="2" t="s">
        <v>507</v>
      </c>
      <c r="E337" s="18" t="s">
        <v>2578</v>
      </c>
      <c r="F337" s="19" t="s">
        <v>2670</v>
      </c>
      <c r="G337" s="18">
        <v>3391028.46</v>
      </c>
      <c r="H337" s="37" t="e">
        <f t="shared" si="18"/>
        <v>#VALUE!</v>
      </c>
      <c r="I337" s="37" t="e">
        <f t="shared" si="19"/>
        <v>#VALUE!</v>
      </c>
      <c r="J337" s="37" t="e">
        <f t="shared" si="20"/>
        <v>#VALUE!</v>
      </c>
      <c r="L337" t="s">
        <v>1730</v>
      </c>
      <c r="M337" s="66"/>
    </row>
    <row r="338" spans="1:13" x14ac:dyDescent="0.35">
      <c r="A338" s="88" t="s">
        <v>1085</v>
      </c>
      <c r="B338" s="2" t="s">
        <v>790</v>
      </c>
      <c r="C338" s="18" t="s">
        <v>1243</v>
      </c>
      <c r="D338" s="2" t="s">
        <v>507</v>
      </c>
      <c r="E338" s="18" t="s">
        <v>2579</v>
      </c>
      <c r="F338" s="19" t="s">
        <v>2659</v>
      </c>
      <c r="G338" s="18">
        <v>4072421.58</v>
      </c>
      <c r="H338" s="37" t="e">
        <f t="shared" si="18"/>
        <v>#VALUE!</v>
      </c>
      <c r="I338" s="37" t="e">
        <f t="shared" si="19"/>
        <v>#VALUE!</v>
      </c>
      <c r="J338" s="37" t="e">
        <f t="shared" si="20"/>
        <v>#VALUE!</v>
      </c>
      <c r="L338" t="s">
        <v>1730</v>
      </c>
      <c r="M338" s="66"/>
    </row>
    <row r="339" spans="1:13" x14ac:dyDescent="0.35">
      <c r="A339" s="88" t="s">
        <v>1085</v>
      </c>
      <c r="B339" s="2" t="s">
        <v>790</v>
      </c>
      <c r="C339" s="18" t="s">
        <v>1243</v>
      </c>
      <c r="D339" s="2" t="s">
        <v>507</v>
      </c>
      <c r="E339" s="18" t="s">
        <v>2580</v>
      </c>
      <c r="F339" s="19" t="s">
        <v>2659</v>
      </c>
      <c r="G339" s="18">
        <v>72338.320000000007</v>
      </c>
      <c r="H339" s="37" t="e">
        <f t="shared" si="18"/>
        <v>#VALUE!</v>
      </c>
      <c r="I339" s="37" t="e">
        <f t="shared" si="19"/>
        <v>#VALUE!</v>
      </c>
      <c r="J339" s="37" t="e">
        <f t="shared" si="20"/>
        <v>#VALUE!</v>
      </c>
      <c r="L339" t="s">
        <v>1730</v>
      </c>
      <c r="M339" s="66"/>
    </row>
    <row r="340" spans="1:13" x14ac:dyDescent="0.35">
      <c r="A340" s="88" t="s">
        <v>1085</v>
      </c>
      <c r="B340" s="2" t="s">
        <v>790</v>
      </c>
      <c r="C340" s="18" t="s">
        <v>667</v>
      </c>
      <c r="D340" s="2" t="s">
        <v>507</v>
      </c>
      <c r="E340" s="18" t="s">
        <v>2581</v>
      </c>
      <c r="F340" s="19" t="s">
        <v>2652</v>
      </c>
      <c r="G340" s="18">
        <v>2810899.05</v>
      </c>
      <c r="H340" s="37" t="e">
        <f t="shared" si="18"/>
        <v>#VALUE!</v>
      </c>
      <c r="I340" s="37" t="e">
        <f t="shared" si="19"/>
        <v>#VALUE!</v>
      </c>
      <c r="J340" s="37" t="e">
        <f t="shared" si="20"/>
        <v>#VALUE!</v>
      </c>
      <c r="L340" t="s">
        <v>1730</v>
      </c>
      <c r="M340" s="66"/>
    </row>
    <row r="341" spans="1:13" x14ac:dyDescent="0.35">
      <c r="A341" s="88" t="s">
        <v>1085</v>
      </c>
      <c r="B341" s="2" t="s">
        <v>790</v>
      </c>
      <c r="C341" s="18" t="s">
        <v>548</v>
      </c>
      <c r="D341" s="2" t="s">
        <v>507</v>
      </c>
      <c r="E341" s="18" t="s">
        <v>2582</v>
      </c>
      <c r="F341" s="19" t="s">
        <v>2652</v>
      </c>
      <c r="G341" s="18">
        <v>3248611.68</v>
      </c>
      <c r="H341" s="37" t="e">
        <f t="shared" si="18"/>
        <v>#VALUE!</v>
      </c>
      <c r="I341" s="37" t="e">
        <f t="shared" si="19"/>
        <v>#VALUE!</v>
      </c>
      <c r="J341" s="37" t="e">
        <f t="shared" si="20"/>
        <v>#VALUE!</v>
      </c>
      <c r="L341" t="s">
        <v>1730</v>
      </c>
      <c r="M341" s="66"/>
    </row>
    <row r="342" spans="1:13" x14ac:dyDescent="0.35">
      <c r="A342" s="88" t="s">
        <v>1085</v>
      </c>
      <c r="B342" s="2" t="s">
        <v>790</v>
      </c>
      <c r="C342" s="18" t="s">
        <v>598</v>
      </c>
      <c r="D342" s="2" t="s">
        <v>507</v>
      </c>
      <c r="E342" s="18" t="s">
        <v>537</v>
      </c>
      <c r="F342" s="19" t="s">
        <v>2671</v>
      </c>
      <c r="G342" s="18">
        <v>4354176.32</v>
      </c>
      <c r="H342" s="37" t="e">
        <f t="shared" si="18"/>
        <v>#VALUE!</v>
      </c>
      <c r="I342" s="37" t="e">
        <f t="shared" si="19"/>
        <v>#VALUE!</v>
      </c>
      <c r="J342" s="37" t="e">
        <f t="shared" si="20"/>
        <v>#VALUE!</v>
      </c>
      <c r="L342" t="s">
        <v>1730</v>
      </c>
      <c r="M342" s="66"/>
    </row>
    <row r="343" spans="1:13" x14ac:dyDescent="0.35">
      <c r="A343" s="88" t="s">
        <v>1085</v>
      </c>
      <c r="B343" s="2" t="s">
        <v>790</v>
      </c>
      <c r="C343" s="18" t="s">
        <v>548</v>
      </c>
      <c r="D343" s="2" t="s">
        <v>507</v>
      </c>
      <c r="E343" s="18" t="s">
        <v>2583</v>
      </c>
      <c r="F343" s="19" t="s">
        <v>2661</v>
      </c>
      <c r="G343" s="18">
        <v>78349.440000000002</v>
      </c>
      <c r="H343" s="37" t="e">
        <f t="shared" si="18"/>
        <v>#VALUE!</v>
      </c>
      <c r="I343" s="37" t="e">
        <f t="shared" si="19"/>
        <v>#VALUE!</v>
      </c>
      <c r="J343" s="37" t="e">
        <f t="shared" si="20"/>
        <v>#VALUE!</v>
      </c>
      <c r="L343" t="s">
        <v>1730</v>
      </c>
      <c r="M343" s="66"/>
    </row>
    <row r="344" spans="1:13" x14ac:dyDescent="0.35">
      <c r="A344" s="88" t="s">
        <v>1085</v>
      </c>
      <c r="B344" s="2" t="s">
        <v>790</v>
      </c>
      <c r="C344" s="18" t="s">
        <v>2427</v>
      </c>
      <c r="D344" s="2" t="s">
        <v>507</v>
      </c>
      <c r="E344" s="18" t="s">
        <v>2584</v>
      </c>
      <c r="F344" s="19" t="s">
        <v>2661</v>
      </c>
      <c r="G344" s="18">
        <v>3663728.6400000001</v>
      </c>
      <c r="H344" s="37" t="e">
        <f t="shared" si="18"/>
        <v>#VALUE!</v>
      </c>
      <c r="I344" s="37" t="e">
        <f t="shared" si="19"/>
        <v>#VALUE!</v>
      </c>
      <c r="J344" s="37" t="e">
        <f t="shared" si="20"/>
        <v>#VALUE!</v>
      </c>
      <c r="L344" t="s">
        <v>1730</v>
      </c>
      <c r="M344" s="66"/>
    </row>
    <row r="345" spans="1:13" x14ac:dyDescent="0.35">
      <c r="A345" s="88" t="s">
        <v>1085</v>
      </c>
      <c r="B345" s="2" t="s">
        <v>790</v>
      </c>
      <c r="C345" s="18" t="s">
        <v>600</v>
      </c>
      <c r="D345" s="2" t="s">
        <v>507</v>
      </c>
      <c r="E345" s="18" t="s">
        <v>2585</v>
      </c>
      <c r="F345" s="19" t="s">
        <v>2663</v>
      </c>
      <c r="G345" s="18">
        <v>3773997.76</v>
      </c>
      <c r="H345" s="37" t="e">
        <f t="shared" si="18"/>
        <v>#VALUE!</v>
      </c>
      <c r="I345" s="37" t="e">
        <f t="shared" si="19"/>
        <v>#VALUE!</v>
      </c>
      <c r="J345" s="37" t="e">
        <f t="shared" si="20"/>
        <v>#VALUE!</v>
      </c>
      <c r="L345" t="s">
        <v>1730</v>
      </c>
      <c r="M345" s="66"/>
    </row>
    <row r="346" spans="1:13" x14ac:dyDescent="0.35">
      <c r="A346" s="88" t="s">
        <v>1085</v>
      </c>
      <c r="B346" s="2" t="s">
        <v>790</v>
      </c>
      <c r="C346" s="18" t="s">
        <v>2064</v>
      </c>
      <c r="D346" s="2" t="s">
        <v>507</v>
      </c>
      <c r="E346" s="18" t="s">
        <v>2564</v>
      </c>
      <c r="F346" s="19" t="s">
        <v>2648</v>
      </c>
      <c r="G346" s="18">
        <v>1936966.5</v>
      </c>
      <c r="H346" s="37" t="e">
        <f t="shared" si="18"/>
        <v>#VALUE!</v>
      </c>
      <c r="I346" s="37" t="e">
        <f t="shared" si="19"/>
        <v>#VALUE!</v>
      </c>
      <c r="J346" s="37" t="e">
        <f t="shared" si="20"/>
        <v>#VALUE!</v>
      </c>
      <c r="L346" t="s">
        <v>1730</v>
      </c>
      <c r="M346" s="66"/>
    </row>
    <row r="347" spans="1:13" x14ac:dyDescent="0.35">
      <c r="A347" s="88" t="s">
        <v>1085</v>
      </c>
      <c r="B347" s="2" t="s">
        <v>790</v>
      </c>
      <c r="C347" s="18" t="s">
        <v>814</v>
      </c>
      <c r="D347" s="2" t="s">
        <v>507</v>
      </c>
      <c r="E347" s="18" t="s">
        <v>2557</v>
      </c>
      <c r="F347" s="19" t="s">
        <v>2648</v>
      </c>
      <c r="G347" s="108">
        <v>748384</v>
      </c>
      <c r="H347" s="37" t="e">
        <f t="shared" si="18"/>
        <v>#VALUE!</v>
      </c>
      <c r="I347" s="37" t="e">
        <f t="shared" si="19"/>
        <v>#VALUE!</v>
      </c>
      <c r="J347" s="37" t="e">
        <f t="shared" si="20"/>
        <v>#VALUE!</v>
      </c>
      <c r="L347" t="s">
        <v>1730</v>
      </c>
      <c r="M347" s="66"/>
    </row>
    <row r="348" spans="1:13" x14ac:dyDescent="0.35">
      <c r="A348" s="88" t="s">
        <v>1085</v>
      </c>
      <c r="B348" s="2" t="s">
        <v>790</v>
      </c>
      <c r="C348" s="18" t="s">
        <v>598</v>
      </c>
      <c r="D348" s="2" t="s">
        <v>507</v>
      </c>
      <c r="E348" s="18" t="s">
        <v>2586</v>
      </c>
      <c r="F348" s="19" t="s">
        <v>2649</v>
      </c>
      <c r="G348" s="18">
        <v>2039232</v>
      </c>
      <c r="H348" s="37" t="e">
        <f t="shared" si="18"/>
        <v>#VALUE!</v>
      </c>
      <c r="I348" s="37" t="e">
        <f t="shared" si="19"/>
        <v>#VALUE!</v>
      </c>
      <c r="J348" s="37" t="e">
        <f t="shared" si="20"/>
        <v>#VALUE!</v>
      </c>
      <c r="L348" t="s">
        <v>1730</v>
      </c>
      <c r="M348" s="66"/>
    </row>
    <row r="349" spans="1:13" x14ac:dyDescent="0.35">
      <c r="A349" s="88" t="s">
        <v>1085</v>
      </c>
      <c r="B349" s="2" t="s">
        <v>790</v>
      </c>
      <c r="C349" s="18" t="s">
        <v>538</v>
      </c>
      <c r="D349" s="2" t="s">
        <v>507</v>
      </c>
      <c r="E349" s="18" t="s">
        <v>2587</v>
      </c>
      <c r="F349" s="19" t="s">
        <v>2666</v>
      </c>
      <c r="G349" s="18">
        <v>3035248.89</v>
      </c>
      <c r="H349" s="37" t="e">
        <f t="shared" si="18"/>
        <v>#VALUE!</v>
      </c>
      <c r="I349" s="37" t="e">
        <f t="shared" si="19"/>
        <v>#VALUE!</v>
      </c>
      <c r="J349" s="37" t="e">
        <f t="shared" si="20"/>
        <v>#VALUE!</v>
      </c>
      <c r="L349" t="s">
        <v>1730</v>
      </c>
      <c r="M349" s="66"/>
    </row>
    <row r="350" spans="1:13" x14ac:dyDescent="0.35">
      <c r="A350" s="88" t="s">
        <v>1085</v>
      </c>
      <c r="B350" s="2" t="s">
        <v>790</v>
      </c>
      <c r="C350" s="18" t="s">
        <v>536</v>
      </c>
      <c r="D350" s="2" t="s">
        <v>507</v>
      </c>
      <c r="E350" s="18" t="s">
        <v>2588</v>
      </c>
      <c r="F350" s="19" t="s">
        <v>2547</v>
      </c>
      <c r="G350" s="18">
        <v>3366738.38</v>
      </c>
      <c r="H350" s="37" t="e">
        <f t="shared" si="18"/>
        <v>#VALUE!</v>
      </c>
      <c r="I350" s="37" t="e">
        <f t="shared" si="19"/>
        <v>#VALUE!</v>
      </c>
      <c r="J350" s="37" t="e">
        <f t="shared" si="20"/>
        <v>#VALUE!</v>
      </c>
      <c r="L350" t="s">
        <v>1730</v>
      </c>
      <c r="M350" s="66"/>
    </row>
    <row r="351" spans="1:13" x14ac:dyDescent="0.35">
      <c r="A351" s="88" t="s">
        <v>1085</v>
      </c>
      <c r="B351" s="2" t="s">
        <v>790</v>
      </c>
      <c r="C351" s="18" t="s">
        <v>1052</v>
      </c>
      <c r="D351" s="2" t="s">
        <v>507</v>
      </c>
      <c r="E351" s="18" t="s">
        <v>2589</v>
      </c>
      <c r="F351" s="19" t="s">
        <v>2650</v>
      </c>
      <c r="G351" s="18">
        <v>3020430.4</v>
      </c>
      <c r="H351" s="37" t="e">
        <f t="shared" si="18"/>
        <v>#VALUE!</v>
      </c>
      <c r="I351" s="37" t="e">
        <f t="shared" si="19"/>
        <v>#VALUE!</v>
      </c>
      <c r="J351" s="37" t="e">
        <f t="shared" si="20"/>
        <v>#VALUE!</v>
      </c>
      <c r="L351" t="s">
        <v>1730</v>
      </c>
      <c r="M351" s="66"/>
    </row>
    <row r="352" spans="1:13" x14ac:dyDescent="0.35">
      <c r="A352" s="88" t="s">
        <v>1085</v>
      </c>
      <c r="B352" s="2" t="s">
        <v>790</v>
      </c>
      <c r="C352" s="18" t="s">
        <v>1086</v>
      </c>
      <c r="D352" s="2" t="s">
        <v>507</v>
      </c>
      <c r="E352" s="18" t="s">
        <v>2590</v>
      </c>
      <c r="F352" s="19" t="s">
        <v>2654</v>
      </c>
      <c r="G352" s="18">
        <v>3153794.55</v>
      </c>
      <c r="H352" s="37">
        <f t="shared" si="18"/>
        <v>326</v>
      </c>
      <c r="I352" s="37" t="str">
        <f t="shared" si="19"/>
        <v>More than 180 Days</v>
      </c>
      <c r="J352" s="37" t="str">
        <f t="shared" si="20"/>
        <v>More than 180 Days</v>
      </c>
      <c r="L352" t="s">
        <v>1730</v>
      </c>
      <c r="M352" s="66"/>
    </row>
    <row r="353" spans="1:13" x14ac:dyDescent="0.35">
      <c r="A353" s="88" t="s">
        <v>1085</v>
      </c>
      <c r="B353" s="2" t="s">
        <v>790</v>
      </c>
      <c r="C353" s="18" t="s">
        <v>1086</v>
      </c>
      <c r="D353" s="2" t="s">
        <v>507</v>
      </c>
      <c r="E353" s="18" t="s">
        <v>2591</v>
      </c>
      <c r="F353" s="19" t="s">
        <v>2654</v>
      </c>
      <c r="G353" s="18">
        <v>2816726.46</v>
      </c>
      <c r="H353" s="37">
        <f t="shared" si="18"/>
        <v>326</v>
      </c>
      <c r="I353" s="37" t="str">
        <f t="shared" si="19"/>
        <v>More than 180 Days</v>
      </c>
      <c r="J353" s="37" t="str">
        <f t="shared" si="20"/>
        <v>More than 180 Days</v>
      </c>
      <c r="L353" t="s">
        <v>1730</v>
      </c>
      <c r="M353" s="66"/>
    </row>
    <row r="354" spans="1:13" x14ac:dyDescent="0.35">
      <c r="A354" s="88" t="s">
        <v>1085</v>
      </c>
      <c r="B354" s="2" t="s">
        <v>790</v>
      </c>
      <c r="C354" s="18" t="s">
        <v>2559</v>
      </c>
      <c r="D354" s="2" t="s">
        <v>507</v>
      </c>
      <c r="E354" s="18" t="s">
        <v>2565</v>
      </c>
      <c r="F354" s="19" t="s">
        <v>2654</v>
      </c>
      <c r="G354" s="18">
        <v>3380728.32</v>
      </c>
      <c r="H354" s="37">
        <f t="shared" si="18"/>
        <v>326</v>
      </c>
      <c r="I354" s="37" t="str">
        <f t="shared" si="19"/>
        <v>More than 180 Days</v>
      </c>
      <c r="J354" s="37" t="str">
        <f t="shared" si="20"/>
        <v>More than 180 Days</v>
      </c>
      <c r="L354" t="s">
        <v>1730</v>
      </c>
      <c r="M354" s="66"/>
    </row>
    <row r="355" spans="1:13" x14ac:dyDescent="0.35">
      <c r="A355" s="88" t="s">
        <v>1085</v>
      </c>
      <c r="B355" s="2" t="s">
        <v>790</v>
      </c>
      <c r="C355" s="18" t="s">
        <v>600</v>
      </c>
      <c r="D355" s="2" t="s">
        <v>507</v>
      </c>
      <c r="E355" s="18" t="s">
        <v>2592</v>
      </c>
      <c r="F355" s="19" t="s">
        <v>2667</v>
      </c>
      <c r="G355" s="18">
        <v>3747581.55</v>
      </c>
      <c r="H355" s="37">
        <f t="shared" si="18"/>
        <v>295</v>
      </c>
      <c r="I355" s="37" t="str">
        <f t="shared" si="19"/>
        <v>More than 180 Days</v>
      </c>
      <c r="J355" s="37" t="str">
        <f t="shared" si="20"/>
        <v>More than 180 Days</v>
      </c>
      <c r="L355" t="s">
        <v>1730</v>
      </c>
      <c r="M355" s="66"/>
    </row>
    <row r="356" spans="1:13" x14ac:dyDescent="0.35">
      <c r="A356" s="88" t="s">
        <v>1085</v>
      </c>
      <c r="B356" s="2" t="s">
        <v>790</v>
      </c>
      <c r="C356" s="18" t="s">
        <v>1764</v>
      </c>
      <c r="D356" s="2" t="s">
        <v>507</v>
      </c>
      <c r="E356" s="18" t="s">
        <v>2566</v>
      </c>
      <c r="F356" s="19" t="s">
        <v>2668</v>
      </c>
      <c r="G356" s="18">
        <v>2308.3000000000002</v>
      </c>
      <c r="H356" s="37">
        <f t="shared" si="18"/>
        <v>266</v>
      </c>
      <c r="I356" s="37" t="str">
        <f t="shared" si="19"/>
        <v>More than 180 Days</v>
      </c>
      <c r="J356" s="37" t="str">
        <f t="shared" si="20"/>
        <v>More than 180 Days</v>
      </c>
      <c r="L356" t="s">
        <v>1730</v>
      </c>
      <c r="M356" s="66"/>
    </row>
    <row r="357" spans="1:13" x14ac:dyDescent="0.35">
      <c r="A357" s="88" t="s">
        <v>1085</v>
      </c>
      <c r="B357" s="2" t="s">
        <v>790</v>
      </c>
      <c r="C357" s="18" t="s">
        <v>600</v>
      </c>
      <c r="D357" s="2" t="s">
        <v>507</v>
      </c>
      <c r="E357" s="18" t="s">
        <v>2593</v>
      </c>
      <c r="F357" s="19" t="s">
        <v>2668</v>
      </c>
      <c r="G357" s="18">
        <v>3710106.6</v>
      </c>
      <c r="H357" s="37">
        <f t="shared" si="18"/>
        <v>266</v>
      </c>
      <c r="I357" s="37" t="str">
        <f t="shared" si="19"/>
        <v>More than 180 Days</v>
      </c>
      <c r="J357" s="37" t="str">
        <f t="shared" si="20"/>
        <v>More than 180 Days</v>
      </c>
      <c r="L357" t="s">
        <v>1730</v>
      </c>
      <c r="M357" s="66"/>
    </row>
    <row r="358" spans="1:13" x14ac:dyDescent="0.35">
      <c r="A358" s="88" t="s">
        <v>1085</v>
      </c>
      <c r="B358" s="2" t="s">
        <v>790</v>
      </c>
      <c r="C358" s="18" t="s">
        <v>650</v>
      </c>
      <c r="D358" s="2" t="s">
        <v>507</v>
      </c>
      <c r="E358" s="18" t="s">
        <v>2594</v>
      </c>
      <c r="F358" s="19" t="s">
        <v>2668</v>
      </c>
      <c r="G358" s="18">
        <v>3904488</v>
      </c>
      <c r="H358" s="37">
        <f t="shared" si="18"/>
        <v>266</v>
      </c>
      <c r="I358" s="37" t="str">
        <f t="shared" si="19"/>
        <v>More than 180 Days</v>
      </c>
      <c r="J358" s="37" t="str">
        <f t="shared" si="20"/>
        <v>More than 180 Days</v>
      </c>
      <c r="L358" t="s">
        <v>1730</v>
      </c>
      <c r="M358" s="66"/>
    </row>
    <row r="359" spans="1:13" x14ac:dyDescent="0.35">
      <c r="A359" s="88" t="s">
        <v>1085</v>
      </c>
      <c r="B359" s="2" t="s">
        <v>790</v>
      </c>
      <c r="C359" s="18" t="s">
        <v>1086</v>
      </c>
      <c r="D359" s="2" t="s">
        <v>507</v>
      </c>
      <c r="E359" s="18" t="s">
        <v>2595</v>
      </c>
      <c r="F359" s="19" t="s">
        <v>2665</v>
      </c>
      <c r="G359" s="18">
        <v>44670.41</v>
      </c>
      <c r="H359" s="37">
        <f t="shared" si="18"/>
        <v>235</v>
      </c>
      <c r="I359" s="37" t="str">
        <f t="shared" si="19"/>
        <v>More than 180 Days</v>
      </c>
      <c r="J359" s="37" t="str">
        <f t="shared" si="20"/>
        <v>More than 180 Days</v>
      </c>
      <c r="L359" t="s">
        <v>1730</v>
      </c>
      <c r="M359" s="66"/>
    </row>
    <row r="360" spans="1:13" x14ac:dyDescent="0.35">
      <c r="A360" s="88" t="s">
        <v>1085</v>
      </c>
      <c r="B360" s="2" t="s">
        <v>790</v>
      </c>
      <c r="C360" s="18" t="s">
        <v>1086</v>
      </c>
      <c r="D360" s="2" t="s">
        <v>507</v>
      </c>
      <c r="E360" s="18" t="s">
        <v>2596</v>
      </c>
      <c r="F360" s="19" t="s">
        <v>2665</v>
      </c>
      <c r="G360" s="18">
        <v>33028.93</v>
      </c>
      <c r="H360" s="37">
        <f t="shared" si="18"/>
        <v>235</v>
      </c>
      <c r="I360" s="37" t="str">
        <f t="shared" si="19"/>
        <v>More than 180 Days</v>
      </c>
      <c r="J360" s="37" t="str">
        <f t="shared" si="20"/>
        <v>More than 180 Days</v>
      </c>
      <c r="L360" t="s">
        <v>1730</v>
      </c>
      <c r="M360" s="66"/>
    </row>
    <row r="361" spans="1:13" x14ac:dyDescent="0.35">
      <c r="A361" s="88" t="s">
        <v>1085</v>
      </c>
      <c r="B361" s="2" t="s">
        <v>790</v>
      </c>
      <c r="C361" s="18" t="s">
        <v>1086</v>
      </c>
      <c r="D361" s="2" t="s">
        <v>507</v>
      </c>
      <c r="E361" s="18" t="s">
        <v>2597</v>
      </c>
      <c r="F361" s="19" t="s">
        <v>2655</v>
      </c>
      <c r="G361" s="18">
        <v>2069937.9</v>
      </c>
      <c r="H361" s="37">
        <f t="shared" si="18"/>
        <v>205</v>
      </c>
      <c r="I361" s="37" t="str">
        <f t="shared" si="19"/>
        <v>More than 180 Days</v>
      </c>
      <c r="J361" s="37" t="str">
        <f t="shared" si="20"/>
        <v>More than 180 Days</v>
      </c>
      <c r="L361" t="s">
        <v>1730</v>
      </c>
      <c r="M361" s="66"/>
    </row>
    <row r="362" spans="1:13" x14ac:dyDescent="0.35">
      <c r="A362" s="88" t="s">
        <v>1085</v>
      </c>
      <c r="B362" s="2" t="s">
        <v>790</v>
      </c>
      <c r="C362" s="18" t="s">
        <v>1086</v>
      </c>
      <c r="D362" s="2" t="s">
        <v>507</v>
      </c>
      <c r="E362" s="18" t="s">
        <v>2598</v>
      </c>
      <c r="F362" s="19" t="s">
        <v>2655</v>
      </c>
      <c r="G362" s="18">
        <v>27764.54</v>
      </c>
      <c r="H362" s="37">
        <f t="shared" si="18"/>
        <v>205</v>
      </c>
      <c r="I362" s="37" t="str">
        <f t="shared" si="19"/>
        <v>More than 180 Days</v>
      </c>
      <c r="J362" s="37" t="str">
        <f t="shared" si="20"/>
        <v>More than 180 Days</v>
      </c>
      <c r="L362" t="s">
        <v>1730</v>
      </c>
      <c r="M362" s="66"/>
    </row>
    <row r="363" spans="1:13" x14ac:dyDescent="0.35">
      <c r="A363" s="88" t="s">
        <v>1085</v>
      </c>
      <c r="B363" s="2" t="s">
        <v>790</v>
      </c>
      <c r="C363" s="18" t="s">
        <v>1086</v>
      </c>
      <c r="D363" s="2" t="s">
        <v>507</v>
      </c>
      <c r="E363" s="18" t="s">
        <v>2599</v>
      </c>
      <c r="F363" s="19" t="s">
        <v>2655</v>
      </c>
      <c r="G363" s="18">
        <v>31656.95</v>
      </c>
      <c r="H363" s="37">
        <f t="shared" si="18"/>
        <v>205</v>
      </c>
      <c r="I363" s="37" t="str">
        <f t="shared" si="19"/>
        <v>More than 180 Days</v>
      </c>
      <c r="J363" s="37" t="str">
        <f t="shared" si="20"/>
        <v>More than 180 Days</v>
      </c>
      <c r="L363" t="s">
        <v>1730</v>
      </c>
      <c r="M363" s="66"/>
    </row>
    <row r="364" spans="1:13" x14ac:dyDescent="0.35">
      <c r="A364" s="88" t="s">
        <v>1085</v>
      </c>
      <c r="B364" s="2" t="s">
        <v>790</v>
      </c>
      <c r="C364" s="18" t="s">
        <v>1086</v>
      </c>
      <c r="D364" s="2" t="s">
        <v>507</v>
      </c>
      <c r="E364" s="18" t="s">
        <v>2600</v>
      </c>
      <c r="F364" s="19" t="s">
        <v>2655</v>
      </c>
      <c r="G364" s="18">
        <v>42881.26</v>
      </c>
      <c r="H364" s="37">
        <f t="shared" si="18"/>
        <v>205</v>
      </c>
      <c r="I364" s="37" t="str">
        <f t="shared" si="19"/>
        <v>More than 180 Days</v>
      </c>
      <c r="J364" s="37" t="str">
        <f t="shared" si="20"/>
        <v>More than 180 Days</v>
      </c>
      <c r="L364" t="s">
        <v>1730</v>
      </c>
      <c r="M364" s="66"/>
    </row>
    <row r="365" spans="1:13" x14ac:dyDescent="0.35">
      <c r="A365" s="88" t="s">
        <v>1085</v>
      </c>
      <c r="B365" s="2" t="s">
        <v>790</v>
      </c>
      <c r="C365" s="18" t="s">
        <v>1086</v>
      </c>
      <c r="D365" s="2" t="s">
        <v>507</v>
      </c>
      <c r="E365" s="18" t="s">
        <v>2601</v>
      </c>
      <c r="F365" s="19" t="s">
        <v>2655</v>
      </c>
      <c r="G365" s="18">
        <v>113930.1</v>
      </c>
      <c r="H365" s="37">
        <f t="shared" si="18"/>
        <v>205</v>
      </c>
      <c r="I365" s="37" t="str">
        <f t="shared" si="19"/>
        <v>More than 180 Days</v>
      </c>
      <c r="J365" s="37" t="str">
        <f t="shared" si="20"/>
        <v>More than 180 Days</v>
      </c>
      <c r="L365" t="s">
        <v>1730</v>
      </c>
      <c r="M365" s="66"/>
    </row>
    <row r="366" spans="1:13" x14ac:dyDescent="0.35">
      <c r="A366" s="88" t="s">
        <v>1085</v>
      </c>
      <c r="B366" s="2" t="s">
        <v>790</v>
      </c>
      <c r="C366" s="18" t="s">
        <v>650</v>
      </c>
      <c r="D366" s="2" t="s">
        <v>507</v>
      </c>
      <c r="E366" s="18" t="s">
        <v>2602</v>
      </c>
      <c r="F366" s="19" t="s">
        <v>2655</v>
      </c>
      <c r="G366" s="18">
        <v>2949777.81</v>
      </c>
      <c r="H366" s="37">
        <f t="shared" si="18"/>
        <v>205</v>
      </c>
      <c r="I366" s="37" t="str">
        <f t="shared" si="19"/>
        <v>More than 180 Days</v>
      </c>
      <c r="J366" s="37" t="str">
        <f t="shared" si="20"/>
        <v>More than 180 Days</v>
      </c>
      <c r="L366" t="s">
        <v>1730</v>
      </c>
      <c r="M366" s="66"/>
    </row>
    <row r="367" spans="1:13" x14ac:dyDescent="0.35">
      <c r="A367" s="88" t="s">
        <v>1085</v>
      </c>
      <c r="B367" s="2" t="s">
        <v>790</v>
      </c>
      <c r="C367" s="18" t="s">
        <v>1086</v>
      </c>
      <c r="D367" s="2" t="s">
        <v>507</v>
      </c>
      <c r="E367" s="18" t="s">
        <v>2603</v>
      </c>
      <c r="F367" s="19" t="s">
        <v>2672</v>
      </c>
      <c r="G367" s="18">
        <v>1842840.56</v>
      </c>
      <c r="H367" s="37">
        <f t="shared" si="18"/>
        <v>174</v>
      </c>
      <c r="I367" s="37" t="str">
        <f t="shared" si="19"/>
        <v>121-180 DAYS</v>
      </c>
      <c r="J367" s="37" t="str">
        <f t="shared" si="20"/>
        <v>0-180 DAYS</v>
      </c>
      <c r="L367" t="s">
        <v>1730</v>
      </c>
      <c r="M367" s="66"/>
    </row>
    <row r="368" spans="1:13" x14ac:dyDescent="0.35">
      <c r="A368" s="88" t="s">
        <v>1085</v>
      </c>
      <c r="B368" s="2" t="s">
        <v>790</v>
      </c>
      <c r="C368" s="18" t="s">
        <v>1086</v>
      </c>
      <c r="D368" s="2" t="s">
        <v>507</v>
      </c>
      <c r="E368" s="18" t="s">
        <v>2604</v>
      </c>
      <c r="F368" s="19" t="s">
        <v>2672</v>
      </c>
      <c r="G368" s="18">
        <v>533049.93999999994</v>
      </c>
      <c r="H368" s="37">
        <f t="shared" si="18"/>
        <v>174</v>
      </c>
      <c r="I368" s="37" t="str">
        <f t="shared" si="19"/>
        <v>121-180 DAYS</v>
      </c>
      <c r="J368" s="37" t="str">
        <f t="shared" si="20"/>
        <v>0-180 DAYS</v>
      </c>
      <c r="L368" t="s">
        <v>1730</v>
      </c>
      <c r="M368" s="66"/>
    </row>
    <row r="369" spans="1:13" x14ac:dyDescent="0.35">
      <c r="A369" s="88" t="s">
        <v>1085</v>
      </c>
      <c r="B369" s="2" t="s">
        <v>790</v>
      </c>
      <c r="C369" s="18" t="s">
        <v>635</v>
      </c>
      <c r="D369" s="2" t="s">
        <v>507</v>
      </c>
      <c r="E369" s="18" t="s">
        <v>2605</v>
      </c>
      <c r="F369" s="19" t="s">
        <v>2669</v>
      </c>
      <c r="G369" s="18">
        <v>3160314.61</v>
      </c>
      <c r="H369" s="37" t="e">
        <f t="shared" si="18"/>
        <v>#VALUE!</v>
      </c>
      <c r="I369" s="37" t="e">
        <f t="shared" si="19"/>
        <v>#VALUE!</v>
      </c>
      <c r="J369" s="37" t="e">
        <f t="shared" si="20"/>
        <v>#VALUE!</v>
      </c>
      <c r="L369" t="s">
        <v>1730</v>
      </c>
      <c r="M369" s="66"/>
    </row>
    <row r="370" spans="1:13" x14ac:dyDescent="0.35">
      <c r="A370" s="88" t="s">
        <v>1085</v>
      </c>
      <c r="B370" s="2" t="s">
        <v>790</v>
      </c>
      <c r="C370" s="18" t="s">
        <v>635</v>
      </c>
      <c r="D370" s="2" t="s">
        <v>507</v>
      </c>
      <c r="E370" s="18" t="s">
        <v>2606</v>
      </c>
      <c r="F370" s="19" t="s">
        <v>2669</v>
      </c>
      <c r="G370" s="18">
        <v>3405257.67</v>
      </c>
      <c r="H370" s="37" t="e">
        <f t="shared" si="18"/>
        <v>#VALUE!</v>
      </c>
      <c r="I370" s="37" t="e">
        <f t="shared" si="19"/>
        <v>#VALUE!</v>
      </c>
      <c r="J370" s="37" t="e">
        <f t="shared" si="20"/>
        <v>#VALUE!</v>
      </c>
      <c r="L370" t="s">
        <v>1730</v>
      </c>
      <c r="M370" s="66"/>
    </row>
    <row r="371" spans="1:13" x14ac:dyDescent="0.35">
      <c r="A371" s="88" t="s">
        <v>1085</v>
      </c>
      <c r="B371" s="2" t="s">
        <v>790</v>
      </c>
      <c r="C371" s="18" t="s">
        <v>650</v>
      </c>
      <c r="D371" s="2" t="s">
        <v>507</v>
      </c>
      <c r="E371" s="18" t="s">
        <v>2607</v>
      </c>
      <c r="F371" s="19" t="s">
        <v>2670</v>
      </c>
      <c r="G371" s="18">
        <v>2906507.31</v>
      </c>
      <c r="H371" s="37" t="e">
        <f t="shared" si="18"/>
        <v>#VALUE!</v>
      </c>
      <c r="I371" s="37" t="e">
        <f t="shared" si="19"/>
        <v>#VALUE!</v>
      </c>
      <c r="J371" s="37" t="e">
        <f t="shared" si="20"/>
        <v>#VALUE!</v>
      </c>
      <c r="L371" t="s">
        <v>1730</v>
      </c>
      <c r="M371" s="66"/>
    </row>
    <row r="372" spans="1:13" x14ac:dyDescent="0.35">
      <c r="A372" s="88" t="s">
        <v>1085</v>
      </c>
      <c r="B372" s="2" t="s">
        <v>790</v>
      </c>
      <c r="C372" s="18" t="s">
        <v>650</v>
      </c>
      <c r="D372" s="2" t="s">
        <v>507</v>
      </c>
      <c r="E372" s="18" t="s">
        <v>2608</v>
      </c>
      <c r="F372" s="19" t="s">
        <v>2670</v>
      </c>
      <c r="G372" s="18">
        <v>3160791.64</v>
      </c>
      <c r="H372" s="37" t="e">
        <f t="shared" si="18"/>
        <v>#VALUE!</v>
      </c>
      <c r="I372" s="37" t="e">
        <f t="shared" si="19"/>
        <v>#VALUE!</v>
      </c>
      <c r="J372" s="37" t="e">
        <f t="shared" si="20"/>
        <v>#VALUE!</v>
      </c>
      <c r="L372" t="s">
        <v>1730</v>
      </c>
      <c r="M372" s="66"/>
    </row>
    <row r="373" spans="1:13" x14ac:dyDescent="0.35">
      <c r="A373" s="88" t="s">
        <v>1085</v>
      </c>
      <c r="B373" s="2" t="s">
        <v>790</v>
      </c>
      <c r="C373" s="18" t="s">
        <v>596</v>
      </c>
      <c r="D373" s="2" t="s">
        <v>507</v>
      </c>
      <c r="E373" s="18" t="s">
        <v>2609</v>
      </c>
      <c r="F373" s="19" t="s">
        <v>2652</v>
      </c>
      <c r="G373" s="18">
        <v>3931103.67</v>
      </c>
      <c r="H373" s="37" t="e">
        <f t="shared" si="18"/>
        <v>#VALUE!</v>
      </c>
      <c r="I373" s="37" t="e">
        <f t="shared" si="19"/>
        <v>#VALUE!</v>
      </c>
      <c r="J373" s="37" t="e">
        <f t="shared" si="20"/>
        <v>#VALUE!</v>
      </c>
      <c r="L373" t="s">
        <v>1730</v>
      </c>
      <c r="M373" s="66"/>
    </row>
    <row r="374" spans="1:13" x14ac:dyDescent="0.35">
      <c r="A374" s="88" t="s">
        <v>1085</v>
      </c>
      <c r="B374" s="2" t="s">
        <v>790</v>
      </c>
      <c r="C374" s="18" t="s">
        <v>650</v>
      </c>
      <c r="D374" s="2" t="s">
        <v>507</v>
      </c>
      <c r="E374" s="18" t="s">
        <v>2610</v>
      </c>
      <c r="F374" s="19" t="s">
        <v>2652</v>
      </c>
      <c r="G374" s="18">
        <v>3114124.03</v>
      </c>
      <c r="H374" s="37" t="e">
        <f t="shared" si="18"/>
        <v>#VALUE!</v>
      </c>
      <c r="I374" s="37" t="e">
        <f t="shared" si="19"/>
        <v>#VALUE!</v>
      </c>
      <c r="J374" s="37" t="e">
        <f t="shared" si="20"/>
        <v>#VALUE!</v>
      </c>
      <c r="L374" t="s">
        <v>1730</v>
      </c>
      <c r="M374" s="66"/>
    </row>
    <row r="375" spans="1:13" x14ac:dyDescent="0.35">
      <c r="A375" s="88" t="s">
        <v>1085</v>
      </c>
      <c r="B375" s="2" t="s">
        <v>790</v>
      </c>
      <c r="C375" s="18" t="s">
        <v>538</v>
      </c>
      <c r="D375" s="2" t="s">
        <v>507</v>
      </c>
      <c r="E375" s="18" t="s">
        <v>2611</v>
      </c>
      <c r="F375" s="19" t="s">
        <v>2660</v>
      </c>
      <c r="G375" s="18">
        <v>3134106.72</v>
      </c>
      <c r="H375" s="37" t="e">
        <f t="shared" si="18"/>
        <v>#VALUE!</v>
      </c>
      <c r="I375" s="37" t="e">
        <f t="shared" si="19"/>
        <v>#VALUE!</v>
      </c>
      <c r="J375" s="37" t="e">
        <f t="shared" si="20"/>
        <v>#VALUE!</v>
      </c>
      <c r="L375" t="s">
        <v>1730</v>
      </c>
      <c r="M375" s="66"/>
    </row>
    <row r="376" spans="1:13" x14ac:dyDescent="0.35">
      <c r="A376" s="88" t="s">
        <v>1085</v>
      </c>
      <c r="B376" s="2" t="s">
        <v>790</v>
      </c>
      <c r="C376" s="18" t="s">
        <v>814</v>
      </c>
      <c r="D376" s="2" t="s">
        <v>507</v>
      </c>
      <c r="E376" s="18" t="s">
        <v>2558</v>
      </c>
      <c r="F376" s="19" t="s">
        <v>2673</v>
      </c>
      <c r="G376" s="108">
        <v>116822.15</v>
      </c>
      <c r="H376" s="37" t="e">
        <f t="shared" si="18"/>
        <v>#VALUE!</v>
      </c>
      <c r="I376" s="37" t="e">
        <f t="shared" si="19"/>
        <v>#VALUE!</v>
      </c>
      <c r="J376" s="37" t="e">
        <f t="shared" si="20"/>
        <v>#VALUE!</v>
      </c>
      <c r="L376" t="s">
        <v>1730</v>
      </c>
      <c r="M376" s="66"/>
    </row>
    <row r="377" spans="1:13" x14ac:dyDescent="0.35">
      <c r="A377" s="88" t="s">
        <v>1085</v>
      </c>
      <c r="B377" s="2" t="s">
        <v>790</v>
      </c>
      <c r="C377" s="18" t="s">
        <v>1330</v>
      </c>
      <c r="D377" s="2" t="s">
        <v>507</v>
      </c>
      <c r="E377" s="18" t="s">
        <v>2612</v>
      </c>
      <c r="F377" s="19" t="s">
        <v>2661</v>
      </c>
      <c r="G377" s="18">
        <v>4064567.04</v>
      </c>
      <c r="H377" s="37" t="e">
        <f t="shared" si="18"/>
        <v>#VALUE!</v>
      </c>
      <c r="I377" s="37" t="e">
        <f t="shared" si="19"/>
        <v>#VALUE!</v>
      </c>
      <c r="J377" s="37" t="e">
        <f t="shared" si="20"/>
        <v>#VALUE!</v>
      </c>
      <c r="L377" t="s">
        <v>1730</v>
      </c>
      <c r="M377" s="66"/>
    </row>
    <row r="378" spans="1:13" x14ac:dyDescent="0.35">
      <c r="A378" s="88" t="s">
        <v>1085</v>
      </c>
      <c r="B378" s="2" t="s">
        <v>790</v>
      </c>
      <c r="C378" s="18" t="s">
        <v>1086</v>
      </c>
      <c r="D378" s="2" t="s">
        <v>507</v>
      </c>
      <c r="E378" s="18" t="s">
        <v>2613</v>
      </c>
      <c r="F378" s="19" t="s">
        <v>2661</v>
      </c>
      <c r="G378" s="18">
        <v>23459.9</v>
      </c>
      <c r="H378" s="37" t="e">
        <f t="shared" si="18"/>
        <v>#VALUE!</v>
      </c>
      <c r="I378" s="37" t="e">
        <f t="shared" si="19"/>
        <v>#VALUE!</v>
      </c>
      <c r="J378" s="37" t="e">
        <f t="shared" si="20"/>
        <v>#VALUE!</v>
      </c>
      <c r="L378" t="s">
        <v>1730</v>
      </c>
      <c r="M378" s="66"/>
    </row>
    <row r="379" spans="1:13" x14ac:dyDescent="0.35">
      <c r="A379" s="88" t="s">
        <v>1085</v>
      </c>
      <c r="B379" s="2" t="s">
        <v>790</v>
      </c>
      <c r="C379" s="18" t="s">
        <v>1086</v>
      </c>
      <c r="D379" s="2" t="s">
        <v>507</v>
      </c>
      <c r="E379" s="18" t="s">
        <v>2614</v>
      </c>
      <c r="F379" s="19" t="s">
        <v>2661</v>
      </c>
      <c r="G379" s="18">
        <v>139033.01999999999</v>
      </c>
      <c r="H379" s="37" t="e">
        <f t="shared" si="18"/>
        <v>#VALUE!</v>
      </c>
      <c r="I379" s="37" t="e">
        <f t="shared" si="19"/>
        <v>#VALUE!</v>
      </c>
      <c r="J379" s="37" t="e">
        <f t="shared" si="20"/>
        <v>#VALUE!</v>
      </c>
      <c r="L379" t="s">
        <v>1730</v>
      </c>
      <c r="M379" s="66"/>
    </row>
    <row r="380" spans="1:13" x14ac:dyDescent="0.35">
      <c r="A380" s="88" t="s">
        <v>1085</v>
      </c>
      <c r="B380" s="2" t="s">
        <v>790</v>
      </c>
      <c r="C380" s="18" t="s">
        <v>1086</v>
      </c>
      <c r="D380" s="2" t="s">
        <v>507</v>
      </c>
      <c r="E380" s="18" t="s">
        <v>2615</v>
      </c>
      <c r="F380" s="19" t="s">
        <v>2661</v>
      </c>
      <c r="G380" s="18">
        <v>502038.78</v>
      </c>
      <c r="H380" s="37" t="e">
        <f t="shared" si="18"/>
        <v>#VALUE!</v>
      </c>
      <c r="I380" s="37" t="e">
        <f t="shared" si="19"/>
        <v>#VALUE!</v>
      </c>
      <c r="J380" s="37" t="e">
        <f t="shared" si="20"/>
        <v>#VALUE!</v>
      </c>
      <c r="L380" t="s">
        <v>1730</v>
      </c>
      <c r="M380" s="66"/>
    </row>
    <row r="381" spans="1:13" x14ac:dyDescent="0.35">
      <c r="A381" s="88" t="s">
        <v>1085</v>
      </c>
      <c r="B381" s="2" t="s">
        <v>790</v>
      </c>
      <c r="C381" s="18" t="s">
        <v>1086</v>
      </c>
      <c r="D381" s="2" t="s">
        <v>507</v>
      </c>
      <c r="E381" s="18" t="s">
        <v>2616</v>
      </c>
      <c r="F381" s="19" t="s">
        <v>2661</v>
      </c>
      <c r="G381" s="18">
        <v>365582.46</v>
      </c>
      <c r="H381" s="37" t="e">
        <f t="shared" si="18"/>
        <v>#VALUE!</v>
      </c>
      <c r="I381" s="37" t="e">
        <f t="shared" si="19"/>
        <v>#VALUE!</v>
      </c>
      <c r="J381" s="37" t="e">
        <f t="shared" si="20"/>
        <v>#VALUE!</v>
      </c>
      <c r="L381" t="s">
        <v>1730</v>
      </c>
      <c r="M381" s="66"/>
    </row>
    <row r="382" spans="1:13" x14ac:dyDescent="0.35">
      <c r="A382" s="88" t="s">
        <v>1085</v>
      </c>
      <c r="B382" s="2" t="s">
        <v>790</v>
      </c>
      <c r="C382" s="18" t="s">
        <v>1086</v>
      </c>
      <c r="D382" s="2" t="s">
        <v>507</v>
      </c>
      <c r="E382" s="18" t="s">
        <v>2617</v>
      </c>
      <c r="F382" s="19" t="s">
        <v>2661</v>
      </c>
      <c r="G382" s="18">
        <v>1070581.82</v>
      </c>
      <c r="H382" s="37" t="e">
        <f t="shared" si="18"/>
        <v>#VALUE!</v>
      </c>
      <c r="I382" s="37" t="e">
        <f t="shared" si="19"/>
        <v>#VALUE!</v>
      </c>
      <c r="J382" s="37" t="e">
        <f t="shared" si="20"/>
        <v>#VALUE!</v>
      </c>
      <c r="L382" t="s">
        <v>1730</v>
      </c>
      <c r="M382" s="66"/>
    </row>
    <row r="383" spans="1:13" x14ac:dyDescent="0.35">
      <c r="A383" s="88" t="s">
        <v>1085</v>
      </c>
      <c r="B383" s="2" t="s">
        <v>790</v>
      </c>
      <c r="C383" s="18" t="s">
        <v>650</v>
      </c>
      <c r="D383" s="2" t="s">
        <v>507</v>
      </c>
      <c r="E383" s="18" t="s">
        <v>2618</v>
      </c>
      <c r="F383" s="19" t="s">
        <v>2661</v>
      </c>
      <c r="G383" s="18">
        <v>2780648.39</v>
      </c>
      <c r="H383" s="37" t="e">
        <f t="shared" si="18"/>
        <v>#VALUE!</v>
      </c>
      <c r="I383" s="37" t="e">
        <f t="shared" si="19"/>
        <v>#VALUE!</v>
      </c>
      <c r="J383" s="37" t="e">
        <f t="shared" si="20"/>
        <v>#VALUE!</v>
      </c>
      <c r="L383" t="s">
        <v>1730</v>
      </c>
      <c r="M383" s="66"/>
    </row>
    <row r="384" spans="1:13" x14ac:dyDescent="0.35">
      <c r="A384" s="88" t="s">
        <v>1085</v>
      </c>
      <c r="B384" s="2" t="s">
        <v>790</v>
      </c>
      <c r="C384" s="18" t="s">
        <v>650</v>
      </c>
      <c r="D384" s="2" t="s">
        <v>507</v>
      </c>
      <c r="E384" s="18" t="s">
        <v>2619</v>
      </c>
      <c r="F384" s="19" t="s">
        <v>2662</v>
      </c>
      <c r="G384" s="18">
        <v>3901836.78</v>
      </c>
      <c r="H384" s="37" t="e">
        <f t="shared" si="18"/>
        <v>#VALUE!</v>
      </c>
      <c r="I384" s="37" t="e">
        <f t="shared" si="19"/>
        <v>#VALUE!</v>
      </c>
      <c r="J384" s="37" t="e">
        <f t="shared" si="20"/>
        <v>#VALUE!</v>
      </c>
      <c r="L384" t="s">
        <v>1730</v>
      </c>
      <c r="M384" s="66"/>
    </row>
    <row r="385" spans="1:13" x14ac:dyDescent="0.35">
      <c r="A385" s="88" t="s">
        <v>1085</v>
      </c>
      <c r="B385" s="2" t="s">
        <v>790</v>
      </c>
      <c r="C385" s="18" t="s">
        <v>650</v>
      </c>
      <c r="D385" s="2" t="s">
        <v>507</v>
      </c>
      <c r="E385" s="18" t="s">
        <v>2620</v>
      </c>
      <c r="F385" s="19" t="s">
        <v>2674</v>
      </c>
      <c r="G385" s="18">
        <v>3148076.6</v>
      </c>
      <c r="H385" s="37" t="e">
        <f t="shared" si="18"/>
        <v>#VALUE!</v>
      </c>
      <c r="I385" s="37" t="e">
        <f t="shared" si="19"/>
        <v>#VALUE!</v>
      </c>
      <c r="J385" s="37" t="e">
        <f t="shared" si="20"/>
        <v>#VALUE!</v>
      </c>
      <c r="L385" t="s">
        <v>1730</v>
      </c>
      <c r="M385" s="66"/>
    </row>
    <row r="386" spans="1:13" x14ac:dyDescent="0.35">
      <c r="A386" s="88" t="s">
        <v>1085</v>
      </c>
      <c r="B386" s="2" t="s">
        <v>790</v>
      </c>
      <c r="C386" s="18" t="s">
        <v>650</v>
      </c>
      <c r="D386" s="2" t="s">
        <v>507</v>
      </c>
      <c r="E386" s="18" t="s">
        <v>2621</v>
      </c>
      <c r="F386" s="19" t="s">
        <v>2674</v>
      </c>
      <c r="G386" s="18">
        <v>1014307.84</v>
      </c>
      <c r="H386" s="37" t="e">
        <f t="shared" si="18"/>
        <v>#VALUE!</v>
      </c>
      <c r="I386" s="37" t="e">
        <f t="shared" si="19"/>
        <v>#VALUE!</v>
      </c>
      <c r="J386" s="37" t="e">
        <f t="shared" si="20"/>
        <v>#VALUE!</v>
      </c>
      <c r="L386" t="s">
        <v>1730</v>
      </c>
      <c r="M386" s="66"/>
    </row>
    <row r="387" spans="1:13" x14ac:dyDescent="0.35">
      <c r="A387" s="88" t="s">
        <v>1085</v>
      </c>
      <c r="B387" s="2" t="s">
        <v>790</v>
      </c>
      <c r="C387" s="18" t="s">
        <v>538</v>
      </c>
      <c r="D387" s="2" t="s">
        <v>507</v>
      </c>
      <c r="E387" s="18" t="s">
        <v>2622</v>
      </c>
      <c r="F387" s="19" t="s">
        <v>2663</v>
      </c>
      <c r="G387" s="18">
        <v>3293649</v>
      </c>
      <c r="H387" s="37" t="e">
        <f t="shared" si="18"/>
        <v>#VALUE!</v>
      </c>
      <c r="I387" s="37" t="e">
        <f t="shared" si="19"/>
        <v>#VALUE!</v>
      </c>
      <c r="J387" s="37" t="e">
        <f t="shared" si="20"/>
        <v>#VALUE!</v>
      </c>
      <c r="L387" t="s">
        <v>1730</v>
      </c>
      <c r="M387" s="66"/>
    </row>
    <row r="388" spans="1:13" x14ac:dyDescent="0.35">
      <c r="A388" s="88" t="s">
        <v>1085</v>
      </c>
      <c r="B388" s="2" t="s">
        <v>790</v>
      </c>
      <c r="C388" s="18" t="s">
        <v>2273</v>
      </c>
      <c r="D388" s="2" t="s">
        <v>507</v>
      </c>
      <c r="E388" s="18" t="s">
        <v>2623</v>
      </c>
      <c r="F388" s="19" t="s">
        <v>2648</v>
      </c>
      <c r="G388" s="18">
        <v>3937922.56</v>
      </c>
      <c r="H388" s="37" t="e">
        <f t="shared" si="18"/>
        <v>#VALUE!</v>
      </c>
      <c r="I388" s="37" t="e">
        <f t="shared" si="19"/>
        <v>#VALUE!</v>
      </c>
      <c r="J388" s="37" t="e">
        <f t="shared" si="20"/>
        <v>#VALUE!</v>
      </c>
      <c r="L388" t="s">
        <v>1730</v>
      </c>
      <c r="M388" s="66"/>
    </row>
    <row r="389" spans="1:13" x14ac:dyDescent="0.35">
      <c r="A389" s="88" t="s">
        <v>1085</v>
      </c>
      <c r="B389" s="2" t="s">
        <v>790</v>
      </c>
      <c r="C389" s="18" t="s">
        <v>538</v>
      </c>
      <c r="D389" s="2" t="s">
        <v>507</v>
      </c>
      <c r="E389" s="18" t="s">
        <v>2624</v>
      </c>
      <c r="F389" s="19" t="s">
        <v>2649</v>
      </c>
      <c r="G389" s="18">
        <v>3300938.37</v>
      </c>
      <c r="H389" s="37" t="e">
        <f t="shared" ref="H389:H452" si="21">$H$2-F389+1</f>
        <v>#VALUE!</v>
      </c>
      <c r="I389" s="37" t="e">
        <f t="shared" si="19"/>
        <v>#VALUE!</v>
      </c>
      <c r="J389" s="37" t="e">
        <f t="shared" si="20"/>
        <v>#VALUE!</v>
      </c>
      <c r="L389" t="s">
        <v>1730</v>
      </c>
      <c r="M389" s="66"/>
    </row>
    <row r="390" spans="1:13" x14ac:dyDescent="0.35">
      <c r="A390" s="88" t="s">
        <v>1085</v>
      </c>
      <c r="B390" s="2" t="s">
        <v>790</v>
      </c>
      <c r="C390" s="18" t="s">
        <v>570</v>
      </c>
      <c r="D390" s="2" t="s">
        <v>507</v>
      </c>
      <c r="E390" s="18" t="s">
        <v>2625</v>
      </c>
      <c r="F390" s="19" t="s">
        <v>2664</v>
      </c>
      <c r="G390" s="18">
        <v>3245448.96</v>
      </c>
      <c r="H390" s="37" t="e">
        <f t="shared" si="21"/>
        <v>#VALUE!</v>
      </c>
      <c r="I390" s="37" t="e">
        <f t="shared" ref="I390:I453" si="22">IF(H390&lt;121,"0-120 DAYS",IF(H390&lt;181,"121-180 DAYS","More than 180 Days"))</f>
        <v>#VALUE!</v>
      </c>
      <c r="J390" s="37" t="e">
        <f t="shared" ref="J390:J453" si="23">IF(H390&lt;180,"0-180 DAYS","More than 180 Days")</f>
        <v>#VALUE!</v>
      </c>
      <c r="L390" t="s">
        <v>1730</v>
      </c>
      <c r="M390" s="66"/>
    </row>
    <row r="391" spans="1:13" x14ac:dyDescent="0.35">
      <c r="A391" s="88" t="s">
        <v>1085</v>
      </c>
      <c r="B391" s="2" t="s">
        <v>790</v>
      </c>
      <c r="C391" s="18" t="s">
        <v>650</v>
      </c>
      <c r="D391" s="2" t="s">
        <v>507</v>
      </c>
      <c r="E391" s="18" t="s">
        <v>2626</v>
      </c>
      <c r="F391" s="19" t="s">
        <v>2664</v>
      </c>
      <c r="G391" s="18">
        <v>3821277.6</v>
      </c>
      <c r="H391" s="37" t="e">
        <f t="shared" si="21"/>
        <v>#VALUE!</v>
      </c>
      <c r="I391" s="37" t="e">
        <f t="shared" si="22"/>
        <v>#VALUE!</v>
      </c>
      <c r="J391" s="37" t="e">
        <f t="shared" si="23"/>
        <v>#VALUE!</v>
      </c>
      <c r="L391" t="s">
        <v>1730</v>
      </c>
      <c r="M391" s="66"/>
    </row>
    <row r="392" spans="1:13" x14ac:dyDescent="0.35">
      <c r="A392" s="88" t="s">
        <v>1085</v>
      </c>
      <c r="B392" s="2" t="s">
        <v>790</v>
      </c>
      <c r="C392" s="18" t="s">
        <v>1086</v>
      </c>
      <c r="D392" s="2" t="s">
        <v>507</v>
      </c>
      <c r="E392" s="18" t="s">
        <v>2627</v>
      </c>
      <c r="F392" s="19" t="s">
        <v>2666</v>
      </c>
      <c r="G392" s="18">
        <v>4142749.31</v>
      </c>
      <c r="H392" s="37" t="e">
        <f t="shared" si="21"/>
        <v>#VALUE!</v>
      </c>
      <c r="I392" s="37" t="e">
        <f t="shared" si="22"/>
        <v>#VALUE!</v>
      </c>
      <c r="J392" s="37" t="e">
        <f t="shared" si="23"/>
        <v>#VALUE!</v>
      </c>
      <c r="L392" t="s">
        <v>1730</v>
      </c>
      <c r="M392" s="66"/>
    </row>
    <row r="393" spans="1:13" x14ac:dyDescent="0.35">
      <c r="A393" s="88" t="s">
        <v>1085</v>
      </c>
      <c r="B393" s="2" t="s">
        <v>790</v>
      </c>
      <c r="C393" s="18" t="s">
        <v>2560</v>
      </c>
      <c r="D393" s="2" t="s">
        <v>507</v>
      </c>
      <c r="E393" s="18" t="s">
        <v>2567</v>
      </c>
      <c r="F393" s="19" t="s">
        <v>2547</v>
      </c>
      <c r="G393" s="18">
        <v>2962377.6</v>
      </c>
      <c r="H393" s="37" t="e">
        <f t="shared" si="21"/>
        <v>#VALUE!</v>
      </c>
      <c r="I393" s="37" t="e">
        <f t="shared" si="22"/>
        <v>#VALUE!</v>
      </c>
      <c r="J393" s="37" t="e">
        <f t="shared" si="23"/>
        <v>#VALUE!</v>
      </c>
      <c r="L393" t="s">
        <v>1730</v>
      </c>
      <c r="M393" s="66"/>
    </row>
    <row r="394" spans="1:13" x14ac:dyDescent="0.35">
      <c r="A394" s="88" t="s">
        <v>1085</v>
      </c>
      <c r="B394" s="2" t="s">
        <v>790</v>
      </c>
      <c r="C394" s="18" t="s">
        <v>1086</v>
      </c>
      <c r="D394" s="2" t="s">
        <v>507</v>
      </c>
      <c r="E394" s="18" t="s">
        <v>2628</v>
      </c>
      <c r="F394" s="19" t="s">
        <v>2650</v>
      </c>
      <c r="G394" s="18">
        <v>2913664</v>
      </c>
      <c r="H394" s="37" t="e">
        <f t="shared" si="21"/>
        <v>#VALUE!</v>
      </c>
      <c r="I394" s="37" t="e">
        <f t="shared" si="22"/>
        <v>#VALUE!</v>
      </c>
      <c r="J394" s="37" t="e">
        <f t="shared" si="23"/>
        <v>#VALUE!</v>
      </c>
      <c r="L394" t="s">
        <v>1730</v>
      </c>
      <c r="M394" s="66"/>
    </row>
    <row r="395" spans="1:13" x14ac:dyDescent="0.35">
      <c r="A395" s="88" t="s">
        <v>1085</v>
      </c>
      <c r="B395" s="2" t="s">
        <v>790</v>
      </c>
      <c r="C395" s="18" t="s">
        <v>1086</v>
      </c>
      <c r="D395" s="2" t="s">
        <v>507</v>
      </c>
      <c r="E395" s="18" t="s">
        <v>2629</v>
      </c>
      <c r="F395" s="19" t="s">
        <v>2650</v>
      </c>
      <c r="G395" s="18">
        <v>306356.55</v>
      </c>
      <c r="H395" s="37" t="e">
        <f t="shared" si="21"/>
        <v>#VALUE!</v>
      </c>
      <c r="I395" s="37" t="e">
        <f t="shared" si="22"/>
        <v>#VALUE!</v>
      </c>
      <c r="J395" s="37" t="e">
        <f t="shared" si="23"/>
        <v>#VALUE!</v>
      </c>
      <c r="L395" t="s">
        <v>1730</v>
      </c>
      <c r="M395" s="66"/>
    </row>
    <row r="396" spans="1:13" x14ac:dyDescent="0.35">
      <c r="A396" s="88" t="s">
        <v>1085</v>
      </c>
      <c r="B396" s="2" t="s">
        <v>790</v>
      </c>
      <c r="C396" s="18" t="s">
        <v>1086</v>
      </c>
      <c r="D396" s="2" t="s">
        <v>507</v>
      </c>
      <c r="E396" s="18" t="s">
        <v>2630</v>
      </c>
      <c r="F396" s="19" t="s">
        <v>2650</v>
      </c>
      <c r="G396" s="18">
        <v>90366.02</v>
      </c>
      <c r="H396" s="37" t="e">
        <f t="shared" si="21"/>
        <v>#VALUE!</v>
      </c>
      <c r="I396" s="37" t="e">
        <f t="shared" si="22"/>
        <v>#VALUE!</v>
      </c>
      <c r="J396" s="37" t="e">
        <f t="shared" si="23"/>
        <v>#VALUE!</v>
      </c>
      <c r="L396" t="s">
        <v>1730</v>
      </c>
      <c r="M396" s="66"/>
    </row>
    <row r="397" spans="1:13" x14ac:dyDescent="0.35">
      <c r="A397" s="88" t="s">
        <v>1085</v>
      </c>
      <c r="B397" s="2" t="s">
        <v>790</v>
      </c>
      <c r="C397" s="18" t="s">
        <v>1086</v>
      </c>
      <c r="D397" s="2" t="s">
        <v>507</v>
      </c>
      <c r="E397" s="18" t="s">
        <v>2631</v>
      </c>
      <c r="F397" s="19" t="s">
        <v>2650</v>
      </c>
      <c r="G397" s="18">
        <v>33825.79</v>
      </c>
      <c r="H397" s="37" t="e">
        <f t="shared" si="21"/>
        <v>#VALUE!</v>
      </c>
      <c r="I397" s="37" t="e">
        <f t="shared" si="22"/>
        <v>#VALUE!</v>
      </c>
      <c r="J397" s="37" t="e">
        <f t="shared" si="23"/>
        <v>#VALUE!</v>
      </c>
      <c r="L397" t="s">
        <v>1730</v>
      </c>
      <c r="M397" s="66"/>
    </row>
    <row r="398" spans="1:13" x14ac:dyDescent="0.35">
      <c r="A398" s="88" t="s">
        <v>1085</v>
      </c>
      <c r="B398" s="2" t="s">
        <v>790</v>
      </c>
      <c r="C398" s="18" t="s">
        <v>1086</v>
      </c>
      <c r="D398" s="2" t="s">
        <v>507</v>
      </c>
      <c r="E398" s="18" t="s">
        <v>2632</v>
      </c>
      <c r="F398" s="19" t="s">
        <v>2650</v>
      </c>
      <c r="G398" s="18">
        <v>2042893.63</v>
      </c>
      <c r="H398" s="37" t="e">
        <f t="shared" si="21"/>
        <v>#VALUE!</v>
      </c>
      <c r="I398" s="37" t="e">
        <f t="shared" si="22"/>
        <v>#VALUE!</v>
      </c>
      <c r="J398" s="37" t="e">
        <f t="shared" si="23"/>
        <v>#VALUE!</v>
      </c>
      <c r="L398" t="s">
        <v>1730</v>
      </c>
      <c r="M398" s="66"/>
    </row>
    <row r="399" spans="1:13" x14ac:dyDescent="0.35">
      <c r="A399" s="88" t="s">
        <v>1085</v>
      </c>
      <c r="B399" s="2" t="s">
        <v>790</v>
      </c>
      <c r="C399" s="18" t="s">
        <v>581</v>
      </c>
      <c r="D399" s="2" t="s">
        <v>507</v>
      </c>
      <c r="E399" s="18" t="s">
        <v>2633</v>
      </c>
      <c r="F399" s="19" t="s">
        <v>2654</v>
      </c>
      <c r="G399" s="18">
        <v>461098.7</v>
      </c>
      <c r="H399" s="37">
        <f t="shared" si="21"/>
        <v>326</v>
      </c>
      <c r="I399" s="37" t="str">
        <f t="shared" si="22"/>
        <v>More than 180 Days</v>
      </c>
      <c r="J399" s="37" t="str">
        <f t="shared" si="23"/>
        <v>More than 180 Days</v>
      </c>
      <c r="L399" t="s">
        <v>1730</v>
      </c>
      <c r="M399" s="66"/>
    </row>
    <row r="400" spans="1:13" x14ac:dyDescent="0.35">
      <c r="A400" s="88" t="s">
        <v>1085</v>
      </c>
      <c r="B400" s="2" t="s">
        <v>790</v>
      </c>
      <c r="C400" s="18" t="s">
        <v>678</v>
      </c>
      <c r="D400" s="2" t="s">
        <v>507</v>
      </c>
      <c r="E400" s="18" t="s">
        <v>2634</v>
      </c>
      <c r="F400" s="19" t="s">
        <v>2668</v>
      </c>
      <c r="G400" s="18">
        <v>1957695.31</v>
      </c>
      <c r="H400" s="37">
        <f t="shared" si="21"/>
        <v>266</v>
      </c>
      <c r="I400" s="37" t="str">
        <f t="shared" si="22"/>
        <v>More than 180 Days</v>
      </c>
      <c r="J400" s="37" t="str">
        <f t="shared" si="23"/>
        <v>More than 180 Days</v>
      </c>
      <c r="L400" t="s">
        <v>1730</v>
      </c>
      <c r="M400" s="66"/>
    </row>
    <row r="401" spans="1:13" x14ac:dyDescent="0.35">
      <c r="A401" s="88" t="s">
        <v>1085</v>
      </c>
      <c r="B401" s="2" t="s">
        <v>790</v>
      </c>
      <c r="C401" s="18" t="s">
        <v>577</v>
      </c>
      <c r="D401" s="2" t="s">
        <v>507</v>
      </c>
      <c r="E401" s="18" t="s">
        <v>2635</v>
      </c>
      <c r="F401" s="19" t="s">
        <v>2651</v>
      </c>
      <c r="G401" s="18">
        <v>3620108.01</v>
      </c>
      <c r="H401" s="37">
        <f t="shared" si="21"/>
        <v>144</v>
      </c>
      <c r="I401" s="37" t="str">
        <f t="shared" si="22"/>
        <v>121-180 DAYS</v>
      </c>
      <c r="J401" s="37" t="str">
        <f t="shared" si="23"/>
        <v>0-180 DAYS</v>
      </c>
      <c r="L401" t="s">
        <v>1730</v>
      </c>
      <c r="M401" s="66"/>
    </row>
    <row r="402" spans="1:13" x14ac:dyDescent="0.35">
      <c r="A402" s="88" t="s">
        <v>1085</v>
      </c>
      <c r="B402" s="2" t="s">
        <v>790</v>
      </c>
      <c r="C402" s="18" t="s">
        <v>584</v>
      </c>
      <c r="D402" s="2" t="s">
        <v>507</v>
      </c>
      <c r="E402" s="18" t="s">
        <v>2636</v>
      </c>
      <c r="F402" s="19" t="s">
        <v>2657</v>
      </c>
      <c r="G402" s="18">
        <v>3571616.18</v>
      </c>
      <c r="H402" s="37">
        <f t="shared" si="21"/>
        <v>52</v>
      </c>
      <c r="I402" s="37" t="str">
        <f t="shared" si="22"/>
        <v>0-120 DAYS</v>
      </c>
      <c r="J402" s="37" t="str">
        <f t="shared" si="23"/>
        <v>0-180 DAYS</v>
      </c>
      <c r="L402" t="s">
        <v>1730</v>
      </c>
      <c r="M402" s="66"/>
    </row>
    <row r="403" spans="1:13" x14ac:dyDescent="0.35">
      <c r="A403" s="88" t="s">
        <v>1085</v>
      </c>
      <c r="B403" s="2" t="s">
        <v>790</v>
      </c>
      <c r="C403" s="18" t="s">
        <v>588</v>
      </c>
      <c r="D403" s="2" t="s">
        <v>507</v>
      </c>
      <c r="E403" s="18" t="s">
        <v>2637</v>
      </c>
      <c r="F403" s="19" t="s">
        <v>2659</v>
      </c>
      <c r="G403" s="18">
        <v>3717806.75</v>
      </c>
      <c r="H403" s="37" t="e">
        <f t="shared" si="21"/>
        <v>#VALUE!</v>
      </c>
      <c r="I403" s="37" t="e">
        <f t="shared" si="22"/>
        <v>#VALUE!</v>
      </c>
      <c r="J403" s="37" t="e">
        <f t="shared" si="23"/>
        <v>#VALUE!</v>
      </c>
      <c r="L403" t="s">
        <v>1730</v>
      </c>
      <c r="M403" s="66"/>
    </row>
    <row r="404" spans="1:13" x14ac:dyDescent="0.35">
      <c r="A404" s="88" t="s">
        <v>1085</v>
      </c>
      <c r="B404" s="2" t="s">
        <v>790</v>
      </c>
      <c r="C404" s="18" t="s">
        <v>588</v>
      </c>
      <c r="D404" s="2" t="s">
        <v>507</v>
      </c>
      <c r="E404" s="18" t="s">
        <v>2638</v>
      </c>
      <c r="F404" s="19" t="s">
        <v>2659</v>
      </c>
      <c r="G404" s="18">
        <v>3387313.89</v>
      </c>
      <c r="H404" s="37" t="e">
        <f t="shared" si="21"/>
        <v>#VALUE!</v>
      </c>
      <c r="I404" s="37" t="e">
        <f t="shared" si="22"/>
        <v>#VALUE!</v>
      </c>
      <c r="J404" s="37" t="e">
        <f t="shared" si="23"/>
        <v>#VALUE!</v>
      </c>
      <c r="L404" t="s">
        <v>1730</v>
      </c>
      <c r="M404" s="66"/>
    </row>
    <row r="405" spans="1:13" x14ac:dyDescent="0.35">
      <c r="A405" s="88" t="s">
        <v>1085</v>
      </c>
      <c r="B405" s="2" t="s">
        <v>790</v>
      </c>
      <c r="C405" s="18" t="s">
        <v>2561</v>
      </c>
      <c r="D405" s="2" t="s">
        <v>507</v>
      </c>
      <c r="E405" s="18" t="s">
        <v>2568</v>
      </c>
      <c r="F405" s="19" t="s">
        <v>2660</v>
      </c>
      <c r="G405" s="18">
        <v>3198686.4</v>
      </c>
      <c r="H405" s="37" t="e">
        <f t="shared" si="21"/>
        <v>#VALUE!</v>
      </c>
      <c r="I405" s="37" t="e">
        <f t="shared" si="22"/>
        <v>#VALUE!</v>
      </c>
      <c r="J405" s="37" t="e">
        <f t="shared" si="23"/>
        <v>#VALUE!</v>
      </c>
      <c r="L405" t="s">
        <v>1730</v>
      </c>
      <c r="M405" s="66"/>
    </row>
    <row r="406" spans="1:13" x14ac:dyDescent="0.35">
      <c r="A406" s="88" t="s">
        <v>1085</v>
      </c>
      <c r="B406" s="2" t="s">
        <v>790</v>
      </c>
      <c r="C406" s="18" t="s">
        <v>1055</v>
      </c>
      <c r="D406" s="2" t="s">
        <v>507</v>
      </c>
      <c r="E406" s="18" t="s">
        <v>2639</v>
      </c>
      <c r="F406" s="19" t="s">
        <v>2661</v>
      </c>
      <c r="G406" s="18">
        <v>3234816</v>
      </c>
      <c r="H406" s="37" t="e">
        <f t="shared" si="21"/>
        <v>#VALUE!</v>
      </c>
      <c r="I406" s="37" t="e">
        <f t="shared" si="22"/>
        <v>#VALUE!</v>
      </c>
      <c r="J406" s="37" t="e">
        <f t="shared" si="23"/>
        <v>#VALUE!</v>
      </c>
      <c r="L406" t="s">
        <v>1730</v>
      </c>
      <c r="M406" s="66"/>
    </row>
    <row r="407" spans="1:13" x14ac:dyDescent="0.35">
      <c r="A407" s="88" t="s">
        <v>1085</v>
      </c>
      <c r="B407" s="2" t="s">
        <v>790</v>
      </c>
      <c r="C407" s="18" t="s">
        <v>678</v>
      </c>
      <c r="D407" s="2" t="s">
        <v>507</v>
      </c>
      <c r="E407" s="18" t="s">
        <v>2640</v>
      </c>
      <c r="F407" s="19" t="s">
        <v>2661</v>
      </c>
      <c r="G407" s="18">
        <v>3886182.3</v>
      </c>
      <c r="H407" s="37" t="e">
        <f t="shared" si="21"/>
        <v>#VALUE!</v>
      </c>
      <c r="I407" s="37" t="e">
        <f t="shared" si="22"/>
        <v>#VALUE!</v>
      </c>
      <c r="J407" s="37" t="e">
        <f t="shared" si="23"/>
        <v>#VALUE!</v>
      </c>
      <c r="L407" t="s">
        <v>1730</v>
      </c>
      <c r="M407" s="66"/>
    </row>
    <row r="408" spans="1:13" x14ac:dyDescent="0.35">
      <c r="A408" s="88" t="s">
        <v>1085</v>
      </c>
      <c r="B408" s="2" t="s">
        <v>790</v>
      </c>
      <c r="C408" s="18" t="s">
        <v>707</v>
      </c>
      <c r="D408" s="2" t="s">
        <v>507</v>
      </c>
      <c r="E408" s="18" t="s">
        <v>2641</v>
      </c>
      <c r="F408" s="19" t="s">
        <v>2674</v>
      </c>
      <c r="G408" s="18">
        <v>1476034.5600000001</v>
      </c>
      <c r="H408" s="37" t="e">
        <f t="shared" si="21"/>
        <v>#VALUE!</v>
      </c>
      <c r="I408" s="37" t="e">
        <f t="shared" si="22"/>
        <v>#VALUE!</v>
      </c>
      <c r="J408" s="37" t="e">
        <f t="shared" si="23"/>
        <v>#VALUE!</v>
      </c>
      <c r="L408" t="s">
        <v>1730</v>
      </c>
      <c r="M408" s="66"/>
    </row>
    <row r="409" spans="1:13" x14ac:dyDescent="0.35">
      <c r="A409" s="88" t="s">
        <v>1085</v>
      </c>
      <c r="B409" s="2" t="s">
        <v>790</v>
      </c>
      <c r="C409" s="18" t="s">
        <v>581</v>
      </c>
      <c r="D409" s="2" t="s">
        <v>507</v>
      </c>
      <c r="E409" s="18" t="s">
        <v>2642</v>
      </c>
      <c r="F409" s="19" t="s">
        <v>2648</v>
      </c>
      <c r="G409" s="18">
        <v>3697092.34</v>
      </c>
      <c r="H409" s="37" t="e">
        <f t="shared" si="21"/>
        <v>#VALUE!</v>
      </c>
      <c r="I409" s="37" t="e">
        <f t="shared" si="22"/>
        <v>#VALUE!</v>
      </c>
      <c r="J409" s="37" t="e">
        <f t="shared" si="23"/>
        <v>#VALUE!</v>
      </c>
      <c r="L409" t="s">
        <v>1730</v>
      </c>
      <c r="M409" s="66"/>
    </row>
    <row r="410" spans="1:13" x14ac:dyDescent="0.35">
      <c r="A410" s="88" t="s">
        <v>1085</v>
      </c>
      <c r="B410" s="2" t="s">
        <v>790</v>
      </c>
      <c r="C410" s="18" t="s">
        <v>522</v>
      </c>
      <c r="D410" s="2" t="s">
        <v>507</v>
      </c>
      <c r="E410" s="18" t="s">
        <v>2643</v>
      </c>
      <c r="F410" s="19" t="s">
        <v>2650</v>
      </c>
      <c r="G410" s="18">
        <v>1863410.13</v>
      </c>
      <c r="H410" s="37" t="e">
        <f t="shared" si="21"/>
        <v>#VALUE!</v>
      </c>
      <c r="I410" s="37" t="e">
        <f t="shared" si="22"/>
        <v>#VALUE!</v>
      </c>
      <c r="J410" s="37" t="e">
        <f t="shared" si="23"/>
        <v>#VALUE!</v>
      </c>
      <c r="L410" t="s">
        <v>1730</v>
      </c>
      <c r="M410" s="66"/>
    </row>
    <row r="411" spans="1:13" x14ac:dyDescent="0.35">
      <c r="A411" s="88" t="s">
        <v>1085</v>
      </c>
      <c r="B411" s="2" t="s">
        <v>790</v>
      </c>
      <c r="C411" s="18" t="s">
        <v>573</v>
      </c>
      <c r="D411" s="2" t="s">
        <v>507</v>
      </c>
      <c r="E411" s="18" t="s">
        <v>828</v>
      </c>
      <c r="F411" s="19" t="s">
        <v>2662</v>
      </c>
      <c r="G411" s="18">
        <v>3474074.25</v>
      </c>
      <c r="H411" s="37" t="e">
        <f t="shared" si="21"/>
        <v>#VALUE!</v>
      </c>
      <c r="I411" s="37" t="e">
        <f t="shared" si="22"/>
        <v>#VALUE!</v>
      </c>
      <c r="J411" s="37" t="e">
        <f t="shared" si="23"/>
        <v>#VALUE!</v>
      </c>
      <c r="L411" t="s">
        <v>1730</v>
      </c>
      <c r="M411" s="66"/>
    </row>
    <row r="412" spans="1:13" x14ac:dyDescent="0.35">
      <c r="A412" s="88" t="s">
        <v>1085</v>
      </c>
      <c r="B412" s="2" t="s">
        <v>790</v>
      </c>
      <c r="C412" s="18" t="s">
        <v>522</v>
      </c>
      <c r="D412" s="2" t="s">
        <v>507</v>
      </c>
      <c r="E412" s="18" t="s">
        <v>841</v>
      </c>
      <c r="F412" s="19" t="s">
        <v>2663</v>
      </c>
      <c r="G412" s="18">
        <v>3779789.08</v>
      </c>
      <c r="H412" s="37" t="e">
        <f t="shared" si="21"/>
        <v>#VALUE!</v>
      </c>
      <c r="I412" s="37" t="e">
        <f t="shared" si="22"/>
        <v>#VALUE!</v>
      </c>
      <c r="J412" s="37" t="e">
        <f t="shared" si="23"/>
        <v>#VALUE!</v>
      </c>
      <c r="L412" t="s">
        <v>1730</v>
      </c>
      <c r="M412" s="66"/>
    </row>
    <row r="413" spans="1:13" x14ac:dyDescent="0.35">
      <c r="A413" s="88" t="s">
        <v>1085</v>
      </c>
      <c r="B413" s="2" t="s">
        <v>790</v>
      </c>
      <c r="C413" s="18" t="s">
        <v>573</v>
      </c>
      <c r="D413" s="2" t="s">
        <v>507</v>
      </c>
      <c r="E413" s="18" t="s">
        <v>844</v>
      </c>
      <c r="F413" s="19" t="s">
        <v>2648</v>
      </c>
      <c r="G413" s="18">
        <v>3149619.2000000002</v>
      </c>
      <c r="H413" s="37" t="e">
        <f t="shared" si="21"/>
        <v>#VALUE!</v>
      </c>
      <c r="I413" s="37" t="e">
        <f t="shared" si="22"/>
        <v>#VALUE!</v>
      </c>
      <c r="J413" s="37" t="e">
        <f t="shared" si="23"/>
        <v>#VALUE!</v>
      </c>
      <c r="L413" t="s">
        <v>1730</v>
      </c>
      <c r="M413" s="66"/>
    </row>
    <row r="414" spans="1:13" x14ac:dyDescent="0.35">
      <c r="A414" s="88" t="s">
        <v>1085</v>
      </c>
      <c r="B414" s="2" t="s">
        <v>790</v>
      </c>
      <c r="C414" s="18" t="s">
        <v>573</v>
      </c>
      <c r="D414" s="2" t="s">
        <v>507</v>
      </c>
      <c r="E414" s="18" t="s">
        <v>845</v>
      </c>
      <c r="F414" s="19" t="s">
        <v>2666</v>
      </c>
      <c r="G414" s="18">
        <v>4057276.3</v>
      </c>
      <c r="H414" s="37" t="e">
        <f t="shared" si="21"/>
        <v>#VALUE!</v>
      </c>
      <c r="I414" s="37" t="e">
        <f t="shared" si="22"/>
        <v>#VALUE!</v>
      </c>
      <c r="J414" s="37" t="e">
        <f t="shared" si="23"/>
        <v>#VALUE!</v>
      </c>
      <c r="L414" t="s">
        <v>1730</v>
      </c>
      <c r="M414" s="66"/>
    </row>
    <row r="415" spans="1:13" x14ac:dyDescent="0.35">
      <c r="A415" s="88" t="s">
        <v>1085</v>
      </c>
      <c r="B415" s="2" t="s">
        <v>790</v>
      </c>
      <c r="C415" s="18" t="s">
        <v>573</v>
      </c>
      <c r="D415" s="2" t="s">
        <v>507</v>
      </c>
      <c r="E415" s="18" t="s">
        <v>847</v>
      </c>
      <c r="F415" s="19" t="s">
        <v>2547</v>
      </c>
      <c r="G415" s="18">
        <v>3851552.65</v>
      </c>
      <c r="H415" s="37" t="e">
        <f t="shared" si="21"/>
        <v>#VALUE!</v>
      </c>
      <c r="I415" s="37" t="e">
        <f t="shared" si="22"/>
        <v>#VALUE!</v>
      </c>
      <c r="J415" s="37" t="e">
        <f t="shared" si="23"/>
        <v>#VALUE!</v>
      </c>
      <c r="L415" t="s">
        <v>1730</v>
      </c>
      <c r="M415" s="66"/>
    </row>
    <row r="416" spans="1:13" x14ac:dyDescent="0.35">
      <c r="A416" s="88" t="s">
        <v>1085</v>
      </c>
      <c r="B416" s="2" t="s">
        <v>790</v>
      </c>
      <c r="C416" s="18" t="s">
        <v>573</v>
      </c>
      <c r="D416" s="2" t="s">
        <v>507</v>
      </c>
      <c r="E416" s="18" t="s">
        <v>848</v>
      </c>
      <c r="F416" s="19" t="s">
        <v>2547</v>
      </c>
      <c r="G416" s="18">
        <v>3972234.25</v>
      </c>
      <c r="H416" s="37" t="e">
        <f t="shared" si="21"/>
        <v>#VALUE!</v>
      </c>
      <c r="I416" s="37" t="e">
        <f t="shared" si="22"/>
        <v>#VALUE!</v>
      </c>
      <c r="J416" s="37" t="e">
        <f t="shared" si="23"/>
        <v>#VALUE!</v>
      </c>
      <c r="L416" t="s">
        <v>1730</v>
      </c>
      <c r="M416" s="66"/>
    </row>
    <row r="417" spans="1:13" x14ac:dyDescent="0.35">
      <c r="A417" s="88" t="s">
        <v>1085</v>
      </c>
      <c r="B417" s="2" t="s">
        <v>790</v>
      </c>
      <c r="C417" s="18" t="s">
        <v>573</v>
      </c>
      <c r="D417" s="2" t="s">
        <v>507</v>
      </c>
      <c r="E417" s="18" t="s">
        <v>849</v>
      </c>
      <c r="F417" s="19" t="s">
        <v>2650</v>
      </c>
      <c r="G417" s="18">
        <v>3035935.44</v>
      </c>
      <c r="H417" s="37" t="e">
        <f t="shared" si="21"/>
        <v>#VALUE!</v>
      </c>
      <c r="I417" s="37" t="e">
        <f t="shared" si="22"/>
        <v>#VALUE!</v>
      </c>
      <c r="J417" s="37" t="e">
        <f t="shared" si="23"/>
        <v>#VALUE!</v>
      </c>
      <c r="L417" t="s">
        <v>1730</v>
      </c>
      <c r="M417" s="66"/>
    </row>
    <row r="418" spans="1:13" x14ac:dyDescent="0.35">
      <c r="A418" s="88" t="s">
        <v>1085</v>
      </c>
      <c r="B418" s="2" t="s">
        <v>790</v>
      </c>
      <c r="C418" s="18" t="s">
        <v>1086</v>
      </c>
      <c r="D418" s="2" t="s">
        <v>507</v>
      </c>
      <c r="E418" s="18" t="s">
        <v>2679</v>
      </c>
      <c r="F418" s="19">
        <v>45601</v>
      </c>
      <c r="G418" s="18">
        <v>666430.34</v>
      </c>
      <c r="H418" s="37">
        <f t="shared" si="21"/>
        <v>26</v>
      </c>
      <c r="I418" s="37" t="str">
        <f t="shared" si="22"/>
        <v>0-120 DAYS</v>
      </c>
      <c r="J418" s="37" t="str">
        <f t="shared" si="23"/>
        <v>0-180 DAYS</v>
      </c>
    </row>
    <row r="419" spans="1:13" x14ac:dyDescent="0.35">
      <c r="A419" s="88" t="s">
        <v>1085</v>
      </c>
      <c r="B419" s="2" t="s">
        <v>790</v>
      </c>
      <c r="C419" s="18" t="s">
        <v>1086</v>
      </c>
      <c r="D419" s="2" t="s">
        <v>507</v>
      </c>
      <c r="E419" s="18" t="s">
        <v>2680</v>
      </c>
      <c r="F419" s="19">
        <v>45601</v>
      </c>
      <c r="G419" s="18">
        <v>1177377.3400000001</v>
      </c>
      <c r="H419" s="37">
        <f t="shared" si="21"/>
        <v>26</v>
      </c>
      <c r="I419" s="37" t="str">
        <f t="shared" si="22"/>
        <v>0-120 DAYS</v>
      </c>
      <c r="J419" s="37" t="str">
        <f t="shared" si="23"/>
        <v>0-180 DAYS</v>
      </c>
    </row>
    <row r="420" spans="1:13" x14ac:dyDescent="0.35">
      <c r="A420" s="88" t="s">
        <v>1085</v>
      </c>
      <c r="B420" s="2" t="s">
        <v>790</v>
      </c>
      <c r="C420" s="18" t="s">
        <v>548</v>
      </c>
      <c r="D420" s="2" t="s">
        <v>507</v>
      </c>
      <c r="E420" s="18" t="s">
        <v>2681</v>
      </c>
      <c r="F420" s="19">
        <v>45601</v>
      </c>
      <c r="G420" s="18">
        <v>3354594.88</v>
      </c>
      <c r="H420" s="37">
        <f t="shared" si="21"/>
        <v>26</v>
      </c>
      <c r="I420" s="37" t="str">
        <f t="shared" si="22"/>
        <v>0-120 DAYS</v>
      </c>
      <c r="J420" s="37" t="str">
        <f t="shared" si="23"/>
        <v>0-180 DAYS</v>
      </c>
    </row>
    <row r="421" spans="1:13" x14ac:dyDescent="0.35">
      <c r="A421" s="88" t="s">
        <v>1085</v>
      </c>
      <c r="B421" s="2" t="s">
        <v>790</v>
      </c>
      <c r="C421" s="18" t="s">
        <v>548</v>
      </c>
      <c r="D421" s="2" t="s">
        <v>507</v>
      </c>
      <c r="E421" s="18" t="s">
        <v>2682</v>
      </c>
      <c r="F421" s="19">
        <v>45601</v>
      </c>
      <c r="G421" s="18">
        <v>3335670.21</v>
      </c>
      <c r="H421" s="37">
        <f t="shared" si="21"/>
        <v>26</v>
      </c>
      <c r="I421" s="37" t="str">
        <f t="shared" si="22"/>
        <v>0-120 DAYS</v>
      </c>
      <c r="J421" s="37" t="str">
        <f t="shared" si="23"/>
        <v>0-180 DAYS</v>
      </c>
    </row>
    <row r="422" spans="1:13" x14ac:dyDescent="0.35">
      <c r="A422" s="88" t="s">
        <v>1085</v>
      </c>
      <c r="B422" s="2" t="s">
        <v>790</v>
      </c>
      <c r="C422" s="18" t="s">
        <v>548</v>
      </c>
      <c r="D422" s="2" t="s">
        <v>507</v>
      </c>
      <c r="E422" s="18" t="s">
        <v>2683</v>
      </c>
      <c r="F422" s="19">
        <v>45601</v>
      </c>
      <c r="G422" s="18">
        <v>134650.88</v>
      </c>
      <c r="H422" s="37">
        <f t="shared" si="21"/>
        <v>26</v>
      </c>
      <c r="I422" s="37" t="str">
        <f t="shared" si="22"/>
        <v>0-120 DAYS</v>
      </c>
      <c r="J422" s="37" t="str">
        <f t="shared" si="23"/>
        <v>0-180 DAYS</v>
      </c>
    </row>
    <row r="423" spans="1:13" x14ac:dyDescent="0.35">
      <c r="A423" s="88" t="s">
        <v>1085</v>
      </c>
      <c r="B423" s="2" t="s">
        <v>790</v>
      </c>
      <c r="C423" s="18" t="s">
        <v>814</v>
      </c>
      <c r="D423" s="2" t="s">
        <v>507</v>
      </c>
      <c r="E423" s="18" t="s">
        <v>2684</v>
      </c>
      <c r="F423" s="19">
        <v>45602</v>
      </c>
      <c r="G423" s="18">
        <v>3999</v>
      </c>
      <c r="H423" s="37">
        <f t="shared" si="21"/>
        <v>25</v>
      </c>
      <c r="I423" s="37" t="str">
        <f t="shared" si="22"/>
        <v>0-120 DAYS</v>
      </c>
      <c r="J423" s="37" t="str">
        <f t="shared" si="23"/>
        <v>0-180 DAYS</v>
      </c>
    </row>
    <row r="424" spans="1:13" x14ac:dyDescent="0.35">
      <c r="A424" s="88" t="s">
        <v>1085</v>
      </c>
      <c r="B424" s="2" t="s">
        <v>790</v>
      </c>
      <c r="C424" s="18" t="s">
        <v>1052</v>
      </c>
      <c r="D424" s="2" t="s">
        <v>507</v>
      </c>
      <c r="E424" s="18" t="s">
        <v>2685</v>
      </c>
      <c r="F424" s="19">
        <v>45604</v>
      </c>
      <c r="G424" s="18">
        <v>2940051.99</v>
      </c>
      <c r="H424" s="37">
        <f t="shared" si="21"/>
        <v>23</v>
      </c>
      <c r="I424" s="37" t="str">
        <f t="shared" si="22"/>
        <v>0-120 DAYS</v>
      </c>
      <c r="J424" s="37" t="str">
        <f t="shared" si="23"/>
        <v>0-180 DAYS</v>
      </c>
    </row>
    <row r="425" spans="1:13" x14ac:dyDescent="0.35">
      <c r="A425" s="88" t="s">
        <v>1085</v>
      </c>
      <c r="B425" s="2" t="s">
        <v>790</v>
      </c>
      <c r="C425" s="18" t="s">
        <v>573</v>
      </c>
      <c r="D425" s="2" t="s">
        <v>507</v>
      </c>
      <c r="E425" s="18" t="s">
        <v>550</v>
      </c>
      <c r="F425" s="19">
        <v>45604</v>
      </c>
      <c r="G425" s="18">
        <v>3606144.05</v>
      </c>
      <c r="H425" s="37">
        <f t="shared" si="21"/>
        <v>23</v>
      </c>
      <c r="I425" s="37" t="str">
        <f t="shared" si="22"/>
        <v>0-120 DAYS</v>
      </c>
      <c r="J425" s="37" t="str">
        <f t="shared" si="23"/>
        <v>0-180 DAYS</v>
      </c>
    </row>
    <row r="426" spans="1:13" x14ac:dyDescent="0.35">
      <c r="A426" s="88" t="s">
        <v>1085</v>
      </c>
      <c r="B426" s="2" t="s">
        <v>790</v>
      </c>
      <c r="C426" s="18" t="s">
        <v>647</v>
      </c>
      <c r="D426" s="2" t="s">
        <v>507</v>
      </c>
      <c r="E426" s="18" t="s">
        <v>599</v>
      </c>
      <c r="F426" s="19">
        <v>45605</v>
      </c>
      <c r="G426" s="18">
        <v>3690159</v>
      </c>
      <c r="H426" s="37">
        <f t="shared" si="21"/>
        <v>22</v>
      </c>
      <c r="I426" s="37" t="str">
        <f t="shared" si="22"/>
        <v>0-120 DAYS</v>
      </c>
      <c r="J426" s="37" t="str">
        <f t="shared" si="23"/>
        <v>0-180 DAYS</v>
      </c>
    </row>
    <row r="427" spans="1:13" x14ac:dyDescent="0.35">
      <c r="A427" s="88" t="s">
        <v>1085</v>
      </c>
      <c r="B427" s="2" t="s">
        <v>790</v>
      </c>
      <c r="C427" s="18" t="s">
        <v>647</v>
      </c>
      <c r="D427" s="2" t="s">
        <v>507</v>
      </c>
      <c r="E427" s="18" t="s">
        <v>594</v>
      </c>
      <c r="F427" s="19">
        <v>45605</v>
      </c>
      <c r="G427" s="18">
        <v>3799311.61</v>
      </c>
      <c r="H427" s="37">
        <f t="shared" si="21"/>
        <v>22</v>
      </c>
      <c r="I427" s="37" t="str">
        <f t="shared" si="22"/>
        <v>0-120 DAYS</v>
      </c>
      <c r="J427" s="37" t="str">
        <f t="shared" si="23"/>
        <v>0-180 DAYS</v>
      </c>
    </row>
    <row r="428" spans="1:13" x14ac:dyDescent="0.35">
      <c r="A428" s="88" t="s">
        <v>1085</v>
      </c>
      <c r="B428" s="2" t="s">
        <v>790</v>
      </c>
      <c r="C428" s="18" t="s">
        <v>647</v>
      </c>
      <c r="D428" s="2" t="s">
        <v>507</v>
      </c>
      <c r="E428" s="18" t="s">
        <v>597</v>
      </c>
      <c r="F428" s="19">
        <v>45605</v>
      </c>
      <c r="G428" s="18">
        <v>3690159.01</v>
      </c>
      <c r="H428" s="37">
        <f t="shared" si="21"/>
        <v>22</v>
      </c>
      <c r="I428" s="37" t="str">
        <f t="shared" si="22"/>
        <v>0-120 DAYS</v>
      </c>
      <c r="J428" s="37" t="str">
        <f t="shared" si="23"/>
        <v>0-180 DAYS</v>
      </c>
    </row>
    <row r="429" spans="1:13" x14ac:dyDescent="0.35">
      <c r="A429" s="88" t="s">
        <v>1085</v>
      </c>
      <c r="B429" s="2" t="s">
        <v>790</v>
      </c>
      <c r="C429" s="18" t="s">
        <v>573</v>
      </c>
      <c r="D429" s="2" t="s">
        <v>507</v>
      </c>
      <c r="E429" s="18" t="s">
        <v>574</v>
      </c>
      <c r="F429" s="19">
        <v>45605</v>
      </c>
      <c r="G429" s="18">
        <v>4197384.79</v>
      </c>
      <c r="H429" s="37">
        <f t="shared" si="21"/>
        <v>22</v>
      </c>
      <c r="I429" s="37" t="str">
        <f t="shared" si="22"/>
        <v>0-120 DAYS</v>
      </c>
      <c r="J429" s="37" t="str">
        <f t="shared" si="23"/>
        <v>0-180 DAYS</v>
      </c>
    </row>
    <row r="430" spans="1:13" x14ac:dyDescent="0.35">
      <c r="A430" s="88" t="s">
        <v>1085</v>
      </c>
      <c r="B430" s="2" t="s">
        <v>790</v>
      </c>
      <c r="C430" s="18" t="s">
        <v>573</v>
      </c>
      <c r="D430" s="2" t="s">
        <v>507</v>
      </c>
      <c r="E430" s="18" t="s">
        <v>589</v>
      </c>
      <c r="F430" s="19">
        <v>45605</v>
      </c>
      <c r="G430" s="18">
        <v>3455276.46</v>
      </c>
      <c r="H430" s="37">
        <f t="shared" si="21"/>
        <v>22</v>
      </c>
      <c r="I430" s="37" t="str">
        <f t="shared" si="22"/>
        <v>0-120 DAYS</v>
      </c>
      <c r="J430" s="37" t="str">
        <f t="shared" si="23"/>
        <v>0-180 DAYS</v>
      </c>
    </row>
    <row r="431" spans="1:13" x14ac:dyDescent="0.35">
      <c r="A431" s="88" t="s">
        <v>1085</v>
      </c>
      <c r="B431" s="2" t="s">
        <v>790</v>
      </c>
      <c r="C431" s="18" t="s">
        <v>1086</v>
      </c>
      <c r="D431" s="2" t="s">
        <v>507</v>
      </c>
      <c r="E431" s="18" t="s">
        <v>2686</v>
      </c>
      <c r="F431" s="19">
        <v>45609</v>
      </c>
      <c r="G431" s="18">
        <v>1231955.6599999999</v>
      </c>
      <c r="H431" s="37">
        <f t="shared" si="21"/>
        <v>18</v>
      </c>
      <c r="I431" s="37" t="str">
        <f t="shared" si="22"/>
        <v>0-120 DAYS</v>
      </c>
      <c r="J431" s="37" t="str">
        <f t="shared" si="23"/>
        <v>0-180 DAYS</v>
      </c>
    </row>
    <row r="432" spans="1:13" x14ac:dyDescent="0.35">
      <c r="A432" s="88" t="s">
        <v>1085</v>
      </c>
      <c r="B432" s="2" t="s">
        <v>790</v>
      </c>
      <c r="C432" s="18" t="s">
        <v>1086</v>
      </c>
      <c r="D432" s="2" t="s">
        <v>507</v>
      </c>
      <c r="E432" s="18" t="s">
        <v>2687</v>
      </c>
      <c r="F432" s="19">
        <v>45609</v>
      </c>
      <c r="G432" s="18">
        <v>1297437.21</v>
      </c>
      <c r="H432" s="37">
        <f t="shared" si="21"/>
        <v>18</v>
      </c>
      <c r="I432" s="37" t="str">
        <f t="shared" si="22"/>
        <v>0-120 DAYS</v>
      </c>
      <c r="J432" s="37" t="str">
        <f t="shared" si="23"/>
        <v>0-180 DAYS</v>
      </c>
    </row>
    <row r="433" spans="1:10" x14ac:dyDescent="0.35">
      <c r="A433" s="88" t="s">
        <v>1085</v>
      </c>
      <c r="B433" s="2" t="s">
        <v>790</v>
      </c>
      <c r="C433" s="18" t="s">
        <v>814</v>
      </c>
      <c r="D433" s="2" t="s">
        <v>507</v>
      </c>
      <c r="E433" s="18" t="s">
        <v>2688</v>
      </c>
      <c r="F433" s="19">
        <v>45609</v>
      </c>
      <c r="G433" s="18">
        <v>155165</v>
      </c>
      <c r="H433" s="37">
        <f t="shared" si="21"/>
        <v>18</v>
      </c>
      <c r="I433" s="37" t="str">
        <f t="shared" si="22"/>
        <v>0-120 DAYS</v>
      </c>
      <c r="J433" s="37" t="str">
        <f t="shared" si="23"/>
        <v>0-180 DAYS</v>
      </c>
    </row>
    <row r="434" spans="1:10" x14ac:dyDescent="0.35">
      <c r="A434" s="88" t="s">
        <v>1085</v>
      </c>
      <c r="B434" s="2" t="s">
        <v>790</v>
      </c>
      <c r="C434" s="18" t="s">
        <v>814</v>
      </c>
      <c r="D434" s="2" t="s">
        <v>507</v>
      </c>
      <c r="E434" s="18" t="s">
        <v>2689</v>
      </c>
      <c r="F434" s="19">
        <v>45610</v>
      </c>
      <c r="G434" s="18">
        <v>8367024.5999999996</v>
      </c>
      <c r="H434" s="37">
        <f t="shared" si="21"/>
        <v>17</v>
      </c>
      <c r="I434" s="37" t="str">
        <f t="shared" si="22"/>
        <v>0-120 DAYS</v>
      </c>
      <c r="J434" s="37" t="str">
        <f t="shared" si="23"/>
        <v>0-180 DAYS</v>
      </c>
    </row>
    <row r="435" spans="1:10" x14ac:dyDescent="0.35">
      <c r="A435" s="88" t="s">
        <v>1085</v>
      </c>
      <c r="B435" s="2" t="s">
        <v>790</v>
      </c>
      <c r="C435" s="18" t="s">
        <v>1086</v>
      </c>
      <c r="D435" s="2" t="s">
        <v>507</v>
      </c>
      <c r="E435" s="18" t="s">
        <v>2690</v>
      </c>
      <c r="F435" s="19">
        <v>45611</v>
      </c>
      <c r="G435" s="18">
        <v>1191413.7</v>
      </c>
      <c r="H435" s="37">
        <f t="shared" si="21"/>
        <v>16</v>
      </c>
      <c r="I435" s="37" t="str">
        <f t="shared" si="22"/>
        <v>0-120 DAYS</v>
      </c>
      <c r="J435" s="37" t="str">
        <f t="shared" si="23"/>
        <v>0-180 DAYS</v>
      </c>
    </row>
    <row r="436" spans="1:10" x14ac:dyDescent="0.35">
      <c r="A436" s="88" t="s">
        <v>1085</v>
      </c>
      <c r="B436" s="2" t="s">
        <v>790</v>
      </c>
      <c r="C436" s="18" t="s">
        <v>1086</v>
      </c>
      <c r="D436" s="2" t="s">
        <v>507</v>
      </c>
      <c r="E436" s="18" t="s">
        <v>2691</v>
      </c>
      <c r="F436" s="19">
        <v>45611</v>
      </c>
      <c r="G436" s="18">
        <v>262817.5</v>
      </c>
      <c r="H436" s="37">
        <f t="shared" si="21"/>
        <v>16</v>
      </c>
      <c r="I436" s="37" t="str">
        <f t="shared" si="22"/>
        <v>0-120 DAYS</v>
      </c>
      <c r="J436" s="37" t="str">
        <f t="shared" si="23"/>
        <v>0-180 DAYS</v>
      </c>
    </row>
    <row r="437" spans="1:10" x14ac:dyDescent="0.35">
      <c r="A437" s="88" t="s">
        <v>1085</v>
      </c>
      <c r="B437" s="2" t="s">
        <v>790</v>
      </c>
      <c r="C437" s="18" t="s">
        <v>1086</v>
      </c>
      <c r="D437" s="2" t="s">
        <v>507</v>
      </c>
      <c r="E437" s="18" t="s">
        <v>2692</v>
      </c>
      <c r="F437" s="19">
        <v>45611</v>
      </c>
      <c r="G437" s="18">
        <v>454616.8</v>
      </c>
      <c r="H437" s="37">
        <f t="shared" si="21"/>
        <v>16</v>
      </c>
      <c r="I437" s="37" t="str">
        <f t="shared" si="22"/>
        <v>0-120 DAYS</v>
      </c>
      <c r="J437" s="37" t="str">
        <f t="shared" si="23"/>
        <v>0-180 DAYS</v>
      </c>
    </row>
    <row r="438" spans="1:10" x14ac:dyDescent="0.35">
      <c r="A438" s="88" t="s">
        <v>1085</v>
      </c>
      <c r="B438" s="2" t="s">
        <v>790</v>
      </c>
      <c r="C438" s="18" t="s">
        <v>1086</v>
      </c>
      <c r="D438" s="2" t="s">
        <v>507</v>
      </c>
      <c r="E438" s="18" t="s">
        <v>2693</v>
      </c>
      <c r="F438" s="19">
        <v>45611</v>
      </c>
      <c r="G438" s="18">
        <v>306465.06</v>
      </c>
      <c r="H438" s="37">
        <f t="shared" si="21"/>
        <v>16</v>
      </c>
      <c r="I438" s="37" t="str">
        <f t="shared" si="22"/>
        <v>0-120 DAYS</v>
      </c>
      <c r="J438" s="37" t="str">
        <f t="shared" si="23"/>
        <v>0-180 DAYS</v>
      </c>
    </row>
    <row r="439" spans="1:10" x14ac:dyDescent="0.35">
      <c r="A439" s="88" t="s">
        <v>1085</v>
      </c>
      <c r="B439" s="2" t="s">
        <v>790</v>
      </c>
      <c r="C439" s="18" t="s">
        <v>1086</v>
      </c>
      <c r="D439" s="2" t="s">
        <v>507</v>
      </c>
      <c r="E439" s="18" t="s">
        <v>2694</v>
      </c>
      <c r="F439" s="19">
        <v>45611</v>
      </c>
      <c r="G439" s="18">
        <v>37096.660000000003</v>
      </c>
      <c r="H439" s="37">
        <f t="shared" si="21"/>
        <v>16</v>
      </c>
      <c r="I439" s="37" t="str">
        <f t="shared" si="22"/>
        <v>0-120 DAYS</v>
      </c>
      <c r="J439" s="37" t="str">
        <f t="shared" si="23"/>
        <v>0-180 DAYS</v>
      </c>
    </row>
    <row r="440" spans="1:10" x14ac:dyDescent="0.35">
      <c r="A440" s="88" t="s">
        <v>1085</v>
      </c>
      <c r="B440" s="2" t="s">
        <v>790</v>
      </c>
      <c r="C440" s="18" t="s">
        <v>1052</v>
      </c>
      <c r="D440" s="2" t="s">
        <v>507</v>
      </c>
      <c r="E440" s="18" t="s">
        <v>2695</v>
      </c>
      <c r="F440" s="19">
        <v>45612</v>
      </c>
      <c r="G440" s="18">
        <v>2692405.72</v>
      </c>
      <c r="H440" s="37">
        <f t="shared" si="21"/>
        <v>15</v>
      </c>
      <c r="I440" s="37" t="str">
        <f t="shared" si="22"/>
        <v>0-120 DAYS</v>
      </c>
      <c r="J440" s="37" t="str">
        <f t="shared" si="23"/>
        <v>0-180 DAYS</v>
      </c>
    </row>
    <row r="441" spans="1:10" x14ac:dyDescent="0.35">
      <c r="A441" s="88" t="s">
        <v>1085</v>
      </c>
      <c r="B441" s="2" t="s">
        <v>790</v>
      </c>
      <c r="C441" s="18" t="s">
        <v>617</v>
      </c>
      <c r="D441" s="2" t="s">
        <v>507</v>
      </c>
      <c r="E441" s="18" t="s">
        <v>2696</v>
      </c>
      <c r="F441" s="19">
        <v>45612</v>
      </c>
      <c r="G441" s="18">
        <v>4175881.87</v>
      </c>
      <c r="H441" s="37">
        <f t="shared" si="21"/>
        <v>15</v>
      </c>
      <c r="I441" s="37" t="str">
        <f t="shared" si="22"/>
        <v>0-120 DAYS</v>
      </c>
      <c r="J441" s="37" t="str">
        <f t="shared" si="23"/>
        <v>0-180 DAYS</v>
      </c>
    </row>
    <row r="442" spans="1:10" x14ac:dyDescent="0.35">
      <c r="A442" s="88" t="s">
        <v>1085</v>
      </c>
      <c r="B442" s="2" t="s">
        <v>790</v>
      </c>
      <c r="C442" s="18" t="s">
        <v>617</v>
      </c>
      <c r="D442" s="2" t="s">
        <v>507</v>
      </c>
      <c r="E442" s="18" t="s">
        <v>2697</v>
      </c>
      <c r="F442" s="19">
        <v>45612</v>
      </c>
      <c r="G442" s="18">
        <v>195547.92</v>
      </c>
      <c r="H442" s="37">
        <f t="shared" si="21"/>
        <v>15</v>
      </c>
      <c r="I442" s="37" t="str">
        <f t="shared" si="22"/>
        <v>0-120 DAYS</v>
      </c>
      <c r="J442" s="37" t="str">
        <f t="shared" si="23"/>
        <v>0-180 DAYS</v>
      </c>
    </row>
    <row r="443" spans="1:10" x14ac:dyDescent="0.35">
      <c r="A443" s="88" t="s">
        <v>1085</v>
      </c>
      <c r="B443" s="2" t="s">
        <v>790</v>
      </c>
      <c r="C443" s="18" t="s">
        <v>573</v>
      </c>
      <c r="D443" s="2" t="s">
        <v>507</v>
      </c>
      <c r="E443" s="18" t="s">
        <v>2698</v>
      </c>
      <c r="F443" s="19">
        <v>45613</v>
      </c>
      <c r="G443" s="18">
        <v>1652074.78</v>
      </c>
      <c r="H443" s="37">
        <f t="shared" si="21"/>
        <v>14</v>
      </c>
      <c r="I443" s="37" t="str">
        <f t="shared" si="22"/>
        <v>0-120 DAYS</v>
      </c>
      <c r="J443" s="37" t="str">
        <f t="shared" si="23"/>
        <v>0-180 DAYS</v>
      </c>
    </row>
    <row r="444" spans="1:10" x14ac:dyDescent="0.35">
      <c r="A444" s="88" t="s">
        <v>1085</v>
      </c>
      <c r="B444" s="2" t="s">
        <v>790</v>
      </c>
      <c r="C444" s="18" t="s">
        <v>1086</v>
      </c>
      <c r="D444" s="2" t="s">
        <v>507</v>
      </c>
      <c r="E444" s="18" t="s">
        <v>2699</v>
      </c>
      <c r="F444" s="19">
        <v>45614</v>
      </c>
      <c r="G444" s="18">
        <v>2412696</v>
      </c>
      <c r="H444" s="37">
        <f t="shared" si="21"/>
        <v>13</v>
      </c>
      <c r="I444" s="37" t="str">
        <f t="shared" si="22"/>
        <v>0-120 DAYS</v>
      </c>
      <c r="J444" s="37" t="str">
        <f t="shared" si="23"/>
        <v>0-180 DAYS</v>
      </c>
    </row>
    <row r="445" spans="1:10" x14ac:dyDescent="0.35">
      <c r="A445" s="88" t="s">
        <v>1085</v>
      </c>
      <c r="B445" s="2" t="s">
        <v>790</v>
      </c>
      <c r="C445" s="18" t="s">
        <v>600</v>
      </c>
      <c r="D445" s="2" t="s">
        <v>507</v>
      </c>
      <c r="E445" s="18" t="s">
        <v>2700</v>
      </c>
      <c r="F445" s="19">
        <v>45614</v>
      </c>
      <c r="G445" s="18">
        <v>3657282.64</v>
      </c>
      <c r="H445" s="37">
        <f t="shared" si="21"/>
        <v>13</v>
      </c>
      <c r="I445" s="37" t="str">
        <f t="shared" si="22"/>
        <v>0-120 DAYS</v>
      </c>
      <c r="J445" s="37" t="str">
        <f t="shared" si="23"/>
        <v>0-180 DAYS</v>
      </c>
    </row>
    <row r="446" spans="1:10" x14ac:dyDescent="0.35">
      <c r="A446" s="88" t="s">
        <v>1085</v>
      </c>
      <c r="B446" s="2" t="s">
        <v>790</v>
      </c>
      <c r="C446" s="18" t="s">
        <v>548</v>
      </c>
      <c r="D446" s="2" t="s">
        <v>507</v>
      </c>
      <c r="E446" s="18" t="s">
        <v>2701</v>
      </c>
      <c r="F446" s="19">
        <v>45614</v>
      </c>
      <c r="G446" s="18">
        <v>3039871.56</v>
      </c>
      <c r="H446" s="37">
        <f t="shared" si="21"/>
        <v>13</v>
      </c>
      <c r="I446" s="37" t="str">
        <f t="shared" si="22"/>
        <v>0-120 DAYS</v>
      </c>
      <c r="J446" s="37" t="str">
        <f t="shared" si="23"/>
        <v>0-180 DAYS</v>
      </c>
    </row>
    <row r="447" spans="1:10" x14ac:dyDescent="0.35">
      <c r="A447" s="88" t="s">
        <v>1085</v>
      </c>
      <c r="B447" s="2" t="s">
        <v>790</v>
      </c>
      <c r="C447" s="18" t="s">
        <v>548</v>
      </c>
      <c r="D447" s="2" t="s">
        <v>507</v>
      </c>
      <c r="E447" s="18" t="s">
        <v>2702</v>
      </c>
      <c r="F447" s="19">
        <v>45614</v>
      </c>
      <c r="G447" s="18">
        <v>334400</v>
      </c>
      <c r="H447" s="37">
        <f t="shared" si="21"/>
        <v>13</v>
      </c>
      <c r="I447" s="37" t="str">
        <f t="shared" si="22"/>
        <v>0-120 DAYS</v>
      </c>
      <c r="J447" s="37" t="str">
        <f t="shared" si="23"/>
        <v>0-180 DAYS</v>
      </c>
    </row>
    <row r="448" spans="1:10" x14ac:dyDescent="0.35">
      <c r="A448" s="88" t="s">
        <v>1085</v>
      </c>
      <c r="B448" s="2" t="s">
        <v>790</v>
      </c>
      <c r="C448" s="18" t="s">
        <v>1329</v>
      </c>
      <c r="D448" s="2" t="s">
        <v>507</v>
      </c>
      <c r="E448" s="18" t="s">
        <v>2703</v>
      </c>
      <c r="F448" s="19">
        <v>45617</v>
      </c>
      <c r="G448" s="18">
        <v>3206629.72</v>
      </c>
      <c r="H448" s="37">
        <f t="shared" si="21"/>
        <v>10</v>
      </c>
      <c r="I448" s="37" t="str">
        <f t="shared" si="22"/>
        <v>0-120 DAYS</v>
      </c>
      <c r="J448" s="37" t="str">
        <f t="shared" si="23"/>
        <v>0-180 DAYS</v>
      </c>
    </row>
    <row r="449" spans="1:10" x14ac:dyDescent="0.35">
      <c r="A449" s="88" t="s">
        <v>1085</v>
      </c>
      <c r="B449" s="2" t="s">
        <v>790</v>
      </c>
      <c r="C449" s="18" t="s">
        <v>573</v>
      </c>
      <c r="D449" s="2" t="s">
        <v>507</v>
      </c>
      <c r="E449" s="18" t="s">
        <v>2704</v>
      </c>
      <c r="F449" s="19">
        <v>45617</v>
      </c>
      <c r="G449" s="18">
        <v>579055.4</v>
      </c>
      <c r="H449" s="37">
        <f t="shared" si="21"/>
        <v>10</v>
      </c>
      <c r="I449" s="37" t="str">
        <f t="shared" si="22"/>
        <v>0-120 DAYS</v>
      </c>
      <c r="J449" s="37" t="str">
        <f t="shared" si="23"/>
        <v>0-180 DAYS</v>
      </c>
    </row>
    <row r="450" spans="1:10" x14ac:dyDescent="0.35">
      <c r="A450" s="88" t="s">
        <v>1085</v>
      </c>
      <c r="B450" s="2" t="s">
        <v>790</v>
      </c>
      <c r="C450" s="18" t="s">
        <v>1052</v>
      </c>
      <c r="D450" s="2" t="s">
        <v>507</v>
      </c>
      <c r="E450" s="18" t="s">
        <v>2705</v>
      </c>
      <c r="F450" s="19">
        <v>45619</v>
      </c>
      <c r="G450" s="18">
        <v>2980657.68</v>
      </c>
      <c r="H450" s="37">
        <f t="shared" si="21"/>
        <v>8</v>
      </c>
      <c r="I450" s="37" t="str">
        <f t="shared" si="22"/>
        <v>0-120 DAYS</v>
      </c>
      <c r="J450" s="37" t="str">
        <f t="shared" si="23"/>
        <v>0-180 DAYS</v>
      </c>
    </row>
    <row r="451" spans="1:10" x14ac:dyDescent="0.35">
      <c r="A451" s="88" t="s">
        <v>1085</v>
      </c>
      <c r="B451" s="2" t="s">
        <v>790</v>
      </c>
      <c r="C451" s="18" t="s">
        <v>548</v>
      </c>
      <c r="D451" s="2" t="s">
        <v>507</v>
      </c>
      <c r="E451" s="18" t="s">
        <v>2706</v>
      </c>
      <c r="F451" s="19">
        <v>45619</v>
      </c>
      <c r="G451" s="18">
        <v>3253373.42</v>
      </c>
      <c r="H451" s="37">
        <f t="shared" si="21"/>
        <v>8</v>
      </c>
      <c r="I451" s="37" t="str">
        <f t="shared" si="22"/>
        <v>0-120 DAYS</v>
      </c>
      <c r="J451" s="37" t="str">
        <f t="shared" si="23"/>
        <v>0-180 DAYS</v>
      </c>
    </row>
    <row r="452" spans="1:10" x14ac:dyDescent="0.35">
      <c r="A452" s="88" t="s">
        <v>1085</v>
      </c>
      <c r="B452" s="2" t="s">
        <v>790</v>
      </c>
      <c r="C452" s="18" t="s">
        <v>1243</v>
      </c>
      <c r="D452" s="2" t="s">
        <v>507</v>
      </c>
      <c r="E452" s="18" t="s">
        <v>2707</v>
      </c>
      <c r="F452" s="19">
        <v>45620</v>
      </c>
      <c r="G452" s="18">
        <v>3357598.15</v>
      </c>
      <c r="H452" s="37">
        <f t="shared" si="21"/>
        <v>7</v>
      </c>
      <c r="I452" s="37" t="str">
        <f t="shared" si="22"/>
        <v>0-120 DAYS</v>
      </c>
      <c r="J452" s="37" t="str">
        <f t="shared" si="23"/>
        <v>0-180 DAYS</v>
      </c>
    </row>
    <row r="453" spans="1:10" x14ac:dyDescent="0.35">
      <c r="A453" s="88" t="s">
        <v>1085</v>
      </c>
      <c r="B453" s="2" t="s">
        <v>790</v>
      </c>
      <c r="C453" s="18" t="s">
        <v>1243</v>
      </c>
      <c r="D453" s="2" t="s">
        <v>507</v>
      </c>
      <c r="E453" s="18" t="s">
        <v>2708</v>
      </c>
      <c r="F453" s="19">
        <v>45620</v>
      </c>
      <c r="G453" s="18">
        <v>636062.31999999995</v>
      </c>
      <c r="H453" s="37">
        <f t="shared" ref="H453:H516" si="24">$H$2-F453+1</f>
        <v>7</v>
      </c>
      <c r="I453" s="37" t="str">
        <f t="shared" si="22"/>
        <v>0-120 DAYS</v>
      </c>
      <c r="J453" s="37" t="str">
        <f t="shared" si="23"/>
        <v>0-180 DAYS</v>
      </c>
    </row>
    <row r="454" spans="1:10" x14ac:dyDescent="0.35">
      <c r="A454" s="88" t="s">
        <v>1085</v>
      </c>
      <c r="B454" s="2" t="s">
        <v>790</v>
      </c>
      <c r="C454" s="18" t="s">
        <v>575</v>
      </c>
      <c r="D454" s="2" t="s">
        <v>507</v>
      </c>
      <c r="E454" s="18" t="s">
        <v>2709</v>
      </c>
      <c r="F454" s="19">
        <v>45621</v>
      </c>
      <c r="G454" s="18">
        <v>3120784.43</v>
      </c>
      <c r="H454" s="37">
        <f t="shared" si="24"/>
        <v>6</v>
      </c>
      <c r="I454" s="37" t="str">
        <f>IF(H454&lt;121,"0-120 DAYS",IF(H454&lt;181,"121-180 DAYS","More than 180 Days"))</f>
        <v>0-120 DAYS</v>
      </c>
      <c r="J454" s="37" t="str">
        <f t="shared" ref="J454:J517" si="25">IF(H454&lt;180,"0-180 DAYS","More than 180 Days")</f>
        <v>0-180 DAYS</v>
      </c>
    </row>
    <row r="455" spans="1:10" x14ac:dyDescent="0.35">
      <c r="A455" s="88" t="s">
        <v>1085</v>
      </c>
      <c r="B455" s="2" t="s">
        <v>790</v>
      </c>
      <c r="C455" s="18" t="s">
        <v>600</v>
      </c>
      <c r="D455" s="2" t="s">
        <v>507</v>
      </c>
      <c r="E455" s="18" t="s">
        <v>2710</v>
      </c>
      <c r="F455" s="19">
        <v>45622</v>
      </c>
      <c r="G455" s="18">
        <v>3822463.7</v>
      </c>
      <c r="H455" s="37">
        <f t="shared" si="24"/>
        <v>5</v>
      </c>
      <c r="I455" s="37" t="str">
        <f>IF(H455&lt;121,"0-120 DAYS",IF(H455&lt;181,"121-180 DAYS","More than 180 Days"))</f>
        <v>0-120 DAYS</v>
      </c>
      <c r="J455" s="37" t="str">
        <f t="shared" si="25"/>
        <v>0-180 DAYS</v>
      </c>
    </row>
    <row r="456" spans="1:10" x14ac:dyDescent="0.35">
      <c r="A456" s="88" t="s">
        <v>1085</v>
      </c>
      <c r="B456" s="2" t="s">
        <v>790</v>
      </c>
      <c r="C456" s="18" t="s">
        <v>2675</v>
      </c>
      <c r="D456" s="2" t="s">
        <v>507</v>
      </c>
      <c r="E456" s="18" t="s">
        <v>2711</v>
      </c>
      <c r="F456" s="19">
        <v>45623</v>
      </c>
      <c r="G456" s="18">
        <v>3244348.8</v>
      </c>
      <c r="H456" s="37">
        <f t="shared" si="24"/>
        <v>4</v>
      </c>
      <c r="I456" s="37" t="str">
        <f>IF(H456&lt;121,"0-120 DAYS",IF(H456&lt;181,"121-180 DAYS","More than 180 Days"))</f>
        <v>0-120 DAYS</v>
      </c>
      <c r="J456" s="37" t="str">
        <f t="shared" si="25"/>
        <v>0-180 DAYS</v>
      </c>
    </row>
    <row r="457" spans="1:10" x14ac:dyDescent="0.35">
      <c r="A457" s="88" t="s">
        <v>1085</v>
      </c>
      <c r="B457" s="2" t="s">
        <v>790</v>
      </c>
      <c r="C457" s="18" t="s">
        <v>1052</v>
      </c>
      <c r="D457" s="2" t="s">
        <v>507</v>
      </c>
      <c r="E457" s="18" t="s">
        <v>2712</v>
      </c>
      <c r="F457" s="19">
        <v>45625</v>
      </c>
      <c r="G457" s="18">
        <v>2792376.27</v>
      </c>
      <c r="H457" s="37">
        <f t="shared" si="24"/>
        <v>2</v>
      </c>
      <c r="I457" s="37" t="str">
        <f>IF(H457&lt;121,"0-120 DAYS",IF(H457&lt;181,"121-180 DAYS","More than 180 Days"))</f>
        <v>0-120 DAYS</v>
      </c>
      <c r="J457" s="37" t="str">
        <f t="shared" si="25"/>
        <v>0-180 DAYS</v>
      </c>
    </row>
    <row r="458" spans="1:10" hidden="1" x14ac:dyDescent="0.35">
      <c r="A458" s="2" t="s">
        <v>1209</v>
      </c>
      <c r="B458" s="2" t="s">
        <v>789</v>
      </c>
      <c r="C458" s="18" t="s">
        <v>506</v>
      </c>
      <c r="D458" s="2" t="s">
        <v>507</v>
      </c>
      <c r="E458" s="18" t="s">
        <v>2713</v>
      </c>
      <c r="F458" s="19">
        <v>45625</v>
      </c>
      <c r="G458" s="18">
        <v>2177815.11</v>
      </c>
      <c r="H458" s="37">
        <f t="shared" si="24"/>
        <v>2</v>
      </c>
      <c r="I458" s="37" t="str">
        <f>IF(H458&lt;91,"1-90 DAYS",IF(H458&lt;121,"91-120DAYS",IF(H458&lt;181,"121-180 DAYS","More than 180 Days")))</f>
        <v>1-90 DAYS</v>
      </c>
      <c r="J458" s="37" t="str">
        <f t="shared" si="25"/>
        <v>0-180 DAYS</v>
      </c>
    </row>
    <row r="459" spans="1:10" hidden="1" x14ac:dyDescent="0.35">
      <c r="A459" s="2" t="s">
        <v>1209</v>
      </c>
      <c r="B459" s="2" t="s">
        <v>789</v>
      </c>
      <c r="C459" s="18" t="s">
        <v>506</v>
      </c>
      <c r="D459" s="2" t="s">
        <v>507</v>
      </c>
      <c r="E459" s="18" t="s">
        <v>2714</v>
      </c>
      <c r="F459" s="19">
        <v>45625</v>
      </c>
      <c r="G459" s="18">
        <v>1187994.46</v>
      </c>
      <c r="H459" s="37">
        <f t="shared" si="24"/>
        <v>2</v>
      </c>
      <c r="I459" s="37" t="str">
        <f>IF(H459&lt;91,"1-90 DAYS",IF(H459&lt;121,"91-120DAYS",IF(H459&lt;181,"121-180 DAYS","More than 180 Days")))</f>
        <v>1-90 DAYS</v>
      </c>
      <c r="J459" s="37" t="str">
        <f t="shared" si="25"/>
        <v>0-180 DAYS</v>
      </c>
    </row>
    <row r="460" spans="1:10" hidden="1" x14ac:dyDescent="0.35">
      <c r="A460" s="2" t="s">
        <v>1209</v>
      </c>
      <c r="B460" s="2" t="s">
        <v>789</v>
      </c>
      <c r="C460" s="18" t="s">
        <v>506</v>
      </c>
      <c r="D460" s="2" t="s">
        <v>507</v>
      </c>
      <c r="E460" s="18" t="s">
        <v>2715</v>
      </c>
      <c r="F460" s="19">
        <v>45625</v>
      </c>
      <c r="G460" s="18">
        <v>58179.75</v>
      </c>
      <c r="H460" s="37">
        <f t="shared" si="24"/>
        <v>2</v>
      </c>
      <c r="I460" s="37" t="str">
        <f>IF(H460&lt;91,"1-90 DAYS",IF(H460&lt;121,"91-120DAYS",IF(H460&lt;181,"121-180 DAYS","More than 180 Days")))</f>
        <v>1-90 DAYS</v>
      </c>
      <c r="J460" s="37" t="str">
        <f t="shared" si="25"/>
        <v>0-180 DAYS</v>
      </c>
    </row>
    <row r="461" spans="1:10" x14ac:dyDescent="0.35">
      <c r="A461" s="88" t="s">
        <v>1085</v>
      </c>
      <c r="B461" s="2" t="s">
        <v>790</v>
      </c>
      <c r="C461" s="18" t="s">
        <v>631</v>
      </c>
      <c r="D461" s="2" t="s">
        <v>507</v>
      </c>
      <c r="E461" s="18" t="s">
        <v>2716</v>
      </c>
      <c r="F461" s="19">
        <v>45626</v>
      </c>
      <c r="G461" s="18">
        <v>3097212.8</v>
      </c>
      <c r="H461" s="37">
        <f t="shared" si="24"/>
        <v>1</v>
      </c>
      <c r="I461" s="37" t="str">
        <f t="shared" ref="I461:I473" si="26">IF(H461&lt;121,"0-120 DAYS",IF(H461&lt;181,"121-180 DAYS","More than 180 Days"))</f>
        <v>0-120 DAYS</v>
      </c>
      <c r="J461" s="37" t="str">
        <f t="shared" si="25"/>
        <v>0-180 DAYS</v>
      </c>
    </row>
    <row r="462" spans="1:10" x14ac:dyDescent="0.35">
      <c r="A462" s="88" t="s">
        <v>1085</v>
      </c>
      <c r="B462" s="2" t="s">
        <v>790</v>
      </c>
      <c r="C462" s="18" t="s">
        <v>715</v>
      </c>
      <c r="D462" s="2" t="s">
        <v>507</v>
      </c>
      <c r="E462" s="18" t="s">
        <v>2717</v>
      </c>
      <c r="F462" s="19">
        <v>45601</v>
      </c>
      <c r="G462" s="18">
        <v>3453898.24</v>
      </c>
      <c r="H462" s="37">
        <f t="shared" si="24"/>
        <v>26</v>
      </c>
      <c r="I462" s="37" t="str">
        <f t="shared" si="26"/>
        <v>0-120 DAYS</v>
      </c>
      <c r="J462" s="37" t="str">
        <f t="shared" si="25"/>
        <v>0-180 DAYS</v>
      </c>
    </row>
    <row r="463" spans="1:10" x14ac:dyDescent="0.35">
      <c r="A463" s="88" t="s">
        <v>1085</v>
      </c>
      <c r="B463" s="2" t="s">
        <v>790</v>
      </c>
      <c r="C463" s="18" t="s">
        <v>653</v>
      </c>
      <c r="D463" s="2" t="s">
        <v>507</v>
      </c>
      <c r="E463" s="18" t="s">
        <v>2718</v>
      </c>
      <c r="F463" s="19">
        <v>45601</v>
      </c>
      <c r="G463" s="18">
        <v>2743849.76</v>
      </c>
      <c r="H463" s="37">
        <f t="shared" si="24"/>
        <v>26</v>
      </c>
      <c r="I463" s="37" t="str">
        <f t="shared" si="26"/>
        <v>0-120 DAYS</v>
      </c>
      <c r="J463" s="37" t="str">
        <f t="shared" si="25"/>
        <v>0-180 DAYS</v>
      </c>
    </row>
    <row r="464" spans="1:10" x14ac:dyDescent="0.35">
      <c r="A464" s="88" t="s">
        <v>1085</v>
      </c>
      <c r="B464" s="2" t="s">
        <v>790</v>
      </c>
      <c r="C464" s="18" t="s">
        <v>600</v>
      </c>
      <c r="D464" s="2" t="s">
        <v>507</v>
      </c>
      <c r="E464" s="18" t="s">
        <v>2719</v>
      </c>
      <c r="F464" s="19">
        <v>45602</v>
      </c>
      <c r="G464" s="18">
        <v>1760012.8</v>
      </c>
      <c r="H464" s="37">
        <f t="shared" si="24"/>
        <v>25</v>
      </c>
      <c r="I464" s="37" t="str">
        <f t="shared" si="26"/>
        <v>0-120 DAYS</v>
      </c>
      <c r="J464" s="37" t="str">
        <f t="shared" si="25"/>
        <v>0-180 DAYS</v>
      </c>
    </row>
    <row r="465" spans="1:10" x14ac:dyDescent="0.35">
      <c r="A465" s="88" t="s">
        <v>1085</v>
      </c>
      <c r="B465" s="2" t="s">
        <v>790</v>
      </c>
      <c r="C465" s="18" t="s">
        <v>538</v>
      </c>
      <c r="D465" s="2" t="s">
        <v>507</v>
      </c>
      <c r="E465" s="18" t="s">
        <v>2720</v>
      </c>
      <c r="F465" s="19">
        <v>45603</v>
      </c>
      <c r="G465" s="18">
        <v>3495620.07</v>
      </c>
      <c r="H465" s="37">
        <f t="shared" si="24"/>
        <v>24</v>
      </c>
      <c r="I465" s="37" t="str">
        <f t="shared" si="26"/>
        <v>0-120 DAYS</v>
      </c>
      <c r="J465" s="37" t="str">
        <f t="shared" si="25"/>
        <v>0-180 DAYS</v>
      </c>
    </row>
    <row r="466" spans="1:10" x14ac:dyDescent="0.35">
      <c r="A466" s="88" t="s">
        <v>1085</v>
      </c>
      <c r="B466" s="2" t="s">
        <v>790</v>
      </c>
      <c r="C466" s="18" t="s">
        <v>2559</v>
      </c>
      <c r="D466" s="2" t="s">
        <v>507</v>
      </c>
      <c r="E466" s="18" t="s">
        <v>2721</v>
      </c>
      <c r="F466" s="19">
        <v>45603</v>
      </c>
      <c r="G466" s="18">
        <v>3222535.68</v>
      </c>
      <c r="H466" s="37">
        <f t="shared" si="24"/>
        <v>24</v>
      </c>
      <c r="I466" s="37" t="str">
        <f t="shared" si="26"/>
        <v>0-120 DAYS</v>
      </c>
      <c r="J466" s="37" t="str">
        <f t="shared" si="25"/>
        <v>0-180 DAYS</v>
      </c>
    </row>
    <row r="467" spans="1:10" x14ac:dyDescent="0.35">
      <c r="A467" s="88" t="s">
        <v>1085</v>
      </c>
      <c r="B467" s="2" t="s">
        <v>790</v>
      </c>
      <c r="C467" s="18" t="s">
        <v>814</v>
      </c>
      <c r="D467" s="2" t="s">
        <v>507</v>
      </c>
      <c r="E467" s="18" t="s">
        <v>2722</v>
      </c>
      <c r="F467" s="19">
        <v>45603</v>
      </c>
      <c r="G467" s="18">
        <v>61053.98</v>
      </c>
      <c r="H467" s="37">
        <f t="shared" si="24"/>
        <v>24</v>
      </c>
      <c r="I467" s="37" t="str">
        <f t="shared" si="26"/>
        <v>0-120 DAYS</v>
      </c>
      <c r="J467" s="37" t="str">
        <f t="shared" si="25"/>
        <v>0-180 DAYS</v>
      </c>
    </row>
    <row r="468" spans="1:10" x14ac:dyDescent="0.35">
      <c r="A468" s="88" t="s">
        <v>1085</v>
      </c>
      <c r="B468" s="2" t="s">
        <v>790</v>
      </c>
      <c r="C468" s="18" t="s">
        <v>814</v>
      </c>
      <c r="D468" s="2" t="s">
        <v>507</v>
      </c>
      <c r="E468" s="18" t="s">
        <v>2723</v>
      </c>
      <c r="F468" s="19">
        <v>45603</v>
      </c>
      <c r="G468" s="18">
        <v>1242.76</v>
      </c>
      <c r="H468" s="37">
        <f t="shared" si="24"/>
        <v>24</v>
      </c>
      <c r="I468" s="37" t="str">
        <f t="shared" si="26"/>
        <v>0-120 DAYS</v>
      </c>
      <c r="J468" s="37" t="str">
        <f t="shared" si="25"/>
        <v>0-180 DAYS</v>
      </c>
    </row>
    <row r="469" spans="1:10" x14ac:dyDescent="0.35">
      <c r="A469" s="88" t="s">
        <v>1085</v>
      </c>
      <c r="B469" s="2" t="s">
        <v>790</v>
      </c>
      <c r="C469" s="18" t="s">
        <v>570</v>
      </c>
      <c r="D469" s="2" t="s">
        <v>507</v>
      </c>
      <c r="E469" s="18" t="s">
        <v>2724</v>
      </c>
      <c r="F469" s="19">
        <v>45604</v>
      </c>
      <c r="G469" s="18">
        <v>3164424</v>
      </c>
      <c r="H469" s="37">
        <f t="shared" si="24"/>
        <v>23</v>
      </c>
      <c r="I469" s="37" t="str">
        <f t="shared" si="26"/>
        <v>0-120 DAYS</v>
      </c>
      <c r="J469" s="37" t="str">
        <f t="shared" si="25"/>
        <v>0-180 DAYS</v>
      </c>
    </row>
    <row r="470" spans="1:10" x14ac:dyDescent="0.35">
      <c r="A470" s="88" t="s">
        <v>1085</v>
      </c>
      <c r="B470" s="2" t="s">
        <v>790</v>
      </c>
      <c r="C470" s="18" t="s">
        <v>570</v>
      </c>
      <c r="D470" s="2" t="s">
        <v>507</v>
      </c>
      <c r="E470" s="18" t="s">
        <v>2725</v>
      </c>
      <c r="F470" s="19">
        <v>45604</v>
      </c>
      <c r="G470" s="18">
        <v>3051265.89</v>
      </c>
      <c r="H470" s="37">
        <f t="shared" si="24"/>
        <v>23</v>
      </c>
      <c r="I470" s="37" t="str">
        <f t="shared" si="26"/>
        <v>0-120 DAYS</v>
      </c>
      <c r="J470" s="37" t="str">
        <f t="shared" si="25"/>
        <v>0-180 DAYS</v>
      </c>
    </row>
    <row r="471" spans="1:10" x14ac:dyDescent="0.35">
      <c r="A471" s="88" t="s">
        <v>1085</v>
      </c>
      <c r="B471" s="2" t="s">
        <v>790</v>
      </c>
      <c r="C471" s="18" t="s">
        <v>600</v>
      </c>
      <c r="D471" s="2" t="s">
        <v>507</v>
      </c>
      <c r="E471" s="18" t="s">
        <v>2726</v>
      </c>
      <c r="F471" s="19">
        <v>45604</v>
      </c>
      <c r="G471" s="18">
        <v>3753205.48</v>
      </c>
      <c r="H471" s="37">
        <f t="shared" si="24"/>
        <v>23</v>
      </c>
      <c r="I471" s="37" t="str">
        <f t="shared" si="26"/>
        <v>0-120 DAYS</v>
      </c>
      <c r="J471" s="37" t="str">
        <f t="shared" si="25"/>
        <v>0-180 DAYS</v>
      </c>
    </row>
    <row r="472" spans="1:10" x14ac:dyDescent="0.35">
      <c r="A472" s="88" t="s">
        <v>1085</v>
      </c>
      <c r="B472" s="2" t="s">
        <v>790</v>
      </c>
      <c r="C472" s="18" t="s">
        <v>650</v>
      </c>
      <c r="D472" s="2" t="s">
        <v>507</v>
      </c>
      <c r="E472" s="18" t="s">
        <v>2727</v>
      </c>
      <c r="F472" s="19">
        <v>45604</v>
      </c>
      <c r="G472" s="18">
        <v>3791407.2</v>
      </c>
      <c r="H472" s="37">
        <f t="shared" si="24"/>
        <v>23</v>
      </c>
      <c r="I472" s="37" t="str">
        <f t="shared" si="26"/>
        <v>0-120 DAYS</v>
      </c>
      <c r="J472" s="37" t="str">
        <f t="shared" si="25"/>
        <v>0-180 DAYS</v>
      </c>
    </row>
    <row r="473" spans="1:10" x14ac:dyDescent="0.35">
      <c r="A473" s="88" t="s">
        <v>1085</v>
      </c>
      <c r="B473" s="2" t="s">
        <v>790</v>
      </c>
      <c r="C473" s="18" t="s">
        <v>728</v>
      </c>
      <c r="D473" s="2" t="s">
        <v>507</v>
      </c>
      <c r="E473" s="18" t="s">
        <v>2728</v>
      </c>
      <c r="F473" s="19">
        <v>45605</v>
      </c>
      <c r="G473" s="18">
        <v>3208485.6</v>
      </c>
      <c r="H473" s="37">
        <f t="shared" si="24"/>
        <v>22</v>
      </c>
      <c r="I473" s="37" t="str">
        <f t="shared" si="26"/>
        <v>0-120 DAYS</v>
      </c>
      <c r="J473" s="37" t="str">
        <f t="shared" si="25"/>
        <v>0-180 DAYS</v>
      </c>
    </row>
    <row r="474" spans="1:10" hidden="1" x14ac:dyDescent="0.35">
      <c r="A474" s="2" t="s">
        <v>1209</v>
      </c>
      <c r="B474" s="2" t="s">
        <v>789</v>
      </c>
      <c r="C474" s="18" t="s">
        <v>506</v>
      </c>
      <c r="D474" s="2" t="s">
        <v>507</v>
      </c>
      <c r="E474" s="18" t="s">
        <v>2729</v>
      </c>
      <c r="F474" s="19">
        <v>45605</v>
      </c>
      <c r="G474" s="18">
        <v>79677.23</v>
      </c>
      <c r="H474" s="37">
        <f t="shared" si="24"/>
        <v>22</v>
      </c>
      <c r="I474" s="37" t="str">
        <f>IF(H474&lt;91,"1-90 DAYS",IF(H474&lt;121,"91-120DAYS",IF(H474&lt;181,"121-180 DAYS","More than 180 Days")))</f>
        <v>1-90 DAYS</v>
      </c>
      <c r="J474" s="37" t="str">
        <f t="shared" si="25"/>
        <v>0-180 DAYS</v>
      </c>
    </row>
    <row r="475" spans="1:10" hidden="1" x14ac:dyDescent="0.35">
      <c r="A475" s="2" t="s">
        <v>1209</v>
      </c>
      <c r="B475" s="2" t="s">
        <v>789</v>
      </c>
      <c r="C475" s="18" t="s">
        <v>506</v>
      </c>
      <c r="D475" s="2" t="s">
        <v>507</v>
      </c>
      <c r="E475" s="18" t="s">
        <v>2730</v>
      </c>
      <c r="F475" s="19">
        <v>45605</v>
      </c>
      <c r="G475" s="18">
        <v>474113.67</v>
      </c>
      <c r="H475" s="37">
        <f t="shared" si="24"/>
        <v>22</v>
      </c>
      <c r="I475" s="37" t="str">
        <f>IF(H475&lt;91,"1-90 DAYS",IF(H475&lt;121,"91-120DAYS",IF(H475&lt;181,"121-180 DAYS","More than 180 Days")))</f>
        <v>1-90 DAYS</v>
      </c>
      <c r="J475" s="37" t="str">
        <f t="shared" si="25"/>
        <v>0-180 DAYS</v>
      </c>
    </row>
    <row r="476" spans="1:10" hidden="1" x14ac:dyDescent="0.35">
      <c r="A476" s="2" t="s">
        <v>1209</v>
      </c>
      <c r="B476" s="2" t="s">
        <v>789</v>
      </c>
      <c r="C476" s="18" t="s">
        <v>506</v>
      </c>
      <c r="D476" s="2" t="s">
        <v>507</v>
      </c>
      <c r="E476" s="18" t="s">
        <v>2731</v>
      </c>
      <c r="F476" s="19">
        <v>45605</v>
      </c>
      <c r="G476" s="18">
        <v>2359370.16</v>
      </c>
      <c r="H476" s="37">
        <f t="shared" si="24"/>
        <v>22</v>
      </c>
      <c r="I476" s="37" t="str">
        <f>IF(H476&lt;91,"1-90 DAYS",IF(H476&lt;121,"91-120DAYS",IF(H476&lt;181,"121-180 DAYS","More than 180 Days")))</f>
        <v>1-90 DAYS</v>
      </c>
      <c r="J476" s="37" t="str">
        <f t="shared" si="25"/>
        <v>0-180 DAYS</v>
      </c>
    </row>
    <row r="477" spans="1:10" x14ac:dyDescent="0.35">
      <c r="A477" s="88" t="s">
        <v>1085</v>
      </c>
      <c r="B477" s="2" t="s">
        <v>790</v>
      </c>
      <c r="C477" s="18" t="s">
        <v>2676</v>
      </c>
      <c r="D477" s="2" t="s">
        <v>507</v>
      </c>
      <c r="E477" s="18" t="s">
        <v>2732</v>
      </c>
      <c r="F477" s="19">
        <v>45607</v>
      </c>
      <c r="G477" s="18">
        <v>1802322.25</v>
      </c>
      <c r="H477" s="37">
        <f t="shared" si="24"/>
        <v>20</v>
      </c>
      <c r="I477" s="37" t="str">
        <f t="shared" ref="I477:I483" si="27">IF(H477&lt;121,"0-120 DAYS",IF(H477&lt;181,"121-180 DAYS","More than 180 Days"))</f>
        <v>0-120 DAYS</v>
      </c>
      <c r="J477" s="37" t="str">
        <f t="shared" si="25"/>
        <v>0-180 DAYS</v>
      </c>
    </row>
    <row r="478" spans="1:10" x14ac:dyDescent="0.35">
      <c r="A478" s="88" t="s">
        <v>1085</v>
      </c>
      <c r="B478" s="2" t="s">
        <v>790</v>
      </c>
      <c r="C478" s="18" t="s">
        <v>650</v>
      </c>
      <c r="D478" s="2" t="s">
        <v>507</v>
      </c>
      <c r="E478" s="18" t="s">
        <v>2733</v>
      </c>
      <c r="F478" s="19">
        <v>45607</v>
      </c>
      <c r="G478" s="18">
        <v>3791407.2</v>
      </c>
      <c r="H478" s="37">
        <f t="shared" si="24"/>
        <v>20</v>
      </c>
      <c r="I478" s="37" t="str">
        <f t="shared" si="27"/>
        <v>0-120 DAYS</v>
      </c>
      <c r="J478" s="37" t="str">
        <f t="shared" si="25"/>
        <v>0-180 DAYS</v>
      </c>
    </row>
    <row r="479" spans="1:10" x14ac:dyDescent="0.35">
      <c r="A479" s="88" t="s">
        <v>1085</v>
      </c>
      <c r="B479" s="2" t="s">
        <v>790</v>
      </c>
      <c r="C479" s="18" t="s">
        <v>1249</v>
      </c>
      <c r="D479" s="2" t="s">
        <v>507</v>
      </c>
      <c r="E479" s="18" t="s">
        <v>2734</v>
      </c>
      <c r="F479" s="19">
        <v>45609</v>
      </c>
      <c r="G479" s="18">
        <v>3324648</v>
      </c>
      <c r="H479" s="37">
        <f t="shared" si="24"/>
        <v>18</v>
      </c>
      <c r="I479" s="37" t="str">
        <f t="shared" si="27"/>
        <v>0-120 DAYS</v>
      </c>
      <c r="J479" s="37" t="str">
        <f t="shared" si="25"/>
        <v>0-180 DAYS</v>
      </c>
    </row>
    <row r="480" spans="1:10" x14ac:dyDescent="0.35">
      <c r="A480" s="88" t="s">
        <v>1085</v>
      </c>
      <c r="B480" s="2" t="s">
        <v>790</v>
      </c>
      <c r="C480" s="18" t="s">
        <v>1249</v>
      </c>
      <c r="D480" s="2" t="s">
        <v>507</v>
      </c>
      <c r="E480" s="18" t="s">
        <v>2735</v>
      </c>
      <c r="F480" s="19">
        <v>45609</v>
      </c>
      <c r="G480" s="18">
        <v>1810531.2</v>
      </c>
      <c r="H480" s="37">
        <f t="shared" si="24"/>
        <v>18</v>
      </c>
      <c r="I480" s="37" t="str">
        <f t="shared" si="27"/>
        <v>0-120 DAYS</v>
      </c>
      <c r="J480" s="37" t="str">
        <f t="shared" si="25"/>
        <v>0-180 DAYS</v>
      </c>
    </row>
    <row r="481" spans="1:10" x14ac:dyDescent="0.35">
      <c r="A481" s="88" t="s">
        <v>1085</v>
      </c>
      <c r="B481" s="2" t="s">
        <v>790</v>
      </c>
      <c r="C481" s="18" t="s">
        <v>1086</v>
      </c>
      <c r="D481" s="2" t="s">
        <v>507</v>
      </c>
      <c r="E481" s="18" t="s">
        <v>2736</v>
      </c>
      <c r="F481" s="19">
        <v>45609</v>
      </c>
      <c r="G481" s="18">
        <v>247182.24</v>
      </c>
      <c r="H481" s="37">
        <f t="shared" si="24"/>
        <v>18</v>
      </c>
      <c r="I481" s="37" t="str">
        <f t="shared" si="27"/>
        <v>0-120 DAYS</v>
      </c>
      <c r="J481" s="37" t="str">
        <f t="shared" si="25"/>
        <v>0-180 DAYS</v>
      </c>
    </row>
    <row r="482" spans="1:10" x14ac:dyDescent="0.35">
      <c r="A482" s="88" t="s">
        <v>1085</v>
      </c>
      <c r="B482" s="2" t="s">
        <v>790</v>
      </c>
      <c r="C482" s="18" t="s">
        <v>1086</v>
      </c>
      <c r="D482" s="2" t="s">
        <v>507</v>
      </c>
      <c r="E482" s="18" t="s">
        <v>2737</v>
      </c>
      <c r="F482" s="19">
        <v>45609</v>
      </c>
      <c r="G482" s="18">
        <v>1857690.46</v>
      </c>
      <c r="H482" s="37">
        <f t="shared" si="24"/>
        <v>18</v>
      </c>
      <c r="I482" s="37" t="str">
        <f t="shared" si="27"/>
        <v>0-120 DAYS</v>
      </c>
      <c r="J482" s="37" t="str">
        <f t="shared" si="25"/>
        <v>0-180 DAYS</v>
      </c>
    </row>
    <row r="483" spans="1:10" x14ac:dyDescent="0.35">
      <c r="A483" s="88" t="s">
        <v>1085</v>
      </c>
      <c r="B483" s="2" t="s">
        <v>790</v>
      </c>
      <c r="C483" s="18" t="s">
        <v>635</v>
      </c>
      <c r="D483" s="2" t="s">
        <v>507</v>
      </c>
      <c r="E483" s="18" t="s">
        <v>2738</v>
      </c>
      <c r="F483" s="19">
        <v>45609</v>
      </c>
      <c r="G483" s="18">
        <v>3271119.83</v>
      </c>
      <c r="H483" s="37">
        <f t="shared" si="24"/>
        <v>18</v>
      </c>
      <c r="I483" s="37" t="str">
        <f t="shared" si="27"/>
        <v>0-120 DAYS</v>
      </c>
      <c r="J483" s="37" t="str">
        <f t="shared" si="25"/>
        <v>0-180 DAYS</v>
      </c>
    </row>
    <row r="484" spans="1:10" hidden="1" x14ac:dyDescent="0.35">
      <c r="A484" s="2" t="s">
        <v>1209</v>
      </c>
      <c r="B484" s="2" t="s">
        <v>789</v>
      </c>
      <c r="C484" s="18" t="s">
        <v>506</v>
      </c>
      <c r="D484" s="2" t="s">
        <v>507</v>
      </c>
      <c r="E484" s="18" t="s">
        <v>2739</v>
      </c>
      <c r="F484" s="19">
        <v>45609</v>
      </c>
      <c r="G484" s="18">
        <v>2512074.4900000002</v>
      </c>
      <c r="H484" s="37">
        <f t="shared" si="24"/>
        <v>18</v>
      </c>
      <c r="I484" s="37" t="str">
        <f>IF(H484&lt;91,"1-90 DAYS",IF(H484&lt;121,"91-120DAYS",IF(H484&lt;181,"121-180 DAYS","More than 180 Days")))</f>
        <v>1-90 DAYS</v>
      </c>
      <c r="J484" s="37" t="str">
        <f t="shared" si="25"/>
        <v>0-180 DAYS</v>
      </c>
    </row>
    <row r="485" spans="1:10" hidden="1" x14ac:dyDescent="0.35">
      <c r="A485" s="2" t="s">
        <v>1209</v>
      </c>
      <c r="B485" s="2" t="s">
        <v>789</v>
      </c>
      <c r="C485" s="18" t="s">
        <v>506</v>
      </c>
      <c r="D485" s="2" t="s">
        <v>507</v>
      </c>
      <c r="E485" s="18" t="s">
        <v>2740</v>
      </c>
      <c r="F485" s="19">
        <v>45609</v>
      </c>
      <c r="G485" s="18">
        <v>1178974.93</v>
      </c>
      <c r="H485" s="37">
        <f t="shared" si="24"/>
        <v>18</v>
      </c>
      <c r="I485" s="37" t="str">
        <f>IF(H485&lt;91,"1-90 DAYS",IF(H485&lt;121,"91-120DAYS",IF(H485&lt;181,"121-180 DAYS","More than 180 Days")))</f>
        <v>1-90 DAYS</v>
      </c>
      <c r="J485" s="37" t="str">
        <f t="shared" si="25"/>
        <v>0-180 DAYS</v>
      </c>
    </row>
    <row r="486" spans="1:10" x14ac:dyDescent="0.35">
      <c r="A486" s="88" t="s">
        <v>1085</v>
      </c>
      <c r="B486" s="2" t="s">
        <v>790</v>
      </c>
      <c r="C486" s="18" t="s">
        <v>653</v>
      </c>
      <c r="D486" s="2" t="s">
        <v>507</v>
      </c>
      <c r="E486" s="18" t="s">
        <v>2741</v>
      </c>
      <c r="F486" s="19">
        <v>45609</v>
      </c>
      <c r="G486" s="18">
        <v>2446564.7200000002</v>
      </c>
      <c r="H486" s="37">
        <f t="shared" si="24"/>
        <v>18</v>
      </c>
      <c r="I486" s="37" t="str">
        <f t="shared" ref="I486:I533" si="28">IF(H486&lt;121,"0-120 DAYS",IF(H486&lt;181,"121-180 DAYS","More than 180 Days"))</f>
        <v>0-120 DAYS</v>
      </c>
      <c r="J486" s="37" t="str">
        <f t="shared" si="25"/>
        <v>0-180 DAYS</v>
      </c>
    </row>
    <row r="487" spans="1:10" x14ac:dyDescent="0.35">
      <c r="A487" s="88" t="s">
        <v>1085</v>
      </c>
      <c r="B487" s="2" t="s">
        <v>790</v>
      </c>
      <c r="C487" s="18" t="s">
        <v>1086</v>
      </c>
      <c r="D487" s="2" t="s">
        <v>507</v>
      </c>
      <c r="E487" s="18" t="s">
        <v>2742</v>
      </c>
      <c r="F487" s="19">
        <v>45613</v>
      </c>
      <c r="G487" s="18">
        <v>75211.58</v>
      </c>
      <c r="H487" s="37">
        <f t="shared" si="24"/>
        <v>14</v>
      </c>
      <c r="I487" s="37" t="str">
        <f t="shared" si="28"/>
        <v>0-120 DAYS</v>
      </c>
      <c r="J487" s="37" t="str">
        <f t="shared" si="25"/>
        <v>0-180 DAYS</v>
      </c>
    </row>
    <row r="488" spans="1:10" x14ac:dyDescent="0.35">
      <c r="A488" s="88" t="s">
        <v>1085</v>
      </c>
      <c r="B488" s="2" t="s">
        <v>790</v>
      </c>
      <c r="C488" s="18" t="s">
        <v>1086</v>
      </c>
      <c r="D488" s="2" t="s">
        <v>507</v>
      </c>
      <c r="E488" s="18" t="s">
        <v>2743</v>
      </c>
      <c r="F488" s="19">
        <v>45613</v>
      </c>
      <c r="G488" s="18">
        <v>1874754.24</v>
      </c>
      <c r="H488" s="37">
        <f t="shared" si="24"/>
        <v>14</v>
      </c>
      <c r="I488" s="37" t="str">
        <f t="shared" si="28"/>
        <v>0-120 DAYS</v>
      </c>
      <c r="J488" s="37" t="str">
        <f t="shared" si="25"/>
        <v>0-180 DAYS</v>
      </c>
    </row>
    <row r="489" spans="1:10" x14ac:dyDescent="0.35">
      <c r="A489" s="88" t="s">
        <v>1085</v>
      </c>
      <c r="B489" s="2" t="s">
        <v>790</v>
      </c>
      <c r="C489" s="18" t="s">
        <v>1086</v>
      </c>
      <c r="D489" s="2" t="s">
        <v>507</v>
      </c>
      <c r="E489" s="18" t="s">
        <v>2744</v>
      </c>
      <c r="F489" s="19">
        <v>45613</v>
      </c>
      <c r="G489" s="18">
        <v>249748.31</v>
      </c>
      <c r="H489" s="37">
        <f t="shared" si="24"/>
        <v>14</v>
      </c>
      <c r="I489" s="37" t="str">
        <f t="shared" si="28"/>
        <v>0-120 DAYS</v>
      </c>
      <c r="J489" s="37" t="str">
        <f t="shared" si="25"/>
        <v>0-180 DAYS</v>
      </c>
    </row>
    <row r="490" spans="1:10" x14ac:dyDescent="0.35">
      <c r="A490" s="88" t="s">
        <v>1085</v>
      </c>
      <c r="B490" s="2" t="s">
        <v>790</v>
      </c>
      <c r="C490" s="18" t="s">
        <v>650</v>
      </c>
      <c r="D490" s="2" t="s">
        <v>507</v>
      </c>
      <c r="E490" s="18" t="s">
        <v>2745</v>
      </c>
      <c r="F490" s="19">
        <v>45617</v>
      </c>
      <c r="G490" s="18">
        <v>3841853.4</v>
      </c>
      <c r="H490" s="37">
        <f t="shared" si="24"/>
        <v>10</v>
      </c>
      <c r="I490" s="37" t="str">
        <f t="shared" si="28"/>
        <v>0-120 DAYS</v>
      </c>
      <c r="J490" s="37" t="str">
        <f t="shared" si="25"/>
        <v>0-180 DAYS</v>
      </c>
    </row>
    <row r="491" spans="1:10" x14ac:dyDescent="0.35">
      <c r="A491" s="88" t="s">
        <v>1085</v>
      </c>
      <c r="B491" s="2" t="s">
        <v>790</v>
      </c>
      <c r="C491" s="18" t="s">
        <v>570</v>
      </c>
      <c r="D491" s="2" t="s">
        <v>507</v>
      </c>
      <c r="E491" s="18" t="s">
        <v>2746</v>
      </c>
      <c r="F491" s="19">
        <v>45618</v>
      </c>
      <c r="G491" s="18">
        <v>3170112</v>
      </c>
      <c r="H491" s="37">
        <f t="shared" si="24"/>
        <v>9</v>
      </c>
      <c r="I491" s="37" t="str">
        <f t="shared" si="28"/>
        <v>0-120 DAYS</v>
      </c>
      <c r="J491" s="37" t="str">
        <f t="shared" si="25"/>
        <v>0-180 DAYS</v>
      </c>
    </row>
    <row r="492" spans="1:10" x14ac:dyDescent="0.35">
      <c r="A492" s="88" t="s">
        <v>1085</v>
      </c>
      <c r="B492" s="2" t="s">
        <v>790</v>
      </c>
      <c r="C492" s="18" t="s">
        <v>573</v>
      </c>
      <c r="D492" s="2" t="s">
        <v>507</v>
      </c>
      <c r="E492" s="18" t="s">
        <v>2747</v>
      </c>
      <c r="F492" s="19">
        <v>45618</v>
      </c>
      <c r="G492" s="18">
        <v>3580086.4</v>
      </c>
      <c r="H492" s="37">
        <f t="shared" si="24"/>
        <v>9</v>
      </c>
      <c r="I492" s="37" t="str">
        <f t="shared" si="28"/>
        <v>0-120 DAYS</v>
      </c>
      <c r="J492" s="37" t="str">
        <f t="shared" si="25"/>
        <v>0-180 DAYS</v>
      </c>
    </row>
    <row r="493" spans="1:10" x14ac:dyDescent="0.35">
      <c r="A493" s="88" t="s">
        <v>1085</v>
      </c>
      <c r="B493" s="2" t="s">
        <v>790</v>
      </c>
      <c r="C493" s="18" t="s">
        <v>650</v>
      </c>
      <c r="D493" s="2" t="s">
        <v>507</v>
      </c>
      <c r="E493" s="18" t="s">
        <v>2748</v>
      </c>
      <c r="F493" s="19">
        <v>45618</v>
      </c>
      <c r="G493" s="18">
        <v>2644488</v>
      </c>
      <c r="H493" s="37">
        <f t="shared" si="24"/>
        <v>9</v>
      </c>
      <c r="I493" s="37" t="str">
        <f t="shared" si="28"/>
        <v>0-120 DAYS</v>
      </c>
      <c r="J493" s="37" t="str">
        <f t="shared" si="25"/>
        <v>0-180 DAYS</v>
      </c>
    </row>
    <row r="494" spans="1:10" x14ac:dyDescent="0.35">
      <c r="A494" s="88" t="s">
        <v>1085</v>
      </c>
      <c r="B494" s="2" t="s">
        <v>790</v>
      </c>
      <c r="C494" s="18" t="s">
        <v>538</v>
      </c>
      <c r="D494" s="2" t="s">
        <v>507</v>
      </c>
      <c r="E494" s="18" t="s">
        <v>2749</v>
      </c>
      <c r="F494" s="19">
        <v>45619</v>
      </c>
      <c r="G494" s="18">
        <v>3169188</v>
      </c>
      <c r="H494" s="37">
        <f t="shared" si="24"/>
        <v>8</v>
      </c>
      <c r="I494" s="37" t="str">
        <f t="shared" si="28"/>
        <v>0-120 DAYS</v>
      </c>
      <c r="J494" s="37" t="str">
        <f t="shared" si="25"/>
        <v>0-180 DAYS</v>
      </c>
    </row>
    <row r="495" spans="1:10" x14ac:dyDescent="0.35">
      <c r="A495" s="88" t="s">
        <v>1085</v>
      </c>
      <c r="B495" s="2" t="s">
        <v>790</v>
      </c>
      <c r="C495" s="18" t="s">
        <v>2677</v>
      </c>
      <c r="D495" s="2" t="s">
        <v>507</v>
      </c>
      <c r="E495" s="18" t="s">
        <v>2750</v>
      </c>
      <c r="F495" s="19">
        <v>45619</v>
      </c>
      <c r="G495" s="18">
        <v>3367508.32</v>
      </c>
      <c r="H495" s="37">
        <f t="shared" si="24"/>
        <v>8</v>
      </c>
      <c r="I495" s="37" t="str">
        <f t="shared" si="28"/>
        <v>0-120 DAYS</v>
      </c>
      <c r="J495" s="37" t="str">
        <f t="shared" si="25"/>
        <v>0-180 DAYS</v>
      </c>
    </row>
    <row r="496" spans="1:10" x14ac:dyDescent="0.35">
      <c r="A496" s="88" t="s">
        <v>1085</v>
      </c>
      <c r="B496" s="2" t="s">
        <v>790</v>
      </c>
      <c r="C496" s="18" t="s">
        <v>551</v>
      </c>
      <c r="D496" s="2" t="s">
        <v>507</v>
      </c>
      <c r="E496" s="18" t="s">
        <v>2751</v>
      </c>
      <c r="F496" s="19">
        <v>45620</v>
      </c>
      <c r="G496" s="18">
        <v>3659673.6000000001</v>
      </c>
      <c r="H496" s="37">
        <f t="shared" si="24"/>
        <v>7</v>
      </c>
      <c r="I496" s="37" t="str">
        <f t="shared" si="28"/>
        <v>0-120 DAYS</v>
      </c>
      <c r="J496" s="37" t="str">
        <f t="shared" si="25"/>
        <v>0-180 DAYS</v>
      </c>
    </row>
    <row r="497" spans="1:10" x14ac:dyDescent="0.35">
      <c r="A497" s="88" t="s">
        <v>1085</v>
      </c>
      <c r="B497" s="2" t="s">
        <v>790</v>
      </c>
      <c r="C497" s="18" t="s">
        <v>551</v>
      </c>
      <c r="D497" s="2" t="s">
        <v>507</v>
      </c>
      <c r="E497" s="18" t="s">
        <v>2752</v>
      </c>
      <c r="F497" s="19">
        <v>45620</v>
      </c>
      <c r="G497" s="18">
        <v>3659673.6000000001</v>
      </c>
      <c r="H497" s="37">
        <f t="shared" si="24"/>
        <v>7</v>
      </c>
      <c r="I497" s="37" t="str">
        <f t="shared" si="28"/>
        <v>0-120 DAYS</v>
      </c>
      <c r="J497" s="37" t="str">
        <f t="shared" si="25"/>
        <v>0-180 DAYS</v>
      </c>
    </row>
    <row r="498" spans="1:10" x14ac:dyDescent="0.35">
      <c r="A498" s="88" t="s">
        <v>1085</v>
      </c>
      <c r="B498" s="2" t="s">
        <v>790</v>
      </c>
      <c r="C498" s="18" t="s">
        <v>1086</v>
      </c>
      <c r="D498" s="2" t="s">
        <v>507</v>
      </c>
      <c r="E498" s="18" t="s">
        <v>2753</v>
      </c>
      <c r="F498" s="19">
        <v>45621</v>
      </c>
      <c r="G498" s="18">
        <v>784808.38</v>
      </c>
      <c r="H498" s="37">
        <f t="shared" si="24"/>
        <v>6</v>
      </c>
      <c r="I498" s="37" t="str">
        <f t="shared" si="28"/>
        <v>0-120 DAYS</v>
      </c>
      <c r="J498" s="37" t="str">
        <f t="shared" si="25"/>
        <v>0-180 DAYS</v>
      </c>
    </row>
    <row r="499" spans="1:10" x14ac:dyDescent="0.35">
      <c r="A499" s="88" t="s">
        <v>1085</v>
      </c>
      <c r="B499" s="2" t="s">
        <v>790</v>
      </c>
      <c r="C499" s="18" t="s">
        <v>1086</v>
      </c>
      <c r="D499" s="2" t="s">
        <v>507</v>
      </c>
      <c r="E499" s="18" t="s">
        <v>2754</v>
      </c>
      <c r="F499" s="19">
        <v>45621</v>
      </c>
      <c r="G499" s="18">
        <v>2118424</v>
      </c>
      <c r="H499" s="37">
        <f t="shared" si="24"/>
        <v>6</v>
      </c>
      <c r="I499" s="37" t="str">
        <f t="shared" si="28"/>
        <v>0-120 DAYS</v>
      </c>
      <c r="J499" s="37" t="str">
        <f t="shared" si="25"/>
        <v>0-180 DAYS</v>
      </c>
    </row>
    <row r="500" spans="1:10" x14ac:dyDescent="0.35">
      <c r="A500" s="88" t="s">
        <v>1085</v>
      </c>
      <c r="B500" s="2" t="s">
        <v>790</v>
      </c>
      <c r="C500" s="18" t="s">
        <v>650</v>
      </c>
      <c r="D500" s="2" t="s">
        <v>507</v>
      </c>
      <c r="E500" s="18" t="s">
        <v>2755</v>
      </c>
      <c r="F500" s="19">
        <v>45621</v>
      </c>
      <c r="G500" s="18">
        <v>2735095.07</v>
      </c>
      <c r="H500" s="37">
        <f t="shared" si="24"/>
        <v>6</v>
      </c>
      <c r="I500" s="37" t="str">
        <f t="shared" si="28"/>
        <v>0-120 DAYS</v>
      </c>
      <c r="J500" s="37" t="str">
        <f t="shared" si="25"/>
        <v>0-180 DAYS</v>
      </c>
    </row>
    <row r="501" spans="1:10" x14ac:dyDescent="0.35">
      <c r="A501" s="88" t="s">
        <v>1085</v>
      </c>
      <c r="B501" s="2" t="s">
        <v>790</v>
      </c>
      <c r="C501" s="18" t="s">
        <v>1086</v>
      </c>
      <c r="D501" s="2" t="s">
        <v>507</v>
      </c>
      <c r="E501" s="18" t="s">
        <v>2756</v>
      </c>
      <c r="F501" s="19">
        <v>45622</v>
      </c>
      <c r="G501" s="18">
        <v>3151679.87</v>
      </c>
      <c r="H501" s="37">
        <f t="shared" si="24"/>
        <v>5</v>
      </c>
      <c r="I501" s="37" t="str">
        <f t="shared" si="28"/>
        <v>0-120 DAYS</v>
      </c>
      <c r="J501" s="37" t="str">
        <f t="shared" si="25"/>
        <v>0-180 DAYS</v>
      </c>
    </row>
    <row r="502" spans="1:10" x14ac:dyDescent="0.35">
      <c r="A502" s="88" t="s">
        <v>1085</v>
      </c>
      <c r="B502" s="2" t="s">
        <v>790</v>
      </c>
      <c r="C502" s="18" t="s">
        <v>650</v>
      </c>
      <c r="D502" s="2" t="s">
        <v>507</v>
      </c>
      <c r="E502" s="18" t="s">
        <v>2757</v>
      </c>
      <c r="F502" s="19">
        <v>45622</v>
      </c>
      <c r="G502" s="18">
        <v>2921809.47</v>
      </c>
      <c r="H502" s="37">
        <f t="shared" si="24"/>
        <v>5</v>
      </c>
      <c r="I502" s="37" t="str">
        <f t="shared" si="28"/>
        <v>0-120 DAYS</v>
      </c>
      <c r="J502" s="37" t="str">
        <f t="shared" si="25"/>
        <v>0-180 DAYS</v>
      </c>
    </row>
    <row r="503" spans="1:10" x14ac:dyDescent="0.35">
      <c r="A503" s="88" t="s">
        <v>1085</v>
      </c>
      <c r="B503" s="2" t="s">
        <v>790</v>
      </c>
      <c r="C503" s="18" t="s">
        <v>573</v>
      </c>
      <c r="D503" s="2" t="s">
        <v>507</v>
      </c>
      <c r="E503" s="18" t="s">
        <v>2758</v>
      </c>
      <c r="F503" s="19">
        <v>45623</v>
      </c>
      <c r="G503" s="18">
        <v>3359131.6</v>
      </c>
      <c r="H503" s="37">
        <f t="shared" si="24"/>
        <v>4</v>
      </c>
      <c r="I503" s="37" t="str">
        <f t="shared" si="28"/>
        <v>0-120 DAYS</v>
      </c>
      <c r="J503" s="37" t="str">
        <f t="shared" si="25"/>
        <v>0-180 DAYS</v>
      </c>
    </row>
    <row r="504" spans="1:10" x14ac:dyDescent="0.35">
      <c r="A504" s="88" t="s">
        <v>1085</v>
      </c>
      <c r="B504" s="2" t="s">
        <v>790</v>
      </c>
      <c r="C504" s="18" t="s">
        <v>1086</v>
      </c>
      <c r="D504" s="2" t="s">
        <v>507</v>
      </c>
      <c r="E504" s="18" t="s">
        <v>2759</v>
      </c>
      <c r="F504" s="19">
        <v>45624</v>
      </c>
      <c r="G504" s="18">
        <v>3676794.8799999999</v>
      </c>
      <c r="H504" s="37">
        <f t="shared" si="24"/>
        <v>3</v>
      </c>
      <c r="I504" s="37" t="str">
        <f t="shared" si="28"/>
        <v>0-120 DAYS</v>
      </c>
      <c r="J504" s="37" t="str">
        <f t="shared" si="25"/>
        <v>0-180 DAYS</v>
      </c>
    </row>
    <row r="505" spans="1:10" x14ac:dyDescent="0.35">
      <c r="A505" s="88" t="s">
        <v>1085</v>
      </c>
      <c r="B505" s="2" t="s">
        <v>790</v>
      </c>
      <c r="C505" s="18" t="s">
        <v>635</v>
      </c>
      <c r="D505" s="2" t="s">
        <v>507</v>
      </c>
      <c r="E505" s="18" t="s">
        <v>2760</v>
      </c>
      <c r="F505" s="19">
        <v>45624</v>
      </c>
      <c r="G505" s="18">
        <v>3399506.22</v>
      </c>
      <c r="H505" s="37">
        <f t="shared" si="24"/>
        <v>3</v>
      </c>
      <c r="I505" s="37" t="str">
        <f t="shared" si="28"/>
        <v>0-120 DAYS</v>
      </c>
      <c r="J505" s="37" t="str">
        <f t="shared" si="25"/>
        <v>0-180 DAYS</v>
      </c>
    </row>
    <row r="506" spans="1:10" x14ac:dyDescent="0.35">
      <c r="A506" s="88" t="s">
        <v>1085</v>
      </c>
      <c r="B506" s="2" t="s">
        <v>790</v>
      </c>
      <c r="C506" s="18" t="s">
        <v>650</v>
      </c>
      <c r="D506" s="2" t="s">
        <v>507</v>
      </c>
      <c r="E506" s="18" t="s">
        <v>2761</v>
      </c>
      <c r="F506" s="19">
        <v>45626</v>
      </c>
      <c r="G506" s="18">
        <v>3789444.62</v>
      </c>
      <c r="H506" s="37">
        <f t="shared" si="24"/>
        <v>1</v>
      </c>
      <c r="I506" s="37" t="str">
        <f t="shared" si="28"/>
        <v>0-120 DAYS</v>
      </c>
      <c r="J506" s="37" t="str">
        <f t="shared" si="25"/>
        <v>0-180 DAYS</v>
      </c>
    </row>
    <row r="507" spans="1:10" x14ac:dyDescent="0.35">
      <c r="A507" s="88" t="s">
        <v>1085</v>
      </c>
      <c r="B507" s="2" t="s">
        <v>790</v>
      </c>
      <c r="C507" s="18" t="s">
        <v>581</v>
      </c>
      <c r="D507" s="2" t="s">
        <v>507</v>
      </c>
      <c r="E507" s="18" t="s">
        <v>2762</v>
      </c>
      <c r="F507" s="19">
        <v>45602</v>
      </c>
      <c r="G507" s="18">
        <v>3799532.17</v>
      </c>
      <c r="H507" s="37">
        <f t="shared" si="24"/>
        <v>25</v>
      </c>
      <c r="I507" s="37" t="str">
        <f t="shared" si="28"/>
        <v>0-120 DAYS</v>
      </c>
      <c r="J507" s="37" t="str">
        <f t="shared" si="25"/>
        <v>0-180 DAYS</v>
      </c>
    </row>
    <row r="508" spans="1:10" x14ac:dyDescent="0.35">
      <c r="A508" s="88" t="s">
        <v>1085</v>
      </c>
      <c r="B508" s="2" t="s">
        <v>790</v>
      </c>
      <c r="C508" s="18" t="s">
        <v>2066</v>
      </c>
      <c r="D508" s="2" t="s">
        <v>507</v>
      </c>
      <c r="E508" s="18" t="s">
        <v>2763</v>
      </c>
      <c r="F508" s="19">
        <v>45605</v>
      </c>
      <c r="G508" s="18">
        <v>4142366.48</v>
      </c>
      <c r="H508" s="37">
        <f t="shared" si="24"/>
        <v>22</v>
      </c>
      <c r="I508" s="37" t="str">
        <f t="shared" si="28"/>
        <v>0-120 DAYS</v>
      </c>
      <c r="J508" s="37" t="str">
        <f t="shared" si="25"/>
        <v>0-180 DAYS</v>
      </c>
    </row>
    <row r="509" spans="1:10" x14ac:dyDescent="0.35">
      <c r="A509" s="88" t="s">
        <v>1085</v>
      </c>
      <c r="B509" s="2" t="s">
        <v>790</v>
      </c>
      <c r="C509" s="18" t="s">
        <v>584</v>
      </c>
      <c r="D509" s="2" t="s">
        <v>507</v>
      </c>
      <c r="E509" s="18" t="s">
        <v>2764</v>
      </c>
      <c r="F509" s="19">
        <v>45609</v>
      </c>
      <c r="G509" s="18">
        <v>3135528</v>
      </c>
      <c r="H509" s="37">
        <f t="shared" si="24"/>
        <v>18</v>
      </c>
      <c r="I509" s="37" t="str">
        <f t="shared" si="28"/>
        <v>0-120 DAYS</v>
      </c>
      <c r="J509" s="37" t="str">
        <f t="shared" si="25"/>
        <v>0-180 DAYS</v>
      </c>
    </row>
    <row r="510" spans="1:10" x14ac:dyDescent="0.35">
      <c r="A510" s="88" t="s">
        <v>1085</v>
      </c>
      <c r="B510" s="2" t="s">
        <v>790</v>
      </c>
      <c r="C510" s="18" t="s">
        <v>588</v>
      </c>
      <c r="D510" s="2" t="s">
        <v>507</v>
      </c>
      <c r="E510" s="18" t="s">
        <v>2765</v>
      </c>
      <c r="F510" s="19">
        <v>45610</v>
      </c>
      <c r="G510" s="18">
        <v>3215495.4</v>
      </c>
      <c r="H510" s="37">
        <f t="shared" si="24"/>
        <v>17</v>
      </c>
      <c r="I510" s="37" t="str">
        <f t="shared" si="28"/>
        <v>0-120 DAYS</v>
      </c>
      <c r="J510" s="37" t="str">
        <f t="shared" si="25"/>
        <v>0-180 DAYS</v>
      </c>
    </row>
    <row r="511" spans="1:10" x14ac:dyDescent="0.35">
      <c r="A511" s="88" t="s">
        <v>1085</v>
      </c>
      <c r="B511" s="2" t="s">
        <v>790</v>
      </c>
      <c r="C511" s="18" t="s">
        <v>540</v>
      </c>
      <c r="D511" s="2" t="s">
        <v>507</v>
      </c>
      <c r="E511" s="18" t="s">
        <v>2766</v>
      </c>
      <c r="F511" s="19">
        <v>45611</v>
      </c>
      <c r="G511" s="18">
        <v>3157041.2</v>
      </c>
      <c r="H511" s="37">
        <f t="shared" si="24"/>
        <v>16</v>
      </c>
      <c r="I511" s="37" t="str">
        <f t="shared" si="28"/>
        <v>0-120 DAYS</v>
      </c>
      <c r="J511" s="37" t="str">
        <f t="shared" si="25"/>
        <v>0-180 DAYS</v>
      </c>
    </row>
    <row r="512" spans="1:10" x14ac:dyDescent="0.35">
      <c r="A512" s="88" t="s">
        <v>1085</v>
      </c>
      <c r="B512" s="2" t="s">
        <v>790</v>
      </c>
      <c r="C512" s="18" t="s">
        <v>581</v>
      </c>
      <c r="D512" s="2" t="s">
        <v>507</v>
      </c>
      <c r="E512" s="18" t="s">
        <v>2767</v>
      </c>
      <c r="F512" s="19">
        <v>45614</v>
      </c>
      <c r="G512" s="18">
        <v>4204041.57</v>
      </c>
      <c r="H512" s="37">
        <f t="shared" si="24"/>
        <v>13</v>
      </c>
      <c r="I512" s="37" t="str">
        <f t="shared" si="28"/>
        <v>0-120 DAYS</v>
      </c>
      <c r="J512" s="37" t="str">
        <f t="shared" si="25"/>
        <v>0-180 DAYS</v>
      </c>
    </row>
    <row r="513" spans="1:10" x14ac:dyDescent="0.35">
      <c r="A513" s="88" t="s">
        <v>1085</v>
      </c>
      <c r="B513" s="2" t="s">
        <v>790</v>
      </c>
      <c r="C513" s="18" t="s">
        <v>2559</v>
      </c>
      <c r="D513" s="2" t="s">
        <v>507</v>
      </c>
      <c r="E513" s="18" t="s">
        <v>2768</v>
      </c>
      <c r="F513" s="19">
        <v>45614</v>
      </c>
      <c r="G513" s="18">
        <v>3004734.48</v>
      </c>
      <c r="H513" s="37">
        <f t="shared" si="24"/>
        <v>13</v>
      </c>
      <c r="I513" s="37" t="str">
        <f t="shared" si="28"/>
        <v>0-120 DAYS</v>
      </c>
      <c r="J513" s="37" t="str">
        <f t="shared" si="25"/>
        <v>0-180 DAYS</v>
      </c>
    </row>
    <row r="514" spans="1:10" x14ac:dyDescent="0.35">
      <c r="A514" s="88" t="s">
        <v>1085</v>
      </c>
      <c r="B514" s="2" t="s">
        <v>790</v>
      </c>
      <c r="C514" s="18" t="s">
        <v>540</v>
      </c>
      <c r="D514" s="2" t="s">
        <v>507</v>
      </c>
      <c r="E514" s="18" t="s">
        <v>2769</v>
      </c>
      <c r="F514" s="19">
        <v>45614</v>
      </c>
      <c r="G514" s="18">
        <v>2848071.6</v>
      </c>
      <c r="H514" s="37">
        <f t="shared" si="24"/>
        <v>13</v>
      </c>
      <c r="I514" s="37" t="str">
        <f t="shared" si="28"/>
        <v>0-120 DAYS</v>
      </c>
      <c r="J514" s="37" t="str">
        <f t="shared" si="25"/>
        <v>0-180 DAYS</v>
      </c>
    </row>
    <row r="515" spans="1:10" x14ac:dyDescent="0.35">
      <c r="A515" s="88" t="s">
        <v>1085</v>
      </c>
      <c r="B515" s="2" t="s">
        <v>790</v>
      </c>
      <c r="C515" s="18" t="s">
        <v>588</v>
      </c>
      <c r="D515" s="2" t="s">
        <v>507</v>
      </c>
      <c r="E515" s="18" t="s">
        <v>2770</v>
      </c>
      <c r="F515" s="19">
        <v>45615</v>
      </c>
      <c r="G515" s="18">
        <v>3545308.8</v>
      </c>
      <c r="H515" s="37">
        <f t="shared" si="24"/>
        <v>12</v>
      </c>
      <c r="I515" s="37" t="str">
        <f t="shared" si="28"/>
        <v>0-120 DAYS</v>
      </c>
      <c r="J515" s="37" t="str">
        <f t="shared" si="25"/>
        <v>0-180 DAYS</v>
      </c>
    </row>
    <row r="516" spans="1:10" x14ac:dyDescent="0.35">
      <c r="A516" s="88" t="s">
        <v>1085</v>
      </c>
      <c r="B516" s="2" t="s">
        <v>790</v>
      </c>
      <c r="C516" s="18" t="s">
        <v>678</v>
      </c>
      <c r="D516" s="2" t="s">
        <v>507</v>
      </c>
      <c r="E516" s="18" t="s">
        <v>2771</v>
      </c>
      <c r="F516" s="19">
        <v>45615</v>
      </c>
      <c r="G516" s="18">
        <v>3767423.75</v>
      </c>
      <c r="H516" s="37">
        <f t="shared" si="24"/>
        <v>12</v>
      </c>
      <c r="I516" s="37" t="str">
        <f t="shared" si="28"/>
        <v>0-120 DAYS</v>
      </c>
      <c r="J516" s="37" t="str">
        <f t="shared" si="25"/>
        <v>0-180 DAYS</v>
      </c>
    </row>
    <row r="517" spans="1:10" x14ac:dyDescent="0.35">
      <c r="A517" s="88" t="s">
        <v>1085</v>
      </c>
      <c r="B517" s="2" t="s">
        <v>790</v>
      </c>
      <c r="C517" s="18" t="s">
        <v>588</v>
      </c>
      <c r="D517" s="2" t="s">
        <v>507</v>
      </c>
      <c r="E517" s="18" t="s">
        <v>2772</v>
      </c>
      <c r="F517" s="19">
        <v>45616</v>
      </c>
      <c r="G517" s="18">
        <v>3474315.68</v>
      </c>
      <c r="H517" s="37">
        <f t="shared" ref="H517:H580" si="29">$H$2-F517+1</f>
        <v>11</v>
      </c>
      <c r="I517" s="37" t="str">
        <f t="shared" si="28"/>
        <v>0-120 DAYS</v>
      </c>
      <c r="J517" s="37" t="str">
        <f t="shared" si="25"/>
        <v>0-180 DAYS</v>
      </c>
    </row>
    <row r="518" spans="1:10" x14ac:dyDescent="0.35">
      <c r="A518" s="88" t="s">
        <v>1085</v>
      </c>
      <c r="B518" s="2" t="s">
        <v>790</v>
      </c>
      <c r="C518" s="18" t="s">
        <v>584</v>
      </c>
      <c r="D518" s="2" t="s">
        <v>507</v>
      </c>
      <c r="E518" s="18" t="s">
        <v>2773</v>
      </c>
      <c r="F518" s="19">
        <v>45618</v>
      </c>
      <c r="G518" s="18">
        <v>2911177.11</v>
      </c>
      <c r="H518" s="37">
        <f t="shared" si="29"/>
        <v>9</v>
      </c>
      <c r="I518" s="37" t="str">
        <f t="shared" si="28"/>
        <v>0-120 DAYS</v>
      </c>
      <c r="J518" s="37" t="str">
        <f t="shared" ref="J518:J581" si="30">IF(H518&lt;180,"0-180 DAYS","More than 180 Days")</f>
        <v>0-180 DAYS</v>
      </c>
    </row>
    <row r="519" spans="1:10" x14ac:dyDescent="0.35">
      <c r="A519" s="88" t="s">
        <v>1085</v>
      </c>
      <c r="B519" s="2" t="s">
        <v>790</v>
      </c>
      <c r="C519" s="18" t="s">
        <v>588</v>
      </c>
      <c r="D519" s="2" t="s">
        <v>507</v>
      </c>
      <c r="E519" s="18" t="s">
        <v>2774</v>
      </c>
      <c r="F519" s="19">
        <v>45619</v>
      </c>
      <c r="G519" s="18">
        <v>3383592.96</v>
      </c>
      <c r="H519" s="37">
        <f t="shared" si="29"/>
        <v>8</v>
      </c>
      <c r="I519" s="37" t="str">
        <f t="shared" si="28"/>
        <v>0-120 DAYS</v>
      </c>
      <c r="J519" s="37" t="str">
        <f t="shared" si="30"/>
        <v>0-180 DAYS</v>
      </c>
    </row>
    <row r="520" spans="1:10" x14ac:dyDescent="0.35">
      <c r="A520" s="88" t="s">
        <v>1085</v>
      </c>
      <c r="B520" s="2" t="s">
        <v>790</v>
      </c>
      <c r="C520" s="18" t="s">
        <v>584</v>
      </c>
      <c r="D520" s="2" t="s">
        <v>507</v>
      </c>
      <c r="E520" s="18" t="s">
        <v>2775</v>
      </c>
      <c r="F520" s="19">
        <v>45624</v>
      </c>
      <c r="G520" s="18">
        <v>2882582.5</v>
      </c>
      <c r="H520" s="37">
        <f t="shared" si="29"/>
        <v>3</v>
      </c>
      <c r="I520" s="37" t="str">
        <f t="shared" si="28"/>
        <v>0-120 DAYS</v>
      </c>
      <c r="J520" s="37" t="str">
        <f t="shared" si="30"/>
        <v>0-180 DAYS</v>
      </c>
    </row>
    <row r="521" spans="1:10" x14ac:dyDescent="0.35">
      <c r="A521" s="88" t="s">
        <v>1085</v>
      </c>
      <c r="B521" s="2" t="s">
        <v>790</v>
      </c>
      <c r="C521" s="18" t="s">
        <v>588</v>
      </c>
      <c r="D521" s="2" t="s">
        <v>507</v>
      </c>
      <c r="E521" s="18" t="s">
        <v>2776</v>
      </c>
      <c r="F521" s="19">
        <v>45624</v>
      </c>
      <c r="G521" s="18">
        <v>3443835.12</v>
      </c>
      <c r="H521" s="37">
        <f t="shared" si="29"/>
        <v>3</v>
      </c>
      <c r="I521" s="37" t="str">
        <f t="shared" si="28"/>
        <v>0-120 DAYS</v>
      </c>
      <c r="J521" s="37" t="str">
        <f t="shared" si="30"/>
        <v>0-180 DAYS</v>
      </c>
    </row>
    <row r="522" spans="1:10" x14ac:dyDescent="0.35">
      <c r="A522" s="88" t="s">
        <v>1085</v>
      </c>
      <c r="B522" s="2" t="s">
        <v>790</v>
      </c>
      <c r="C522" s="18" t="s">
        <v>2678</v>
      </c>
      <c r="D522" s="2" t="s">
        <v>507</v>
      </c>
      <c r="E522" s="18" t="s">
        <v>2777</v>
      </c>
      <c r="F522" s="19">
        <v>45625</v>
      </c>
      <c r="G522" s="18">
        <v>1524663.36</v>
      </c>
      <c r="H522" s="37">
        <f t="shared" si="29"/>
        <v>2</v>
      </c>
      <c r="I522" s="37" t="str">
        <f t="shared" si="28"/>
        <v>0-120 DAYS</v>
      </c>
      <c r="J522" s="37" t="str">
        <f t="shared" si="30"/>
        <v>0-180 DAYS</v>
      </c>
    </row>
    <row r="523" spans="1:10" x14ac:dyDescent="0.35">
      <c r="A523" s="88" t="s">
        <v>1085</v>
      </c>
      <c r="B523" s="2" t="s">
        <v>790</v>
      </c>
      <c r="C523" s="18" t="s">
        <v>678</v>
      </c>
      <c r="D523" s="2" t="s">
        <v>507</v>
      </c>
      <c r="E523" s="18" t="s">
        <v>2778</v>
      </c>
      <c r="F523" s="19">
        <v>45626</v>
      </c>
      <c r="G523" s="18">
        <v>3730745.7</v>
      </c>
      <c r="H523" s="37">
        <f t="shared" si="29"/>
        <v>1</v>
      </c>
      <c r="I523" s="37" t="str">
        <f t="shared" si="28"/>
        <v>0-120 DAYS</v>
      </c>
      <c r="J523" s="37" t="str">
        <f t="shared" si="30"/>
        <v>0-180 DAYS</v>
      </c>
    </row>
    <row r="524" spans="1:10" x14ac:dyDescent="0.35">
      <c r="A524" s="88" t="s">
        <v>1085</v>
      </c>
      <c r="B524" s="2" t="s">
        <v>790</v>
      </c>
      <c r="C524" s="18" t="s">
        <v>681</v>
      </c>
      <c r="D524" s="2" t="s">
        <v>507</v>
      </c>
      <c r="E524" s="18" t="s">
        <v>2779</v>
      </c>
      <c r="F524" s="19">
        <v>45601</v>
      </c>
      <c r="G524" s="18">
        <v>3585225.28</v>
      </c>
      <c r="H524" s="37">
        <f t="shared" si="29"/>
        <v>26</v>
      </c>
      <c r="I524" s="37" t="str">
        <f t="shared" si="28"/>
        <v>0-120 DAYS</v>
      </c>
      <c r="J524" s="37" t="str">
        <f t="shared" si="30"/>
        <v>0-180 DAYS</v>
      </c>
    </row>
    <row r="525" spans="1:10" x14ac:dyDescent="0.35">
      <c r="A525" s="88" t="s">
        <v>1085</v>
      </c>
      <c r="B525" s="2" t="s">
        <v>790</v>
      </c>
      <c r="C525" s="18" t="s">
        <v>538</v>
      </c>
      <c r="D525" s="2" t="s">
        <v>507</v>
      </c>
      <c r="E525" s="18" t="s">
        <v>2780</v>
      </c>
      <c r="F525" s="19">
        <v>45607</v>
      </c>
      <c r="G525" s="18">
        <v>3504386.16</v>
      </c>
      <c r="H525" s="37">
        <f t="shared" si="29"/>
        <v>20</v>
      </c>
      <c r="I525" s="37" t="str">
        <f t="shared" si="28"/>
        <v>0-120 DAYS</v>
      </c>
      <c r="J525" s="37" t="str">
        <f t="shared" si="30"/>
        <v>0-180 DAYS</v>
      </c>
    </row>
    <row r="526" spans="1:10" x14ac:dyDescent="0.35">
      <c r="A526" s="88" t="s">
        <v>1085</v>
      </c>
      <c r="B526" s="2" t="s">
        <v>790</v>
      </c>
      <c r="C526" s="18" t="s">
        <v>573</v>
      </c>
      <c r="D526" s="2" t="s">
        <v>507</v>
      </c>
      <c r="E526" s="18" t="s">
        <v>2781</v>
      </c>
      <c r="F526" s="19">
        <v>45607</v>
      </c>
      <c r="G526" s="18">
        <v>3426966.17</v>
      </c>
      <c r="H526" s="37">
        <f t="shared" si="29"/>
        <v>20</v>
      </c>
      <c r="I526" s="37" t="str">
        <f t="shared" si="28"/>
        <v>0-120 DAYS</v>
      </c>
      <c r="J526" s="37" t="str">
        <f t="shared" si="30"/>
        <v>0-180 DAYS</v>
      </c>
    </row>
    <row r="527" spans="1:10" x14ac:dyDescent="0.35">
      <c r="A527" s="88" t="s">
        <v>1085</v>
      </c>
      <c r="B527" s="2" t="s">
        <v>790</v>
      </c>
      <c r="C527" s="18" t="s">
        <v>538</v>
      </c>
      <c r="D527" s="2" t="s">
        <v>507</v>
      </c>
      <c r="E527" s="18" t="s">
        <v>2782</v>
      </c>
      <c r="F527" s="19">
        <v>45611</v>
      </c>
      <c r="G527" s="18">
        <v>3170106.22</v>
      </c>
      <c r="H527" s="37">
        <f t="shared" si="29"/>
        <v>16</v>
      </c>
      <c r="I527" s="37" t="str">
        <f t="shared" si="28"/>
        <v>0-120 DAYS</v>
      </c>
      <c r="J527" s="37" t="str">
        <f t="shared" si="30"/>
        <v>0-180 DAYS</v>
      </c>
    </row>
    <row r="528" spans="1:10" x14ac:dyDescent="0.35">
      <c r="A528" s="88" t="s">
        <v>1085</v>
      </c>
      <c r="B528" s="2" t="s">
        <v>790</v>
      </c>
      <c r="C528" s="18" t="s">
        <v>647</v>
      </c>
      <c r="D528" s="2" t="s">
        <v>507</v>
      </c>
      <c r="E528" s="18" t="s">
        <v>2783</v>
      </c>
      <c r="F528" s="19">
        <v>45619</v>
      </c>
      <c r="G528" s="18">
        <v>3696792.4</v>
      </c>
      <c r="H528" s="37">
        <f t="shared" si="29"/>
        <v>8</v>
      </c>
      <c r="I528" s="37" t="str">
        <f t="shared" si="28"/>
        <v>0-120 DAYS</v>
      </c>
      <c r="J528" s="37" t="str">
        <f t="shared" si="30"/>
        <v>0-180 DAYS</v>
      </c>
    </row>
    <row r="529" spans="1:10" x14ac:dyDescent="0.35">
      <c r="A529" s="88" t="s">
        <v>1085</v>
      </c>
      <c r="B529" s="2" t="s">
        <v>790</v>
      </c>
      <c r="C529" s="18" t="s">
        <v>647</v>
      </c>
      <c r="D529" s="2" t="s">
        <v>507</v>
      </c>
      <c r="E529" s="18" t="s">
        <v>2784</v>
      </c>
      <c r="F529" s="19">
        <v>45619</v>
      </c>
      <c r="G529" s="18">
        <v>3696792.01</v>
      </c>
      <c r="H529" s="37">
        <f t="shared" si="29"/>
        <v>8</v>
      </c>
      <c r="I529" s="37" t="str">
        <f t="shared" si="28"/>
        <v>0-120 DAYS</v>
      </c>
      <c r="J529" s="37" t="str">
        <f t="shared" si="30"/>
        <v>0-180 DAYS</v>
      </c>
    </row>
    <row r="530" spans="1:10" x14ac:dyDescent="0.35">
      <c r="A530" s="88" t="s">
        <v>1085</v>
      </c>
      <c r="B530" s="2" t="s">
        <v>790</v>
      </c>
      <c r="C530" s="18" t="s">
        <v>573</v>
      </c>
      <c r="D530" s="2" t="s">
        <v>507</v>
      </c>
      <c r="E530" s="18" t="s">
        <v>2785</v>
      </c>
      <c r="F530" s="19">
        <v>45622</v>
      </c>
      <c r="G530" s="18">
        <v>3890175.98</v>
      </c>
      <c r="H530" s="37">
        <f t="shared" si="29"/>
        <v>5</v>
      </c>
      <c r="I530" s="37" t="str">
        <f t="shared" si="28"/>
        <v>0-120 DAYS</v>
      </c>
      <c r="J530" s="37" t="str">
        <f t="shared" si="30"/>
        <v>0-180 DAYS</v>
      </c>
    </row>
    <row r="531" spans="1:10" x14ac:dyDescent="0.35">
      <c r="A531" s="88" t="s">
        <v>1085</v>
      </c>
      <c r="B531" s="2" t="s">
        <v>790</v>
      </c>
      <c r="C531" s="18" t="s">
        <v>573</v>
      </c>
      <c r="D531" s="2" t="s">
        <v>507</v>
      </c>
      <c r="E531" s="18" t="s">
        <v>2786</v>
      </c>
      <c r="F531" s="19">
        <v>45623</v>
      </c>
      <c r="G531" s="18">
        <v>3161660.04</v>
      </c>
      <c r="H531" s="37">
        <f t="shared" si="29"/>
        <v>4</v>
      </c>
      <c r="I531" s="37" t="str">
        <f t="shared" si="28"/>
        <v>0-120 DAYS</v>
      </c>
      <c r="J531" s="37" t="str">
        <f t="shared" si="30"/>
        <v>0-180 DAYS</v>
      </c>
    </row>
    <row r="532" spans="1:10" x14ac:dyDescent="0.35">
      <c r="A532" s="88" t="s">
        <v>1085</v>
      </c>
      <c r="B532" s="2" t="s">
        <v>790</v>
      </c>
      <c r="C532" s="18" t="s">
        <v>647</v>
      </c>
      <c r="D532" s="2" t="s">
        <v>507</v>
      </c>
      <c r="E532" s="18" t="s">
        <v>2787</v>
      </c>
      <c r="F532" s="19">
        <v>45625</v>
      </c>
      <c r="G532" s="18">
        <v>3696792.09</v>
      </c>
      <c r="H532" s="37">
        <f t="shared" si="29"/>
        <v>2</v>
      </c>
      <c r="I532" s="37" t="str">
        <f t="shared" si="28"/>
        <v>0-120 DAYS</v>
      </c>
      <c r="J532" s="37" t="str">
        <f t="shared" si="30"/>
        <v>0-180 DAYS</v>
      </c>
    </row>
    <row r="533" spans="1:10" x14ac:dyDescent="0.35">
      <c r="A533" s="88" t="s">
        <v>1085</v>
      </c>
      <c r="B533" s="2" t="s">
        <v>790</v>
      </c>
      <c r="C533" s="18" t="s">
        <v>588</v>
      </c>
      <c r="D533" s="2" t="s">
        <v>507</v>
      </c>
      <c r="E533" s="18" t="s">
        <v>2788</v>
      </c>
      <c r="F533" s="19">
        <v>45625</v>
      </c>
      <c r="G533" s="18">
        <v>3344112.86</v>
      </c>
      <c r="H533" s="37">
        <f t="shared" si="29"/>
        <v>2</v>
      </c>
      <c r="I533" s="37" t="str">
        <f t="shared" si="28"/>
        <v>0-120 DAYS</v>
      </c>
      <c r="J533" s="37" t="str">
        <f t="shared" si="30"/>
        <v>0-180 DAYS</v>
      </c>
    </row>
    <row r="534" spans="1:10" hidden="1" x14ac:dyDescent="0.35">
      <c r="A534" s="2" t="s">
        <v>477</v>
      </c>
      <c r="B534" s="2" t="s">
        <v>790</v>
      </c>
      <c r="C534" s="18" t="s">
        <v>1080</v>
      </c>
      <c r="D534" s="18" t="s">
        <v>1081</v>
      </c>
      <c r="E534" s="18" t="s">
        <v>2790</v>
      </c>
      <c r="F534" s="19">
        <v>45607</v>
      </c>
      <c r="G534" s="18">
        <v>1490376.96</v>
      </c>
      <c r="H534" s="37">
        <f t="shared" si="29"/>
        <v>20</v>
      </c>
      <c r="I534" s="37" t="str">
        <f t="shared" ref="I534:I597" si="31">IF(H534&lt;91,"1-90 DAYS",IF(H534&lt;121,"91-120DAYS",IF(H534&lt;181,"121-180 DAYS","More than 180 Days")))</f>
        <v>1-90 DAYS</v>
      </c>
      <c r="J534" s="37" t="str">
        <f t="shared" si="30"/>
        <v>0-180 DAYS</v>
      </c>
    </row>
    <row r="535" spans="1:10" hidden="1" x14ac:dyDescent="0.35">
      <c r="A535" s="2" t="s">
        <v>477</v>
      </c>
      <c r="B535" s="2" t="s">
        <v>790</v>
      </c>
      <c r="C535" s="18" t="s">
        <v>2789</v>
      </c>
      <c r="D535" s="18" t="s">
        <v>2801</v>
      </c>
      <c r="E535" s="18" t="s">
        <v>2791</v>
      </c>
      <c r="F535" s="19">
        <v>45607</v>
      </c>
      <c r="G535" s="18">
        <v>27803049.120000001</v>
      </c>
      <c r="H535" s="37">
        <f t="shared" si="29"/>
        <v>20</v>
      </c>
      <c r="I535" s="37" t="str">
        <f t="shared" si="31"/>
        <v>1-90 DAYS</v>
      </c>
      <c r="J535" s="37" t="str">
        <f t="shared" si="30"/>
        <v>0-180 DAYS</v>
      </c>
    </row>
    <row r="536" spans="1:10" hidden="1" x14ac:dyDescent="0.35">
      <c r="A536" s="2" t="s">
        <v>477</v>
      </c>
      <c r="B536" s="2" t="s">
        <v>790</v>
      </c>
      <c r="C536" s="18" t="s">
        <v>2321</v>
      </c>
      <c r="D536" s="18" t="s">
        <v>2347</v>
      </c>
      <c r="E536" s="18" t="s">
        <v>315</v>
      </c>
      <c r="F536" s="19">
        <v>45609</v>
      </c>
      <c r="G536" s="18">
        <v>40000</v>
      </c>
      <c r="H536" s="37">
        <f t="shared" si="29"/>
        <v>18</v>
      </c>
      <c r="I536" s="37" t="str">
        <f t="shared" si="31"/>
        <v>1-90 DAYS</v>
      </c>
      <c r="J536" s="37" t="str">
        <f t="shared" si="30"/>
        <v>0-180 DAYS</v>
      </c>
    </row>
    <row r="537" spans="1:10" hidden="1" x14ac:dyDescent="0.35">
      <c r="A537" s="2" t="s">
        <v>477</v>
      </c>
      <c r="B537" s="2" t="s">
        <v>790</v>
      </c>
      <c r="C537" s="18" t="s">
        <v>2380</v>
      </c>
      <c r="D537" s="18" t="s">
        <v>1081</v>
      </c>
      <c r="E537" s="18" t="s">
        <v>321</v>
      </c>
      <c r="F537" s="19">
        <v>45610</v>
      </c>
      <c r="G537" s="18">
        <v>1490376.94</v>
      </c>
      <c r="H537" s="37">
        <f t="shared" si="29"/>
        <v>17</v>
      </c>
      <c r="I537" s="37" t="str">
        <f t="shared" si="31"/>
        <v>1-90 DAYS</v>
      </c>
      <c r="J537" s="37" t="str">
        <f t="shared" si="30"/>
        <v>0-180 DAYS</v>
      </c>
    </row>
    <row r="538" spans="1:10" hidden="1" x14ac:dyDescent="0.35">
      <c r="A538" s="2" t="s">
        <v>477</v>
      </c>
      <c r="B538" s="2" t="s">
        <v>790</v>
      </c>
      <c r="C538" s="18" t="s">
        <v>2380</v>
      </c>
      <c r="D538" s="18" t="s">
        <v>1081</v>
      </c>
      <c r="E538" s="18" t="s">
        <v>2792</v>
      </c>
      <c r="F538" s="19">
        <v>45610</v>
      </c>
      <c r="G538" s="18">
        <v>465526.58</v>
      </c>
      <c r="H538" s="37">
        <f t="shared" si="29"/>
        <v>17</v>
      </c>
      <c r="I538" s="37" t="str">
        <f t="shared" si="31"/>
        <v>1-90 DAYS</v>
      </c>
      <c r="J538" s="37" t="str">
        <f t="shared" si="30"/>
        <v>0-180 DAYS</v>
      </c>
    </row>
    <row r="539" spans="1:10" hidden="1" x14ac:dyDescent="0.35">
      <c r="A539" s="2" t="s">
        <v>477</v>
      </c>
      <c r="B539" s="2" t="s">
        <v>790</v>
      </c>
      <c r="C539" s="18" t="s">
        <v>2380</v>
      </c>
      <c r="D539" s="18" t="s">
        <v>1081</v>
      </c>
      <c r="E539" s="18" t="s">
        <v>327</v>
      </c>
      <c r="F539" s="19">
        <v>45611</v>
      </c>
      <c r="G539" s="18">
        <v>698290.38</v>
      </c>
      <c r="H539" s="37">
        <f t="shared" si="29"/>
        <v>16</v>
      </c>
      <c r="I539" s="37" t="str">
        <f t="shared" si="31"/>
        <v>1-90 DAYS</v>
      </c>
      <c r="J539" s="37" t="str">
        <f t="shared" si="30"/>
        <v>0-180 DAYS</v>
      </c>
    </row>
    <row r="540" spans="1:10" hidden="1" x14ac:dyDescent="0.35">
      <c r="A540" s="2" t="s">
        <v>477</v>
      </c>
      <c r="B540" s="2" t="s">
        <v>790</v>
      </c>
      <c r="C540" s="18" t="s">
        <v>1087</v>
      </c>
      <c r="D540" s="18" t="s">
        <v>1088</v>
      </c>
      <c r="E540" s="18" t="s">
        <v>338</v>
      </c>
      <c r="F540" s="19">
        <v>45614</v>
      </c>
      <c r="G540" s="18">
        <v>163548</v>
      </c>
      <c r="H540" s="37">
        <f t="shared" si="29"/>
        <v>13</v>
      </c>
      <c r="I540" s="37" t="str">
        <f t="shared" si="31"/>
        <v>1-90 DAYS</v>
      </c>
      <c r="J540" s="37" t="str">
        <f t="shared" si="30"/>
        <v>0-180 DAYS</v>
      </c>
    </row>
    <row r="541" spans="1:10" hidden="1" x14ac:dyDescent="0.35">
      <c r="A541" s="2" t="s">
        <v>477</v>
      </c>
      <c r="B541" s="2" t="s">
        <v>790</v>
      </c>
      <c r="C541" s="18" t="s">
        <v>2380</v>
      </c>
      <c r="D541" s="18" t="s">
        <v>1081</v>
      </c>
      <c r="E541" s="18" t="s">
        <v>2793</v>
      </c>
      <c r="F541" s="19">
        <v>45614</v>
      </c>
      <c r="G541" s="18">
        <v>1156339.3999999999</v>
      </c>
      <c r="H541" s="37">
        <f t="shared" si="29"/>
        <v>13</v>
      </c>
      <c r="I541" s="37" t="str">
        <f t="shared" si="31"/>
        <v>1-90 DAYS</v>
      </c>
      <c r="J541" s="37" t="str">
        <f t="shared" si="30"/>
        <v>0-180 DAYS</v>
      </c>
    </row>
    <row r="542" spans="1:10" hidden="1" x14ac:dyDescent="0.35">
      <c r="A542" s="2" t="s">
        <v>477</v>
      </c>
      <c r="B542" s="2" t="s">
        <v>790</v>
      </c>
      <c r="C542" s="18" t="s">
        <v>1196</v>
      </c>
      <c r="D542" s="18" t="s">
        <v>1208</v>
      </c>
      <c r="E542" s="18" t="s">
        <v>2794</v>
      </c>
      <c r="F542" s="19">
        <v>45618</v>
      </c>
      <c r="G542" s="18">
        <v>2037535.5</v>
      </c>
      <c r="H542" s="37">
        <f t="shared" si="29"/>
        <v>9</v>
      </c>
      <c r="I542" s="37" t="str">
        <f t="shared" si="31"/>
        <v>1-90 DAYS</v>
      </c>
      <c r="J542" s="37" t="str">
        <f t="shared" si="30"/>
        <v>0-180 DAYS</v>
      </c>
    </row>
    <row r="543" spans="1:10" hidden="1" x14ac:dyDescent="0.35">
      <c r="A543" s="2" t="s">
        <v>477</v>
      </c>
      <c r="B543" s="2" t="s">
        <v>790</v>
      </c>
      <c r="C543" s="18" t="s">
        <v>2380</v>
      </c>
      <c r="D543" s="18" t="s">
        <v>1081</v>
      </c>
      <c r="E543" s="18" t="s">
        <v>369</v>
      </c>
      <c r="F543" s="19">
        <v>45621</v>
      </c>
      <c r="G543" s="18">
        <v>1490376.94</v>
      </c>
      <c r="H543" s="37">
        <f t="shared" si="29"/>
        <v>6</v>
      </c>
      <c r="I543" s="37" t="str">
        <f t="shared" si="31"/>
        <v>1-90 DAYS</v>
      </c>
      <c r="J543" s="37" t="str">
        <f t="shared" si="30"/>
        <v>0-180 DAYS</v>
      </c>
    </row>
    <row r="544" spans="1:10" hidden="1" x14ac:dyDescent="0.35">
      <c r="A544" s="2" t="s">
        <v>477</v>
      </c>
      <c r="B544" s="2" t="s">
        <v>790</v>
      </c>
      <c r="C544" s="18" t="s">
        <v>2380</v>
      </c>
      <c r="D544" s="18" t="s">
        <v>1081</v>
      </c>
      <c r="E544" s="18" t="s">
        <v>376</v>
      </c>
      <c r="F544" s="19">
        <v>45622</v>
      </c>
      <c r="G544" s="18">
        <v>1387607.48</v>
      </c>
      <c r="H544" s="37">
        <f t="shared" si="29"/>
        <v>5</v>
      </c>
      <c r="I544" s="37" t="str">
        <f t="shared" si="31"/>
        <v>1-90 DAYS</v>
      </c>
      <c r="J544" s="37" t="str">
        <f t="shared" si="30"/>
        <v>0-180 DAYS</v>
      </c>
    </row>
    <row r="545" spans="1:10" hidden="1" x14ac:dyDescent="0.35">
      <c r="A545" s="2" t="s">
        <v>477</v>
      </c>
      <c r="B545" s="2" t="s">
        <v>790</v>
      </c>
      <c r="C545" s="18" t="s">
        <v>2380</v>
      </c>
      <c r="D545" s="18" t="s">
        <v>1081</v>
      </c>
      <c r="E545" s="18" t="s">
        <v>377</v>
      </c>
      <c r="F545" s="19">
        <v>45622</v>
      </c>
      <c r="G545" s="18">
        <v>1248065.3999999999</v>
      </c>
      <c r="H545" s="37">
        <f t="shared" si="29"/>
        <v>5</v>
      </c>
      <c r="I545" s="37" t="str">
        <f t="shared" si="31"/>
        <v>1-90 DAYS</v>
      </c>
      <c r="J545" s="37" t="str">
        <f t="shared" si="30"/>
        <v>0-180 DAYS</v>
      </c>
    </row>
    <row r="546" spans="1:10" hidden="1" x14ac:dyDescent="0.35">
      <c r="A546" s="2" t="s">
        <v>477</v>
      </c>
      <c r="B546" s="2" t="s">
        <v>790</v>
      </c>
      <c r="C546" s="18" t="s">
        <v>2380</v>
      </c>
      <c r="D546" s="18" t="s">
        <v>1081</v>
      </c>
      <c r="E546" s="18" t="s">
        <v>387</v>
      </c>
      <c r="F546" s="19">
        <v>45623</v>
      </c>
      <c r="G546" s="18">
        <v>230876.79999999999</v>
      </c>
      <c r="H546" s="37">
        <f t="shared" si="29"/>
        <v>4</v>
      </c>
      <c r="I546" s="37" t="str">
        <f t="shared" si="31"/>
        <v>1-90 DAYS</v>
      </c>
      <c r="J546" s="37" t="str">
        <f t="shared" si="30"/>
        <v>0-180 DAYS</v>
      </c>
    </row>
    <row r="547" spans="1:10" hidden="1" x14ac:dyDescent="0.35">
      <c r="A547" s="2" t="s">
        <v>477</v>
      </c>
      <c r="B547" s="2" t="s">
        <v>790</v>
      </c>
      <c r="C547" s="18" t="s">
        <v>2380</v>
      </c>
      <c r="D547" s="18" t="s">
        <v>1081</v>
      </c>
      <c r="E547" s="18" t="s">
        <v>388</v>
      </c>
      <c r="F547" s="19">
        <v>45623</v>
      </c>
      <c r="G547" s="18">
        <v>57719.199999999997</v>
      </c>
      <c r="H547" s="37">
        <f t="shared" si="29"/>
        <v>4</v>
      </c>
      <c r="I547" s="37" t="str">
        <f t="shared" si="31"/>
        <v>1-90 DAYS</v>
      </c>
      <c r="J547" s="37" t="str">
        <f t="shared" si="30"/>
        <v>0-180 DAYS</v>
      </c>
    </row>
    <row r="548" spans="1:10" hidden="1" x14ac:dyDescent="0.35">
      <c r="A548" s="2" t="s">
        <v>477</v>
      </c>
      <c r="B548" s="2" t="s">
        <v>790</v>
      </c>
      <c r="C548" s="18" t="s">
        <v>2380</v>
      </c>
      <c r="D548" s="18" t="s">
        <v>1081</v>
      </c>
      <c r="E548" s="18" t="s">
        <v>389</v>
      </c>
      <c r="F548" s="19">
        <v>45623</v>
      </c>
      <c r="G548" s="18">
        <v>1156929.3999999999</v>
      </c>
      <c r="H548" s="37">
        <f t="shared" si="29"/>
        <v>4</v>
      </c>
      <c r="I548" s="37" t="str">
        <f t="shared" si="31"/>
        <v>1-90 DAYS</v>
      </c>
      <c r="J548" s="37" t="str">
        <f t="shared" si="30"/>
        <v>0-180 DAYS</v>
      </c>
    </row>
    <row r="549" spans="1:10" hidden="1" x14ac:dyDescent="0.35">
      <c r="A549" s="2" t="s">
        <v>477</v>
      </c>
      <c r="B549" s="2" t="s">
        <v>790</v>
      </c>
      <c r="C549" s="18" t="s">
        <v>2526</v>
      </c>
      <c r="D549" s="18" t="s">
        <v>2528</v>
      </c>
      <c r="E549" s="18" t="s">
        <v>381</v>
      </c>
      <c r="F549" s="19">
        <v>45623</v>
      </c>
      <c r="G549" s="18">
        <v>102256.44</v>
      </c>
      <c r="H549" s="37">
        <f t="shared" si="29"/>
        <v>4</v>
      </c>
      <c r="I549" s="37" t="str">
        <f t="shared" si="31"/>
        <v>1-90 DAYS</v>
      </c>
      <c r="J549" s="37" t="str">
        <f t="shared" si="30"/>
        <v>0-180 DAYS</v>
      </c>
    </row>
    <row r="550" spans="1:10" hidden="1" x14ac:dyDescent="0.35">
      <c r="A550" s="2" t="s">
        <v>477</v>
      </c>
      <c r="B550" s="2" t="s">
        <v>790</v>
      </c>
      <c r="C550" s="18" t="s">
        <v>2380</v>
      </c>
      <c r="D550" s="18" t="s">
        <v>1081</v>
      </c>
      <c r="E550" s="18" t="s">
        <v>396</v>
      </c>
      <c r="F550" s="19">
        <v>45624</v>
      </c>
      <c r="G550" s="18">
        <v>115693.04</v>
      </c>
      <c r="H550" s="37">
        <f t="shared" si="29"/>
        <v>3</v>
      </c>
      <c r="I550" s="37" t="str">
        <f t="shared" si="31"/>
        <v>1-90 DAYS</v>
      </c>
      <c r="J550" s="37" t="str">
        <f t="shared" si="30"/>
        <v>0-180 DAYS</v>
      </c>
    </row>
    <row r="551" spans="1:10" hidden="1" x14ac:dyDescent="0.35">
      <c r="A551" s="2" t="s">
        <v>477</v>
      </c>
      <c r="B551" s="2" t="s">
        <v>790</v>
      </c>
      <c r="C551" s="18" t="s">
        <v>2380</v>
      </c>
      <c r="D551" s="18" t="s">
        <v>1081</v>
      </c>
      <c r="E551" s="18" t="s">
        <v>398</v>
      </c>
      <c r="F551" s="19">
        <v>45625</v>
      </c>
      <c r="G551" s="18">
        <v>1041236.36</v>
      </c>
      <c r="H551" s="37">
        <f t="shared" si="29"/>
        <v>2</v>
      </c>
      <c r="I551" s="37" t="str">
        <f t="shared" si="31"/>
        <v>1-90 DAYS</v>
      </c>
      <c r="J551" s="37" t="str">
        <f t="shared" si="30"/>
        <v>0-180 DAYS</v>
      </c>
    </row>
    <row r="552" spans="1:10" hidden="1" x14ac:dyDescent="0.35">
      <c r="A552" s="2" t="s">
        <v>477</v>
      </c>
      <c r="B552" s="2" t="s">
        <v>790</v>
      </c>
      <c r="C552" s="18" t="s">
        <v>2380</v>
      </c>
      <c r="D552" s="18" t="s">
        <v>1081</v>
      </c>
      <c r="E552" s="18" t="s">
        <v>399</v>
      </c>
      <c r="F552" s="19">
        <v>45625</v>
      </c>
      <c r="G552" s="18">
        <v>349145.18</v>
      </c>
      <c r="H552" s="37">
        <f t="shared" si="29"/>
        <v>2</v>
      </c>
      <c r="I552" s="37" t="str">
        <f t="shared" si="31"/>
        <v>1-90 DAYS</v>
      </c>
      <c r="J552" s="37" t="str">
        <f t="shared" si="30"/>
        <v>0-180 DAYS</v>
      </c>
    </row>
    <row r="553" spans="1:10" hidden="1" x14ac:dyDescent="0.35">
      <c r="A553" s="2" t="s">
        <v>477</v>
      </c>
      <c r="B553" s="2" t="s">
        <v>790</v>
      </c>
      <c r="C553" s="18" t="s">
        <v>2380</v>
      </c>
      <c r="D553" s="18" t="s">
        <v>1081</v>
      </c>
      <c r="E553" s="18" t="s">
        <v>400</v>
      </c>
      <c r="F553" s="19">
        <v>45625</v>
      </c>
      <c r="G553" s="18">
        <v>2892323</v>
      </c>
      <c r="H553" s="37">
        <f t="shared" si="29"/>
        <v>2</v>
      </c>
      <c r="I553" s="37" t="str">
        <f t="shared" si="31"/>
        <v>1-90 DAYS</v>
      </c>
      <c r="J553" s="37" t="str">
        <f t="shared" si="30"/>
        <v>0-180 DAYS</v>
      </c>
    </row>
    <row r="554" spans="1:10" hidden="1" x14ac:dyDescent="0.35">
      <c r="A554" s="2" t="s">
        <v>477</v>
      </c>
      <c r="B554" s="2" t="s">
        <v>790</v>
      </c>
      <c r="C554" s="18" t="s">
        <v>2380</v>
      </c>
      <c r="D554" s="18" t="s">
        <v>1081</v>
      </c>
      <c r="E554" s="18" t="s">
        <v>2795</v>
      </c>
      <c r="F554" s="19">
        <v>45626</v>
      </c>
      <c r="G554" s="18">
        <v>465526.58</v>
      </c>
      <c r="H554" s="37">
        <f t="shared" si="29"/>
        <v>1</v>
      </c>
      <c r="I554" s="37" t="str">
        <f t="shared" si="31"/>
        <v>1-90 DAYS</v>
      </c>
      <c r="J554" s="37" t="str">
        <f t="shared" si="30"/>
        <v>0-180 DAYS</v>
      </c>
    </row>
    <row r="555" spans="1:10" hidden="1" x14ac:dyDescent="0.35">
      <c r="A555" s="2" t="s">
        <v>477</v>
      </c>
      <c r="B555" s="2" t="s">
        <v>790</v>
      </c>
      <c r="C555" s="18" t="s">
        <v>2380</v>
      </c>
      <c r="D555" s="18" t="s">
        <v>1081</v>
      </c>
      <c r="E555" s="18" t="s">
        <v>408</v>
      </c>
      <c r="F555" s="19">
        <v>45626</v>
      </c>
      <c r="G555" s="18">
        <v>349145.18</v>
      </c>
      <c r="H555" s="37">
        <f t="shared" si="29"/>
        <v>1</v>
      </c>
      <c r="I555" s="37" t="str">
        <f t="shared" si="31"/>
        <v>1-90 DAYS</v>
      </c>
      <c r="J555" s="37" t="str">
        <f t="shared" si="30"/>
        <v>0-180 DAYS</v>
      </c>
    </row>
    <row r="556" spans="1:10" hidden="1" x14ac:dyDescent="0.35">
      <c r="A556" s="2" t="s">
        <v>477</v>
      </c>
      <c r="B556" s="2" t="s">
        <v>790</v>
      </c>
      <c r="C556" s="18" t="s">
        <v>2380</v>
      </c>
      <c r="D556" s="18" t="s">
        <v>1081</v>
      </c>
      <c r="E556" s="18" t="s">
        <v>409</v>
      </c>
      <c r="F556" s="19">
        <v>45626</v>
      </c>
      <c r="G556" s="18">
        <v>1039644.36</v>
      </c>
      <c r="H556" s="37">
        <f t="shared" si="29"/>
        <v>1</v>
      </c>
      <c r="I556" s="37" t="str">
        <f t="shared" si="31"/>
        <v>1-90 DAYS</v>
      </c>
      <c r="J556" s="37" t="str">
        <f t="shared" si="30"/>
        <v>0-180 DAYS</v>
      </c>
    </row>
    <row r="557" spans="1:10" hidden="1" x14ac:dyDescent="0.35">
      <c r="A557" s="2" t="s">
        <v>477</v>
      </c>
      <c r="B557" s="2" t="s">
        <v>790</v>
      </c>
      <c r="C557" s="18" t="s">
        <v>259</v>
      </c>
      <c r="D557" s="18" t="s">
        <v>260</v>
      </c>
      <c r="E557" s="18" t="s">
        <v>2796</v>
      </c>
      <c r="F557" s="19">
        <v>45601</v>
      </c>
      <c r="G557" s="18">
        <v>1825092</v>
      </c>
      <c r="H557" s="37">
        <f t="shared" si="29"/>
        <v>26</v>
      </c>
      <c r="I557" s="37" t="str">
        <f t="shared" si="31"/>
        <v>1-90 DAYS</v>
      </c>
      <c r="J557" s="37" t="str">
        <f t="shared" si="30"/>
        <v>0-180 DAYS</v>
      </c>
    </row>
    <row r="558" spans="1:10" hidden="1" x14ac:dyDescent="0.35">
      <c r="A558" s="2" t="s">
        <v>477</v>
      </c>
      <c r="B558" s="2" t="s">
        <v>790</v>
      </c>
      <c r="C558" s="18" t="s">
        <v>2382</v>
      </c>
      <c r="D558" s="18" t="s">
        <v>2424</v>
      </c>
      <c r="E558" s="18" t="s">
        <v>2797</v>
      </c>
      <c r="F558" s="19">
        <v>45611</v>
      </c>
      <c r="G558" s="18">
        <v>80240</v>
      </c>
      <c r="H558" s="37">
        <f t="shared" si="29"/>
        <v>16</v>
      </c>
      <c r="I558" s="37" t="str">
        <f t="shared" si="31"/>
        <v>1-90 DAYS</v>
      </c>
      <c r="J558" s="37" t="str">
        <f t="shared" si="30"/>
        <v>0-180 DAYS</v>
      </c>
    </row>
    <row r="559" spans="1:10" hidden="1" x14ac:dyDescent="0.35">
      <c r="A559" s="2" t="s">
        <v>477</v>
      </c>
      <c r="B559" s="2" t="s">
        <v>790</v>
      </c>
      <c r="C559" s="18" t="s">
        <v>2527</v>
      </c>
      <c r="D559" s="18" t="s">
        <v>2529</v>
      </c>
      <c r="E559" s="18" t="s">
        <v>2798</v>
      </c>
      <c r="F559" s="19">
        <v>45619</v>
      </c>
      <c r="G559" s="18">
        <v>23326.82</v>
      </c>
      <c r="H559" s="37">
        <f t="shared" si="29"/>
        <v>8</v>
      </c>
      <c r="I559" s="37" t="str">
        <f t="shared" si="31"/>
        <v>1-90 DAYS</v>
      </c>
      <c r="J559" s="37" t="str">
        <f t="shared" si="30"/>
        <v>0-180 DAYS</v>
      </c>
    </row>
    <row r="560" spans="1:10" hidden="1" x14ac:dyDescent="0.35">
      <c r="A560" s="2" t="s">
        <v>477</v>
      </c>
      <c r="B560" s="2" t="s">
        <v>790</v>
      </c>
      <c r="C560" s="18" t="s">
        <v>3</v>
      </c>
      <c r="D560" s="18" t="s">
        <v>4</v>
      </c>
      <c r="E560" s="18" t="s">
        <v>2799</v>
      </c>
      <c r="F560" s="19">
        <v>45623</v>
      </c>
      <c r="G560" s="18">
        <v>1495149.46</v>
      </c>
      <c r="H560" s="37">
        <f t="shared" si="29"/>
        <v>4</v>
      </c>
      <c r="I560" s="37" t="str">
        <f t="shared" si="31"/>
        <v>1-90 DAYS</v>
      </c>
      <c r="J560" s="37" t="str">
        <f t="shared" si="30"/>
        <v>0-180 DAYS</v>
      </c>
    </row>
    <row r="561" spans="1:10" hidden="1" x14ac:dyDescent="0.35">
      <c r="A561" s="2" t="s">
        <v>477</v>
      </c>
      <c r="B561" s="2" t="s">
        <v>790</v>
      </c>
      <c r="C561" s="18" t="s">
        <v>26</v>
      </c>
      <c r="D561" s="18" t="s">
        <v>27</v>
      </c>
      <c r="E561" s="18" t="s">
        <v>2800</v>
      </c>
      <c r="F561" s="19">
        <v>45625</v>
      </c>
      <c r="G561" s="18">
        <v>509925.2</v>
      </c>
      <c r="H561" s="37">
        <f t="shared" si="29"/>
        <v>2</v>
      </c>
      <c r="I561" s="37" t="str">
        <f t="shared" si="31"/>
        <v>1-90 DAYS</v>
      </c>
      <c r="J561" s="37" t="str">
        <f t="shared" si="30"/>
        <v>0-180 DAYS</v>
      </c>
    </row>
    <row r="562" spans="1:10" hidden="1" x14ac:dyDescent="0.35">
      <c r="A562" s="88" t="s">
        <v>1209</v>
      </c>
      <c r="B562" s="88" t="s">
        <v>789</v>
      </c>
      <c r="C562" s="18" t="s">
        <v>125</v>
      </c>
      <c r="D562" s="18" t="s">
        <v>57</v>
      </c>
      <c r="E562" s="18" t="s">
        <v>2802</v>
      </c>
      <c r="F562" s="19">
        <v>45599</v>
      </c>
      <c r="G562" s="18">
        <v>423482.71</v>
      </c>
      <c r="H562" s="37">
        <f t="shared" si="29"/>
        <v>28</v>
      </c>
      <c r="I562" s="37" t="str">
        <f t="shared" si="31"/>
        <v>1-90 DAYS</v>
      </c>
      <c r="J562" s="37" t="str">
        <f t="shared" si="30"/>
        <v>0-180 DAYS</v>
      </c>
    </row>
    <row r="563" spans="1:10" hidden="1" x14ac:dyDescent="0.35">
      <c r="A563" s="88" t="s">
        <v>1209</v>
      </c>
      <c r="B563" s="88" t="s">
        <v>789</v>
      </c>
      <c r="C563" s="18" t="s">
        <v>125</v>
      </c>
      <c r="D563" s="18" t="s">
        <v>57</v>
      </c>
      <c r="E563" s="18" t="s">
        <v>2803</v>
      </c>
      <c r="F563" s="19">
        <v>45599</v>
      </c>
      <c r="G563" s="18">
        <v>2433.52</v>
      </c>
      <c r="H563" s="37">
        <f t="shared" si="29"/>
        <v>28</v>
      </c>
      <c r="I563" s="37" t="str">
        <f t="shared" si="31"/>
        <v>1-90 DAYS</v>
      </c>
      <c r="J563" s="37" t="str">
        <f t="shared" si="30"/>
        <v>0-180 DAYS</v>
      </c>
    </row>
    <row r="564" spans="1:10" hidden="1" x14ac:dyDescent="0.35">
      <c r="A564" s="88" t="s">
        <v>1209</v>
      </c>
      <c r="B564" s="88" t="s">
        <v>789</v>
      </c>
      <c r="C564" s="18" t="s">
        <v>125</v>
      </c>
      <c r="D564" s="18" t="s">
        <v>57</v>
      </c>
      <c r="E564" s="18" t="s">
        <v>2804</v>
      </c>
      <c r="F564" s="19">
        <v>45600</v>
      </c>
      <c r="G564" s="18">
        <v>179208</v>
      </c>
      <c r="H564" s="37">
        <f t="shared" si="29"/>
        <v>27</v>
      </c>
      <c r="I564" s="37" t="str">
        <f t="shared" si="31"/>
        <v>1-90 DAYS</v>
      </c>
      <c r="J564" s="37" t="str">
        <f t="shared" si="30"/>
        <v>0-180 DAYS</v>
      </c>
    </row>
    <row r="565" spans="1:10" hidden="1" x14ac:dyDescent="0.35">
      <c r="A565" s="88" t="s">
        <v>1209</v>
      </c>
      <c r="B565" s="88" t="s">
        <v>789</v>
      </c>
      <c r="C565" s="18" t="s">
        <v>125</v>
      </c>
      <c r="D565" s="18" t="s">
        <v>57</v>
      </c>
      <c r="E565" s="18" t="s">
        <v>2805</v>
      </c>
      <c r="F565" s="19">
        <v>45600</v>
      </c>
      <c r="G565" s="18">
        <v>530903.63</v>
      </c>
      <c r="H565" s="37">
        <f t="shared" si="29"/>
        <v>27</v>
      </c>
      <c r="I565" s="37" t="str">
        <f t="shared" si="31"/>
        <v>1-90 DAYS</v>
      </c>
      <c r="J565" s="37" t="str">
        <f t="shared" si="30"/>
        <v>0-180 DAYS</v>
      </c>
    </row>
    <row r="566" spans="1:10" hidden="1" x14ac:dyDescent="0.35">
      <c r="A566" s="88" t="s">
        <v>1209</v>
      </c>
      <c r="B566" s="88" t="s">
        <v>789</v>
      </c>
      <c r="C566" s="18" t="s">
        <v>125</v>
      </c>
      <c r="D566" s="18" t="s">
        <v>57</v>
      </c>
      <c r="E566" s="18" t="s">
        <v>2806</v>
      </c>
      <c r="F566" s="19">
        <v>45600</v>
      </c>
      <c r="G566" s="18">
        <v>3395.4</v>
      </c>
      <c r="H566" s="37">
        <f t="shared" si="29"/>
        <v>27</v>
      </c>
      <c r="I566" s="37" t="str">
        <f t="shared" si="31"/>
        <v>1-90 DAYS</v>
      </c>
      <c r="J566" s="37" t="str">
        <f t="shared" si="30"/>
        <v>0-180 DAYS</v>
      </c>
    </row>
    <row r="567" spans="1:10" hidden="1" x14ac:dyDescent="0.35">
      <c r="A567" s="88" t="s">
        <v>1209</v>
      </c>
      <c r="B567" s="88" t="s">
        <v>789</v>
      </c>
      <c r="C567" s="18" t="s">
        <v>125</v>
      </c>
      <c r="D567" s="18" t="s">
        <v>57</v>
      </c>
      <c r="E567" s="18" t="s">
        <v>2807</v>
      </c>
      <c r="F567" s="19">
        <v>45600</v>
      </c>
      <c r="G567" s="18">
        <v>33275</v>
      </c>
      <c r="H567" s="37">
        <f t="shared" si="29"/>
        <v>27</v>
      </c>
      <c r="I567" s="37" t="str">
        <f t="shared" si="31"/>
        <v>1-90 DAYS</v>
      </c>
      <c r="J567" s="37" t="str">
        <f t="shared" si="30"/>
        <v>0-180 DAYS</v>
      </c>
    </row>
    <row r="568" spans="1:10" hidden="1" x14ac:dyDescent="0.35">
      <c r="A568" s="88" t="s">
        <v>1209</v>
      </c>
      <c r="B568" s="88" t="s">
        <v>789</v>
      </c>
      <c r="C568" s="18" t="s">
        <v>125</v>
      </c>
      <c r="D568" s="18" t="s">
        <v>57</v>
      </c>
      <c r="E568" s="18" t="s">
        <v>2808</v>
      </c>
      <c r="F568" s="19">
        <v>45601</v>
      </c>
      <c r="G568" s="18">
        <v>11092.44</v>
      </c>
      <c r="H568" s="37">
        <f t="shared" si="29"/>
        <v>26</v>
      </c>
      <c r="I568" s="37" t="str">
        <f t="shared" si="31"/>
        <v>1-90 DAYS</v>
      </c>
      <c r="J568" s="37" t="str">
        <f t="shared" si="30"/>
        <v>0-180 DAYS</v>
      </c>
    </row>
    <row r="569" spans="1:10" hidden="1" x14ac:dyDescent="0.35">
      <c r="A569" s="88" t="s">
        <v>1209</v>
      </c>
      <c r="B569" s="88" t="s">
        <v>789</v>
      </c>
      <c r="C569" s="18" t="s">
        <v>125</v>
      </c>
      <c r="D569" s="18" t="s">
        <v>57</v>
      </c>
      <c r="E569" s="18" t="s">
        <v>229</v>
      </c>
      <c r="F569" s="19">
        <v>45601</v>
      </c>
      <c r="G569" s="18">
        <v>1184051.96</v>
      </c>
      <c r="H569" s="37">
        <f t="shared" si="29"/>
        <v>26</v>
      </c>
      <c r="I569" s="37" t="str">
        <f t="shared" si="31"/>
        <v>1-90 DAYS</v>
      </c>
      <c r="J569" s="37" t="str">
        <f t="shared" si="30"/>
        <v>0-180 DAYS</v>
      </c>
    </row>
    <row r="570" spans="1:10" hidden="1" x14ac:dyDescent="0.35">
      <c r="A570" s="88" t="s">
        <v>1209</v>
      </c>
      <c r="B570" s="88" t="s">
        <v>789</v>
      </c>
      <c r="C570" s="18" t="s">
        <v>125</v>
      </c>
      <c r="D570" s="18" t="s">
        <v>57</v>
      </c>
      <c r="E570" s="18" t="s">
        <v>230</v>
      </c>
      <c r="F570" s="19">
        <v>45602</v>
      </c>
      <c r="G570" s="18">
        <v>896676.03</v>
      </c>
      <c r="H570" s="37">
        <f t="shared" si="29"/>
        <v>25</v>
      </c>
      <c r="I570" s="37" t="str">
        <f t="shared" si="31"/>
        <v>1-90 DAYS</v>
      </c>
      <c r="J570" s="37" t="str">
        <f t="shared" si="30"/>
        <v>0-180 DAYS</v>
      </c>
    </row>
    <row r="571" spans="1:10" hidden="1" x14ac:dyDescent="0.35">
      <c r="A571" s="88" t="s">
        <v>1209</v>
      </c>
      <c r="B571" s="88" t="s">
        <v>789</v>
      </c>
      <c r="C571" s="18" t="s">
        <v>125</v>
      </c>
      <c r="D571" s="18" t="s">
        <v>57</v>
      </c>
      <c r="E571" s="18" t="s">
        <v>2809</v>
      </c>
      <c r="F571" s="19">
        <v>45602</v>
      </c>
      <c r="G571" s="18">
        <v>9960.64</v>
      </c>
      <c r="H571" s="37">
        <f t="shared" si="29"/>
        <v>25</v>
      </c>
      <c r="I571" s="37" t="str">
        <f t="shared" si="31"/>
        <v>1-90 DAYS</v>
      </c>
      <c r="J571" s="37" t="str">
        <f t="shared" si="30"/>
        <v>0-180 DAYS</v>
      </c>
    </row>
    <row r="572" spans="1:10" hidden="1" x14ac:dyDescent="0.35">
      <c r="A572" s="88" t="s">
        <v>1209</v>
      </c>
      <c r="B572" s="88" t="s">
        <v>789</v>
      </c>
      <c r="C572" s="18" t="s">
        <v>125</v>
      </c>
      <c r="D572" s="18" t="s">
        <v>57</v>
      </c>
      <c r="E572" s="18" t="s">
        <v>2810</v>
      </c>
      <c r="F572" s="19">
        <v>45602</v>
      </c>
      <c r="G572" s="18">
        <v>3345367.72</v>
      </c>
      <c r="H572" s="37">
        <f t="shared" si="29"/>
        <v>25</v>
      </c>
      <c r="I572" s="37" t="str">
        <f t="shared" si="31"/>
        <v>1-90 DAYS</v>
      </c>
      <c r="J572" s="37" t="str">
        <f t="shared" si="30"/>
        <v>0-180 DAYS</v>
      </c>
    </row>
    <row r="573" spans="1:10" hidden="1" x14ac:dyDescent="0.35">
      <c r="A573" s="88" t="s">
        <v>1209</v>
      </c>
      <c r="B573" s="88" t="s">
        <v>789</v>
      </c>
      <c r="C573" s="18" t="s">
        <v>125</v>
      </c>
      <c r="D573" s="18" t="s">
        <v>57</v>
      </c>
      <c r="E573" s="18" t="s">
        <v>233</v>
      </c>
      <c r="F573" s="19">
        <v>45602</v>
      </c>
      <c r="G573" s="18">
        <v>179208</v>
      </c>
      <c r="H573" s="37">
        <f t="shared" si="29"/>
        <v>25</v>
      </c>
      <c r="I573" s="37" t="str">
        <f t="shared" si="31"/>
        <v>1-90 DAYS</v>
      </c>
      <c r="J573" s="37" t="str">
        <f t="shared" si="30"/>
        <v>0-180 DAYS</v>
      </c>
    </row>
    <row r="574" spans="1:10" hidden="1" x14ac:dyDescent="0.35">
      <c r="A574" s="88" t="s">
        <v>1209</v>
      </c>
      <c r="B574" s="88" t="s">
        <v>789</v>
      </c>
      <c r="C574" s="18" t="s">
        <v>125</v>
      </c>
      <c r="D574" s="18" t="s">
        <v>57</v>
      </c>
      <c r="E574" s="18" t="s">
        <v>2811</v>
      </c>
      <c r="F574" s="19">
        <v>45603</v>
      </c>
      <c r="G574" s="18">
        <v>358964.51</v>
      </c>
      <c r="H574" s="37">
        <f t="shared" si="29"/>
        <v>24</v>
      </c>
      <c r="I574" s="37" t="str">
        <f t="shared" si="31"/>
        <v>1-90 DAYS</v>
      </c>
      <c r="J574" s="37" t="str">
        <f t="shared" si="30"/>
        <v>0-180 DAYS</v>
      </c>
    </row>
    <row r="575" spans="1:10" hidden="1" x14ac:dyDescent="0.35">
      <c r="A575" s="88" t="s">
        <v>1209</v>
      </c>
      <c r="B575" s="88" t="s">
        <v>789</v>
      </c>
      <c r="C575" s="18" t="s">
        <v>125</v>
      </c>
      <c r="D575" s="18" t="s">
        <v>57</v>
      </c>
      <c r="E575" s="18" t="s">
        <v>237</v>
      </c>
      <c r="F575" s="19">
        <v>45603</v>
      </c>
      <c r="G575" s="18">
        <v>679458</v>
      </c>
      <c r="H575" s="37">
        <f t="shared" si="29"/>
        <v>24</v>
      </c>
      <c r="I575" s="37" t="str">
        <f t="shared" si="31"/>
        <v>1-90 DAYS</v>
      </c>
      <c r="J575" s="37" t="str">
        <f t="shared" si="30"/>
        <v>0-180 DAYS</v>
      </c>
    </row>
    <row r="576" spans="1:10" hidden="1" x14ac:dyDescent="0.35">
      <c r="A576" s="88" t="s">
        <v>1209</v>
      </c>
      <c r="B576" s="88" t="s">
        <v>789</v>
      </c>
      <c r="C576" s="18" t="s">
        <v>125</v>
      </c>
      <c r="D576" s="18" t="s">
        <v>57</v>
      </c>
      <c r="E576" s="18" t="s">
        <v>238</v>
      </c>
      <c r="F576" s="19">
        <v>45603</v>
      </c>
      <c r="G576" s="18">
        <v>49225</v>
      </c>
      <c r="H576" s="37">
        <f t="shared" si="29"/>
        <v>24</v>
      </c>
      <c r="I576" s="37" t="str">
        <f t="shared" si="31"/>
        <v>1-90 DAYS</v>
      </c>
      <c r="J576" s="37" t="str">
        <f t="shared" si="30"/>
        <v>0-180 DAYS</v>
      </c>
    </row>
    <row r="577" spans="1:10" hidden="1" x14ac:dyDescent="0.35">
      <c r="A577" s="88" t="s">
        <v>1209</v>
      </c>
      <c r="B577" s="88" t="s">
        <v>789</v>
      </c>
      <c r="C577" s="18" t="s">
        <v>125</v>
      </c>
      <c r="D577" s="18" t="s">
        <v>57</v>
      </c>
      <c r="E577" s="18" t="s">
        <v>2812</v>
      </c>
      <c r="F577" s="19">
        <v>45604</v>
      </c>
      <c r="G577" s="18">
        <v>614055.15</v>
      </c>
      <c r="H577" s="37">
        <f t="shared" si="29"/>
        <v>23</v>
      </c>
      <c r="I577" s="37" t="str">
        <f t="shared" si="31"/>
        <v>1-90 DAYS</v>
      </c>
      <c r="J577" s="37" t="str">
        <f t="shared" si="30"/>
        <v>0-180 DAYS</v>
      </c>
    </row>
    <row r="578" spans="1:10" hidden="1" x14ac:dyDescent="0.35">
      <c r="A578" s="88" t="s">
        <v>1209</v>
      </c>
      <c r="B578" s="88" t="s">
        <v>789</v>
      </c>
      <c r="C578" s="18" t="s">
        <v>125</v>
      </c>
      <c r="D578" s="18" t="s">
        <v>57</v>
      </c>
      <c r="E578" s="18" t="s">
        <v>242</v>
      </c>
      <c r="F578" s="19">
        <v>45604</v>
      </c>
      <c r="G578" s="18">
        <v>6677.52</v>
      </c>
      <c r="H578" s="37">
        <f t="shared" si="29"/>
        <v>23</v>
      </c>
      <c r="I578" s="37" t="str">
        <f t="shared" si="31"/>
        <v>1-90 DAYS</v>
      </c>
      <c r="J578" s="37" t="str">
        <f t="shared" si="30"/>
        <v>0-180 DAYS</v>
      </c>
    </row>
    <row r="579" spans="1:10" hidden="1" x14ac:dyDescent="0.35">
      <c r="A579" s="88" t="s">
        <v>1209</v>
      </c>
      <c r="B579" s="88" t="s">
        <v>789</v>
      </c>
      <c r="C579" s="18" t="s">
        <v>125</v>
      </c>
      <c r="D579" s="18" t="s">
        <v>57</v>
      </c>
      <c r="E579" s="18" t="s">
        <v>243</v>
      </c>
      <c r="F579" s="19">
        <v>45604</v>
      </c>
      <c r="G579" s="18">
        <v>47396</v>
      </c>
      <c r="H579" s="37">
        <f t="shared" si="29"/>
        <v>23</v>
      </c>
      <c r="I579" s="37" t="str">
        <f t="shared" si="31"/>
        <v>1-90 DAYS</v>
      </c>
      <c r="J579" s="37" t="str">
        <f t="shared" si="30"/>
        <v>0-180 DAYS</v>
      </c>
    </row>
    <row r="580" spans="1:10" hidden="1" x14ac:dyDescent="0.35">
      <c r="A580" s="88" t="s">
        <v>1209</v>
      </c>
      <c r="B580" s="88" t="s">
        <v>789</v>
      </c>
      <c r="C580" s="18" t="s">
        <v>125</v>
      </c>
      <c r="D580" s="18" t="s">
        <v>57</v>
      </c>
      <c r="E580" s="18" t="s">
        <v>2813</v>
      </c>
      <c r="F580" s="19">
        <v>45605</v>
      </c>
      <c r="G580" s="18">
        <v>1018785.8</v>
      </c>
      <c r="H580" s="37">
        <f t="shared" si="29"/>
        <v>22</v>
      </c>
      <c r="I580" s="37" t="str">
        <f t="shared" si="31"/>
        <v>1-90 DAYS</v>
      </c>
      <c r="J580" s="37" t="str">
        <f t="shared" si="30"/>
        <v>0-180 DAYS</v>
      </c>
    </row>
    <row r="581" spans="1:10" hidden="1" x14ac:dyDescent="0.35">
      <c r="A581" s="88" t="s">
        <v>1209</v>
      </c>
      <c r="B581" s="88" t="s">
        <v>789</v>
      </c>
      <c r="C581" s="18" t="s">
        <v>125</v>
      </c>
      <c r="D581" s="18" t="s">
        <v>57</v>
      </c>
      <c r="E581" s="18" t="s">
        <v>2814</v>
      </c>
      <c r="F581" s="19">
        <v>45605</v>
      </c>
      <c r="G581" s="18">
        <v>6282.04</v>
      </c>
      <c r="H581" s="37">
        <f t="shared" ref="H581:H644" si="32">$H$2-F581+1</f>
        <v>22</v>
      </c>
      <c r="I581" s="37" t="str">
        <f t="shared" si="31"/>
        <v>1-90 DAYS</v>
      </c>
      <c r="J581" s="37" t="str">
        <f t="shared" si="30"/>
        <v>0-180 DAYS</v>
      </c>
    </row>
    <row r="582" spans="1:10" hidden="1" x14ac:dyDescent="0.35">
      <c r="A582" s="88" t="s">
        <v>1209</v>
      </c>
      <c r="B582" s="88" t="s">
        <v>789</v>
      </c>
      <c r="C582" s="18" t="s">
        <v>125</v>
      </c>
      <c r="D582" s="18" t="s">
        <v>57</v>
      </c>
      <c r="E582" s="18" t="s">
        <v>2815</v>
      </c>
      <c r="F582" s="19">
        <v>45605</v>
      </c>
      <c r="G582" s="18">
        <v>621653.61</v>
      </c>
      <c r="H582" s="37">
        <f t="shared" si="32"/>
        <v>22</v>
      </c>
      <c r="I582" s="37" t="str">
        <f t="shared" si="31"/>
        <v>1-90 DAYS</v>
      </c>
      <c r="J582" s="37" t="str">
        <f t="shared" ref="J582:J645" si="33">IF(H582&lt;180,"0-180 DAYS","More than 180 Days")</f>
        <v>0-180 DAYS</v>
      </c>
    </row>
    <row r="583" spans="1:10" hidden="1" x14ac:dyDescent="0.35">
      <c r="A583" s="88" t="s">
        <v>1209</v>
      </c>
      <c r="B583" s="88" t="s">
        <v>789</v>
      </c>
      <c r="C583" s="18" t="s">
        <v>125</v>
      </c>
      <c r="D583" s="18" t="s">
        <v>57</v>
      </c>
      <c r="E583" s="18" t="s">
        <v>247</v>
      </c>
      <c r="F583" s="19">
        <v>45606</v>
      </c>
      <c r="G583" s="18">
        <v>9782.84</v>
      </c>
      <c r="H583" s="37">
        <f t="shared" si="32"/>
        <v>21</v>
      </c>
      <c r="I583" s="37" t="str">
        <f t="shared" si="31"/>
        <v>1-90 DAYS</v>
      </c>
      <c r="J583" s="37" t="str">
        <f t="shared" si="33"/>
        <v>0-180 DAYS</v>
      </c>
    </row>
    <row r="584" spans="1:10" hidden="1" x14ac:dyDescent="0.35">
      <c r="A584" s="88" t="s">
        <v>1209</v>
      </c>
      <c r="B584" s="88" t="s">
        <v>789</v>
      </c>
      <c r="C584" s="18" t="s">
        <v>125</v>
      </c>
      <c r="D584" s="18" t="s">
        <v>57</v>
      </c>
      <c r="E584" s="18" t="s">
        <v>248</v>
      </c>
      <c r="F584" s="19">
        <v>45606</v>
      </c>
      <c r="G584" s="18">
        <v>735.32</v>
      </c>
      <c r="H584" s="37">
        <f t="shared" si="32"/>
        <v>21</v>
      </c>
      <c r="I584" s="37" t="str">
        <f t="shared" si="31"/>
        <v>1-90 DAYS</v>
      </c>
      <c r="J584" s="37" t="str">
        <f t="shared" si="33"/>
        <v>0-180 DAYS</v>
      </c>
    </row>
    <row r="585" spans="1:10" hidden="1" x14ac:dyDescent="0.35">
      <c r="A585" s="88" t="s">
        <v>1209</v>
      </c>
      <c r="B585" s="88" t="s">
        <v>789</v>
      </c>
      <c r="C585" s="18" t="s">
        <v>125</v>
      </c>
      <c r="D585" s="18" t="s">
        <v>57</v>
      </c>
      <c r="E585" s="18" t="s">
        <v>251</v>
      </c>
      <c r="F585" s="19">
        <v>45606</v>
      </c>
      <c r="G585" s="18">
        <v>249195.12</v>
      </c>
      <c r="H585" s="37">
        <f t="shared" si="32"/>
        <v>21</v>
      </c>
      <c r="I585" s="37" t="str">
        <f t="shared" si="31"/>
        <v>1-90 DAYS</v>
      </c>
      <c r="J585" s="37" t="str">
        <f t="shared" si="33"/>
        <v>0-180 DAYS</v>
      </c>
    </row>
    <row r="586" spans="1:10" hidden="1" x14ac:dyDescent="0.35">
      <c r="A586" s="88" t="s">
        <v>1209</v>
      </c>
      <c r="B586" s="88" t="s">
        <v>789</v>
      </c>
      <c r="C586" s="18" t="s">
        <v>125</v>
      </c>
      <c r="D586" s="18" t="s">
        <v>57</v>
      </c>
      <c r="E586" s="18" t="s">
        <v>249</v>
      </c>
      <c r="F586" s="19">
        <v>45607</v>
      </c>
      <c r="G586" s="18">
        <v>9826.5499999999993</v>
      </c>
      <c r="H586" s="37">
        <f t="shared" si="32"/>
        <v>20</v>
      </c>
      <c r="I586" s="37" t="str">
        <f t="shared" si="31"/>
        <v>1-90 DAYS</v>
      </c>
      <c r="J586" s="37" t="str">
        <f t="shared" si="33"/>
        <v>0-180 DAYS</v>
      </c>
    </row>
    <row r="587" spans="1:10" hidden="1" x14ac:dyDescent="0.35">
      <c r="A587" s="88" t="s">
        <v>1209</v>
      </c>
      <c r="B587" s="88" t="s">
        <v>789</v>
      </c>
      <c r="C587" s="18" t="s">
        <v>125</v>
      </c>
      <c r="D587" s="18" t="s">
        <v>57</v>
      </c>
      <c r="E587" s="18" t="s">
        <v>2816</v>
      </c>
      <c r="F587" s="19">
        <v>45607</v>
      </c>
      <c r="G587" s="18">
        <v>4527.2</v>
      </c>
      <c r="H587" s="37">
        <f t="shared" si="32"/>
        <v>20</v>
      </c>
      <c r="I587" s="37" t="str">
        <f t="shared" si="31"/>
        <v>1-90 DAYS</v>
      </c>
      <c r="J587" s="37" t="str">
        <f t="shared" si="33"/>
        <v>0-180 DAYS</v>
      </c>
    </row>
    <row r="588" spans="1:10" hidden="1" x14ac:dyDescent="0.35">
      <c r="A588" s="88" t="s">
        <v>1209</v>
      </c>
      <c r="B588" s="88" t="s">
        <v>789</v>
      </c>
      <c r="C588" s="18" t="s">
        <v>125</v>
      </c>
      <c r="D588" s="18" t="s">
        <v>57</v>
      </c>
      <c r="E588" s="18" t="s">
        <v>311</v>
      </c>
      <c r="F588" s="19">
        <v>45607</v>
      </c>
      <c r="G588" s="18">
        <v>548109.06000000006</v>
      </c>
      <c r="H588" s="37">
        <f t="shared" si="32"/>
        <v>20</v>
      </c>
      <c r="I588" s="37" t="str">
        <f t="shared" si="31"/>
        <v>1-90 DAYS</v>
      </c>
      <c r="J588" s="37" t="str">
        <f t="shared" si="33"/>
        <v>0-180 DAYS</v>
      </c>
    </row>
    <row r="589" spans="1:10" hidden="1" x14ac:dyDescent="0.35">
      <c r="A589" s="88" t="s">
        <v>1209</v>
      </c>
      <c r="B589" s="88" t="s">
        <v>789</v>
      </c>
      <c r="C589" s="18" t="s">
        <v>125</v>
      </c>
      <c r="D589" s="18" t="s">
        <v>57</v>
      </c>
      <c r="E589" s="18" t="s">
        <v>2817</v>
      </c>
      <c r="F589" s="19">
        <v>45607</v>
      </c>
      <c r="G589" s="18">
        <v>566166.77</v>
      </c>
      <c r="H589" s="37">
        <f t="shared" si="32"/>
        <v>20</v>
      </c>
      <c r="I589" s="37" t="str">
        <f t="shared" si="31"/>
        <v>1-90 DAYS</v>
      </c>
      <c r="J589" s="37" t="str">
        <f t="shared" si="33"/>
        <v>0-180 DAYS</v>
      </c>
    </row>
    <row r="590" spans="1:10" hidden="1" x14ac:dyDescent="0.35">
      <c r="A590" s="88" t="s">
        <v>1209</v>
      </c>
      <c r="B590" s="88" t="s">
        <v>789</v>
      </c>
      <c r="C590" s="18" t="s">
        <v>125</v>
      </c>
      <c r="D590" s="18" t="s">
        <v>57</v>
      </c>
      <c r="E590" s="18" t="s">
        <v>2818</v>
      </c>
      <c r="F590" s="19">
        <v>45607</v>
      </c>
      <c r="G590" s="18">
        <v>31900</v>
      </c>
      <c r="H590" s="37">
        <f t="shared" si="32"/>
        <v>20</v>
      </c>
      <c r="I590" s="37" t="str">
        <f t="shared" si="31"/>
        <v>1-90 DAYS</v>
      </c>
      <c r="J590" s="37" t="str">
        <f t="shared" si="33"/>
        <v>0-180 DAYS</v>
      </c>
    </row>
    <row r="591" spans="1:10" hidden="1" x14ac:dyDescent="0.35">
      <c r="A591" s="88" t="s">
        <v>1209</v>
      </c>
      <c r="B591" s="88" t="s">
        <v>789</v>
      </c>
      <c r="C591" s="18" t="s">
        <v>125</v>
      </c>
      <c r="D591" s="18" t="s">
        <v>57</v>
      </c>
      <c r="E591" s="18" t="s">
        <v>2819</v>
      </c>
      <c r="F591" s="19">
        <v>45608</v>
      </c>
      <c r="G591" s="18">
        <v>9913.99</v>
      </c>
      <c r="H591" s="37">
        <f t="shared" si="32"/>
        <v>19</v>
      </c>
      <c r="I591" s="37" t="str">
        <f t="shared" si="31"/>
        <v>1-90 DAYS</v>
      </c>
      <c r="J591" s="37" t="str">
        <f t="shared" si="33"/>
        <v>0-180 DAYS</v>
      </c>
    </row>
    <row r="592" spans="1:10" hidden="1" x14ac:dyDescent="0.35">
      <c r="A592" s="88" t="s">
        <v>1209</v>
      </c>
      <c r="B592" s="88" t="s">
        <v>789</v>
      </c>
      <c r="C592" s="18" t="s">
        <v>125</v>
      </c>
      <c r="D592" s="18" t="s">
        <v>57</v>
      </c>
      <c r="E592" s="18" t="s">
        <v>313</v>
      </c>
      <c r="F592" s="19">
        <v>45608</v>
      </c>
      <c r="G592" s="18">
        <v>3158.95</v>
      </c>
      <c r="H592" s="37">
        <f t="shared" si="32"/>
        <v>19</v>
      </c>
      <c r="I592" s="37" t="str">
        <f t="shared" si="31"/>
        <v>1-90 DAYS</v>
      </c>
      <c r="J592" s="37" t="str">
        <f t="shared" si="33"/>
        <v>0-180 DAYS</v>
      </c>
    </row>
    <row r="593" spans="1:10" hidden="1" x14ac:dyDescent="0.35">
      <c r="A593" s="88" t="s">
        <v>1209</v>
      </c>
      <c r="B593" s="88" t="s">
        <v>789</v>
      </c>
      <c r="C593" s="18" t="s">
        <v>125</v>
      </c>
      <c r="D593" s="18" t="s">
        <v>57</v>
      </c>
      <c r="E593" s="18" t="s">
        <v>2820</v>
      </c>
      <c r="F593" s="19">
        <v>45608</v>
      </c>
      <c r="G593" s="18">
        <v>239863.45</v>
      </c>
      <c r="H593" s="37">
        <f t="shared" si="32"/>
        <v>19</v>
      </c>
      <c r="I593" s="37" t="str">
        <f t="shared" si="31"/>
        <v>1-90 DAYS</v>
      </c>
      <c r="J593" s="37" t="str">
        <f t="shared" si="33"/>
        <v>0-180 DAYS</v>
      </c>
    </row>
    <row r="594" spans="1:10" hidden="1" x14ac:dyDescent="0.35">
      <c r="A594" s="88" t="s">
        <v>1209</v>
      </c>
      <c r="B594" s="88" t="s">
        <v>789</v>
      </c>
      <c r="C594" s="18" t="s">
        <v>125</v>
      </c>
      <c r="D594" s="18" t="s">
        <v>57</v>
      </c>
      <c r="E594" s="18" t="s">
        <v>316</v>
      </c>
      <c r="F594" s="19">
        <v>45609</v>
      </c>
      <c r="G594" s="18">
        <v>6367</v>
      </c>
      <c r="H594" s="37">
        <f t="shared" si="32"/>
        <v>18</v>
      </c>
      <c r="I594" s="37" t="str">
        <f t="shared" si="31"/>
        <v>1-90 DAYS</v>
      </c>
      <c r="J594" s="37" t="str">
        <f t="shared" si="33"/>
        <v>0-180 DAYS</v>
      </c>
    </row>
    <row r="595" spans="1:10" hidden="1" x14ac:dyDescent="0.35">
      <c r="A595" s="88" t="s">
        <v>1209</v>
      </c>
      <c r="B595" s="88" t="s">
        <v>789</v>
      </c>
      <c r="C595" s="18" t="s">
        <v>125</v>
      </c>
      <c r="D595" s="18" t="s">
        <v>57</v>
      </c>
      <c r="E595" s="18" t="s">
        <v>318</v>
      </c>
      <c r="F595" s="19">
        <v>45609</v>
      </c>
      <c r="G595" s="18">
        <v>2830</v>
      </c>
      <c r="H595" s="37">
        <f t="shared" si="32"/>
        <v>18</v>
      </c>
      <c r="I595" s="37" t="str">
        <f t="shared" si="31"/>
        <v>1-90 DAYS</v>
      </c>
      <c r="J595" s="37" t="str">
        <f t="shared" si="33"/>
        <v>0-180 DAYS</v>
      </c>
    </row>
    <row r="596" spans="1:10" hidden="1" x14ac:dyDescent="0.35">
      <c r="A596" s="88" t="s">
        <v>1209</v>
      </c>
      <c r="B596" s="88" t="s">
        <v>789</v>
      </c>
      <c r="C596" s="18" t="s">
        <v>125</v>
      </c>
      <c r="D596" s="18" t="s">
        <v>57</v>
      </c>
      <c r="E596" s="18" t="s">
        <v>319</v>
      </c>
      <c r="F596" s="19">
        <v>45609</v>
      </c>
      <c r="G596" s="18">
        <v>746933.64</v>
      </c>
      <c r="H596" s="37">
        <f t="shared" si="32"/>
        <v>18</v>
      </c>
      <c r="I596" s="37" t="str">
        <f t="shared" si="31"/>
        <v>1-90 DAYS</v>
      </c>
      <c r="J596" s="37" t="str">
        <f t="shared" si="33"/>
        <v>0-180 DAYS</v>
      </c>
    </row>
    <row r="597" spans="1:10" hidden="1" x14ac:dyDescent="0.35">
      <c r="A597" s="88" t="s">
        <v>1209</v>
      </c>
      <c r="B597" s="88" t="s">
        <v>789</v>
      </c>
      <c r="C597" s="18" t="s">
        <v>125</v>
      </c>
      <c r="D597" s="18" t="s">
        <v>57</v>
      </c>
      <c r="E597" s="18" t="s">
        <v>317</v>
      </c>
      <c r="F597" s="19">
        <v>45610</v>
      </c>
      <c r="G597" s="18">
        <v>36859.39</v>
      </c>
      <c r="H597" s="37">
        <f t="shared" si="32"/>
        <v>17</v>
      </c>
      <c r="I597" s="37" t="str">
        <f t="shared" si="31"/>
        <v>1-90 DAYS</v>
      </c>
      <c r="J597" s="37" t="str">
        <f t="shared" si="33"/>
        <v>0-180 DAYS</v>
      </c>
    </row>
    <row r="598" spans="1:10" hidden="1" x14ac:dyDescent="0.35">
      <c r="A598" s="88" t="s">
        <v>1209</v>
      </c>
      <c r="B598" s="88" t="s">
        <v>789</v>
      </c>
      <c r="C598" s="18" t="s">
        <v>125</v>
      </c>
      <c r="D598" s="18" t="s">
        <v>57</v>
      </c>
      <c r="E598" s="18" t="s">
        <v>320</v>
      </c>
      <c r="F598" s="19">
        <v>45610</v>
      </c>
      <c r="G598" s="18">
        <v>810984.6</v>
      </c>
      <c r="H598" s="37">
        <f t="shared" si="32"/>
        <v>17</v>
      </c>
      <c r="I598" s="37" t="str">
        <f t="shared" ref="I598:I661" si="34">IF(H598&lt;91,"1-90 DAYS",IF(H598&lt;121,"91-120DAYS",IF(H598&lt;181,"121-180 DAYS","More than 180 Days")))</f>
        <v>1-90 DAYS</v>
      </c>
      <c r="J598" s="37" t="str">
        <f t="shared" si="33"/>
        <v>0-180 DAYS</v>
      </c>
    </row>
    <row r="599" spans="1:10" hidden="1" x14ac:dyDescent="0.35">
      <c r="A599" s="88" t="s">
        <v>1209</v>
      </c>
      <c r="B599" s="88" t="s">
        <v>789</v>
      </c>
      <c r="C599" s="18" t="s">
        <v>125</v>
      </c>
      <c r="D599" s="18" t="s">
        <v>57</v>
      </c>
      <c r="E599" s="18" t="s">
        <v>323</v>
      </c>
      <c r="F599" s="19">
        <v>45610</v>
      </c>
      <c r="G599" s="18">
        <v>1226.2</v>
      </c>
      <c r="H599" s="37">
        <f t="shared" si="32"/>
        <v>17</v>
      </c>
      <c r="I599" s="37" t="str">
        <f t="shared" si="34"/>
        <v>1-90 DAYS</v>
      </c>
      <c r="J599" s="37" t="str">
        <f t="shared" si="33"/>
        <v>0-180 DAYS</v>
      </c>
    </row>
    <row r="600" spans="1:10" hidden="1" x14ac:dyDescent="0.35">
      <c r="A600" s="88" t="s">
        <v>1209</v>
      </c>
      <c r="B600" s="88" t="s">
        <v>789</v>
      </c>
      <c r="C600" s="18" t="s">
        <v>125</v>
      </c>
      <c r="D600" s="18" t="s">
        <v>57</v>
      </c>
      <c r="E600" s="18" t="s">
        <v>2821</v>
      </c>
      <c r="F600" s="19">
        <v>45610</v>
      </c>
      <c r="G600" s="18">
        <v>87677.34</v>
      </c>
      <c r="H600" s="37">
        <f t="shared" si="32"/>
        <v>17</v>
      </c>
      <c r="I600" s="37" t="str">
        <f t="shared" si="34"/>
        <v>1-90 DAYS</v>
      </c>
      <c r="J600" s="37" t="str">
        <f t="shared" si="33"/>
        <v>0-180 DAYS</v>
      </c>
    </row>
    <row r="601" spans="1:10" hidden="1" x14ac:dyDescent="0.35">
      <c r="A601" s="88" t="s">
        <v>1209</v>
      </c>
      <c r="B601" s="88" t="s">
        <v>789</v>
      </c>
      <c r="C601" s="18" t="s">
        <v>125</v>
      </c>
      <c r="D601" s="18" t="s">
        <v>57</v>
      </c>
      <c r="E601" s="18" t="s">
        <v>322</v>
      </c>
      <c r="F601" s="19">
        <v>45610</v>
      </c>
      <c r="G601" s="18">
        <v>31075</v>
      </c>
      <c r="H601" s="37">
        <f t="shared" si="32"/>
        <v>17</v>
      </c>
      <c r="I601" s="37" t="str">
        <f t="shared" si="34"/>
        <v>1-90 DAYS</v>
      </c>
      <c r="J601" s="37" t="str">
        <f t="shared" si="33"/>
        <v>0-180 DAYS</v>
      </c>
    </row>
    <row r="602" spans="1:10" hidden="1" x14ac:dyDescent="0.35">
      <c r="A602" s="88" t="s">
        <v>1209</v>
      </c>
      <c r="B602" s="88" t="s">
        <v>789</v>
      </c>
      <c r="C602" s="18" t="s">
        <v>125</v>
      </c>
      <c r="D602" s="18" t="s">
        <v>57</v>
      </c>
      <c r="E602" s="18" t="s">
        <v>325</v>
      </c>
      <c r="F602" s="19">
        <v>45611</v>
      </c>
      <c r="G602" s="18">
        <v>3395.4</v>
      </c>
      <c r="H602" s="37">
        <f t="shared" si="32"/>
        <v>16</v>
      </c>
      <c r="I602" s="37" t="str">
        <f t="shared" si="34"/>
        <v>1-90 DAYS</v>
      </c>
      <c r="J602" s="37" t="str">
        <f t="shared" si="33"/>
        <v>0-180 DAYS</v>
      </c>
    </row>
    <row r="603" spans="1:10" hidden="1" x14ac:dyDescent="0.35">
      <c r="A603" s="88" t="s">
        <v>1209</v>
      </c>
      <c r="B603" s="88" t="s">
        <v>789</v>
      </c>
      <c r="C603" s="18" t="s">
        <v>125</v>
      </c>
      <c r="D603" s="18" t="s">
        <v>57</v>
      </c>
      <c r="E603" s="18" t="s">
        <v>2822</v>
      </c>
      <c r="F603" s="19">
        <v>45611</v>
      </c>
      <c r="G603" s="18">
        <v>459198.78</v>
      </c>
      <c r="H603" s="37">
        <f t="shared" si="32"/>
        <v>16</v>
      </c>
      <c r="I603" s="37" t="str">
        <f t="shared" si="34"/>
        <v>1-90 DAYS</v>
      </c>
      <c r="J603" s="37" t="str">
        <f t="shared" si="33"/>
        <v>0-180 DAYS</v>
      </c>
    </row>
    <row r="604" spans="1:10" hidden="1" x14ac:dyDescent="0.35">
      <c r="A604" s="88" t="s">
        <v>1209</v>
      </c>
      <c r="B604" s="88" t="s">
        <v>789</v>
      </c>
      <c r="C604" s="18" t="s">
        <v>125</v>
      </c>
      <c r="D604" s="18" t="s">
        <v>57</v>
      </c>
      <c r="E604" s="18" t="s">
        <v>329</v>
      </c>
      <c r="F604" s="19">
        <v>45612</v>
      </c>
      <c r="G604" s="18">
        <v>71793.960000000006</v>
      </c>
      <c r="H604" s="37">
        <f t="shared" si="32"/>
        <v>15</v>
      </c>
      <c r="I604" s="37" t="str">
        <f t="shared" si="34"/>
        <v>1-90 DAYS</v>
      </c>
      <c r="J604" s="37" t="str">
        <f t="shared" si="33"/>
        <v>0-180 DAYS</v>
      </c>
    </row>
    <row r="605" spans="1:10" hidden="1" x14ac:dyDescent="0.35">
      <c r="A605" s="88" t="s">
        <v>1209</v>
      </c>
      <c r="B605" s="88" t="s">
        <v>789</v>
      </c>
      <c r="C605" s="18" t="s">
        <v>125</v>
      </c>
      <c r="D605" s="18" t="s">
        <v>57</v>
      </c>
      <c r="E605" s="18" t="s">
        <v>330</v>
      </c>
      <c r="F605" s="19">
        <v>45612</v>
      </c>
      <c r="G605" s="18">
        <v>7187.28</v>
      </c>
      <c r="H605" s="37">
        <f t="shared" si="32"/>
        <v>15</v>
      </c>
      <c r="I605" s="37" t="str">
        <f t="shared" si="34"/>
        <v>1-90 DAYS</v>
      </c>
      <c r="J605" s="37" t="str">
        <f t="shared" si="33"/>
        <v>0-180 DAYS</v>
      </c>
    </row>
    <row r="606" spans="1:10" hidden="1" x14ac:dyDescent="0.35">
      <c r="A606" s="88" t="s">
        <v>1209</v>
      </c>
      <c r="B606" s="88" t="s">
        <v>789</v>
      </c>
      <c r="C606" s="18" t="s">
        <v>125</v>
      </c>
      <c r="D606" s="18" t="s">
        <v>57</v>
      </c>
      <c r="E606" s="18" t="s">
        <v>332</v>
      </c>
      <c r="F606" s="19">
        <v>45612</v>
      </c>
      <c r="G606" s="18">
        <v>772072.12</v>
      </c>
      <c r="H606" s="37">
        <f t="shared" si="32"/>
        <v>15</v>
      </c>
      <c r="I606" s="37" t="str">
        <f t="shared" si="34"/>
        <v>1-90 DAYS</v>
      </c>
      <c r="J606" s="37" t="str">
        <f t="shared" si="33"/>
        <v>0-180 DAYS</v>
      </c>
    </row>
    <row r="607" spans="1:10" hidden="1" x14ac:dyDescent="0.35">
      <c r="A607" s="88" t="s">
        <v>1209</v>
      </c>
      <c r="B607" s="88" t="s">
        <v>789</v>
      </c>
      <c r="C607" s="18" t="s">
        <v>125</v>
      </c>
      <c r="D607" s="18" t="s">
        <v>57</v>
      </c>
      <c r="E607" s="18" t="s">
        <v>2823</v>
      </c>
      <c r="F607" s="19">
        <v>45612</v>
      </c>
      <c r="G607" s="18">
        <v>3944.79</v>
      </c>
      <c r="H607" s="37">
        <f t="shared" si="32"/>
        <v>15</v>
      </c>
      <c r="I607" s="37" t="str">
        <f t="shared" si="34"/>
        <v>1-90 DAYS</v>
      </c>
      <c r="J607" s="37" t="str">
        <f t="shared" si="33"/>
        <v>0-180 DAYS</v>
      </c>
    </row>
    <row r="608" spans="1:10" hidden="1" x14ac:dyDescent="0.35">
      <c r="A608" s="88" t="s">
        <v>1209</v>
      </c>
      <c r="B608" s="88" t="s">
        <v>789</v>
      </c>
      <c r="C608" s="18" t="s">
        <v>125</v>
      </c>
      <c r="D608" s="18" t="s">
        <v>57</v>
      </c>
      <c r="E608" s="18" t="s">
        <v>2824</v>
      </c>
      <c r="F608" s="19">
        <v>45613</v>
      </c>
      <c r="G608" s="18">
        <v>5983.77</v>
      </c>
      <c r="H608" s="37">
        <f t="shared" si="32"/>
        <v>14</v>
      </c>
      <c r="I608" s="37" t="str">
        <f t="shared" si="34"/>
        <v>1-90 DAYS</v>
      </c>
      <c r="J608" s="37" t="str">
        <f t="shared" si="33"/>
        <v>0-180 DAYS</v>
      </c>
    </row>
    <row r="609" spans="1:10" hidden="1" x14ac:dyDescent="0.35">
      <c r="A609" s="88" t="s">
        <v>1209</v>
      </c>
      <c r="B609" s="88" t="s">
        <v>789</v>
      </c>
      <c r="C609" s="18" t="s">
        <v>125</v>
      </c>
      <c r="D609" s="18" t="s">
        <v>57</v>
      </c>
      <c r="E609" s="18" t="s">
        <v>2825</v>
      </c>
      <c r="F609" s="19">
        <v>45613</v>
      </c>
      <c r="G609" s="18">
        <v>1107239.6000000001</v>
      </c>
      <c r="H609" s="37">
        <f t="shared" si="32"/>
        <v>14</v>
      </c>
      <c r="I609" s="37" t="str">
        <f t="shared" si="34"/>
        <v>1-90 DAYS</v>
      </c>
      <c r="J609" s="37" t="str">
        <f t="shared" si="33"/>
        <v>0-180 DAYS</v>
      </c>
    </row>
    <row r="610" spans="1:10" hidden="1" x14ac:dyDescent="0.35">
      <c r="A610" s="88" t="s">
        <v>1209</v>
      </c>
      <c r="B610" s="88" t="s">
        <v>789</v>
      </c>
      <c r="C610" s="18" t="s">
        <v>125</v>
      </c>
      <c r="D610" s="18" t="s">
        <v>57</v>
      </c>
      <c r="E610" s="18" t="s">
        <v>336</v>
      </c>
      <c r="F610" s="19">
        <v>45613</v>
      </c>
      <c r="G610" s="18">
        <v>85674.28</v>
      </c>
      <c r="H610" s="37">
        <f t="shared" si="32"/>
        <v>14</v>
      </c>
      <c r="I610" s="37" t="str">
        <f t="shared" si="34"/>
        <v>1-90 DAYS</v>
      </c>
      <c r="J610" s="37" t="str">
        <f t="shared" si="33"/>
        <v>0-180 DAYS</v>
      </c>
    </row>
    <row r="611" spans="1:10" hidden="1" x14ac:dyDescent="0.35">
      <c r="A611" s="88" t="s">
        <v>1209</v>
      </c>
      <c r="B611" s="88" t="s">
        <v>789</v>
      </c>
      <c r="C611" s="18" t="s">
        <v>125</v>
      </c>
      <c r="D611" s="18" t="s">
        <v>57</v>
      </c>
      <c r="E611" s="18" t="s">
        <v>2826</v>
      </c>
      <c r="F611" s="19">
        <v>45613</v>
      </c>
      <c r="G611" s="18">
        <v>4046.8</v>
      </c>
      <c r="H611" s="37">
        <f t="shared" si="32"/>
        <v>14</v>
      </c>
      <c r="I611" s="37" t="str">
        <f t="shared" si="34"/>
        <v>1-90 DAYS</v>
      </c>
      <c r="J611" s="37" t="str">
        <f t="shared" si="33"/>
        <v>0-180 DAYS</v>
      </c>
    </row>
    <row r="612" spans="1:10" hidden="1" x14ac:dyDescent="0.35">
      <c r="A612" s="88" t="s">
        <v>1209</v>
      </c>
      <c r="B612" s="88" t="s">
        <v>789</v>
      </c>
      <c r="C612" s="18" t="s">
        <v>125</v>
      </c>
      <c r="D612" s="18" t="s">
        <v>57</v>
      </c>
      <c r="E612" s="18" t="s">
        <v>2827</v>
      </c>
      <c r="F612" s="19">
        <v>45613</v>
      </c>
      <c r="G612" s="18">
        <v>22550</v>
      </c>
      <c r="H612" s="37">
        <f t="shared" si="32"/>
        <v>14</v>
      </c>
      <c r="I612" s="37" t="str">
        <f t="shared" si="34"/>
        <v>1-90 DAYS</v>
      </c>
      <c r="J612" s="37" t="str">
        <f t="shared" si="33"/>
        <v>0-180 DAYS</v>
      </c>
    </row>
    <row r="613" spans="1:10" hidden="1" x14ac:dyDescent="0.35">
      <c r="A613" s="88" t="s">
        <v>1209</v>
      </c>
      <c r="B613" s="88" t="s">
        <v>789</v>
      </c>
      <c r="C613" s="18" t="s">
        <v>125</v>
      </c>
      <c r="D613" s="18" t="s">
        <v>57</v>
      </c>
      <c r="E613" s="18" t="s">
        <v>339</v>
      </c>
      <c r="F613" s="19">
        <v>45614</v>
      </c>
      <c r="G613" s="18">
        <v>1349577.74</v>
      </c>
      <c r="H613" s="37">
        <f t="shared" si="32"/>
        <v>13</v>
      </c>
      <c r="I613" s="37" t="str">
        <f t="shared" si="34"/>
        <v>1-90 DAYS</v>
      </c>
      <c r="J613" s="37" t="str">
        <f t="shared" si="33"/>
        <v>0-180 DAYS</v>
      </c>
    </row>
    <row r="614" spans="1:10" hidden="1" x14ac:dyDescent="0.35">
      <c r="A614" s="88" t="s">
        <v>1209</v>
      </c>
      <c r="B614" s="88" t="s">
        <v>789</v>
      </c>
      <c r="C614" s="18" t="s">
        <v>125</v>
      </c>
      <c r="D614" s="18" t="s">
        <v>57</v>
      </c>
      <c r="E614" s="18" t="s">
        <v>340</v>
      </c>
      <c r="F614" s="19">
        <v>45614</v>
      </c>
      <c r="G614" s="18">
        <v>374232.19</v>
      </c>
      <c r="H614" s="37">
        <f t="shared" si="32"/>
        <v>13</v>
      </c>
      <c r="I614" s="37" t="str">
        <f t="shared" si="34"/>
        <v>1-90 DAYS</v>
      </c>
      <c r="J614" s="37" t="str">
        <f t="shared" si="33"/>
        <v>0-180 DAYS</v>
      </c>
    </row>
    <row r="615" spans="1:10" hidden="1" x14ac:dyDescent="0.35">
      <c r="A615" s="88" t="s">
        <v>1209</v>
      </c>
      <c r="B615" s="88" t="s">
        <v>789</v>
      </c>
      <c r="C615" s="18" t="s">
        <v>125</v>
      </c>
      <c r="D615" s="18" t="s">
        <v>57</v>
      </c>
      <c r="E615" s="18" t="s">
        <v>2828</v>
      </c>
      <c r="F615" s="19">
        <v>45614</v>
      </c>
      <c r="G615" s="18">
        <v>3398.8</v>
      </c>
      <c r="H615" s="37">
        <f t="shared" si="32"/>
        <v>13</v>
      </c>
      <c r="I615" s="37" t="str">
        <f t="shared" si="34"/>
        <v>1-90 DAYS</v>
      </c>
      <c r="J615" s="37" t="str">
        <f t="shared" si="33"/>
        <v>0-180 DAYS</v>
      </c>
    </row>
    <row r="616" spans="1:10" hidden="1" x14ac:dyDescent="0.35">
      <c r="A616" s="88" t="s">
        <v>1209</v>
      </c>
      <c r="B616" s="88" t="s">
        <v>789</v>
      </c>
      <c r="C616" s="18" t="s">
        <v>125</v>
      </c>
      <c r="D616" s="18" t="s">
        <v>57</v>
      </c>
      <c r="E616" s="18" t="s">
        <v>2829</v>
      </c>
      <c r="F616" s="19">
        <v>45614</v>
      </c>
      <c r="G616" s="18">
        <v>25850</v>
      </c>
      <c r="H616" s="37">
        <f t="shared" si="32"/>
        <v>13</v>
      </c>
      <c r="I616" s="37" t="str">
        <f t="shared" si="34"/>
        <v>1-90 DAYS</v>
      </c>
      <c r="J616" s="37" t="str">
        <f t="shared" si="33"/>
        <v>0-180 DAYS</v>
      </c>
    </row>
    <row r="617" spans="1:10" hidden="1" x14ac:dyDescent="0.35">
      <c r="A617" s="88" t="s">
        <v>1209</v>
      </c>
      <c r="B617" s="88" t="s">
        <v>789</v>
      </c>
      <c r="C617" s="18" t="s">
        <v>125</v>
      </c>
      <c r="D617" s="18" t="s">
        <v>57</v>
      </c>
      <c r="E617" s="18" t="s">
        <v>346</v>
      </c>
      <c r="F617" s="19">
        <v>45615</v>
      </c>
      <c r="G617" s="18">
        <v>468801.81</v>
      </c>
      <c r="H617" s="37">
        <f t="shared" si="32"/>
        <v>12</v>
      </c>
      <c r="I617" s="37" t="str">
        <f t="shared" si="34"/>
        <v>1-90 DAYS</v>
      </c>
      <c r="J617" s="37" t="str">
        <f t="shared" si="33"/>
        <v>0-180 DAYS</v>
      </c>
    </row>
    <row r="618" spans="1:10" hidden="1" x14ac:dyDescent="0.35">
      <c r="A618" s="88" t="s">
        <v>1209</v>
      </c>
      <c r="B618" s="88" t="s">
        <v>789</v>
      </c>
      <c r="C618" s="18" t="s">
        <v>125</v>
      </c>
      <c r="D618" s="18" t="s">
        <v>57</v>
      </c>
      <c r="E618" s="18" t="s">
        <v>2830</v>
      </c>
      <c r="F618" s="19">
        <v>45615</v>
      </c>
      <c r="G618" s="18">
        <v>4753.76</v>
      </c>
      <c r="H618" s="37">
        <f t="shared" si="32"/>
        <v>12</v>
      </c>
      <c r="I618" s="37" t="str">
        <f t="shared" si="34"/>
        <v>1-90 DAYS</v>
      </c>
      <c r="J618" s="37" t="str">
        <f t="shared" si="33"/>
        <v>0-180 DAYS</v>
      </c>
    </row>
    <row r="619" spans="1:10" hidden="1" x14ac:dyDescent="0.35">
      <c r="A619" s="88" t="s">
        <v>1209</v>
      </c>
      <c r="B619" s="88" t="s">
        <v>789</v>
      </c>
      <c r="C619" s="18" t="s">
        <v>125</v>
      </c>
      <c r="D619" s="18" t="s">
        <v>57</v>
      </c>
      <c r="E619" s="18" t="s">
        <v>348</v>
      </c>
      <c r="F619" s="19">
        <v>45616</v>
      </c>
      <c r="G619" s="18">
        <v>26565.11</v>
      </c>
      <c r="H619" s="37">
        <f t="shared" si="32"/>
        <v>11</v>
      </c>
      <c r="I619" s="37" t="str">
        <f t="shared" si="34"/>
        <v>1-90 DAYS</v>
      </c>
      <c r="J619" s="37" t="str">
        <f t="shared" si="33"/>
        <v>0-180 DAYS</v>
      </c>
    </row>
    <row r="620" spans="1:10" hidden="1" x14ac:dyDescent="0.35">
      <c r="A620" s="88" t="s">
        <v>1209</v>
      </c>
      <c r="B620" s="88" t="s">
        <v>789</v>
      </c>
      <c r="C620" s="18" t="s">
        <v>125</v>
      </c>
      <c r="D620" s="18" t="s">
        <v>57</v>
      </c>
      <c r="E620" s="18" t="s">
        <v>349</v>
      </c>
      <c r="F620" s="19">
        <v>45616</v>
      </c>
      <c r="G620" s="18">
        <v>403062.78</v>
      </c>
      <c r="H620" s="37">
        <f t="shared" si="32"/>
        <v>11</v>
      </c>
      <c r="I620" s="37" t="str">
        <f t="shared" si="34"/>
        <v>1-90 DAYS</v>
      </c>
      <c r="J620" s="37" t="str">
        <f t="shared" si="33"/>
        <v>0-180 DAYS</v>
      </c>
    </row>
    <row r="621" spans="1:10" hidden="1" x14ac:dyDescent="0.35">
      <c r="A621" s="88" t="s">
        <v>1209</v>
      </c>
      <c r="B621" s="88" t="s">
        <v>789</v>
      </c>
      <c r="C621" s="18" t="s">
        <v>125</v>
      </c>
      <c r="D621" s="18" t="s">
        <v>57</v>
      </c>
      <c r="E621" s="18" t="s">
        <v>350</v>
      </c>
      <c r="F621" s="19">
        <v>45616</v>
      </c>
      <c r="G621" s="18">
        <v>46571.6</v>
      </c>
      <c r="H621" s="37">
        <f t="shared" si="32"/>
        <v>11</v>
      </c>
      <c r="I621" s="37" t="str">
        <f t="shared" si="34"/>
        <v>1-90 DAYS</v>
      </c>
      <c r="J621" s="37" t="str">
        <f t="shared" si="33"/>
        <v>0-180 DAYS</v>
      </c>
    </row>
    <row r="622" spans="1:10" hidden="1" x14ac:dyDescent="0.35">
      <c r="A622" s="88" t="s">
        <v>1209</v>
      </c>
      <c r="B622" s="88" t="s">
        <v>789</v>
      </c>
      <c r="C622" s="18" t="s">
        <v>125</v>
      </c>
      <c r="D622" s="18" t="s">
        <v>57</v>
      </c>
      <c r="E622" s="18" t="s">
        <v>351</v>
      </c>
      <c r="F622" s="19">
        <v>45616</v>
      </c>
      <c r="G622" s="18">
        <v>268812</v>
      </c>
      <c r="H622" s="37">
        <f t="shared" si="32"/>
        <v>11</v>
      </c>
      <c r="I622" s="37" t="str">
        <f t="shared" si="34"/>
        <v>1-90 DAYS</v>
      </c>
      <c r="J622" s="37" t="str">
        <f t="shared" si="33"/>
        <v>0-180 DAYS</v>
      </c>
    </row>
    <row r="623" spans="1:10" hidden="1" x14ac:dyDescent="0.35">
      <c r="A623" s="88" t="s">
        <v>1209</v>
      </c>
      <c r="B623" s="88" t="s">
        <v>789</v>
      </c>
      <c r="C623" s="18" t="s">
        <v>125</v>
      </c>
      <c r="D623" s="18" t="s">
        <v>57</v>
      </c>
      <c r="E623" s="18" t="s">
        <v>353</v>
      </c>
      <c r="F623" s="19">
        <v>45617</v>
      </c>
      <c r="G623" s="18">
        <v>52269.52</v>
      </c>
      <c r="H623" s="37">
        <f t="shared" si="32"/>
        <v>10</v>
      </c>
      <c r="I623" s="37" t="str">
        <f t="shared" si="34"/>
        <v>1-90 DAYS</v>
      </c>
      <c r="J623" s="37" t="str">
        <f t="shared" si="33"/>
        <v>0-180 DAYS</v>
      </c>
    </row>
    <row r="624" spans="1:10" hidden="1" x14ac:dyDescent="0.35">
      <c r="A624" s="88" t="s">
        <v>1209</v>
      </c>
      <c r="B624" s="88" t="s">
        <v>789</v>
      </c>
      <c r="C624" s="18" t="s">
        <v>125</v>
      </c>
      <c r="D624" s="18" t="s">
        <v>57</v>
      </c>
      <c r="E624" s="18" t="s">
        <v>2831</v>
      </c>
      <c r="F624" s="19">
        <v>45617</v>
      </c>
      <c r="G624" s="18">
        <v>37184.160000000003</v>
      </c>
      <c r="H624" s="37">
        <f t="shared" si="32"/>
        <v>10</v>
      </c>
      <c r="I624" s="37" t="str">
        <f t="shared" si="34"/>
        <v>1-90 DAYS</v>
      </c>
      <c r="J624" s="37" t="str">
        <f t="shared" si="33"/>
        <v>0-180 DAYS</v>
      </c>
    </row>
    <row r="625" spans="1:10" hidden="1" x14ac:dyDescent="0.35">
      <c r="A625" s="88" t="s">
        <v>1209</v>
      </c>
      <c r="B625" s="88" t="s">
        <v>789</v>
      </c>
      <c r="C625" s="18" t="s">
        <v>125</v>
      </c>
      <c r="D625" s="18" t="s">
        <v>57</v>
      </c>
      <c r="E625" s="18" t="s">
        <v>357</v>
      </c>
      <c r="F625" s="19">
        <v>45617</v>
      </c>
      <c r="G625" s="18">
        <v>5150.24</v>
      </c>
      <c r="H625" s="37">
        <f t="shared" si="32"/>
        <v>10</v>
      </c>
      <c r="I625" s="37" t="str">
        <f t="shared" si="34"/>
        <v>1-90 DAYS</v>
      </c>
      <c r="J625" s="37" t="str">
        <f t="shared" si="33"/>
        <v>0-180 DAYS</v>
      </c>
    </row>
    <row r="626" spans="1:10" hidden="1" x14ac:dyDescent="0.35">
      <c r="A626" s="88" t="s">
        <v>1209</v>
      </c>
      <c r="B626" s="88" t="s">
        <v>789</v>
      </c>
      <c r="C626" s="18" t="s">
        <v>125</v>
      </c>
      <c r="D626" s="18" t="s">
        <v>57</v>
      </c>
      <c r="E626" s="18" t="s">
        <v>2832</v>
      </c>
      <c r="F626" s="19">
        <v>45617</v>
      </c>
      <c r="G626" s="18">
        <v>444939.3</v>
      </c>
      <c r="H626" s="37">
        <f t="shared" si="32"/>
        <v>10</v>
      </c>
      <c r="I626" s="37" t="str">
        <f t="shared" si="34"/>
        <v>1-90 DAYS</v>
      </c>
      <c r="J626" s="37" t="str">
        <f t="shared" si="33"/>
        <v>0-180 DAYS</v>
      </c>
    </row>
    <row r="627" spans="1:10" hidden="1" x14ac:dyDescent="0.35">
      <c r="A627" s="88" t="s">
        <v>1209</v>
      </c>
      <c r="B627" s="88" t="s">
        <v>789</v>
      </c>
      <c r="C627" s="18" t="s">
        <v>125</v>
      </c>
      <c r="D627" s="18" t="s">
        <v>57</v>
      </c>
      <c r="E627" s="18" t="s">
        <v>358</v>
      </c>
      <c r="F627" s="19">
        <v>45618</v>
      </c>
      <c r="G627" s="18">
        <v>166.17</v>
      </c>
      <c r="H627" s="37">
        <f t="shared" si="32"/>
        <v>9</v>
      </c>
      <c r="I627" s="37" t="str">
        <f t="shared" si="34"/>
        <v>1-90 DAYS</v>
      </c>
      <c r="J627" s="37" t="str">
        <f t="shared" si="33"/>
        <v>0-180 DAYS</v>
      </c>
    </row>
    <row r="628" spans="1:10" hidden="1" x14ac:dyDescent="0.35">
      <c r="A628" s="88" t="s">
        <v>1209</v>
      </c>
      <c r="B628" s="88" t="s">
        <v>789</v>
      </c>
      <c r="C628" s="18" t="s">
        <v>125</v>
      </c>
      <c r="D628" s="18" t="s">
        <v>57</v>
      </c>
      <c r="E628" s="18" t="s">
        <v>359</v>
      </c>
      <c r="F628" s="19">
        <v>45618</v>
      </c>
      <c r="G628" s="18">
        <v>48984.71</v>
      </c>
      <c r="H628" s="37">
        <f t="shared" si="32"/>
        <v>9</v>
      </c>
      <c r="I628" s="37" t="str">
        <f t="shared" si="34"/>
        <v>1-90 DAYS</v>
      </c>
      <c r="J628" s="37" t="str">
        <f t="shared" si="33"/>
        <v>0-180 DAYS</v>
      </c>
    </row>
    <row r="629" spans="1:10" hidden="1" x14ac:dyDescent="0.35">
      <c r="A629" s="88" t="s">
        <v>1209</v>
      </c>
      <c r="B629" s="88" t="s">
        <v>789</v>
      </c>
      <c r="C629" s="18" t="s">
        <v>125</v>
      </c>
      <c r="D629" s="18" t="s">
        <v>57</v>
      </c>
      <c r="E629" s="18" t="s">
        <v>2833</v>
      </c>
      <c r="F629" s="19">
        <v>45618</v>
      </c>
      <c r="G629" s="18">
        <v>439273.86</v>
      </c>
      <c r="H629" s="37">
        <f t="shared" si="32"/>
        <v>9</v>
      </c>
      <c r="I629" s="37" t="str">
        <f t="shared" si="34"/>
        <v>1-90 DAYS</v>
      </c>
      <c r="J629" s="37" t="str">
        <f t="shared" si="33"/>
        <v>0-180 DAYS</v>
      </c>
    </row>
    <row r="630" spans="1:10" hidden="1" x14ac:dyDescent="0.35">
      <c r="A630" s="88" t="s">
        <v>1209</v>
      </c>
      <c r="B630" s="88" t="s">
        <v>789</v>
      </c>
      <c r="C630" s="18" t="s">
        <v>125</v>
      </c>
      <c r="D630" s="18" t="s">
        <v>57</v>
      </c>
      <c r="E630" s="18" t="s">
        <v>2834</v>
      </c>
      <c r="F630" s="19">
        <v>45618</v>
      </c>
      <c r="G630" s="18">
        <v>3621.96</v>
      </c>
      <c r="H630" s="37">
        <f t="shared" si="32"/>
        <v>9</v>
      </c>
      <c r="I630" s="37" t="str">
        <f t="shared" si="34"/>
        <v>1-90 DAYS</v>
      </c>
      <c r="J630" s="37" t="str">
        <f t="shared" si="33"/>
        <v>0-180 DAYS</v>
      </c>
    </row>
    <row r="631" spans="1:10" hidden="1" x14ac:dyDescent="0.35">
      <c r="A631" s="88" t="s">
        <v>1209</v>
      </c>
      <c r="B631" s="88" t="s">
        <v>789</v>
      </c>
      <c r="C631" s="18" t="s">
        <v>125</v>
      </c>
      <c r="D631" s="18" t="s">
        <v>57</v>
      </c>
      <c r="E631" s="18" t="s">
        <v>364</v>
      </c>
      <c r="F631" s="19">
        <v>45618</v>
      </c>
      <c r="G631" s="18">
        <v>22000</v>
      </c>
      <c r="H631" s="37">
        <f t="shared" si="32"/>
        <v>9</v>
      </c>
      <c r="I631" s="37" t="str">
        <f t="shared" si="34"/>
        <v>1-90 DAYS</v>
      </c>
      <c r="J631" s="37" t="str">
        <f t="shared" si="33"/>
        <v>0-180 DAYS</v>
      </c>
    </row>
    <row r="632" spans="1:10" hidden="1" x14ac:dyDescent="0.35">
      <c r="A632" s="88" t="s">
        <v>1209</v>
      </c>
      <c r="B632" s="88" t="s">
        <v>789</v>
      </c>
      <c r="C632" s="18" t="s">
        <v>125</v>
      </c>
      <c r="D632" s="18" t="s">
        <v>57</v>
      </c>
      <c r="E632" s="18" t="s">
        <v>2835</v>
      </c>
      <c r="F632" s="19">
        <v>45619</v>
      </c>
      <c r="G632" s="18">
        <v>624236.29</v>
      </c>
      <c r="H632" s="37">
        <f t="shared" si="32"/>
        <v>8</v>
      </c>
      <c r="I632" s="37" t="str">
        <f t="shared" si="34"/>
        <v>1-90 DAYS</v>
      </c>
      <c r="J632" s="37" t="str">
        <f t="shared" si="33"/>
        <v>0-180 DAYS</v>
      </c>
    </row>
    <row r="633" spans="1:10" hidden="1" x14ac:dyDescent="0.35">
      <c r="A633" s="88" t="s">
        <v>1209</v>
      </c>
      <c r="B633" s="88" t="s">
        <v>789</v>
      </c>
      <c r="C633" s="18" t="s">
        <v>125</v>
      </c>
      <c r="D633" s="18" t="s">
        <v>57</v>
      </c>
      <c r="E633" s="18" t="s">
        <v>363</v>
      </c>
      <c r="F633" s="19">
        <v>45619</v>
      </c>
      <c r="G633" s="18">
        <v>111337.34</v>
      </c>
      <c r="H633" s="37">
        <f t="shared" si="32"/>
        <v>8</v>
      </c>
      <c r="I633" s="37" t="str">
        <f t="shared" si="34"/>
        <v>1-90 DAYS</v>
      </c>
      <c r="J633" s="37" t="str">
        <f t="shared" si="33"/>
        <v>0-180 DAYS</v>
      </c>
    </row>
    <row r="634" spans="1:10" hidden="1" x14ac:dyDescent="0.35">
      <c r="A634" s="88" t="s">
        <v>1209</v>
      </c>
      <c r="B634" s="88" t="s">
        <v>789</v>
      </c>
      <c r="C634" s="18" t="s">
        <v>125</v>
      </c>
      <c r="D634" s="18" t="s">
        <v>57</v>
      </c>
      <c r="E634" s="18" t="s">
        <v>366</v>
      </c>
      <c r="F634" s="19">
        <v>45620</v>
      </c>
      <c r="G634" s="18">
        <v>495414.57</v>
      </c>
      <c r="H634" s="37">
        <f t="shared" si="32"/>
        <v>7</v>
      </c>
      <c r="I634" s="37" t="str">
        <f t="shared" si="34"/>
        <v>1-90 DAYS</v>
      </c>
      <c r="J634" s="37" t="str">
        <f t="shared" si="33"/>
        <v>0-180 DAYS</v>
      </c>
    </row>
    <row r="635" spans="1:10" hidden="1" x14ac:dyDescent="0.35">
      <c r="A635" s="88" t="s">
        <v>1209</v>
      </c>
      <c r="B635" s="88" t="s">
        <v>789</v>
      </c>
      <c r="C635" s="18" t="s">
        <v>125</v>
      </c>
      <c r="D635" s="18" t="s">
        <v>57</v>
      </c>
      <c r="E635" s="18" t="s">
        <v>365</v>
      </c>
      <c r="F635" s="19">
        <v>45620</v>
      </c>
      <c r="G635" s="18">
        <v>47575</v>
      </c>
      <c r="H635" s="37">
        <f t="shared" si="32"/>
        <v>7</v>
      </c>
      <c r="I635" s="37" t="str">
        <f t="shared" si="34"/>
        <v>1-90 DAYS</v>
      </c>
      <c r="J635" s="37" t="str">
        <f t="shared" si="33"/>
        <v>0-180 DAYS</v>
      </c>
    </row>
    <row r="636" spans="1:10" hidden="1" x14ac:dyDescent="0.35">
      <c r="A636" s="88" t="s">
        <v>1209</v>
      </c>
      <c r="B636" s="88" t="s">
        <v>789</v>
      </c>
      <c r="C636" s="18" t="s">
        <v>125</v>
      </c>
      <c r="D636" s="18" t="s">
        <v>57</v>
      </c>
      <c r="E636" s="18" t="s">
        <v>371</v>
      </c>
      <c r="F636" s="19">
        <v>45621</v>
      </c>
      <c r="G636" s="18">
        <v>655839.30000000005</v>
      </c>
      <c r="H636" s="37">
        <f t="shared" si="32"/>
        <v>6</v>
      </c>
      <c r="I636" s="37" t="str">
        <f t="shared" si="34"/>
        <v>1-90 DAYS</v>
      </c>
      <c r="J636" s="37" t="str">
        <f t="shared" si="33"/>
        <v>0-180 DAYS</v>
      </c>
    </row>
    <row r="637" spans="1:10" hidden="1" x14ac:dyDescent="0.35">
      <c r="A637" s="88" t="s">
        <v>1209</v>
      </c>
      <c r="B637" s="88" t="s">
        <v>789</v>
      </c>
      <c r="C637" s="18" t="s">
        <v>125</v>
      </c>
      <c r="D637" s="18" t="s">
        <v>57</v>
      </c>
      <c r="E637" s="18" t="s">
        <v>370</v>
      </c>
      <c r="F637" s="19">
        <v>45621</v>
      </c>
      <c r="G637" s="18">
        <v>469907.22</v>
      </c>
      <c r="H637" s="37">
        <f t="shared" si="32"/>
        <v>6</v>
      </c>
      <c r="I637" s="37" t="str">
        <f t="shared" si="34"/>
        <v>1-90 DAYS</v>
      </c>
      <c r="J637" s="37" t="str">
        <f t="shared" si="33"/>
        <v>0-180 DAYS</v>
      </c>
    </row>
    <row r="638" spans="1:10" hidden="1" x14ac:dyDescent="0.35">
      <c r="A638" s="88" t="s">
        <v>1209</v>
      </c>
      <c r="B638" s="88" t="s">
        <v>789</v>
      </c>
      <c r="C638" s="18" t="s">
        <v>125</v>
      </c>
      <c r="D638" s="18" t="s">
        <v>57</v>
      </c>
      <c r="E638" s="18" t="s">
        <v>372</v>
      </c>
      <c r="F638" s="19">
        <v>45621</v>
      </c>
      <c r="G638" s="18">
        <v>2660.08</v>
      </c>
      <c r="H638" s="37">
        <f t="shared" si="32"/>
        <v>6</v>
      </c>
      <c r="I638" s="37" t="str">
        <f t="shared" si="34"/>
        <v>1-90 DAYS</v>
      </c>
      <c r="J638" s="37" t="str">
        <f t="shared" si="33"/>
        <v>0-180 DAYS</v>
      </c>
    </row>
    <row r="639" spans="1:10" hidden="1" x14ac:dyDescent="0.35">
      <c r="A639" s="88" t="s">
        <v>1209</v>
      </c>
      <c r="B639" s="88" t="s">
        <v>789</v>
      </c>
      <c r="C639" s="18" t="s">
        <v>125</v>
      </c>
      <c r="D639" s="18" t="s">
        <v>57</v>
      </c>
      <c r="E639" s="18" t="s">
        <v>374</v>
      </c>
      <c r="F639" s="19">
        <v>45622</v>
      </c>
      <c r="G639" s="18">
        <v>100735.07</v>
      </c>
      <c r="H639" s="37">
        <f t="shared" si="32"/>
        <v>5</v>
      </c>
      <c r="I639" s="37" t="str">
        <f t="shared" si="34"/>
        <v>1-90 DAYS</v>
      </c>
      <c r="J639" s="37" t="str">
        <f t="shared" si="33"/>
        <v>0-180 DAYS</v>
      </c>
    </row>
    <row r="640" spans="1:10" hidden="1" x14ac:dyDescent="0.35">
      <c r="A640" s="88" t="s">
        <v>1209</v>
      </c>
      <c r="B640" s="88" t="s">
        <v>789</v>
      </c>
      <c r="C640" s="18" t="s">
        <v>125</v>
      </c>
      <c r="D640" s="18" t="s">
        <v>57</v>
      </c>
      <c r="E640" s="18" t="s">
        <v>375</v>
      </c>
      <c r="F640" s="19">
        <v>45622</v>
      </c>
      <c r="G640" s="18">
        <v>105756</v>
      </c>
      <c r="H640" s="37">
        <f t="shared" si="32"/>
        <v>5</v>
      </c>
      <c r="I640" s="37" t="str">
        <f t="shared" si="34"/>
        <v>1-90 DAYS</v>
      </c>
      <c r="J640" s="37" t="str">
        <f t="shared" si="33"/>
        <v>0-180 DAYS</v>
      </c>
    </row>
    <row r="641" spans="1:10" hidden="1" x14ac:dyDescent="0.35">
      <c r="A641" s="88" t="s">
        <v>1209</v>
      </c>
      <c r="B641" s="88" t="s">
        <v>789</v>
      </c>
      <c r="C641" s="18" t="s">
        <v>125</v>
      </c>
      <c r="D641" s="18" t="s">
        <v>57</v>
      </c>
      <c r="E641" s="18" t="s">
        <v>2836</v>
      </c>
      <c r="F641" s="19">
        <v>45622</v>
      </c>
      <c r="G641" s="18">
        <v>194171.46</v>
      </c>
      <c r="H641" s="37">
        <f t="shared" si="32"/>
        <v>5</v>
      </c>
      <c r="I641" s="37" t="str">
        <f t="shared" si="34"/>
        <v>1-90 DAYS</v>
      </c>
      <c r="J641" s="37" t="str">
        <f t="shared" si="33"/>
        <v>0-180 DAYS</v>
      </c>
    </row>
    <row r="642" spans="1:10" hidden="1" x14ac:dyDescent="0.35">
      <c r="A642" s="88" t="s">
        <v>1209</v>
      </c>
      <c r="B642" s="88" t="s">
        <v>789</v>
      </c>
      <c r="C642" s="18" t="s">
        <v>125</v>
      </c>
      <c r="D642" s="18" t="s">
        <v>57</v>
      </c>
      <c r="E642" s="18" t="s">
        <v>382</v>
      </c>
      <c r="F642" s="19">
        <v>45623</v>
      </c>
      <c r="G642" s="18">
        <v>42414.36</v>
      </c>
      <c r="H642" s="37">
        <f t="shared" si="32"/>
        <v>4</v>
      </c>
      <c r="I642" s="37" t="str">
        <f t="shared" si="34"/>
        <v>1-90 DAYS</v>
      </c>
      <c r="J642" s="37" t="str">
        <f t="shared" si="33"/>
        <v>0-180 DAYS</v>
      </c>
    </row>
    <row r="643" spans="1:10" hidden="1" x14ac:dyDescent="0.35">
      <c r="A643" s="88" t="s">
        <v>1209</v>
      </c>
      <c r="B643" s="88" t="s">
        <v>789</v>
      </c>
      <c r="C643" s="18" t="s">
        <v>125</v>
      </c>
      <c r="D643" s="18" t="s">
        <v>57</v>
      </c>
      <c r="E643" s="18" t="s">
        <v>384</v>
      </c>
      <c r="F643" s="19">
        <v>45623</v>
      </c>
      <c r="G643" s="18">
        <v>1330387.1200000001</v>
      </c>
      <c r="H643" s="37">
        <f t="shared" si="32"/>
        <v>4</v>
      </c>
      <c r="I643" s="37" t="str">
        <f t="shared" si="34"/>
        <v>1-90 DAYS</v>
      </c>
      <c r="J643" s="37" t="str">
        <f t="shared" si="33"/>
        <v>0-180 DAYS</v>
      </c>
    </row>
    <row r="644" spans="1:10" hidden="1" x14ac:dyDescent="0.35">
      <c r="A644" s="88" t="s">
        <v>1209</v>
      </c>
      <c r="B644" s="88" t="s">
        <v>789</v>
      </c>
      <c r="C644" s="18" t="s">
        <v>125</v>
      </c>
      <c r="D644" s="18" t="s">
        <v>57</v>
      </c>
      <c r="E644" s="18" t="s">
        <v>385</v>
      </c>
      <c r="F644" s="19">
        <v>45623</v>
      </c>
      <c r="G644" s="18">
        <v>5885.56</v>
      </c>
      <c r="H644" s="37">
        <f t="shared" si="32"/>
        <v>4</v>
      </c>
      <c r="I644" s="37" t="str">
        <f t="shared" si="34"/>
        <v>1-90 DAYS</v>
      </c>
      <c r="J644" s="37" t="str">
        <f t="shared" si="33"/>
        <v>0-180 DAYS</v>
      </c>
    </row>
    <row r="645" spans="1:10" hidden="1" x14ac:dyDescent="0.35">
      <c r="A645" s="88" t="s">
        <v>1209</v>
      </c>
      <c r="B645" s="88" t="s">
        <v>789</v>
      </c>
      <c r="C645" s="18" t="s">
        <v>125</v>
      </c>
      <c r="D645" s="18" t="s">
        <v>57</v>
      </c>
      <c r="E645" s="18" t="s">
        <v>390</v>
      </c>
      <c r="F645" s="19">
        <v>45623</v>
      </c>
      <c r="G645" s="18">
        <v>89604</v>
      </c>
      <c r="H645" s="37">
        <f t="shared" ref="H645:H679" si="35">$H$2-F645+1</f>
        <v>4</v>
      </c>
      <c r="I645" s="37" t="str">
        <f t="shared" si="34"/>
        <v>1-90 DAYS</v>
      </c>
      <c r="J645" s="37" t="str">
        <f t="shared" si="33"/>
        <v>0-180 DAYS</v>
      </c>
    </row>
    <row r="646" spans="1:10" hidden="1" x14ac:dyDescent="0.35">
      <c r="A646" s="88" t="s">
        <v>1209</v>
      </c>
      <c r="B646" s="88" t="s">
        <v>789</v>
      </c>
      <c r="C646" s="18" t="s">
        <v>125</v>
      </c>
      <c r="D646" s="18" t="s">
        <v>57</v>
      </c>
      <c r="E646" s="18" t="s">
        <v>392</v>
      </c>
      <c r="F646" s="19">
        <v>45624</v>
      </c>
      <c r="G646" s="18">
        <v>51706.1</v>
      </c>
      <c r="H646" s="37">
        <f t="shared" si="35"/>
        <v>3</v>
      </c>
      <c r="I646" s="37" t="str">
        <f t="shared" si="34"/>
        <v>1-90 DAYS</v>
      </c>
      <c r="J646" s="37" t="str">
        <f t="shared" ref="J646:J679" si="36">IF(H646&lt;180,"0-180 DAYS","More than 180 Days")</f>
        <v>0-180 DAYS</v>
      </c>
    </row>
    <row r="647" spans="1:10" hidden="1" x14ac:dyDescent="0.35">
      <c r="A647" s="88" t="s">
        <v>1209</v>
      </c>
      <c r="B647" s="88" t="s">
        <v>789</v>
      </c>
      <c r="C647" s="18" t="s">
        <v>125</v>
      </c>
      <c r="D647" s="18" t="s">
        <v>57</v>
      </c>
      <c r="E647" s="18" t="s">
        <v>491</v>
      </c>
      <c r="F647" s="19">
        <v>45624</v>
      </c>
      <c r="G647" s="18">
        <v>334694.75</v>
      </c>
      <c r="H647" s="37">
        <f t="shared" si="35"/>
        <v>3</v>
      </c>
      <c r="I647" s="37" t="str">
        <f t="shared" si="34"/>
        <v>1-90 DAYS</v>
      </c>
      <c r="J647" s="37" t="str">
        <f t="shared" si="36"/>
        <v>0-180 DAYS</v>
      </c>
    </row>
    <row r="648" spans="1:10" hidden="1" x14ac:dyDescent="0.35">
      <c r="A648" s="88" t="s">
        <v>1209</v>
      </c>
      <c r="B648" s="88" t="s">
        <v>789</v>
      </c>
      <c r="C648" s="18" t="s">
        <v>125</v>
      </c>
      <c r="D648" s="18" t="s">
        <v>57</v>
      </c>
      <c r="E648" s="18" t="s">
        <v>393</v>
      </c>
      <c r="F648" s="19">
        <v>45624</v>
      </c>
      <c r="G648" s="18">
        <v>1131.8</v>
      </c>
      <c r="H648" s="37">
        <f t="shared" si="35"/>
        <v>3</v>
      </c>
      <c r="I648" s="37" t="str">
        <f t="shared" si="34"/>
        <v>1-90 DAYS</v>
      </c>
      <c r="J648" s="37" t="str">
        <f t="shared" si="36"/>
        <v>0-180 DAYS</v>
      </c>
    </row>
    <row r="649" spans="1:10" hidden="1" x14ac:dyDescent="0.35">
      <c r="A649" s="88" t="s">
        <v>1209</v>
      </c>
      <c r="B649" s="88" t="s">
        <v>789</v>
      </c>
      <c r="C649" s="18" t="s">
        <v>125</v>
      </c>
      <c r="D649" s="18" t="s">
        <v>57</v>
      </c>
      <c r="E649" s="18" t="s">
        <v>394</v>
      </c>
      <c r="F649" s="19">
        <v>45624</v>
      </c>
      <c r="G649" s="18">
        <v>26950</v>
      </c>
      <c r="H649" s="37">
        <f t="shared" si="35"/>
        <v>3</v>
      </c>
      <c r="I649" s="37" t="str">
        <f t="shared" si="34"/>
        <v>1-90 DAYS</v>
      </c>
      <c r="J649" s="37" t="str">
        <f t="shared" si="36"/>
        <v>0-180 DAYS</v>
      </c>
    </row>
    <row r="650" spans="1:10" hidden="1" x14ac:dyDescent="0.35">
      <c r="A650" s="88" t="s">
        <v>1209</v>
      </c>
      <c r="B650" s="88" t="s">
        <v>789</v>
      </c>
      <c r="C650" s="18" t="s">
        <v>125</v>
      </c>
      <c r="D650" s="18" t="s">
        <v>57</v>
      </c>
      <c r="E650" s="18" t="s">
        <v>401</v>
      </c>
      <c r="F650" s="19">
        <v>45625</v>
      </c>
      <c r="G650" s="18">
        <v>23068.84</v>
      </c>
      <c r="H650" s="37">
        <f t="shared" si="35"/>
        <v>2</v>
      </c>
      <c r="I650" s="37" t="str">
        <f t="shared" si="34"/>
        <v>1-90 DAYS</v>
      </c>
      <c r="J650" s="37" t="str">
        <f t="shared" si="36"/>
        <v>0-180 DAYS</v>
      </c>
    </row>
    <row r="651" spans="1:10" hidden="1" x14ac:dyDescent="0.35">
      <c r="A651" s="88" t="s">
        <v>1209</v>
      </c>
      <c r="B651" s="88" t="s">
        <v>789</v>
      </c>
      <c r="C651" s="18" t="s">
        <v>125</v>
      </c>
      <c r="D651" s="18" t="s">
        <v>57</v>
      </c>
      <c r="E651" s="18" t="s">
        <v>402</v>
      </c>
      <c r="F651" s="19">
        <v>45625</v>
      </c>
      <c r="G651" s="18">
        <v>444630.23</v>
      </c>
      <c r="H651" s="37">
        <f t="shared" si="35"/>
        <v>2</v>
      </c>
      <c r="I651" s="37" t="str">
        <f t="shared" si="34"/>
        <v>1-90 DAYS</v>
      </c>
      <c r="J651" s="37" t="str">
        <f t="shared" si="36"/>
        <v>0-180 DAYS</v>
      </c>
    </row>
    <row r="652" spans="1:10" hidden="1" x14ac:dyDescent="0.35">
      <c r="A652" s="88" t="s">
        <v>1209</v>
      </c>
      <c r="B652" s="88" t="s">
        <v>789</v>
      </c>
      <c r="C652" s="18" t="s">
        <v>125</v>
      </c>
      <c r="D652" s="18" t="s">
        <v>57</v>
      </c>
      <c r="E652" s="18" t="s">
        <v>2837</v>
      </c>
      <c r="F652" s="19">
        <v>45626</v>
      </c>
      <c r="G652" s="18">
        <v>726264</v>
      </c>
      <c r="H652" s="37">
        <f t="shared" si="35"/>
        <v>1</v>
      </c>
      <c r="I652" s="37" t="str">
        <f t="shared" si="34"/>
        <v>1-90 DAYS</v>
      </c>
      <c r="J652" s="37" t="str">
        <f t="shared" si="36"/>
        <v>0-180 DAYS</v>
      </c>
    </row>
    <row r="653" spans="1:10" hidden="1" x14ac:dyDescent="0.35">
      <c r="A653" s="88" t="s">
        <v>1209</v>
      </c>
      <c r="B653" s="88" t="s">
        <v>789</v>
      </c>
      <c r="C653" s="18" t="s">
        <v>125</v>
      </c>
      <c r="D653" s="18" t="s">
        <v>57</v>
      </c>
      <c r="E653" s="18" t="s">
        <v>2838</v>
      </c>
      <c r="F653" s="19">
        <v>45626</v>
      </c>
      <c r="G653" s="18">
        <v>24176</v>
      </c>
      <c r="H653" s="37">
        <f t="shared" si="35"/>
        <v>1</v>
      </c>
      <c r="I653" s="37" t="str">
        <f t="shared" si="34"/>
        <v>1-90 DAYS</v>
      </c>
      <c r="J653" s="37" t="str">
        <f t="shared" si="36"/>
        <v>0-180 DAYS</v>
      </c>
    </row>
    <row r="654" spans="1:10" hidden="1" x14ac:dyDescent="0.35">
      <c r="A654" s="88" t="s">
        <v>1209</v>
      </c>
      <c r="B654" s="88" t="s">
        <v>789</v>
      </c>
      <c r="C654" s="18" t="s">
        <v>125</v>
      </c>
      <c r="D654" s="18" t="s">
        <v>57</v>
      </c>
      <c r="E654" s="18" t="s">
        <v>405</v>
      </c>
      <c r="F654" s="19">
        <v>45626</v>
      </c>
      <c r="G654" s="18">
        <v>179208</v>
      </c>
      <c r="H654" s="37">
        <f t="shared" si="35"/>
        <v>1</v>
      </c>
      <c r="I654" s="37" t="str">
        <f t="shared" si="34"/>
        <v>1-90 DAYS</v>
      </c>
      <c r="J654" s="37" t="str">
        <f t="shared" si="36"/>
        <v>0-180 DAYS</v>
      </c>
    </row>
    <row r="655" spans="1:10" hidden="1" x14ac:dyDescent="0.35">
      <c r="A655" s="88" t="s">
        <v>1209</v>
      </c>
      <c r="B655" s="88" t="s">
        <v>789</v>
      </c>
      <c r="C655" s="18" t="s">
        <v>125</v>
      </c>
      <c r="D655" s="18" t="s">
        <v>57</v>
      </c>
      <c r="E655" s="18" t="s">
        <v>403</v>
      </c>
      <c r="F655" s="19">
        <v>45626</v>
      </c>
      <c r="G655" s="18">
        <v>613292.56999999995</v>
      </c>
      <c r="H655" s="37">
        <f t="shared" si="35"/>
        <v>1</v>
      </c>
      <c r="I655" s="37" t="str">
        <f t="shared" si="34"/>
        <v>1-90 DAYS</v>
      </c>
      <c r="J655" s="37" t="str">
        <f t="shared" si="36"/>
        <v>0-180 DAYS</v>
      </c>
    </row>
    <row r="656" spans="1:10" hidden="1" x14ac:dyDescent="0.35">
      <c r="A656" s="88" t="s">
        <v>1209</v>
      </c>
      <c r="B656" s="88" t="s">
        <v>789</v>
      </c>
      <c r="C656" s="18" t="s">
        <v>125</v>
      </c>
      <c r="D656" s="18" t="s">
        <v>57</v>
      </c>
      <c r="E656" s="18" t="s">
        <v>404</v>
      </c>
      <c r="F656" s="19">
        <v>45626</v>
      </c>
      <c r="G656" s="18">
        <v>3905.16</v>
      </c>
      <c r="H656" s="37">
        <f t="shared" si="35"/>
        <v>1</v>
      </c>
      <c r="I656" s="37" t="str">
        <f t="shared" si="34"/>
        <v>1-90 DAYS</v>
      </c>
      <c r="J656" s="37" t="str">
        <f t="shared" si="36"/>
        <v>0-180 DAYS</v>
      </c>
    </row>
    <row r="657" spans="1:10" hidden="1" x14ac:dyDescent="0.35">
      <c r="A657" s="88" t="s">
        <v>1209</v>
      </c>
      <c r="B657" s="88" t="s">
        <v>789</v>
      </c>
      <c r="C657" s="18" t="s">
        <v>125</v>
      </c>
      <c r="D657" s="18" t="s">
        <v>57</v>
      </c>
      <c r="E657" s="18" t="s">
        <v>2839</v>
      </c>
      <c r="F657" s="19">
        <v>45626</v>
      </c>
      <c r="G657" s="18">
        <v>891833.89</v>
      </c>
      <c r="H657" s="37">
        <f t="shared" si="35"/>
        <v>1</v>
      </c>
      <c r="I657" s="37" t="str">
        <f t="shared" si="34"/>
        <v>1-90 DAYS</v>
      </c>
      <c r="J657" s="37" t="str">
        <f t="shared" si="36"/>
        <v>0-180 DAYS</v>
      </c>
    </row>
    <row r="658" spans="1:10" hidden="1" x14ac:dyDescent="0.35">
      <c r="A658" s="88" t="s">
        <v>1209</v>
      </c>
      <c r="B658" s="88" t="s">
        <v>789</v>
      </c>
      <c r="C658" s="18" t="s">
        <v>125</v>
      </c>
      <c r="D658" s="18" t="s">
        <v>57</v>
      </c>
      <c r="E658" s="18" t="s">
        <v>2840</v>
      </c>
      <c r="F658" s="19">
        <v>45603</v>
      </c>
      <c r="G658" s="18">
        <v>405336.3</v>
      </c>
      <c r="H658" s="37">
        <f t="shared" si="35"/>
        <v>24</v>
      </c>
      <c r="I658" s="37" t="str">
        <f t="shared" si="34"/>
        <v>1-90 DAYS</v>
      </c>
      <c r="J658" s="37" t="str">
        <f t="shared" si="36"/>
        <v>0-180 DAYS</v>
      </c>
    </row>
    <row r="659" spans="1:10" hidden="1" x14ac:dyDescent="0.35">
      <c r="A659" s="88" t="s">
        <v>1209</v>
      </c>
      <c r="B659" s="88" t="s">
        <v>789</v>
      </c>
      <c r="C659" s="18" t="s">
        <v>125</v>
      </c>
      <c r="D659" s="18" t="s">
        <v>57</v>
      </c>
      <c r="E659" s="18" t="s">
        <v>2841</v>
      </c>
      <c r="F659" s="19">
        <v>45603</v>
      </c>
      <c r="G659" s="18">
        <v>1031044.84</v>
      </c>
      <c r="H659" s="37">
        <f t="shared" si="35"/>
        <v>24</v>
      </c>
      <c r="I659" s="37" t="str">
        <f t="shared" si="34"/>
        <v>1-90 DAYS</v>
      </c>
      <c r="J659" s="37" t="str">
        <f t="shared" si="36"/>
        <v>0-180 DAYS</v>
      </c>
    </row>
    <row r="660" spans="1:10" hidden="1" x14ac:dyDescent="0.35">
      <c r="A660" s="88" t="s">
        <v>1209</v>
      </c>
      <c r="B660" s="88" t="s">
        <v>789</v>
      </c>
      <c r="C660" s="18" t="s">
        <v>125</v>
      </c>
      <c r="D660" s="18" t="s">
        <v>57</v>
      </c>
      <c r="E660" s="18" t="s">
        <v>2842</v>
      </c>
      <c r="F660" s="19">
        <v>45603</v>
      </c>
      <c r="G660" s="18">
        <v>5772.38</v>
      </c>
      <c r="H660" s="37">
        <f t="shared" si="35"/>
        <v>24</v>
      </c>
      <c r="I660" s="37" t="str">
        <f t="shared" si="34"/>
        <v>1-90 DAYS</v>
      </c>
      <c r="J660" s="37" t="str">
        <f t="shared" si="36"/>
        <v>0-180 DAYS</v>
      </c>
    </row>
    <row r="661" spans="1:10" hidden="1" x14ac:dyDescent="0.35">
      <c r="A661" s="88" t="s">
        <v>1209</v>
      </c>
      <c r="B661" s="88" t="s">
        <v>789</v>
      </c>
      <c r="C661" s="18" t="s">
        <v>125</v>
      </c>
      <c r="D661" s="18" t="s">
        <v>57</v>
      </c>
      <c r="E661" s="18" t="s">
        <v>2843</v>
      </c>
      <c r="F661" s="19">
        <v>45605</v>
      </c>
      <c r="G661" s="18">
        <v>3839423.63</v>
      </c>
      <c r="H661" s="37">
        <f t="shared" si="35"/>
        <v>22</v>
      </c>
      <c r="I661" s="37" t="str">
        <f t="shared" si="34"/>
        <v>1-90 DAYS</v>
      </c>
      <c r="J661" s="37" t="str">
        <f t="shared" si="36"/>
        <v>0-180 DAYS</v>
      </c>
    </row>
    <row r="662" spans="1:10" hidden="1" x14ac:dyDescent="0.35">
      <c r="A662" s="88" t="s">
        <v>1209</v>
      </c>
      <c r="B662" s="88" t="s">
        <v>789</v>
      </c>
      <c r="C662" s="18" t="s">
        <v>125</v>
      </c>
      <c r="D662" s="18" t="s">
        <v>57</v>
      </c>
      <c r="E662" s="18" t="s">
        <v>2844</v>
      </c>
      <c r="F662" s="19">
        <v>45609</v>
      </c>
      <c r="G662" s="18">
        <v>3792575.96</v>
      </c>
      <c r="H662" s="37">
        <f t="shared" si="35"/>
        <v>18</v>
      </c>
      <c r="I662" s="37" t="str">
        <f t="shared" ref="I662:I679" si="37">IF(H662&lt;91,"1-90 DAYS",IF(H662&lt;121,"91-120DAYS",IF(H662&lt;181,"121-180 DAYS","More than 180 Days")))</f>
        <v>1-90 DAYS</v>
      </c>
      <c r="J662" s="37" t="str">
        <f t="shared" si="36"/>
        <v>0-180 DAYS</v>
      </c>
    </row>
    <row r="663" spans="1:10" hidden="1" x14ac:dyDescent="0.35">
      <c r="A663" s="88" t="s">
        <v>1209</v>
      </c>
      <c r="B663" s="88" t="s">
        <v>789</v>
      </c>
      <c r="C663" s="18" t="s">
        <v>125</v>
      </c>
      <c r="D663" s="18" t="s">
        <v>57</v>
      </c>
      <c r="E663" s="18" t="s">
        <v>2845</v>
      </c>
      <c r="F663" s="19">
        <v>45612</v>
      </c>
      <c r="G663" s="18">
        <v>3666.69</v>
      </c>
      <c r="H663" s="37">
        <f t="shared" si="35"/>
        <v>15</v>
      </c>
      <c r="I663" s="37" t="str">
        <f t="shared" si="37"/>
        <v>1-90 DAYS</v>
      </c>
      <c r="J663" s="37" t="str">
        <f t="shared" si="36"/>
        <v>0-180 DAYS</v>
      </c>
    </row>
    <row r="664" spans="1:10" hidden="1" x14ac:dyDescent="0.35">
      <c r="A664" s="88" t="s">
        <v>1209</v>
      </c>
      <c r="B664" s="88" t="s">
        <v>789</v>
      </c>
      <c r="C664" s="18" t="s">
        <v>125</v>
      </c>
      <c r="D664" s="18" t="s">
        <v>57</v>
      </c>
      <c r="E664" s="18" t="s">
        <v>2846</v>
      </c>
      <c r="F664" s="19">
        <v>45613</v>
      </c>
      <c r="G664" s="18">
        <v>738287.45</v>
      </c>
      <c r="H664" s="37">
        <f t="shared" si="35"/>
        <v>14</v>
      </c>
      <c r="I664" s="37" t="str">
        <f t="shared" si="37"/>
        <v>1-90 DAYS</v>
      </c>
      <c r="J664" s="37" t="str">
        <f t="shared" si="36"/>
        <v>0-180 DAYS</v>
      </c>
    </row>
    <row r="665" spans="1:10" hidden="1" x14ac:dyDescent="0.35">
      <c r="A665" s="88" t="s">
        <v>1209</v>
      </c>
      <c r="B665" s="88" t="s">
        <v>789</v>
      </c>
      <c r="C665" s="18" t="s">
        <v>125</v>
      </c>
      <c r="D665" s="18" t="s">
        <v>57</v>
      </c>
      <c r="E665" s="18" t="s">
        <v>2847</v>
      </c>
      <c r="F665" s="19">
        <v>45614</v>
      </c>
      <c r="G665" s="18">
        <v>73099.83</v>
      </c>
      <c r="H665" s="37">
        <f t="shared" si="35"/>
        <v>13</v>
      </c>
      <c r="I665" s="37" t="str">
        <f t="shared" si="37"/>
        <v>1-90 DAYS</v>
      </c>
      <c r="J665" s="37" t="str">
        <f t="shared" si="36"/>
        <v>0-180 DAYS</v>
      </c>
    </row>
    <row r="666" spans="1:10" hidden="1" x14ac:dyDescent="0.35">
      <c r="A666" s="88" t="s">
        <v>1209</v>
      </c>
      <c r="B666" s="88" t="s">
        <v>789</v>
      </c>
      <c r="C666" s="18" t="s">
        <v>125</v>
      </c>
      <c r="D666" s="18" t="s">
        <v>57</v>
      </c>
      <c r="E666" s="18" t="s">
        <v>2848</v>
      </c>
      <c r="F666" s="19">
        <v>45616</v>
      </c>
      <c r="G666" s="18">
        <v>744280.86</v>
      </c>
      <c r="H666" s="37">
        <f t="shared" si="35"/>
        <v>11</v>
      </c>
      <c r="I666" s="37" t="str">
        <f t="shared" si="37"/>
        <v>1-90 DAYS</v>
      </c>
      <c r="J666" s="37" t="str">
        <f t="shared" si="36"/>
        <v>0-180 DAYS</v>
      </c>
    </row>
    <row r="667" spans="1:10" hidden="1" x14ac:dyDescent="0.35">
      <c r="A667" s="88" t="s">
        <v>1209</v>
      </c>
      <c r="B667" s="88" t="s">
        <v>789</v>
      </c>
      <c r="C667" s="18" t="s">
        <v>125</v>
      </c>
      <c r="D667" s="18" t="s">
        <v>57</v>
      </c>
      <c r="E667" s="18" t="s">
        <v>2849</v>
      </c>
      <c r="F667" s="19">
        <v>45616</v>
      </c>
      <c r="G667" s="18">
        <v>6847.63</v>
      </c>
      <c r="H667" s="37">
        <f t="shared" si="35"/>
        <v>11</v>
      </c>
      <c r="I667" s="37" t="str">
        <f t="shared" si="37"/>
        <v>1-90 DAYS</v>
      </c>
      <c r="J667" s="37" t="str">
        <f t="shared" si="36"/>
        <v>0-180 DAYS</v>
      </c>
    </row>
    <row r="668" spans="1:10" hidden="1" x14ac:dyDescent="0.35">
      <c r="A668" s="88" t="s">
        <v>1209</v>
      </c>
      <c r="B668" s="88" t="s">
        <v>789</v>
      </c>
      <c r="C668" s="18" t="s">
        <v>125</v>
      </c>
      <c r="D668" s="18" t="s">
        <v>57</v>
      </c>
      <c r="E668" s="18" t="s">
        <v>2850</v>
      </c>
      <c r="F668" s="19">
        <v>45616</v>
      </c>
      <c r="G668" s="18">
        <v>3875664.09</v>
      </c>
      <c r="H668" s="37">
        <f t="shared" si="35"/>
        <v>11</v>
      </c>
      <c r="I668" s="37" t="str">
        <f t="shared" si="37"/>
        <v>1-90 DAYS</v>
      </c>
      <c r="J668" s="37" t="str">
        <f t="shared" si="36"/>
        <v>0-180 DAYS</v>
      </c>
    </row>
    <row r="669" spans="1:10" hidden="1" x14ac:dyDescent="0.35">
      <c r="A669" s="88" t="s">
        <v>1209</v>
      </c>
      <c r="B669" s="88" t="s">
        <v>789</v>
      </c>
      <c r="C669" s="18" t="s">
        <v>125</v>
      </c>
      <c r="D669" s="18" t="s">
        <v>57</v>
      </c>
      <c r="E669" s="18" t="s">
        <v>2851</v>
      </c>
      <c r="F669" s="19">
        <v>45617</v>
      </c>
      <c r="G669" s="18">
        <v>3857587.61</v>
      </c>
      <c r="H669" s="37">
        <f t="shared" si="35"/>
        <v>10</v>
      </c>
      <c r="I669" s="37" t="str">
        <f t="shared" si="37"/>
        <v>1-90 DAYS</v>
      </c>
      <c r="J669" s="37" t="str">
        <f t="shared" si="36"/>
        <v>0-180 DAYS</v>
      </c>
    </row>
    <row r="670" spans="1:10" hidden="1" x14ac:dyDescent="0.35">
      <c r="A670" s="88" t="s">
        <v>1209</v>
      </c>
      <c r="B670" s="88" t="s">
        <v>789</v>
      </c>
      <c r="C670" s="18" t="s">
        <v>125</v>
      </c>
      <c r="D670" s="18" t="s">
        <v>57</v>
      </c>
      <c r="E670" s="18" t="s">
        <v>2852</v>
      </c>
      <c r="F670" s="19">
        <v>45622</v>
      </c>
      <c r="G670" s="18">
        <v>286382.42</v>
      </c>
      <c r="H670" s="37">
        <f t="shared" si="35"/>
        <v>5</v>
      </c>
      <c r="I670" s="37" t="str">
        <f t="shared" si="37"/>
        <v>1-90 DAYS</v>
      </c>
      <c r="J670" s="37" t="str">
        <f t="shared" si="36"/>
        <v>0-180 DAYS</v>
      </c>
    </row>
    <row r="671" spans="1:10" hidden="1" x14ac:dyDescent="0.35">
      <c r="A671" s="88" t="s">
        <v>1209</v>
      </c>
      <c r="B671" s="88" t="s">
        <v>789</v>
      </c>
      <c r="C671" s="18" t="s">
        <v>125</v>
      </c>
      <c r="D671" s="18" t="s">
        <v>57</v>
      </c>
      <c r="E671" s="18" t="s">
        <v>2853</v>
      </c>
      <c r="F671" s="19">
        <v>45622</v>
      </c>
      <c r="G671" s="18">
        <v>6400.63</v>
      </c>
      <c r="H671" s="37">
        <f t="shared" si="35"/>
        <v>5</v>
      </c>
      <c r="I671" s="37" t="str">
        <f t="shared" si="37"/>
        <v>1-90 DAYS</v>
      </c>
      <c r="J671" s="37" t="str">
        <f t="shared" si="36"/>
        <v>0-180 DAYS</v>
      </c>
    </row>
    <row r="672" spans="1:10" hidden="1" x14ac:dyDescent="0.35">
      <c r="A672" s="88" t="s">
        <v>1209</v>
      </c>
      <c r="B672" s="88" t="s">
        <v>789</v>
      </c>
      <c r="C672" s="18" t="s">
        <v>125</v>
      </c>
      <c r="D672" s="18" t="s">
        <v>57</v>
      </c>
      <c r="E672" s="18" t="s">
        <v>2854</v>
      </c>
      <c r="F672" s="19">
        <v>45624</v>
      </c>
      <c r="G672" s="18">
        <v>361751.31</v>
      </c>
      <c r="H672" s="37">
        <f t="shared" si="35"/>
        <v>3</v>
      </c>
      <c r="I672" s="37" t="str">
        <f t="shared" si="37"/>
        <v>1-90 DAYS</v>
      </c>
      <c r="J672" s="37" t="str">
        <f t="shared" si="36"/>
        <v>0-180 DAYS</v>
      </c>
    </row>
    <row r="673" spans="1:10" hidden="1" x14ac:dyDescent="0.35">
      <c r="A673" s="88" t="s">
        <v>1209</v>
      </c>
      <c r="B673" s="88" t="s">
        <v>789</v>
      </c>
      <c r="C673" s="18" t="s">
        <v>125</v>
      </c>
      <c r="D673" s="18" t="s">
        <v>57</v>
      </c>
      <c r="E673" s="18" t="s">
        <v>2855</v>
      </c>
      <c r="F673" s="19">
        <v>45625</v>
      </c>
      <c r="G673" s="18">
        <v>391642.71</v>
      </c>
      <c r="H673" s="37">
        <f t="shared" si="35"/>
        <v>2</v>
      </c>
      <c r="I673" s="37" t="str">
        <f t="shared" si="37"/>
        <v>1-90 DAYS</v>
      </c>
      <c r="J673" s="37" t="str">
        <f t="shared" si="36"/>
        <v>0-180 DAYS</v>
      </c>
    </row>
    <row r="674" spans="1:10" hidden="1" x14ac:dyDescent="0.35">
      <c r="A674" s="88" t="s">
        <v>1209</v>
      </c>
      <c r="B674" s="88" t="s">
        <v>789</v>
      </c>
      <c r="C674" s="18" t="s">
        <v>125</v>
      </c>
      <c r="D674" s="18" t="s">
        <v>57</v>
      </c>
      <c r="E674" s="18" t="s">
        <v>2856</v>
      </c>
      <c r="F674" s="19">
        <v>45625</v>
      </c>
      <c r="G674" s="18">
        <v>3452.11</v>
      </c>
      <c r="H674" s="37">
        <f t="shared" si="35"/>
        <v>2</v>
      </c>
      <c r="I674" s="37" t="str">
        <f t="shared" si="37"/>
        <v>1-90 DAYS</v>
      </c>
      <c r="J674" s="37" t="str">
        <f t="shared" si="36"/>
        <v>0-180 DAYS</v>
      </c>
    </row>
    <row r="675" spans="1:10" hidden="1" x14ac:dyDescent="0.35">
      <c r="A675" s="88" t="s">
        <v>1209</v>
      </c>
      <c r="B675" s="88" t="s">
        <v>789</v>
      </c>
      <c r="C675" s="18" t="s">
        <v>125</v>
      </c>
      <c r="D675" s="18" t="s">
        <v>57</v>
      </c>
      <c r="E675" s="18" t="s">
        <v>77</v>
      </c>
      <c r="F675" s="19">
        <v>45602</v>
      </c>
      <c r="G675" s="18">
        <v>11301.9</v>
      </c>
      <c r="H675" s="37">
        <f t="shared" si="35"/>
        <v>25</v>
      </c>
      <c r="I675" s="37" t="str">
        <f t="shared" si="37"/>
        <v>1-90 DAYS</v>
      </c>
      <c r="J675" s="37" t="str">
        <f t="shared" si="36"/>
        <v>0-180 DAYS</v>
      </c>
    </row>
    <row r="676" spans="1:10" hidden="1" x14ac:dyDescent="0.35">
      <c r="A676" s="88" t="s">
        <v>1209</v>
      </c>
      <c r="B676" s="88" t="s">
        <v>789</v>
      </c>
      <c r="C676" s="18" t="s">
        <v>125</v>
      </c>
      <c r="D676" s="18" t="s">
        <v>57</v>
      </c>
      <c r="E676" s="18" t="s">
        <v>303</v>
      </c>
      <c r="F676" s="19">
        <v>45609</v>
      </c>
      <c r="G676" s="18">
        <v>153431.47</v>
      </c>
      <c r="H676" s="37">
        <f t="shared" si="35"/>
        <v>18</v>
      </c>
      <c r="I676" s="37" t="str">
        <f t="shared" si="37"/>
        <v>1-90 DAYS</v>
      </c>
      <c r="J676" s="37" t="str">
        <f t="shared" si="36"/>
        <v>0-180 DAYS</v>
      </c>
    </row>
    <row r="677" spans="1:10" hidden="1" x14ac:dyDescent="0.35">
      <c r="A677" s="88" t="s">
        <v>1209</v>
      </c>
      <c r="B677" s="88" t="s">
        <v>789</v>
      </c>
      <c r="C677" s="18" t="s">
        <v>125</v>
      </c>
      <c r="D677" s="18" t="s">
        <v>57</v>
      </c>
      <c r="E677" s="18" t="s">
        <v>309</v>
      </c>
      <c r="F677" s="19">
        <v>45618</v>
      </c>
      <c r="G677" s="18">
        <v>382353.05</v>
      </c>
      <c r="H677" s="37">
        <f t="shared" si="35"/>
        <v>9</v>
      </c>
      <c r="I677" s="37" t="str">
        <f t="shared" si="37"/>
        <v>1-90 DAYS</v>
      </c>
      <c r="J677" s="37" t="str">
        <f t="shared" si="36"/>
        <v>0-180 DAYS</v>
      </c>
    </row>
    <row r="678" spans="1:10" hidden="1" x14ac:dyDescent="0.35">
      <c r="A678" s="88" t="s">
        <v>1209</v>
      </c>
      <c r="B678" s="88" t="s">
        <v>789</v>
      </c>
      <c r="C678" s="18" t="s">
        <v>125</v>
      </c>
      <c r="D678" s="18" t="s">
        <v>57</v>
      </c>
      <c r="E678" s="18" t="s">
        <v>463</v>
      </c>
      <c r="F678" s="19">
        <v>45625</v>
      </c>
      <c r="G678" s="18">
        <v>3300.26</v>
      </c>
      <c r="H678" s="37">
        <f t="shared" si="35"/>
        <v>2</v>
      </c>
      <c r="I678" s="37" t="str">
        <f t="shared" si="37"/>
        <v>1-90 DAYS</v>
      </c>
      <c r="J678" s="37" t="str">
        <f t="shared" si="36"/>
        <v>0-180 DAYS</v>
      </c>
    </row>
    <row r="679" spans="1:10" hidden="1" x14ac:dyDescent="0.35">
      <c r="A679" s="88" t="s">
        <v>1209</v>
      </c>
      <c r="B679" s="88" t="s">
        <v>789</v>
      </c>
      <c r="C679" s="18" t="s">
        <v>125</v>
      </c>
      <c r="D679" s="18" t="s">
        <v>57</v>
      </c>
      <c r="E679" s="18" t="s">
        <v>2857</v>
      </c>
      <c r="F679" s="19">
        <v>45626</v>
      </c>
      <c r="G679" s="18">
        <v>778.14</v>
      </c>
      <c r="H679" s="37">
        <f t="shared" si="35"/>
        <v>1</v>
      </c>
      <c r="I679" s="37" t="str">
        <f t="shared" si="37"/>
        <v>1-90 DAYS</v>
      </c>
      <c r="J679" s="37" t="str">
        <f t="shared" si="36"/>
        <v>0-180 DAYS</v>
      </c>
    </row>
  </sheetData>
  <autoFilter ref="A4:L679" xr:uid="{F01D9CDB-6CEC-4BE0-B41A-9250C41CF7AF}">
    <filterColumn colId="0">
      <filters>
        <filter val="Export"/>
      </filters>
    </filterColumn>
  </autoFilter>
  <conditionalFormatting sqref="E4">
    <cfRule type="duplicateValues" dxfId="112" priority="1"/>
    <cfRule type="duplicateValues" dxfId="111" priority="2"/>
  </conditionalFormatting>
  <conditionalFormatting sqref="E5">
    <cfRule type="duplicateValues" dxfId="110" priority="3"/>
  </conditionalFormatting>
  <conditionalFormatting sqref="E5:E6">
    <cfRule type="duplicateValues" dxfId="109" priority="6"/>
    <cfRule type="duplicateValues" dxfId="108" priority="7"/>
  </conditionalFormatting>
  <conditionalFormatting sqref="E22:E25">
    <cfRule type="duplicateValues" dxfId="107" priority="4"/>
  </conditionalFormatting>
  <conditionalFormatting sqref="E22:E27">
    <cfRule type="duplicateValues" dxfId="106" priority="5"/>
  </conditionalFormatting>
  <conditionalFormatting sqref="E22:E34">
    <cfRule type="duplicateValues" dxfId="105" priority="8"/>
    <cfRule type="duplicateValues" dxfId="104" priority="9"/>
  </conditionalFormatting>
  <dataValidations count="2">
    <dataValidation type="textLength" operator="lessThanOrEqual" allowBlank="1" showInputMessage="1" showErrorMessage="1" error="Invoice number cannot be greater 18 characters" sqref="E5 E22:E27" xr:uid="{AFDCEA6E-1251-4346-8F01-E401ADBFDFCF}">
      <formula1>18</formula1>
    </dataValidation>
    <dataValidation type="textLength" allowBlank="1" showInputMessage="1" showErrorMessage="1" error="GST Number, please update 15 characters" sqref="D5 D22:D27 D165 D219:D294" xr:uid="{3EBDC87E-E626-4800-B6CC-1871D1BDE84E}">
      <formula1>15</formula1>
      <formula2>15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AE60-BB0E-456C-B9BD-D3AA5E5C08C8}">
  <sheetPr codeName="Sheet5">
    <tabColor rgb="FF00B050"/>
  </sheetPr>
  <dimension ref="A3:L107"/>
  <sheetViews>
    <sheetView topLeftCell="B1" workbookViewId="0">
      <pane ySplit="4" topLeftCell="A39" activePane="bottomLeft" state="frozen"/>
      <selection pane="bottomLeft" activeCell="F46" sqref="F46"/>
    </sheetView>
  </sheetViews>
  <sheetFormatPr defaultRowHeight="14.5" x14ac:dyDescent="0.35"/>
  <cols>
    <col min="1" max="1" width="47" bestFit="1" customWidth="1"/>
    <col min="2" max="2" width="16.54296875" style="67" bestFit="1" customWidth="1"/>
    <col min="3" max="3" width="13.6328125" style="67" bestFit="1" customWidth="1"/>
    <col min="4" max="4" width="12.1796875" style="67" bestFit="1" customWidth="1"/>
    <col min="5" max="5" width="12.08984375" style="67" bestFit="1" customWidth="1"/>
    <col min="6" max="6" width="19.08984375" style="67" bestFit="1" customWidth="1"/>
    <col min="7" max="7" width="13.81640625" style="67" bestFit="1" customWidth="1"/>
    <col min="8" max="8" width="14.6328125" style="67" bestFit="1" customWidth="1"/>
    <col min="9" max="9" width="12" bestFit="1" customWidth="1"/>
    <col min="10" max="10" width="12.54296875" bestFit="1" customWidth="1"/>
    <col min="11" max="11" width="13.6328125" bestFit="1" customWidth="1"/>
    <col min="12" max="12" width="11" bestFit="1" customWidth="1"/>
  </cols>
  <sheetData>
    <row r="3" spans="1:9" x14ac:dyDescent="0.35">
      <c r="A3" s="58" t="s">
        <v>1049</v>
      </c>
      <c r="B3" s="109" t="s">
        <v>1053</v>
      </c>
      <c r="C3" s="66"/>
      <c r="D3" s="66"/>
      <c r="E3" s="66"/>
      <c r="F3" s="66"/>
      <c r="G3" s="66"/>
    </row>
    <row r="4" spans="1:9" x14ac:dyDescent="0.35">
      <c r="A4" s="58" t="s">
        <v>1050</v>
      </c>
      <c r="B4" s="66" t="s">
        <v>783</v>
      </c>
      <c r="C4" s="66" t="s">
        <v>482</v>
      </c>
      <c r="D4" s="66" t="s">
        <v>481</v>
      </c>
      <c r="E4" s="66" t="s">
        <v>480</v>
      </c>
      <c r="F4" s="66" t="s">
        <v>782</v>
      </c>
      <c r="G4" s="66" t="s">
        <v>1048</v>
      </c>
    </row>
    <row r="5" spans="1:9" x14ac:dyDescent="0.35">
      <c r="A5" s="59" t="s">
        <v>1209</v>
      </c>
      <c r="B5" s="66"/>
      <c r="C5" s="66">
        <v>10266317.199999999</v>
      </c>
      <c r="D5" s="66">
        <v>80874816.900000051</v>
      </c>
      <c r="E5" s="66">
        <v>3051802.2</v>
      </c>
      <c r="F5" s="66">
        <v>1668410.56</v>
      </c>
      <c r="G5" s="66">
        <v>95861346.860000044</v>
      </c>
    </row>
    <row r="6" spans="1:9" x14ac:dyDescent="0.35">
      <c r="A6" s="90" t="s">
        <v>506</v>
      </c>
      <c r="B6" s="66"/>
      <c r="C6" s="66">
        <v>10266317.199999999</v>
      </c>
      <c r="D6" s="66">
        <v>3344386.8000000003</v>
      </c>
      <c r="E6" s="66">
        <v>3051802.2</v>
      </c>
      <c r="F6" s="66">
        <v>1668410.56</v>
      </c>
      <c r="G6" s="66">
        <v>18330916.759999998</v>
      </c>
    </row>
    <row r="7" spans="1:9" x14ac:dyDescent="0.35">
      <c r="A7" s="90" t="s">
        <v>125</v>
      </c>
      <c r="B7" s="66"/>
      <c r="C7" s="66"/>
      <c r="D7" s="66">
        <v>77530430.100000054</v>
      </c>
      <c r="E7" s="66"/>
      <c r="F7" s="66"/>
      <c r="G7" s="66">
        <v>77530430.100000054</v>
      </c>
    </row>
    <row r="8" spans="1:9" x14ac:dyDescent="0.35">
      <c r="A8" s="59" t="s">
        <v>1727</v>
      </c>
      <c r="B8" s="66"/>
      <c r="C8" s="66"/>
      <c r="D8" s="66">
        <v>75220892.157555223</v>
      </c>
      <c r="E8" s="66"/>
      <c r="F8" s="66"/>
      <c r="G8" s="66">
        <v>75220892.157555223</v>
      </c>
    </row>
    <row r="9" spans="1:9" x14ac:dyDescent="0.35">
      <c r="A9" s="90" t="s">
        <v>1729</v>
      </c>
      <c r="B9" s="66"/>
      <c r="C9" s="66"/>
      <c r="D9" s="66">
        <v>41529137.147555202</v>
      </c>
      <c r="E9" s="66"/>
      <c r="F9" s="66"/>
      <c r="G9" s="66">
        <v>41529137.147555202</v>
      </c>
    </row>
    <row r="10" spans="1:9" x14ac:dyDescent="0.35">
      <c r="A10" s="90" t="s">
        <v>1728</v>
      </c>
      <c r="B10" s="66"/>
      <c r="C10" s="66"/>
      <c r="D10" s="66">
        <v>33691755.010000013</v>
      </c>
      <c r="E10" s="66"/>
      <c r="F10" s="66"/>
      <c r="G10" s="66">
        <v>33691755.010000013</v>
      </c>
      <c r="H10" s="115"/>
    </row>
    <row r="11" spans="1:9" x14ac:dyDescent="0.35">
      <c r="A11" s="59" t="s">
        <v>477</v>
      </c>
      <c r="B11" s="66"/>
      <c r="C11" s="66">
        <v>541861.72</v>
      </c>
      <c r="D11" s="66">
        <v>91307415.849999994</v>
      </c>
      <c r="E11" s="66">
        <v>21227769.710000001</v>
      </c>
      <c r="F11" s="66">
        <v>8694257.4499999993</v>
      </c>
      <c r="G11" s="66">
        <v>121771304.73</v>
      </c>
      <c r="H11" s="67">
        <f>SUM(H12:H39)</f>
        <v>68577755.57099998</v>
      </c>
      <c r="I11" s="66">
        <f>G11-H11</f>
        <v>53193549.159000024</v>
      </c>
    </row>
    <row r="12" spans="1:9" x14ac:dyDescent="0.35">
      <c r="A12" s="90" t="s">
        <v>1087</v>
      </c>
      <c r="B12" s="66"/>
      <c r="C12" s="66"/>
      <c r="D12" s="66">
        <v>1496751.6400000001</v>
      </c>
      <c r="E12" s="66"/>
      <c r="F12" s="66"/>
      <c r="G12" s="66">
        <v>1496751.6400000001</v>
      </c>
      <c r="H12" s="67">
        <v>1496751.6199999999</v>
      </c>
      <c r="I12" s="66">
        <f t="shared" ref="I12:I43" si="0">G12-H12</f>
        <v>2.0000000251457095E-2</v>
      </c>
    </row>
    <row r="13" spans="1:9" x14ac:dyDescent="0.35">
      <c r="A13" s="90" t="s">
        <v>221</v>
      </c>
      <c r="B13" s="66"/>
      <c r="C13" s="66"/>
      <c r="D13" s="66">
        <v>154659.89000000001</v>
      </c>
      <c r="E13" s="66"/>
      <c r="F13" s="66"/>
      <c r="G13" s="66">
        <v>154659.89000000001</v>
      </c>
      <c r="H13" s="67">
        <v>154659.89000000001</v>
      </c>
      <c r="I13" s="66">
        <f t="shared" si="0"/>
        <v>0</v>
      </c>
    </row>
    <row r="14" spans="1:9" x14ac:dyDescent="0.35">
      <c r="A14" s="90" t="s">
        <v>0</v>
      </c>
      <c r="B14" s="66"/>
      <c r="C14" s="66"/>
      <c r="D14" s="66">
        <v>52321.2</v>
      </c>
      <c r="E14" s="66"/>
      <c r="F14" s="66">
        <v>132272.09999999998</v>
      </c>
      <c r="G14" s="66">
        <v>184593.3</v>
      </c>
      <c r="H14" s="67">
        <v>184593.3</v>
      </c>
      <c r="I14" s="66">
        <f t="shared" si="0"/>
        <v>0</v>
      </c>
    </row>
    <row r="15" spans="1:9" x14ac:dyDescent="0.35">
      <c r="A15" s="90" t="s">
        <v>3</v>
      </c>
      <c r="B15" s="66"/>
      <c r="C15" s="66"/>
      <c r="D15" s="66"/>
      <c r="E15" s="66"/>
      <c r="F15" s="66">
        <v>10659.07</v>
      </c>
      <c r="G15" s="66">
        <v>10659.07</v>
      </c>
      <c r="H15" s="67">
        <v>10659.069999999832</v>
      </c>
      <c r="I15" s="66">
        <f t="shared" si="0"/>
        <v>1.673470251262188E-10</v>
      </c>
    </row>
    <row r="16" spans="1:9" x14ac:dyDescent="0.35">
      <c r="A16" s="90" t="s">
        <v>1841</v>
      </c>
      <c r="B16" s="66"/>
      <c r="C16" s="66"/>
      <c r="D16" s="66">
        <v>18408</v>
      </c>
      <c r="E16" s="66"/>
      <c r="F16" s="66"/>
      <c r="G16" s="66">
        <v>18408</v>
      </c>
      <c r="H16" s="67">
        <v>18408</v>
      </c>
      <c r="I16" s="66">
        <f t="shared" si="0"/>
        <v>0</v>
      </c>
    </row>
    <row r="17" spans="1:9" x14ac:dyDescent="0.35">
      <c r="A17" s="90" t="s">
        <v>1496</v>
      </c>
      <c r="B17" s="66"/>
      <c r="C17" s="66"/>
      <c r="D17" s="66">
        <v>36772115</v>
      </c>
      <c r="E17" s="66"/>
      <c r="F17" s="66"/>
      <c r="G17" s="66">
        <v>36772115</v>
      </c>
      <c r="H17" s="67">
        <v>36772115</v>
      </c>
      <c r="I17" s="66">
        <f t="shared" si="0"/>
        <v>0</v>
      </c>
    </row>
    <row r="18" spans="1:9" x14ac:dyDescent="0.35">
      <c r="A18" s="90" t="s">
        <v>5</v>
      </c>
      <c r="B18" s="66"/>
      <c r="C18" s="66"/>
      <c r="D18" s="66">
        <v>251340</v>
      </c>
      <c r="E18" s="66"/>
      <c r="F18" s="66">
        <v>14691</v>
      </c>
      <c r="G18" s="66">
        <v>266031</v>
      </c>
      <c r="H18" s="67">
        <v>266031</v>
      </c>
      <c r="I18" s="66">
        <f t="shared" si="0"/>
        <v>0</v>
      </c>
    </row>
    <row r="19" spans="1:9" x14ac:dyDescent="0.35">
      <c r="A19" s="90" t="s">
        <v>1840</v>
      </c>
      <c r="B19" s="66"/>
      <c r="C19" s="66"/>
      <c r="D19" s="66">
        <v>233197.5</v>
      </c>
      <c r="E19" s="66"/>
      <c r="F19" s="66"/>
      <c r="G19" s="66">
        <v>233197.5</v>
      </c>
      <c r="H19" s="67">
        <v>233197.5</v>
      </c>
      <c r="I19" s="66">
        <f t="shared" si="0"/>
        <v>0</v>
      </c>
    </row>
    <row r="20" spans="1:9" x14ac:dyDescent="0.35">
      <c r="A20" s="90" t="s">
        <v>1056</v>
      </c>
      <c r="B20" s="66"/>
      <c r="C20" s="66"/>
      <c r="D20" s="66">
        <v>41117.1</v>
      </c>
      <c r="E20" s="66"/>
      <c r="F20" s="66"/>
      <c r="G20" s="66">
        <v>41117.1</v>
      </c>
      <c r="H20" s="67">
        <v>41117.199999999997</v>
      </c>
      <c r="I20" s="66">
        <f t="shared" si="0"/>
        <v>-9.9999999998544808E-2</v>
      </c>
    </row>
    <row r="21" spans="1:9" x14ac:dyDescent="0.35">
      <c r="A21" s="90" t="s">
        <v>1497</v>
      </c>
      <c r="B21" s="66"/>
      <c r="C21" s="66"/>
      <c r="D21" s="66">
        <v>448148.25</v>
      </c>
      <c r="E21" s="66"/>
      <c r="F21" s="66"/>
      <c r="G21" s="66">
        <v>448148.25</v>
      </c>
      <c r="H21" s="67">
        <v>448148.25</v>
      </c>
      <c r="I21" s="66">
        <f t="shared" si="0"/>
        <v>0</v>
      </c>
    </row>
    <row r="22" spans="1:9" x14ac:dyDescent="0.35">
      <c r="A22" s="90" t="s">
        <v>259</v>
      </c>
      <c r="B22" s="66"/>
      <c r="C22" s="66"/>
      <c r="D22" s="66">
        <v>1760685</v>
      </c>
      <c r="E22" s="66"/>
      <c r="F22" s="66"/>
      <c r="G22" s="66">
        <v>1760685</v>
      </c>
      <c r="H22" s="67">
        <v>1760685.15</v>
      </c>
      <c r="I22" s="66">
        <f t="shared" si="0"/>
        <v>-0.14999999990686774</v>
      </c>
    </row>
    <row r="23" spans="1:9" x14ac:dyDescent="0.35">
      <c r="A23" s="90" t="s">
        <v>1838</v>
      </c>
      <c r="B23" s="66"/>
      <c r="C23" s="66"/>
      <c r="D23" s="66">
        <v>225692.7</v>
      </c>
      <c r="E23" s="66"/>
      <c r="F23" s="66"/>
      <c r="G23" s="66">
        <v>225692.7</v>
      </c>
      <c r="H23" s="67">
        <v>225692.7</v>
      </c>
      <c r="I23" s="66">
        <f t="shared" si="0"/>
        <v>0</v>
      </c>
    </row>
    <row r="24" spans="1:9" x14ac:dyDescent="0.35">
      <c r="A24" s="90" t="s">
        <v>13</v>
      </c>
      <c r="B24" s="66"/>
      <c r="C24" s="66"/>
      <c r="D24" s="66"/>
      <c r="E24" s="66"/>
      <c r="F24" s="66">
        <v>81031.210000000006</v>
      </c>
      <c r="G24" s="66">
        <v>81031.210000000006</v>
      </c>
      <c r="H24" s="67">
        <v>81031.210000000006</v>
      </c>
      <c r="I24" s="66">
        <f t="shared" si="0"/>
        <v>0</v>
      </c>
    </row>
    <row r="25" spans="1:9" x14ac:dyDescent="0.35">
      <c r="A25" s="90" t="s">
        <v>1093</v>
      </c>
      <c r="B25" s="66"/>
      <c r="C25" s="66"/>
      <c r="D25" s="66">
        <v>364283</v>
      </c>
      <c r="E25" s="66"/>
      <c r="F25" s="66"/>
      <c r="G25" s="66">
        <v>364283</v>
      </c>
      <c r="H25" s="67">
        <v>364283</v>
      </c>
      <c r="I25" s="66">
        <f t="shared" si="0"/>
        <v>0</v>
      </c>
    </row>
    <row r="26" spans="1:9" x14ac:dyDescent="0.35">
      <c r="A26" s="90" t="s">
        <v>277</v>
      </c>
      <c r="B26" s="66"/>
      <c r="C26" s="66"/>
      <c r="D26" s="66"/>
      <c r="E26" s="66"/>
      <c r="F26" s="66">
        <v>19519.82</v>
      </c>
      <c r="G26" s="66">
        <v>19519.82</v>
      </c>
      <c r="H26" s="67">
        <v>19519.820999996737</v>
      </c>
      <c r="I26" s="66">
        <f t="shared" si="0"/>
        <v>-9.9999673693673685E-4</v>
      </c>
    </row>
    <row r="27" spans="1:9" x14ac:dyDescent="0.35">
      <c r="A27" s="90" t="s">
        <v>1080</v>
      </c>
      <c r="B27" s="66"/>
      <c r="C27" s="66"/>
      <c r="D27" s="66">
        <v>41971907.739999995</v>
      </c>
      <c r="E27" s="66">
        <v>20566686.120000001</v>
      </c>
      <c r="F27" s="66"/>
      <c r="G27" s="66">
        <v>62538593.859999999</v>
      </c>
      <c r="H27" s="67">
        <v>9345044.3299999684</v>
      </c>
      <c r="I27" s="66">
        <f t="shared" si="0"/>
        <v>53193549.530000031</v>
      </c>
    </row>
    <row r="28" spans="1:9" x14ac:dyDescent="0.35">
      <c r="A28" s="90" t="s">
        <v>20</v>
      </c>
      <c r="B28" s="66"/>
      <c r="C28" s="66"/>
      <c r="D28" s="66"/>
      <c r="E28" s="66"/>
      <c r="F28" s="66">
        <v>4254750.16</v>
      </c>
      <c r="G28" s="66">
        <v>4254750.16</v>
      </c>
      <c r="H28" s="67">
        <v>4254750.16</v>
      </c>
      <c r="I28" s="66">
        <f t="shared" si="0"/>
        <v>0</v>
      </c>
    </row>
    <row r="29" spans="1:9" x14ac:dyDescent="0.35">
      <c r="A29" s="90" t="s">
        <v>1082</v>
      </c>
      <c r="B29" s="66"/>
      <c r="C29" s="66"/>
      <c r="D29" s="66"/>
      <c r="E29" s="66"/>
      <c r="F29" s="66">
        <v>2519</v>
      </c>
      <c r="G29" s="66">
        <v>2519</v>
      </c>
      <c r="H29" s="67">
        <v>2519</v>
      </c>
      <c r="I29" s="66">
        <f t="shared" si="0"/>
        <v>0</v>
      </c>
    </row>
    <row r="30" spans="1:9" x14ac:dyDescent="0.35">
      <c r="A30" s="90" t="s">
        <v>1839</v>
      </c>
      <c r="B30" s="66"/>
      <c r="C30" s="66"/>
      <c r="D30" s="66">
        <v>102762.66</v>
      </c>
      <c r="E30" s="66"/>
      <c r="F30" s="66"/>
      <c r="G30" s="66">
        <v>102762.66</v>
      </c>
      <c r="H30" s="67">
        <v>102762.66</v>
      </c>
      <c r="I30" s="66">
        <f t="shared" si="0"/>
        <v>0</v>
      </c>
    </row>
    <row r="31" spans="1:9" x14ac:dyDescent="0.35">
      <c r="A31" s="90" t="s">
        <v>1206</v>
      </c>
      <c r="B31" s="66"/>
      <c r="C31" s="66"/>
      <c r="D31" s="66"/>
      <c r="E31" s="66">
        <v>3112</v>
      </c>
      <c r="F31" s="66"/>
      <c r="G31" s="66">
        <v>3112</v>
      </c>
      <c r="H31" s="67">
        <v>3112.3999999999069</v>
      </c>
      <c r="I31" s="66">
        <f t="shared" si="0"/>
        <v>-0.39999999990686774</v>
      </c>
    </row>
    <row r="32" spans="1:9" x14ac:dyDescent="0.35">
      <c r="A32" s="90" t="s">
        <v>26</v>
      </c>
      <c r="B32" s="66"/>
      <c r="C32" s="66"/>
      <c r="D32" s="66">
        <v>3420.2200000000003</v>
      </c>
      <c r="E32" s="66"/>
      <c r="F32" s="66"/>
      <c r="G32" s="66">
        <v>3420.2200000000003</v>
      </c>
      <c r="H32" s="67">
        <v>3420.2200000000003</v>
      </c>
      <c r="I32" s="66">
        <f t="shared" si="0"/>
        <v>0</v>
      </c>
    </row>
    <row r="33" spans="1:12" x14ac:dyDescent="0.35">
      <c r="A33" s="90" t="s">
        <v>263</v>
      </c>
      <c r="B33" s="66"/>
      <c r="C33" s="66">
        <v>541861.72</v>
      </c>
      <c r="D33" s="66">
        <v>1352576.31</v>
      </c>
      <c r="E33" s="66">
        <v>657971.59</v>
      </c>
      <c r="F33" s="66"/>
      <c r="G33" s="66">
        <v>2552409.62</v>
      </c>
      <c r="H33" s="67">
        <v>2552409.3400000003</v>
      </c>
      <c r="I33" s="66">
        <f t="shared" si="0"/>
        <v>0.27999999979510903</v>
      </c>
    </row>
    <row r="34" spans="1:12" x14ac:dyDescent="0.35">
      <c r="A34" s="90" t="s">
        <v>35</v>
      </c>
      <c r="B34" s="66"/>
      <c r="C34" s="66"/>
      <c r="D34" s="66"/>
      <c r="E34" s="66"/>
      <c r="F34" s="66">
        <v>580857.09</v>
      </c>
      <c r="G34" s="66">
        <v>580857.09</v>
      </c>
      <c r="H34" s="67">
        <v>580857.16000000015</v>
      </c>
      <c r="I34" s="66">
        <f t="shared" si="0"/>
        <v>-7.0000000181607902E-2</v>
      </c>
    </row>
    <row r="35" spans="1:12" x14ac:dyDescent="0.35">
      <c r="A35" s="90" t="s">
        <v>1196</v>
      </c>
      <c r="B35" s="66"/>
      <c r="C35" s="66"/>
      <c r="D35" s="66">
        <v>2037535.5</v>
      </c>
      <c r="E35" s="66"/>
      <c r="F35" s="66"/>
      <c r="G35" s="66">
        <v>2037535.5</v>
      </c>
      <c r="H35" s="67">
        <v>2037535.4500000002</v>
      </c>
      <c r="I35" s="66">
        <f t="shared" si="0"/>
        <v>4.9999999813735485E-2</v>
      </c>
    </row>
    <row r="36" spans="1:12" x14ac:dyDescent="0.35">
      <c r="A36" s="90" t="s">
        <v>38</v>
      </c>
      <c r="B36" s="66"/>
      <c r="C36" s="66"/>
      <c r="D36" s="66"/>
      <c r="E36" s="66"/>
      <c r="F36" s="66">
        <v>3597958</v>
      </c>
      <c r="G36" s="66">
        <v>3597958</v>
      </c>
      <c r="H36" s="67">
        <v>3597958</v>
      </c>
      <c r="I36" s="66">
        <f t="shared" si="0"/>
        <v>0</v>
      </c>
    </row>
    <row r="37" spans="1:12" x14ac:dyDescent="0.35">
      <c r="A37" s="90" t="s">
        <v>1495</v>
      </c>
      <c r="B37" s="66"/>
      <c r="C37" s="66"/>
      <c r="D37" s="66">
        <v>251508.66</v>
      </c>
      <c r="E37" s="66"/>
      <c r="F37" s="66"/>
      <c r="G37" s="66">
        <v>251508.66</v>
      </c>
      <c r="H37" s="67">
        <v>251508.66</v>
      </c>
      <c r="I37" s="66">
        <f t="shared" si="0"/>
        <v>0</v>
      </c>
    </row>
    <row r="38" spans="1:12" x14ac:dyDescent="0.35">
      <c r="A38" s="90" t="s">
        <v>430</v>
      </c>
      <c r="B38" s="66"/>
      <c r="C38" s="66"/>
      <c r="D38" s="66">
        <v>581141.48</v>
      </c>
      <c r="E38" s="66"/>
      <c r="F38" s="66"/>
      <c r="G38" s="66">
        <v>581141.48</v>
      </c>
      <c r="H38" s="67">
        <v>581141.48000000045</v>
      </c>
      <c r="I38" s="66">
        <f t="shared" si="0"/>
        <v>0</v>
      </c>
    </row>
    <row r="39" spans="1:12" x14ac:dyDescent="0.35">
      <c r="A39" s="90" t="s">
        <v>51</v>
      </c>
      <c r="B39" s="66"/>
      <c r="C39" s="66"/>
      <c r="D39" s="66">
        <v>3187844</v>
      </c>
      <c r="E39" s="66"/>
      <c r="F39" s="66"/>
      <c r="G39" s="66">
        <v>3187844</v>
      </c>
      <c r="H39" s="67">
        <v>3187844</v>
      </c>
      <c r="I39" s="66">
        <f t="shared" si="0"/>
        <v>0</v>
      </c>
    </row>
    <row r="40" spans="1:12" x14ac:dyDescent="0.35">
      <c r="A40" s="59" t="s">
        <v>1085</v>
      </c>
      <c r="B40" s="66">
        <v>684019786.54000008</v>
      </c>
      <c r="C40" s="66">
        <v>48081444.36999999</v>
      </c>
      <c r="D40" s="66"/>
      <c r="E40" s="66"/>
      <c r="F40" s="66">
        <v>9659110.5600000005</v>
      </c>
      <c r="G40" s="66">
        <v>741760341.47000015</v>
      </c>
      <c r="H40" s="115">
        <f>SUM(H41:H101)</f>
        <v>543141286.5999999</v>
      </c>
      <c r="I40" s="115">
        <f>SUM(I41:I101)</f>
        <v>198619054.87</v>
      </c>
    </row>
    <row r="41" spans="1:12" x14ac:dyDescent="0.35">
      <c r="A41" s="90" t="s">
        <v>1331</v>
      </c>
      <c r="B41" s="66">
        <v>1034451.8</v>
      </c>
      <c r="C41" s="66"/>
      <c r="D41" s="66"/>
      <c r="E41" s="66"/>
      <c r="F41" s="66"/>
      <c r="G41" s="66">
        <v>1034451.8</v>
      </c>
      <c r="H41" s="67">
        <v>0</v>
      </c>
      <c r="I41" s="66">
        <f t="shared" si="0"/>
        <v>1034451.8</v>
      </c>
      <c r="K41" s="67"/>
    </row>
    <row r="42" spans="1:12" x14ac:dyDescent="0.35">
      <c r="A42" s="90" t="s">
        <v>518</v>
      </c>
      <c r="B42" s="66"/>
      <c r="C42" s="66"/>
      <c r="D42" s="66"/>
      <c r="E42" s="66"/>
      <c r="F42" s="66">
        <v>3151699.2</v>
      </c>
      <c r="G42" s="66">
        <v>3151699.2</v>
      </c>
      <c r="H42" s="67">
        <v>3151699.2</v>
      </c>
      <c r="I42" s="66">
        <f t="shared" si="0"/>
        <v>0</v>
      </c>
      <c r="K42" s="67"/>
    </row>
    <row r="43" spans="1:12" x14ac:dyDescent="0.35">
      <c r="A43" s="110" t="s">
        <v>1054</v>
      </c>
      <c r="B43" s="66">
        <v>45220955.329999991</v>
      </c>
      <c r="C43" s="66"/>
      <c r="D43" s="66"/>
      <c r="E43" s="66"/>
      <c r="F43" s="66"/>
      <c r="G43" s="66">
        <v>45220955.329999991</v>
      </c>
      <c r="H43" s="67">
        <v>12207112.789999999</v>
      </c>
      <c r="I43" s="66">
        <f t="shared" si="0"/>
        <v>33013842.539999992</v>
      </c>
      <c r="J43" s="47"/>
      <c r="K43" s="67"/>
      <c r="L43" s="66"/>
    </row>
    <row r="44" spans="1:12" x14ac:dyDescent="0.35">
      <c r="A44" s="110" t="s">
        <v>1091</v>
      </c>
      <c r="B44" s="66">
        <v>13037135.379999999</v>
      </c>
      <c r="C44" s="66"/>
      <c r="D44" s="66"/>
      <c r="E44" s="66"/>
      <c r="F44" s="66"/>
      <c r="G44" s="66">
        <v>13037135.379999999</v>
      </c>
      <c r="H44" s="67">
        <v>13037135.380000001</v>
      </c>
      <c r="I44" s="66">
        <f>G44-H44</f>
        <v>0</v>
      </c>
      <c r="J44" s="47"/>
      <c r="K44" s="67"/>
    </row>
    <row r="45" spans="1:12" x14ac:dyDescent="0.35">
      <c r="A45" s="90" t="s">
        <v>732</v>
      </c>
      <c r="B45" s="66">
        <v>612913.04</v>
      </c>
      <c r="C45" s="66"/>
      <c r="D45" s="66"/>
      <c r="E45" s="66"/>
      <c r="F45" s="66"/>
      <c r="G45" s="66">
        <v>612913.04</v>
      </c>
      <c r="H45" s="67">
        <v>0</v>
      </c>
      <c r="I45" s="66">
        <f>G45-H45</f>
        <v>612913.04</v>
      </c>
      <c r="J45" s="47"/>
      <c r="K45" s="67"/>
    </row>
    <row r="46" spans="1:12" x14ac:dyDescent="0.35">
      <c r="A46" s="90" t="s">
        <v>715</v>
      </c>
      <c r="B46" s="66">
        <v>3352284</v>
      </c>
      <c r="C46" s="66"/>
      <c r="D46" s="66"/>
      <c r="E46" s="66"/>
      <c r="F46" s="66"/>
      <c r="G46" s="66">
        <v>3352284</v>
      </c>
      <c r="H46" s="67">
        <v>3352284</v>
      </c>
      <c r="I46" s="66">
        <f t="shared" ref="I46:I101" si="1">G46-H46</f>
        <v>0</v>
      </c>
      <c r="K46" s="67"/>
    </row>
    <row r="47" spans="1:12" x14ac:dyDescent="0.35">
      <c r="A47" s="90" t="s">
        <v>1330</v>
      </c>
      <c r="B47" s="66">
        <v>2198648.0299999998</v>
      </c>
      <c r="C47" s="66"/>
      <c r="D47" s="66"/>
      <c r="E47" s="66"/>
      <c r="F47" s="66"/>
      <c r="G47" s="66">
        <v>2198648.0299999998</v>
      </c>
      <c r="H47" s="67">
        <v>0</v>
      </c>
      <c r="I47" s="66">
        <f t="shared" si="1"/>
        <v>2198648.0299999998</v>
      </c>
      <c r="J47" s="47"/>
      <c r="K47" s="67"/>
    </row>
    <row r="48" spans="1:12" x14ac:dyDescent="0.35">
      <c r="A48" s="118" t="s">
        <v>667</v>
      </c>
      <c r="B48" s="66">
        <v>4999157.12</v>
      </c>
      <c r="C48" s="66"/>
      <c r="D48" s="66"/>
      <c r="E48" s="66"/>
      <c r="F48" s="66"/>
      <c r="G48" s="66">
        <v>4999157.12</v>
      </c>
      <c r="H48" s="67">
        <v>2976259.72</v>
      </c>
      <c r="I48" s="66">
        <f t="shared" si="1"/>
        <v>2022897.4</v>
      </c>
      <c r="J48" s="47"/>
      <c r="K48" s="67"/>
      <c r="L48" s="66"/>
    </row>
    <row r="49" spans="1:12" x14ac:dyDescent="0.35">
      <c r="A49" s="90" t="s">
        <v>1245</v>
      </c>
      <c r="B49" s="66">
        <v>3255363.7199999997</v>
      </c>
      <c r="C49" s="66"/>
      <c r="D49" s="66"/>
      <c r="E49" s="66"/>
      <c r="F49" s="66"/>
      <c r="G49" s="66">
        <v>3255363.7199999997</v>
      </c>
      <c r="H49" s="67">
        <v>0</v>
      </c>
      <c r="I49" s="66">
        <f t="shared" si="1"/>
        <v>3255363.7199999997</v>
      </c>
      <c r="K49" s="67"/>
    </row>
    <row r="50" spans="1:12" x14ac:dyDescent="0.35">
      <c r="A50" s="90" t="s">
        <v>1249</v>
      </c>
      <c r="B50" s="66">
        <v>16343178</v>
      </c>
      <c r="C50" s="66"/>
      <c r="D50" s="66"/>
      <c r="E50" s="66"/>
      <c r="F50" s="66"/>
      <c r="G50" s="66">
        <v>16343178</v>
      </c>
      <c r="H50" s="67">
        <v>9878328</v>
      </c>
      <c r="I50" s="116">
        <f t="shared" si="1"/>
        <v>6464850</v>
      </c>
      <c r="J50" s="47"/>
      <c r="K50" s="67"/>
      <c r="L50" s="66"/>
    </row>
    <row r="51" spans="1:12" x14ac:dyDescent="0.35">
      <c r="A51" s="90" t="s">
        <v>1764</v>
      </c>
      <c r="B51" s="66">
        <v>3246515.84</v>
      </c>
      <c r="C51" s="66"/>
      <c r="D51" s="66"/>
      <c r="E51" s="66"/>
      <c r="F51" s="66"/>
      <c r="G51" s="66">
        <v>3246515.84</v>
      </c>
      <c r="H51" s="67">
        <v>3246515.78</v>
      </c>
      <c r="I51" s="66">
        <f t="shared" si="1"/>
        <v>6.0000000055879354E-2</v>
      </c>
      <c r="K51" s="67"/>
    </row>
    <row r="52" spans="1:12" x14ac:dyDescent="0.35">
      <c r="A52" s="118" t="s">
        <v>570</v>
      </c>
      <c r="B52" s="66">
        <v>22557248.399999999</v>
      </c>
      <c r="C52" s="66">
        <v>7864792.7800000003</v>
      </c>
      <c r="D52" s="66"/>
      <c r="E52" s="66"/>
      <c r="F52" s="66"/>
      <c r="G52" s="66">
        <v>30422041.18</v>
      </c>
      <c r="H52" s="67">
        <v>30422040.719999999</v>
      </c>
      <c r="I52" s="66">
        <f t="shared" si="1"/>
        <v>0.46000000089406967</v>
      </c>
      <c r="K52" s="67"/>
    </row>
    <row r="53" spans="1:12" x14ac:dyDescent="0.35">
      <c r="A53" s="90" t="s">
        <v>520</v>
      </c>
      <c r="B53" s="66"/>
      <c r="C53" s="66"/>
      <c r="D53" s="66"/>
      <c r="E53" s="66"/>
      <c r="F53" s="66">
        <v>3151699.2</v>
      </c>
      <c r="G53" s="66">
        <v>3151699.2</v>
      </c>
      <c r="H53" s="67">
        <v>3151699.2</v>
      </c>
      <c r="I53" s="66">
        <f t="shared" si="1"/>
        <v>0</v>
      </c>
      <c r="K53" s="67"/>
    </row>
    <row r="54" spans="1:12" x14ac:dyDescent="0.35">
      <c r="A54" s="90" t="s">
        <v>1328</v>
      </c>
      <c r="B54" s="66">
        <v>4922670.7</v>
      </c>
      <c r="C54" s="66"/>
      <c r="D54" s="66"/>
      <c r="E54" s="66"/>
      <c r="F54" s="66"/>
      <c r="G54" s="66">
        <v>4922670.7</v>
      </c>
      <c r="H54" s="67">
        <v>0</v>
      </c>
      <c r="I54" s="66">
        <f t="shared" si="1"/>
        <v>4922670.7</v>
      </c>
      <c r="K54" s="67"/>
    </row>
    <row r="55" spans="1:12" x14ac:dyDescent="0.35">
      <c r="A55" s="110" t="s">
        <v>1052</v>
      </c>
      <c r="B55" s="66">
        <v>59605117.910000004</v>
      </c>
      <c r="C55" s="66"/>
      <c r="D55" s="66"/>
      <c r="E55" s="66"/>
      <c r="F55" s="66"/>
      <c r="G55" s="66">
        <v>59605117.910000004</v>
      </c>
      <c r="H55" s="67">
        <v>43833176.450000003</v>
      </c>
      <c r="I55" s="66">
        <f t="shared" si="1"/>
        <v>15771941.460000001</v>
      </c>
      <c r="J55" s="47"/>
      <c r="K55" s="67"/>
      <c r="L55" s="66"/>
    </row>
    <row r="56" spans="1:12" x14ac:dyDescent="0.35">
      <c r="A56" s="90" t="s">
        <v>617</v>
      </c>
      <c r="B56" s="66">
        <v>11849213.470000001</v>
      </c>
      <c r="C56" s="66"/>
      <c r="D56" s="66"/>
      <c r="E56" s="66"/>
      <c r="F56" s="66"/>
      <c r="G56" s="66">
        <v>11849213.470000001</v>
      </c>
      <c r="H56" s="67">
        <v>7925130.9500000002</v>
      </c>
      <c r="I56" s="116">
        <f t="shared" si="1"/>
        <v>3924082.5200000005</v>
      </c>
      <c r="K56" s="67"/>
      <c r="L56" s="66"/>
    </row>
    <row r="57" spans="1:12" x14ac:dyDescent="0.35">
      <c r="A57" s="90" t="s">
        <v>1645</v>
      </c>
      <c r="B57" s="66">
        <v>2428654.7599999998</v>
      </c>
      <c r="C57" s="66"/>
      <c r="D57" s="66"/>
      <c r="E57" s="66"/>
      <c r="F57" s="66"/>
      <c r="G57" s="66">
        <v>2428654.7599999998</v>
      </c>
      <c r="H57" s="67">
        <v>0</v>
      </c>
      <c r="I57" s="66">
        <f t="shared" si="1"/>
        <v>2428654.7599999998</v>
      </c>
      <c r="K57" s="67"/>
    </row>
    <row r="58" spans="1:12" x14ac:dyDescent="0.35">
      <c r="A58" s="90" t="s">
        <v>1248</v>
      </c>
      <c r="B58" s="66">
        <v>4984317</v>
      </c>
      <c r="C58" s="66"/>
      <c r="D58" s="66"/>
      <c r="E58" s="66"/>
      <c r="F58" s="66"/>
      <c r="G58" s="66">
        <v>4984317</v>
      </c>
      <c r="H58" s="67">
        <v>0</v>
      </c>
      <c r="I58" s="66">
        <f t="shared" si="1"/>
        <v>4984317</v>
      </c>
      <c r="K58" s="67"/>
    </row>
    <row r="59" spans="1:12" x14ac:dyDescent="0.35">
      <c r="A59" s="90" t="s">
        <v>1055</v>
      </c>
      <c r="B59" s="66">
        <v>5793963.9800000004</v>
      </c>
      <c r="C59" s="66"/>
      <c r="D59" s="66"/>
      <c r="E59" s="66"/>
      <c r="F59" s="66"/>
      <c r="G59" s="66">
        <v>5793963.9800000004</v>
      </c>
      <c r="H59" s="67">
        <v>5793963.9800000004</v>
      </c>
      <c r="I59" s="66">
        <f t="shared" si="1"/>
        <v>0</v>
      </c>
      <c r="K59" s="67"/>
    </row>
    <row r="60" spans="1:12" x14ac:dyDescent="0.35">
      <c r="A60" s="110" t="s">
        <v>1086</v>
      </c>
      <c r="B60" s="66">
        <v>29167397.239999998</v>
      </c>
      <c r="C60" s="66">
        <v>28983448.669999998</v>
      </c>
      <c r="D60" s="66"/>
      <c r="E60" s="66"/>
      <c r="F60" s="66"/>
      <c r="G60" s="66">
        <v>58150845.909999996</v>
      </c>
      <c r="H60" s="117">
        <v>54077533.68</v>
      </c>
      <c r="I60" s="66">
        <f t="shared" si="1"/>
        <v>4073312.2299999967</v>
      </c>
      <c r="K60" s="67"/>
    </row>
    <row r="61" spans="1:12" x14ac:dyDescent="0.35">
      <c r="A61" s="90" t="s">
        <v>522</v>
      </c>
      <c r="B61" s="66">
        <v>5167794.42</v>
      </c>
      <c r="C61" s="66"/>
      <c r="D61" s="66"/>
      <c r="E61" s="66"/>
      <c r="F61" s="66"/>
      <c r="G61" s="66">
        <v>5167794.42</v>
      </c>
      <c r="H61" s="67">
        <v>5167794.42</v>
      </c>
      <c r="I61" s="66">
        <f t="shared" si="1"/>
        <v>0</v>
      </c>
      <c r="K61" s="67"/>
    </row>
    <row r="62" spans="1:12" x14ac:dyDescent="0.35">
      <c r="A62" s="90" t="s">
        <v>581</v>
      </c>
      <c r="B62" s="66">
        <v>4984153.12</v>
      </c>
      <c r="C62" s="66"/>
      <c r="D62" s="66"/>
      <c r="E62" s="66"/>
      <c r="F62" s="66"/>
      <c r="G62" s="66">
        <v>4984153.12</v>
      </c>
      <c r="H62" s="67">
        <v>3626422.42</v>
      </c>
      <c r="I62" s="66">
        <f t="shared" si="1"/>
        <v>1357730.7000000002</v>
      </c>
      <c r="K62" s="67"/>
      <c r="L62" s="66"/>
    </row>
    <row r="63" spans="1:12" x14ac:dyDescent="0.35">
      <c r="A63" s="90" t="s">
        <v>536</v>
      </c>
      <c r="B63" s="66">
        <v>12239444.890000001</v>
      </c>
      <c r="C63" s="66"/>
      <c r="D63" s="66"/>
      <c r="E63" s="66"/>
      <c r="F63" s="66"/>
      <c r="G63" s="66">
        <v>12239444.890000001</v>
      </c>
      <c r="H63" s="67">
        <v>5918232.3899999997</v>
      </c>
      <c r="I63" s="116">
        <f t="shared" si="1"/>
        <v>6321212.5000000009</v>
      </c>
      <c r="K63" s="67"/>
      <c r="L63" s="66"/>
    </row>
    <row r="64" spans="1:12" x14ac:dyDescent="0.35">
      <c r="A64" s="90" t="s">
        <v>530</v>
      </c>
      <c r="B64" s="66">
        <v>4085809</v>
      </c>
      <c r="C64" s="66"/>
      <c r="D64" s="66"/>
      <c r="E64" s="66"/>
      <c r="F64" s="66"/>
      <c r="G64" s="66">
        <v>4085809</v>
      </c>
      <c r="H64" s="67">
        <v>4085809</v>
      </c>
      <c r="I64" s="66">
        <f t="shared" si="1"/>
        <v>0</v>
      </c>
      <c r="K64" s="67"/>
    </row>
    <row r="65" spans="1:12" x14ac:dyDescent="0.35">
      <c r="A65" s="90" t="s">
        <v>1247</v>
      </c>
      <c r="B65" s="66">
        <v>1261877.3</v>
      </c>
      <c r="C65" s="66"/>
      <c r="D65" s="66"/>
      <c r="E65" s="66"/>
      <c r="F65" s="66"/>
      <c r="G65" s="66">
        <v>1261877.3</v>
      </c>
      <c r="H65" s="67">
        <v>0</v>
      </c>
      <c r="I65" s="66">
        <f t="shared" si="1"/>
        <v>1261877.3</v>
      </c>
      <c r="K65" s="67"/>
    </row>
    <row r="66" spans="1:12" x14ac:dyDescent="0.35">
      <c r="A66" s="90" t="s">
        <v>600</v>
      </c>
      <c r="B66" s="66">
        <v>3448010.88</v>
      </c>
      <c r="C66" s="66"/>
      <c r="D66" s="66"/>
      <c r="E66" s="66"/>
      <c r="F66" s="66"/>
      <c r="G66" s="66">
        <v>3448010.88</v>
      </c>
      <c r="H66" s="67">
        <v>3448010.88</v>
      </c>
      <c r="I66" s="66">
        <f t="shared" si="1"/>
        <v>0</v>
      </c>
      <c r="K66" s="67"/>
    </row>
    <row r="67" spans="1:12" x14ac:dyDescent="0.35">
      <c r="A67" s="90" t="s">
        <v>1646</v>
      </c>
      <c r="B67" s="66">
        <v>4319321.74</v>
      </c>
      <c r="C67" s="66"/>
      <c r="D67" s="66"/>
      <c r="E67" s="66"/>
      <c r="F67" s="66"/>
      <c r="G67" s="66">
        <v>4319321.74</v>
      </c>
      <c r="H67" s="67">
        <v>4319321.6399999997</v>
      </c>
      <c r="I67" s="66">
        <f t="shared" si="1"/>
        <v>0.10000000055879354</v>
      </c>
      <c r="K67" s="67"/>
    </row>
    <row r="68" spans="1:12" x14ac:dyDescent="0.35">
      <c r="A68" s="90" t="s">
        <v>635</v>
      </c>
      <c r="B68" s="66">
        <v>2905961.6</v>
      </c>
      <c r="C68" s="66"/>
      <c r="D68" s="66"/>
      <c r="E68" s="66"/>
      <c r="F68" s="66"/>
      <c r="G68" s="66">
        <v>2905961.6</v>
      </c>
      <c r="H68" s="67">
        <v>0</v>
      </c>
      <c r="I68" s="66">
        <f t="shared" si="1"/>
        <v>2905961.6</v>
      </c>
      <c r="K68" s="67"/>
    </row>
    <row r="69" spans="1:12" x14ac:dyDescent="0.35">
      <c r="A69" s="90" t="s">
        <v>538</v>
      </c>
      <c r="B69" s="66">
        <v>48461897.219999999</v>
      </c>
      <c r="C69" s="66"/>
      <c r="D69" s="66"/>
      <c r="E69" s="66"/>
      <c r="F69" s="66"/>
      <c r="G69" s="66">
        <v>48461897.219999999</v>
      </c>
      <c r="H69" s="67">
        <v>39680348.719999999</v>
      </c>
      <c r="I69" s="116">
        <f t="shared" si="1"/>
        <v>8781548.5</v>
      </c>
      <c r="K69" s="67"/>
      <c r="L69" s="66"/>
    </row>
    <row r="70" spans="1:12" x14ac:dyDescent="0.35">
      <c r="A70" s="90" t="s">
        <v>1329</v>
      </c>
      <c r="B70" s="66">
        <v>2894921.73</v>
      </c>
      <c r="C70" s="66"/>
      <c r="D70" s="66"/>
      <c r="E70" s="66"/>
      <c r="F70" s="66"/>
      <c r="G70" s="66">
        <v>2894921.73</v>
      </c>
      <c r="H70" s="67">
        <v>0</v>
      </c>
      <c r="I70" s="66">
        <f t="shared" si="1"/>
        <v>2894921.73</v>
      </c>
      <c r="K70" s="67"/>
    </row>
    <row r="71" spans="1:12" x14ac:dyDescent="0.35">
      <c r="A71" s="90" t="s">
        <v>545</v>
      </c>
      <c r="B71" s="66">
        <v>3204806</v>
      </c>
      <c r="C71" s="66"/>
      <c r="D71" s="66"/>
      <c r="E71" s="66"/>
      <c r="F71" s="66"/>
      <c r="G71" s="66">
        <v>3204806</v>
      </c>
      <c r="H71" s="67">
        <v>0</v>
      </c>
      <c r="I71" s="66">
        <f t="shared" si="1"/>
        <v>3204806</v>
      </c>
      <c r="K71" s="67"/>
    </row>
    <row r="72" spans="1:12" x14ac:dyDescent="0.35">
      <c r="A72" s="90" t="s">
        <v>707</v>
      </c>
      <c r="B72" s="66">
        <v>4929580.8</v>
      </c>
      <c r="C72" s="66"/>
      <c r="D72" s="66"/>
      <c r="E72" s="66"/>
      <c r="F72" s="66"/>
      <c r="G72" s="66">
        <v>4929580.8</v>
      </c>
      <c r="H72" s="67">
        <v>3066772.8</v>
      </c>
      <c r="I72" s="66">
        <f t="shared" si="1"/>
        <v>1862808</v>
      </c>
      <c r="K72" s="67"/>
      <c r="L72" s="66"/>
    </row>
    <row r="73" spans="1:12" x14ac:dyDescent="0.35">
      <c r="A73" s="90" t="s">
        <v>548</v>
      </c>
      <c r="B73" s="66">
        <v>9398047.0999999996</v>
      </c>
      <c r="C73" s="66"/>
      <c r="D73" s="66"/>
      <c r="E73" s="66"/>
      <c r="F73" s="66"/>
      <c r="G73" s="66">
        <v>9398047.0999999996</v>
      </c>
      <c r="H73" s="67">
        <v>9398047.6600000001</v>
      </c>
      <c r="I73" s="66">
        <f t="shared" si="1"/>
        <v>-0.56000000052154064</v>
      </c>
      <c r="K73" s="67"/>
    </row>
    <row r="74" spans="1:12" x14ac:dyDescent="0.35">
      <c r="A74" s="90" t="s">
        <v>1243</v>
      </c>
      <c r="B74" s="66">
        <v>4954729.41</v>
      </c>
      <c r="C74" s="66"/>
      <c r="D74" s="66"/>
      <c r="E74" s="66"/>
      <c r="F74" s="66"/>
      <c r="G74" s="66">
        <v>4954729.41</v>
      </c>
      <c r="H74" s="67">
        <v>1083192.03</v>
      </c>
      <c r="I74" s="66">
        <f t="shared" si="1"/>
        <v>3871537.38</v>
      </c>
      <c r="K74" s="67"/>
      <c r="L74" s="66"/>
    </row>
    <row r="75" spans="1:12" x14ac:dyDescent="0.35">
      <c r="A75" s="90" t="s">
        <v>631</v>
      </c>
      <c r="B75" s="66">
        <v>12037132.800000001</v>
      </c>
      <c r="C75" s="66"/>
      <c r="D75" s="66"/>
      <c r="E75" s="66"/>
      <c r="F75" s="66"/>
      <c r="G75" s="66">
        <v>12037132.800000001</v>
      </c>
      <c r="H75" s="67">
        <v>12037132.800000001</v>
      </c>
      <c r="I75" s="66">
        <f t="shared" si="1"/>
        <v>0</v>
      </c>
      <c r="K75" s="67"/>
    </row>
    <row r="76" spans="1:12" x14ac:dyDescent="0.35">
      <c r="A76" s="90" t="s">
        <v>575</v>
      </c>
      <c r="B76" s="66">
        <v>3093422.69</v>
      </c>
      <c r="C76" s="66"/>
      <c r="D76" s="66"/>
      <c r="E76" s="66"/>
      <c r="F76" s="66"/>
      <c r="G76" s="66">
        <v>3093422.69</v>
      </c>
      <c r="H76" s="67">
        <v>0</v>
      </c>
      <c r="I76" s="66">
        <f t="shared" si="1"/>
        <v>3093422.69</v>
      </c>
      <c r="K76" s="67"/>
    </row>
    <row r="77" spans="1:12" x14ac:dyDescent="0.35">
      <c r="A77" s="90" t="s">
        <v>1244</v>
      </c>
      <c r="B77" s="66">
        <v>2922151.96</v>
      </c>
      <c r="C77" s="66"/>
      <c r="D77" s="66"/>
      <c r="E77" s="66"/>
      <c r="F77" s="66"/>
      <c r="G77" s="66">
        <v>2922151.96</v>
      </c>
      <c r="H77" s="67">
        <v>0</v>
      </c>
      <c r="I77" s="66">
        <f t="shared" si="1"/>
        <v>2922151.96</v>
      </c>
      <c r="K77" s="67"/>
    </row>
    <row r="78" spans="1:12" x14ac:dyDescent="0.35">
      <c r="A78" s="90" t="s">
        <v>606</v>
      </c>
      <c r="B78" s="66">
        <v>31014233.699999996</v>
      </c>
      <c r="C78" s="66"/>
      <c r="D78" s="66"/>
      <c r="E78" s="66"/>
      <c r="F78" s="66"/>
      <c r="G78" s="66">
        <v>31014233.699999996</v>
      </c>
      <c r="H78" s="67">
        <v>18898727.699999999</v>
      </c>
      <c r="I78" s="129">
        <f t="shared" si="1"/>
        <v>12115505.999999996</v>
      </c>
      <c r="J78">
        <v>1.49</v>
      </c>
      <c r="K78" s="67"/>
      <c r="L78" s="66"/>
    </row>
    <row r="79" spans="1:12" x14ac:dyDescent="0.35">
      <c r="A79" s="90" t="s">
        <v>540</v>
      </c>
      <c r="B79" s="66">
        <v>4998137.57</v>
      </c>
      <c r="C79" s="66"/>
      <c r="D79" s="66"/>
      <c r="E79" s="66"/>
      <c r="F79" s="66"/>
      <c r="G79" s="66">
        <v>4998137.57</v>
      </c>
      <c r="H79" s="67">
        <v>3472707.56</v>
      </c>
      <c r="I79" s="66">
        <f t="shared" si="1"/>
        <v>1525430.0100000002</v>
      </c>
      <c r="K79" s="67"/>
      <c r="L79" s="66"/>
    </row>
    <row r="80" spans="1:12" x14ac:dyDescent="0.35">
      <c r="A80" s="90" t="s">
        <v>564</v>
      </c>
      <c r="B80" s="66">
        <v>4957191.6500000004</v>
      </c>
      <c r="C80" s="66"/>
      <c r="D80" s="66"/>
      <c r="E80" s="66"/>
      <c r="F80" s="66"/>
      <c r="G80" s="66">
        <v>4957191.6500000004</v>
      </c>
      <c r="H80" s="67">
        <v>3148886.1</v>
      </c>
      <c r="I80" s="66">
        <f t="shared" si="1"/>
        <v>1808305.5500000003</v>
      </c>
      <c r="K80" s="67"/>
      <c r="L80" s="66"/>
    </row>
    <row r="81" spans="1:12" x14ac:dyDescent="0.35">
      <c r="A81" s="90" t="s">
        <v>1648</v>
      </c>
      <c r="B81" s="66">
        <v>4945099.6099999994</v>
      </c>
      <c r="C81" s="66"/>
      <c r="D81" s="66"/>
      <c r="E81" s="66"/>
      <c r="F81" s="66"/>
      <c r="G81" s="66">
        <v>4945099.6099999994</v>
      </c>
      <c r="H81" s="67">
        <v>3059397.61</v>
      </c>
      <c r="I81" s="66">
        <f t="shared" si="1"/>
        <v>1885701.9999999995</v>
      </c>
      <c r="K81" s="67"/>
      <c r="L81" s="66"/>
    </row>
    <row r="82" spans="1:12" x14ac:dyDescent="0.35">
      <c r="A82" s="90" t="s">
        <v>1332</v>
      </c>
      <c r="B82" s="66">
        <v>4997772.29</v>
      </c>
      <c r="C82" s="66"/>
      <c r="D82" s="66"/>
      <c r="E82" s="66"/>
      <c r="F82" s="66"/>
      <c r="G82" s="66">
        <v>4997772.29</v>
      </c>
      <c r="H82" s="67">
        <v>3085684.88</v>
      </c>
      <c r="I82" s="66">
        <f t="shared" si="1"/>
        <v>1912087.4100000001</v>
      </c>
      <c r="K82" s="67"/>
      <c r="L82" s="66"/>
    </row>
    <row r="83" spans="1:12" x14ac:dyDescent="0.35">
      <c r="A83" s="90" t="s">
        <v>526</v>
      </c>
      <c r="B83" s="66">
        <v>10787520</v>
      </c>
      <c r="C83" s="66"/>
      <c r="D83" s="66"/>
      <c r="E83" s="66"/>
      <c r="F83" s="66"/>
      <c r="G83" s="66">
        <v>10787520</v>
      </c>
      <c r="H83" s="67">
        <v>10787520</v>
      </c>
      <c r="I83" s="66">
        <f t="shared" si="1"/>
        <v>0</v>
      </c>
      <c r="K83" s="67"/>
    </row>
    <row r="84" spans="1:12" x14ac:dyDescent="0.35">
      <c r="A84" s="90" t="s">
        <v>814</v>
      </c>
      <c r="B84" s="66">
        <v>684694.96</v>
      </c>
      <c r="C84" s="66"/>
      <c r="D84" s="66"/>
      <c r="E84" s="66"/>
      <c r="F84" s="66"/>
      <c r="G84" s="66">
        <v>684694.96</v>
      </c>
      <c r="H84" s="67">
        <v>684694.96</v>
      </c>
      <c r="I84" s="66">
        <f t="shared" si="1"/>
        <v>0</v>
      </c>
      <c r="K84" s="67"/>
    </row>
    <row r="85" spans="1:12" x14ac:dyDescent="0.35">
      <c r="A85" s="90" t="s">
        <v>577</v>
      </c>
      <c r="B85" s="66">
        <v>3347138.5</v>
      </c>
      <c r="C85" s="66"/>
      <c r="D85" s="66"/>
      <c r="E85" s="66"/>
      <c r="F85" s="66"/>
      <c r="G85" s="66">
        <v>3347138.5</v>
      </c>
      <c r="H85" s="67">
        <v>3347138.5</v>
      </c>
      <c r="I85" s="66">
        <f t="shared" si="1"/>
        <v>0</v>
      </c>
      <c r="K85" s="67"/>
    </row>
    <row r="86" spans="1:12" x14ac:dyDescent="0.35">
      <c r="A86" s="90" t="s">
        <v>573</v>
      </c>
      <c r="B86" s="66">
        <v>62444163.080000013</v>
      </c>
      <c r="C86" s="66"/>
      <c r="D86" s="66"/>
      <c r="E86" s="66"/>
      <c r="F86" s="66">
        <v>3355712.16</v>
      </c>
      <c r="G86" s="66">
        <v>65799875.24000001</v>
      </c>
      <c r="H86" s="67">
        <v>69873186.900000006</v>
      </c>
      <c r="I86" s="66">
        <f t="shared" si="1"/>
        <v>-4073311.6599999964</v>
      </c>
      <c r="K86" s="67"/>
    </row>
    <row r="87" spans="1:12" x14ac:dyDescent="0.35">
      <c r="A87" s="90" t="s">
        <v>584</v>
      </c>
      <c r="B87" s="66">
        <v>23262756.450000003</v>
      </c>
      <c r="C87" s="66"/>
      <c r="D87" s="66"/>
      <c r="E87" s="66"/>
      <c r="F87" s="66"/>
      <c r="G87" s="66">
        <v>23262756.450000003</v>
      </c>
      <c r="H87" s="67">
        <v>23262756.449999999</v>
      </c>
      <c r="I87" s="66">
        <f t="shared" si="1"/>
        <v>0</v>
      </c>
      <c r="K87" s="67"/>
    </row>
    <row r="88" spans="1:12" x14ac:dyDescent="0.35">
      <c r="A88" s="110" t="s">
        <v>588</v>
      </c>
      <c r="B88" s="66">
        <v>34647738.75</v>
      </c>
      <c r="C88" s="66"/>
      <c r="D88" s="66"/>
      <c r="E88" s="66"/>
      <c r="F88" s="66"/>
      <c r="G88" s="66">
        <v>34647738.75</v>
      </c>
      <c r="H88" s="67">
        <v>6761503.8399999999</v>
      </c>
      <c r="I88" s="66">
        <f t="shared" si="1"/>
        <v>27886234.91</v>
      </c>
      <c r="K88" s="67"/>
      <c r="L88" s="66"/>
    </row>
    <row r="89" spans="1:12" x14ac:dyDescent="0.35">
      <c r="A89" s="90" t="s">
        <v>596</v>
      </c>
      <c r="B89" s="66">
        <v>3436581.96</v>
      </c>
      <c r="C89" s="66"/>
      <c r="D89" s="66"/>
      <c r="E89" s="66"/>
      <c r="F89" s="66"/>
      <c r="G89" s="66">
        <v>3436581.96</v>
      </c>
      <c r="H89" s="67">
        <v>0</v>
      </c>
      <c r="I89" s="66">
        <f t="shared" si="1"/>
        <v>3436581.96</v>
      </c>
      <c r="K89" s="67"/>
    </row>
    <row r="90" spans="1:12" x14ac:dyDescent="0.35">
      <c r="A90" s="110" t="s">
        <v>543</v>
      </c>
      <c r="B90" s="66">
        <v>24022525.540000003</v>
      </c>
      <c r="C90" s="66"/>
      <c r="D90" s="66"/>
      <c r="E90" s="66"/>
      <c r="F90" s="66"/>
      <c r="G90" s="66">
        <v>24022525.540000003</v>
      </c>
      <c r="H90" s="67">
        <v>16557161.920000002</v>
      </c>
      <c r="I90" s="66">
        <f t="shared" si="1"/>
        <v>7465363.620000001</v>
      </c>
      <c r="K90" s="67"/>
      <c r="L90" s="66"/>
    </row>
    <row r="91" spans="1:12" x14ac:dyDescent="0.35">
      <c r="A91" s="90" t="s">
        <v>1647</v>
      </c>
      <c r="B91" s="66">
        <v>3034724</v>
      </c>
      <c r="C91" s="66"/>
      <c r="D91" s="66"/>
      <c r="E91" s="66"/>
      <c r="F91" s="66"/>
      <c r="G91" s="66">
        <v>3034724</v>
      </c>
      <c r="H91" s="67">
        <v>3034724</v>
      </c>
      <c r="I91" s="66">
        <f t="shared" si="1"/>
        <v>0</v>
      </c>
      <c r="K91" s="67"/>
    </row>
    <row r="92" spans="1:12" x14ac:dyDescent="0.35">
      <c r="A92" s="90" t="s">
        <v>524</v>
      </c>
      <c r="B92" s="66">
        <v>12830407.34</v>
      </c>
      <c r="C92" s="66"/>
      <c r="D92" s="66"/>
      <c r="E92" s="66"/>
      <c r="F92" s="66"/>
      <c r="G92" s="66">
        <v>12830407.34</v>
      </c>
      <c r="H92" s="67">
        <v>9511869.7400000002</v>
      </c>
      <c r="I92" s="129">
        <f t="shared" si="1"/>
        <v>3318537.5999999996</v>
      </c>
      <c r="K92" s="67"/>
      <c r="L92" s="66"/>
    </row>
    <row r="93" spans="1:12" x14ac:dyDescent="0.35">
      <c r="A93" s="90" t="s">
        <v>598</v>
      </c>
      <c r="B93" s="66">
        <v>4909252.08</v>
      </c>
      <c r="C93" s="66"/>
      <c r="D93" s="66"/>
      <c r="E93" s="66"/>
      <c r="F93" s="66"/>
      <c r="G93" s="66">
        <v>4909252.08</v>
      </c>
      <c r="H93" s="67">
        <v>3443170.07</v>
      </c>
      <c r="I93" s="66">
        <f t="shared" si="1"/>
        <v>1466082.0100000002</v>
      </c>
      <c r="K93" s="67"/>
      <c r="L93" s="66"/>
    </row>
    <row r="94" spans="1:12" x14ac:dyDescent="0.35">
      <c r="A94" s="90" t="s">
        <v>1763</v>
      </c>
      <c r="B94" s="66">
        <v>2797513.32</v>
      </c>
      <c r="C94" s="66"/>
      <c r="D94" s="66"/>
      <c r="E94" s="66"/>
      <c r="F94" s="66"/>
      <c r="G94" s="66">
        <v>2797513.32</v>
      </c>
      <c r="H94" s="67">
        <v>2797513.32</v>
      </c>
      <c r="I94" s="66">
        <f t="shared" si="1"/>
        <v>0</v>
      </c>
      <c r="K94" s="67"/>
    </row>
    <row r="95" spans="1:12" x14ac:dyDescent="0.35">
      <c r="A95" s="90" t="s">
        <v>1197</v>
      </c>
      <c r="B95" s="66"/>
      <c r="C95" s="66">
        <v>2485296.65</v>
      </c>
      <c r="D95" s="66"/>
      <c r="E95" s="66"/>
      <c r="F95" s="66"/>
      <c r="G95" s="66">
        <v>2485296.65</v>
      </c>
      <c r="H95" s="67">
        <v>2485296.65</v>
      </c>
      <c r="I95" s="66">
        <f t="shared" si="1"/>
        <v>0</v>
      </c>
      <c r="K95" s="67"/>
    </row>
    <row r="96" spans="1:12" x14ac:dyDescent="0.35">
      <c r="A96" s="90" t="s">
        <v>653</v>
      </c>
      <c r="B96" s="66">
        <v>3045817.61</v>
      </c>
      <c r="C96" s="66"/>
      <c r="D96" s="66"/>
      <c r="E96" s="66"/>
      <c r="F96" s="66"/>
      <c r="G96" s="66">
        <v>3045817.61</v>
      </c>
      <c r="H96" s="67">
        <v>3045817.61</v>
      </c>
      <c r="I96" s="66">
        <f t="shared" si="1"/>
        <v>0</v>
      </c>
      <c r="K96" s="67"/>
    </row>
    <row r="97" spans="1:12" x14ac:dyDescent="0.35">
      <c r="A97" s="90" t="s">
        <v>650</v>
      </c>
      <c r="B97" s="66">
        <v>49076594.920000009</v>
      </c>
      <c r="C97" s="66">
        <v>8747906.2699999996</v>
      </c>
      <c r="D97" s="66"/>
      <c r="E97" s="66"/>
      <c r="F97" s="66"/>
      <c r="G97" s="66">
        <v>57824501.190000013</v>
      </c>
      <c r="H97" s="67">
        <v>57824501.719999999</v>
      </c>
      <c r="I97" s="66">
        <f t="shared" si="1"/>
        <v>-0.5299999862909317</v>
      </c>
      <c r="K97" s="67"/>
    </row>
    <row r="98" spans="1:12" x14ac:dyDescent="0.35">
      <c r="A98" s="90" t="s">
        <v>834</v>
      </c>
      <c r="B98" s="66">
        <v>3917050.39</v>
      </c>
      <c r="C98" s="66"/>
      <c r="D98" s="66"/>
      <c r="E98" s="66"/>
      <c r="F98" s="66"/>
      <c r="G98" s="66">
        <v>3917050.39</v>
      </c>
      <c r="H98" s="67">
        <v>0</v>
      </c>
      <c r="I98" s="66">
        <f t="shared" si="1"/>
        <v>3917050.39</v>
      </c>
      <c r="K98" s="67"/>
    </row>
    <row r="99" spans="1:12" x14ac:dyDescent="0.35">
      <c r="A99" s="90" t="s">
        <v>1246</v>
      </c>
      <c r="B99" s="66">
        <v>5801758.3100000005</v>
      </c>
      <c r="C99" s="66"/>
      <c r="D99" s="66"/>
      <c r="E99" s="66"/>
      <c r="F99" s="66"/>
      <c r="G99" s="66">
        <v>5801758.3100000005</v>
      </c>
      <c r="H99" s="67">
        <v>5801758.3099999996</v>
      </c>
      <c r="I99" s="66">
        <f t="shared" si="1"/>
        <v>0</v>
      </c>
      <c r="K99" s="67"/>
    </row>
    <row r="100" spans="1:12" x14ac:dyDescent="0.35">
      <c r="A100" s="90" t="s">
        <v>678</v>
      </c>
      <c r="B100" s="66">
        <v>9082303.6699999999</v>
      </c>
      <c r="C100" s="66"/>
      <c r="D100" s="66"/>
      <c r="E100" s="66"/>
      <c r="F100" s="66"/>
      <c r="G100" s="66">
        <v>9082303.6699999999</v>
      </c>
      <c r="H100" s="67">
        <v>5261020.05</v>
      </c>
      <c r="I100" s="129">
        <f t="shared" si="1"/>
        <v>3821283.62</v>
      </c>
      <c r="K100" s="67"/>
      <c r="L100" s="66"/>
    </row>
    <row r="101" spans="1:12" x14ac:dyDescent="0.35">
      <c r="A101" s="90" t="s">
        <v>1090</v>
      </c>
      <c r="B101" s="66">
        <v>11060562.460000001</v>
      </c>
      <c r="C101" s="66"/>
      <c r="D101" s="66"/>
      <c r="E101" s="66"/>
      <c r="F101" s="66"/>
      <c r="G101" s="66">
        <v>11060562.460000001</v>
      </c>
      <c r="H101" s="67">
        <v>2112284.1</v>
      </c>
      <c r="I101" s="116">
        <f t="shared" si="1"/>
        <v>8948278.3600000013</v>
      </c>
      <c r="K101" s="67"/>
      <c r="L101" s="66"/>
    </row>
    <row r="102" spans="1:12" x14ac:dyDescent="0.35">
      <c r="A102" s="59" t="s">
        <v>1048</v>
      </c>
      <c r="B102" s="66">
        <v>684019786.54000008</v>
      </c>
      <c r="C102" s="66">
        <v>58889623.289999992</v>
      </c>
      <c r="D102" s="66">
        <v>247403124.90755516</v>
      </c>
      <c r="E102" s="66">
        <v>24279571.91</v>
      </c>
      <c r="F102" s="66">
        <v>20021778.57</v>
      </c>
      <c r="G102" s="66">
        <v>1034613885.2175555</v>
      </c>
      <c r="I102" s="66"/>
    </row>
    <row r="103" spans="1:12" x14ac:dyDescent="0.35">
      <c r="B103"/>
      <c r="C103"/>
      <c r="D103"/>
      <c r="E103"/>
      <c r="F103"/>
      <c r="G103"/>
      <c r="I103" s="66"/>
    </row>
    <row r="104" spans="1:12" x14ac:dyDescent="0.35">
      <c r="B104"/>
      <c r="C104"/>
      <c r="D104"/>
      <c r="E104"/>
      <c r="F104"/>
      <c r="G104"/>
      <c r="I104" s="66"/>
    </row>
    <row r="105" spans="1:12" x14ac:dyDescent="0.35">
      <c r="B105"/>
      <c r="C105"/>
      <c r="D105"/>
      <c r="E105"/>
      <c r="F105"/>
      <c r="G105"/>
      <c r="I105" s="66"/>
    </row>
    <row r="106" spans="1:12" x14ac:dyDescent="0.35">
      <c r="B106"/>
      <c r="C106"/>
      <c r="D106"/>
      <c r="E106"/>
      <c r="F106"/>
      <c r="G106"/>
      <c r="I106" s="66"/>
    </row>
    <row r="107" spans="1:12" x14ac:dyDescent="0.35">
      <c r="B107"/>
      <c r="C107"/>
      <c r="D107"/>
      <c r="E107"/>
      <c r="F107"/>
      <c r="G107"/>
    </row>
  </sheetData>
  <autoFilter ref="H40:K102" xr:uid="{7C21AE60-BB0E-456C-B9BD-D3AA5E5C08C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9A6B-FED4-470F-99F6-89A2F70C7569}">
  <sheetPr codeName="Sheet6" filterMode="1">
    <tabColor theme="7"/>
  </sheetPr>
  <dimension ref="A1:P519"/>
  <sheetViews>
    <sheetView workbookViewId="0">
      <selection activeCell="A204" sqref="A204:XFD204"/>
    </sheetView>
  </sheetViews>
  <sheetFormatPr defaultRowHeight="14.5" x14ac:dyDescent="0.35"/>
  <cols>
    <col min="4" max="4" width="38.7265625" bestFit="1" customWidth="1"/>
    <col min="6" max="6" width="16.6328125" bestFit="1" customWidth="1"/>
    <col min="7" max="7" width="17.453125" style="59" bestFit="1" customWidth="1"/>
    <col min="8" max="8" width="16.08984375" style="97" bestFit="1" customWidth="1"/>
    <col min="9" max="9" width="14.6328125" bestFit="1" customWidth="1"/>
    <col min="10" max="10" width="12.54296875" bestFit="1" customWidth="1"/>
    <col min="13" max="13" width="10.36328125" bestFit="1" customWidth="1"/>
    <col min="16" max="16" width="10.36328125" style="130" bestFit="1" customWidth="1"/>
  </cols>
  <sheetData>
    <row r="1" spans="1:16" x14ac:dyDescent="0.35">
      <c r="I1" s="97"/>
      <c r="J1" s="73"/>
      <c r="P1" s="130" t="s">
        <v>2007</v>
      </c>
    </row>
    <row r="2" spans="1:16" x14ac:dyDescent="0.35">
      <c r="F2" s="66"/>
      <c r="G2" s="98">
        <v>656090129.13999999</v>
      </c>
      <c r="H2" s="97">
        <f>SUBTOTAL(9,H5:H302)</f>
        <v>3352284</v>
      </c>
      <c r="I2" s="35">
        <v>45504</v>
      </c>
    </row>
    <row r="3" spans="1:16" x14ac:dyDescent="0.35">
      <c r="F3" s="66"/>
      <c r="G3" s="98"/>
      <c r="H3" s="97">
        <f>SUBTOTAL(9,H5:H519)</f>
        <v>3352284</v>
      </c>
      <c r="I3" s="35"/>
    </row>
    <row r="4" spans="1:16" x14ac:dyDescent="0.35">
      <c r="B4" s="2" t="s">
        <v>478</v>
      </c>
      <c r="C4" s="2" t="s">
        <v>787</v>
      </c>
      <c r="D4" s="80" t="s">
        <v>472</v>
      </c>
      <c r="E4" s="80" t="s">
        <v>473</v>
      </c>
      <c r="F4" s="81" t="s">
        <v>474</v>
      </c>
      <c r="G4" s="82" t="s">
        <v>475</v>
      </c>
      <c r="H4" s="86" t="s">
        <v>476</v>
      </c>
      <c r="I4" s="83" t="s">
        <v>483</v>
      </c>
      <c r="J4" s="83" t="s">
        <v>484</v>
      </c>
      <c r="K4" s="83" t="s">
        <v>1051</v>
      </c>
      <c r="L4" s="89"/>
      <c r="M4" s="133"/>
      <c r="N4" s="133"/>
    </row>
    <row r="5" spans="1:16" hidden="1" x14ac:dyDescent="0.35">
      <c r="A5" t="s">
        <v>2029</v>
      </c>
      <c r="B5" s="2" t="s">
        <v>1085</v>
      </c>
      <c r="C5" s="2" t="s">
        <v>790</v>
      </c>
      <c r="D5" s="37" t="s">
        <v>518</v>
      </c>
      <c r="E5" s="37" t="s">
        <v>507</v>
      </c>
      <c r="F5" s="37" t="s">
        <v>519</v>
      </c>
      <c r="G5" s="8" t="s">
        <v>1406</v>
      </c>
      <c r="H5" s="8">
        <v>3151699.2</v>
      </c>
      <c r="I5" s="37">
        <f>$I$2-G5+1</f>
        <v>637</v>
      </c>
      <c r="J5" s="37" t="str">
        <f>IF(I5&lt;121,"0-120 DAYS",IF(I5&lt;181,"121-180 DAYS","More than 180 Days"))</f>
        <v>More than 180 Days</v>
      </c>
      <c r="K5" s="37" t="str">
        <f>IF(I5&lt;180,"0-180 DAYS","More than 180 Days")</f>
        <v>More than 180 Days</v>
      </c>
      <c r="M5" s="36"/>
      <c r="P5" s="131"/>
    </row>
    <row r="6" spans="1:16" hidden="1" x14ac:dyDescent="0.35">
      <c r="A6" t="s">
        <v>2030</v>
      </c>
      <c r="B6" s="2" t="s">
        <v>1085</v>
      </c>
      <c r="C6" s="2" t="s">
        <v>790</v>
      </c>
      <c r="D6" s="37" t="s">
        <v>520</v>
      </c>
      <c r="E6" s="37" t="s">
        <v>507</v>
      </c>
      <c r="F6" s="37" t="s">
        <v>521</v>
      </c>
      <c r="G6" s="8" t="s">
        <v>1406</v>
      </c>
      <c r="H6" s="8">
        <v>3151699.2</v>
      </c>
      <c r="I6" s="37">
        <f t="shared" ref="I6:I69" si="0">$I$2-G6+1</f>
        <v>637</v>
      </c>
      <c r="J6" s="37" t="str">
        <f>IF(I6&lt;121,"0-120 DAYS",IF(I6&lt;181,"121-180 DAYS","More than 180 Days"))</f>
        <v>More than 180 Days</v>
      </c>
      <c r="K6" s="37" t="str">
        <f t="shared" ref="K6:K69" si="1">IF(I6&lt;180,"0-180 DAYS","More than 180 Days")</f>
        <v>More than 180 Days</v>
      </c>
      <c r="M6" s="36"/>
      <c r="P6" s="131"/>
    </row>
    <row r="7" spans="1:16" hidden="1" x14ac:dyDescent="0.35">
      <c r="A7" t="s">
        <v>2029</v>
      </c>
      <c r="B7" s="2" t="s">
        <v>1085</v>
      </c>
      <c r="C7" s="2" t="s">
        <v>790</v>
      </c>
      <c r="D7" s="44" t="s">
        <v>1197</v>
      </c>
      <c r="E7" s="2" t="s">
        <v>507</v>
      </c>
      <c r="F7" s="44" t="s">
        <v>1198</v>
      </c>
      <c r="G7" s="8" t="s">
        <v>1408</v>
      </c>
      <c r="H7" s="8">
        <v>1030377.2</v>
      </c>
      <c r="I7" s="37" t="e">
        <f t="shared" si="0"/>
        <v>#VALUE!</v>
      </c>
      <c r="J7" s="37" t="e">
        <f>IF(I7&lt;121,"0-120 DAYS",IF(I7&lt;181,"121-180 DAYS","More than 180 Days"))</f>
        <v>#VALUE!</v>
      </c>
      <c r="K7" s="37" t="e">
        <f t="shared" si="1"/>
        <v>#VALUE!</v>
      </c>
      <c r="M7" s="36"/>
      <c r="P7" s="131"/>
    </row>
    <row r="8" spans="1:16" hidden="1" x14ac:dyDescent="0.35">
      <c r="A8" t="s">
        <v>2029</v>
      </c>
      <c r="B8" s="2" t="s">
        <v>1085</v>
      </c>
      <c r="C8" s="2" t="s">
        <v>790</v>
      </c>
      <c r="D8" s="44" t="s">
        <v>1197</v>
      </c>
      <c r="E8" s="2" t="s">
        <v>507</v>
      </c>
      <c r="F8" s="44" t="s">
        <v>1199</v>
      </c>
      <c r="G8" s="8" t="s">
        <v>1408</v>
      </c>
      <c r="H8" s="8">
        <v>17681.37</v>
      </c>
      <c r="I8" s="37" t="e">
        <f t="shared" si="0"/>
        <v>#VALUE!</v>
      </c>
      <c r="J8" s="37" t="e">
        <f>IF(I8&lt;121,"0-120 DAYS",IF(I8&lt;181,"121-180 DAYS","More than 180 Days"))</f>
        <v>#VALUE!</v>
      </c>
      <c r="K8" s="37" t="e">
        <f t="shared" si="1"/>
        <v>#VALUE!</v>
      </c>
      <c r="M8" s="36"/>
      <c r="P8" s="131"/>
    </row>
    <row r="9" spans="1:16" hidden="1" x14ac:dyDescent="0.35">
      <c r="A9" t="s">
        <v>2029</v>
      </c>
      <c r="B9" s="2" t="s">
        <v>1085</v>
      </c>
      <c r="C9" s="2" t="s">
        <v>790</v>
      </c>
      <c r="D9" s="44" t="s">
        <v>1197</v>
      </c>
      <c r="E9" s="2" t="s">
        <v>507</v>
      </c>
      <c r="F9" s="44" t="s">
        <v>1200</v>
      </c>
      <c r="G9" s="8" t="s">
        <v>1409</v>
      </c>
      <c r="H9" s="8">
        <v>1437238.08</v>
      </c>
      <c r="I9" s="37" t="e">
        <f t="shared" si="0"/>
        <v>#VALUE!</v>
      </c>
      <c r="J9" s="37" t="e">
        <f>IF(I9&lt;121,"0-120 DAYS",IF(I9&lt;181,"121-180 DAYS","More than 180 Days"))</f>
        <v>#VALUE!</v>
      </c>
      <c r="K9" s="37" t="e">
        <f t="shared" si="1"/>
        <v>#VALUE!</v>
      </c>
      <c r="M9" s="36"/>
      <c r="P9" s="131"/>
    </row>
    <row r="10" spans="1:16" hidden="1" x14ac:dyDescent="0.35">
      <c r="A10" t="s">
        <v>2030</v>
      </c>
      <c r="B10" s="2" t="s">
        <v>1209</v>
      </c>
      <c r="C10" s="2" t="s">
        <v>789</v>
      </c>
      <c r="D10" s="44" t="s">
        <v>506</v>
      </c>
      <c r="E10" s="2" t="s">
        <v>507</v>
      </c>
      <c r="F10" s="44" t="s">
        <v>1193</v>
      </c>
      <c r="G10" s="8" t="s">
        <v>1441</v>
      </c>
      <c r="H10" s="8">
        <v>1668410.56</v>
      </c>
      <c r="I10" s="37">
        <f t="shared" si="0"/>
        <v>386</v>
      </c>
      <c r="J10" s="37" t="str">
        <f t="shared" ref="J10:J16" si="2">IF(I10&lt;91,"1-90 DAYS",IF(I10&lt;121,"91-120DAYS",IF(I10&lt;181,"121-180 DAYS","More than 180 Days")))</f>
        <v>More than 180 Days</v>
      </c>
      <c r="K10" s="37" t="str">
        <f t="shared" si="1"/>
        <v>More than 180 Days</v>
      </c>
      <c r="M10" s="36"/>
      <c r="P10" s="131"/>
    </row>
    <row r="11" spans="1:16" hidden="1" x14ac:dyDescent="0.35">
      <c r="A11" t="s">
        <v>2029</v>
      </c>
      <c r="B11" s="2" t="s">
        <v>1209</v>
      </c>
      <c r="C11" s="2" t="s">
        <v>789</v>
      </c>
      <c r="D11" s="44" t="s">
        <v>506</v>
      </c>
      <c r="E11" s="2" t="s">
        <v>507</v>
      </c>
      <c r="F11" s="135" t="s">
        <v>1237</v>
      </c>
      <c r="G11" s="8" t="s">
        <v>1414</v>
      </c>
      <c r="H11" s="136">
        <v>1743955.2</v>
      </c>
      <c r="I11" s="37">
        <f t="shared" si="0"/>
        <v>152</v>
      </c>
      <c r="J11" s="37" t="str">
        <f t="shared" si="2"/>
        <v>121-180 DAYS</v>
      </c>
      <c r="K11" s="37" t="str">
        <f t="shared" si="1"/>
        <v>0-180 DAYS</v>
      </c>
      <c r="M11" s="36"/>
      <c r="P11" s="131"/>
    </row>
    <row r="12" spans="1:16" hidden="1" x14ac:dyDescent="0.35">
      <c r="A12" t="s">
        <v>2029</v>
      </c>
      <c r="B12" s="2" t="s">
        <v>1209</v>
      </c>
      <c r="C12" s="2" t="s">
        <v>789</v>
      </c>
      <c r="D12" s="44" t="s">
        <v>506</v>
      </c>
      <c r="E12" s="2" t="s">
        <v>507</v>
      </c>
      <c r="F12" s="135" t="s">
        <v>1238</v>
      </c>
      <c r="G12" s="8" t="s">
        <v>1414</v>
      </c>
      <c r="H12" s="136">
        <v>1118577.6000000001</v>
      </c>
      <c r="I12" s="37">
        <f t="shared" si="0"/>
        <v>152</v>
      </c>
      <c r="J12" s="37" t="str">
        <f t="shared" si="2"/>
        <v>121-180 DAYS</v>
      </c>
      <c r="K12" s="37" t="str">
        <f t="shared" si="1"/>
        <v>0-180 DAYS</v>
      </c>
      <c r="M12" s="36"/>
      <c r="P12" s="131"/>
    </row>
    <row r="13" spans="1:16" hidden="1" x14ac:dyDescent="0.35">
      <c r="A13" t="s">
        <v>2029</v>
      </c>
      <c r="B13" s="2" t="s">
        <v>1209</v>
      </c>
      <c r="C13" s="2" t="s">
        <v>789</v>
      </c>
      <c r="D13" s="44" t="s">
        <v>506</v>
      </c>
      <c r="E13" s="2" t="s">
        <v>507</v>
      </c>
      <c r="F13" s="135" t="s">
        <v>1239</v>
      </c>
      <c r="G13" s="8" t="s">
        <v>1414</v>
      </c>
      <c r="H13" s="136">
        <v>276862.75</v>
      </c>
      <c r="I13" s="37">
        <f t="shared" si="0"/>
        <v>152</v>
      </c>
      <c r="J13" s="37" t="str">
        <f t="shared" si="2"/>
        <v>121-180 DAYS</v>
      </c>
      <c r="K13" s="37" t="str">
        <f t="shared" si="1"/>
        <v>0-180 DAYS</v>
      </c>
      <c r="M13" s="36"/>
      <c r="P13" s="131"/>
    </row>
    <row r="14" spans="1:16" hidden="1" x14ac:dyDescent="0.35">
      <c r="A14" t="s">
        <v>2029</v>
      </c>
      <c r="B14" s="2" t="s">
        <v>1209</v>
      </c>
      <c r="C14" s="2" t="s">
        <v>789</v>
      </c>
      <c r="D14" s="44" t="s">
        <v>506</v>
      </c>
      <c r="E14" s="2" t="s">
        <v>507</v>
      </c>
      <c r="F14" s="135" t="s">
        <v>1240</v>
      </c>
      <c r="G14" s="8" t="s">
        <v>1415</v>
      </c>
      <c r="H14" s="136">
        <v>3206825.03</v>
      </c>
      <c r="I14" s="37">
        <f t="shared" si="0"/>
        <v>-32</v>
      </c>
      <c r="J14" s="37" t="str">
        <f t="shared" si="2"/>
        <v>1-90 DAYS</v>
      </c>
      <c r="K14" s="37" t="str">
        <f t="shared" si="1"/>
        <v>0-180 DAYS</v>
      </c>
      <c r="M14" s="36"/>
      <c r="P14" s="131"/>
    </row>
    <row r="15" spans="1:16" hidden="1" x14ac:dyDescent="0.35">
      <c r="A15" t="s">
        <v>2029</v>
      </c>
      <c r="B15" s="2" t="s">
        <v>1209</v>
      </c>
      <c r="C15" s="2" t="s">
        <v>789</v>
      </c>
      <c r="D15" s="44" t="s">
        <v>506</v>
      </c>
      <c r="E15" s="2" t="s">
        <v>507</v>
      </c>
      <c r="F15" s="135" t="s">
        <v>1241</v>
      </c>
      <c r="G15" s="8" t="s">
        <v>1415</v>
      </c>
      <c r="H15" s="136">
        <v>179830.58</v>
      </c>
      <c r="I15" s="37">
        <f t="shared" si="0"/>
        <v>-32</v>
      </c>
      <c r="J15" s="37" t="str">
        <f t="shared" si="2"/>
        <v>1-90 DAYS</v>
      </c>
      <c r="K15" s="37" t="str">
        <f t="shared" si="1"/>
        <v>0-180 DAYS</v>
      </c>
      <c r="M15" s="36"/>
      <c r="P15" s="131"/>
    </row>
    <row r="16" spans="1:16" hidden="1" x14ac:dyDescent="0.35">
      <c r="A16" t="s">
        <v>2029</v>
      </c>
      <c r="B16" s="2" t="s">
        <v>1209</v>
      </c>
      <c r="C16" s="2" t="s">
        <v>789</v>
      </c>
      <c r="D16" s="44" t="s">
        <v>506</v>
      </c>
      <c r="E16" s="2" t="s">
        <v>507</v>
      </c>
      <c r="F16" s="135" t="s">
        <v>1242</v>
      </c>
      <c r="G16" s="8" t="s">
        <v>1417</v>
      </c>
      <c r="H16" s="136">
        <v>3740266.04</v>
      </c>
      <c r="I16" s="37" t="e">
        <f t="shared" si="0"/>
        <v>#VALUE!</v>
      </c>
      <c r="J16" s="37" t="e">
        <f t="shared" si="2"/>
        <v>#VALUE!</v>
      </c>
      <c r="K16" s="37" t="e">
        <f t="shared" si="1"/>
        <v>#VALUE!</v>
      </c>
      <c r="M16" s="36"/>
      <c r="P16" s="131"/>
    </row>
    <row r="17" spans="1:16" hidden="1" x14ac:dyDescent="0.35">
      <c r="A17" t="s">
        <v>2030</v>
      </c>
      <c r="B17" s="2" t="s">
        <v>1085</v>
      </c>
      <c r="C17" s="2" t="s">
        <v>790</v>
      </c>
      <c r="D17" s="44" t="s">
        <v>650</v>
      </c>
      <c r="E17" s="2" t="s">
        <v>507</v>
      </c>
      <c r="F17" s="44" t="s">
        <v>1274</v>
      </c>
      <c r="G17" s="8" t="s">
        <v>1459</v>
      </c>
      <c r="H17" s="104">
        <f>2592197.91-2448893</f>
        <v>143304.91000000015</v>
      </c>
      <c r="I17" s="37">
        <f t="shared" si="0"/>
        <v>90</v>
      </c>
      <c r="J17" s="37" t="str">
        <f t="shared" ref="J17:J23" si="3">IF(I17&lt;121,"0-120 DAYS",IF(I17&lt;181,"121-180 DAYS","More than 180 Days"))</f>
        <v>0-120 DAYS</v>
      </c>
      <c r="K17" s="37" t="str">
        <f t="shared" si="1"/>
        <v>0-180 DAYS</v>
      </c>
      <c r="L17" t="s">
        <v>1730</v>
      </c>
      <c r="M17" s="36"/>
      <c r="P17" s="131"/>
    </row>
    <row r="18" spans="1:16" hidden="1" x14ac:dyDescent="0.35">
      <c r="A18" t="s">
        <v>2030</v>
      </c>
      <c r="B18" s="2" t="s">
        <v>1085</v>
      </c>
      <c r="C18" s="2" t="s">
        <v>790</v>
      </c>
      <c r="D18" s="44" t="s">
        <v>650</v>
      </c>
      <c r="E18" s="2" t="s">
        <v>507</v>
      </c>
      <c r="F18" s="44" t="s">
        <v>1273</v>
      </c>
      <c r="G18" s="8" t="s">
        <v>1458</v>
      </c>
      <c r="H18" s="104">
        <v>3195115.4</v>
      </c>
      <c r="I18" s="37">
        <f t="shared" si="0"/>
        <v>211</v>
      </c>
      <c r="J18" s="37" t="str">
        <f t="shared" si="3"/>
        <v>More than 180 Days</v>
      </c>
      <c r="K18" s="37" t="str">
        <f t="shared" si="1"/>
        <v>More than 180 Days</v>
      </c>
      <c r="M18" s="36"/>
      <c r="P18" s="131"/>
    </row>
    <row r="19" spans="1:16" hidden="1" x14ac:dyDescent="0.35">
      <c r="A19" t="s">
        <v>2030</v>
      </c>
      <c r="B19" s="2" t="s">
        <v>1085</v>
      </c>
      <c r="C19" s="2" t="s">
        <v>790</v>
      </c>
      <c r="D19" s="44" t="s">
        <v>650</v>
      </c>
      <c r="E19" s="2" t="s">
        <v>507</v>
      </c>
      <c r="F19" s="44" t="s">
        <v>1280</v>
      </c>
      <c r="G19" s="8" t="s">
        <v>1461</v>
      </c>
      <c r="H19" s="104">
        <v>3739703.13</v>
      </c>
      <c r="I19" s="37" t="e">
        <f t="shared" si="0"/>
        <v>#VALUE!</v>
      </c>
      <c r="J19" s="37" t="e">
        <f t="shared" si="3"/>
        <v>#VALUE!</v>
      </c>
      <c r="K19" s="37" t="e">
        <f t="shared" si="1"/>
        <v>#VALUE!</v>
      </c>
      <c r="L19" t="s">
        <v>1730</v>
      </c>
      <c r="M19" s="36"/>
      <c r="P19" s="131"/>
    </row>
    <row r="20" spans="1:16" hidden="1" x14ac:dyDescent="0.35">
      <c r="A20" t="s">
        <v>2030</v>
      </c>
      <c r="B20" s="2" t="s">
        <v>1085</v>
      </c>
      <c r="C20" s="2" t="s">
        <v>790</v>
      </c>
      <c r="D20" s="44" t="s">
        <v>650</v>
      </c>
      <c r="E20" s="2" t="s">
        <v>507</v>
      </c>
      <c r="F20" s="44" t="s">
        <v>1281</v>
      </c>
      <c r="G20" s="8" t="s">
        <v>1461</v>
      </c>
      <c r="H20" s="104">
        <v>3331320.03</v>
      </c>
      <c r="I20" s="37" t="e">
        <f t="shared" si="0"/>
        <v>#VALUE!</v>
      </c>
      <c r="J20" s="37" t="e">
        <f t="shared" si="3"/>
        <v>#VALUE!</v>
      </c>
      <c r="K20" s="37" t="e">
        <f t="shared" si="1"/>
        <v>#VALUE!</v>
      </c>
      <c r="L20" t="s">
        <v>1730</v>
      </c>
      <c r="M20" s="36"/>
      <c r="P20" s="131"/>
    </row>
    <row r="21" spans="1:16" hidden="1" x14ac:dyDescent="0.35">
      <c r="A21" t="s">
        <v>2030</v>
      </c>
      <c r="B21" s="2" t="s">
        <v>1085</v>
      </c>
      <c r="C21" s="2" t="s">
        <v>790</v>
      </c>
      <c r="D21" s="44" t="s">
        <v>564</v>
      </c>
      <c r="E21" s="2" t="s">
        <v>507</v>
      </c>
      <c r="F21" s="44" t="s">
        <v>1288</v>
      </c>
      <c r="G21" s="8" t="s">
        <v>1463</v>
      </c>
      <c r="H21" s="134">
        <f>2908305.55-1654904</f>
        <v>1253401.5499999998</v>
      </c>
      <c r="I21" s="37" t="e">
        <f t="shared" si="0"/>
        <v>#VALUE!</v>
      </c>
      <c r="J21" s="37" t="e">
        <f t="shared" si="3"/>
        <v>#VALUE!</v>
      </c>
      <c r="K21" s="37" t="e">
        <f t="shared" si="1"/>
        <v>#VALUE!</v>
      </c>
      <c r="L21" t="s">
        <v>1730</v>
      </c>
      <c r="M21" s="36"/>
      <c r="P21" s="131"/>
    </row>
    <row r="22" spans="1:16" hidden="1" x14ac:dyDescent="0.35">
      <c r="A22" t="s">
        <v>2030</v>
      </c>
      <c r="B22" s="2" t="s">
        <v>1085</v>
      </c>
      <c r="C22" s="2" t="s">
        <v>790</v>
      </c>
      <c r="D22" s="44" t="s">
        <v>650</v>
      </c>
      <c r="E22" s="2" t="s">
        <v>507</v>
      </c>
      <c r="F22" s="44" t="s">
        <v>1289</v>
      </c>
      <c r="G22" s="8" t="s">
        <v>1464</v>
      </c>
      <c r="H22" s="104">
        <v>2764278.5</v>
      </c>
      <c r="I22" s="37" t="e">
        <f t="shared" si="0"/>
        <v>#VALUE!</v>
      </c>
      <c r="J22" s="37" t="e">
        <f t="shared" si="3"/>
        <v>#VALUE!</v>
      </c>
      <c r="K22" s="37" t="e">
        <f t="shared" si="1"/>
        <v>#VALUE!</v>
      </c>
      <c r="L22" t="s">
        <v>1730</v>
      </c>
      <c r="M22" s="36"/>
      <c r="P22" s="131"/>
    </row>
    <row r="23" spans="1:16" hidden="1" x14ac:dyDescent="0.35">
      <c r="A23" t="s">
        <v>2031</v>
      </c>
      <c r="B23" s="2" t="s">
        <v>1085</v>
      </c>
      <c r="C23" s="2" t="s">
        <v>790</v>
      </c>
      <c r="D23" s="44" t="s">
        <v>584</v>
      </c>
      <c r="E23" s="2" t="s">
        <v>507</v>
      </c>
      <c r="F23" s="44" t="s">
        <v>1307</v>
      </c>
      <c r="G23" s="8" t="s">
        <v>1464</v>
      </c>
      <c r="H23" s="134">
        <v>3485053.86</v>
      </c>
      <c r="I23" s="37" t="e">
        <f t="shared" si="0"/>
        <v>#VALUE!</v>
      </c>
      <c r="J23" s="37" t="e">
        <f t="shared" si="3"/>
        <v>#VALUE!</v>
      </c>
      <c r="K23" s="37" t="e">
        <f t="shared" si="1"/>
        <v>#VALUE!</v>
      </c>
      <c r="L23" t="s">
        <v>1730</v>
      </c>
      <c r="M23" s="36"/>
      <c r="P23" s="131"/>
    </row>
    <row r="24" spans="1:16" hidden="1" x14ac:dyDescent="0.35">
      <c r="A24" t="s">
        <v>2029</v>
      </c>
      <c r="B24" s="2" t="s">
        <v>1209</v>
      </c>
      <c r="C24" s="2" t="s">
        <v>789</v>
      </c>
      <c r="D24" s="44" t="s">
        <v>506</v>
      </c>
      <c r="E24" s="37" t="s">
        <v>507</v>
      </c>
      <c r="F24" s="44" t="s">
        <v>1325</v>
      </c>
      <c r="G24" s="8" t="s">
        <v>1449</v>
      </c>
      <c r="H24" s="134">
        <v>3051802.2</v>
      </c>
      <c r="I24" s="37" t="e">
        <f t="shared" si="0"/>
        <v>#VALUE!</v>
      </c>
      <c r="J24" s="37" t="e">
        <f>IF(I24&lt;91,"1-90 DAYS",IF(I24&lt;121,"91-120DAYS",IF(I24&lt;181,"121-180 DAYS","More than 180 Days")))</f>
        <v>#VALUE!</v>
      </c>
      <c r="K24" s="37" t="e">
        <f t="shared" si="1"/>
        <v>#VALUE!</v>
      </c>
      <c r="M24" s="36"/>
      <c r="P24" s="131"/>
    </row>
    <row r="25" spans="1:16" hidden="1" x14ac:dyDescent="0.35">
      <c r="A25" t="s">
        <v>2029</v>
      </c>
      <c r="B25" s="2" t="s">
        <v>1085</v>
      </c>
      <c r="C25" s="2" t="s">
        <v>790</v>
      </c>
      <c r="D25" s="44" t="s">
        <v>538</v>
      </c>
      <c r="E25" s="2" t="s">
        <v>507</v>
      </c>
      <c r="F25" s="44" t="s">
        <v>1333</v>
      </c>
      <c r="G25" s="8" t="s">
        <v>1471</v>
      </c>
      <c r="H25" s="137">
        <v>2934700.75</v>
      </c>
      <c r="I25" s="37">
        <f t="shared" si="0"/>
        <v>119</v>
      </c>
      <c r="J25" s="37" t="str">
        <f t="shared" ref="J25:J75" si="4">IF(I25&lt;121,"0-120 DAYS",IF(I25&lt;181,"121-180 DAYS","More than 180 Days"))</f>
        <v>0-120 DAYS</v>
      </c>
      <c r="K25" s="37" t="str">
        <f t="shared" si="1"/>
        <v>0-180 DAYS</v>
      </c>
      <c r="L25" t="s">
        <v>1730</v>
      </c>
      <c r="M25" s="36"/>
      <c r="P25" s="131"/>
    </row>
    <row r="26" spans="1:16" hidden="1" x14ac:dyDescent="0.35">
      <c r="A26" t="s">
        <v>2029</v>
      </c>
      <c r="B26" s="2" t="s">
        <v>1085</v>
      </c>
      <c r="C26" s="2" t="s">
        <v>790</v>
      </c>
      <c r="D26" s="44" t="s">
        <v>573</v>
      </c>
      <c r="E26" s="2" t="s">
        <v>507</v>
      </c>
      <c r="F26" s="44" t="s">
        <v>1334</v>
      </c>
      <c r="G26" s="8" t="s">
        <v>1472</v>
      </c>
      <c r="H26" s="134">
        <v>3634371.15</v>
      </c>
      <c r="I26" s="37">
        <f t="shared" si="0"/>
        <v>58</v>
      </c>
      <c r="J26" s="37" t="str">
        <f t="shared" si="4"/>
        <v>0-120 DAYS</v>
      </c>
      <c r="K26" s="37" t="str">
        <f t="shared" si="1"/>
        <v>0-180 DAYS</v>
      </c>
      <c r="L26" t="s">
        <v>1730</v>
      </c>
      <c r="M26" s="36"/>
      <c r="P26" s="131"/>
    </row>
    <row r="27" spans="1:16" hidden="1" x14ac:dyDescent="0.35">
      <c r="A27" t="s">
        <v>2029</v>
      </c>
      <c r="B27" s="2" t="s">
        <v>1085</v>
      </c>
      <c r="C27" s="2" t="s">
        <v>790</v>
      </c>
      <c r="D27" s="44" t="s">
        <v>573</v>
      </c>
      <c r="E27" s="2" t="s">
        <v>507</v>
      </c>
      <c r="F27" s="44" t="s">
        <v>1335</v>
      </c>
      <c r="G27" s="8" t="s">
        <v>1473</v>
      </c>
      <c r="H27" s="134">
        <v>3370080.07</v>
      </c>
      <c r="I27" s="37">
        <f t="shared" si="0"/>
        <v>-64</v>
      </c>
      <c r="J27" s="37" t="str">
        <f t="shared" si="4"/>
        <v>0-120 DAYS</v>
      </c>
      <c r="K27" s="37" t="str">
        <f t="shared" si="1"/>
        <v>0-180 DAYS</v>
      </c>
      <c r="L27" t="s">
        <v>1730</v>
      </c>
      <c r="M27" s="36"/>
      <c r="P27" s="131"/>
    </row>
    <row r="28" spans="1:16" hidden="1" x14ac:dyDescent="0.35">
      <c r="A28" t="s">
        <v>2029</v>
      </c>
      <c r="B28" s="2" t="s">
        <v>1085</v>
      </c>
      <c r="C28" s="2" t="s">
        <v>790</v>
      </c>
      <c r="D28" s="44" t="s">
        <v>573</v>
      </c>
      <c r="E28" s="2" t="s">
        <v>507</v>
      </c>
      <c r="F28" s="44" t="s">
        <v>1336</v>
      </c>
      <c r="G28" s="8" t="s">
        <v>1474</v>
      </c>
      <c r="H28" s="134">
        <v>3228003.87</v>
      </c>
      <c r="I28" s="37">
        <f t="shared" si="0"/>
        <v>-95</v>
      </c>
      <c r="J28" s="37" t="str">
        <f t="shared" si="4"/>
        <v>0-120 DAYS</v>
      </c>
      <c r="K28" s="37" t="str">
        <f t="shared" si="1"/>
        <v>0-180 DAYS</v>
      </c>
      <c r="L28" t="s">
        <v>1730</v>
      </c>
      <c r="M28" s="36"/>
      <c r="P28" s="131"/>
    </row>
    <row r="29" spans="1:16" hidden="1" x14ac:dyDescent="0.35">
      <c r="A29" t="s">
        <v>2029</v>
      </c>
      <c r="B29" s="2" t="s">
        <v>1085</v>
      </c>
      <c r="C29" s="2" t="s">
        <v>790</v>
      </c>
      <c r="D29" s="44" t="s">
        <v>1052</v>
      </c>
      <c r="E29" s="2" t="s">
        <v>507</v>
      </c>
      <c r="F29" s="44" t="s">
        <v>1337</v>
      </c>
      <c r="G29" s="8" t="s">
        <v>1475</v>
      </c>
      <c r="H29" s="134">
        <v>3102536.95</v>
      </c>
      <c r="I29" s="37">
        <f t="shared" si="0"/>
        <v>-125</v>
      </c>
      <c r="J29" s="37" t="str">
        <f t="shared" si="4"/>
        <v>0-120 DAYS</v>
      </c>
      <c r="K29" s="37" t="str">
        <f t="shared" si="1"/>
        <v>0-180 DAYS</v>
      </c>
      <c r="L29" t="s">
        <v>1730</v>
      </c>
      <c r="M29" s="36"/>
      <c r="P29" s="131"/>
    </row>
    <row r="30" spans="1:16" hidden="1" x14ac:dyDescent="0.35">
      <c r="A30" t="s">
        <v>2029</v>
      </c>
      <c r="B30" s="2" t="s">
        <v>1085</v>
      </c>
      <c r="C30" s="2" t="s">
        <v>790</v>
      </c>
      <c r="D30" s="44" t="s">
        <v>538</v>
      </c>
      <c r="E30" s="2" t="s">
        <v>507</v>
      </c>
      <c r="F30" s="44" t="s">
        <v>1338</v>
      </c>
      <c r="G30" s="8" t="s">
        <v>1476</v>
      </c>
      <c r="H30" s="137">
        <v>2914002</v>
      </c>
      <c r="I30" s="37" t="e">
        <f t="shared" si="0"/>
        <v>#VALUE!</v>
      </c>
      <c r="J30" s="37" t="e">
        <f t="shared" si="4"/>
        <v>#VALUE!</v>
      </c>
      <c r="K30" s="37" t="e">
        <f t="shared" si="1"/>
        <v>#VALUE!</v>
      </c>
      <c r="L30" t="s">
        <v>1730</v>
      </c>
      <c r="M30" s="36"/>
      <c r="P30" s="131"/>
    </row>
    <row r="31" spans="1:16" hidden="1" x14ac:dyDescent="0.35">
      <c r="A31" t="s">
        <v>2029</v>
      </c>
      <c r="B31" s="2" t="s">
        <v>1085</v>
      </c>
      <c r="C31" s="2" t="s">
        <v>790</v>
      </c>
      <c r="D31" s="44" t="s">
        <v>1328</v>
      </c>
      <c r="E31" s="2" t="s">
        <v>507</v>
      </c>
      <c r="F31" s="44" t="s">
        <v>1339</v>
      </c>
      <c r="G31" s="8" t="s">
        <v>1477</v>
      </c>
      <c r="H31" s="134">
        <v>1757844.25</v>
      </c>
      <c r="I31" s="37" t="e">
        <f t="shared" si="0"/>
        <v>#VALUE!</v>
      </c>
      <c r="J31" s="37" t="e">
        <f t="shared" si="4"/>
        <v>#VALUE!</v>
      </c>
      <c r="K31" s="37" t="e">
        <f t="shared" si="1"/>
        <v>#VALUE!</v>
      </c>
      <c r="L31" t="s">
        <v>1730</v>
      </c>
      <c r="M31" s="36"/>
      <c r="P31" s="131"/>
    </row>
    <row r="32" spans="1:16" hidden="1" x14ac:dyDescent="0.35">
      <c r="A32" t="s">
        <v>2029</v>
      </c>
      <c r="B32" s="2" t="s">
        <v>1085</v>
      </c>
      <c r="C32" s="2" t="s">
        <v>790</v>
      </c>
      <c r="D32" s="44" t="s">
        <v>573</v>
      </c>
      <c r="E32" s="2" t="s">
        <v>507</v>
      </c>
      <c r="F32" s="44" t="s">
        <v>1340</v>
      </c>
      <c r="G32" s="8" t="s">
        <v>1477</v>
      </c>
      <c r="H32" s="134">
        <v>4573272.93</v>
      </c>
      <c r="I32" s="37" t="e">
        <f t="shared" si="0"/>
        <v>#VALUE!</v>
      </c>
      <c r="J32" s="37" t="e">
        <f t="shared" si="4"/>
        <v>#VALUE!</v>
      </c>
      <c r="K32" s="37" t="e">
        <f t="shared" si="1"/>
        <v>#VALUE!</v>
      </c>
      <c r="L32" t="s">
        <v>1730</v>
      </c>
      <c r="M32" s="36"/>
      <c r="P32" s="131"/>
    </row>
    <row r="33" spans="1:16" hidden="1" x14ac:dyDescent="0.35">
      <c r="A33" t="s">
        <v>2029</v>
      </c>
      <c r="B33" s="2" t="s">
        <v>1085</v>
      </c>
      <c r="C33" s="2" t="s">
        <v>790</v>
      </c>
      <c r="D33" s="44" t="s">
        <v>606</v>
      </c>
      <c r="E33" s="2" t="s">
        <v>507</v>
      </c>
      <c r="F33" s="44" t="s">
        <v>1341</v>
      </c>
      <c r="G33" s="8" t="s">
        <v>1478</v>
      </c>
      <c r="H33" s="134">
        <v>271481.96000000002</v>
      </c>
      <c r="I33" s="37" t="e">
        <f t="shared" si="0"/>
        <v>#VALUE!</v>
      </c>
      <c r="J33" s="37" t="e">
        <f t="shared" si="4"/>
        <v>#VALUE!</v>
      </c>
      <c r="K33" s="37" t="e">
        <f t="shared" si="1"/>
        <v>#VALUE!</v>
      </c>
      <c r="L33" t="s">
        <v>1730</v>
      </c>
      <c r="M33" s="36"/>
      <c r="P33" s="131"/>
    </row>
    <row r="34" spans="1:16" hidden="1" x14ac:dyDescent="0.35">
      <c r="A34" t="s">
        <v>2029</v>
      </c>
      <c r="B34" s="2" t="s">
        <v>1085</v>
      </c>
      <c r="C34" s="2" t="s">
        <v>790</v>
      </c>
      <c r="D34" s="44" t="s">
        <v>573</v>
      </c>
      <c r="E34" s="2" t="s">
        <v>507</v>
      </c>
      <c r="F34" s="44" t="s">
        <v>1342</v>
      </c>
      <c r="G34" s="8" t="s">
        <v>1479</v>
      </c>
      <c r="H34" s="134">
        <v>2135727.5</v>
      </c>
      <c r="I34" s="37" t="e">
        <f t="shared" si="0"/>
        <v>#VALUE!</v>
      </c>
      <c r="J34" s="37" t="e">
        <f t="shared" si="4"/>
        <v>#VALUE!</v>
      </c>
      <c r="K34" s="37" t="e">
        <f t="shared" si="1"/>
        <v>#VALUE!</v>
      </c>
      <c r="L34" t="s">
        <v>1730</v>
      </c>
      <c r="M34" s="36"/>
      <c r="P34" s="131"/>
    </row>
    <row r="35" spans="1:16" hidden="1" x14ac:dyDescent="0.35">
      <c r="A35" t="s">
        <v>2029</v>
      </c>
      <c r="B35" s="2" t="s">
        <v>1085</v>
      </c>
      <c r="C35" s="2" t="s">
        <v>790</v>
      </c>
      <c r="D35" s="44" t="s">
        <v>617</v>
      </c>
      <c r="E35" s="2" t="s">
        <v>507</v>
      </c>
      <c r="F35" s="44" t="s">
        <v>1343</v>
      </c>
      <c r="G35" s="8" t="s">
        <v>1480</v>
      </c>
      <c r="H35" s="134">
        <v>3934577.37</v>
      </c>
      <c r="I35" s="37" t="e">
        <f t="shared" si="0"/>
        <v>#VALUE!</v>
      </c>
      <c r="J35" s="37" t="e">
        <f t="shared" si="4"/>
        <v>#VALUE!</v>
      </c>
      <c r="K35" s="37" t="e">
        <f t="shared" si="1"/>
        <v>#VALUE!</v>
      </c>
      <c r="L35" t="s">
        <v>1730</v>
      </c>
      <c r="M35" s="36"/>
      <c r="P35" s="131"/>
    </row>
    <row r="36" spans="1:16" hidden="1" x14ac:dyDescent="0.35">
      <c r="A36" t="s">
        <v>2029</v>
      </c>
      <c r="B36" s="2" t="s">
        <v>1085</v>
      </c>
      <c r="C36" s="2" t="s">
        <v>790</v>
      </c>
      <c r="D36" s="44" t="s">
        <v>573</v>
      </c>
      <c r="E36" s="2" t="s">
        <v>507</v>
      </c>
      <c r="F36" s="44" t="s">
        <v>1344</v>
      </c>
      <c r="G36" s="8" t="s">
        <v>1480</v>
      </c>
      <c r="H36" s="134">
        <v>3662353.08</v>
      </c>
      <c r="I36" s="37" t="e">
        <f t="shared" si="0"/>
        <v>#VALUE!</v>
      </c>
      <c r="J36" s="37" t="e">
        <f t="shared" si="4"/>
        <v>#VALUE!</v>
      </c>
      <c r="K36" s="37" t="e">
        <f t="shared" si="1"/>
        <v>#VALUE!</v>
      </c>
      <c r="L36" t="s">
        <v>1730</v>
      </c>
      <c r="M36" s="36"/>
      <c r="P36" s="131"/>
    </row>
    <row r="37" spans="1:16" hidden="1" x14ac:dyDescent="0.35">
      <c r="A37" t="s">
        <v>2029</v>
      </c>
      <c r="B37" s="2" t="s">
        <v>1085</v>
      </c>
      <c r="C37" s="2" t="s">
        <v>790</v>
      </c>
      <c r="D37" s="44" t="s">
        <v>1329</v>
      </c>
      <c r="E37" s="2" t="s">
        <v>507</v>
      </c>
      <c r="F37" s="44" t="s">
        <v>1345</v>
      </c>
      <c r="G37" s="8" t="s">
        <v>1481</v>
      </c>
      <c r="H37" s="134">
        <v>2894921.73</v>
      </c>
      <c r="I37" s="37" t="e">
        <f t="shared" si="0"/>
        <v>#VALUE!</v>
      </c>
      <c r="J37" s="37" t="e">
        <f t="shared" si="4"/>
        <v>#VALUE!</v>
      </c>
      <c r="K37" s="37" t="e">
        <f t="shared" si="1"/>
        <v>#VALUE!</v>
      </c>
      <c r="L37" t="s">
        <v>1730</v>
      </c>
      <c r="M37" s="36"/>
      <c r="P37" s="131"/>
    </row>
    <row r="38" spans="1:16" hidden="1" x14ac:dyDescent="0.35">
      <c r="A38" t="s">
        <v>2029</v>
      </c>
      <c r="B38" s="2" t="s">
        <v>1085</v>
      </c>
      <c r="C38" s="2" t="s">
        <v>790</v>
      </c>
      <c r="D38" s="44" t="s">
        <v>1328</v>
      </c>
      <c r="E38" s="2" t="s">
        <v>507</v>
      </c>
      <c r="F38" s="44" t="s">
        <v>1346</v>
      </c>
      <c r="G38" s="8" t="s">
        <v>1482</v>
      </c>
      <c r="H38" s="134">
        <v>3164826.45</v>
      </c>
      <c r="I38" s="37" t="e">
        <f t="shared" si="0"/>
        <v>#VALUE!</v>
      </c>
      <c r="J38" s="37" t="e">
        <f t="shared" si="4"/>
        <v>#VALUE!</v>
      </c>
      <c r="K38" s="37" t="e">
        <f t="shared" si="1"/>
        <v>#VALUE!</v>
      </c>
      <c r="L38" t="s">
        <v>1730</v>
      </c>
      <c r="M38" s="36"/>
      <c r="P38" s="131"/>
    </row>
    <row r="39" spans="1:16" hidden="1" x14ac:dyDescent="0.35">
      <c r="A39" t="s">
        <v>2029</v>
      </c>
      <c r="B39" s="2" t="s">
        <v>1085</v>
      </c>
      <c r="C39" s="2" t="s">
        <v>790</v>
      </c>
      <c r="D39" s="44" t="s">
        <v>1243</v>
      </c>
      <c r="E39" s="2" t="s">
        <v>507</v>
      </c>
      <c r="F39" s="44" t="s">
        <v>1347</v>
      </c>
      <c r="G39" s="8" t="s">
        <v>1483</v>
      </c>
      <c r="H39" s="134">
        <v>2634141.29</v>
      </c>
      <c r="I39" s="37" t="e">
        <f t="shared" si="0"/>
        <v>#VALUE!</v>
      </c>
      <c r="J39" s="37" t="e">
        <f t="shared" si="4"/>
        <v>#VALUE!</v>
      </c>
      <c r="K39" s="37" t="e">
        <f t="shared" si="1"/>
        <v>#VALUE!</v>
      </c>
      <c r="L39" t="s">
        <v>1730</v>
      </c>
      <c r="M39" s="36"/>
      <c r="P39" s="131"/>
    </row>
    <row r="40" spans="1:16" hidden="1" x14ac:dyDescent="0.35">
      <c r="A40" t="s">
        <v>2029</v>
      </c>
      <c r="B40" s="2" t="s">
        <v>1085</v>
      </c>
      <c r="C40" s="2" t="s">
        <v>790</v>
      </c>
      <c r="D40" s="44" t="s">
        <v>1243</v>
      </c>
      <c r="E40" s="2" t="s">
        <v>507</v>
      </c>
      <c r="F40" s="44" t="s">
        <v>1348</v>
      </c>
      <c r="G40" s="8" t="s">
        <v>1483</v>
      </c>
      <c r="H40" s="134">
        <v>167784.01</v>
      </c>
      <c r="I40" s="37" t="e">
        <f t="shared" si="0"/>
        <v>#VALUE!</v>
      </c>
      <c r="J40" s="37" t="e">
        <f t="shared" si="4"/>
        <v>#VALUE!</v>
      </c>
      <c r="K40" s="37" t="e">
        <f t="shared" si="1"/>
        <v>#VALUE!</v>
      </c>
      <c r="L40" t="s">
        <v>1730</v>
      </c>
      <c r="M40" s="36"/>
      <c r="P40" s="131"/>
    </row>
    <row r="41" spans="1:16" hidden="1" x14ac:dyDescent="0.35">
      <c r="A41" t="s">
        <v>2030</v>
      </c>
      <c r="B41" s="2" t="s">
        <v>1085</v>
      </c>
      <c r="C41" s="2" t="s">
        <v>790</v>
      </c>
      <c r="D41" s="44" t="s">
        <v>538</v>
      </c>
      <c r="E41" s="2" t="s">
        <v>507</v>
      </c>
      <c r="F41" s="44" t="s">
        <v>1351</v>
      </c>
      <c r="G41" s="8" t="s">
        <v>1471</v>
      </c>
      <c r="H41" s="137">
        <v>3079161.83</v>
      </c>
      <c r="I41" s="37">
        <f t="shared" si="0"/>
        <v>119</v>
      </c>
      <c r="J41" s="37" t="str">
        <f t="shared" si="4"/>
        <v>0-120 DAYS</v>
      </c>
      <c r="K41" s="37" t="str">
        <f t="shared" si="1"/>
        <v>0-180 DAYS</v>
      </c>
      <c r="L41" t="s">
        <v>1730</v>
      </c>
      <c r="M41" s="36"/>
      <c r="P41" s="131"/>
    </row>
    <row r="42" spans="1:16" hidden="1" x14ac:dyDescent="0.35">
      <c r="A42" t="s">
        <v>2030</v>
      </c>
      <c r="B42" s="2" t="s">
        <v>1085</v>
      </c>
      <c r="C42" s="2" t="s">
        <v>790</v>
      </c>
      <c r="D42" s="44" t="s">
        <v>570</v>
      </c>
      <c r="E42" s="2" t="s">
        <v>507</v>
      </c>
      <c r="F42" s="44" t="s">
        <v>1352</v>
      </c>
      <c r="G42" s="8" t="s">
        <v>1473</v>
      </c>
      <c r="H42" s="134">
        <v>3047940</v>
      </c>
      <c r="I42" s="37">
        <f t="shared" si="0"/>
        <v>-64</v>
      </c>
      <c r="J42" s="37" t="str">
        <f t="shared" si="4"/>
        <v>0-120 DAYS</v>
      </c>
      <c r="K42" s="37" t="str">
        <f t="shared" si="1"/>
        <v>0-180 DAYS</v>
      </c>
      <c r="L42" t="s">
        <v>1730</v>
      </c>
      <c r="M42" s="36"/>
      <c r="P42" s="131"/>
    </row>
    <row r="43" spans="1:16" hidden="1" x14ac:dyDescent="0.35">
      <c r="A43" t="s">
        <v>2030</v>
      </c>
      <c r="B43" s="2" t="s">
        <v>1085</v>
      </c>
      <c r="C43" s="2" t="s">
        <v>790</v>
      </c>
      <c r="D43" s="44" t="s">
        <v>570</v>
      </c>
      <c r="E43" s="2" t="s">
        <v>507</v>
      </c>
      <c r="F43" s="44" t="s">
        <v>1353</v>
      </c>
      <c r="G43" s="8" t="s">
        <v>1474</v>
      </c>
      <c r="H43" s="134">
        <v>3319099.28</v>
      </c>
      <c r="I43" s="37">
        <f t="shared" si="0"/>
        <v>-95</v>
      </c>
      <c r="J43" s="37" t="str">
        <f t="shared" si="4"/>
        <v>0-120 DAYS</v>
      </c>
      <c r="K43" s="37" t="str">
        <f t="shared" si="1"/>
        <v>0-180 DAYS</v>
      </c>
      <c r="L43" t="s">
        <v>1730</v>
      </c>
      <c r="M43" s="36"/>
      <c r="P43" s="131"/>
    </row>
    <row r="44" spans="1:16" hidden="1" x14ac:dyDescent="0.35">
      <c r="A44" t="s">
        <v>2030</v>
      </c>
      <c r="B44" s="2" t="s">
        <v>1085</v>
      </c>
      <c r="C44" s="2" t="s">
        <v>790</v>
      </c>
      <c r="D44" s="44" t="s">
        <v>1086</v>
      </c>
      <c r="E44" s="2" t="s">
        <v>507</v>
      </c>
      <c r="F44" s="44" t="s">
        <v>1354</v>
      </c>
      <c r="G44" s="8" t="s">
        <v>1475</v>
      </c>
      <c r="H44" s="134">
        <v>989839.58</v>
      </c>
      <c r="I44" s="37">
        <f t="shared" si="0"/>
        <v>-125</v>
      </c>
      <c r="J44" s="37" t="str">
        <f t="shared" si="4"/>
        <v>0-120 DAYS</v>
      </c>
      <c r="K44" s="37" t="str">
        <f t="shared" si="1"/>
        <v>0-180 DAYS</v>
      </c>
      <c r="L44" t="s">
        <v>1730</v>
      </c>
      <c r="M44" s="36"/>
      <c r="P44" s="131"/>
    </row>
    <row r="45" spans="1:16" hidden="1" x14ac:dyDescent="0.35">
      <c r="A45" t="s">
        <v>2030</v>
      </c>
      <c r="B45" s="2" t="s">
        <v>1085</v>
      </c>
      <c r="C45" s="2" t="s">
        <v>790</v>
      </c>
      <c r="D45" s="44" t="s">
        <v>1086</v>
      </c>
      <c r="E45" s="2" t="s">
        <v>507</v>
      </c>
      <c r="F45" s="44" t="s">
        <v>1355</v>
      </c>
      <c r="G45" s="8" t="s">
        <v>1475</v>
      </c>
      <c r="H45" s="134">
        <v>866179.94</v>
      </c>
      <c r="I45" s="37">
        <f t="shared" si="0"/>
        <v>-125</v>
      </c>
      <c r="J45" s="37" t="str">
        <f t="shared" si="4"/>
        <v>0-120 DAYS</v>
      </c>
      <c r="K45" s="37" t="str">
        <f t="shared" si="1"/>
        <v>0-180 DAYS</v>
      </c>
      <c r="L45" t="s">
        <v>1730</v>
      </c>
      <c r="M45" s="36"/>
      <c r="P45" s="131"/>
    </row>
    <row r="46" spans="1:16" hidden="1" x14ac:dyDescent="0.35">
      <c r="A46" t="s">
        <v>2030</v>
      </c>
      <c r="B46" s="2" t="s">
        <v>1085</v>
      </c>
      <c r="C46" s="2" t="s">
        <v>790</v>
      </c>
      <c r="D46" s="44" t="s">
        <v>1086</v>
      </c>
      <c r="E46" s="2" t="s">
        <v>507</v>
      </c>
      <c r="F46" s="44" t="s">
        <v>1356</v>
      </c>
      <c r="G46" s="8" t="s">
        <v>1475</v>
      </c>
      <c r="H46" s="134">
        <v>29467.55</v>
      </c>
      <c r="I46" s="37">
        <f t="shared" si="0"/>
        <v>-125</v>
      </c>
      <c r="J46" s="37" t="str">
        <f t="shared" si="4"/>
        <v>0-120 DAYS</v>
      </c>
      <c r="K46" s="37" t="str">
        <f t="shared" si="1"/>
        <v>0-180 DAYS</v>
      </c>
      <c r="L46" t="s">
        <v>1730</v>
      </c>
      <c r="M46" s="36"/>
      <c r="P46" s="131"/>
    </row>
    <row r="47" spans="1:16" hidden="1" x14ac:dyDescent="0.35">
      <c r="A47" t="s">
        <v>2030</v>
      </c>
      <c r="B47" s="2" t="s">
        <v>1085</v>
      </c>
      <c r="C47" s="2" t="s">
        <v>790</v>
      </c>
      <c r="D47" s="44" t="s">
        <v>1086</v>
      </c>
      <c r="E47" s="2" t="s">
        <v>507</v>
      </c>
      <c r="F47" s="44" t="s">
        <v>1357</v>
      </c>
      <c r="G47" s="8" t="s">
        <v>1475</v>
      </c>
      <c r="H47" s="134">
        <v>635013.93000000005</v>
      </c>
      <c r="I47" s="37">
        <f t="shared" si="0"/>
        <v>-125</v>
      </c>
      <c r="J47" s="37" t="str">
        <f t="shared" si="4"/>
        <v>0-120 DAYS</v>
      </c>
      <c r="K47" s="37" t="str">
        <f t="shared" si="1"/>
        <v>0-180 DAYS</v>
      </c>
      <c r="L47" t="s">
        <v>1730</v>
      </c>
      <c r="M47" s="36"/>
      <c r="P47" s="131"/>
    </row>
    <row r="48" spans="1:16" hidden="1" x14ac:dyDescent="0.35">
      <c r="A48" t="s">
        <v>2030</v>
      </c>
      <c r="B48" s="2" t="s">
        <v>1085</v>
      </c>
      <c r="C48" s="2" t="s">
        <v>790</v>
      </c>
      <c r="D48" s="44" t="s">
        <v>1054</v>
      </c>
      <c r="E48" s="2" t="s">
        <v>507</v>
      </c>
      <c r="F48" s="44" t="s">
        <v>1358</v>
      </c>
      <c r="G48" s="8" t="s">
        <v>1485</v>
      </c>
      <c r="H48" s="134">
        <v>3013989.1</v>
      </c>
      <c r="I48" s="37" t="e">
        <f t="shared" si="0"/>
        <v>#VALUE!</v>
      </c>
      <c r="J48" s="37" t="e">
        <f t="shared" si="4"/>
        <v>#VALUE!</v>
      </c>
      <c r="K48" s="37" t="e">
        <f t="shared" si="1"/>
        <v>#VALUE!</v>
      </c>
      <c r="L48" t="s">
        <v>1730</v>
      </c>
      <c r="M48" s="36"/>
      <c r="P48" s="131"/>
    </row>
    <row r="49" spans="1:16" hidden="1" x14ac:dyDescent="0.35">
      <c r="A49" t="s">
        <v>2030</v>
      </c>
      <c r="B49" s="2" t="s">
        <v>1085</v>
      </c>
      <c r="C49" s="2" t="s">
        <v>790</v>
      </c>
      <c r="D49" s="44" t="s">
        <v>570</v>
      </c>
      <c r="E49" s="2" t="s">
        <v>507</v>
      </c>
      <c r="F49" s="44" t="s">
        <v>1359</v>
      </c>
      <c r="G49" s="8" t="s">
        <v>1486</v>
      </c>
      <c r="H49" s="134">
        <v>3515742.4</v>
      </c>
      <c r="I49" s="37" t="e">
        <f t="shared" si="0"/>
        <v>#VALUE!</v>
      </c>
      <c r="J49" s="37" t="e">
        <f t="shared" si="4"/>
        <v>#VALUE!</v>
      </c>
      <c r="K49" s="37" t="e">
        <f t="shared" si="1"/>
        <v>#VALUE!</v>
      </c>
      <c r="L49" t="s">
        <v>1730</v>
      </c>
      <c r="M49" s="36"/>
      <c r="P49" s="131"/>
    </row>
    <row r="50" spans="1:16" hidden="1" x14ac:dyDescent="0.35">
      <c r="A50" t="s">
        <v>2030</v>
      </c>
      <c r="B50" s="2" t="s">
        <v>1085</v>
      </c>
      <c r="C50" s="2" t="s">
        <v>790</v>
      </c>
      <c r="D50" s="44" t="s">
        <v>575</v>
      </c>
      <c r="E50" s="2" t="s">
        <v>507</v>
      </c>
      <c r="F50" s="44" t="s">
        <v>1360</v>
      </c>
      <c r="G50" s="8" t="s">
        <v>1480</v>
      </c>
      <c r="H50" s="134">
        <v>3093422.69</v>
      </c>
      <c r="I50" s="37" t="e">
        <f t="shared" si="0"/>
        <v>#VALUE!</v>
      </c>
      <c r="J50" s="37" t="e">
        <f t="shared" si="4"/>
        <v>#VALUE!</v>
      </c>
      <c r="K50" s="37" t="e">
        <f t="shared" si="1"/>
        <v>#VALUE!</v>
      </c>
      <c r="L50" t="s">
        <v>1730</v>
      </c>
      <c r="M50" s="36"/>
      <c r="P50" s="131"/>
    </row>
    <row r="51" spans="1:16" hidden="1" x14ac:dyDescent="0.35">
      <c r="A51" t="s">
        <v>2030</v>
      </c>
      <c r="B51" s="2" t="s">
        <v>1085</v>
      </c>
      <c r="C51" s="2" t="s">
        <v>790</v>
      </c>
      <c r="D51" s="44" t="s">
        <v>596</v>
      </c>
      <c r="E51" s="2" t="s">
        <v>507</v>
      </c>
      <c r="F51" s="44" t="s">
        <v>1361</v>
      </c>
      <c r="G51" s="8" t="s">
        <v>1480</v>
      </c>
      <c r="H51" s="134">
        <v>3436581.96</v>
      </c>
      <c r="I51" s="37" t="e">
        <f t="shared" si="0"/>
        <v>#VALUE!</v>
      </c>
      <c r="J51" s="37" t="e">
        <f t="shared" si="4"/>
        <v>#VALUE!</v>
      </c>
      <c r="K51" s="37" t="e">
        <f t="shared" si="1"/>
        <v>#VALUE!</v>
      </c>
      <c r="L51" t="s">
        <v>1730</v>
      </c>
      <c r="M51" s="36"/>
      <c r="P51" s="131"/>
    </row>
    <row r="52" spans="1:16" hidden="1" x14ac:dyDescent="0.35">
      <c r="A52" t="s">
        <v>2030</v>
      </c>
      <c r="B52" s="2" t="s">
        <v>1085</v>
      </c>
      <c r="C52" s="2" t="s">
        <v>790</v>
      </c>
      <c r="D52" s="44" t="s">
        <v>1249</v>
      </c>
      <c r="E52" s="2" t="s">
        <v>507</v>
      </c>
      <c r="F52" s="44" t="s">
        <v>1362</v>
      </c>
      <c r="G52" s="8" t="s">
        <v>1487</v>
      </c>
      <c r="H52" s="134">
        <v>3294768</v>
      </c>
      <c r="I52" s="37" t="e">
        <f t="shared" si="0"/>
        <v>#VALUE!</v>
      </c>
      <c r="J52" s="37" t="e">
        <f t="shared" si="4"/>
        <v>#VALUE!</v>
      </c>
      <c r="K52" s="37" t="e">
        <f t="shared" si="1"/>
        <v>#VALUE!</v>
      </c>
      <c r="L52" t="s">
        <v>1730</v>
      </c>
      <c r="M52" s="36"/>
      <c r="P52" s="131"/>
    </row>
    <row r="53" spans="1:16" hidden="1" x14ac:dyDescent="0.35">
      <c r="A53" t="s">
        <v>2030</v>
      </c>
      <c r="B53" s="2" t="s">
        <v>1085</v>
      </c>
      <c r="C53" s="2" t="s">
        <v>790</v>
      </c>
      <c r="D53" s="44" t="s">
        <v>522</v>
      </c>
      <c r="E53" s="2" t="s">
        <v>507</v>
      </c>
      <c r="F53" s="44" t="s">
        <v>1363</v>
      </c>
      <c r="G53" s="8" t="s">
        <v>1482</v>
      </c>
      <c r="H53" s="134">
        <v>3275861.78</v>
      </c>
      <c r="I53" s="37" t="e">
        <f t="shared" si="0"/>
        <v>#VALUE!</v>
      </c>
      <c r="J53" s="37" t="e">
        <f t="shared" si="4"/>
        <v>#VALUE!</v>
      </c>
      <c r="K53" s="37" t="e">
        <f t="shared" si="1"/>
        <v>#VALUE!</v>
      </c>
      <c r="L53" t="s">
        <v>1730</v>
      </c>
      <c r="M53" s="36"/>
      <c r="P53" s="131"/>
    </row>
    <row r="54" spans="1:16" hidden="1" x14ac:dyDescent="0.35">
      <c r="A54" t="s">
        <v>2030</v>
      </c>
      <c r="B54" s="2" t="s">
        <v>1085</v>
      </c>
      <c r="C54" s="2" t="s">
        <v>790</v>
      </c>
      <c r="D54" s="44" t="s">
        <v>543</v>
      </c>
      <c r="E54" s="2" t="s">
        <v>507</v>
      </c>
      <c r="F54" s="44" t="s">
        <v>1364</v>
      </c>
      <c r="G54" s="8" t="s">
        <v>1482</v>
      </c>
      <c r="H54" s="134">
        <v>1661002.56</v>
      </c>
      <c r="I54" s="37" t="e">
        <f t="shared" si="0"/>
        <v>#VALUE!</v>
      </c>
      <c r="J54" s="37" t="e">
        <f t="shared" si="4"/>
        <v>#VALUE!</v>
      </c>
      <c r="K54" s="37" t="e">
        <f t="shared" si="1"/>
        <v>#VALUE!</v>
      </c>
      <c r="L54" t="s">
        <v>1730</v>
      </c>
      <c r="M54" s="36"/>
      <c r="P54" s="131"/>
    </row>
    <row r="55" spans="1:16" hidden="1" x14ac:dyDescent="0.35">
      <c r="A55" t="s">
        <v>2030</v>
      </c>
      <c r="B55" s="2" t="s">
        <v>1085</v>
      </c>
      <c r="C55" s="2" t="s">
        <v>790</v>
      </c>
      <c r="D55" s="44" t="s">
        <v>1054</v>
      </c>
      <c r="E55" s="2" t="s">
        <v>507</v>
      </c>
      <c r="F55" s="44" t="s">
        <v>1365</v>
      </c>
      <c r="G55" s="8" t="s">
        <v>1488</v>
      </c>
      <c r="H55" s="134">
        <v>2999954.91</v>
      </c>
      <c r="I55" s="37" t="e">
        <f t="shared" si="0"/>
        <v>#VALUE!</v>
      </c>
      <c r="J55" s="37" t="e">
        <f t="shared" si="4"/>
        <v>#VALUE!</v>
      </c>
      <c r="K55" s="37" t="e">
        <f t="shared" si="1"/>
        <v>#VALUE!</v>
      </c>
      <c r="L55" t="s">
        <v>1730</v>
      </c>
      <c r="M55" s="36"/>
      <c r="P55" s="131"/>
    </row>
    <row r="56" spans="1:16" hidden="1" x14ac:dyDescent="0.35">
      <c r="A56" t="s">
        <v>2030</v>
      </c>
      <c r="B56" s="2" t="s">
        <v>1085</v>
      </c>
      <c r="C56" s="2" t="s">
        <v>790</v>
      </c>
      <c r="D56" s="44" t="s">
        <v>570</v>
      </c>
      <c r="E56" s="2" t="s">
        <v>507</v>
      </c>
      <c r="F56" s="44" t="s">
        <v>1366</v>
      </c>
      <c r="G56" s="8" t="s">
        <v>1488</v>
      </c>
      <c r="H56" s="134">
        <v>3051630</v>
      </c>
      <c r="I56" s="37" t="e">
        <f t="shared" si="0"/>
        <v>#VALUE!</v>
      </c>
      <c r="J56" s="37" t="e">
        <f t="shared" si="4"/>
        <v>#VALUE!</v>
      </c>
      <c r="K56" s="37" t="e">
        <f t="shared" si="1"/>
        <v>#VALUE!</v>
      </c>
      <c r="L56" t="s">
        <v>1730</v>
      </c>
      <c r="M56" s="36"/>
      <c r="P56" s="131"/>
    </row>
    <row r="57" spans="1:16" hidden="1" x14ac:dyDescent="0.35">
      <c r="A57" t="s">
        <v>2030</v>
      </c>
      <c r="B57" s="2" t="s">
        <v>1085</v>
      </c>
      <c r="C57" s="2" t="s">
        <v>790</v>
      </c>
      <c r="D57" s="44" t="s">
        <v>650</v>
      </c>
      <c r="E57" s="2" t="s">
        <v>507</v>
      </c>
      <c r="F57" s="44" t="s">
        <v>1367</v>
      </c>
      <c r="G57" s="8" t="s">
        <v>1442</v>
      </c>
      <c r="H57" s="138">
        <v>2757096.49</v>
      </c>
      <c r="I57" s="37" t="e">
        <f t="shared" si="0"/>
        <v>#VALUE!</v>
      </c>
      <c r="J57" s="37" t="e">
        <f t="shared" si="4"/>
        <v>#VALUE!</v>
      </c>
      <c r="K57" s="37" t="e">
        <f t="shared" si="1"/>
        <v>#VALUE!</v>
      </c>
      <c r="L57" t="s">
        <v>1730</v>
      </c>
      <c r="M57" s="36"/>
      <c r="P57" s="131"/>
    </row>
    <row r="58" spans="1:16" hidden="1" x14ac:dyDescent="0.35">
      <c r="A58" t="s">
        <v>2030</v>
      </c>
      <c r="B58" s="2" t="s">
        <v>1085</v>
      </c>
      <c r="C58" s="2" t="s">
        <v>790</v>
      </c>
      <c r="D58" s="44" t="s">
        <v>650</v>
      </c>
      <c r="E58" s="2" t="s">
        <v>507</v>
      </c>
      <c r="F58" s="44" t="s">
        <v>1368</v>
      </c>
      <c r="G58" s="8" t="s">
        <v>1442</v>
      </c>
      <c r="H58" s="138">
        <v>269667.5</v>
      </c>
      <c r="I58" s="37" t="e">
        <f t="shared" si="0"/>
        <v>#VALUE!</v>
      </c>
      <c r="J58" s="37" t="e">
        <f t="shared" si="4"/>
        <v>#VALUE!</v>
      </c>
      <c r="K58" s="37" t="e">
        <f t="shared" si="1"/>
        <v>#VALUE!</v>
      </c>
      <c r="L58" t="s">
        <v>1730</v>
      </c>
      <c r="M58" s="36"/>
      <c r="P58" s="131"/>
    </row>
    <row r="59" spans="1:16" hidden="1" x14ac:dyDescent="0.35">
      <c r="A59" t="s">
        <v>2031</v>
      </c>
      <c r="B59" s="2" t="s">
        <v>1085</v>
      </c>
      <c r="C59" s="2" t="s">
        <v>790</v>
      </c>
      <c r="D59" s="44" t="s">
        <v>1054</v>
      </c>
      <c r="E59" s="2" t="s">
        <v>507</v>
      </c>
      <c r="F59" s="44" t="s">
        <v>1369</v>
      </c>
      <c r="G59" s="8" t="s">
        <v>1489</v>
      </c>
      <c r="H59" s="134">
        <v>3167875.2</v>
      </c>
      <c r="I59" s="37">
        <f t="shared" si="0"/>
        <v>-3</v>
      </c>
      <c r="J59" s="37" t="str">
        <f t="shared" si="4"/>
        <v>0-120 DAYS</v>
      </c>
      <c r="K59" s="37" t="str">
        <f t="shared" si="1"/>
        <v>0-180 DAYS</v>
      </c>
      <c r="L59" t="s">
        <v>1730</v>
      </c>
      <c r="M59" s="36"/>
      <c r="P59" s="131"/>
    </row>
    <row r="60" spans="1:16" hidden="1" x14ac:dyDescent="0.35">
      <c r="A60" t="s">
        <v>2031</v>
      </c>
      <c r="B60" s="2" t="s">
        <v>1085</v>
      </c>
      <c r="C60" s="2" t="s">
        <v>790</v>
      </c>
      <c r="D60" s="44" t="s">
        <v>577</v>
      </c>
      <c r="E60" s="2" t="s">
        <v>507</v>
      </c>
      <c r="F60" s="44" t="s">
        <v>1370</v>
      </c>
      <c r="G60" s="8" t="s">
        <v>1489</v>
      </c>
      <c r="H60" s="134">
        <v>3347138.5</v>
      </c>
      <c r="I60" s="37">
        <f t="shared" si="0"/>
        <v>-3</v>
      </c>
      <c r="J60" s="37" t="str">
        <f t="shared" si="4"/>
        <v>0-120 DAYS</v>
      </c>
      <c r="K60" s="37" t="str">
        <f t="shared" si="1"/>
        <v>0-180 DAYS</v>
      </c>
      <c r="L60" t="s">
        <v>1730</v>
      </c>
      <c r="M60" s="36"/>
      <c r="P60" s="131"/>
    </row>
    <row r="61" spans="1:16" hidden="1" x14ac:dyDescent="0.35">
      <c r="A61" t="s">
        <v>2031</v>
      </c>
      <c r="B61" s="2" t="s">
        <v>1085</v>
      </c>
      <c r="C61" s="2" t="s">
        <v>790</v>
      </c>
      <c r="D61" s="44" t="s">
        <v>1055</v>
      </c>
      <c r="E61" s="2" t="s">
        <v>507</v>
      </c>
      <c r="F61" s="44" t="s">
        <v>1371</v>
      </c>
      <c r="G61" s="8" t="s">
        <v>1474</v>
      </c>
      <c r="H61" s="134">
        <f>28414.4-3438</f>
        <v>24976.400000000001</v>
      </c>
      <c r="I61" s="37">
        <f t="shared" si="0"/>
        <v>-95</v>
      </c>
      <c r="J61" s="37" t="str">
        <f t="shared" si="4"/>
        <v>0-120 DAYS</v>
      </c>
      <c r="K61" s="37" t="str">
        <f t="shared" si="1"/>
        <v>0-180 DAYS</v>
      </c>
      <c r="L61" t="s">
        <v>1730</v>
      </c>
      <c r="M61" s="36"/>
      <c r="P61" s="131"/>
    </row>
    <row r="62" spans="1:16" hidden="1" x14ac:dyDescent="0.35">
      <c r="A62" t="s">
        <v>2031</v>
      </c>
      <c r="B62" s="2" t="s">
        <v>1085</v>
      </c>
      <c r="C62" s="2" t="s">
        <v>790</v>
      </c>
      <c r="D62" s="44" t="s">
        <v>588</v>
      </c>
      <c r="E62" s="2" t="s">
        <v>507</v>
      </c>
      <c r="F62" s="44" t="s">
        <v>1372</v>
      </c>
      <c r="G62" s="8" t="s">
        <v>1474</v>
      </c>
      <c r="H62" s="134">
        <v>3558366.7</v>
      </c>
      <c r="I62" s="37">
        <f t="shared" si="0"/>
        <v>-95</v>
      </c>
      <c r="J62" s="37" t="str">
        <f t="shared" si="4"/>
        <v>0-120 DAYS</v>
      </c>
      <c r="K62" s="37" t="str">
        <f t="shared" si="1"/>
        <v>0-180 DAYS</v>
      </c>
      <c r="L62" t="s">
        <v>1730</v>
      </c>
      <c r="M62" s="36"/>
      <c r="P62" s="131"/>
    </row>
    <row r="63" spans="1:16" hidden="1" x14ac:dyDescent="0.35">
      <c r="A63" t="s">
        <v>2031</v>
      </c>
      <c r="B63" s="2" t="s">
        <v>1085</v>
      </c>
      <c r="C63" s="2" t="s">
        <v>790</v>
      </c>
      <c r="D63" s="44" t="s">
        <v>1330</v>
      </c>
      <c r="E63" s="2" t="s">
        <v>507</v>
      </c>
      <c r="F63" s="44" t="s">
        <v>1373</v>
      </c>
      <c r="G63" s="8" t="s">
        <v>1490</v>
      </c>
      <c r="H63" s="134">
        <v>2198648.0299999998</v>
      </c>
      <c r="I63" s="37" t="e">
        <f t="shared" si="0"/>
        <v>#VALUE!</v>
      </c>
      <c r="J63" s="37" t="e">
        <f t="shared" si="4"/>
        <v>#VALUE!</v>
      </c>
      <c r="K63" s="37" t="e">
        <f t="shared" si="1"/>
        <v>#VALUE!</v>
      </c>
      <c r="L63" t="s">
        <v>1730</v>
      </c>
      <c r="M63" s="36"/>
      <c r="P63" s="131"/>
    </row>
    <row r="64" spans="1:16" hidden="1" x14ac:dyDescent="0.35">
      <c r="A64" t="s">
        <v>2031</v>
      </c>
      <c r="B64" s="2" t="s">
        <v>1085</v>
      </c>
      <c r="C64" s="2" t="s">
        <v>790</v>
      </c>
      <c r="D64" s="44" t="s">
        <v>588</v>
      </c>
      <c r="E64" s="2" t="s">
        <v>507</v>
      </c>
      <c r="F64" s="44" t="s">
        <v>1374</v>
      </c>
      <c r="G64" s="8" t="s">
        <v>1490</v>
      </c>
      <c r="H64" s="134">
        <v>3414684</v>
      </c>
      <c r="I64" s="37" t="e">
        <f t="shared" si="0"/>
        <v>#VALUE!</v>
      </c>
      <c r="J64" s="37" t="e">
        <f t="shared" si="4"/>
        <v>#VALUE!</v>
      </c>
      <c r="K64" s="37" t="e">
        <f t="shared" si="1"/>
        <v>#VALUE!</v>
      </c>
      <c r="L64" t="s">
        <v>1730</v>
      </c>
      <c r="M64" s="36"/>
      <c r="P64" s="131"/>
    </row>
    <row r="65" spans="1:16" hidden="1" x14ac:dyDescent="0.35">
      <c r="A65" t="s">
        <v>2031</v>
      </c>
      <c r="B65" s="2" t="s">
        <v>1085</v>
      </c>
      <c r="C65" s="2" t="s">
        <v>790</v>
      </c>
      <c r="D65" s="44" t="s">
        <v>1054</v>
      </c>
      <c r="E65" s="2" t="s">
        <v>507</v>
      </c>
      <c r="F65" s="44" t="s">
        <v>1375</v>
      </c>
      <c r="G65" s="8" t="s">
        <v>1478</v>
      </c>
      <c r="H65" s="134">
        <v>3167875.2</v>
      </c>
      <c r="I65" s="37" t="e">
        <f t="shared" si="0"/>
        <v>#VALUE!</v>
      </c>
      <c r="J65" s="37" t="e">
        <f t="shared" si="4"/>
        <v>#VALUE!</v>
      </c>
      <c r="K65" s="37" t="e">
        <f t="shared" si="1"/>
        <v>#VALUE!</v>
      </c>
      <c r="L65" t="s">
        <v>1730</v>
      </c>
      <c r="M65" s="36"/>
      <c r="P65" s="131"/>
    </row>
    <row r="66" spans="1:16" hidden="1" x14ac:dyDescent="0.35">
      <c r="A66" t="s">
        <v>2031</v>
      </c>
      <c r="B66" s="2" t="s">
        <v>1085</v>
      </c>
      <c r="C66" s="2" t="s">
        <v>790</v>
      </c>
      <c r="D66" s="44" t="s">
        <v>1055</v>
      </c>
      <c r="E66" s="2" t="s">
        <v>507</v>
      </c>
      <c r="F66" s="44" t="s">
        <v>1376</v>
      </c>
      <c r="G66" s="8" t="s">
        <v>1481</v>
      </c>
      <c r="H66" s="134">
        <v>2304352.7999999998</v>
      </c>
      <c r="I66" s="37" t="e">
        <f t="shared" si="0"/>
        <v>#VALUE!</v>
      </c>
      <c r="J66" s="37" t="e">
        <f t="shared" si="4"/>
        <v>#VALUE!</v>
      </c>
      <c r="K66" s="37" t="e">
        <f t="shared" si="1"/>
        <v>#VALUE!</v>
      </c>
      <c r="L66" t="s">
        <v>1730</v>
      </c>
      <c r="M66" s="36"/>
      <c r="P66" s="131"/>
    </row>
    <row r="67" spans="1:16" hidden="1" x14ac:dyDescent="0.35">
      <c r="A67" t="s">
        <v>2031</v>
      </c>
      <c r="B67" s="2" t="s">
        <v>1085</v>
      </c>
      <c r="C67" s="2" t="s">
        <v>790</v>
      </c>
      <c r="D67" s="44" t="s">
        <v>1055</v>
      </c>
      <c r="E67" s="2" t="s">
        <v>507</v>
      </c>
      <c r="F67" s="44" t="s">
        <v>1377</v>
      </c>
      <c r="G67" s="8" t="s">
        <v>1481</v>
      </c>
      <c r="H67" s="134">
        <v>633647.4</v>
      </c>
      <c r="I67" s="37" t="e">
        <f t="shared" si="0"/>
        <v>#VALUE!</v>
      </c>
      <c r="J67" s="37" t="e">
        <f t="shared" si="4"/>
        <v>#VALUE!</v>
      </c>
      <c r="K67" s="37" t="e">
        <f t="shared" si="1"/>
        <v>#VALUE!</v>
      </c>
      <c r="L67" t="s">
        <v>1730</v>
      </c>
      <c r="M67" s="36"/>
      <c r="P67" s="131"/>
    </row>
    <row r="68" spans="1:16" hidden="1" x14ac:dyDescent="0.35">
      <c r="A68" t="s">
        <v>2031</v>
      </c>
      <c r="B68" s="2" t="s">
        <v>1085</v>
      </c>
      <c r="C68" s="2" t="s">
        <v>790</v>
      </c>
      <c r="D68" s="44" t="s">
        <v>584</v>
      </c>
      <c r="E68" s="2" t="s">
        <v>507</v>
      </c>
      <c r="F68" s="44" t="s">
        <v>1378</v>
      </c>
      <c r="G68" s="8" t="s">
        <v>1482</v>
      </c>
      <c r="H68" s="134">
        <v>2998813.95</v>
      </c>
      <c r="I68" s="37" t="e">
        <f t="shared" si="0"/>
        <v>#VALUE!</v>
      </c>
      <c r="J68" s="37" t="e">
        <f t="shared" si="4"/>
        <v>#VALUE!</v>
      </c>
      <c r="K68" s="37" t="e">
        <f t="shared" si="1"/>
        <v>#VALUE!</v>
      </c>
      <c r="L68" t="s">
        <v>1730</v>
      </c>
      <c r="M68" s="36"/>
      <c r="P68" s="131"/>
    </row>
    <row r="69" spans="1:16" hidden="1" x14ac:dyDescent="0.35">
      <c r="A69" t="s">
        <v>2031</v>
      </c>
      <c r="B69" s="2" t="s">
        <v>1085</v>
      </c>
      <c r="C69" s="2" t="s">
        <v>790</v>
      </c>
      <c r="D69" s="44" t="s">
        <v>1331</v>
      </c>
      <c r="E69" s="2" t="s">
        <v>507</v>
      </c>
      <c r="F69" s="44" t="s">
        <v>1379</v>
      </c>
      <c r="G69" s="8" t="s">
        <v>1483</v>
      </c>
      <c r="H69" s="134">
        <v>1034451.8</v>
      </c>
      <c r="I69" s="37" t="e">
        <f t="shared" si="0"/>
        <v>#VALUE!</v>
      </c>
      <c r="J69" s="37" t="e">
        <f t="shared" si="4"/>
        <v>#VALUE!</v>
      </c>
      <c r="K69" s="37" t="e">
        <f t="shared" si="1"/>
        <v>#VALUE!</v>
      </c>
      <c r="L69" t="s">
        <v>1730</v>
      </c>
      <c r="M69" s="36"/>
      <c r="P69" s="131"/>
    </row>
    <row r="70" spans="1:16" hidden="1" x14ac:dyDescent="0.35">
      <c r="A70" t="s">
        <v>2031</v>
      </c>
      <c r="B70" s="2" t="s">
        <v>1085</v>
      </c>
      <c r="C70" s="2" t="s">
        <v>790</v>
      </c>
      <c r="D70" s="44" t="s">
        <v>588</v>
      </c>
      <c r="E70" s="2" t="s">
        <v>507</v>
      </c>
      <c r="F70" s="44" t="s">
        <v>1380</v>
      </c>
      <c r="G70" s="8" t="s">
        <v>1483</v>
      </c>
      <c r="H70" s="134">
        <v>3440679.75</v>
      </c>
      <c r="I70" s="37" t="e">
        <f t="shared" ref="I70:I133" si="5">$I$2-G70+1</f>
        <v>#VALUE!</v>
      </c>
      <c r="J70" s="37" t="e">
        <f t="shared" si="4"/>
        <v>#VALUE!</v>
      </c>
      <c r="K70" s="37" t="e">
        <f t="shared" ref="K70:K133" si="6">IF(I70&lt;180,"0-180 DAYS","More than 180 Days")</f>
        <v>#VALUE!</v>
      </c>
      <c r="L70" t="s">
        <v>1730</v>
      </c>
      <c r="M70" s="36"/>
      <c r="P70" s="131"/>
    </row>
    <row r="71" spans="1:16" hidden="1" x14ac:dyDescent="0.35">
      <c r="A71" t="s">
        <v>2031</v>
      </c>
      <c r="B71" s="2" t="s">
        <v>1085</v>
      </c>
      <c r="C71" s="2" t="s">
        <v>790</v>
      </c>
      <c r="D71" s="44" t="s">
        <v>588</v>
      </c>
      <c r="E71" s="2" t="s">
        <v>507</v>
      </c>
      <c r="F71" s="44" t="s">
        <v>1381</v>
      </c>
      <c r="G71" s="8" t="s">
        <v>1442</v>
      </c>
      <c r="H71" s="134">
        <v>3440394.43</v>
      </c>
      <c r="I71" s="37" t="e">
        <f t="shared" si="5"/>
        <v>#VALUE!</v>
      </c>
      <c r="J71" s="37" t="e">
        <f t="shared" si="4"/>
        <v>#VALUE!</v>
      </c>
      <c r="K71" s="37" t="e">
        <f t="shared" si="6"/>
        <v>#VALUE!</v>
      </c>
      <c r="L71" t="s">
        <v>1730</v>
      </c>
      <c r="M71" s="36"/>
      <c r="P71" s="131"/>
    </row>
    <row r="72" spans="1:16" hidden="1" x14ac:dyDescent="0.35">
      <c r="A72" t="s">
        <v>2029</v>
      </c>
      <c r="B72" s="2" t="s">
        <v>1085</v>
      </c>
      <c r="C72" s="2" t="s">
        <v>790</v>
      </c>
      <c r="D72" s="44" t="s">
        <v>573</v>
      </c>
      <c r="E72" s="2" t="s">
        <v>507</v>
      </c>
      <c r="F72" s="44" t="s">
        <v>1382</v>
      </c>
      <c r="G72" s="8" t="s">
        <v>1471</v>
      </c>
      <c r="H72" s="134">
        <v>3810807.04</v>
      </c>
      <c r="I72" s="37">
        <f t="shared" si="5"/>
        <v>119</v>
      </c>
      <c r="J72" s="37" t="str">
        <f t="shared" si="4"/>
        <v>0-120 DAYS</v>
      </c>
      <c r="K72" s="37" t="str">
        <f t="shared" si="6"/>
        <v>0-180 DAYS</v>
      </c>
      <c r="L72" t="s">
        <v>1730</v>
      </c>
      <c r="M72" s="36"/>
      <c r="P72" s="131"/>
    </row>
    <row r="73" spans="1:16" hidden="1" x14ac:dyDescent="0.35">
      <c r="A73" t="s">
        <v>2029</v>
      </c>
      <c r="B73" s="2" t="s">
        <v>1085</v>
      </c>
      <c r="C73" s="2" t="s">
        <v>790</v>
      </c>
      <c r="D73" s="44" t="s">
        <v>536</v>
      </c>
      <c r="E73" s="2" t="s">
        <v>507</v>
      </c>
      <c r="F73" s="44" t="s">
        <v>1384</v>
      </c>
      <c r="G73" s="8" t="s">
        <v>1490</v>
      </c>
      <c r="H73" s="134">
        <v>3004517.93</v>
      </c>
      <c r="I73" s="37" t="e">
        <f t="shared" si="5"/>
        <v>#VALUE!</v>
      </c>
      <c r="J73" s="37" t="e">
        <f t="shared" si="4"/>
        <v>#VALUE!</v>
      </c>
      <c r="K73" s="37" t="e">
        <f t="shared" si="6"/>
        <v>#VALUE!</v>
      </c>
      <c r="L73" t="s">
        <v>1730</v>
      </c>
      <c r="M73" s="36"/>
      <c r="P73" s="131"/>
    </row>
    <row r="74" spans="1:16" hidden="1" x14ac:dyDescent="0.35">
      <c r="A74" t="s">
        <v>2029</v>
      </c>
      <c r="B74" s="2" t="s">
        <v>1085</v>
      </c>
      <c r="C74" s="2" t="s">
        <v>790</v>
      </c>
      <c r="D74" s="44" t="s">
        <v>536</v>
      </c>
      <c r="E74" s="2" t="s">
        <v>507</v>
      </c>
      <c r="F74" s="44" t="s">
        <v>1385</v>
      </c>
      <c r="G74" s="8" t="s">
        <v>1477</v>
      </c>
      <c r="H74" s="134">
        <v>2913714.46</v>
      </c>
      <c r="I74" s="37" t="e">
        <f t="shared" si="5"/>
        <v>#VALUE!</v>
      </c>
      <c r="J74" s="37" t="e">
        <f t="shared" si="4"/>
        <v>#VALUE!</v>
      </c>
      <c r="K74" s="37" t="e">
        <f t="shared" si="6"/>
        <v>#VALUE!</v>
      </c>
      <c r="L74" t="s">
        <v>1730</v>
      </c>
      <c r="M74" s="36"/>
      <c r="P74" s="131"/>
    </row>
    <row r="75" spans="1:16" hidden="1" x14ac:dyDescent="0.35">
      <c r="A75" t="s">
        <v>2029</v>
      </c>
      <c r="B75" s="2" t="s">
        <v>1085</v>
      </c>
      <c r="C75" s="2" t="s">
        <v>790</v>
      </c>
      <c r="D75" s="44" t="s">
        <v>1332</v>
      </c>
      <c r="E75" s="2" t="s">
        <v>507</v>
      </c>
      <c r="F75" s="44" t="s">
        <v>1386</v>
      </c>
      <c r="G75" s="8" t="s">
        <v>1481</v>
      </c>
      <c r="H75" s="134">
        <v>3412087.41</v>
      </c>
      <c r="I75" s="37" t="e">
        <f t="shared" si="5"/>
        <v>#VALUE!</v>
      </c>
      <c r="J75" s="37" t="e">
        <f t="shared" si="4"/>
        <v>#VALUE!</v>
      </c>
      <c r="K75" s="37" t="e">
        <f t="shared" si="6"/>
        <v>#VALUE!</v>
      </c>
      <c r="L75" t="s">
        <v>1730</v>
      </c>
      <c r="M75" s="36"/>
      <c r="P75" s="131"/>
    </row>
    <row r="76" spans="1:16" hidden="1" x14ac:dyDescent="0.35">
      <c r="A76" t="s">
        <v>2029</v>
      </c>
      <c r="B76" s="2" t="s">
        <v>477</v>
      </c>
      <c r="C76" s="2" t="s">
        <v>790</v>
      </c>
      <c r="D76" s="44" t="s">
        <v>1080</v>
      </c>
      <c r="E76" s="44" t="s">
        <v>1081</v>
      </c>
      <c r="F76" s="44" t="s">
        <v>1504</v>
      </c>
      <c r="G76" s="139" t="s">
        <v>1737</v>
      </c>
      <c r="H76" s="44">
        <v>1749541.6</v>
      </c>
      <c r="I76" s="37">
        <f t="shared" si="5"/>
        <v>-35</v>
      </c>
      <c r="J76" s="37" t="str">
        <f t="shared" ref="J76:J88" si="7">IF(I76&lt;91,"1-90 DAYS",IF(I76&lt;121,"91-120DAYS",IF(I76&lt;181,"121-180 DAYS","More than 180 Days")))</f>
        <v>1-90 DAYS</v>
      </c>
      <c r="K76" s="37" t="str">
        <f t="shared" si="6"/>
        <v>0-180 DAYS</v>
      </c>
      <c r="L76" t="s">
        <v>1730</v>
      </c>
      <c r="M76" s="36"/>
      <c r="P76" s="132"/>
    </row>
    <row r="77" spans="1:16" hidden="1" x14ac:dyDescent="0.35">
      <c r="A77" t="s">
        <v>2029</v>
      </c>
      <c r="B77" s="2" t="s">
        <v>477</v>
      </c>
      <c r="C77" s="2" t="s">
        <v>790</v>
      </c>
      <c r="D77" s="44" t="s">
        <v>1080</v>
      </c>
      <c r="E77" s="44" t="s">
        <v>1081</v>
      </c>
      <c r="F77" s="44" t="s">
        <v>1505</v>
      </c>
      <c r="G77" s="139" t="s">
        <v>1739</v>
      </c>
      <c r="H77" s="44">
        <v>584572.19999999995</v>
      </c>
      <c r="I77" s="37">
        <f t="shared" si="5"/>
        <v>-96</v>
      </c>
      <c r="J77" s="37" t="str">
        <f t="shared" si="7"/>
        <v>1-90 DAYS</v>
      </c>
      <c r="K77" s="37" t="str">
        <f t="shared" si="6"/>
        <v>0-180 DAYS</v>
      </c>
      <c r="L77" t="s">
        <v>1730</v>
      </c>
      <c r="M77" s="36"/>
      <c r="P77" s="132"/>
    </row>
    <row r="78" spans="1:16" hidden="1" x14ac:dyDescent="0.35">
      <c r="A78" t="s">
        <v>2029</v>
      </c>
      <c r="B78" s="2" t="s">
        <v>477</v>
      </c>
      <c r="C78" s="2" t="s">
        <v>790</v>
      </c>
      <c r="D78" s="44" t="s">
        <v>1080</v>
      </c>
      <c r="E78" s="44" t="s">
        <v>1081</v>
      </c>
      <c r="F78" s="44" t="s">
        <v>1506</v>
      </c>
      <c r="G78" s="139" t="s">
        <v>1741</v>
      </c>
      <c r="H78" s="44">
        <v>584065.19999999995</v>
      </c>
      <c r="I78" s="37" t="e">
        <f t="shared" si="5"/>
        <v>#VALUE!</v>
      </c>
      <c r="J78" s="37" t="e">
        <f t="shared" si="7"/>
        <v>#VALUE!</v>
      </c>
      <c r="K78" s="37" t="e">
        <f t="shared" si="6"/>
        <v>#VALUE!</v>
      </c>
      <c r="L78" t="s">
        <v>1730</v>
      </c>
      <c r="M78" s="36"/>
      <c r="P78" s="132"/>
    </row>
    <row r="79" spans="1:16" hidden="1" x14ac:dyDescent="0.35">
      <c r="A79" t="s">
        <v>2029</v>
      </c>
      <c r="B79" s="2" t="s">
        <v>477</v>
      </c>
      <c r="C79" s="2" t="s">
        <v>790</v>
      </c>
      <c r="D79" s="44" t="s">
        <v>1080</v>
      </c>
      <c r="E79" s="44" t="s">
        <v>1081</v>
      </c>
      <c r="F79" s="44" t="s">
        <v>1507</v>
      </c>
      <c r="G79" s="139" t="s">
        <v>1741</v>
      </c>
      <c r="H79" s="44">
        <v>292286.09000000003</v>
      </c>
      <c r="I79" s="37" t="e">
        <f t="shared" si="5"/>
        <v>#VALUE!</v>
      </c>
      <c r="J79" s="37" t="e">
        <f t="shared" si="7"/>
        <v>#VALUE!</v>
      </c>
      <c r="K79" s="37" t="e">
        <f t="shared" si="6"/>
        <v>#VALUE!</v>
      </c>
      <c r="L79" t="s">
        <v>1730</v>
      </c>
      <c r="M79" s="36"/>
      <c r="P79" s="132"/>
    </row>
    <row r="80" spans="1:16" hidden="1" x14ac:dyDescent="0.35">
      <c r="A80" t="s">
        <v>2029</v>
      </c>
      <c r="B80" s="2" t="s">
        <v>477</v>
      </c>
      <c r="C80" s="2" t="s">
        <v>790</v>
      </c>
      <c r="D80" s="44" t="s">
        <v>1080</v>
      </c>
      <c r="E80" s="44" t="s">
        <v>1081</v>
      </c>
      <c r="F80" s="44" t="s">
        <v>1522</v>
      </c>
      <c r="G80" s="139" t="s">
        <v>1745</v>
      </c>
      <c r="H80" s="44">
        <v>350743.92</v>
      </c>
      <c r="I80" s="37" t="e">
        <f t="shared" si="5"/>
        <v>#VALUE!</v>
      </c>
      <c r="J80" s="37" t="e">
        <f t="shared" si="7"/>
        <v>#VALUE!</v>
      </c>
      <c r="K80" s="37" t="e">
        <f t="shared" si="6"/>
        <v>#VALUE!</v>
      </c>
      <c r="L80" t="s">
        <v>1730</v>
      </c>
      <c r="M80" s="36"/>
      <c r="P80" s="132"/>
    </row>
    <row r="81" spans="1:16" hidden="1" x14ac:dyDescent="0.35">
      <c r="A81" t="s">
        <v>2029</v>
      </c>
      <c r="B81" s="2" t="s">
        <v>477</v>
      </c>
      <c r="C81" s="2" t="s">
        <v>790</v>
      </c>
      <c r="D81" s="44" t="s">
        <v>1080</v>
      </c>
      <c r="E81" s="44" t="s">
        <v>1081</v>
      </c>
      <c r="F81" s="44" t="s">
        <v>1526</v>
      </c>
      <c r="G81" s="139" t="s">
        <v>1746</v>
      </c>
      <c r="H81" s="44">
        <v>1156929.3999999999</v>
      </c>
      <c r="I81" s="37" t="e">
        <f t="shared" si="5"/>
        <v>#VALUE!</v>
      </c>
      <c r="J81" s="37" t="e">
        <f t="shared" si="7"/>
        <v>#VALUE!</v>
      </c>
      <c r="K81" s="37" t="e">
        <f t="shared" si="6"/>
        <v>#VALUE!</v>
      </c>
      <c r="L81" t="s">
        <v>1730</v>
      </c>
      <c r="M81" s="36"/>
      <c r="P81" s="132"/>
    </row>
    <row r="82" spans="1:16" hidden="1" x14ac:dyDescent="0.35">
      <c r="A82" t="s">
        <v>2029</v>
      </c>
      <c r="B82" s="2" t="s">
        <v>477</v>
      </c>
      <c r="C82" s="2" t="s">
        <v>790</v>
      </c>
      <c r="D82" s="44" t="s">
        <v>1080</v>
      </c>
      <c r="E82" s="44" t="s">
        <v>1081</v>
      </c>
      <c r="F82" s="44" t="s">
        <v>1527</v>
      </c>
      <c r="G82" s="139" t="s">
        <v>1746</v>
      </c>
      <c r="H82" s="44">
        <v>1153392.3999999999</v>
      </c>
      <c r="I82" s="37" t="e">
        <f t="shared" si="5"/>
        <v>#VALUE!</v>
      </c>
      <c r="J82" s="37" t="e">
        <f t="shared" si="7"/>
        <v>#VALUE!</v>
      </c>
      <c r="K82" s="37" t="e">
        <f t="shared" si="6"/>
        <v>#VALUE!</v>
      </c>
      <c r="L82" t="s">
        <v>1730</v>
      </c>
      <c r="M82" s="36"/>
      <c r="P82" s="132"/>
    </row>
    <row r="83" spans="1:16" hidden="1" x14ac:dyDescent="0.35">
      <c r="A83" t="s">
        <v>2029</v>
      </c>
      <c r="B83" s="2" t="s">
        <v>477</v>
      </c>
      <c r="C83" s="2" t="s">
        <v>790</v>
      </c>
      <c r="D83" s="44" t="s">
        <v>1080</v>
      </c>
      <c r="E83" s="44" t="s">
        <v>1081</v>
      </c>
      <c r="F83" s="44" t="s">
        <v>1528</v>
      </c>
      <c r="G83" s="139" t="s">
        <v>1746</v>
      </c>
      <c r="H83" s="44">
        <v>1504007.52</v>
      </c>
      <c r="I83" s="37" t="e">
        <f t="shared" si="5"/>
        <v>#VALUE!</v>
      </c>
      <c r="J83" s="37" t="e">
        <f t="shared" si="7"/>
        <v>#VALUE!</v>
      </c>
      <c r="K83" s="37" t="e">
        <f t="shared" si="6"/>
        <v>#VALUE!</v>
      </c>
      <c r="L83" t="s">
        <v>1730</v>
      </c>
      <c r="M83" s="36"/>
      <c r="P83" s="132"/>
    </row>
    <row r="84" spans="1:16" hidden="1" x14ac:dyDescent="0.35">
      <c r="A84" t="s">
        <v>2029</v>
      </c>
      <c r="B84" s="2" t="s">
        <v>477</v>
      </c>
      <c r="C84" s="2" t="s">
        <v>790</v>
      </c>
      <c r="D84" s="44" t="s">
        <v>1080</v>
      </c>
      <c r="E84" s="44" t="s">
        <v>1081</v>
      </c>
      <c r="F84" s="44" t="s">
        <v>1544</v>
      </c>
      <c r="G84" s="139" t="s">
        <v>1750</v>
      </c>
      <c r="H84" s="44">
        <v>1402973.66</v>
      </c>
      <c r="I84" s="37" t="e">
        <f t="shared" si="5"/>
        <v>#VALUE!</v>
      </c>
      <c r="J84" s="37" t="e">
        <f t="shared" si="7"/>
        <v>#VALUE!</v>
      </c>
      <c r="K84" s="37" t="e">
        <f t="shared" si="6"/>
        <v>#VALUE!</v>
      </c>
      <c r="L84" t="s">
        <v>1730</v>
      </c>
      <c r="M84" s="36"/>
      <c r="P84" s="132"/>
    </row>
    <row r="85" spans="1:16" hidden="1" x14ac:dyDescent="0.35">
      <c r="A85" t="s">
        <v>2029</v>
      </c>
      <c r="B85" s="2" t="s">
        <v>477</v>
      </c>
      <c r="C85" s="2" t="s">
        <v>790</v>
      </c>
      <c r="D85" s="44" t="s">
        <v>1080</v>
      </c>
      <c r="E85" s="44" t="s">
        <v>1081</v>
      </c>
      <c r="F85" s="44" t="s">
        <v>1550</v>
      </c>
      <c r="G85" s="139" t="s">
        <v>1751</v>
      </c>
      <c r="H85" s="44">
        <v>346442.28</v>
      </c>
      <c r="I85" s="37" t="e">
        <f t="shared" si="5"/>
        <v>#VALUE!</v>
      </c>
      <c r="J85" s="37" t="e">
        <f t="shared" si="7"/>
        <v>#VALUE!</v>
      </c>
      <c r="K85" s="37" t="e">
        <f t="shared" si="6"/>
        <v>#VALUE!</v>
      </c>
      <c r="L85" t="s">
        <v>1730</v>
      </c>
      <c r="M85" s="36"/>
      <c r="P85" s="132"/>
    </row>
    <row r="86" spans="1:16" hidden="1" x14ac:dyDescent="0.35">
      <c r="A86" t="s">
        <v>2029</v>
      </c>
      <c r="B86" s="2" t="s">
        <v>477</v>
      </c>
      <c r="C86" s="2" t="s">
        <v>790</v>
      </c>
      <c r="D86" s="44" t="s">
        <v>1080</v>
      </c>
      <c r="E86" s="44" t="s">
        <v>1081</v>
      </c>
      <c r="F86" s="44" t="s">
        <v>1551</v>
      </c>
      <c r="G86" s="139" t="s">
        <v>1751</v>
      </c>
      <c r="H86" s="44">
        <v>346442.28</v>
      </c>
      <c r="I86" s="37" t="e">
        <f t="shared" si="5"/>
        <v>#VALUE!</v>
      </c>
      <c r="J86" s="37" t="e">
        <f t="shared" si="7"/>
        <v>#VALUE!</v>
      </c>
      <c r="K86" s="37" t="e">
        <f t="shared" si="6"/>
        <v>#VALUE!</v>
      </c>
      <c r="L86" t="s">
        <v>1730</v>
      </c>
      <c r="M86" s="36"/>
      <c r="P86" s="132"/>
    </row>
    <row r="87" spans="1:16" hidden="1" x14ac:dyDescent="0.35">
      <c r="A87" t="s">
        <v>2029</v>
      </c>
      <c r="B87" s="2" t="s">
        <v>477</v>
      </c>
      <c r="C87" s="2" t="s">
        <v>790</v>
      </c>
      <c r="D87" s="44" t="s">
        <v>1080</v>
      </c>
      <c r="E87" s="44" t="s">
        <v>1081</v>
      </c>
      <c r="F87" s="44" t="s">
        <v>1579</v>
      </c>
      <c r="G87" s="139" t="s">
        <v>1756</v>
      </c>
      <c r="H87" s="44">
        <v>2545243.88</v>
      </c>
      <c r="I87" s="37" t="e">
        <f t="shared" si="5"/>
        <v>#VALUE!</v>
      </c>
      <c r="J87" s="37" t="e">
        <f t="shared" si="7"/>
        <v>#VALUE!</v>
      </c>
      <c r="K87" s="37" t="e">
        <f t="shared" si="6"/>
        <v>#VALUE!</v>
      </c>
      <c r="L87" t="s">
        <v>1730</v>
      </c>
      <c r="M87" s="36"/>
      <c r="P87" s="132"/>
    </row>
    <row r="88" spans="1:16" hidden="1" x14ac:dyDescent="0.35">
      <c r="A88" t="s">
        <v>2029</v>
      </c>
      <c r="B88" s="2" t="s">
        <v>477</v>
      </c>
      <c r="C88" s="2" t="s">
        <v>790</v>
      </c>
      <c r="D88" s="44" t="s">
        <v>1080</v>
      </c>
      <c r="E88" s="44" t="s">
        <v>1081</v>
      </c>
      <c r="F88" s="44" t="s">
        <v>1582</v>
      </c>
      <c r="G88" s="139" t="s">
        <v>1757</v>
      </c>
      <c r="H88" s="44">
        <v>324014.14</v>
      </c>
      <c r="I88" s="37" t="e">
        <f t="shared" si="5"/>
        <v>#VALUE!</v>
      </c>
      <c r="J88" s="37" t="e">
        <f t="shared" si="7"/>
        <v>#VALUE!</v>
      </c>
      <c r="K88" s="37" t="e">
        <f t="shared" si="6"/>
        <v>#VALUE!</v>
      </c>
      <c r="L88" t="s">
        <v>1730</v>
      </c>
      <c r="M88" s="36"/>
      <c r="P88" s="132"/>
    </row>
    <row r="89" spans="1:16" hidden="1" x14ac:dyDescent="0.35">
      <c r="A89" t="s">
        <v>2029</v>
      </c>
      <c r="B89" s="2" t="s">
        <v>1085</v>
      </c>
      <c r="C89" s="2" t="s">
        <v>790</v>
      </c>
      <c r="D89" s="44" t="s">
        <v>548</v>
      </c>
      <c r="E89" s="2" t="s">
        <v>507</v>
      </c>
      <c r="F89" s="44" t="s">
        <v>1649</v>
      </c>
      <c r="G89" s="139" t="s">
        <v>1733</v>
      </c>
      <c r="H89" s="44">
        <v>3047692.2</v>
      </c>
      <c r="I89" s="37">
        <f t="shared" si="5"/>
        <v>118</v>
      </c>
      <c r="J89" s="37" t="str">
        <f t="shared" ref="J89:J114" si="8">IF(I89&lt;121,"0-120 DAYS",IF(I89&lt;181,"121-180 DAYS","More than 180 Days"))</f>
        <v>0-120 DAYS</v>
      </c>
      <c r="K89" s="37" t="str">
        <f t="shared" si="6"/>
        <v>0-180 DAYS</v>
      </c>
      <c r="L89" t="s">
        <v>1730</v>
      </c>
      <c r="M89" s="36"/>
      <c r="P89" s="132"/>
    </row>
    <row r="90" spans="1:16" hidden="1" x14ac:dyDescent="0.35">
      <c r="A90" t="s">
        <v>2029</v>
      </c>
      <c r="B90" s="2" t="s">
        <v>1085</v>
      </c>
      <c r="C90" s="2" t="s">
        <v>790</v>
      </c>
      <c r="D90" s="44" t="s">
        <v>538</v>
      </c>
      <c r="E90" s="2" t="s">
        <v>507</v>
      </c>
      <c r="F90" s="44" t="s">
        <v>1651</v>
      </c>
      <c r="G90" s="139" t="s">
        <v>1734</v>
      </c>
      <c r="H90" s="44">
        <v>2948658.24</v>
      </c>
      <c r="I90" s="37">
        <f t="shared" si="5"/>
        <v>57</v>
      </c>
      <c r="J90" s="37" t="str">
        <f t="shared" si="8"/>
        <v>0-120 DAYS</v>
      </c>
      <c r="K90" s="37" t="str">
        <f t="shared" si="6"/>
        <v>0-180 DAYS</v>
      </c>
      <c r="L90" t="s">
        <v>1730</v>
      </c>
      <c r="M90" s="36"/>
      <c r="P90" s="132"/>
    </row>
    <row r="91" spans="1:16" hidden="1" x14ac:dyDescent="0.35">
      <c r="A91" t="s">
        <v>2029</v>
      </c>
      <c r="B91" s="2" t="s">
        <v>1085</v>
      </c>
      <c r="C91" s="2" t="s">
        <v>790</v>
      </c>
      <c r="D91" s="44" t="s">
        <v>606</v>
      </c>
      <c r="E91" s="2" t="s">
        <v>507</v>
      </c>
      <c r="F91" s="44" t="s">
        <v>1653</v>
      </c>
      <c r="G91" s="139" t="s">
        <v>1735</v>
      </c>
      <c r="H91" s="44">
        <v>3102133.86</v>
      </c>
      <c r="I91" s="37">
        <f t="shared" si="5"/>
        <v>27</v>
      </c>
      <c r="J91" s="37" t="str">
        <f t="shared" si="8"/>
        <v>0-120 DAYS</v>
      </c>
      <c r="K91" s="37" t="str">
        <f t="shared" si="6"/>
        <v>0-180 DAYS</v>
      </c>
      <c r="L91" t="s">
        <v>1730</v>
      </c>
      <c r="M91" s="36"/>
      <c r="P91" s="132"/>
    </row>
    <row r="92" spans="1:16" hidden="1" x14ac:dyDescent="0.35">
      <c r="A92" t="s">
        <v>2029</v>
      </c>
      <c r="B92" s="2" t="s">
        <v>1085</v>
      </c>
      <c r="C92" s="2" t="s">
        <v>790</v>
      </c>
      <c r="D92" s="44" t="s">
        <v>538</v>
      </c>
      <c r="E92" s="2" t="s">
        <v>507</v>
      </c>
      <c r="F92" s="44" t="s">
        <v>1654</v>
      </c>
      <c r="G92" s="139" t="s">
        <v>1736</v>
      </c>
      <c r="H92" s="44">
        <v>3086872.2</v>
      </c>
      <c r="I92" s="37">
        <f t="shared" si="5"/>
        <v>-4</v>
      </c>
      <c r="J92" s="37" t="str">
        <f t="shared" si="8"/>
        <v>0-120 DAYS</v>
      </c>
      <c r="K92" s="37" t="str">
        <f t="shared" si="6"/>
        <v>0-180 DAYS</v>
      </c>
      <c r="L92" t="s">
        <v>1730</v>
      </c>
      <c r="M92" s="36"/>
      <c r="P92" s="132"/>
    </row>
    <row r="93" spans="1:16" hidden="1" x14ac:dyDescent="0.35">
      <c r="A93" t="s">
        <v>2029</v>
      </c>
      <c r="B93" s="2" t="s">
        <v>1085</v>
      </c>
      <c r="C93" s="2" t="s">
        <v>790</v>
      </c>
      <c r="D93" s="44" t="s">
        <v>1052</v>
      </c>
      <c r="E93" s="2" t="s">
        <v>507</v>
      </c>
      <c r="F93" s="44" t="s">
        <v>1655</v>
      </c>
      <c r="G93" s="139" t="s">
        <v>1737</v>
      </c>
      <c r="H93" s="44">
        <v>2864488.7</v>
      </c>
      <c r="I93" s="37">
        <f t="shared" si="5"/>
        <v>-35</v>
      </c>
      <c r="J93" s="37" t="str">
        <f t="shared" si="8"/>
        <v>0-120 DAYS</v>
      </c>
      <c r="K93" s="37" t="str">
        <f t="shared" si="6"/>
        <v>0-180 DAYS</v>
      </c>
      <c r="L93" t="s">
        <v>1730</v>
      </c>
      <c r="M93" s="36"/>
      <c r="P93" s="132"/>
    </row>
    <row r="94" spans="1:16" hidden="1" x14ac:dyDescent="0.35">
      <c r="A94" t="s">
        <v>2029</v>
      </c>
      <c r="B94" s="2" t="s">
        <v>1085</v>
      </c>
      <c r="C94" s="2" t="s">
        <v>790</v>
      </c>
      <c r="D94" s="44" t="s">
        <v>1052</v>
      </c>
      <c r="E94" s="2" t="s">
        <v>507</v>
      </c>
      <c r="F94" s="44" t="s">
        <v>1656</v>
      </c>
      <c r="G94" s="139" t="s">
        <v>1737</v>
      </c>
      <c r="H94" s="44">
        <v>2866391.81</v>
      </c>
      <c r="I94" s="37">
        <f t="shared" si="5"/>
        <v>-35</v>
      </c>
      <c r="J94" s="37" t="str">
        <f t="shared" si="8"/>
        <v>0-120 DAYS</v>
      </c>
      <c r="K94" s="37" t="str">
        <f t="shared" si="6"/>
        <v>0-180 DAYS</v>
      </c>
      <c r="L94" t="s">
        <v>1730</v>
      </c>
      <c r="M94" s="36"/>
      <c r="P94" s="132"/>
    </row>
    <row r="95" spans="1:16" hidden="1" x14ac:dyDescent="0.35">
      <c r="A95" t="s">
        <v>2029</v>
      </c>
      <c r="B95" s="2" t="s">
        <v>1085</v>
      </c>
      <c r="C95" s="2" t="s">
        <v>790</v>
      </c>
      <c r="D95" s="44" t="s">
        <v>1645</v>
      </c>
      <c r="E95" s="2" t="s">
        <v>507</v>
      </c>
      <c r="F95" s="44" t="s">
        <v>1657</v>
      </c>
      <c r="G95" s="139" t="s">
        <v>1737</v>
      </c>
      <c r="H95" s="44">
        <v>2428654.7599999998</v>
      </c>
      <c r="I95" s="37">
        <f t="shared" si="5"/>
        <v>-35</v>
      </c>
      <c r="J95" s="37" t="str">
        <f t="shared" si="8"/>
        <v>0-120 DAYS</v>
      </c>
      <c r="K95" s="37" t="str">
        <f t="shared" si="6"/>
        <v>0-180 DAYS</v>
      </c>
      <c r="L95" t="s">
        <v>1730</v>
      </c>
      <c r="M95" s="36"/>
      <c r="P95" s="132"/>
    </row>
    <row r="96" spans="1:16" hidden="1" x14ac:dyDescent="0.35">
      <c r="A96" t="s">
        <v>2029</v>
      </c>
      <c r="B96" s="2" t="s">
        <v>1085</v>
      </c>
      <c r="C96" s="2" t="s">
        <v>790</v>
      </c>
      <c r="D96" s="44" t="s">
        <v>606</v>
      </c>
      <c r="E96" s="2" t="s">
        <v>507</v>
      </c>
      <c r="F96" s="44" t="s">
        <v>1658</v>
      </c>
      <c r="G96" s="139" t="s">
        <v>1737</v>
      </c>
      <c r="H96" s="44">
        <v>3104417.75</v>
      </c>
      <c r="I96" s="37">
        <f t="shared" si="5"/>
        <v>-35</v>
      </c>
      <c r="J96" s="37" t="str">
        <f t="shared" si="8"/>
        <v>0-120 DAYS</v>
      </c>
      <c r="K96" s="37" t="str">
        <f t="shared" si="6"/>
        <v>0-180 DAYS</v>
      </c>
      <c r="L96" t="s">
        <v>1730</v>
      </c>
      <c r="M96" s="36"/>
      <c r="P96" s="132"/>
    </row>
    <row r="97" spans="1:16" hidden="1" x14ac:dyDescent="0.35">
      <c r="A97" t="s">
        <v>2029</v>
      </c>
      <c r="B97" s="2" t="s">
        <v>1085</v>
      </c>
      <c r="C97" s="2" t="s">
        <v>790</v>
      </c>
      <c r="D97" s="44" t="s">
        <v>573</v>
      </c>
      <c r="E97" s="2" t="s">
        <v>507</v>
      </c>
      <c r="F97" s="44" t="s">
        <v>1659</v>
      </c>
      <c r="G97" s="139" t="s">
        <v>1738</v>
      </c>
      <c r="H97" s="44">
        <v>2407955.2000000002</v>
      </c>
      <c r="I97" s="37">
        <f t="shared" si="5"/>
        <v>-65</v>
      </c>
      <c r="J97" s="37" t="str">
        <f t="shared" si="8"/>
        <v>0-120 DAYS</v>
      </c>
      <c r="K97" s="37" t="str">
        <f t="shared" si="6"/>
        <v>0-180 DAYS</v>
      </c>
      <c r="L97" t="s">
        <v>1730</v>
      </c>
      <c r="M97" s="36"/>
      <c r="P97" s="132"/>
    </row>
    <row r="98" spans="1:16" hidden="1" x14ac:dyDescent="0.35">
      <c r="A98" t="s">
        <v>2029</v>
      </c>
      <c r="B98" s="2" t="s">
        <v>1085</v>
      </c>
      <c r="C98" s="2" t="s">
        <v>790</v>
      </c>
      <c r="D98" s="44" t="s">
        <v>631</v>
      </c>
      <c r="E98" s="2" t="s">
        <v>507</v>
      </c>
      <c r="F98" s="44" t="s">
        <v>1660</v>
      </c>
      <c r="G98" s="139" t="s">
        <v>1739</v>
      </c>
      <c r="H98" s="44">
        <v>3009283.2</v>
      </c>
      <c r="I98" s="37">
        <f t="shared" si="5"/>
        <v>-96</v>
      </c>
      <c r="J98" s="37" t="str">
        <f t="shared" si="8"/>
        <v>0-120 DAYS</v>
      </c>
      <c r="K98" s="37" t="str">
        <f t="shared" si="6"/>
        <v>0-180 DAYS</v>
      </c>
      <c r="L98" t="s">
        <v>1730</v>
      </c>
      <c r="M98" s="36"/>
      <c r="P98" s="132"/>
    </row>
    <row r="99" spans="1:16" hidden="1" x14ac:dyDescent="0.35">
      <c r="A99" t="s">
        <v>2029</v>
      </c>
      <c r="B99" s="2" t="s">
        <v>1085</v>
      </c>
      <c r="C99" s="2" t="s">
        <v>790</v>
      </c>
      <c r="D99" s="44" t="s">
        <v>1052</v>
      </c>
      <c r="E99" s="2" t="s">
        <v>507</v>
      </c>
      <c r="F99" s="44" t="s">
        <v>1661</v>
      </c>
      <c r="G99" s="139" t="s">
        <v>1743</v>
      </c>
      <c r="H99" s="44">
        <v>2886894.78</v>
      </c>
      <c r="I99" s="37" t="e">
        <f t="shared" si="5"/>
        <v>#VALUE!</v>
      </c>
      <c r="J99" s="37" t="e">
        <f t="shared" si="8"/>
        <v>#VALUE!</v>
      </c>
      <c r="K99" s="37" t="e">
        <f t="shared" si="6"/>
        <v>#VALUE!</v>
      </c>
      <c r="L99" t="s">
        <v>1730</v>
      </c>
      <c r="M99" s="36"/>
      <c r="P99" s="132"/>
    </row>
    <row r="100" spans="1:16" hidden="1" x14ac:dyDescent="0.35">
      <c r="A100" t="s">
        <v>2029</v>
      </c>
      <c r="B100" s="2" t="s">
        <v>1085</v>
      </c>
      <c r="C100" s="2" t="s">
        <v>790</v>
      </c>
      <c r="D100" s="44" t="s">
        <v>606</v>
      </c>
      <c r="E100" s="2" t="s">
        <v>507</v>
      </c>
      <c r="F100" s="44" t="s">
        <v>1662</v>
      </c>
      <c r="G100" s="139" t="s">
        <v>1743</v>
      </c>
      <c r="H100" s="44">
        <v>3210472.02</v>
      </c>
      <c r="I100" s="37" t="e">
        <f t="shared" si="5"/>
        <v>#VALUE!</v>
      </c>
      <c r="J100" s="37" t="e">
        <f t="shared" si="8"/>
        <v>#VALUE!</v>
      </c>
      <c r="K100" s="37" t="e">
        <f t="shared" si="6"/>
        <v>#VALUE!</v>
      </c>
      <c r="L100" t="s">
        <v>1730</v>
      </c>
      <c r="M100" s="36"/>
      <c r="P100" s="132"/>
    </row>
    <row r="101" spans="1:16" hidden="1" x14ac:dyDescent="0.35">
      <c r="A101" t="s">
        <v>2029</v>
      </c>
      <c r="B101" s="2" t="s">
        <v>1085</v>
      </c>
      <c r="C101" s="2" t="s">
        <v>790</v>
      </c>
      <c r="D101" s="44" t="s">
        <v>1052</v>
      </c>
      <c r="E101" s="2" t="s">
        <v>507</v>
      </c>
      <c r="F101" s="44" t="s">
        <v>1663</v>
      </c>
      <c r="G101" s="139" t="s">
        <v>1744</v>
      </c>
      <c r="H101" s="44">
        <v>2871043.84</v>
      </c>
      <c r="I101" s="37" t="e">
        <f t="shared" si="5"/>
        <v>#VALUE!</v>
      </c>
      <c r="J101" s="37" t="e">
        <f t="shared" si="8"/>
        <v>#VALUE!</v>
      </c>
      <c r="K101" s="37" t="e">
        <f t="shared" si="6"/>
        <v>#VALUE!</v>
      </c>
      <c r="L101" t="s">
        <v>1730</v>
      </c>
      <c r="M101" s="36"/>
      <c r="P101" s="132"/>
    </row>
    <row r="102" spans="1:16" hidden="1" x14ac:dyDescent="0.35">
      <c r="A102" t="s">
        <v>2029</v>
      </c>
      <c r="B102" s="2" t="s">
        <v>1085</v>
      </c>
      <c r="C102" s="2" t="s">
        <v>790</v>
      </c>
      <c r="D102" s="44" t="s">
        <v>1246</v>
      </c>
      <c r="E102" s="2" t="s">
        <v>507</v>
      </c>
      <c r="F102" s="44" t="s">
        <v>1664</v>
      </c>
      <c r="G102" s="139" t="s">
        <v>1744</v>
      </c>
      <c r="H102" s="44">
        <v>2911164.31</v>
      </c>
      <c r="I102" s="37" t="e">
        <f t="shared" si="5"/>
        <v>#VALUE!</v>
      </c>
      <c r="J102" s="37" t="e">
        <f t="shared" si="8"/>
        <v>#VALUE!</v>
      </c>
      <c r="K102" s="37" t="e">
        <f t="shared" si="6"/>
        <v>#VALUE!</v>
      </c>
      <c r="L102" t="s">
        <v>1730</v>
      </c>
      <c r="M102" s="36"/>
      <c r="P102" s="132"/>
    </row>
    <row r="103" spans="1:16" hidden="1" x14ac:dyDescent="0.35">
      <c r="A103" t="s">
        <v>2029</v>
      </c>
      <c r="B103" s="2" t="s">
        <v>1085</v>
      </c>
      <c r="C103" s="2" t="s">
        <v>790</v>
      </c>
      <c r="D103" s="44" t="s">
        <v>1090</v>
      </c>
      <c r="E103" s="2" t="s">
        <v>507</v>
      </c>
      <c r="F103" s="44" t="s">
        <v>1666</v>
      </c>
      <c r="G103" s="139" t="s">
        <v>1744</v>
      </c>
      <c r="H103" s="44">
        <v>2112283.75</v>
      </c>
      <c r="I103" s="37" t="e">
        <f t="shared" si="5"/>
        <v>#VALUE!</v>
      </c>
      <c r="J103" s="37" t="e">
        <f t="shared" si="8"/>
        <v>#VALUE!</v>
      </c>
      <c r="K103" s="37" t="e">
        <f t="shared" si="6"/>
        <v>#VALUE!</v>
      </c>
      <c r="L103" t="s">
        <v>1730</v>
      </c>
      <c r="M103" s="36"/>
      <c r="P103" s="132"/>
    </row>
    <row r="104" spans="1:16" hidden="1" x14ac:dyDescent="0.35">
      <c r="A104" t="s">
        <v>2029</v>
      </c>
      <c r="B104" s="2" t="s">
        <v>1085</v>
      </c>
      <c r="C104" s="2" t="s">
        <v>790</v>
      </c>
      <c r="D104" s="44" t="s">
        <v>1052</v>
      </c>
      <c r="E104" s="2" t="s">
        <v>507</v>
      </c>
      <c r="F104" s="44" t="s">
        <v>1667</v>
      </c>
      <c r="G104" s="139" t="s">
        <v>1745</v>
      </c>
      <c r="H104" s="44">
        <v>2875955.52</v>
      </c>
      <c r="I104" s="37" t="e">
        <f t="shared" si="5"/>
        <v>#VALUE!</v>
      </c>
      <c r="J104" s="37" t="e">
        <f t="shared" si="8"/>
        <v>#VALUE!</v>
      </c>
      <c r="K104" s="37" t="e">
        <f t="shared" si="6"/>
        <v>#VALUE!</v>
      </c>
      <c r="L104" t="s">
        <v>1730</v>
      </c>
      <c r="M104" s="36"/>
      <c r="P104" s="132"/>
    </row>
    <row r="105" spans="1:16" hidden="1" x14ac:dyDescent="0.35">
      <c r="A105" t="s">
        <v>2029</v>
      </c>
      <c r="B105" s="2" t="s">
        <v>1085</v>
      </c>
      <c r="C105" s="2" t="s">
        <v>790</v>
      </c>
      <c r="D105" s="44" t="s">
        <v>1052</v>
      </c>
      <c r="E105" s="2" t="s">
        <v>507</v>
      </c>
      <c r="F105" s="44" t="s">
        <v>1668</v>
      </c>
      <c r="G105" s="139" t="s">
        <v>1746</v>
      </c>
      <c r="H105" s="44">
        <v>2863789.44</v>
      </c>
      <c r="I105" s="37" t="e">
        <f t="shared" si="5"/>
        <v>#VALUE!</v>
      </c>
      <c r="J105" s="37" t="e">
        <f t="shared" si="8"/>
        <v>#VALUE!</v>
      </c>
      <c r="K105" s="37" t="e">
        <f t="shared" si="6"/>
        <v>#VALUE!</v>
      </c>
      <c r="L105" t="s">
        <v>1730</v>
      </c>
      <c r="M105" s="36"/>
      <c r="P105" s="132"/>
    </row>
    <row r="106" spans="1:16" hidden="1" x14ac:dyDescent="0.35">
      <c r="A106" t="s">
        <v>2029</v>
      </c>
      <c r="B106" s="2" t="s">
        <v>1085</v>
      </c>
      <c r="C106" s="2" t="s">
        <v>790</v>
      </c>
      <c r="D106" s="44" t="s">
        <v>538</v>
      </c>
      <c r="E106" s="2" t="s">
        <v>507</v>
      </c>
      <c r="F106" s="44" t="s">
        <v>1669</v>
      </c>
      <c r="G106" s="139" t="s">
        <v>1746</v>
      </c>
      <c r="H106" s="44">
        <v>3175463.26</v>
      </c>
      <c r="I106" s="37" t="e">
        <f t="shared" si="5"/>
        <v>#VALUE!</v>
      </c>
      <c r="J106" s="37" t="e">
        <f t="shared" si="8"/>
        <v>#VALUE!</v>
      </c>
      <c r="K106" s="37" t="e">
        <f t="shared" si="6"/>
        <v>#VALUE!</v>
      </c>
      <c r="L106" t="s">
        <v>1730</v>
      </c>
      <c r="M106" s="36"/>
      <c r="P106" s="132"/>
    </row>
    <row r="107" spans="1:16" hidden="1" x14ac:dyDescent="0.35">
      <c r="A107" t="s">
        <v>2029</v>
      </c>
      <c r="B107" s="2" t="s">
        <v>1085</v>
      </c>
      <c r="C107" s="2" t="s">
        <v>790</v>
      </c>
      <c r="D107" s="44" t="s">
        <v>834</v>
      </c>
      <c r="E107" s="2" t="s">
        <v>507</v>
      </c>
      <c r="F107" s="44" t="s">
        <v>1670</v>
      </c>
      <c r="G107" s="139" t="s">
        <v>1746</v>
      </c>
      <c r="H107" s="44">
        <v>3917050.39</v>
      </c>
      <c r="I107" s="37" t="e">
        <f t="shared" si="5"/>
        <v>#VALUE!</v>
      </c>
      <c r="J107" s="37" t="e">
        <f t="shared" si="8"/>
        <v>#VALUE!</v>
      </c>
      <c r="K107" s="37" t="e">
        <f t="shared" si="6"/>
        <v>#VALUE!</v>
      </c>
      <c r="L107" t="s">
        <v>1730</v>
      </c>
      <c r="M107" s="36"/>
      <c r="P107" s="132"/>
    </row>
    <row r="108" spans="1:16" hidden="1" x14ac:dyDescent="0.35">
      <c r="A108" t="s">
        <v>2029</v>
      </c>
      <c r="B108" s="2" t="s">
        <v>1085</v>
      </c>
      <c r="C108" s="2" t="s">
        <v>790</v>
      </c>
      <c r="D108" s="44" t="s">
        <v>617</v>
      </c>
      <c r="E108" s="2" t="s">
        <v>507</v>
      </c>
      <c r="F108" s="44" t="s">
        <v>1671</v>
      </c>
      <c r="G108" s="139" t="s">
        <v>1750</v>
      </c>
      <c r="H108" s="44">
        <v>3990553.58</v>
      </c>
      <c r="I108" s="37" t="e">
        <f t="shared" si="5"/>
        <v>#VALUE!</v>
      </c>
      <c r="J108" s="37" t="e">
        <f t="shared" si="8"/>
        <v>#VALUE!</v>
      </c>
      <c r="K108" s="37" t="e">
        <f t="shared" si="6"/>
        <v>#VALUE!</v>
      </c>
      <c r="L108" t="s">
        <v>1730</v>
      </c>
      <c r="M108" s="36"/>
      <c r="P108" s="132"/>
    </row>
    <row r="109" spans="1:16" hidden="1" x14ac:dyDescent="0.35">
      <c r="A109" t="s">
        <v>2029</v>
      </c>
      <c r="B109" s="2" t="s">
        <v>1085</v>
      </c>
      <c r="C109" s="2" t="s">
        <v>790</v>
      </c>
      <c r="D109" s="44" t="s">
        <v>1052</v>
      </c>
      <c r="E109" s="2" t="s">
        <v>507</v>
      </c>
      <c r="F109" s="44" t="s">
        <v>1672</v>
      </c>
      <c r="G109" s="139" t="s">
        <v>1751</v>
      </c>
      <c r="H109" s="44">
        <v>2885794.18</v>
      </c>
      <c r="I109" s="37" t="e">
        <f t="shared" si="5"/>
        <v>#VALUE!</v>
      </c>
      <c r="J109" s="37" t="e">
        <f t="shared" si="8"/>
        <v>#VALUE!</v>
      </c>
      <c r="K109" s="37" t="e">
        <f t="shared" si="6"/>
        <v>#VALUE!</v>
      </c>
      <c r="L109" t="s">
        <v>1730</v>
      </c>
      <c r="M109" s="36"/>
      <c r="P109" s="132"/>
    </row>
    <row r="110" spans="1:16" hidden="1" x14ac:dyDescent="0.35">
      <c r="A110" t="s">
        <v>2029</v>
      </c>
      <c r="B110" s="2" t="s">
        <v>1085</v>
      </c>
      <c r="C110" s="2" t="s">
        <v>790</v>
      </c>
      <c r="D110" s="44" t="s">
        <v>606</v>
      </c>
      <c r="E110" s="2" t="s">
        <v>507</v>
      </c>
      <c r="F110" s="44" t="s">
        <v>1673</v>
      </c>
      <c r="G110" s="139" t="s">
        <v>1752</v>
      </c>
      <c r="H110" s="44">
        <v>3194232.41</v>
      </c>
      <c r="I110" s="37" t="e">
        <f t="shared" si="5"/>
        <v>#VALUE!</v>
      </c>
      <c r="J110" s="37" t="e">
        <f t="shared" si="8"/>
        <v>#VALUE!</v>
      </c>
      <c r="K110" s="37" t="e">
        <f t="shared" si="6"/>
        <v>#VALUE!</v>
      </c>
      <c r="L110" t="s">
        <v>1730</v>
      </c>
      <c r="M110" s="36"/>
      <c r="P110" s="132"/>
    </row>
    <row r="111" spans="1:16" hidden="1" x14ac:dyDescent="0.35">
      <c r="A111" t="s">
        <v>2029</v>
      </c>
      <c r="B111" s="2" t="s">
        <v>1085</v>
      </c>
      <c r="C111" s="2" t="s">
        <v>790</v>
      </c>
      <c r="D111" s="44" t="s">
        <v>606</v>
      </c>
      <c r="E111" s="2" t="s">
        <v>507</v>
      </c>
      <c r="F111" s="44" t="s">
        <v>1674</v>
      </c>
      <c r="G111" s="139" t="s">
        <v>1752</v>
      </c>
      <c r="H111" s="44">
        <v>3167776.14</v>
      </c>
      <c r="I111" s="37" t="e">
        <f t="shared" si="5"/>
        <v>#VALUE!</v>
      </c>
      <c r="J111" s="37" t="e">
        <f t="shared" si="8"/>
        <v>#VALUE!</v>
      </c>
      <c r="K111" s="37" t="e">
        <f t="shared" si="6"/>
        <v>#VALUE!</v>
      </c>
      <c r="L111" t="s">
        <v>1730</v>
      </c>
      <c r="M111" s="36"/>
      <c r="P111" s="132"/>
    </row>
    <row r="112" spans="1:16" hidden="1" x14ac:dyDescent="0.35">
      <c r="A112" t="s">
        <v>2029</v>
      </c>
      <c r="B112" s="2" t="s">
        <v>1085</v>
      </c>
      <c r="C112" s="2" t="s">
        <v>790</v>
      </c>
      <c r="D112" s="44" t="s">
        <v>1052</v>
      </c>
      <c r="E112" s="2" t="s">
        <v>507</v>
      </c>
      <c r="F112" s="44" t="s">
        <v>1675</v>
      </c>
      <c r="G112" s="139" t="s">
        <v>1754</v>
      </c>
      <c r="H112" s="44">
        <v>2878811.9</v>
      </c>
      <c r="I112" s="37" t="e">
        <f t="shared" si="5"/>
        <v>#VALUE!</v>
      </c>
      <c r="J112" s="37" t="e">
        <f t="shared" si="8"/>
        <v>#VALUE!</v>
      </c>
      <c r="K112" s="37" t="e">
        <f t="shared" si="6"/>
        <v>#VALUE!</v>
      </c>
      <c r="L112" t="s">
        <v>1730</v>
      </c>
      <c r="M112" s="36"/>
      <c r="P112" s="132"/>
    </row>
    <row r="113" spans="1:16" hidden="1" x14ac:dyDescent="0.35">
      <c r="A113" t="s">
        <v>2029</v>
      </c>
      <c r="B113" s="2" t="s">
        <v>1085</v>
      </c>
      <c r="C113" s="2" t="s">
        <v>790</v>
      </c>
      <c r="D113" s="44" t="s">
        <v>1646</v>
      </c>
      <c r="E113" s="2" t="s">
        <v>507</v>
      </c>
      <c r="F113" s="44" t="s">
        <v>1676</v>
      </c>
      <c r="G113" s="139" t="s">
        <v>1754</v>
      </c>
      <c r="H113" s="44">
        <v>1407487.03</v>
      </c>
      <c r="I113" s="37" t="e">
        <f t="shared" si="5"/>
        <v>#VALUE!</v>
      </c>
      <c r="J113" s="37" t="e">
        <f t="shared" si="8"/>
        <v>#VALUE!</v>
      </c>
      <c r="K113" s="37" t="e">
        <f t="shared" si="6"/>
        <v>#VALUE!</v>
      </c>
      <c r="L113" t="s">
        <v>1730</v>
      </c>
      <c r="M113" s="36"/>
      <c r="P113" s="132"/>
    </row>
    <row r="114" spans="1:16" hidden="1" x14ac:dyDescent="0.35">
      <c r="A114" t="s">
        <v>2029</v>
      </c>
      <c r="B114" s="2" t="s">
        <v>1085</v>
      </c>
      <c r="C114" s="2" t="s">
        <v>790</v>
      </c>
      <c r="D114" s="44" t="s">
        <v>1646</v>
      </c>
      <c r="E114" s="2" t="s">
        <v>507</v>
      </c>
      <c r="F114" s="44" t="s">
        <v>1677</v>
      </c>
      <c r="G114" s="139" t="s">
        <v>1754</v>
      </c>
      <c r="H114" s="44">
        <v>2911834.71</v>
      </c>
      <c r="I114" s="37" t="e">
        <f t="shared" si="5"/>
        <v>#VALUE!</v>
      </c>
      <c r="J114" s="37" t="e">
        <f t="shared" si="8"/>
        <v>#VALUE!</v>
      </c>
      <c r="K114" s="37" t="e">
        <f t="shared" si="6"/>
        <v>#VALUE!</v>
      </c>
      <c r="L114" t="s">
        <v>1730</v>
      </c>
      <c r="M114" s="36"/>
      <c r="P114" s="132"/>
    </row>
    <row r="115" spans="1:16" hidden="1" x14ac:dyDescent="0.35">
      <c r="A115" t="s">
        <v>2029</v>
      </c>
      <c r="B115" s="2" t="s">
        <v>1209</v>
      </c>
      <c r="C115" s="2" t="s">
        <v>789</v>
      </c>
      <c r="D115" s="44" t="s">
        <v>506</v>
      </c>
      <c r="E115" s="2" t="s">
        <v>507</v>
      </c>
      <c r="F115" s="44" t="s">
        <v>1678</v>
      </c>
      <c r="G115" s="139" t="s">
        <v>1755</v>
      </c>
      <c r="H115" s="44">
        <v>1719678.72</v>
      </c>
      <c r="I115" s="37" t="e">
        <f t="shared" si="5"/>
        <v>#VALUE!</v>
      </c>
      <c r="J115" s="37" t="e">
        <f>IF(I115&lt;91,"1-90 DAYS",IF(I115&lt;121,"91-120DAYS",IF(I115&lt;181,"121-180 DAYS","More than 180 Days")))</f>
        <v>#VALUE!</v>
      </c>
      <c r="K115" s="37" t="e">
        <f t="shared" si="6"/>
        <v>#VALUE!</v>
      </c>
      <c r="M115" s="36"/>
      <c r="P115" s="132"/>
    </row>
    <row r="116" spans="1:16" hidden="1" x14ac:dyDescent="0.35">
      <c r="A116" t="s">
        <v>2029</v>
      </c>
      <c r="B116" s="2" t="s">
        <v>1209</v>
      </c>
      <c r="C116" s="2" t="s">
        <v>789</v>
      </c>
      <c r="D116" s="44" t="s">
        <v>506</v>
      </c>
      <c r="E116" s="2" t="s">
        <v>507</v>
      </c>
      <c r="F116" s="44" t="s">
        <v>1679</v>
      </c>
      <c r="G116" s="139" t="s">
        <v>1755</v>
      </c>
      <c r="H116" s="44">
        <v>1293318.77</v>
      </c>
      <c r="I116" s="37" t="e">
        <f t="shared" si="5"/>
        <v>#VALUE!</v>
      </c>
      <c r="J116" s="37" t="e">
        <f>IF(I116&lt;91,"1-90 DAYS",IF(I116&lt;121,"91-120DAYS",IF(I116&lt;181,"121-180 DAYS","More than 180 Days")))</f>
        <v>#VALUE!</v>
      </c>
      <c r="K116" s="37" t="e">
        <f t="shared" si="6"/>
        <v>#VALUE!</v>
      </c>
      <c r="M116" s="36"/>
      <c r="P116" s="132"/>
    </row>
    <row r="117" spans="1:16" hidden="1" x14ac:dyDescent="0.35">
      <c r="A117" t="s">
        <v>2029</v>
      </c>
      <c r="B117" s="2" t="s">
        <v>1209</v>
      </c>
      <c r="C117" s="2" t="s">
        <v>789</v>
      </c>
      <c r="D117" s="44" t="s">
        <v>506</v>
      </c>
      <c r="E117" s="2" t="s">
        <v>507</v>
      </c>
      <c r="F117" s="44" t="s">
        <v>1680</v>
      </c>
      <c r="G117" s="139" t="s">
        <v>1755</v>
      </c>
      <c r="H117" s="44">
        <v>331389.31</v>
      </c>
      <c r="I117" s="37" t="e">
        <f t="shared" si="5"/>
        <v>#VALUE!</v>
      </c>
      <c r="J117" s="37" t="e">
        <f>IF(I117&lt;91,"1-90 DAYS",IF(I117&lt;121,"91-120DAYS",IF(I117&lt;181,"121-180 DAYS","More than 180 Days")))</f>
        <v>#VALUE!</v>
      </c>
      <c r="K117" s="37" t="e">
        <f t="shared" si="6"/>
        <v>#VALUE!</v>
      </c>
      <c r="M117" s="36"/>
      <c r="P117" s="132"/>
    </row>
    <row r="118" spans="1:16" hidden="1" x14ac:dyDescent="0.35">
      <c r="A118" t="s">
        <v>2029</v>
      </c>
      <c r="B118" s="2" t="s">
        <v>1085</v>
      </c>
      <c r="C118" s="2" t="s">
        <v>790</v>
      </c>
      <c r="D118" s="44" t="s">
        <v>548</v>
      </c>
      <c r="E118" s="2" t="s">
        <v>507</v>
      </c>
      <c r="F118" s="44" t="s">
        <v>1681</v>
      </c>
      <c r="G118" s="139" t="s">
        <v>1756</v>
      </c>
      <c r="H118" s="44">
        <v>3163081.62</v>
      </c>
      <c r="I118" s="37" t="e">
        <f t="shared" si="5"/>
        <v>#VALUE!</v>
      </c>
      <c r="J118" s="37" t="e">
        <f t="shared" ref="J118:J160" si="9">IF(I118&lt;121,"0-120 DAYS",IF(I118&lt;181,"121-180 DAYS","More than 180 Days"))</f>
        <v>#VALUE!</v>
      </c>
      <c r="K118" s="37" t="e">
        <f t="shared" si="6"/>
        <v>#VALUE!</v>
      </c>
      <c r="L118" t="s">
        <v>1730</v>
      </c>
      <c r="M118" s="36"/>
      <c r="P118" s="132"/>
    </row>
    <row r="119" spans="1:16" hidden="1" x14ac:dyDescent="0.35">
      <c r="A119" t="s">
        <v>2029</v>
      </c>
      <c r="B119" s="2" t="s">
        <v>1085</v>
      </c>
      <c r="C119" s="2" t="s">
        <v>790</v>
      </c>
      <c r="D119" s="44" t="s">
        <v>1052</v>
      </c>
      <c r="E119" s="2" t="s">
        <v>507</v>
      </c>
      <c r="F119" s="44" t="s">
        <v>1682</v>
      </c>
      <c r="G119" s="139" t="s">
        <v>1759</v>
      </c>
      <c r="H119" s="44">
        <v>2879340.86</v>
      </c>
      <c r="I119" s="37" t="e">
        <f t="shared" si="5"/>
        <v>#VALUE!</v>
      </c>
      <c r="J119" s="37" t="e">
        <f t="shared" si="9"/>
        <v>#VALUE!</v>
      </c>
      <c r="K119" s="37" t="e">
        <f t="shared" si="6"/>
        <v>#VALUE!</v>
      </c>
      <c r="L119" t="s">
        <v>1730</v>
      </c>
      <c r="M119" s="36"/>
      <c r="P119" s="132"/>
    </row>
    <row r="120" spans="1:16" hidden="1" x14ac:dyDescent="0.35">
      <c r="A120" t="s">
        <v>2029</v>
      </c>
      <c r="B120" s="2" t="s">
        <v>1085</v>
      </c>
      <c r="C120" s="2" t="s">
        <v>790</v>
      </c>
      <c r="D120" s="44" t="s">
        <v>598</v>
      </c>
      <c r="E120" s="2" t="s">
        <v>507</v>
      </c>
      <c r="F120" s="44" t="s">
        <v>1683</v>
      </c>
      <c r="G120" s="139" t="s">
        <v>1759</v>
      </c>
      <c r="H120" s="44">
        <v>3443170.07</v>
      </c>
      <c r="I120" s="37" t="e">
        <f t="shared" si="5"/>
        <v>#VALUE!</v>
      </c>
      <c r="J120" s="37" t="e">
        <f t="shared" si="9"/>
        <v>#VALUE!</v>
      </c>
      <c r="K120" s="37" t="e">
        <f t="shared" si="6"/>
        <v>#VALUE!</v>
      </c>
      <c r="L120" t="s">
        <v>1730</v>
      </c>
      <c r="M120" s="36"/>
      <c r="P120" s="132"/>
    </row>
    <row r="121" spans="1:16" hidden="1" x14ac:dyDescent="0.35">
      <c r="A121" t="s">
        <v>2030</v>
      </c>
      <c r="B121" s="2" t="s">
        <v>1085</v>
      </c>
      <c r="C121" s="2" t="s">
        <v>790</v>
      </c>
      <c r="D121" s="44" t="s">
        <v>650</v>
      </c>
      <c r="E121" s="2" t="s">
        <v>507</v>
      </c>
      <c r="F121" s="44" t="s">
        <v>1684</v>
      </c>
      <c r="G121" s="139" t="s">
        <v>1760</v>
      </c>
      <c r="H121" s="138">
        <v>2893712.16</v>
      </c>
      <c r="I121" s="37">
        <f t="shared" si="5"/>
        <v>209</v>
      </c>
      <c r="J121" s="37" t="str">
        <f t="shared" si="9"/>
        <v>More than 180 Days</v>
      </c>
      <c r="K121" s="37" t="str">
        <f t="shared" si="6"/>
        <v>More than 180 Days</v>
      </c>
      <c r="L121" t="s">
        <v>1730</v>
      </c>
      <c r="M121" s="36"/>
      <c r="P121" s="132"/>
    </row>
    <row r="122" spans="1:16" hidden="1" x14ac:dyDescent="0.35">
      <c r="A122" t="s">
        <v>2030</v>
      </c>
      <c r="B122" s="2" t="s">
        <v>1085</v>
      </c>
      <c r="C122" s="2" t="s">
        <v>790</v>
      </c>
      <c r="D122" s="44" t="s">
        <v>570</v>
      </c>
      <c r="E122" s="2" t="s">
        <v>507</v>
      </c>
      <c r="F122" s="44" t="s">
        <v>1685</v>
      </c>
      <c r="G122" s="139" t="s">
        <v>1732</v>
      </c>
      <c r="H122" s="44">
        <v>1724588.88</v>
      </c>
      <c r="I122" s="37">
        <f t="shared" si="5"/>
        <v>149</v>
      </c>
      <c r="J122" s="37" t="str">
        <f t="shared" si="9"/>
        <v>121-180 DAYS</v>
      </c>
      <c r="K122" s="37" t="str">
        <f t="shared" si="6"/>
        <v>0-180 DAYS</v>
      </c>
      <c r="L122" t="s">
        <v>1730</v>
      </c>
      <c r="M122" s="36"/>
      <c r="P122" s="132"/>
    </row>
    <row r="123" spans="1:16" hidden="1" x14ac:dyDescent="0.35">
      <c r="A123" t="s">
        <v>2030</v>
      </c>
      <c r="B123" s="2" t="s">
        <v>1085</v>
      </c>
      <c r="C123" s="2" t="s">
        <v>790</v>
      </c>
      <c r="D123" s="44" t="s">
        <v>1249</v>
      </c>
      <c r="E123" s="2" t="s">
        <v>507</v>
      </c>
      <c r="F123" s="44" t="s">
        <v>1686</v>
      </c>
      <c r="G123" s="139" t="s">
        <v>1735</v>
      </c>
      <c r="H123" s="44">
        <v>3290784</v>
      </c>
      <c r="I123" s="37">
        <f t="shared" si="5"/>
        <v>27</v>
      </c>
      <c r="J123" s="37" t="str">
        <f t="shared" si="9"/>
        <v>0-120 DAYS</v>
      </c>
      <c r="K123" s="37" t="str">
        <f t="shared" si="6"/>
        <v>0-180 DAYS</v>
      </c>
      <c r="L123" t="s">
        <v>1730</v>
      </c>
      <c r="M123" s="36"/>
      <c r="P123" s="132"/>
    </row>
    <row r="124" spans="1:16" hidden="1" x14ac:dyDescent="0.35">
      <c r="A124" t="s">
        <v>2030</v>
      </c>
      <c r="B124" s="2" t="s">
        <v>1085</v>
      </c>
      <c r="C124" s="2" t="s">
        <v>790</v>
      </c>
      <c r="D124" s="44" t="s">
        <v>1086</v>
      </c>
      <c r="E124" s="2" t="s">
        <v>507</v>
      </c>
      <c r="F124" s="44" t="s">
        <v>1687</v>
      </c>
      <c r="G124" s="139" t="s">
        <v>1735</v>
      </c>
      <c r="H124" s="44">
        <v>113497.35</v>
      </c>
      <c r="I124" s="37">
        <f t="shared" si="5"/>
        <v>27</v>
      </c>
      <c r="J124" s="37" t="str">
        <f t="shared" si="9"/>
        <v>0-120 DAYS</v>
      </c>
      <c r="K124" s="37" t="str">
        <f t="shared" si="6"/>
        <v>0-180 DAYS</v>
      </c>
      <c r="L124" t="s">
        <v>1730</v>
      </c>
      <c r="M124" s="36"/>
      <c r="P124" s="132"/>
    </row>
    <row r="125" spans="1:16" hidden="1" x14ac:dyDescent="0.35">
      <c r="A125" t="s">
        <v>2030</v>
      </c>
      <c r="B125" s="2" t="s">
        <v>1085</v>
      </c>
      <c r="C125" s="2" t="s">
        <v>790</v>
      </c>
      <c r="D125" s="44" t="s">
        <v>1086</v>
      </c>
      <c r="E125" s="2" t="s">
        <v>507</v>
      </c>
      <c r="F125" s="44" t="s">
        <v>1688</v>
      </c>
      <c r="G125" s="139" t="s">
        <v>1735</v>
      </c>
      <c r="H125" s="44">
        <v>1894204.67</v>
      </c>
      <c r="I125" s="37">
        <f t="shared" si="5"/>
        <v>27</v>
      </c>
      <c r="J125" s="37" t="str">
        <f t="shared" si="9"/>
        <v>0-120 DAYS</v>
      </c>
      <c r="K125" s="37" t="str">
        <f t="shared" si="6"/>
        <v>0-180 DAYS</v>
      </c>
      <c r="L125" t="s">
        <v>1730</v>
      </c>
      <c r="M125" s="36"/>
      <c r="P125" s="132"/>
    </row>
    <row r="126" spans="1:16" hidden="1" x14ac:dyDescent="0.35">
      <c r="A126" t="s">
        <v>2030</v>
      </c>
      <c r="B126" s="2" t="s">
        <v>1085</v>
      </c>
      <c r="C126" s="2" t="s">
        <v>790</v>
      </c>
      <c r="D126" s="44" t="s">
        <v>1086</v>
      </c>
      <c r="E126" s="2" t="s">
        <v>507</v>
      </c>
      <c r="F126" s="44" t="s">
        <v>1689</v>
      </c>
      <c r="G126" s="139" t="s">
        <v>1735</v>
      </c>
      <c r="H126" s="44">
        <v>114539.76</v>
      </c>
      <c r="I126" s="37">
        <f t="shared" si="5"/>
        <v>27</v>
      </c>
      <c r="J126" s="37" t="str">
        <f t="shared" si="9"/>
        <v>0-120 DAYS</v>
      </c>
      <c r="K126" s="37" t="str">
        <f t="shared" si="6"/>
        <v>0-180 DAYS</v>
      </c>
      <c r="L126" t="s">
        <v>1730</v>
      </c>
      <c r="M126" s="36"/>
      <c r="P126" s="132"/>
    </row>
    <row r="127" spans="1:16" hidden="1" x14ac:dyDescent="0.35">
      <c r="A127" t="s">
        <v>2030</v>
      </c>
      <c r="B127" s="2" t="s">
        <v>1085</v>
      </c>
      <c r="C127" s="2" t="s">
        <v>790</v>
      </c>
      <c r="D127" s="44" t="s">
        <v>1086</v>
      </c>
      <c r="E127" s="2" t="s">
        <v>507</v>
      </c>
      <c r="F127" s="44" t="s">
        <v>1690</v>
      </c>
      <c r="G127" s="139" t="s">
        <v>1735</v>
      </c>
      <c r="H127" s="44">
        <v>150414.6</v>
      </c>
      <c r="I127" s="37">
        <f t="shared" si="5"/>
        <v>27</v>
      </c>
      <c r="J127" s="37" t="str">
        <f t="shared" si="9"/>
        <v>0-120 DAYS</v>
      </c>
      <c r="K127" s="37" t="str">
        <f t="shared" si="6"/>
        <v>0-180 DAYS</v>
      </c>
      <c r="L127" t="s">
        <v>1730</v>
      </c>
      <c r="M127" s="36"/>
      <c r="P127" s="132"/>
    </row>
    <row r="128" spans="1:16" hidden="1" x14ac:dyDescent="0.35">
      <c r="A128" t="s">
        <v>2030</v>
      </c>
      <c r="B128" s="2" t="s">
        <v>1085</v>
      </c>
      <c r="C128" s="2" t="s">
        <v>790</v>
      </c>
      <c r="D128" s="44" t="s">
        <v>1086</v>
      </c>
      <c r="E128" s="2" t="s">
        <v>507</v>
      </c>
      <c r="F128" s="44" t="s">
        <v>1691</v>
      </c>
      <c r="G128" s="139" t="s">
        <v>1735</v>
      </c>
      <c r="H128" s="44">
        <v>2433676.84</v>
      </c>
      <c r="I128" s="37">
        <f t="shared" si="5"/>
        <v>27</v>
      </c>
      <c r="J128" s="37" t="str">
        <f t="shared" si="9"/>
        <v>0-120 DAYS</v>
      </c>
      <c r="K128" s="37" t="str">
        <f t="shared" si="6"/>
        <v>0-180 DAYS</v>
      </c>
      <c r="L128" t="s">
        <v>1730</v>
      </c>
      <c r="M128" s="36"/>
      <c r="P128" s="132"/>
    </row>
    <row r="129" spans="1:16" hidden="1" x14ac:dyDescent="0.35">
      <c r="A129" t="s">
        <v>2030</v>
      </c>
      <c r="B129" s="2" t="s">
        <v>1085</v>
      </c>
      <c r="C129" s="2" t="s">
        <v>790</v>
      </c>
      <c r="D129" s="44" t="s">
        <v>1647</v>
      </c>
      <c r="E129" s="2" t="s">
        <v>507</v>
      </c>
      <c r="F129" s="44" t="s">
        <v>1692</v>
      </c>
      <c r="G129" s="139" t="s">
        <v>1735</v>
      </c>
      <c r="H129" s="44">
        <v>3034724</v>
      </c>
      <c r="I129" s="37">
        <f t="shared" si="5"/>
        <v>27</v>
      </c>
      <c r="J129" s="37" t="str">
        <f t="shared" si="9"/>
        <v>0-120 DAYS</v>
      </c>
      <c r="K129" s="37" t="str">
        <f t="shared" si="6"/>
        <v>0-180 DAYS</v>
      </c>
      <c r="L129" t="s">
        <v>1730</v>
      </c>
      <c r="M129" s="36"/>
      <c r="P129" s="132"/>
    </row>
    <row r="130" spans="1:16" hidden="1" x14ac:dyDescent="0.35">
      <c r="A130" t="s">
        <v>2030</v>
      </c>
      <c r="B130" s="2" t="s">
        <v>1085</v>
      </c>
      <c r="C130" s="2" t="s">
        <v>790</v>
      </c>
      <c r="D130" s="44" t="s">
        <v>1086</v>
      </c>
      <c r="E130" s="2" t="s">
        <v>507</v>
      </c>
      <c r="F130" s="44" t="s">
        <v>1693</v>
      </c>
      <c r="G130" s="139" t="s">
        <v>1736</v>
      </c>
      <c r="H130" s="44">
        <v>3091028.29</v>
      </c>
      <c r="I130" s="37">
        <f t="shared" si="5"/>
        <v>-4</v>
      </c>
      <c r="J130" s="37" t="str">
        <f t="shared" si="9"/>
        <v>0-120 DAYS</v>
      </c>
      <c r="K130" s="37" t="str">
        <f t="shared" si="6"/>
        <v>0-180 DAYS</v>
      </c>
      <c r="L130" t="s">
        <v>1730</v>
      </c>
      <c r="M130" s="36"/>
      <c r="P130" s="132"/>
    </row>
    <row r="131" spans="1:16" hidden="1" x14ac:dyDescent="0.35">
      <c r="A131" t="s">
        <v>2030</v>
      </c>
      <c r="B131" s="2" t="s">
        <v>1085</v>
      </c>
      <c r="C131" s="2" t="s">
        <v>790</v>
      </c>
      <c r="D131" s="44" t="s">
        <v>570</v>
      </c>
      <c r="E131" s="2" t="s">
        <v>507</v>
      </c>
      <c r="F131" s="44" t="s">
        <v>1694</v>
      </c>
      <c r="G131" s="139" t="s">
        <v>1738</v>
      </c>
      <c r="H131" s="44">
        <v>3047940</v>
      </c>
      <c r="I131" s="37">
        <f t="shared" si="5"/>
        <v>-65</v>
      </c>
      <c r="J131" s="37" t="str">
        <f t="shared" si="9"/>
        <v>0-120 DAYS</v>
      </c>
      <c r="K131" s="37" t="str">
        <f t="shared" si="6"/>
        <v>0-180 DAYS</v>
      </c>
      <c r="L131" t="s">
        <v>1730</v>
      </c>
      <c r="M131" s="36"/>
      <c r="P131" s="132"/>
    </row>
    <row r="132" spans="1:16" hidden="1" x14ac:dyDescent="0.35">
      <c r="A132" t="s">
        <v>2030</v>
      </c>
      <c r="B132" s="2" t="s">
        <v>1085</v>
      </c>
      <c r="C132" s="2" t="s">
        <v>790</v>
      </c>
      <c r="D132" s="44" t="s">
        <v>1091</v>
      </c>
      <c r="E132" s="2" t="s">
        <v>507</v>
      </c>
      <c r="F132" s="44" t="s">
        <v>1695</v>
      </c>
      <c r="G132" s="139" t="s">
        <v>1743</v>
      </c>
      <c r="H132" s="44">
        <v>3646624.8</v>
      </c>
      <c r="I132" s="37" t="e">
        <f t="shared" si="5"/>
        <v>#VALUE!</v>
      </c>
      <c r="J132" s="37" t="e">
        <f t="shared" si="9"/>
        <v>#VALUE!</v>
      </c>
      <c r="K132" s="37" t="e">
        <f t="shared" si="6"/>
        <v>#VALUE!</v>
      </c>
      <c r="L132" t="s">
        <v>1730</v>
      </c>
      <c r="M132" s="36"/>
      <c r="P132" s="132"/>
    </row>
    <row r="133" spans="1:16" hidden="1" x14ac:dyDescent="0.35">
      <c r="A133" t="s">
        <v>2030</v>
      </c>
      <c r="B133" s="2" t="s">
        <v>1085</v>
      </c>
      <c r="C133" s="2" t="s">
        <v>790</v>
      </c>
      <c r="D133" s="44" t="s">
        <v>543</v>
      </c>
      <c r="E133" s="2" t="s">
        <v>507</v>
      </c>
      <c r="F133" s="44" t="s">
        <v>1697</v>
      </c>
      <c r="G133" s="139" t="s">
        <v>1744</v>
      </c>
      <c r="H133" s="44">
        <v>3144240.14</v>
      </c>
      <c r="I133" s="37" t="e">
        <f t="shared" si="5"/>
        <v>#VALUE!</v>
      </c>
      <c r="J133" s="37" t="e">
        <f t="shared" si="9"/>
        <v>#VALUE!</v>
      </c>
      <c r="K133" s="37" t="e">
        <f t="shared" si="6"/>
        <v>#VALUE!</v>
      </c>
      <c r="L133" t="s">
        <v>1730</v>
      </c>
      <c r="M133" s="36"/>
      <c r="P133" s="132"/>
    </row>
    <row r="134" spans="1:16" hidden="1" x14ac:dyDescent="0.35">
      <c r="A134" t="s">
        <v>2030</v>
      </c>
      <c r="B134" s="2" t="s">
        <v>1085</v>
      </c>
      <c r="C134" s="2" t="s">
        <v>790</v>
      </c>
      <c r="D134" s="44" t="s">
        <v>538</v>
      </c>
      <c r="E134" s="2" t="s">
        <v>507</v>
      </c>
      <c r="F134" s="44" t="s">
        <v>1698</v>
      </c>
      <c r="G134" s="139" t="s">
        <v>1745</v>
      </c>
      <c r="H134" s="44">
        <v>3211239</v>
      </c>
      <c r="I134" s="37" t="e">
        <f t="shared" ref="I134:I197" si="10">$I$2-G134+1</f>
        <v>#VALUE!</v>
      </c>
      <c r="J134" s="37" t="e">
        <f t="shared" si="9"/>
        <v>#VALUE!</v>
      </c>
      <c r="K134" s="37" t="e">
        <f t="shared" ref="K134:K197" si="11">IF(I134&lt;180,"0-180 DAYS","More than 180 Days")</f>
        <v>#VALUE!</v>
      </c>
      <c r="L134" t="s">
        <v>1730</v>
      </c>
      <c r="M134" s="36"/>
      <c r="P134" s="132"/>
    </row>
    <row r="135" spans="1:16" hidden="1" x14ac:dyDescent="0.35">
      <c r="A135" t="s">
        <v>2030</v>
      </c>
      <c r="B135" s="2" t="s">
        <v>1085</v>
      </c>
      <c r="C135" s="2" t="s">
        <v>790</v>
      </c>
      <c r="D135" s="44" t="s">
        <v>538</v>
      </c>
      <c r="E135" s="2" t="s">
        <v>507</v>
      </c>
      <c r="F135" s="44" t="s">
        <v>1699</v>
      </c>
      <c r="G135" s="139" t="s">
        <v>1746</v>
      </c>
      <c r="H135" s="44">
        <v>3182450.43</v>
      </c>
      <c r="I135" s="37" t="e">
        <f t="shared" si="10"/>
        <v>#VALUE!</v>
      </c>
      <c r="J135" s="37" t="e">
        <f t="shared" si="9"/>
        <v>#VALUE!</v>
      </c>
      <c r="K135" s="37" t="e">
        <f t="shared" si="11"/>
        <v>#VALUE!</v>
      </c>
      <c r="L135" t="s">
        <v>1730</v>
      </c>
      <c r="M135" s="36"/>
      <c r="P135" s="132"/>
    </row>
    <row r="136" spans="1:16" hidden="1" x14ac:dyDescent="0.35">
      <c r="A136" t="s">
        <v>2030</v>
      </c>
      <c r="B136" s="2" t="s">
        <v>1085</v>
      </c>
      <c r="C136" s="2" t="s">
        <v>790</v>
      </c>
      <c r="D136" s="44" t="s">
        <v>650</v>
      </c>
      <c r="E136" s="2" t="s">
        <v>507</v>
      </c>
      <c r="F136" s="44" t="s">
        <v>735</v>
      </c>
      <c r="G136" s="139" t="s">
        <v>1748</v>
      </c>
      <c r="H136" s="138">
        <v>2852239.64</v>
      </c>
      <c r="I136" s="37" t="e">
        <f t="shared" si="10"/>
        <v>#VALUE!</v>
      </c>
      <c r="J136" s="37" t="e">
        <f t="shared" si="9"/>
        <v>#VALUE!</v>
      </c>
      <c r="K136" s="37" t="e">
        <f t="shared" si="11"/>
        <v>#VALUE!</v>
      </c>
      <c r="L136" t="s">
        <v>1730</v>
      </c>
      <c r="M136" s="36"/>
      <c r="P136" s="132"/>
    </row>
    <row r="137" spans="1:16" hidden="1" x14ac:dyDescent="0.35">
      <c r="A137" t="s">
        <v>2030</v>
      </c>
      <c r="B137" s="2" t="s">
        <v>1085</v>
      </c>
      <c r="C137" s="2" t="s">
        <v>790</v>
      </c>
      <c r="D137" s="44" t="s">
        <v>635</v>
      </c>
      <c r="E137" s="2" t="s">
        <v>507</v>
      </c>
      <c r="F137" s="44" t="s">
        <v>1700</v>
      </c>
      <c r="G137" s="139" t="s">
        <v>1750</v>
      </c>
      <c r="H137" s="44">
        <v>2905961.6</v>
      </c>
      <c r="I137" s="37" t="e">
        <f t="shared" si="10"/>
        <v>#VALUE!</v>
      </c>
      <c r="J137" s="37" t="e">
        <f t="shared" si="9"/>
        <v>#VALUE!</v>
      </c>
      <c r="K137" s="37" t="e">
        <f t="shared" si="11"/>
        <v>#VALUE!</v>
      </c>
      <c r="L137" t="s">
        <v>1730</v>
      </c>
      <c r="M137" s="36"/>
      <c r="P137" s="132"/>
    </row>
    <row r="138" spans="1:16" hidden="1" x14ac:dyDescent="0.35">
      <c r="A138" t="s">
        <v>2030</v>
      </c>
      <c r="B138" s="2" t="s">
        <v>1085</v>
      </c>
      <c r="C138" s="2" t="s">
        <v>790</v>
      </c>
      <c r="D138" s="44" t="s">
        <v>1648</v>
      </c>
      <c r="E138" s="2" t="s">
        <v>507</v>
      </c>
      <c r="F138" s="44" t="s">
        <v>1701</v>
      </c>
      <c r="G138" s="139" t="s">
        <v>1750</v>
      </c>
      <c r="H138" s="44">
        <v>3059397.61</v>
      </c>
      <c r="I138" s="37" t="e">
        <f t="shared" si="10"/>
        <v>#VALUE!</v>
      </c>
      <c r="J138" s="37" t="e">
        <f t="shared" si="9"/>
        <v>#VALUE!</v>
      </c>
      <c r="K138" s="37" t="e">
        <f t="shared" si="11"/>
        <v>#VALUE!</v>
      </c>
      <c r="L138" t="s">
        <v>1730</v>
      </c>
      <c r="M138" s="36"/>
      <c r="P138" s="132"/>
    </row>
    <row r="139" spans="1:16" hidden="1" x14ac:dyDescent="0.35">
      <c r="A139" t="s">
        <v>2030</v>
      </c>
      <c r="B139" s="2" t="s">
        <v>1085</v>
      </c>
      <c r="C139" s="2" t="s">
        <v>790</v>
      </c>
      <c r="D139" s="44" t="s">
        <v>538</v>
      </c>
      <c r="E139" s="2" t="s">
        <v>507</v>
      </c>
      <c r="F139" s="44" t="s">
        <v>1702</v>
      </c>
      <c r="G139" s="139" t="s">
        <v>1752</v>
      </c>
      <c r="H139" s="44">
        <v>2953911</v>
      </c>
      <c r="I139" s="37" t="e">
        <f t="shared" si="10"/>
        <v>#VALUE!</v>
      </c>
      <c r="J139" s="37" t="e">
        <f t="shared" si="9"/>
        <v>#VALUE!</v>
      </c>
      <c r="K139" s="37" t="e">
        <f t="shared" si="11"/>
        <v>#VALUE!</v>
      </c>
      <c r="L139" t="s">
        <v>1730</v>
      </c>
      <c r="M139" s="36"/>
      <c r="P139" s="132"/>
    </row>
    <row r="140" spans="1:16" hidden="1" x14ac:dyDescent="0.35">
      <c r="A140" t="s">
        <v>2030</v>
      </c>
      <c r="B140" s="2" t="s">
        <v>1085</v>
      </c>
      <c r="C140" s="2" t="s">
        <v>790</v>
      </c>
      <c r="D140" s="44" t="s">
        <v>1086</v>
      </c>
      <c r="E140" s="2" t="s">
        <v>507</v>
      </c>
      <c r="F140" s="44" t="s">
        <v>1703</v>
      </c>
      <c r="G140" s="139" t="s">
        <v>1753</v>
      </c>
      <c r="H140" s="44">
        <v>1978545.95</v>
      </c>
      <c r="I140" s="37" t="e">
        <f t="shared" si="10"/>
        <v>#VALUE!</v>
      </c>
      <c r="J140" s="37" t="e">
        <f t="shared" si="9"/>
        <v>#VALUE!</v>
      </c>
      <c r="K140" s="37" t="e">
        <f t="shared" si="11"/>
        <v>#VALUE!</v>
      </c>
      <c r="L140" t="s">
        <v>1730</v>
      </c>
      <c r="M140" s="36"/>
      <c r="P140" s="132"/>
    </row>
    <row r="141" spans="1:16" hidden="1" x14ac:dyDescent="0.35">
      <c r="A141" t="s">
        <v>2030</v>
      </c>
      <c r="B141" s="2" t="s">
        <v>1085</v>
      </c>
      <c r="C141" s="2" t="s">
        <v>790</v>
      </c>
      <c r="D141" s="44" t="s">
        <v>1086</v>
      </c>
      <c r="E141" s="2" t="s">
        <v>507</v>
      </c>
      <c r="F141" s="44" t="s">
        <v>1704</v>
      </c>
      <c r="G141" s="139" t="s">
        <v>1753</v>
      </c>
      <c r="H141" s="44">
        <v>212245.2</v>
      </c>
      <c r="I141" s="37" t="e">
        <f t="shared" si="10"/>
        <v>#VALUE!</v>
      </c>
      <c r="J141" s="37" t="e">
        <f t="shared" si="9"/>
        <v>#VALUE!</v>
      </c>
      <c r="K141" s="37" t="e">
        <f t="shared" si="11"/>
        <v>#VALUE!</v>
      </c>
      <c r="L141" t="s">
        <v>1730</v>
      </c>
      <c r="M141" s="36"/>
      <c r="P141" s="132"/>
    </row>
    <row r="142" spans="1:16" hidden="1" x14ac:dyDescent="0.35">
      <c r="A142" t="s">
        <v>2030</v>
      </c>
      <c r="B142" s="2" t="s">
        <v>1085</v>
      </c>
      <c r="C142" s="2" t="s">
        <v>790</v>
      </c>
      <c r="D142" s="44" t="s">
        <v>1086</v>
      </c>
      <c r="E142" s="2" t="s">
        <v>507</v>
      </c>
      <c r="F142" s="44" t="s">
        <v>1705</v>
      </c>
      <c r="G142" s="139" t="s">
        <v>1753</v>
      </c>
      <c r="H142" s="44">
        <v>530613</v>
      </c>
      <c r="I142" s="37" t="e">
        <f t="shared" si="10"/>
        <v>#VALUE!</v>
      </c>
      <c r="J142" s="37" t="e">
        <f t="shared" si="9"/>
        <v>#VALUE!</v>
      </c>
      <c r="K142" s="37" t="e">
        <f t="shared" si="11"/>
        <v>#VALUE!</v>
      </c>
      <c r="L142" t="s">
        <v>1730</v>
      </c>
      <c r="M142" s="36"/>
      <c r="P142" s="132"/>
    </row>
    <row r="143" spans="1:16" hidden="1" x14ac:dyDescent="0.35">
      <c r="A143" t="s">
        <v>2030</v>
      </c>
      <c r="B143" s="2" t="s">
        <v>1085</v>
      </c>
      <c r="C143" s="2" t="s">
        <v>790</v>
      </c>
      <c r="D143" s="44" t="s">
        <v>1086</v>
      </c>
      <c r="E143" s="2" t="s">
        <v>507</v>
      </c>
      <c r="F143" s="44" t="s">
        <v>1706</v>
      </c>
      <c r="G143" s="139" t="s">
        <v>1753</v>
      </c>
      <c r="H143" s="44">
        <v>2283845.96</v>
      </c>
      <c r="I143" s="37" t="e">
        <f t="shared" si="10"/>
        <v>#VALUE!</v>
      </c>
      <c r="J143" s="37" t="e">
        <f t="shared" si="9"/>
        <v>#VALUE!</v>
      </c>
      <c r="K143" s="37" t="e">
        <f t="shared" si="11"/>
        <v>#VALUE!</v>
      </c>
      <c r="L143" t="s">
        <v>1730</v>
      </c>
      <c r="M143" s="36"/>
      <c r="P143" s="132"/>
    </row>
    <row r="144" spans="1:16" hidden="1" x14ac:dyDescent="0.35">
      <c r="A144" t="s">
        <v>2030</v>
      </c>
      <c r="B144" s="2" t="s">
        <v>1085</v>
      </c>
      <c r="C144" s="2" t="s">
        <v>790</v>
      </c>
      <c r="D144" s="44" t="s">
        <v>526</v>
      </c>
      <c r="E144" s="2" t="s">
        <v>507</v>
      </c>
      <c r="F144" s="44" t="s">
        <v>1707</v>
      </c>
      <c r="G144" s="139" t="s">
        <v>1756</v>
      </c>
      <c r="H144" s="44">
        <v>5395392</v>
      </c>
      <c r="I144" s="37" t="e">
        <f t="shared" si="10"/>
        <v>#VALUE!</v>
      </c>
      <c r="J144" s="37" t="e">
        <f t="shared" si="9"/>
        <v>#VALUE!</v>
      </c>
      <c r="K144" s="37" t="e">
        <f t="shared" si="11"/>
        <v>#VALUE!</v>
      </c>
      <c r="L144" t="s">
        <v>1730</v>
      </c>
      <c r="M144" s="36"/>
      <c r="P144" s="132"/>
    </row>
    <row r="145" spans="1:16" hidden="1" x14ac:dyDescent="0.35">
      <c r="A145" t="s">
        <v>2030</v>
      </c>
      <c r="B145" s="2" t="s">
        <v>1085</v>
      </c>
      <c r="C145" s="2" t="s">
        <v>790</v>
      </c>
      <c r="D145" s="44" t="s">
        <v>650</v>
      </c>
      <c r="E145" s="2" t="s">
        <v>507</v>
      </c>
      <c r="F145" s="44" t="s">
        <v>1708</v>
      </c>
      <c r="G145" s="139" t="s">
        <v>1757</v>
      </c>
      <c r="H145" s="138">
        <v>2852239.77</v>
      </c>
      <c r="I145" s="37" t="e">
        <f t="shared" si="10"/>
        <v>#VALUE!</v>
      </c>
      <c r="J145" s="37" t="e">
        <f t="shared" si="9"/>
        <v>#VALUE!</v>
      </c>
      <c r="K145" s="37" t="e">
        <f t="shared" si="11"/>
        <v>#VALUE!</v>
      </c>
      <c r="L145" t="s">
        <v>1730</v>
      </c>
      <c r="M145" s="36"/>
      <c r="P145" s="132"/>
    </row>
    <row r="146" spans="1:16" hidden="1" x14ac:dyDescent="0.35">
      <c r="A146" t="s">
        <v>2030</v>
      </c>
      <c r="B146" s="2" t="s">
        <v>1085</v>
      </c>
      <c r="C146" s="2" t="s">
        <v>790</v>
      </c>
      <c r="D146" s="44" t="s">
        <v>1249</v>
      </c>
      <c r="E146" s="2" t="s">
        <v>507</v>
      </c>
      <c r="F146" s="44" t="s">
        <v>1709</v>
      </c>
      <c r="G146" s="139" t="s">
        <v>1758</v>
      </c>
      <c r="H146" s="44">
        <v>3292776</v>
      </c>
      <c r="I146" s="37" t="e">
        <f t="shared" si="10"/>
        <v>#VALUE!</v>
      </c>
      <c r="J146" s="37" t="e">
        <f t="shared" si="9"/>
        <v>#VALUE!</v>
      </c>
      <c r="K146" s="37" t="e">
        <f t="shared" si="11"/>
        <v>#VALUE!</v>
      </c>
      <c r="L146" t="s">
        <v>1730</v>
      </c>
      <c r="M146" s="36"/>
      <c r="P146" s="132"/>
    </row>
    <row r="147" spans="1:16" hidden="1" x14ac:dyDescent="0.35">
      <c r="A147" t="s">
        <v>2030</v>
      </c>
      <c r="B147" s="2" t="s">
        <v>1085</v>
      </c>
      <c r="C147" s="2" t="s">
        <v>790</v>
      </c>
      <c r="D147" s="44" t="s">
        <v>600</v>
      </c>
      <c r="E147" s="2" t="s">
        <v>507</v>
      </c>
      <c r="F147" s="44" t="s">
        <v>1710</v>
      </c>
      <c r="G147" s="139" t="s">
        <v>1758</v>
      </c>
      <c r="H147" s="44">
        <v>3373578.77</v>
      </c>
      <c r="I147" s="37" t="e">
        <f t="shared" si="10"/>
        <v>#VALUE!</v>
      </c>
      <c r="J147" s="37" t="e">
        <f t="shared" si="9"/>
        <v>#VALUE!</v>
      </c>
      <c r="K147" s="37" t="e">
        <f t="shared" si="11"/>
        <v>#VALUE!</v>
      </c>
      <c r="L147" t="s">
        <v>1730</v>
      </c>
      <c r="M147" s="36"/>
      <c r="P147" s="132"/>
    </row>
    <row r="148" spans="1:16" hidden="1" x14ac:dyDescent="0.35">
      <c r="A148" t="s">
        <v>2030</v>
      </c>
      <c r="B148" s="2" t="s">
        <v>1085</v>
      </c>
      <c r="C148" s="2" t="s">
        <v>790</v>
      </c>
      <c r="D148" s="44" t="s">
        <v>522</v>
      </c>
      <c r="E148" s="2" t="s">
        <v>507</v>
      </c>
      <c r="F148" s="44" t="s">
        <v>1711</v>
      </c>
      <c r="G148" s="139" t="s">
        <v>1759</v>
      </c>
      <c r="H148" s="44">
        <v>1891932.64</v>
      </c>
      <c r="I148" s="37" t="e">
        <f t="shared" si="10"/>
        <v>#VALUE!</v>
      </c>
      <c r="J148" s="37" t="e">
        <f t="shared" si="9"/>
        <v>#VALUE!</v>
      </c>
      <c r="K148" s="37" t="e">
        <f t="shared" si="11"/>
        <v>#VALUE!</v>
      </c>
      <c r="L148" t="s">
        <v>1730</v>
      </c>
      <c r="M148" s="36"/>
      <c r="P148" s="132"/>
    </row>
    <row r="149" spans="1:16" hidden="1" x14ac:dyDescent="0.35">
      <c r="A149" t="s">
        <v>2031</v>
      </c>
      <c r="B149" s="2" t="s">
        <v>1085</v>
      </c>
      <c r="C149" s="2" t="s">
        <v>790</v>
      </c>
      <c r="D149" s="44" t="s">
        <v>524</v>
      </c>
      <c r="E149" s="2" t="s">
        <v>507</v>
      </c>
      <c r="F149" s="44" t="s">
        <v>1712</v>
      </c>
      <c r="G149" s="139" t="s">
        <v>1733</v>
      </c>
      <c r="H149" s="44">
        <v>3318537.6</v>
      </c>
      <c r="I149" s="37">
        <f t="shared" si="10"/>
        <v>118</v>
      </c>
      <c r="J149" s="37" t="str">
        <f t="shared" si="9"/>
        <v>0-120 DAYS</v>
      </c>
      <c r="K149" s="37" t="str">
        <f t="shared" si="11"/>
        <v>0-180 DAYS</v>
      </c>
      <c r="L149" t="s">
        <v>1730</v>
      </c>
      <c r="M149" s="36"/>
      <c r="P149" s="132"/>
    </row>
    <row r="150" spans="1:16" hidden="1" x14ac:dyDescent="0.35">
      <c r="A150" t="s">
        <v>2031</v>
      </c>
      <c r="B150" s="2" t="s">
        <v>1085</v>
      </c>
      <c r="C150" s="2" t="s">
        <v>790</v>
      </c>
      <c r="D150" s="44" t="s">
        <v>581</v>
      </c>
      <c r="E150" s="2" t="s">
        <v>507</v>
      </c>
      <c r="F150" s="44" t="s">
        <v>1713</v>
      </c>
      <c r="G150" s="139" t="s">
        <v>1737</v>
      </c>
      <c r="H150" s="44">
        <v>3837730.7</v>
      </c>
      <c r="I150" s="37">
        <f t="shared" si="10"/>
        <v>-35</v>
      </c>
      <c r="J150" s="37" t="str">
        <f t="shared" si="9"/>
        <v>0-120 DAYS</v>
      </c>
      <c r="K150" s="37" t="str">
        <f t="shared" si="11"/>
        <v>0-180 DAYS</v>
      </c>
      <c r="L150" t="s">
        <v>1730</v>
      </c>
      <c r="M150" s="36"/>
      <c r="P150" s="132"/>
    </row>
    <row r="151" spans="1:16" hidden="1" x14ac:dyDescent="0.35">
      <c r="A151" t="s">
        <v>2031</v>
      </c>
      <c r="B151" s="2" t="s">
        <v>1085</v>
      </c>
      <c r="C151" s="2" t="s">
        <v>790</v>
      </c>
      <c r="D151" s="44" t="s">
        <v>1054</v>
      </c>
      <c r="E151" s="2" t="s">
        <v>507</v>
      </c>
      <c r="F151" s="44" t="s">
        <v>1714</v>
      </c>
      <c r="G151" s="139" t="s">
        <v>1738</v>
      </c>
      <c r="H151" s="44">
        <v>3044966.3999999999</v>
      </c>
      <c r="I151" s="37">
        <f t="shared" si="10"/>
        <v>-65</v>
      </c>
      <c r="J151" s="37" t="str">
        <f t="shared" si="9"/>
        <v>0-120 DAYS</v>
      </c>
      <c r="K151" s="37" t="str">
        <f t="shared" si="11"/>
        <v>0-180 DAYS</v>
      </c>
      <c r="L151" t="s">
        <v>1730</v>
      </c>
      <c r="M151" s="36"/>
      <c r="P151" s="132"/>
    </row>
    <row r="152" spans="1:16" hidden="1" x14ac:dyDescent="0.35">
      <c r="A152" t="s">
        <v>2031</v>
      </c>
      <c r="B152" s="2" t="s">
        <v>1085</v>
      </c>
      <c r="C152" s="2" t="s">
        <v>790</v>
      </c>
      <c r="D152" s="44" t="s">
        <v>1086</v>
      </c>
      <c r="E152" s="2" t="s">
        <v>507</v>
      </c>
      <c r="F152" s="44" t="s">
        <v>1715</v>
      </c>
      <c r="G152" s="139" t="s">
        <v>1742</v>
      </c>
      <c r="H152" s="44">
        <v>3082632</v>
      </c>
      <c r="I152" s="37" t="e">
        <f t="shared" si="10"/>
        <v>#VALUE!</v>
      </c>
      <c r="J152" s="37" t="e">
        <f t="shared" si="9"/>
        <v>#VALUE!</v>
      </c>
      <c r="K152" s="37" t="e">
        <f t="shared" si="11"/>
        <v>#VALUE!</v>
      </c>
      <c r="L152" t="s">
        <v>1730</v>
      </c>
      <c r="M152" s="36"/>
      <c r="P152" s="132"/>
    </row>
    <row r="153" spans="1:16" hidden="1" x14ac:dyDescent="0.35">
      <c r="A153" t="s">
        <v>2031</v>
      </c>
      <c r="B153" s="2" t="s">
        <v>1085</v>
      </c>
      <c r="C153" s="2" t="s">
        <v>790</v>
      </c>
      <c r="D153" s="44" t="s">
        <v>588</v>
      </c>
      <c r="E153" s="2" t="s">
        <v>507</v>
      </c>
      <c r="F153" s="44" t="s">
        <v>1716</v>
      </c>
      <c r="G153" s="139" t="s">
        <v>1742</v>
      </c>
      <c r="H153" s="44">
        <v>3354014.3</v>
      </c>
      <c r="I153" s="37" t="e">
        <f t="shared" si="10"/>
        <v>#VALUE!</v>
      </c>
      <c r="J153" s="37" t="e">
        <f t="shared" si="9"/>
        <v>#VALUE!</v>
      </c>
      <c r="K153" s="37" t="e">
        <f t="shared" si="11"/>
        <v>#VALUE!</v>
      </c>
      <c r="L153" t="s">
        <v>1730</v>
      </c>
      <c r="M153" s="36"/>
      <c r="P153" s="132"/>
    </row>
    <row r="154" spans="1:16" hidden="1" x14ac:dyDescent="0.35">
      <c r="A154" t="s">
        <v>2031</v>
      </c>
      <c r="B154" s="2" t="s">
        <v>1085</v>
      </c>
      <c r="C154" s="2" t="s">
        <v>790</v>
      </c>
      <c r="D154" s="44" t="s">
        <v>707</v>
      </c>
      <c r="E154" s="2" t="s">
        <v>507</v>
      </c>
      <c r="F154" s="44" t="s">
        <v>1717</v>
      </c>
      <c r="G154" s="139" t="s">
        <v>1743</v>
      </c>
      <c r="H154" s="44">
        <v>3062808</v>
      </c>
      <c r="I154" s="37" t="e">
        <f t="shared" si="10"/>
        <v>#VALUE!</v>
      </c>
      <c r="J154" s="37" t="e">
        <f t="shared" si="9"/>
        <v>#VALUE!</v>
      </c>
      <c r="K154" s="37" t="e">
        <f t="shared" si="11"/>
        <v>#VALUE!</v>
      </c>
      <c r="L154" t="s">
        <v>1730</v>
      </c>
      <c r="M154" s="36"/>
      <c r="P154" s="132"/>
    </row>
    <row r="155" spans="1:16" hidden="1" x14ac:dyDescent="0.35">
      <c r="A155" t="s">
        <v>2031</v>
      </c>
      <c r="B155" s="2" t="s">
        <v>1085</v>
      </c>
      <c r="C155" s="2" t="s">
        <v>790</v>
      </c>
      <c r="D155" s="44" t="s">
        <v>584</v>
      </c>
      <c r="E155" s="2" t="s">
        <v>507</v>
      </c>
      <c r="F155" s="44" t="s">
        <v>1718</v>
      </c>
      <c r="G155" s="139" t="s">
        <v>1744</v>
      </c>
      <c r="H155" s="44">
        <v>3586646.39</v>
      </c>
      <c r="I155" s="37" t="e">
        <f t="shared" si="10"/>
        <v>#VALUE!</v>
      </c>
      <c r="J155" s="37" t="e">
        <f t="shared" si="9"/>
        <v>#VALUE!</v>
      </c>
      <c r="K155" s="37" t="e">
        <f t="shared" si="11"/>
        <v>#VALUE!</v>
      </c>
      <c r="L155" t="s">
        <v>1730</v>
      </c>
      <c r="M155" s="36"/>
      <c r="P155" s="132"/>
    </row>
    <row r="156" spans="1:16" hidden="1" x14ac:dyDescent="0.35">
      <c r="A156" t="s">
        <v>2031</v>
      </c>
      <c r="B156" s="2" t="s">
        <v>1085</v>
      </c>
      <c r="C156" s="2" t="s">
        <v>790</v>
      </c>
      <c r="D156" s="44" t="s">
        <v>588</v>
      </c>
      <c r="E156" s="2" t="s">
        <v>507</v>
      </c>
      <c r="F156" s="44" t="s">
        <v>1719</v>
      </c>
      <c r="G156" s="139" t="s">
        <v>1745</v>
      </c>
      <c r="H156" s="44">
        <v>3636476.03</v>
      </c>
      <c r="I156" s="37" t="e">
        <f t="shared" si="10"/>
        <v>#VALUE!</v>
      </c>
      <c r="J156" s="37" t="e">
        <f t="shared" si="9"/>
        <v>#VALUE!</v>
      </c>
      <c r="K156" s="37" t="e">
        <f t="shared" si="11"/>
        <v>#VALUE!</v>
      </c>
      <c r="L156" t="s">
        <v>1730</v>
      </c>
      <c r="M156" s="36"/>
      <c r="P156" s="132"/>
    </row>
    <row r="157" spans="1:16" hidden="1" x14ac:dyDescent="0.35">
      <c r="A157" t="s">
        <v>2031</v>
      </c>
      <c r="B157" s="2" t="s">
        <v>1085</v>
      </c>
      <c r="C157" s="2" t="s">
        <v>790</v>
      </c>
      <c r="D157" s="44" t="s">
        <v>540</v>
      </c>
      <c r="E157" s="2" t="s">
        <v>507</v>
      </c>
      <c r="F157" s="44" t="s">
        <v>1720</v>
      </c>
      <c r="G157" s="139" t="s">
        <v>1748</v>
      </c>
      <c r="H157" s="44">
        <v>3104823.15</v>
      </c>
      <c r="I157" s="37" t="e">
        <f t="shared" si="10"/>
        <v>#VALUE!</v>
      </c>
      <c r="J157" s="37" t="e">
        <f t="shared" si="9"/>
        <v>#VALUE!</v>
      </c>
      <c r="K157" s="37" t="e">
        <f t="shared" si="11"/>
        <v>#VALUE!</v>
      </c>
      <c r="L157" t="s">
        <v>1730</v>
      </c>
      <c r="M157" s="36"/>
      <c r="P157" s="132"/>
    </row>
    <row r="158" spans="1:16" hidden="1" x14ac:dyDescent="0.35">
      <c r="A158" t="s">
        <v>2031</v>
      </c>
      <c r="B158" s="2" t="s">
        <v>1085</v>
      </c>
      <c r="C158" s="2" t="s">
        <v>790</v>
      </c>
      <c r="D158" s="44" t="s">
        <v>1054</v>
      </c>
      <c r="E158" s="2" t="s">
        <v>507</v>
      </c>
      <c r="F158" s="44" t="s">
        <v>1721</v>
      </c>
      <c r="G158" s="139" t="s">
        <v>1750</v>
      </c>
      <c r="H158" s="44">
        <v>3046809.6000000001</v>
      </c>
      <c r="I158" s="37" t="e">
        <f t="shared" si="10"/>
        <v>#VALUE!</v>
      </c>
      <c r="J158" s="37" t="e">
        <f t="shared" si="9"/>
        <v>#VALUE!</v>
      </c>
      <c r="K158" s="37" t="e">
        <f t="shared" si="11"/>
        <v>#VALUE!</v>
      </c>
      <c r="L158" t="s">
        <v>1730</v>
      </c>
      <c r="M158" s="36"/>
      <c r="P158" s="132"/>
    </row>
    <row r="159" spans="1:16" hidden="1" x14ac:dyDescent="0.35">
      <c r="A159" t="s">
        <v>2031</v>
      </c>
      <c r="B159" s="2" t="s">
        <v>1085</v>
      </c>
      <c r="C159" s="2" t="s">
        <v>790</v>
      </c>
      <c r="D159" s="44" t="s">
        <v>678</v>
      </c>
      <c r="E159" s="2" t="s">
        <v>507</v>
      </c>
      <c r="F159" s="44" t="s">
        <v>1722</v>
      </c>
      <c r="G159" s="139" t="s">
        <v>1752</v>
      </c>
      <c r="H159" s="44">
        <v>1434801.76</v>
      </c>
      <c r="I159" s="37" t="e">
        <f t="shared" si="10"/>
        <v>#VALUE!</v>
      </c>
      <c r="J159" s="37" t="e">
        <f t="shared" si="9"/>
        <v>#VALUE!</v>
      </c>
      <c r="K159" s="37" t="e">
        <f t="shared" si="11"/>
        <v>#VALUE!</v>
      </c>
      <c r="L159" t="s">
        <v>1730</v>
      </c>
      <c r="M159" s="36"/>
      <c r="P159" s="132"/>
    </row>
    <row r="160" spans="1:16" hidden="1" x14ac:dyDescent="0.35">
      <c r="A160" t="s">
        <v>2031</v>
      </c>
      <c r="B160" s="2" t="s">
        <v>1085</v>
      </c>
      <c r="C160" s="2" t="s">
        <v>790</v>
      </c>
      <c r="D160" s="44" t="s">
        <v>667</v>
      </c>
      <c r="E160" s="2" t="s">
        <v>507</v>
      </c>
      <c r="F160" s="44" t="s">
        <v>1723</v>
      </c>
      <c r="G160" s="139" t="s">
        <v>1754</v>
      </c>
      <c r="H160" s="44">
        <v>2998897.4</v>
      </c>
      <c r="I160" s="37" t="e">
        <f t="shared" si="10"/>
        <v>#VALUE!</v>
      </c>
      <c r="J160" s="37" t="e">
        <f t="shared" si="9"/>
        <v>#VALUE!</v>
      </c>
      <c r="K160" s="37" t="e">
        <f t="shared" si="11"/>
        <v>#VALUE!</v>
      </c>
      <c r="L160" t="s">
        <v>1730</v>
      </c>
      <c r="M160" s="36"/>
      <c r="P160" s="132"/>
    </row>
    <row r="161" spans="1:16" hidden="1" x14ac:dyDescent="0.35">
      <c r="B161" s="2" t="s">
        <v>1727</v>
      </c>
      <c r="C161" s="2" t="s">
        <v>788</v>
      </c>
      <c r="D161" s="44" t="s">
        <v>1728</v>
      </c>
      <c r="E161" s="2" t="s">
        <v>507</v>
      </c>
      <c r="F161" s="140" t="s">
        <v>2006</v>
      </c>
      <c r="G161" s="141">
        <v>45474</v>
      </c>
      <c r="H161" s="142">
        <v>28186757.359999999</v>
      </c>
      <c r="I161" s="37">
        <f t="shared" si="10"/>
        <v>31</v>
      </c>
      <c r="J161" s="37" t="str">
        <f>IF(I161&lt;91,"1-90 DAYS",IF(I161&lt;121,"91-120DAYS",IF(I161&lt;181,"121-180 DAYS","More than 180 Days")))</f>
        <v>1-90 DAYS</v>
      </c>
      <c r="K161" s="37" t="str">
        <f t="shared" si="11"/>
        <v>0-180 DAYS</v>
      </c>
      <c r="L161" t="s">
        <v>1730</v>
      </c>
      <c r="M161" s="36" t="s">
        <v>2008</v>
      </c>
      <c r="P161" s="132"/>
    </row>
    <row r="162" spans="1:16" hidden="1" x14ac:dyDescent="0.35">
      <c r="B162" s="2" t="s">
        <v>1727</v>
      </c>
      <c r="C162" s="2" t="s">
        <v>788</v>
      </c>
      <c r="D162" s="44" t="s">
        <v>1729</v>
      </c>
      <c r="E162" s="2" t="s">
        <v>507</v>
      </c>
      <c r="F162" s="140" t="s">
        <v>2006</v>
      </c>
      <c r="G162" s="141">
        <v>45474</v>
      </c>
      <c r="H162" s="143">
        <v>50882026.241165601</v>
      </c>
      <c r="I162" s="37">
        <f t="shared" si="10"/>
        <v>31</v>
      </c>
      <c r="J162" s="37" t="str">
        <f>IF(I162&lt;91,"1-90 DAYS",IF(I162&lt;121,"91-120DAYS",IF(I162&lt;181,"121-180 DAYS","More than 180 Days")))</f>
        <v>1-90 DAYS</v>
      </c>
      <c r="K162" s="37" t="str">
        <f t="shared" si="11"/>
        <v>0-180 DAYS</v>
      </c>
      <c r="L162" t="s">
        <v>1730</v>
      </c>
      <c r="M162" s="36" t="s">
        <v>2008</v>
      </c>
      <c r="P162" s="132"/>
    </row>
    <row r="163" spans="1:16" hidden="1" x14ac:dyDescent="0.35">
      <c r="A163" t="s">
        <v>2029</v>
      </c>
      <c r="B163" s="2" t="s">
        <v>1085</v>
      </c>
      <c r="C163" s="2" t="s">
        <v>790</v>
      </c>
      <c r="D163" s="44" t="s">
        <v>573</v>
      </c>
      <c r="E163" s="2" t="s">
        <v>507</v>
      </c>
      <c r="F163" s="44" t="s">
        <v>1765</v>
      </c>
      <c r="G163" s="45">
        <v>45444</v>
      </c>
      <c r="H163" s="104">
        <v>32280.2</v>
      </c>
      <c r="I163" s="37">
        <f t="shared" si="10"/>
        <v>61</v>
      </c>
      <c r="J163" s="37" t="str">
        <f t="shared" ref="J163:J226" si="12">IF(I163&lt;121,"0-120 DAYS",IF(I163&lt;181,"121-180 DAYS","More than 180 Days"))</f>
        <v>0-120 DAYS</v>
      </c>
      <c r="K163" s="37" t="str">
        <f t="shared" si="11"/>
        <v>0-180 DAYS</v>
      </c>
      <c r="L163" t="s">
        <v>1730</v>
      </c>
      <c r="M163" s="36"/>
    </row>
    <row r="164" spans="1:16" hidden="1" x14ac:dyDescent="0.35">
      <c r="A164" t="s">
        <v>2029</v>
      </c>
      <c r="B164" s="2" t="s">
        <v>1085</v>
      </c>
      <c r="C164" s="2" t="s">
        <v>790</v>
      </c>
      <c r="D164" s="44" t="s">
        <v>548</v>
      </c>
      <c r="E164" s="2" t="s">
        <v>507</v>
      </c>
      <c r="F164" s="44" t="s">
        <v>1766</v>
      </c>
      <c r="G164" s="45">
        <v>45446</v>
      </c>
      <c r="H164" s="104">
        <v>3187273.28</v>
      </c>
      <c r="I164" s="37">
        <f t="shared" si="10"/>
        <v>59</v>
      </c>
      <c r="J164" s="37" t="str">
        <f t="shared" si="12"/>
        <v>0-120 DAYS</v>
      </c>
      <c r="K164" s="37" t="str">
        <f t="shared" si="11"/>
        <v>0-180 DAYS</v>
      </c>
      <c r="L164" t="s">
        <v>1730</v>
      </c>
      <c r="M164" s="36"/>
    </row>
    <row r="165" spans="1:16" hidden="1" x14ac:dyDescent="0.35">
      <c r="A165" t="s">
        <v>2029</v>
      </c>
      <c r="B165" s="2" t="s">
        <v>1085</v>
      </c>
      <c r="C165" s="2" t="s">
        <v>790</v>
      </c>
      <c r="D165" s="144" t="s">
        <v>543</v>
      </c>
      <c r="E165" s="2" t="s">
        <v>507</v>
      </c>
      <c r="F165" s="44" t="s">
        <v>1767</v>
      </c>
      <c r="G165" s="45">
        <v>45447</v>
      </c>
      <c r="H165" s="104">
        <v>3363893.48</v>
      </c>
      <c r="I165" s="37">
        <f t="shared" si="10"/>
        <v>58</v>
      </c>
      <c r="J165" s="37" t="str">
        <f t="shared" si="12"/>
        <v>0-120 DAYS</v>
      </c>
      <c r="K165" s="37" t="str">
        <f t="shared" si="11"/>
        <v>0-180 DAYS</v>
      </c>
      <c r="L165" t="s">
        <v>1730</v>
      </c>
      <c r="M165" s="36"/>
    </row>
    <row r="166" spans="1:16" hidden="1" x14ac:dyDescent="0.35">
      <c r="A166" t="s">
        <v>2029</v>
      </c>
      <c r="B166" s="2" t="s">
        <v>1085</v>
      </c>
      <c r="C166" s="2" t="s">
        <v>790</v>
      </c>
      <c r="D166" s="44" t="s">
        <v>1086</v>
      </c>
      <c r="E166" s="2" t="s">
        <v>507</v>
      </c>
      <c r="F166" s="44" t="s">
        <v>1768</v>
      </c>
      <c r="G166" s="45">
        <v>45450</v>
      </c>
      <c r="H166" s="104">
        <v>3210166.4</v>
      </c>
      <c r="I166" s="37">
        <f t="shared" si="10"/>
        <v>55</v>
      </c>
      <c r="J166" s="37" t="str">
        <f t="shared" si="12"/>
        <v>0-120 DAYS</v>
      </c>
      <c r="K166" s="37" t="str">
        <f t="shared" si="11"/>
        <v>0-180 DAYS</v>
      </c>
      <c r="L166" t="s">
        <v>1730</v>
      </c>
      <c r="M166" s="36"/>
      <c r="P166" s="130" t="s">
        <v>606</v>
      </c>
    </row>
    <row r="167" spans="1:16" hidden="1" x14ac:dyDescent="0.35">
      <c r="A167" t="s">
        <v>2029</v>
      </c>
      <c r="B167" s="2" t="s">
        <v>1085</v>
      </c>
      <c r="C167" s="2" t="s">
        <v>790</v>
      </c>
      <c r="D167" s="44" t="s">
        <v>814</v>
      </c>
      <c r="E167" s="2" t="s">
        <v>507</v>
      </c>
      <c r="F167" s="44" t="s">
        <v>1769</v>
      </c>
      <c r="G167" s="45">
        <v>45450</v>
      </c>
      <c r="H167" s="104">
        <v>22677</v>
      </c>
      <c r="I167" s="37">
        <f t="shared" si="10"/>
        <v>55</v>
      </c>
      <c r="J167" s="37" t="str">
        <f t="shared" si="12"/>
        <v>0-120 DAYS</v>
      </c>
      <c r="K167" s="37" t="str">
        <f t="shared" si="11"/>
        <v>0-180 DAYS</v>
      </c>
      <c r="L167" t="s">
        <v>1730</v>
      </c>
      <c r="M167" s="36"/>
    </row>
    <row r="168" spans="1:16" hidden="1" x14ac:dyDescent="0.35">
      <c r="A168" t="s">
        <v>2029</v>
      </c>
      <c r="B168" s="2" t="s">
        <v>1085</v>
      </c>
      <c r="C168" s="2" t="s">
        <v>790</v>
      </c>
      <c r="D168" s="44" t="s">
        <v>1086</v>
      </c>
      <c r="E168" s="2" t="s">
        <v>507</v>
      </c>
      <c r="F168" s="44" t="s">
        <v>1770</v>
      </c>
      <c r="G168" s="45">
        <v>45451</v>
      </c>
      <c r="H168" s="104">
        <v>3324650.61</v>
      </c>
      <c r="I168" s="37">
        <f t="shared" si="10"/>
        <v>54</v>
      </c>
      <c r="J168" s="37" t="str">
        <f t="shared" si="12"/>
        <v>0-120 DAYS</v>
      </c>
      <c r="K168" s="37" t="str">
        <f t="shared" si="11"/>
        <v>0-180 DAYS</v>
      </c>
      <c r="L168" t="s">
        <v>1730</v>
      </c>
      <c r="M168" s="36"/>
      <c r="P168" s="130" t="s">
        <v>1243</v>
      </c>
    </row>
    <row r="169" spans="1:16" hidden="1" x14ac:dyDescent="0.35">
      <c r="A169" t="s">
        <v>2029</v>
      </c>
      <c r="B169" s="2" t="s">
        <v>1085</v>
      </c>
      <c r="C169" s="2" t="s">
        <v>790</v>
      </c>
      <c r="D169" s="44" t="s">
        <v>1086</v>
      </c>
      <c r="E169" s="2" t="s">
        <v>507</v>
      </c>
      <c r="F169" s="44" t="s">
        <v>1771</v>
      </c>
      <c r="G169" s="45">
        <v>45451</v>
      </c>
      <c r="H169" s="104">
        <v>178153.5</v>
      </c>
      <c r="I169" s="37">
        <f t="shared" si="10"/>
        <v>54</v>
      </c>
      <c r="J169" s="37" t="str">
        <f t="shared" si="12"/>
        <v>0-120 DAYS</v>
      </c>
      <c r="K169" s="37" t="str">
        <f t="shared" si="11"/>
        <v>0-180 DAYS</v>
      </c>
      <c r="L169" t="s">
        <v>1730</v>
      </c>
      <c r="M169" s="36"/>
      <c r="P169" s="130" t="s">
        <v>1243</v>
      </c>
    </row>
    <row r="170" spans="1:16" hidden="1" x14ac:dyDescent="0.35">
      <c r="A170" t="s">
        <v>2029</v>
      </c>
      <c r="B170" s="2" t="s">
        <v>1085</v>
      </c>
      <c r="C170" s="2" t="s">
        <v>790</v>
      </c>
      <c r="D170" s="44" t="s">
        <v>1086</v>
      </c>
      <c r="E170" s="2" t="s">
        <v>507</v>
      </c>
      <c r="F170" s="44" t="s">
        <v>1772</v>
      </c>
      <c r="G170" s="45">
        <v>45451</v>
      </c>
      <c r="H170" s="104">
        <v>3081872.08</v>
      </c>
      <c r="I170" s="37">
        <f t="shared" si="10"/>
        <v>54</v>
      </c>
      <c r="J170" s="37" t="str">
        <f t="shared" si="12"/>
        <v>0-120 DAYS</v>
      </c>
      <c r="K170" s="37" t="str">
        <f t="shared" si="11"/>
        <v>0-180 DAYS</v>
      </c>
      <c r="L170" t="s">
        <v>1730</v>
      </c>
      <c r="M170" s="36"/>
      <c r="P170" s="130" t="s">
        <v>606</v>
      </c>
    </row>
    <row r="171" spans="1:16" hidden="1" x14ac:dyDescent="0.35">
      <c r="A171" t="s">
        <v>2029</v>
      </c>
      <c r="B171" s="2" t="s">
        <v>1085</v>
      </c>
      <c r="C171" s="2" t="s">
        <v>790</v>
      </c>
      <c r="D171" s="44" t="s">
        <v>1086</v>
      </c>
      <c r="E171" s="2" t="s">
        <v>507</v>
      </c>
      <c r="F171" s="44" t="s">
        <v>1773</v>
      </c>
      <c r="G171" s="45">
        <v>45456</v>
      </c>
      <c r="H171" s="104">
        <v>2889628.84</v>
      </c>
      <c r="I171" s="37">
        <f t="shared" si="10"/>
        <v>49</v>
      </c>
      <c r="J171" s="37" t="str">
        <f t="shared" si="12"/>
        <v>0-120 DAYS</v>
      </c>
      <c r="K171" s="37" t="str">
        <f t="shared" si="11"/>
        <v>0-180 DAYS</v>
      </c>
      <c r="L171" t="s">
        <v>1730</v>
      </c>
      <c r="M171" s="36"/>
      <c r="P171" s="130" t="s">
        <v>606</v>
      </c>
    </row>
    <row r="172" spans="1:16" hidden="1" x14ac:dyDescent="0.35">
      <c r="A172" t="s">
        <v>2029</v>
      </c>
      <c r="B172" s="2" t="s">
        <v>1085</v>
      </c>
      <c r="C172" s="2" t="s">
        <v>790</v>
      </c>
      <c r="D172" s="144" t="s">
        <v>1052</v>
      </c>
      <c r="E172" s="2" t="s">
        <v>507</v>
      </c>
      <c r="F172" s="44" t="s">
        <v>1774</v>
      </c>
      <c r="G172" s="45">
        <v>45457</v>
      </c>
      <c r="H172" s="104">
        <v>3090967.99</v>
      </c>
      <c r="I172" s="37">
        <f t="shared" si="10"/>
        <v>48</v>
      </c>
      <c r="J172" s="37" t="str">
        <f t="shared" si="12"/>
        <v>0-120 DAYS</v>
      </c>
      <c r="K172" s="37" t="str">
        <f t="shared" si="11"/>
        <v>0-180 DAYS</v>
      </c>
      <c r="L172" t="s">
        <v>1730</v>
      </c>
      <c r="M172" s="36"/>
    </row>
    <row r="173" spans="1:16" hidden="1" x14ac:dyDescent="0.35">
      <c r="A173" t="s">
        <v>2029</v>
      </c>
      <c r="B173" s="2" t="s">
        <v>1085</v>
      </c>
      <c r="C173" s="2" t="s">
        <v>790</v>
      </c>
      <c r="D173" s="144" t="s">
        <v>1052</v>
      </c>
      <c r="E173" s="2" t="s">
        <v>507</v>
      </c>
      <c r="F173" s="44" t="s">
        <v>1775</v>
      </c>
      <c r="G173" s="45">
        <v>45457</v>
      </c>
      <c r="H173" s="104">
        <v>3110844.86</v>
      </c>
      <c r="I173" s="37">
        <f t="shared" si="10"/>
        <v>48</v>
      </c>
      <c r="J173" s="37" t="str">
        <f t="shared" si="12"/>
        <v>0-120 DAYS</v>
      </c>
      <c r="K173" s="37" t="str">
        <f t="shared" si="11"/>
        <v>0-180 DAYS</v>
      </c>
      <c r="L173" t="s">
        <v>1730</v>
      </c>
      <c r="M173" s="36"/>
    </row>
    <row r="174" spans="1:16" hidden="1" x14ac:dyDescent="0.35">
      <c r="A174" t="s">
        <v>2029</v>
      </c>
      <c r="B174" s="2" t="s">
        <v>1085</v>
      </c>
      <c r="C174" s="2" t="s">
        <v>790</v>
      </c>
      <c r="D174" s="44" t="s">
        <v>1086</v>
      </c>
      <c r="E174" s="2" t="s">
        <v>507</v>
      </c>
      <c r="F174" s="44" t="s">
        <v>1776</v>
      </c>
      <c r="G174" s="45">
        <v>45457</v>
      </c>
      <c r="H174" s="104">
        <v>2922421.04</v>
      </c>
      <c r="I174" s="37">
        <f t="shared" si="10"/>
        <v>48</v>
      </c>
      <c r="J174" s="37" t="str">
        <f t="shared" si="12"/>
        <v>0-120 DAYS</v>
      </c>
      <c r="K174" s="37" t="str">
        <f t="shared" si="11"/>
        <v>0-180 DAYS</v>
      </c>
      <c r="L174" t="s">
        <v>1730</v>
      </c>
      <c r="M174" s="36"/>
      <c r="P174" s="130" t="s">
        <v>606</v>
      </c>
    </row>
    <row r="175" spans="1:16" hidden="1" x14ac:dyDescent="0.35">
      <c r="A175" t="s">
        <v>2029</v>
      </c>
      <c r="B175" s="2" t="s">
        <v>1085</v>
      </c>
      <c r="C175" s="2" t="s">
        <v>790</v>
      </c>
      <c r="D175" s="44" t="s">
        <v>814</v>
      </c>
      <c r="E175" s="2" t="s">
        <v>507</v>
      </c>
      <c r="F175" s="44" t="s">
        <v>1777</v>
      </c>
      <c r="G175" s="45">
        <v>45457</v>
      </c>
      <c r="H175" s="104">
        <v>8916.42</v>
      </c>
      <c r="I175" s="37">
        <f t="shared" si="10"/>
        <v>48</v>
      </c>
      <c r="J175" s="37" t="str">
        <f t="shared" si="12"/>
        <v>0-120 DAYS</v>
      </c>
      <c r="K175" s="37" t="str">
        <f t="shared" si="11"/>
        <v>0-180 DAYS</v>
      </c>
      <c r="L175" t="s">
        <v>1730</v>
      </c>
      <c r="M175" s="36"/>
    </row>
    <row r="176" spans="1:16" hidden="1" x14ac:dyDescent="0.35">
      <c r="A176" t="s">
        <v>2029</v>
      </c>
      <c r="B176" s="2" t="s">
        <v>1085</v>
      </c>
      <c r="C176" s="2" t="s">
        <v>790</v>
      </c>
      <c r="D176" s="44" t="s">
        <v>524</v>
      </c>
      <c r="E176" s="2" t="s">
        <v>507</v>
      </c>
      <c r="F176" s="44" t="s">
        <v>1778</v>
      </c>
      <c r="G176" s="45">
        <v>45457</v>
      </c>
      <c r="H176" s="104">
        <v>3080964.3</v>
      </c>
      <c r="I176" s="37">
        <f t="shared" si="10"/>
        <v>48</v>
      </c>
      <c r="J176" s="37" t="str">
        <f t="shared" si="12"/>
        <v>0-120 DAYS</v>
      </c>
      <c r="K176" s="37" t="str">
        <f t="shared" si="11"/>
        <v>0-180 DAYS</v>
      </c>
      <c r="L176" t="s">
        <v>1730</v>
      </c>
      <c r="M176" s="36"/>
    </row>
    <row r="177" spans="1:13" hidden="1" x14ac:dyDescent="0.35">
      <c r="A177" t="s">
        <v>2029</v>
      </c>
      <c r="B177" s="2" t="s">
        <v>1085</v>
      </c>
      <c r="C177" s="2" t="s">
        <v>790</v>
      </c>
      <c r="D177" s="144" t="s">
        <v>1052</v>
      </c>
      <c r="E177" s="2" t="s">
        <v>507</v>
      </c>
      <c r="F177" s="44" t="s">
        <v>1779</v>
      </c>
      <c r="G177" s="45">
        <v>45458</v>
      </c>
      <c r="H177" s="104">
        <v>2911121.36</v>
      </c>
      <c r="I177" s="37">
        <f t="shared" si="10"/>
        <v>47</v>
      </c>
      <c r="J177" s="37" t="str">
        <f t="shared" si="12"/>
        <v>0-120 DAYS</v>
      </c>
      <c r="K177" s="37" t="str">
        <f t="shared" si="11"/>
        <v>0-180 DAYS</v>
      </c>
      <c r="L177" t="s">
        <v>1730</v>
      </c>
      <c r="M177" s="36"/>
    </row>
    <row r="178" spans="1:13" hidden="1" x14ac:dyDescent="0.35">
      <c r="A178" t="s">
        <v>2029</v>
      </c>
      <c r="B178" s="2" t="s">
        <v>1085</v>
      </c>
      <c r="C178" s="2" t="s">
        <v>790</v>
      </c>
      <c r="D178" s="44" t="s">
        <v>814</v>
      </c>
      <c r="E178" s="2" t="s">
        <v>507</v>
      </c>
      <c r="F178" s="44" t="s">
        <v>1780</v>
      </c>
      <c r="G178" s="45">
        <v>45458</v>
      </c>
      <c r="H178" s="104">
        <v>206543</v>
      </c>
      <c r="I178" s="37">
        <f t="shared" si="10"/>
        <v>47</v>
      </c>
      <c r="J178" s="37" t="str">
        <f t="shared" si="12"/>
        <v>0-120 DAYS</v>
      </c>
      <c r="K178" s="37" t="str">
        <f t="shared" si="11"/>
        <v>0-180 DAYS</v>
      </c>
      <c r="L178" t="s">
        <v>1730</v>
      </c>
      <c r="M178" s="36"/>
    </row>
    <row r="179" spans="1:13" hidden="1" x14ac:dyDescent="0.35">
      <c r="A179" t="s">
        <v>2029</v>
      </c>
      <c r="B179" s="2" t="s">
        <v>1085</v>
      </c>
      <c r="C179" s="2" t="s">
        <v>790</v>
      </c>
      <c r="D179" s="44" t="s">
        <v>814</v>
      </c>
      <c r="E179" s="2" t="s">
        <v>507</v>
      </c>
      <c r="F179" s="44" t="s">
        <v>1781</v>
      </c>
      <c r="G179" s="45">
        <v>45458</v>
      </c>
      <c r="H179" s="104">
        <v>5075.58</v>
      </c>
      <c r="I179" s="37">
        <f t="shared" si="10"/>
        <v>47</v>
      </c>
      <c r="J179" s="37" t="str">
        <f t="shared" si="12"/>
        <v>0-120 DAYS</v>
      </c>
      <c r="K179" s="37" t="str">
        <f t="shared" si="11"/>
        <v>0-180 DAYS</v>
      </c>
      <c r="L179" t="s">
        <v>1730</v>
      </c>
      <c r="M179" s="36"/>
    </row>
    <row r="180" spans="1:13" hidden="1" x14ac:dyDescent="0.35">
      <c r="A180" t="s">
        <v>2029</v>
      </c>
      <c r="B180" s="2" t="s">
        <v>1085</v>
      </c>
      <c r="C180" s="2" t="s">
        <v>790</v>
      </c>
      <c r="D180" s="144" t="s">
        <v>1052</v>
      </c>
      <c r="E180" s="2" t="s">
        <v>507</v>
      </c>
      <c r="F180" s="44" t="s">
        <v>1782</v>
      </c>
      <c r="G180" s="45">
        <v>45459</v>
      </c>
      <c r="H180" s="104">
        <v>2873581.31</v>
      </c>
      <c r="I180" s="37">
        <f t="shared" si="10"/>
        <v>46</v>
      </c>
      <c r="J180" s="37" t="str">
        <f t="shared" si="12"/>
        <v>0-120 DAYS</v>
      </c>
      <c r="K180" s="37" t="str">
        <f t="shared" si="11"/>
        <v>0-180 DAYS</v>
      </c>
      <c r="L180" t="s">
        <v>1730</v>
      </c>
      <c r="M180" s="36"/>
    </row>
    <row r="181" spans="1:13" hidden="1" x14ac:dyDescent="0.35">
      <c r="A181" t="s">
        <v>2029</v>
      </c>
      <c r="B181" s="2" t="s">
        <v>1085</v>
      </c>
      <c r="C181" s="2" t="s">
        <v>790</v>
      </c>
      <c r="D181" s="44" t="s">
        <v>814</v>
      </c>
      <c r="E181" s="2" t="s">
        <v>507</v>
      </c>
      <c r="F181" s="44" t="s">
        <v>1783</v>
      </c>
      <c r="G181" s="45">
        <v>45460</v>
      </c>
      <c r="H181" s="104">
        <v>21454</v>
      </c>
      <c r="I181" s="37">
        <f t="shared" si="10"/>
        <v>45</v>
      </c>
      <c r="J181" s="37" t="str">
        <f t="shared" si="12"/>
        <v>0-120 DAYS</v>
      </c>
      <c r="K181" s="37" t="str">
        <f t="shared" si="11"/>
        <v>0-180 DAYS</v>
      </c>
      <c r="L181" t="s">
        <v>1730</v>
      </c>
      <c r="M181" s="36"/>
    </row>
    <row r="182" spans="1:13" hidden="1" x14ac:dyDescent="0.35">
      <c r="A182" t="s">
        <v>2029</v>
      </c>
      <c r="B182" s="2" t="s">
        <v>1085</v>
      </c>
      <c r="C182" s="2" t="s">
        <v>790</v>
      </c>
      <c r="D182" s="44" t="s">
        <v>814</v>
      </c>
      <c r="E182" s="2" t="s">
        <v>507</v>
      </c>
      <c r="F182" s="44" t="s">
        <v>1784</v>
      </c>
      <c r="G182" s="45">
        <v>45460</v>
      </c>
      <c r="H182" s="104">
        <v>172402</v>
      </c>
      <c r="I182" s="37">
        <f t="shared" si="10"/>
        <v>45</v>
      </c>
      <c r="J182" s="37" t="str">
        <f t="shared" si="12"/>
        <v>0-120 DAYS</v>
      </c>
      <c r="K182" s="37" t="str">
        <f t="shared" si="11"/>
        <v>0-180 DAYS</v>
      </c>
      <c r="L182" t="s">
        <v>1730</v>
      </c>
      <c r="M182" s="36"/>
    </row>
    <row r="183" spans="1:13" hidden="1" x14ac:dyDescent="0.35">
      <c r="A183" t="s">
        <v>2029</v>
      </c>
      <c r="B183" s="2" t="s">
        <v>1085</v>
      </c>
      <c r="C183" s="2" t="s">
        <v>790</v>
      </c>
      <c r="D183" s="144" t="s">
        <v>543</v>
      </c>
      <c r="E183" s="2" t="s">
        <v>507</v>
      </c>
      <c r="F183" s="44" t="s">
        <v>1785</v>
      </c>
      <c r="G183" s="45">
        <v>45460</v>
      </c>
      <c r="H183" s="104">
        <v>2988049.44</v>
      </c>
      <c r="I183" s="37">
        <f t="shared" si="10"/>
        <v>45</v>
      </c>
      <c r="J183" s="37" t="str">
        <f t="shared" si="12"/>
        <v>0-120 DAYS</v>
      </c>
      <c r="K183" s="37" t="str">
        <f t="shared" si="11"/>
        <v>0-180 DAYS</v>
      </c>
      <c r="L183" t="s">
        <v>1730</v>
      </c>
      <c r="M183" s="36"/>
    </row>
    <row r="184" spans="1:13" hidden="1" x14ac:dyDescent="0.35">
      <c r="A184" t="s">
        <v>2029</v>
      </c>
      <c r="B184" s="2" t="s">
        <v>1085</v>
      </c>
      <c r="C184" s="2" t="s">
        <v>790</v>
      </c>
      <c r="D184" s="44" t="s">
        <v>631</v>
      </c>
      <c r="E184" s="2" t="s">
        <v>507</v>
      </c>
      <c r="F184" s="44" t="s">
        <v>1786</v>
      </c>
      <c r="G184" s="45">
        <v>45461</v>
      </c>
      <c r="H184" s="104">
        <v>3009283.2</v>
      </c>
      <c r="I184" s="37">
        <f t="shared" si="10"/>
        <v>44</v>
      </c>
      <c r="J184" s="37" t="str">
        <f t="shared" si="12"/>
        <v>0-120 DAYS</v>
      </c>
      <c r="K184" s="37" t="str">
        <f t="shared" si="11"/>
        <v>0-180 DAYS</v>
      </c>
      <c r="L184" t="s">
        <v>1730</v>
      </c>
      <c r="M184" s="36"/>
    </row>
    <row r="185" spans="1:13" hidden="1" x14ac:dyDescent="0.35">
      <c r="A185" t="s">
        <v>2029</v>
      </c>
      <c r="B185" s="2" t="s">
        <v>1085</v>
      </c>
      <c r="C185" s="2" t="s">
        <v>790</v>
      </c>
      <c r="D185" s="44" t="s">
        <v>631</v>
      </c>
      <c r="E185" s="2" t="s">
        <v>507</v>
      </c>
      <c r="F185" s="44" t="s">
        <v>1787</v>
      </c>
      <c r="G185" s="45">
        <v>45461</v>
      </c>
      <c r="H185" s="104">
        <v>3009283.2</v>
      </c>
      <c r="I185" s="37">
        <f t="shared" si="10"/>
        <v>44</v>
      </c>
      <c r="J185" s="37" t="str">
        <f t="shared" si="12"/>
        <v>0-120 DAYS</v>
      </c>
      <c r="K185" s="37" t="str">
        <f t="shared" si="11"/>
        <v>0-180 DAYS</v>
      </c>
      <c r="L185" t="s">
        <v>1730</v>
      </c>
      <c r="M185" s="36"/>
    </row>
    <row r="186" spans="1:13" hidden="1" x14ac:dyDescent="0.35">
      <c r="A186" t="s">
        <v>2029</v>
      </c>
      <c r="B186" s="2" t="s">
        <v>1085</v>
      </c>
      <c r="C186" s="2" t="s">
        <v>790</v>
      </c>
      <c r="D186" s="44" t="s">
        <v>631</v>
      </c>
      <c r="E186" s="2" t="s">
        <v>507</v>
      </c>
      <c r="F186" s="44" t="s">
        <v>1788</v>
      </c>
      <c r="G186" s="45">
        <v>45461</v>
      </c>
      <c r="H186" s="104">
        <v>3009283.2</v>
      </c>
      <c r="I186" s="37">
        <f t="shared" si="10"/>
        <v>44</v>
      </c>
      <c r="J186" s="37" t="str">
        <f t="shared" si="12"/>
        <v>0-120 DAYS</v>
      </c>
      <c r="K186" s="37" t="str">
        <f t="shared" si="11"/>
        <v>0-180 DAYS</v>
      </c>
      <c r="L186" t="s">
        <v>1730</v>
      </c>
      <c r="M186" s="36"/>
    </row>
    <row r="187" spans="1:13" hidden="1" x14ac:dyDescent="0.35">
      <c r="A187" t="s">
        <v>2029</v>
      </c>
      <c r="B187" s="2" t="s">
        <v>1085</v>
      </c>
      <c r="C187" s="2" t="s">
        <v>790</v>
      </c>
      <c r="D187" s="44" t="s">
        <v>584</v>
      </c>
      <c r="E187" s="2" t="s">
        <v>507</v>
      </c>
      <c r="F187" s="44" t="s">
        <v>1789</v>
      </c>
      <c r="G187" s="45">
        <v>45462</v>
      </c>
      <c r="H187" s="104">
        <v>3550041.53</v>
      </c>
      <c r="I187" s="37">
        <f t="shared" si="10"/>
        <v>43</v>
      </c>
      <c r="J187" s="37" t="str">
        <f t="shared" si="12"/>
        <v>0-120 DAYS</v>
      </c>
      <c r="K187" s="37" t="str">
        <f t="shared" si="11"/>
        <v>0-180 DAYS</v>
      </c>
      <c r="L187" t="s">
        <v>1730</v>
      </c>
      <c r="M187" s="36"/>
    </row>
    <row r="188" spans="1:13" hidden="1" x14ac:dyDescent="0.35">
      <c r="A188" t="s">
        <v>2029</v>
      </c>
      <c r="B188" s="2" t="s">
        <v>1085</v>
      </c>
      <c r="C188" s="2" t="s">
        <v>790</v>
      </c>
      <c r="D188" s="44" t="s">
        <v>1763</v>
      </c>
      <c r="E188" s="2" t="s">
        <v>507</v>
      </c>
      <c r="F188" s="44" t="s">
        <v>1790</v>
      </c>
      <c r="G188" s="45">
        <v>45462</v>
      </c>
      <c r="H188" s="104">
        <v>2797513.32</v>
      </c>
      <c r="I188" s="37">
        <f t="shared" si="10"/>
        <v>43</v>
      </c>
      <c r="J188" s="37" t="str">
        <f t="shared" si="12"/>
        <v>0-120 DAYS</v>
      </c>
      <c r="K188" s="37" t="str">
        <f t="shared" si="11"/>
        <v>0-180 DAYS</v>
      </c>
      <c r="L188" t="s">
        <v>1730</v>
      </c>
      <c r="M188" s="36"/>
    </row>
    <row r="189" spans="1:13" hidden="1" x14ac:dyDescent="0.35">
      <c r="A189" t="s">
        <v>2029</v>
      </c>
      <c r="B189" s="2" t="s">
        <v>1085</v>
      </c>
      <c r="C189" s="2" t="s">
        <v>790</v>
      </c>
      <c r="D189" s="44" t="s">
        <v>814</v>
      </c>
      <c r="E189" s="2" t="s">
        <v>507</v>
      </c>
      <c r="F189" s="44" t="s">
        <v>1791</v>
      </c>
      <c r="G189" s="45">
        <v>45463</v>
      </c>
      <c r="H189" s="104">
        <v>152847</v>
      </c>
      <c r="I189" s="37">
        <f t="shared" si="10"/>
        <v>42</v>
      </c>
      <c r="J189" s="37" t="str">
        <f t="shared" si="12"/>
        <v>0-120 DAYS</v>
      </c>
      <c r="K189" s="37" t="str">
        <f t="shared" si="11"/>
        <v>0-180 DAYS</v>
      </c>
      <c r="L189" t="s">
        <v>1730</v>
      </c>
      <c r="M189" s="36"/>
    </row>
    <row r="190" spans="1:13" hidden="1" x14ac:dyDescent="0.35">
      <c r="A190" t="s">
        <v>2029</v>
      </c>
      <c r="B190" s="2" t="s">
        <v>1085</v>
      </c>
      <c r="C190" s="2" t="s">
        <v>790</v>
      </c>
      <c r="D190" s="144" t="s">
        <v>1052</v>
      </c>
      <c r="E190" s="2" t="s">
        <v>507</v>
      </c>
      <c r="F190" s="44" t="s">
        <v>1792</v>
      </c>
      <c r="G190" s="45">
        <v>45465</v>
      </c>
      <c r="H190" s="104">
        <v>3116956.43</v>
      </c>
      <c r="I190" s="37">
        <f t="shared" si="10"/>
        <v>40</v>
      </c>
      <c r="J190" s="37" t="str">
        <f t="shared" si="12"/>
        <v>0-120 DAYS</v>
      </c>
      <c r="K190" s="37" t="str">
        <f t="shared" si="11"/>
        <v>0-180 DAYS</v>
      </c>
      <c r="L190" t="s">
        <v>1730</v>
      </c>
      <c r="M190" s="36"/>
    </row>
    <row r="191" spans="1:13" hidden="1" x14ac:dyDescent="0.35">
      <c r="A191" t="s">
        <v>2029</v>
      </c>
      <c r="B191" s="2" t="s">
        <v>1085</v>
      </c>
      <c r="C191" s="2" t="s">
        <v>790</v>
      </c>
      <c r="D191" s="44" t="s">
        <v>814</v>
      </c>
      <c r="E191" s="2" t="s">
        <v>507</v>
      </c>
      <c r="F191" s="44" t="s">
        <v>1793</v>
      </c>
      <c r="G191" s="45">
        <v>45465</v>
      </c>
      <c r="H191" s="104">
        <v>85749</v>
      </c>
      <c r="I191" s="37">
        <f t="shared" si="10"/>
        <v>40</v>
      </c>
      <c r="J191" s="37" t="str">
        <f t="shared" si="12"/>
        <v>0-120 DAYS</v>
      </c>
      <c r="K191" s="37" t="str">
        <f t="shared" si="11"/>
        <v>0-180 DAYS</v>
      </c>
      <c r="L191" t="s">
        <v>1730</v>
      </c>
      <c r="M191" s="36"/>
    </row>
    <row r="192" spans="1:13" hidden="1" x14ac:dyDescent="0.35">
      <c r="A192" t="s">
        <v>2029</v>
      </c>
      <c r="B192" s="2" t="s">
        <v>1085</v>
      </c>
      <c r="C192" s="2" t="s">
        <v>790</v>
      </c>
      <c r="D192" s="44" t="s">
        <v>573</v>
      </c>
      <c r="E192" s="2" t="s">
        <v>507</v>
      </c>
      <c r="F192" s="44" t="s">
        <v>1794</v>
      </c>
      <c r="G192" s="45">
        <v>45465</v>
      </c>
      <c r="H192" s="104">
        <v>3465210.44</v>
      </c>
      <c r="I192" s="37">
        <f t="shared" si="10"/>
        <v>40</v>
      </c>
      <c r="J192" s="37" t="str">
        <f t="shared" si="12"/>
        <v>0-120 DAYS</v>
      </c>
      <c r="K192" s="37" t="str">
        <f t="shared" si="11"/>
        <v>0-180 DAYS</v>
      </c>
      <c r="L192" t="s">
        <v>1730</v>
      </c>
      <c r="M192" s="36"/>
    </row>
    <row r="193" spans="1:16" hidden="1" x14ac:dyDescent="0.35">
      <c r="A193" t="s">
        <v>2029</v>
      </c>
      <c r="B193" s="2" t="s">
        <v>1085</v>
      </c>
      <c r="C193" s="2" t="s">
        <v>790</v>
      </c>
      <c r="D193" s="44" t="s">
        <v>573</v>
      </c>
      <c r="E193" s="2" t="s">
        <v>507</v>
      </c>
      <c r="F193" s="44" t="s">
        <v>1795</v>
      </c>
      <c r="G193" s="45">
        <v>45465</v>
      </c>
      <c r="H193" s="104">
        <v>4073311.78</v>
      </c>
      <c r="I193" s="37">
        <f t="shared" si="10"/>
        <v>40</v>
      </c>
      <c r="J193" s="37" t="str">
        <f t="shared" si="12"/>
        <v>0-120 DAYS</v>
      </c>
      <c r="K193" s="37" t="str">
        <f t="shared" si="11"/>
        <v>0-180 DAYS</v>
      </c>
      <c r="L193" t="s">
        <v>1730</v>
      </c>
      <c r="M193" s="36"/>
    </row>
    <row r="194" spans="1:16" hidden="1" x14ac:dyDescent="0.35">
      <c r="A194" t="s">
        <v>2029</v>
      </c>
      <c r="B194" s="2" t="s">
        <v>1085</v>
      </c>
      <c r="C194" s="2" t="s">
        <v>790</v>
      </c>
      <c r="D194" s="144" t="s">
        <v>1052</v>
      </c>
      <c r="E194" s="2" t="s">
        <v>507</v>
      </c>
      <c r="F194" s="44" t="s">
        <v>1796</v>
      </c>
      <c r="G194" s="45">
        <v>45466</v>
      </c>
      <c r="H194" s="104">
        <v>2857193.47</v>
      </c>
      <c r="I194" s="37">
        <f t="shared" si="10"/>
        <v>39</v>
      </c>
      <c r="J194" s="37" t="str">
        <f t="shared" si="12"/>
        <v>0-120 DAYS</v>
      </c>
      <c r="K194" s="37" t="str">
        <f t="shared" si="11"/>
        <v>0-180 DAYS</v>
      </c>
      <c r="L194" t="s">
        <v>1730</v>
      </c>
      <c r="M194" s="36"/>
    </row>
    <row r="195" spans="1:16" hidden="1" x14ac:dyDescent="0.35">
      <c r="A195" t="s">
        <v>2029</v>
      </c>
      <c r="B195" s="2" t="s">
        <v>1085</v>
      </c>
      <c r="C195" s="2" t="s">
        <v>790</v>
      </c>
      <c r="D195" s="44" t="s">
        <v>606</v>
      </c>
      <c r="E195" s="2" t="s">
        <v>507</v>
      </c>
      <c r="F195" s="44" t="s">
        <v>1797</v>
      </c>
      <c r="G195" s="45">
        <v>45467</v>
      </c>
      <c r="H195" s="104">
        <v>2848213.2</v>
      </c>
      <c r="I195" s="37">
        <f t="shared" si="10"/>
        <v>38</v>
      </c>
      <c r="J195" s="37" t="str">
        <f t="shared" si="12"/>
        <v>0-120 DAYS</v>
      </c>
      <c r="K195" s="37" t="str">
        <f t="shared" si="11"/>
        <v>0-180 DAYS</v>
      </c>
      <c r="L195" t="s">
        <v>1730</v>
      </c>
      <c r="M195" s="36"/>
    </row>
    <row r="196" spans="1:16" hidden="1" x14ac:dyDescent="0.35">
      <c r="A196" t="s">
        <v>2029</v>
      </c>
      <c r="B196" s="2" t="s">
        <v>1085</v>
      </c>
      <c r="C196" s="2" t="s">
        <v>790</v>
      </c>
      <c r="D196" s="44" t="s">
        <v>573</v>
      </c>
      <c r="E196" s="2" t="s">
        <v>507</v>
      </c>
      <c r="F196" s="44" t="s">
        <v>1798</v>
      </c>
      <c r="G196" s="45">
        <v>45470</v>
      </c>
      <c r="H196" s="104">
        <v>3370080</v>
      </c>
      <c r="I196" s="37">
        <f t="shared" si="10"/>
        <v>35</v>
      </c>
      <c r="J196" s="37" t="str">
        <f t="shared" si="12"/>
        <v>0-120 DAYS</v>
      </c>
      <c r="K196" s="37" t="str">
        <f t="shared" si="11"/>
        <v>0-180 DAYS</v>
      </c>
      <c r="L196" t="s">
        <v>1730</v>
      </c>
      <c r="M196" s="36"/>
    </row>
    <row r="197" spans="1:16" hidden="1" x14ac:dyDescent="0.35">
      <c r="A197" t="s">
        <v>2029</v>
      </c>
      <c r="B197" s="2" t="s">
        <v>1085</v>
      </c>
      <c r="C197" s="2" t="s">
        <v>790</v>
      </c>
      <c r="D197" s="44" t="s">
        <v>530</v>
      </c>
      <c r="E197" s="2" t="s">
        <v>507</v>
      </c>
      <c r="F197" s="44" t="s">
        <v>1799</v>
      </c>
      <c r="G197" s="45">
        <v>45471</v>
      </c>
      <c r="H197" s="104">
        <v>4085809</v>
      </c>
      <c r="I197" s="37">
        <f t="shared" si="10"/>
        <v>34</v>
      </c>
      <c r="J197" s="37" t="str">
        <f t="shared" si="12"/>
        <v>0-120 DAYS</v>
      </c>
      <c r="K197" s="37" t="str">
        <f t="shared" si="11"/>
        <v>0-180 DAYS</v>
      </c>
      <c r="L197" t="s">
        <v>1730</v>
      </c>
      <c r="M197" s="36"/>
    </row>
    <row r="198" spans="1:16" hidden="1" x14ac:dyDescent="0.35">
      <c r="A198" t="s">
        <v>2029</v>
      </c>
      <c r="B198" s="2" t="s">
        <v>1085</v>
      </c>
      <c r="C198" s="2" t="s">
        <v>790</v>
      </c>
      <c r="D198" s="44" t="s">
        <v>573</v>
      </c>
      <c r="E198" s="2" t="s">
        <v>507</v>
      </c>
      <c r="F198" s="44" t="s">
        <v>1800</v>
      </c>
      <c r="G198" s="45">
        <v>45471</v>
      </c>
      <c r="H198" s="104">
        <v>3549255.92</v>
      </c>
      <c r="I198" s="37">
        <f t="shared" ref="I198:I261" si="13">$I$2-G198+1</f>
        <v>34</v>
      </c>
      <c r="J198" s="37" t="str">
        <f t="shared" si="12"/>
        <v>0-120 DAYS</v>
      </c>
      <c r="K198" s="37" t="str">
        <f t="shared" ref="K198:K261" si="14">IF(I198&lt;180,"0-180 DAYS","More than 180 Days")</f>
        <v>0-180 DAYS</v>
      </c>
      <c r="L198" t="s">
        <v>1730</v>
      </c>
      <c r="M198" s="36"/>
    </row>
    <row r="199" spans="1:16" hidden="1" x14ac:dyDescent="0.35">
      <c r="A199" t="s">
        <v>2029</v>
      </c>
      <c r="B199" s="2" t="s">
        <v>1085</v>
      </c>
      <c r="C199" s="2" t="s">
        <v>790</v>
      </c>
      <c r="D199" s="44" t="s">
        <v>573</v>
      </c>
      <c r="E199" s="2" t="s">
        <v>507</v>
      </c>
      <c r="F199" s="44" t="s">
        <v>1801</v>
      </c>
      <c r="G199" s="45">
        <v>45471</v>
      </c>
      <c r="H199" s="104">
        <v>3437408.91</v>
      </c>
      <c r="I199" s="37">
        <f t="shared" si="13"/>
        <v>34</v>
      </c>
      <c r="J199" s="37" t="str">
        <f t="shared" si="12"/>
        <v>0-120 DAYS</v>
      </c>
      <c r="K199" s="37" t="str">
        <f t="shared" si="14"/>
        <v>0-180 DAYS</v>
      </c>
      <c r="L199" t="s">
        <v>1730</v>
      </c>
      <c r="M199" s="36"/>
    </row>
    <row r="200" spans="1:16" hidden="1" x14ac:dyDescent="0.35">
      <c r="A200" t="s">
        <v>2029</v>
      </c>
      <c r="B200" s="2" t="s">
        <v>1085</v>
      </c>
      <c r="C200" s="2" t="s">
        <v>790</v>
      </c>
      <c r="D200" s="44" t="s">
        <v>573</v>
      </c>
      <c r="E200" s="2" t="s">
        <v>507</v>
      </c>
      <c r="F200" s="44" t="s">
        <v>1802</v>
      </c>
      <c r="G200" s="45">
        <v>45472</v>
      </c>
      <c r="H200" s="104">
        <v>3529419.53</v>
      </c>
      <c r="I200" s="37">
        <f t="shared" si="13"/>
        <v>33</v>
      </c>
      <c r="J200" s="37" t="str">
        <f t="shared" si="12"/>
        <v>0-120 DAYS</v>
      </c>
      <c r="K200" s="37" t="str">
        <f t="shared" si="14"/>
        <v>0-180 DAYS</v>
      </c>
      <c r="L200" t="s">
        <v>1730</v>
      </c>
      <c r="M200" s="36"/>
    </row>
    <row r="201" spans="1:16" hidden="1" x14ac:dyDescent="0.35">
      <c r="A201" t="s">
        <v>2030</v>
      </c>
      <c r="B201" s="2" t="s">
        <v>1085</v>
      </c>
      <c r="C201" s="2" t="s">
        <v>790</v>
      </c>
      <c r="D201" s="44" t="s">
        <v>1086</v>
      </c>
      <c r="E201" s="2" t="s">
        <v>507</v>
      </c>
      <c r="F201" s="44" t="s">
        <v>1803</v>
      </c>
      <c r="G201" s="45">
        <v>45444</v>
      </c>
      <c r="H201" s="104">
        <v>3148886.1</v>
      </c>
      <c r="I201" s="37">
        <f t="shared" si="13"/>
        <v>61</v>
      </c>
      <c r="J201" s="37" t="str">
        <f t="shared" si="12"/>
        <v>0-120 DAYS</v>
      </c>
      <c r="K201" s="37" t="str">
        <f t="shared" si="14"/>
        <v>0-180 DAYS</v>
      </c>
      <c r="L201" t="s">
        <v>1730</v>
      </c>
      <c r="M201" s="36"/>
      <c r="P201" s="130" t="s">
        <v>564</v>
      </c>
    </row>
    <row r="202" spans="1:16" hidden="1" x14ac:dyDescent="0.35">
      <c r="A202" t="s">
        <v>2030</v>
      </c>
      <c r="B202" s="2" t="s">
        <v>1085</v>
      </c>
      <c r="C202" s="2" t="s">
        <v>790</v>
      </c>
      <c r="D202" s="144" t="s">
        <v>1054</v>
      </c>
      <c r="E202" s="2" t="s">
        <v>507</v>
      </c>
      <c r="F202" s="44" t="s">
        <v>1804</v>
      </c>
      <c r="G202" s="45">
        <v>45445</v>
      </c>
      <c r="H202" s="104">
        <v>1638486.66</v>
      </c>
      <c r="I202" s="37">
        <f t="shared" si="13"/>
        <v>60</v>
      </c>
      <c r="J202" s="37" t="str">
        <f t="shared" si="12"/>
        <v>0-120 DAYS</v>
      </c>
      <c r="K202" s="37" t="str">
        <f t="shared" si="14"/>
        <v>0-180 DAYS</v>
      </c>
      <c r="L202" t="s">
        <v>1730</v>
      </c>
      <c r="M202" s="36"/>
    </row>
    <row r="203" spans="1:16" hidden="1" x14ac:dyDescent="0.35">
      <c r="A203" t="s">
        <v>2030</v>
      </c>
      <c r="B203" s="2" t="s">
        <v>1085</v>
      </c>
      <c r="C203" s="2" t="s">
        <v>790</v>
      </c>
      <c r="D203" s="144" t="s">
        <v>1054</v>
      </c>
      <c r="E203" s="2" t="s">
        <v>507</v>
      </c>
      <c r="F203" s="44" t="s">
        <v>1805</v>
      </c>
      <c r="G203" s="45">
        <v>45445</v>
      </c>
      <c r="H203" s="104">
        <v>1332185.76</v>
      </c>
      <c r="I203" s="37">
        <f t="shared" si="13"/>
        <v>60</v>
      </c>
      <c r="J203" s="37" t="str">
        <f t="shared" si="12"/>
        <v>0-120 DAYS</v>
      </c>
      <c r="K203" s="37" t="str">
        <f t="shared" si="14"/>
        <v>0-180 DAYS</v>
      </c>
      <c r="L203" t="s">
        <v>1730</v>
      </c>
      <c r="M203" s="36"/>
    </row>
    <row r="204" spans="1:16" x14ac:dyDescent="0.35">
      <c r="A204" t="s">
        <v>2030</v>
      </c>
      <c r="B204" s="2" t="s">
        <v>1085</v>
      </c>
      <c r="C204" s="2" t="s">
        <v>790</v>
      </c>
      <c r="D204" s="44" t="s">
        <v>715</v>
      </c>
      <c r="E204" s="2" t="s">
        <v>507</v>
      </c>
      <c r="F204" s="44" t="s">
        <v>1806</v>
      </c>
      <c r="G204" s="45">
        <v>45445</v>
      </c>
      <c r="H204" s="104">
        <v>3352284</v>
      </c>
      <c r="I204" s="37">
        <f t="shared" si="13"/>
        <v>60</v>
      </c>
      <c r="J204" s="37" t="str">
        <f t="shared" si="12"/>
        <v>0-120 DAYS</v>
      </c>
      <c r="K204" s="37" t="str">
        <f t="shared" si="14"/>
        <v>0-180 DAYS</v>
      </c>
      <c r="L204" t="s">
        <v>1730</v>
      </c>
      <c r="M204" s="36"/>
    </row>
    <row r="205" spans="1:16" hidden="1" x14ac:dyDescent="0.35">
      <c r="A205" t="s">
        <v>2030</v>
      </c>
      <c r="B205" s="2" t="s">
        <v>1085</v>
      </c>
      <c r="C205" s="2" t="s">
        <v>790</v>
      </c>
      <c r="D205" s="44" t="s">
        <v>650</v>
      </c>
      <c r="E205" s="2" t="s">
        <v>507</v>
      </c>
      <c r="F205" s="44" t="s">
        <v>1807</v>
      </c>
      <c r="G205" s="45">
        <v>45446</v>
      </c>
      <c r="H205" s="104">
        <v>3101110.83</v>
      </c>
      <c r="I205" s="37">
        <f t="shared" si="13"/>
        <v>59</v>
      </c>
      <c r="J205" s="37" t="str">
        <f t="shared" si="12"/>
        <v>0-120 DAYS</v>
      </c>
      <c r="K205" s="37" t="str">
        <f t="shared" si="14"/>
        <v>0-180 DAYS</v>
      </c>
      <c r="L205" t="s">
        <v>1730</v>
      </c>
      <c r="M205" s="36"/>
    </row>
    <row r="206" spans="1:16" hidden="1" x14ac:dyDescent="0.35">
      <c r="A206" t="s">
        <v>2030</v>
      </c>
      <c r="B206" s="2" t="s">
        <v>1085</v>
      </c>
      <c r="C206" s="2" t="s">
        <v>790</v>
      </c>
      <c r="D206" s="44" t="s">
        <v>600</v>
      </c>
      <c r="E206" s="2" t="s">
        <v>507</v>
      </c>
      <c r="F206" s="44" t="s">
        <v>1808</v>
      </c>
      <c r="G206" s="45">
        <v>45447</v>
      </c>
      <c r="H206" s="104">
        <v>74432.11</v>
      </c>
      <c r="I206" s="37">
        <f t="shared" si="13"/>
        <v>58</v>
      </c>
      <c r="J206" s="37" t="str">
        <f t="shared" si="12"/>
        <v>0-120 DAYS</v>
      </c>
      <c r="K206" s="37" t="str">
        <f t="shared" si="14"/>
        <v>0-180 DAYS</v>
      </c>
      <c r="L206" t="s">
        <v>1730</v>
      </c>
      <c r="M206" s="36"/>
    </row>
    <row r="207" spans="1:16" hidden="1" x14ac:dyDescent="0.35">
      <c r="A207" t="s">
        <v>2030</v>
      </c>
      <c r="B207" s="2" t="s">
        <v>1085</v>
      </c>
      <c r="C207" s="2" t="s">
        <v>790</v>
      </c>
      <c r="D207" s="44" t="s">
        <v>1764</v>
      </c>
      <c r="E207" s="2" t="s">
        <v>507</v>
      </c>
      <c r="F207" s="44" t="s">
        <v>1809</v>
      </c>
      <c r="G207" s="45">
        <v>45449</v>
      </c>
      <c r="H207" s="104">
        <v>3246515.84</v>
      </c>
      <c r="I207" s="37">
        <f t="shared" si="13"/>
        <v>56</v>
      </c>
      <c r="J207" s="37" t="str">
        <f t="shared" si="12"/>
        <v>0-120 DAYS</v>
      </c>
      <c r="K207" s="37" t="str">
        <f t="shared" si="14"/>
        <v>0-180 DAYS</v>
      </c>
      <c r="L207" t="s">
        <v>1730</v>
      </c>
      <c r="M207" s="36"/>
    </row>
    <row r="208" spans="1:16" hidden="1" x14ac:dyDescent="0.35">
      <c r="A208" t="s">
        <v>2030</v>
      </c>
      <c r="B208" s="2" t="s">
        <v>1085</v>
      </c>
      <c r="C208" s="2" t="s">
        <v>790</v>
      </c>
      <c r="D208" s="44" t="s">
        <v>570</v>
      </c>
      <c r="E208" s="2" t="s">
        <v>507</v>
      </c>
      <c r="F208" s="44" t="s">
        <v>1810</v>
      </c>
      <c r="G208" s="45">
        <v>45451</v>
      </c>
      <c r="H208" s="104">
        <v>1757595.84</v>
      </c>
      <c r="I208" s="37">
        <f t="shared" si="13"/>
        <v>54</v>
      </c>
      <c r="J208" s="37" t="str">
        <f t="shared" si="12"/>
        <v>0-120 DAYS</v>
      </c>
      <c r="K208" s="37" t="str">
        <f t="shared" si="14"/>
        <v>0-180 DAYS</v>
      </c>
      <c r="L208" t="s">
        <v>1730</v>
      </c>
      <c r="M208" s="36"/>
    </row>
    <row r="209" spans="1:16" hidden="1" x14ac:dyDescent="0.35">
      <c r="A209" t="s">
        <v>2030</v>
      </c>
      <c r="B209" s="2" t="s">
        <v>1085</v>
      </c>
      <c r="C209" s="2" t="s">
        <v>790</v>
      </c>
      <c r="D209" s="44" t="s">
        <v>526</v>
      </c>
      <c r="E209" s="2" t="s">
        <v>507</v>
      </c>
      <c r="F209" s="44" t="s">
        <v>1811</v>
      </c>
      <c r="G209" s="45">
        <v>45452</v>
      </c>
      <c r="H209" s="104">
        <v>5392128</v>
      </c>
      <c r="I209" s="37">
        <f t="shared" si="13"/>
        <v>53</v>
      </c>
      <c r="J209" s="37" t="str">
        <f t="shared" si="12"/>
        <v>0-120 DAYS</v>
      </c>
      <c r="K209" s="37" t="str">
        <f t="shared" si="14"/>
        <v>0-180 DAYS</v>
      </c>
      <c r="L209" t="s">
        <v>1730</v>
      </c>
      <c r="M209" s="36"/>
    </row>
    <row r="210" spans="1:16" hidden="1" x14ac:dyDescent="0.35">
      <c r="A210" t="s">
        <v>2030</v>
      </c>
      <c r="B210" s="2" t="s">
        <v>1085</v>
      </c>
      <c r="C210" s="2" t="s">
        <v>790</v>
      </c>
      <c r="D210" s="44" t="s">
        <v>650</v>
      </c>
      <c r="E210" s="2" t="s">
        <v>507</v>
      </c>
      <c r="F210" s="44" t="s">
        <v>1812</v>
      </c>
      <c r="G210" s="45">
        <v>45453</v>
      </c>
      <c r="H210" s="104">
        <v>3321129.89</v>
      </c>
      <c r="I210" s="37">
        <f t="shared" si="13"/>
        <v>52</v>
      </c>
      <c r="J210" s="37" t="str">
        <f t="shared" si="12"/>
        <v>0-120 DAYS</v>
      </c>
      <c r="K210" s="37" t="str">
        <f t="shared" si="14"/>
        <v>0-180 DAYS</v>
      </c>
      <c r="L210" t="s">
        <v>1730</v>
      </c>
      <c r="M210" s="36"/>
    </row>
    <row r="211" spans="1:16" hidden="1" x14ac:dyDescent="0.35">
      <c r="A211" t="s">
        <v>2030</v>
      </c>
      <c r="B211" s="2" t="s">
        <v>1085</v>
      </c>
      <c r="C211" s="2" t="s">
        <v>790</v>
      </c>
      <c r="D211" s="44" t="s">
        <v>650</v>
      </c>
      <c r="E211" s="2" t="s">
        <v>507</v>
      </c>
      <c r="F211" s="44" t="s">
        <v>1813</v>
      </c>
      <c r="G211" s="45">
        <v>45455</v>
      </c>
      <c r="H211" s="104">
        <v>2850643.61</v>
      </c>
      <c r="I211" s="37">
        <f t="shared" si="13"/>
        <v>50</v>
      </c>
      <c r="J211" s="37" t="str">
        <f t="shared" si="12"/>
        <v>0-120 DAYS</v>
      </c>
      <c r="K211" s="37" t="str">
        <f t="shared" si="14"/>
        <v>0-180 DAYS</v>
      </c>
      <c r="L211" t="s">
        <v>1730</v>
      </c>
      <c r="M211" s="36"/>
    </row>
    <row r="212" spans="1:16" hidden="1" x14ac:dyDescent="0.35">
      <c r="A212" t="s">
        <v>2030</v>
      </c>
      <c r="B212" s="2" t="s">
        <v>1085</v>
      </c>
      <c r="C212" s="2" t="s">
        <v>790</v>
      </c>
      <c r="D212" s="44" t="s">
        <v>650</v>
      </c>
      <c r="E212" s="2" t="s">
        <v>507</v>
      </c>
      <c r="F212" s="44" t="s">
        <v>1814</v>
      </c>
      <c r="G212" s="45">
        <v>45457</v>
      </c>
      <c r="H212" s="104">
        <v>2600130.2400000002</v>
      </c>
      <c r="I212" s="37">
        <f t="shared" si="13"/>
        <v>48</v>
      </c>
      <c r="J212" s="37" t="str">
        <f t="shared" si="12"/>
        <v>0-120 DAYS</v>
      </c>
      <c r="K212" s="37" t="str">
        <f t="shared" si="14"/>
        <v>0-180 DAYS</v>
      </c>
      <c r="L212" t="s">
        <v>1730</v>
      </c>
      <c r="M212" s="36"/>
    </row>
    <row r="213" spans="1:16" hidden="1" x14ac:dyDescent="0.35">
      <c r="A213" t="s">
        <v>2030</v>
      </c>
      <c r="B213" s="2" t="s">
        <v>1085</v>
      </c>
      <c r="C213" s="2" t="s">
        <v>790</v>
      </c>
      <c r="D213" s="44" t="s">
        <v>650</v>
      </c>
      <c r="E213" s="2" t="s">
        <v>507</v>
      </c>
      <c r="F213" s="44" t="s">
        <v>1815</v>
      </c>
      <c r="G213" s="45">
        <v>45457</v>
      </c>
      <c r="H213" s="104">
        <v>3257128.35</v>
      </c>
      <c r="I213" s="37">
        <f t="shared" si="13"/>
        <v>48</v>
      </c>
      <c r="J213" s="37" t="str">
        <f t="shared" si="12"/>
        <v>0-120 DAYS</v>
      </c>
      <c r="K213" s="37" t="str">
        <f t="shared" si="14"/>
        <v>0-180 DAYS</v>
      </c>
      <c r="L213" t="s">
        <v>1730</v>
      </c>
      <c r="M213" s="36"/>
    </row>
    <row r="214" spans="1:16" hidden="1" x14ac:dyDescent="0.35">
      <c r="A214" t="s">
        <v>2030</v>
      </c>
      <c r="B214" s="2" t="s">
        <v>1085</v>
      </c>
      <c r="C214" s="2" t="s">
        <v>790</v>
      </c>
      <c r="D214" s="144" t="s">
        <v>1054</v>
      </c>
      <c r="E214" s="2" t="s">
        <v>507</v>
      </c>
      <c r="F214" s="44" t="s">
        <v>1816</v>
      </c>
      <c r="G214" s="45">
        <v>45458</v>
      </c>
      <c r="H214" s="104">
        <v>3123498.35</v>
      </c>
      <c r="I214" s="37">
        <f t="shared" si="13"/>
        <v>47</v>
      </c>
      <c r="J214" s="37" t="str">
        <f t="shared" si="12"/>
        <v>0-120 DAYS</v>
      </c>
      <c r="K214" s="37" t="str">
        <f t="shared" si="14"/>
        <v>0-180 DAYS</v>
      </c>
      <c r="L214" t="s">
        <v>1730</v>
      </c>
      <c r="M214" s="36"/>
    </row>
    <row r="215" spans="1:16" hidden="1" x14ac:dyDescent="0.35">
      <c r="A215" t="s">
        <v>2030</v>
      </c>
      <c r="B215" s="2" t="s">
        <v>1085</v>
      </c>
      <c r="C215" s="2" t="s">
        <v>790</v>
      </c>
      <c r="D215" s="44" t="s">
        <v>653</v>
      </c>
      <c r="E215" s="2" t="s">
        <v>507</v>
      </c>
      <c r="F215" s="44" t="s">
        <v>1817</v>
      </c>
      <c r="G215" s="45">
        <v>45461</v>
      </c>
      <c r="H215" s="104">
        <v>3045817.61</v>
      </c>
      <c r="I215" s="37">
        <f t="shared" si="13"/>
        <v>44</v>
      </c>
      <c r="J215" s="37" t="str">
        <f t="shared" si="12"/>
        <v>0-120 DAYS</v>
      </c>
      <c r="K215" s="37" t="str">
        <f t="shared" si="14"/>
        <v>0-180 DAYS</v>
      </c>
      <c r="L215" t="s">
        <v>1730</v>
      </c>
      <c r="M215" s="36"/>
    </row>
    <row r="216" spans="1:16" hidden="1" x14ac:dyDescent="0.35">
      <c r="A216" t="s">
        <v>2030</v>
      </c>
      <c r="B216" s="2" t="s">
        <v>1085</v>
      </c>
      <c r="C216" s="2" t="s">
        <v>790</v>
      </c>
      <c r="D216" s="44" t="s">
        <v>650</v>
      </c>
      <c r="E216" s="2" t="s">
        <v>507</v>
      </c>
      <c r="F216" s="44" t="s">
        <v>1818</v>
      </c>
      <c r="G216" s="45">
        <v>45461</v>
      </c>
      <c r="H216" s="104">
        <v>2850644.2</v>
      </c>
      <c r="I216" s="37">
        <f t="shared" si="13"/>
        <v>44</v>
      </c>
      <c r="J216" s="37" t="str">
        <f t="shared" si="12"/>
        <v>0-120 DAYS</v>
      </c>
      <c r="K216" s="37" t="str">
        <f t="shared" si="14"/>
        <v>0-180 DAYS</v>
      </c>
      <c r="L216" t="s">
        <v>1730</v>
      </c>
      <c r="M216" s="36"/>
    </row>
    <row r="217" spans="1:16" hidden="1" x14ac:dyDescent="0.35">
      <c r="A217" t="s">
        <v>2030</v>
      </c>
      <c r="B217" s="2" t="s">
        <v>1085</v>
      </c>
      <c r="C217" s="2" t="s">
        <v>790</v>
      </c>
      <c r="D217" s="44" t="s">
        <v>650</v>
      </c>
      <c r="E217" s="2" t="s">
        <v>507</v>
      </c>
      <c r="F217" s="44" t="s">
        <v>1819</v>
      </c>
      <c r="G217" s="45">
        <v>45462</v>
      </c>
      <c r="H217" s="104">
        <v>3272804.82</v>
      </c>
      <c r="I217" s="37">
        <f t="shared" si="13"/>
        <v>43</v>
      </c>
      <c r="J217" s="37" t="str">
        <f t="shared" si="12"/>
        <v>0-120 DAYS</v>
      </c>
      <c r="K217" s="37" t="str">
        <f t="shared" si="14"/>
        <v>0-180 DAYS</v>
      </c>
      <c r="L217" t="s">
        <v>1730</v>
      </c>
      <c r="M217" s="36"/>
    </row>
    <row r="218" spans="1:16" hidden="1" x14ac:dyDescent="0.35">
      <c r="A218" t="s">
        <v>2030</v>
      </c>
      <c r="B218" s="2" t="s">
        <v>1085</v>
      </c>
      <c r="C218" s="2" t="s">
        <v>790</v>
      </c>
      <c r="D218" s="144" t="s">
        <v>1091</v>
      </c>
      <c r="E218" s="2" t="s">
        <v>507</v>
      </c>
      <c r="F218" s="44" t="s">
        <v>1820</v>
      </c>
      <c r="G218" s="45">
        <v>45465</v>
      </c>
      <c r="H218" s="104">
        <v>3126641.28</v>
      </c>
      <c r="I218" s="37">
        <f t="shared" si="13"/>
        <v>40</v>
      </c>
      <c r="J218" s="37" t="str">
        <f t="shared" si="12"/>
        <v>0-120 DAYS</v>
      </c>
      <c r="K218" s="37" t="str">
        <f t="shared" si="14"/>
        <v>0-180 DAYS</v>
      </c>
      <c r="L218" t="s">
        <v>1730</v>
      </c>
      <c r="M218" s="36"/>
    </row>
    <row r="219" spans="1:16" hidden="1" x14ac:dyDescent="0.35">
      <c r="A219" t="s">
        <v>2030</v>
      </c>
      <c r="B219" s="2" t="s">
        <v>1085</v>
      </c>
      <c r="C219" s="2" t="s">
        <v>790</v>
      </c>
      <c r="D219" s="44" t="s">
        <v>650</v>
      </c>
      <c r="E219" s="2" t="s">
        <v>507</v>
      </c>
      <c r="F219" s="44" t="s">
        <v>1821</v>
      </c>
      <c r="G219" s="45">
        <v>45468</v>
      </c>
      <c r="H219" s="104">
        <v>3770547.85</v>
      </c>
      <c r="I219" s="37">
        <f t="shared" si="13"/>
        <v>37</v>
      </c>
      <c r="J219" s="37" t="str">
        <f t="shared" si="12"/>
        <v>0-120 DAYS</v>
      </c>
      <c r="K219" s="37" t="str">
        <f t="shared" si="14"/>
        <v>0-180 DAYS</v>
      </c>
      <c r="L219" t="s">
        <v>1730</v>
      </c>
      <c r="M219" s="36"/>
    </row>
    <row r="220" spans="1:16" hidden="1" x14ac:dyDescent="0.35">
      <c r="A220" t="s">
        <v>2030</v>
      </c>
      <c r="B220" s="2" t="s">
        <v>1085</v>
      </c>
      <c r="C220" s="2" t="s">
        <v>790</v>
      </c>
      <c r="D220" s="44" t="s">
        <v>1086</v>
      </c>
      <c r="E220" s="2" t="s">
        <v>507</v>
      </c>
      <c r="F220" s="44" t="s">
        <v>1822</v>
      </c>
      <c r="G220" s="45">
        <v>45470</v>
      </c>
      <c r="H220" s="104">
        <v>3085684.88</v>
      </c>
      <c r="I220" s="37">
        <f t="shared" si="13"/>
        <v>35</v>
      </c>
      <c r="J220" s="37" t="str">
        <f t="shared" si="12"/>
        <v>0-120 DAYS</v>
      </c>
      <c r="K220" s="37" t="str">
        <f t="shared" si="14"/>
        <v>0-180 DAYS</v>
      </c>
      <c r="L220" t="s">
        <v>1730</v>
      </c>
      <c r="M220" s="36"/>
      <c r="P220" s="130" t="s">
        <v>1332</v>
      </c>
    </row>
    <row r="221" spans="1:16" hidden="1" x14ac:dyDescent="0.35">
      <c r="A221" t="s">
        <v>2030</v>
      </c>
      <c r="B221" s="2" t="s">
        <v>1085</v>
      </c>
      <c r="C221" s="2" t="s">
        <v>790</v>
      </c>
      <c r="D221" s="44" t="s">
        <v>1086</v>
      </c>
      <c r="E221" s="2" t="s">
        <v>507</v>
      </c>
      <c r="F221" s="44" t="s">
        <v>1823</v>
      </c>
      <c r="G221" s="45">
        <v>45473</v>
      </c>
      <c r="H221" s="104">
        <v>2976259.72</v>
      </c>
      <c r="I221" s="37">
        <f t="shared" si="13"/>
        <v>32</v>
      </c>
      <c r="J221" s="37" t="str">
        <f t="shared" si="12"/>
        <v>0-120 DAYS</v>
      </c>
      <c r="K221" s="37" t="str">
        <f t="shared" si="14"/>
        <v>0-180 DAYS</v>
      </c>
      <c r="L221" t="s">
        <v>1730</v>
      </c>
      <c r="M221" s="36"/>
      <c r="P221" s="130" t="s">
        <v>667</v>
      </c>
    </row>
    <row r="222" spans="1:16" hidden="1" x14ac:dyDescent="0.35">
      <c r="A222" t="s">
        <v>2031</v>
      </c>
      <c r="B222" s="2" t="s">
        <v>1085</v>
      </c>
      <c r="C222" s="2" t="s">
        <v>790</v>
      </c>
      <c r="D222" s="44" t="s">
        <v>678</v>
      </c>
      <c r="E222" s="2" t="s">
        <v>507</v>
      </c>
      <c r="F222" s="44" t="s">
        <v>1824</v>
      </c>
      <c r="G222" s="45">
        <v>45450</v>
      </c>
      <c r="H222" s="104">
        <v>3826218.05</v>
      </c>
      <c r="I222" s="37">
        <f t="shared" si="13"/>
        <v>55</v>
      </c>
      <c r="J222" s="37" t="str">
        <f t="shared" si="12"/>
        <v>0-120 DAYS</v>
      </c>
      <c r="K222" s="37" t="str">
        <f t="shared" si="14"/>
        <v>0-180 DAYS</v>
      </c>
      <c r="L222" t="s">
        <v>1730</v>
      </c>
      <c r="M222" s="36"/>
    </row>
    <row r="223" spans="1:16" hidden="1" x14ac:dyDescent="0.35">
      <c r="A223" t="s">
        <v>2031</v>
      </c>
      <c r="B223" s="2" t="s">
        <v>1085</v>
      </c>
      <c r="C223" s="2" t="s">
        <v>790</v>
      </c>
      <c r="D223" s="44" t="s">
        <v>584</v>
      </c>
      <c r="E223" s="2" t="s">
        <v>507</v>
      </c>
      <c r="F223" s="44" t="s">
        <v>1825</v>
      </c>
      <c r="G223" s="45">
        <v>45451</v>
      </c>
      <c r="H223" s="104">
        <v>3059040.61</v>
      </c>
      <c r="I223" s="37">
        <f t="shared" si="13"/>
        <v>54</v>
      </c>
      <c r="J223" s="37" t="str">
        <f t="shared" si="12"/>
        <v>0-120 DAYS</v>
      </c>
      <c r="K223" s="37" t="str">
        <f t="shared" si="14"/>
        <v>0-180 DAYS</v>
      </c>
      <c r="L223" t="s">
        <v>1730</v>
      </c>
      <c r="M223" s="36"/>
    </row>
    <row r="224" spans="1:16" hidden="1" x14ac:dyDescent="0.35">
      <c r="A224" t="s">
        <v>2031</v>
      </c>
      <c r="B224" s="2" t="s">
        <v>1085</v>
      </c>
      <c r="C224" s="2" t="s">
        <v>790</v>
      </c>
      <c r="D224" s="44" t="s">
        <v>1086</v>
      </c>
      <c r="E224" s="2" t="s">
        <v>507</v>
      </c>
      <c r="F224" s="44" t="s">
        <v>1826</v>
      </c>
      <c r="G224" s="45">
        <v>45453</v>
      </c>
      <c r="H224" s="104">
        <v>3066772.8</v>
      </c>
      <c r="I224" s="37">
        <f t="shared" si="13"/>
        <v>52</v>
      </c>
      <c r="J224" s="37" t="str">
        <f t="shared" si="12"/>
        <v>0-120 DAYS</v>
      </c>
      <c r="K224" s="37" t="str">
        <f t="shared" si="14"/>
        <v>0-180 DAYS</v>
      </c>
      <c r="L224" t="s">
        <v>1730</v>
      </c>
      <c r="M224" s="36"/>
      <c r="P224" s="130" t="s">
        <v>707</v>
      </c>
    </row>
    <row r="225" spans="1:16" hidden="1" x14ac:dyDescent="0.35">
      <c r="A225" t="s">
        <v>2031</v>
      </c>
      <c r="B225" s="2" t="s">
        <v>1085</v>
      </c>
      <c r="C225" s="2" t="s">
        <v>790</v>
      </c>
      <c r="D225" s="44" t="s">
        <v>584</v>
      </c>
      <c r="E225" s="2" t="s">
        <v>507</v>
      </c>
      <c r="F225" s="44" t="s">
        <v>1827</v>
      </c>
      <c r="G225" s="45">
        <v>45454</v>
      </c>
      <c r="H225" s="104">
        <v>3095552.35</v>
      </c>
      <c r="I225" s="37">
        <f t="shared" si="13"/>
        <v>51</v>
      </c>
      <c r="J225" s="37" t="str">
        <f t="shared" si="12"/>
        <v>0-120 DAYS</v>
      </c>
      <c r="K225" s="37" t="str">
        <f t="shared" si="14"/>
        <v>0-180 DAYS</v>
      </c>
      <c r="L225" t="s">
        <v>1730</v>
      </c>
      <c r="M225" s="36"/>
    </row>
    <row r="226" spans="1:16" hidden="1" x14ac:dyDescent="0.35">
      <c r="A226" t="s">
        <v>2031</v>
      </c>
      <c r="B226" s="2" t="s">
        <v>1085</v>
      </c>
      <c r="C226" s="2" t="s">
        <v>790</v>
      </c>
      <c r="D226" s="44" t="s">
        <v>1086</v>
      </c>
      <c r="E226" s="2" t="s">
        <v>507</v>
      </c>
      <c r="F226" s="44" t="s">
        <v>1828</v>
      </c>
      <c r="G226" s="45">
        <v>45460</v>
      </c>
      <c r="H226" s="104">
        <v>3193314.42</v>
      </c>
      <c r="I226" s="37">
        <f t="shared" si="13"/>
        <v>45</v>
      </c>
      <c r="J226" s="37" t="str">
        <f t="shared" si="12"/>
        <v>0-120 DAYS</v>
      </c>
      <c r="K226" s="37" t="str">
        <f t="shared" si="14"/>
        <v>0-180 DAYS</v>
      </c>
      <c r="L226" t="s">
        <v>1730</v>
      </c>
      <c r="M226" s="36"/>
      <c r="P226" s="130" t="s">
        <v>540</v>
      </c>
    </row>
    <row r="227" spans="1:16" hidden="1" x14ac:dyDescent="0.35">
      <c r="A227" t="s">
        <v>2031</v>
      </c>
      <c r="B227" s="2" t="s">
        <v>1085</v>
      </c>
      <c r="C227" s="2" t="s">
        <v>790</v>
      </c>
      <c r="D227" s="44" t="s">
        <v>524</v>
      </c>
      <c r="E227" s="2" t="s">
        <v>507</v>
      </c>
      <c r="F227" s="44" t="s">
        <v>1829</v>
      </c>
      <c r="G227" s="45">
        <v>45461</v>
      </c>
      <c r="H227" s="104">
        <v>3112368</v>
      </c>
      <c r="I227" s="37">
        <f t="shared" si="13"/>
        <v>44</v>
      </c>
      <c r="J227" s="37" t="str">
        <f t="shared" ref="J227:J236" si="15">IF(I227&lt;121,"0-120 DAYS",IF(I227&lt;181,"121-180 DAYS","More than 180 Days"))</f>
        <v>0-120 DAYS</v>
      </c>
      <c r="K227" s="37" t="str">
        <f t="shared" si="14"/>
        <v>0-180 DAYS</v>
      </c>
      <c r="L227" t="s">
        <v>1730</v>
      </c>
      <c r="M227" s="36"/>
    </row>
    <row r="228" spans="1:16" hidden="1" x14ac:dyDescent="0.35">
      <c r="A228" t="s">
        <v>2031</v>
      </c>
      <c r="B228" s="2" t="s">
        <v>1085</v>
      </c>
      <c r="C228" s="2" t="s">
        <v>790</v>
      </c>
      <c r="D228" s="144" t="s">
        <v>1054</v>
      </c>
      <c r="E228" s="2" t="s">
        <v>507</v>
      </c>
      <c r="F228" s="44" t="s">
        <v>1830</v>
      </c>
      <c r="G228" s="45">
        <v>45462</v>
      </c>
      <c r="H228" s="104">
        <v>3058446.72</v>
      </c>
      <c r="I228" s="37">
        <f t="shared" si="13"/>
        <v>43</v>
      </c>
      <c r="J228" s="37" t="str">
        <f t="shared" si="15"/>
        <v>0-120 DAYS</v>
      </c>
      <c r="K228" s="37" t="str">
        <f t="shared" si="14"/>
        <v>0-180 DAYS</v>
      </c>
      <c r="L228" t="s">
        <v>1730</v>
      </c>
      <c r="M228" s="36"/>
    </row>
    <row r="229" spans="1:16" hidden="1" x14ac:dyDescent="0.35">
      <c r="A229" t="s">
        <v>2031</v>
      </c>
      <c r="B229" s="2" t="s">
        <v>1085</v>
      </c>
      <c r="C229" s="2" t="s">
        <v>790</v>
      </c>
      <c r="D229" s="144" t="s">
        <v>588</v>
      </c>
      <c r="E229" s="2" t="s">
        <v>507</v>
      </c>
      <c r="F229" s="44" t="s">
        <v>1831</v>
      </c>
      <c r="G229" s="45">
        <v>45465</v>
      </c>
      <c r="H229" s="104">
        <v>3401682.76</v>
      </c>
      <c r="I229" s="37">
        <f t="shared" si="13"/>
        <v>40</v>
      </c>
      <c r="J229" s="37" t="str">
        <f t="shared" si="15"/>
        <v>0-120 DAYS</v>
      </c>
      <c r="K229" s="37" t="str">
        <f t="shared" si="14"/>
        <v>0-180 DAYS</v>
      </c>
      <c r="L229" t="s">
        <v>1730</v>
      </c>
      <c r="M229" s="36"/>
    </row>
    <row r="230" spans="1:16" hidden="1" x14ac:dyDescent="0.35">
      <c r="A230" t="s">
        <v>2031</v>
      </c>
      <c r="B230" s="2" t="s">
        <v>1085</v>
      </c>
      <c r="C230" s="2" t="s">
        <v>790</v>
      </c>
      <c r="D230" s="144" t="s">
        <v>588</v>
      </c>
      <c r="E230" s="2" t="s">
        <v>507</v>
      </c>
      <c r="F230" s="44" t="s">
        <v>1832</v>
      </c>
      <c r="G230" s="45">
        <v>45465</v>
      </c>
      <c r="H230" s="104">
        <v>3359821.08</v>
      </c>
      <c r="I230" s="37">
        <f t="shared" si="13"/>
        <v>40</v>
      </c>
      <c r="J230" s="37" t="str">
        <f t="shared" si="15"/>
        <v>0-120 DAYS</v>
      </c>
      <c r="K230" s="37" t="str">
        <f t="shared" si="14"/>
        <v>0-180 DAYS</v>
      </c>
      <c r="L230" t="s">
        <v>1730</v>
      </c>
      <c r="M230" s="36"/>
    </row>
    <row r="231" spans="1:16" hidden="1" x14ac:dyDescent="0.35">
      <c r="A231" t="s">
        <v>2031</v>
      </c>
      <c r="B231" s="2" t="s">
        <v>1085</v>
      </c>
      <c r="C231" s="2" t="s">
        <v>790</v>
      </c>
      <c r="D231" s="144" t="s">
        <v>543</v>
      </c>
      <c r="E231" s="2" t="s">
        <v>507</v>
      </c>
      <c r="F231" s="44" t="s">
        <v>1833</v>
      </c>
      <c r="G231" s="45">
        <v>45468</v>
      </c>
      <c r="H231" s="104">
        <v>4080118.04</v>
      </c>
      <c r="I231" s="37">
        <f t="shared" si="13"/>
        <v>37</v>
      </c>
      <c r="J231" s="37" t="str">
        <f t="shared" si="15"/>
        <v>0-120 DAYS</v>
      </c>
      <c r="K231" s="37" t="str">
        <f t="shared" si="14"/>
        <v>0-180 DAYS</v>
      </c>
      <c r="L231" t="s">
        <v>1730</v>
      </c>
      <c r="M231" s="36"/>
    </row>
    <row r="232" spans="1:16" hidden="1" x14ac:dyDescent="0.35">
      <c r="A232" t="s">
        <v>2031</v>
      </c>
      <c r="B232" s="2" t="s">
        <v>1085</v>
      </c>
      <c r="C232" s="2" t="s">
        <v>790</v>
      </c>
      <c r="D232" s="44" t="s">
        <v>1086</v>
      </c>
      <c r="E232" s="2" t="s">
        <v>507</v>
      </c>
      <c r="F232" s="44" t="s">
        <v>1834</v>
      </c>
      <c r="G232" s="45">
        <v>45470</v>
      </c>
      <c r="H232" s="104">
        <v>3626422.42</v>
      </c>
      <c r="I232" s="37">
        <f t="shared" si="13"/>
        <v>35</v>
      </c>
      <c r="J232" s="37" t="str">
        <f t="shared" si="15"/>
        <v>0-120 DAYS</v>
      </c>
      <c r="K232" s="37" t="str">
        <f t="shared" si="14"/>
        <v>0-180 DAYS</v>
      </c>
      <c r="L232" t="s">
        <v>1730</v>
      </c>
      <c r="M232" s="36"/>
      <c r="P232" s="130" t="s">
        <v>581</v>
      </c>
    </row>
    <row r="233" spans="1:16" hidden="1" x14ac:dyDescent="0.35">
      <c r="A233" t="s">
        <v>2031</v>
      </c>
      <c r="B233" s="2" t="s">
        <v>1085</v>
      </c>
      <c r="C233" s="2" t="s">
        <v>790</v>
      </c>
      <c r="D233" s="44" t="s">
        <v>814</v>
      </c>
      <c r="E233" s="2" t="s">
        <v>507</v>
      </c>
      <c r="F233" s="44" t="s">
        <v>1835</v>
      </c>
      <c r="G233" s="45">
        <v>45471</v>
      </c>
      <c r="H233" s="104">
        <v>9030.9599999999991</v>
      </c>
      <c r="I233" s="37">
        <f t="shared" si="13"/>
        <v>34</v>
      </c>
      <c r="J233" s="37" t="str">
        <f t="shared" si="15"/>
        <v>0-120 DAYS</v>
      </c>
      <c r="K233" s="37" t="str">
        <f t="shared" si="14"/>
        <v>0-180 DAYS</v>
      </c>
      <c r="L233" t="s">
        <v>1730</v>
      </c>
      <c r="M233" s="36"/>
    </row>
    <row r="234" spans="1:16" hidden="1" x14ac:dyDescent="0.35">
      <c r="A234" t="s">
        <v>2031</v>
      </c>
      <c r="B234" s="2" t="s">
        <v>1085</v>
      </c>
      <c r="C234" s="2" t="s">
        <v>790</v>
      </c>
      <c r="D234" s="44" t="s">
        <v>1086</v>
      </c>
      <c r="E234" s="2" t="s">
        <v>507</v>
      </c>
      <c r="F234" s="44" t="s">
        <v>1836</v>
      </c>
      <c r="G234" s="45">
        <v>45471</v>
      </c>
      <c r="H234" s="104">
        <v>3699311.86</v>
      </c>
      <c r="I234" s="37">
        <f t="shared" si="13"/>
        <v>34</v>
      </c>
      <c r="J234" s="37" t="str">
        <f t="shared" si="15"/>
        <v>0-120 DAYS</v>
      </c>
      <c r="K234" s="37" t="str">
        <f t="shared" si="14"/>
        <v>0-180 DAYS</v>
      </c>
      <c r="L234" t="s">
        <v>1730</v>
      </c>
      <c r="M234" s="36"/>
      <c r="P234" s="130" t="s">
        <v>678</v>
      </c>
    </row>
    <row r="235" spans="1:16" hidden="1" x14ac:dyDescent="0.35">
      <c r="A235" t="s">
        <v>2031</v>
      </c>
      <c r="B235" s="2" t="s">
        <v>1085</v>
      </c>
      <c r="C235" s="2" t="s">
        <v>790</v>
      </c>
      <c r="D235" s="44" t="s">
        <v>1086</v>
      </c>
      <c r="E235" s="2" t="s">
        <v>507</v>
      </c>
      <c r="F235" s="44" t="s">
        <v>1837</v>
      </c>
      <c r="G235" s="45">
        <v>45472</v>
      </c>
      <c r="H235" s="104">
        <v>3408026.44</v>
      </c>
      <c r="I235" s="37">
        <f t="shared" si="13"/>
        <v>33</v>
      </c>
      <c r="J235" s="37" t="str">
        <f t="shared" si="15"/>
        <v>0-120 DAYS</v>
      </c>
      <c r="K235" s="37" t="str">
        <f t="shared" si="14"/>
        <v>0-180 DAYS</v>
      </c>
      <c r="L235" t="s">
        <v>1730</v>
      </c>
      <c r="M235" s="36"/>
      <c r="P235" s="130" t="s">
        <v>524</v>
      </c>
    </row>
    <row r="236" spans="1:16" hidden="1" x14ac:dyDescent="0.35">
      <c r="A236" t="s">
        <v>2029</v>
      </c>
      <c r="B236" s="2" t="s">
        <v>1085</v>
      </c>
      <c r="C236" s="2" t="s">
        <v>790</v>
      </c>
      <c r="D236" s="144" t="s">
        <v>543</v>
      </c>
      <c r="E236" s="2" t="s">
        <v>507</v>
      </c>
      <c r="F236" s="44" t="s">
        <v>629</v>
      </c>
      <c r="G236" s="45">
        <v>45454</v>
      </c>
      <c r="H236" s="104">
        <v>2980860.82</v>
      </c>
      <c r="I236" s="37">
        <f t="shared" si="13"/>
        <v>51</v>
      </c>
      <c r="J236" s="37" t="str">
        <f t="shared" si="15"/>
        <v>0-120 DAYS</v>
      </c>
      <c r="K236" s="37" t="str">
        <f t="shared" si="14"/>
        <v>0-180 DAYS</v>
      </c>
      <c r="L236" t="s">
        <v>1730</v>
      </c>
      <c r="M236" s="36"/>
    </row>
    <row r="237" spans="1:16" hidden="1" x14ac:dyDescent="0.35">
      <c r="A237" t="s">
        <v>2029</v>
      </c>
      <c r="B237" s="2" t="s">
        <v>477</v>
      </c>
      <c r="C237" s="2" t="s">
        <v>790</v>
      </c>
      <c r="D237" s="2" t="s">
        <v>0</v>
      </c>
      <c r="E237" s="2" t="s">
        <v>1</v>
      </c>
      <c r="F237" s="3" t="s">
        <v>1058</v>
      </c>
      <c r="G237" s="8" t="s">
        <v>1425</v>
      </c>
      <c r="H237" s="96">
        <v>82517.399999999994</v>
      </c>
      <c r="I237" s="37">
        <f t="shared" si="13"/>
        <v>909</v>
      </c>
      <c r="J237" s="37" t="str">
        <f t="shared" ref="J237:J300" si="16">IF(I237&lt;91,"1-90 DAYS",IF(I237&lt;121,"91-120DAYS",IF(I237&lt;181,"121-180 DAYS","More than 180 Days")))</f>
        <v>More than 180 Days</v>
      </c>
      <c r="K237" s="37" t="str">
        <f t="shared" si="14"/>
        <v>More than 180 Days</v>
      </c>
      <c r="M237" s="36"/>
    </row>
    <row r="238" spans="1:16" hidden="1" x14ac:dyDescent="0.35">
      <c r="A238" t="s">
        <v>2030</v>
      </c>
      <c r="B238" s="2" t="s">
        <v>477</v>
      </c>
      <c r="C238" s="2" t="s">
        <v>790</v>
      </c>
      <c r="D238" s="44" t="s">
        <v>0</v>
      </c>
      <c r="E238" s="44" t="s">
        <v>1</v>
      </c>
      <c r="F238" s="44" t="s">
        <v>1059</v>
      </c>
      <c r="G238" s="8" t="s">
        <v>1426</v>
      </c>
      <c r="H238" s="96">
        <v>49754.7</v>
      </c>
      <c r="I238" s="37">
        <f t="shared" si="13"/>
        <v>485</v>
      </c>
      <c r="J238" s="37" t="str">
        <f t="shared" si="16"/>
        <v>More than 180 Days</v>
      </c>
      <c r="K238" s="37" t="str">
        <f t="shared" si="14"/>
        <v>More than 180 Days</v>
      </c>
      <c r="M238" s="36"/>
    </row>
    <row r="239" spans="1:16" hidden="1" x14ac:dyDescent="0.35">
      <c r="A239" t="s">
        <v>2030</v>
      </c>
      <c r="B239" s="2" t="s">
        <v>477</v>
      </c>
      <c r="C239" s="2" t="s">
        <v>790</v>
      </c>
      <c r="D239" s="44" t="s">
        <v>3</v>
      </c>
      <c r="E239" s="44" t="s">
        <v>4</v>
      </c>
      <c r="F239" s="44" t="s">
        <v>1089</v>
      </c>
      <c r="G239" s="8" t="s">
        <v>1427</v>
      </c>
      <c r="H239" s="96">
        <v>8928.24</v>
      </c>
      <c r="I239" s="37">
        <f t="shared" si="13"/>
        <v>540</v>
      </c>
      <c r="J239" s="37" t="str">
        <f t="shared" si="16"/>
        <v>More than 180 Days</v>
      </c>
      <c r="K239" s="37" t="str">
        <f t="shared" si="14"/>
        <v>More than 180 Days</v>
      </c>
      <c r="M239" s="36"/>
    </row>
    <row r="240" spans="1:16" hidden="1" x14ac:dyDescent="0.35">
      <c r="A240" t="s">
        <v>2030</v>
      </c>
      <c r="B240" s="2" t="s">
        <v>477</v>
      </c>
      <c r="C240" s="2" t="s">
        <v>790</v>
      </c>
      <c r="D240" s="44" t="s">
        <v>3</v>
      </c>
      <c r="E240" s="44" t="s">
        <v>4</v>
      </c>
      <c r="F240" s="44" t="s">
        <v>1092</v>
      </c>
      <c r="G240" s="8" t="s">
        <v>1428</v>
      </c>
      <c r="H240" s="96">
        <v>1730.83</v>
      </c>
      <c r="I240" s="37" t="e">
        <f t="shared" si="13"/>
        <v>#VALUE!</v>
      </c>
      <c r="J240" s="37" t="e">
        <f t="shared" si="16"/>
        <v>#VALUE!</v>
      </c>
      <c r="K240" s="37" t="e">
        <f t="shared" si="14"/>
        <v>#VALUE!</v>
      </c>
      <c r="M240" s="36"/>
    </row>
    <row r="241" spans="1:13" hidden="1" x14ac:dyDescent="0.35">
      <c r="A241" t="s">
        <v>2030</v>
      </c>
      <c r="B241" s="2" t="s">
        <v>477</v>
      </c>
      <c r="C241" s="2" t="s">
        <v>790</v>
      </c>
      <c r="D241" s="2" t="s">
        <v>13</v>
      </c>
      <c r="E241" s="2" t="s">
        <v>14</v>
      </c>
      <c r="F241" s="3" t="s">
        <v>15</v>
      </c>
      <c r="G241" s="8" t="s">
        <v>1430</v>
      </c>
      <c r="H241" s="96">
        <v>81031.210000000006</v>
      </c>
      <c r="I241" s="37" t="e">
        <f t="shared" si="13"/>
        <v>#VALUE!</v>
      </c>
      <c r="J241" s="37" t="e">
        <f t="shared" si="16"/>
        <v>#VALUE!</v>
      </c>
      <c r="K241" s="37" t="e">
        <f t="shared" si="14"/>
        <v>#VALUE!</v>
      </c>
      <c r="M241" s="36"/>
    </row>
    <row r="242" spans="1:13" hidden="1" x14ac:dyDescent="0.35">
      <c r="A242" t="s">
        <v>2030</v>
      </c>
      <c r="B242" s="2" t="s">
        <v>477</v>
      </c>
      <c r="C242" s="2" t="s">
        <v>790</v>
      </c>
      <c r="D242" s="44" t="s">
        <v>277</v>
      </c>
      <c r="E242" s="44" t="s">
        <v>278</v>
      </c>
      <c r="F242" s="44" t="s">
        <v>1018</v>
      </c>
      <c r="G242" s="8" t="s">
        <v>1431</v>
      </c>
      <c r="H242" s="96">
        <v>19519.82</v>
      </c>
      <c r="I242" s="37" t="e">
        <f t="shared" si="13"/>
        <v>#VALUE!</v>
      </c>
      <c r="J242" s="37" t="e">
        <f t="shared" si="16"/>
        <v>#VALUE!</v>
      </c>
      <c r="K242" s="37" t="e">
        <f t="shared" si="14"/>
        <v>#VALUE!</v>
      </c>
      <c r="M242" s="36"/>
    </row>
    <row r="243" spans="1:13" hidden="1" x14ac:dyDescent="0.35">
      <c r="A243" t="s">
        <v>2030</v>
      </c>
      <c r="B243" s="2" t="s">
        <v>477</v>
      </c>
      <c r="C243" s="2" t="s">
        <v>790</v>
      </c>
      <c r="D243" s="2" t="s">
        <v>20</v>
      </c>
      <c r="E243" s="2" t="s">
        <v>21</v>
      </c>
      <c r="F243" s="3" t="s">
        <v>22</v>
      </c>
      <c r="G243" s="8" t="s">
        <v>1432</v>
      </c>
      <c r="H243" s="96">
        <v>978730</v>
      </c>
      <c r="I243" s="37">
        <f t="shared" si="13"/>
        <v>730</v>
      </c>
      <c r="J243" s="37" t="str">
        <f t="shared" si="16"/>
        <v>More than 180 Days</v>
      </c>
      <c r="K243" s="37" t="str">
        <f t="shared" si="14"/>
        <v>More than 180 Days</v>
      </c>
      <c r="M243" s="36"/>
    </row>
    <row r="244" spans="1:13" hidden="1" x14ac:dyDescent="0.35">
      <c r="A244" t="s">
        <v>2030</v>
      </c>
      <c r="B244" s="2" t="s">
        <v>477</v>
      </c>
      <c r="C244" s="2" t="s">
        <v>790</v>
      </c>
      <c r="D244" s="2" t="s">
        <v>20</v>
      </c>
      <c r="E244" s="2" t="s">
        <v>21</v>
      </c>
      <c r="F244" s="3" t="s">
        <v>23</v>
      </c>
      <c r="G244" s="8" t="s">
        <v>1432</v>
      </c>
      <c r="H244" s="96">
        <v>1039965</v>
      </c>
      <c r="I244" s="37">
        <f t="shared" si="13"/>
        <v>730</v>
      </c>
      <c r="J244" s="37" t="str">
        <f t="shared" si="16"/>
        <v>More than 180 Days</v>
      </c>
      <c r="K244" s="37" t="str">
        <f t="shared" si="14"/>
        <v>More than 180 Days</v>
      </c>
      <c r="M244" s="36"/>
    </row>
    <row r="245" spans="1:13" hidden="1" x14ac:dyDescent="0.35">
      <c r="A245" t="s">
        <v>2030</v>
      </c>
      <c r="B245" s="2" t="s">
        <v>477</v>
      </c>
      <c r="C245" s="2" t="s">
        <v>790</v>
      </c>
      <c r="D245" s="2" t="s">
        <v>20</v>
      </c>
      <c r="E245" s="2" t="s">
        <v>21</v>
      </c>
      <c r="F245" s="3" t="s">
        <v>24</v>
      </c>
      <c r="G245" s="8" t="s">
        <v>1433</v>
      </c>
      <c r="H245" s="96">
        <v>1160694.02</v>
      </c>
      <c r="I245" s="37" t="e">
        <f t="shared" si="13"/>
        <v>#VALUE!</v>
      </c>
      <c r="J245" s="37" t="e">
        <f t="shared" si="16"/>
        <v>#VALUE!</v>
      </c>
      <c r="K245" s="37" t="e">
        <f t="shared" si="14"/>
        <v>#VALUE!</v>
      </c>
      <c r="M245" s="36"/>
    </row>
    <row r="246" spans="1:13" hidden="1" x14ac:dyDescent="0.35">
      <c r="A246" t="s">
        <v>2030</v>
      </c>
      <c r="B246" s="2" t="s">
        <v>477</v>
      </c>
      <c r="C246" s="2" t="s">
        <v>790</v>
      </c>
      <c r="D246" s="2" t="s">
        <v>20</v>
      </c>
      <c r="E246" s="2" t="s">
        <v>21</v>
      </c>
      <c r="F246" s="3" t="s">
        <v>25</v>
      </c>
      <c r="G246" s="8" t="s">
        <v>1434</v>
      </c>
      <c r="H246" s="96">
        <v>1075361.1399999999</v>
      </c>
      <c r="I246" s="37" t="e">
        <f t="shared" si="13"/>
        <v>#VALUE!</v>
      </c>
      <c r="J246" s="37" t="e">
        <f t="shared" si="16"/>
        <v>#VALUE!</v>
      </c>
      <c r="K246" s="37" t="e">
        <f t="shared" si="14"/>
        <v>#VALUE!</v>
      </c>
      <c r="M246" s="36"/>
    </row>
    <row r="247" spans="1:13" hidden="1" x14ac:dyDescent="0.35">
      <c r="A247" t="s">
        <v>2030</v>
      </c>
      <c r="B247" s="2" t="s">
        <v>477</v>
      </c>
      <c r="C247" s="2" t="s">
        <v>790</v>
      </c>
      <c r="D247" s="44" t="s">
        <v>1082</v>
      </c>
      <c r="E247" s="44" t="s">
        <v>1083</v>
      </c>
      <c r="F247" s="44" t="s">
        <v>1084</v>
      </c>
      <c r="G247" s="8" t="s">
        <v>1435</v>
      </c>
      <c r="H247" s="96">
        <v>2519</v>
      </c>
      <c r="I247" s="37" t="e">
        <f t="shared" si="13"/>
        <v>#VALUE!</v>
      </c>
      <c r="J247" s="37" t="e">
        <f t="shared" si="16"/>
        <v>#VALUE!</v>
      </c>
      <c r="K247" s="37" t="e">
        <f t="shared" si="14"/>
        <v>#VALUE!</v>
      </c>
      <c r="M247" s="36"/>
    </row>
    <row r="248" spans="1:13" hidden="1" x14ac:dyDescent="0.35">
      <c r="A248" t="s">
        <v>2030</v>
      </c>
      <c r="B248" s="2" t="s">
        <v>477</v>
      </c>
      <c r="C248" s="2" t="s">
        <v>790</v>
      </c>
      <c r="D248" s="44" t="s">
        <v>35</v>
      </c>
      <c r="E248" s="44" t="s">
        <v>36</v>
      </c>
      <c r="F248" s="44" t="s">
        <v>1192</v>
      </c>
      <c r="G248" s="8" t="s">
        <v>1436</v>
      </c>
      <c r="H248" s="96">
        <v>580857.09</v>
      </c>
      <c r="I248" s="37">
        <f t="shared" si="13"/>
        <v>263</v>
      </c>
      <c r="J248" s="37" t="str">
        <f t="shared" si="16"/>
        <v>More than 180 Days</v>
      </c>
      <c r="K248" s="37" t="str">
        <f t="shared" si="14"/>
        <v>More than 180 Days</v>
      </c>
      <c r="M248" s="36"/>
    </row>
    <row r="249" spans="1:13" hidden="1" x14ac:dyDescent="0.35">
      <c r="A249" t="s">
        <v>2029</v>
      </c>
      <c r="B249" s="2" t="s">
        <v>477</v>
      </c>
      <c r="C249" s="2" t="s">
        <v>790</v>
      </c>
      <c r="D249" s="2" t="s">
        <v>38</v>
      </c>
      <c r="E249" s="2" t="s">
        <v>39</v>
      </c>
      <c r="F249" s="2" t="s">
        <v>40</v>
      </c>
      <c r="G249" s="8" t="s">
        <v>1437</v>
      </c>
      <c r="H249" s="96">
        <v>1507988</v>
      </c>
      <c r="I249" s="37" t="e">
        <f t="shared" si="13"/>
        <v>#VALUE!</v>
      </c>
      <c r="J249" s="37" t="e">
        <f t="shared" si="16"/>
        <v>#VALUE!</v>
      </c>
      <c r="K249" s="37" t="e">
        <f t="shared" si="14"/>
        <v>#VALUE!</v>
      </c>
      <c r="M249" s="36"/>
    </row>
    <row r="250" spans="1:13" hidden="1" x14ac:dyDescent="0.35">
      <c r="A250" t="s">
        <v>2029</v>
      </c>
      <c r="B250" s="2" t="s">
        <v>477</v>
      </c>
      <c r="C250" s="2" t="s">
        <v>790</v>
      </c>
      <c r="D250" s="2" t="s">
        <v>38</v>
      </c>
      <c r="E250" s="2" t="s">
        <v>39</v>
      </c>
      <c r="F250" s="2" t="s">
        <v>41</v>
      </c>
      <c r="G250" s="8" t="s">
        <v>1438</v>
      </c>
      <c r="H250" s="96">
        <v>2089970</v>
      </c>
      <c r="I250" s="37">
        <f t="shared" si="13"/>
        <v>2495</v>
      </c>
      <c r="J250" s="37" t="str">
        <f t="shared" si="16"/>
        <v>More than 180 Days</v>
      </c>
      <c r="K250" s="37" t="str">
        <f t="shared" si="14"/>
        <v>More than 180 Days</v>
      </c>
      <c r="M250" s="36"/>
    </row>
    <row r="251" spans="1:13" hidden="1" x14ac:dyDescent="0.35">
      <c r="A251" t="s">
        <v>2030</v>
      </c>
      <c r="B251" s="2" t="s">
        <v>477</v>
      </c>
      <c r="C251" s="2" t="s">
        <v>790</v>
      </c>
      <c r="D251" s="44" t="s">
        <v>263</v>
      </c>
      <c r="E251" s="44" t="s">
        <v>264</v>
      </c>
      <c r="F251" s="44" t="s">
        <v>1236</v>
      </c>
      <c r="G251" s="8" t="s">
        <v>1439</v>
      </c>
      <c r="H251" s="104">
        <v>144007.22</v>
      </c>
      <c r="I251" s="37">
        <f t="shared" si="13"/>
        <v>60</v>
      </c>
      <c r="J251" s="37" t="str">
        <f t="shared" si="16"/>
        <v>1-90 DAYS</v>
      </c>
      <c r="K251" s="37" t="str">
        <f t="shared" si="14"/>
        <v>0-180 DAYS</v>
      </c>
      <c r="M251" s="36"/>
    </row>
    <row r="252" spans="1:13" hidden="1" x14ac:dyDescent="0.35">
      <c r="A252" t="s">
        <v>2030</v>
      </c>
      <c r="B252" s="2" t="s">
        <v>477</v>
      </c>
      <c r="C252" s="2" t="s">
        <v>790</v>
      </c>
      <c r="D252" s="44" t="s">
        <v>263</v>
      </c>
      <c r="E252" s="44" t="s">
        <v>264</v>
      </c>
      <c r="F252" s="44" t="s">
        <v>449</v>
      </c>
      <c r="G252" s="8" t="s">
        <v>1440</v>
      </c>
      <c r="H252" s="104">
        <v>397854.5</v>
      </c>
      <c r="I252" s="37" t="e">
        <f t="shared" si="13"/>
        <v>#VALUE!</v>
      </c>
      <c r="J252" s="37" t="e">
        <f t="shared" si="16"/>
        <v>#VALUE!</v>
      </c>
      <c r="K252" s="37" t="e">
        <f t="shared" si="14"/>
        <v>#VALUE!</v>
      </c>
      <c r="M252" s="36"/>
    </row>
    <row r="253" spans="1:13" hidden="1" x14ac:dyDescent="0.35">
      <c r="A253" t="s">
        <v>2029</v>
      </c>
      <c r="B253" s="2" t="s">
        <v>477</v>
      </c>
      <c r="C253" s="2" t="s">
        <v>790</v>
      </c>
      <c r="D253" s="44" t="s">
        <v>1206</v>
      </c>
      <c r="E253" s="44" t="s">
        <v>1207</v>
      </c>
      <c r="F253" s="44" t="s">
        <v>980</v>
      </c>
      <c r="G253" s="8" t="s">
        <v>1468</v>
      </c>
      <c r="H253" s="104">
        <v>3112</v>
      </c>
      <c r="I253" s="37">
        <f t="shared" si="13"/>
        <v>151</v>
      </c>
      <c r="J253" s="37" t="str">
        <f t="shared" si="16"/>
        <v>121-180 DAYS</v>
      </c>
      <c r="K253" s="37" t="str">
        <f t="shared" si="14"/>
        <v>0-180 DAYS</v>
      </c>
      <c r="M253" s="36"/>
    </row>
    <row r="254" spans="1:13" hidden="1" x14ac:dyDescent="0.35">
      <c r="A254" t="s">
        <v>2030</v>
      </c>
      <c r="B254" s="2" t="s">
        <v>477</v>
      </c>
      <c r="C254" s="2" t="s">
        <v>790</v>
      </c>
      <c r="D254" s="44" t="s">
        <v>263</v>
      </c>
      <c r="E254" s="44" t="s">
        <v>264</v>
      </c>
      <c r="F254" s="44" t="s">
        <v>865</v>
      </c>
      <c r="G254" s="8" t="s">
        <v>1470</v>
      </c>
      <c r="H254" s="104">
        <v>657971.59</v>
      </c>
      <c r="I254" s="37" t="e">
        <f t="shared" si="13"/>
        <v>#VALUE!</v>
      </c>
      <c r="J254" s="37" t="e">
        <f t="shared" si="16"/>
        <v>#VALUE!</v>
      </c>
      <c r="K254" s="37" t="e">
        <f t="shared" si="14"/>
        <v>#VALUE!</v>
      </c>
      <c r="M254" s="36"/>
    </row>
    <row r="255" spans="1:13" hidden="1" x14ac:dyDescent="0.35">
      <c r="A255" t="s">
        <v>2029</v>
      </c>
      <c r="B255" s="2" t="s">
        <v>477</v>
      </c>
      <c r="C255" s="2" t="s">
        <v>790</v>
      </c>
      <c r="D255" s="44" t="s">
        <v>1087</v>
      </c>
      <c r="E255" s="44" t="s">
        <v>1088</v>
      </c>
      <c r="F255" s="44" t="s">
        <v>1389</v>
      </c>
      <c r="G255" s="8" t="s">
        <v>1473</v>
      </c>
      <c r="H255" s="104">
        <v>476.24</v>
      </c>
      <c r="I255" s="37">
        <f t="shared" si="13"/>
        <v>-64</v>
      </c>
      <c r="J255" s="37" t="str">
        <f t="shared" si="16"/>
        <v>1-90 DAYS</v>
      </c>
      <c r="K255" s="37" t="str">
        <f t="shared" si="14"/>
        <v>0-180 DAYS</v>
      </c>
      <c r="L255" t="s">
        <v>1730</v>
      </c>
      <c r="M255" s="36"/>
    </row>
    <row r="256" spans="1:13" hidden="1" x14ac:dyDescent="0.35">
      <c r="A256" t="s">
        <v>2030</v>
      </c>
      <c r="B256" s="2" t="s">
        <v>477</v>
      </c>
      <c r="C256" s="2" t="s">
        <v>790</v>
      </c>
      <c r="D256" s="44" t="s">
        <v>263</v>
      </c>
      <c r="E256" s="44" t="s">
        <v>264</v>
      </c>
      <c r="F256" s="44" t="s">
        <v>1399</v>
      </c>
      <c r="G256" s="8" t="s">
        <v>1473</v>
      </c>
      <c r="H256" s="104">
        <v>682010.97</v>
      </c>
      <c r="I256" s="37">
        <f t="shared" si="13"/>
        <v>-64</v>
      </c>
      <c r="J256" s="37" t="str">
        <f t="shared" si="16"/>
        <v>1-90 DAYS</v>
      </c>
      <c r="K256" s="37" t="str">
        <f t="shared" si="14"/>
        <v>0-180 DAYS</v>
      </c>
      <c r="L256" t="s">
        <v>1730</v>
      </c>
      <c r="M256" s="36"/>
    </row>
    <row r="257" spans="1:13" hidden="1" x14ac:dyDescent="0.35">
      <c r="A257" t="s">
        <v>2029</v>
      </c>
      <c r="B257" s="2" t="s">
        <v>477</v>
      </c>
      <c r="C257" s="2" t="s">
        <v>790</v>
      </c>
      <c r="D257" s="44" t="s">
        <v>221</v>
      </c>
      <c r="E257" s="44" t="s">
        <v>222</v>
      </c>
      <c r="F257" s="44" t="s">
        <v>1556</v>
      </c>
      <c r="G257" s="139" t="s">
        <v>1752</v>
      </c>
      <c r="H257" s="104">
        <v>154659.89000000001</v>
      </c>
      <c r="I257" s="37" t="e">
        <f t="shared" si="13"/>
        <v>#VALUE!</v>
      </c>
      <c r="J257" s="37" t="e">
        <f t="shared" si="16"/>
        <v>#VALUE!</v>
      </c>
      <c r="K257" s="37" t="e">
        <f t="shared" si="14"/>
        <v>#VALUE!</v>
      </c>
      <c r="L257" t="s">
        <v>1730</v>
      </c>
      <c r="M257" s="36"/>
    </row>
    <row r="258" spans="1:13" hidden="1" x14ac:dyDescent="0.35">
      <c r="A258" t="s">
        <v>2029</v>
      </c>
      <c r="B258" s="2" t="s">
        <v>477</v>
      </c>
      <c r="C258" s="2" t="s">
        <v>790</v>
      </c>
      <c r="D258" s="44" t="s">
        <v>1496</v>
      </c>
      <c r="E258" s="44" t="s">
        <v>1499</v>
      </c>
      <c r="F258" s="44" t="s">
        <v>1560</v>
      </c>
      <c r="G258" s="139" t="s">
        <v>1753</v>
      </c>
      <c r="H258" s="104">
        <v>3066525</v>
      </c>
      <c r="I258" s="37" t="e">
        <f t="shared" si="13"/>
        <v>#VALUE!</v>
      </c>
      <c r="J258" s="37" t="e">
        <f t="shared" si="16"/>
        <v>#VALUE!</v>
      </c>
      <c r="K258" s="37" t="e">
        <f t="shared" si="14"/>
        <v>#VALUE!</v>
      </c>
      <c r="L258" t="s">
        <v>1730</v>
      </c>
      <c r="M258" s="36"/>
    </row>
    <row r="259" spans="1:13" hidden="1" x14ac:dyDescent="0.35">
      <c r="A259" t="s">
        <v>2029</v>
      </c>
      <c r="B259" s="2" t="s">
        <v>477</v>
      </c>
      <c r="C259" s="2" t="s">
        <v>790</v>
      </c>
      <c r="D259" s="44" t="s">
        <v>1496</v>
      </c>
      <c r="E259" s="44" t="s">
        <v>1499</v>
      </c>
      <c r="F259" s="44" t="s">
        <v>1561</v>
      </c>
      <c r="G259" s="139" t="s">
        <v>1753</v>
      </c>
      <c r="H259" s="104">
        <v>3066330</v>
      </c>
      <c r="I259" s="37" t="e">
        <f t="shared" si="13"/>
        <v>#VALUE!</v>
      </c>
      <c r="J259" s="37" t="e">
        <f t="shared" si="16"/>
        <v>#VALUE!</v>
      </c>
      <c r="K259" s="37" t="e">
        <f t="shared" si="14"/>
        <v>#VALUE!</v>
      </c>
      <c r="L259" t="s">
        <v>1730</v>
      </c>
      <c r="M259" s="36"/>
    </row>
    <row r="260" spans="1:13" hidden="1" x14ac:dyDescent="0.35">
      <c r="A260" t="s">
        <v>2029</v>
      </c>
      <c r="B260" s="2" t="s">
        <v>477</v>
      </c>
      <c r="C260" s="2" t="s">
        <v>790</v>
      </c>
      <c r="D260" s="44" t="s">
        <v>1496</v>
      </c>
      <c r="E260" s="44" t="s">
        <v>1499</v>
      </c>
      <c r="F260" s="44" t="s">
        <v>1562</v>
      </c>
      <c r="G260" s="139" t="s">
        <v>1753</v>
      </c>
      <c r="H260" s="104">
        <v>3063926</v>
      </c>
      <c r="I260" s="37" t="e">
        <f t="shared" si="13"/>
        <v>#VALUE!</v>
      </c>
      <c r="J260" s="37" t="e">
        <f t="shared" si="16"/>
        <v>#VALUE!</v>
      </c>
      <c r="K260" s="37" t="e">
        <f t="shared" si="14"/>
        <v>#VALUE!</v>
      </c>
      <c r="L260" t="s">
        <v>1730</v>
      </c>
      <c r="M260" s="36"/>
    </row>
    <row r="261" spans="1:13" hidden="1" x14ac:dyDescent="0.35">
      <c r="A261" t="s">
        <v>2029</v>
      </c>
      <c r="B261" s="2" t="s">
        <v>477</v>
      </c>
      <c r="C261" s="2" t="s">
        <v>790</v>
      </c>
      <c r="D261" s="44" t="s">
        <v>1496</v>
      </c>
      <c r="E261" s="44" t="s">
        <v>1499</v>
      </c>
      <c r="F261" s="44" t="s">
        <v>1563</v>
      </c>
      <c r="G261" s="139" t="s">
        <v>1753</v>
      </c>
      <c r="H261" s="104">
        <v>3063926</v>
      </c>
      <c r="I261" s="37" t="e">
        <f t="shared" si="13"/>
        <v>#VALUE!</v>
      </c>
      <c r="J261" s="37" t="e">
        <f t="shared" si="16"/>
        <v>#VALUE!</v>
      </c>
      <c r="K261" s="37" t="e">
        <f t="shared" si="14"/>
        <v>#VALUE!</v>
      </c>
      <c r="L261" t="s">
        <v>1730</v>
      </c>
      <c r="M261" s="36"/>
    </row>
    <row r="262" spans="1:13" hidden="1" x14ac:dyDescent="0.35">
      <c r="A262" t="s">
        <v>2029</v>
      </c>
      <c r="B262" s="2" t="s">
        <v>477</v>
      </c>
      <c r="C262" s="2" t="s">
        <v>790</v>
      </c>
      <c r="D262" s="44" t="s">
        <v>1496</v>
      </c>
      <c r="E262" s="44" t="s">
        <v>1499</v>
      </c>
      <c r="F262" s="44" t="s">
        <v>1564</v>
      </c>
      <c r="G262" s="139" t="s">
        <v>1753</v>
      </c>
      <c r="H262" s="104">
        <v>3063926</v>
      </c>
      <c r="I262" s="37" t="e">
        <f t="shared" ref="I262:I325" si="17">$I$2-G262+1</f>
        <v>#VALUE!</v>
      </c>
      <c r="J262" s="37" t="e">
        <f t="shared" si="16"/>
        <v>#VALUE!</v>
      </c>
      <c r="K262" s="37" t="e">
        <f t="shared" ref="K262:K325" si="18">IF(I262&lt;180,"0-180 DAYS","More than 180 Days")</f>
        <v>#VALUE!</v>
      </c>
      <c r="L262" t="s">
        <v>1730</v>
      </c>
      <c r="M262" s="36"/>
    </row>
    <row r="263" spans="1:13" hidden="1" x14ac:dyDescent="0.35">
      <c r="A263" t="s">
        <v>2029</v>
      </c>
      <c r="B263" s="2" t="s">
        <v>477</v>
      </c>
      <c r="C263" s="2" t="s">
        <v>790</v>
      </c>
      <c r="D263" s="44" t="s">
        <v>1496</v>
      </c>
      <c r="E263" s="44" t="s">
        <v>1499</v>
      </c>
      <c r="F263" s="44" t="s">
        <v>1565</v>
      </c>
      <c r="G263" s="139" t="s">
        <v>1753</v>
      </c>
      <c r="H263" s="104">
        <v>3063926</v>
      </c>
      <c r="I263" s="37" t="e">
        <f t="shared" si="17"/>
        <v>#VALUE!</v>
      </c>
      <c r="J263" s="37" t="e">
        <f t="shared" si="16"/>
        <v>#VALUE!</v>
      </c>
      <c r="K263" s="37" t="e">
        <f t="shared" si="18"/>
        <v>#VALUE!</v>
      </c>
      <c r="L263" t="s">
        <v>1730</v>
      </c>
      <c r="M263" s="36"/>
    </row>
    <row r="264" spans="1:13" hidden="1" x14ac:dyDescent="0.35">
      <c r="A264" t="s">
        <v>2029</v>
      </c>
      <c r="B264" s="2" t="s">
        <v>477</v>
      </c>
      <c r="C264" s="2" t="s">
        <v>790</v>
      </c>
      <c r="D264" s="44" t="s">
        <v>1496</v>
      </c>
      <c r="E264" s="44" t="s">
        <v>1499</v>
      </c>
      <c r="F264" s="44" t="s">
        <v>1570</v>
      </c>
      <c r="G264" s="139" t="s">
        <v>1755</v>
      </c>
      <c r="H264" s="104">
        <v>3063926</v>
      </c>
      <c r="I264" s="37" t="e">
        <f t="shared" si="17"/>
        <v>#VALUE!</v>
      </c>
      <c r="J264" s="37" t="e">
        <f t="shared" si="16"/>
        <v>#VALUE!</v>
      </c>
      <c r="K264" s="37" t="e">
        <f t="shared" si="18"/>
        <v>#VALUE!</v>
      </c>
      <c r="L264" t="s">
        <v>1730</v>
      </c>
      <c r="M264" s="36"/>
    </row>
    <row r="265" spans="1:13" hidden="1" x14ac:dyDescent="0.35">
      <c r="A265" t="s">
        <v>2029</v>
      </c>
      <c r="B265" s="2" t="s">
        <v>477</v>
      </c>
      <c r="C265" s="2" t="s">
        <v>790</v>
      </c>
      <c r="D265" s="44" t="s">
        <v>1496</v>
      </c>
      <c r="E265" s="44" t="s">
        <v>1499</v>
      </c>
      <c r="F265" s="44" t="s">
        <v>1571</v>
      </c>
      <c r="G265" s="139" t="s">
        <v>1755</v>
      </c>
      <c r="H265" s="104">
        <v>3063926</v>
      </c>
      <c r="I265" s="37" t="e">
        <f t="shared" si="17"/>
        <v>#VALUE!</v>
      </c>
      <c r="J265" s="37" t="e">
        <f t="shared" si="16"/>
        <v>#VALUE!</v>
      </c>
      <c r="K265" s="37" t="e">
        <f t="shared" si="18"/>
        <v>#VALUE!</v>
      </c>
      <c r="L265" t="s">
        <v>1730</v>
      </c>
      <c r="M265" s="36"/>
    </row>
    <row r="266" spans="1:13" hidden="1" x14ac:dyDescent="0.35">
      <c r="A266" t="s">
        <v>2029</v>
      </c>
      <c r="B266" s="2" t="s">
        <v>477</v>
      </c>
      <c r="C266" s="2" t="s">
        <v>790</v>
      </c>
      <c r="D266" s="44" t="s">
        <v>1496</v>
      </c>
      <c r="E266" s="44" t="s">
        <v>1499</v>
      </c>
      <c r="F266" s="44" t="s">
        <v>1572</v>
      </c>
      <c r="G266" s="139" t="s">
        <v>1755</v>
      </c>
      <c r="H266" s="104">
        <v>3063926</v>
      </c>
      <c r="I266" s="37" t="e">
        <f t="shared" si="17"/>
        <v>#VALUE!</v>
      </c>
      <c r="J266" s="37" t="e">
        <f t="shared" si="16"/>
        <v>#VALUE!</v>
      </c>
      <c r="K266" s="37" t="e">
        <f t="shared" si="18"/>
        <v>#VALUE!</v>
      </c>
      <c r="L266" t="s">
        <v>1730</v>
      </c>
      <c r="M266" s="36"/>
    </row>
    <row r="267" spans="1:13" hidden="1" x14ac:dyDescent="0.35">
      <c r="A267" t="s">
        <v>2029</v>
      </c>
      <c r="B267" s="2" t="s">
        <v>477</v>
      </c>
      <c r="C267" s="2" t="s">
        <v>790</v>
      </c>
      <c r="D267" s="44" t="s">
        <v>1496</v>
      </c>
      <c r="E267" s="44" t="s">
        <v>1499</v>
      </c>
      <c r="F267" s="44" t="s">
        <v>1573</v>
      </c>
      <c r="G267" s="139" t="s">
        <v>1755</v>
      </c>
      <c r="H267" s="104">
        <v>3063926</v>
      </c>
      <c r="I267" s="37" t="e">
        <f t="shared" si="17"/>
        <v>#VALUE!</v>
      </c>
      <c r="J267" s="37" t="e">
        <f t="shared" si="16"/>
        <v>#VALUE!</v>
      </c>
      <c r="K267" s="37" t="e">
        <f t="shared" si="18"/>
        <v>#VALUE!</v>
      </c>
      <c r="L267" t="s">
        <v>1730</v>
      </c>
      <c r="M267" s="36"/>
    </row>
    <row r="268" spans="1:13" hidden="1" x14ac:dyDescent="0.35">
      <c r="A268" t="s">
        <v>2029</v>
      </c>
      <c r="B268" s="2" t="s">
        <v>477</v>
      </c>
      <c r="C268" s="2" t="s">
        <v>790</v>
      </c>
      <c r="D268" s="44" t="s">
        <v>1496</v>
      </c>
      <c r="E268" s="44" t="s">
        <v>1499</v>
      </c>
      <c r="F268" s="44" t="s">
        <v>1574</v>
      </c>
      <c r="G268" s="139" t="s">
        <v>1755</v>
      </c>
      <c r="H268" s="104">
        <v>3063926</v>
      </c>
      <c r="I268" s="37" t="e">
        <f t="shared" si="17"/>
        <v>#VALUE!</v>
      </c>
      <c r="J268" s="37" t="e">
        <f t="shared" si="16"/>
        <v>#VALUE!</v>
      </c>
      <c r="K268" s="37" t="e">
        <f t="shared" si="18"/>
        <v>#VALUE!</v>
      </c>
      <c r="L268" t="s">
        <v>1730</v>
      </c>
      <c r="M268" s="36"/>
    </row>
    <row r="269" spans="1:13" hidden="1" x14ac:dyDescent="0.35">
      <c r="A269" t="s">
        <v>2029</v>
      </c>
      <c r="B269" s="2" t="s">
        <v>477</v>
      </c>
      <c r="C269" s="2" t="s">
        <v>790</v>
      </c>
      <c r="D269" s="44" t="s">
        <v>1496</v>
      </c>
      <c r="E269" s="44" t="s">
        <v>1499</v>
      </c>
      <c r="F269" s="44" t="s">
        <v>1575</v>
      </c>
      <c r="G269" s="139" t="s">
        <v>1755</v>
      </c>
      <c r="H269" s="104">
        <v>3063926</v>
      </c>
      <c r="I269" s="37" t="e">
        <f t="shared" si="17"/>
        <v>#VALUE!</v>
      </c>
      <c r="J269" s="37" t="e">
        <f t="shared" si="16"/>
        <v>#VALUE!</v>
      </c>
      <c r="K269" s="37" t="e">
        <f t="shared" si="18"/>
        <v>#VALUE!</v>
      </c>
      <c r="L269" t="s">
        <v>1730</v>
      </c>
      <c r="M269" s="36"/>
    </row>
    <row r="270" spans="1:13" hidden="1" x14ac:dyDescent="0.35">
      <c r="A270" t="s">
        <v>2030</v>
      </c>
      <c r="B270" s="2" t="s">
        <v>477</v>
      </c>
      <c r="C270" s="2" t="s">
        <v>790</v>
      </c>
      <c r="D270" s="44" t="s">
        <v>5</v>
      </c>
      <c r="E270" s="44" t="s">
        <v>6</v>
      </c>
      <c r="F270" s="44" t="s">
        <v>1606</v>
      </c>
      <c r="G270" s="139" t="s">
        <v>1738</v>
      </c>
      <c r="H270" s="104">
        <f>251340-145789</f>
        <v>105551</v>
      </c>
      <c r="I270" s="37">
        <f t="shared" si="17"/>
        <v>-65</v>
      </c>
      <c r="J270" s="37" t="str">
        <f t="shared" si="16"/>
        <v>1-90 DAYS</v>
      </c>
      <c r="K270" s="37" t="str">
        <f t="shared" si="18"/>
        <v>0-180 DAYS</v>
      </c>
      <c r="L270" t="s">
        <v>1730</v>
      </c>
      <c r="M270" s="36"/>
    </row>
    <row r="271" spans="1:13" hidden="1" x14ac:dyDescent="0.35">
      <c r="A271" t="s">
        <v>2030</v>
      </c>
      <c r="B271" s="2" t="s">
        <v>477</v>
      </c>
      <c r="C271" s="2" t="s">
        <v>790</v>
      </c>
      <c r="D271" s="44" t="s">
        <v>0</v>
      </c>
      <c r="E271" s="44" t="s">
        <v>1</v>
      </c>
      <c r="F271" s="44" t="s">
        <v>1610</v>
      </c>
      <c r="G271" s="139" t="s">
        <v>1739</v>
      </c>
      <c r="H271" s="104">
        <v>52321.2</v>
      </c>
      <c r="I271" s="37">
        <f t="shared" si="17"/>
        <v>-96</v>
      </c>
      <c r="J271" s="37" t="str">
        <f t="shared" si="16"/>
        <v>1-90 DAYS</v>
      </c>
      <c r="K271" s="37" t="str">
        <f t="shared" si="18"/>
        <v>0-180 DAYS</v>
      </c>
      <c r="L271" t="s">
        <v>1730</v>
      </c>
      <c r="M271" s="36"/>
    </row>
    <row r="272" spans="1:13" hidden="1" x14ac:dyDescent="0.35">
      <c r="A272" t="s">
        <v>2030</v>
      </c>
      <c r="B272" s="2" t="s">
        <v>477</v>
      </c>
      <c r="C272" s="2" t="s">
        <v>790</v>
      </c>
      <c r="D272" s="44" t="s">
        <v>263</v>
      </c>
      <c r="E272" s="44" t="s">
        <v>264</v>
      </c>
      <c r="F272" s="44" t="s">
        <v>1619</v>
      </c>
      <c r="G272" s="139" t="s">
        <v>1747</v>
      </c>
      <c r="H272" s="104">
        <v>670565.34</v>
      </c>
      <c r="I272" s="37" t="e">
        <f t="shared" si="17"/>
        <v>#VALUE!</v>
      </c>
      <c r="J272" s="37" t="e">
        <f t="shared" si="16"/>
        <v>#VALUE!</v>
      </c>
      <c r="K272" s="37" t="e">
        <f t="shared" si="18"/>
        <v>#VALUE!</v>
      </c>
      <c r="L272" t="s">
        <v>1730</v>
      </c>
      <c r="M272" s="36"/>
    </row>
    <row r="273" spans="1:13" hidden="1" x14ac:dyDescent="0.35">
      <c r="A273" t="s">
        <v>2030</v>
      </c>
      <c r="B273" s="2" t="s">
        <v>477</v>
      </c>
      <c r="C273" s="2" t="s">
        <v>790</v>
      </c>
      <c r="D273" s="44" t="s">
        <v>259</v>
      </c>
      <c r="E273" s="44" t="s">
        <v>260</v>
      </c>
      <c r="F273" s="44" t="s">
        <v>1632</v>
      </c>
      <c r="G273" s="139" t="s">
        <v>1758</v>
      </c>
      <c r="H273" s="104">
        <f>608880-597241</f>
        <v>11639</v>
      </c>
      <c r="I273" s="37" t="e">
        <f t="shared" si="17"/>
        <v>#VALUE!</v>
      </c>
      <c r="J273" s="37" t="e">
        <f t="shared" si="16"/>
        <v>#VALUE!</v>
      </c>
      <c r="K273" s="37" t="e">
        <f t="shared" si="18"/>
        <v>#VALUE!</v>
      </c>
      <c r="L273" t="s">
        <v>1730</v>
      </c>
      <c r="M273" s="36"/>
    </row>
    <row r="274" spans="1:13" hidden="1" x14ac:dyDescent="0.35">
      <c r="A274" t="s">
        <v>2029</v>
      </c>
      <c r="B274" s="2" t="s">
        <v>477</v>
      </c>
      <c r="C274" s="2" t="s">
        <v>790</v>
      </c>
      <c r="D274" s="44" t="s">
        <v>1080</v>
      </c>
      <c r="E274" s="44" t="s">
        <v>1081</v>
      </c>
      <c r="F274" s="44" t="s">
        <v>1842</v>
      </c>
      <c r="G274" s="8" t="s">
        <v>2008</v>
      </c>
      <c r="H274" s="104">
        <v>2545243.88</v>
      </c>
      <c r="I274" s="37">
        <f t="shared" si="17"/>
        <v>208</v>
      </c>
      <c r="J274" s="37" t="str">
        <f t="shared" si="16"/>
        <v>More than 180 Days</v>
      </c>
      <c r="K274" s="37" t="str">
        <f t="shared" si="18"/>
        <v>More than 180 Days</v>
      </c>
      <c r="L274" t="s">
        <v>1730</v>
      </c>
      <c r="M274" s="36"/>
    </row>
    <row r="275" spans="1:13" hidden="1" x14ac:dyDescent="0.35">
      <c r="A275" t="s">
        <v>2029</v>
      </c>
      <c r="B275" s="2" t="s">
        <v>477</v>
      </c>
      <c r="C275" s="2" t="s">
        <v>790</v>
      </c>
      <c r="D275" s="44" t="s">
        <v>1087</v>
      </c>
      <c r="E275" s="44" t="s">
        <v>1088</v>
      </c>
      <c r="F275" s="44" t="s">
        <v>1859</v>
      </c>
      <c r="G275" s="8" t="s">
        <v>2025</v>
      </c>
      <c r="H275" s="104">
        <v>209214</v>
      </c>
      <c r="I275" s="37">
        <f t="shared" si="17"/>
        <v>87</v>
      </c>
      <c r="J275" s="37" t="str">
        <f t="shared" si="16"/>
        <v>1-90 DAYS</v>
      </c>
      <c r="K275" s="37" t="str">
        <f t="shared" si="18"/>
        <v>0-180 DAYS</v>
      </c>
      <c r="L275" t="s">
        <v>1730</v>
      </c>
      <c r="M275" s="36"/>
    </row>
    <row r="276" spans="1:13" hidden="1" x14ac:dyDescent="0.35">
      <c r="A276" t="s">
        <v>2029</v>
      </c>
      <c r="B276" s="2" t="s">
        <v>477</v>
      </c>
      <c r="C276" s="2" t="s">
        <v>790</v>
      </c>
      <c r="D276" s="44" t="s">
        <v>1087</v>
      </c>
      <c r="E276" s="44" t="s">
        <v>1088</v>
      </c>
      <c r="F276" s="44" t="s">
        <v>1860</v>
      </c>
      <c r="G276" s="8" t="s">
        <v>2025</v>
      </c>
      <c r="H276" s="104">
        <v>97173</v>
      </c>
      <c r="I276" s="37">
        <f t="shared" si="17"/>
        <v>87</v>
      </c>
      <c r="J276" s="37" t="str">
        <f t="shared" si="16"/>
        <v>1-90 DAYS</v>
      </c>
      <c r="K276" s="37" t="str">
        <f t="shared" si="18"/>
        <v>0-180 DAYS</v>
      </c>
      <c r="L276" t="s">
        <v>1730</v>
      </c>
      <c r="M276" s="36"/>
    </row>
    <row r="277" spans="1:13" hidden="1" x14ac:dyDescent="0.35">
      <c r="A277" t="s">
        <v>2029</v>
      </c>
      <c r="B277" s="2" t="s">
        <v>477</v>
      </c>
      <c r="C277" s="2" t="s">
        <v>790</v>
      </c>
      <c r="D277" s="44" t="s">
        <v>1080</v>
      </c>
      <c r="E277" s="44" t="s">
        <v>1081</v>
      </c>
      <c r="F277" s="44" t="s">
        <v>1865</v>
      </c>
      <c r="G277" s="8" t="s">
        <v>2019</v>
      </c>
      <c r="H277" s="104">
        <v>477089.54</v>
      </c>
      <c r="I277" s="37">
        <f t="shared" si="17"/>
        <v>56</v>
      </c>
      <c r="J277" s="37" t="str">
        <f t="shared" si="16"/>
        <v>1-90 DAYS</v>
      </c>
      <c r="K277" s="37" t="str">
        <f t="shared" si="18"/>
        <v>0-180 DAYS</v>
      </c>
      <c r="L277" t="s">
        <v>1730</v>
      </c>
      <c r="M277" s="36"/>
    </row>
    <row r="278" spans="1:13" hidden="1" x14ac:dyDescent="0.35">
      <c r="A278" t="s">
        <v>2029</v>
      </c>
      <c r="B278" s="2" t="s">
        <v>477</v>
      </c>
      <c r="C278" s="2" t="s">
        <v>790</v>
      </c>
      <c r="D278" s="44" t="s">
        <v>1080</v>
      </c>
      <c r="E278" s="44" t="s">
        <v>1081</v>
      </c>
      <c r="F278" s="44" t="s">
        <v>1880</v>
      </c>
      <c r="G278" s="8" t="s">
        <v>2021</v>
      </c>
      <c r="H278" s="104">
        <v>477090.02</v>
      </c>
      <c r="I278" s="37">
        <f t="shared" si="17"/>
        <v>-66</v>
      </c>
      <c r="J278" s="37" t="str">
        <f t="shared" si="16"/>
        <v>1-90 DAYS</v>
      </c>
      <c r="K278" s="37" t="str">
        <f t="shared" si="18"/>
        <v>0-180 DAYS</v>
      </c>
      <c r="L278" t="s">
        <v>1730</v>
      </c>
      <c r="M278" s="36"/>
    </row>
    <row r="279" spans="1:13" hidden="1" x14ac:dyDescent="0.35">
      <c r="A279" t="s">
        <v>2029</v>
      </c>
      <c r="B279" s="2" t="s">
        <v>477</v>
      </c>
      <c r="C279" s="2" t="s">
        <v>790</v>
      </c>
      <c r="D279" s="44" t="s">
        <v>1080</v>
      </c>
      <c r="E279" s="44" t="s">
        <v>1081</v>
      </c>
      <c r="F279" s="44" t="s">
        <v>1881</v>
      </c>
      <c r="G279" s="8" t="s">
        <v>2021</v>
      </c>
      <c r="H279" s="104">
        <v>1113390.18</v>
      </c>
      <c r="I279" s="37">
        <f t="shared" si="17"/>
        <v>-66</v>
      </c>
      <c r="J279" s="37" t="str">
        <f t="shared" si="16"/>
        <v>1-90 DAYS</v>
      </c>
      <c r="K279" s="37" t="str">
        <f t="shared" si="18"/>
        <v>0-180 DAYS</v>
      </c>
      <c r="L279" t="s">
        <v>1730</v>
      </c>
      <c r="M279" s="36"/>
    </row>
    <row r="280" spans="1:13" hidden="1" x14ac:dyDescent="0.35">
      <c r="A280" t="s">
        <v>2029</v>
      </c>
      <c r="B280" s="2" t="s">
        <v>477</v>
      </c>
      <c r="C280" s="2" t="s">
        <v>790</v>
      </c>
      <c r="D280" s="44" t="s">
        <v>1080</v>
      </c>
      <c r="E280" s="44" t="s">
        <v>1081</v>
      </c>
      <c r="F280" s="44" t="s">
        <v>1889</v>
      </c>
      <c r="G280" s="8" t="s">
        <v>2024</v>
      </c>
      <c r="H280" s="104">
        <v>1761921.62</v>
      </c>
      <c r="I280" s="37">
        <f t="shared" si="17"/>
        <v>-97</v>
      </c>
      <c r="J280" s="37" t="str">
        <f t="shared" si="16"/>
        <v>1-90 DAYS</v>
      </c>
      <c r="K280" s="37" t="str">
        <f t="shared" si="18"/>
        <v>0-180 DAYS</v>
      </c>
      <c r="L280" t="s">
        <v>1730</v>
      </c>
      <c r="M280" s="36"/>
    </row>
    <row r="281" spans="1:13" hidden="1" x14ac:dyDescent="0.35">
      <c r="A281" t="s">
        <v>2029</v>
      </c>
      <c r="B281" s="2" t="s">
        <v>477</v>
      </c>
      <c r="C281" s="2" t="s">
        <v>790</v>
      </c>
      <c r="D281" s="44" t="s">
        <v>1080</v>
      </c>
      <c r="E281" s="44" t="s">
        <v>1081</v>
      </c>
      <c r="F281" s="44" t="s">
        <v>1890</v>
      </c>
      <c r="G281" s="8" t="s">
        <v>2024</v>
      </c>
      <c r="H281" s="104">
        <v>587307.19999999995</v>
      </c>
      <c r="I281" s="37">
        <f t="shared" si="17"/>
        <v>-97</v>
      </c>
      <c r="J281" s="37" t="str">
        <f t="shared" si="16"/>
        <v>1-90 DAYS</v>
      </c>
      <c r="K281" s="37" t="str">
        <f t="shared" si="18"/>
        <v>0-180 DAYS</v>
      </c>
      <c r="L281" t="s">
        <v>1730</v>
      </c>
      <c r="M281" s="36"/>
    </row>
    <row r="282" spans="1:13" hidden="1" x14ac:dyDescent="0.35">
      <c r="A282" t="s">
        <v>2029</v>
      </c>
      <c r="B282" s="2" t="s">
        <v>477</v>
      </c>
      <c r="C282" s="2" t="s">
        <v>790</v>
      </c>
      <c r="D282" s="44" t="s">
        <v>1080</v>
      </c>
      <c r="E282" s="44" t="s">
        <v>1081</v>
      </c>
      <c r="F282" s="44" t="s">
        <v>1897</v>
      </c>
      <c r="G282" s="8" t="s">
        <v>2009</v>
      </c>
      <c r="H282" s="104">
        <v>1250666.6000000001</v>
      </c>
      <c r="I282" s="37" t="e">
        <f t="shared" si="17"/>
        <v>#VALUE!</v>
      </c>
      <c r="J282" s="37" t="e">
        <f t="shared" si="16"/>
        <v>#VALUE!</v>
      </c>
      <c r="K282" s="37" t="e">
        <f t="shared" si="18"/>
        <v>#VALUE!</v>
      </c>
      <c r="L282" t="s">
        <v>1730</v>
      </c>
      <c r="M282" s="36"/>
    </row>
    <row r="283" spans="1:13" hidden="1" x14ac:dyDescent="0.35">
      <c r="A283" t="s">
        <v>2029</v>
      </c>
      <c r="B283" s="2" t="s">
        <v>477</v>
      </c>
      <c r="C283" s="2" t="s">
        <v>790</v>
      </c>
      <c r="D283" s="44" t="s">
        <v>1080</v>
      </c>
      <c r="E283" s="44" t="s">
        <v>1081</v>
      </c>
      <c r="F283" s="44" t="s">
        <v>1901</v>
      </c>
      <c r="G283" s="8" t="s">
        <v>2010</v>
      </c>
      <c r="H283" s="104">
        <v>1201731.3999999999</v>
      </c>
      <c r="I283" s="37" t="e">
        <f t="shared" si="17"/>
        <v>#VALUE!</v>
      </c>
      <c r="J283" s="37" t="e">
        <f t="shared" si="16"/>
        <v>#VALUE!</v>
      </c>
      <c r="K283" s="37" t="e">
        <f t="shared" si="18"/>
        <v>#VALUE!</v>
      </c>
      <c r="L283" t="s">
        <v>1730</v>
      </c>
      <c r="M283" s="36"/>
    </row>
    <row r="284" spans="1:13" hidden="1" x14ac:dyDescent="0.35">
      <c r="A284" t="s">
        <v>2029</v>
      </c>
      <c r="B284" s="2" t="s">
        <v>477</v>
      </c>
      <c r="C284" s="2" t="s">
        <v>790</v>
      </c>
      <c r="D284" s="44" t="s">
        <v>1087</v>
      </c>
      <c r="E284" s="44" t="s">
        <v>1088</v>
      </c>
      <c r="F284" s="44" t="s">
        <v>1917</v>
      </c>
      <c r="G284" s="8" t="s">
        <v>2013</v>
      </c>
      <c r="H284" s="104">
        <v>326270</v>
      </c>
      <c r="I284" s="37" t="e">
        <f t="shared" si="17"/>
        <v>#VALUE!</v>
      </c>
      <c r="J284" s="37" t="e">
        <f t="shared" si="16"/>
        <v>#VALUE!</v>
      </c>
      <c r="K284" s="37" t="e">
        <f t="shared" si="18"/>
        <v>#VALUE!</v>
      </c>
      <c r="L284" t="s">
        <v>1730</v>
      </c>
      <c r="M284" s="36"/>
    </row>
    <row r="285" spans="1:13" hidden="1" x14ac:dyDescent="0.35">
      <c r="A285" t="s">
        <v>2029</v>
      </c>
      <c r="B285" s="2" t="s">
        <v>477</v>
      </c>
      <c r="C285" s="2" t="s">
        <v>790</v>
      </c>
      <c r="D285" s="44" t="s">
        <v>1087</v>
      </c>
      <c r="E285" s="44" t="s">
        <v>1088</v>
      </c>
      <c r="F285" s="44" t="s">
        <v>1922</v>
      </c>
      <c r="G285" s="8" t="s">
        <v>2014</v>
      </c>
      <c r="H285" s="104">
        <v>288279.90000000002</v>
      </c>
      <c r="I285" s="37" t="e">
        <f t="shared" si="17"/>
        <v>#VALUE!</v>
      </c>
      <c r="J285" s="37" t="e">
        <f t="shared" si="16"/>
        <v>#VALUE!</v>
      </c>
      <c r="K285" s="37" t="e">
        <f t="shared" si="18"/>
        <v>#VALUE!</v>
      </c>
      <c r="L285" t="s">
        <v>1730</v>
      </c>
      <c r="M285" s="36"/>
    </row>
    <row r="286" spans="1:13" hidden="1" x14ac:dyDescent="0.35">
      <c r="A286" t="s">
        <v>2029</v>
      </c>
      <c r="B286" s="2" t="s">
        <v>477</v>
      </c>
      <c r="C286" s="2" t="s">
        <v>790</v>
      </c>
      <c r="D286" s="44" t="s">
        <v>1080</v>
      </c>
      <c r="E286" s="44" t="s">
        <v>1081</v>
      </c>
      <c r="F286" s="44" t="s">
        <v>1923</v>
      </c>
      <c r="G286" s="8" t="s">
        <v>2014</v>
      </c>
      <c r="H286" s="104">
        <v>486521.56</v>
      </c>
      <c r="I286" s="37" t="e">
        <f t="shared" si="17"/>
        <v>#VALUE!</v>
      </c>
      <c r="J286" s="37" t="e">
        <f t="shared" si="16"/>
        <v>#VALUE!</v>
      </c>
      <c r="K286" s="37" t="e">
        <f t="shared" si="18"/>
        <v>#VALUE!</v>
      </c>
      <c r="L286" t="s">
        <v>1730</v>
      </c>
      <c r="M286" s="36"/>
    </row>
    <row r="287" spans="1:13" hidden="1" x14ac:dyDescent="0.35">
      <c r="A287" t="s">
        <v>2029</v>
      </c>
      <c r="B287" s="2" t="s">
        <v>477</v>
      </c>
      <c r="C287" s="2" t="s">
        <v>790</v>
      </c>
      <c r="D287" s="44" t="s">
        <v>1080</v>
      </c>
      <c r="E287" s="44" t="s">
        <v>1081</v>
      </c>
      <c r="F287" s="44" t="s">
        <v>1924</v>
      </c>
      <c r="G287" s="8" t="s">
        <v>2014</v>
      </c>
      <c r="H287" s="104">
        <v>243261.28</v>
      </c>
      <c r="I287" s="37" t="e">
        <f t="shared" si="17"/>
        <v>#VALUE!</v>
      </c>
      <c r="J287" s="37" t="e">
        <f t="shared" si="16"/>
        <v>#VALUE!</v>
      </c>
      <c r="K287" s="37" t="e">
        <f t="shared" si="18"/>
        <v>#VALUE!</v>
      </c>
      <c r="L287" t="s">
        <v>1730</v>
      </c>
      <c r="M287" s="36"/>
    </row>
    <row r="288" spans="1:13" hidden="1" x14ac:dyDescent="0.35">
      <c r="A288" t="s">
        <v>2029</v>
      </c>
      <c r="B288" s="2" t="s">
        <v>477</v>
      </c>
      <c r="C288" s="2" t="s">
        <v>790</v>
      </c>
      <c r="D288" s="44" t="s">
        <v>1080</v>
      </c>
      <c r="E288" s="44" t="s">
        <v>1081</v>
      </c>
      <c r="F288" s="44" t="s">
        <v>1931</v>
      </c>
      <c r="G288" s="8" t="s">
        <v>2015</v>
      </c>
      <c r="H288" s="104">
        <v>304075.8</v>
      </c>
      <c r="I288" s="37" t="e">
        <f t="shared" si="17"/>
        <v>#VALUE!</v>
      </c>
      <c r="J288" s="37" t="e">
        <f t="shared" si="16"/>
        <v>#VALUE!</v>
      </c>
      <c r="K288" s="37" t="e">
        <f t="shared" si="18"/>
        <v>#VALUE!</v>
      </c>
      <c r="L288" t="s">
        <v>1730</v>
      </c>
      <c r="M288" s="36"/>
    </row>
    <row r="289" spans="1:13" hidden="1" x14ac:dyDescent="0.35">
      <c r="A289" t="s">
        <v>2029</v>
      </c>
      <c r="B289" s="2" t="s">
        <v>477</v>
      </c>
      <c r="C289" s="2" t="s">
        <v>790</v>
      </c>
      <c r="D289" s="44" t="s">
        <v>1080</v>
      </c>
      <c r="E289" s="44" t="s">
        <v>1081</v>
      </c>
      <c r="F289" s="44" t="s">
        <v>1932</v>
      </c>
      <c r="G289" s="8" t="s">
        <v>2015</v>
      </c>
      <c r="H289" s="104">
        <v>608152.18000000005</v>
      </c>
      <c r="I289" s="37" t="e">
        <f t="shared" si="17"/>
        <v>#VALUE!</v>
      </c>
      <c r="J289" s="37" t="e">
        <f t="shared" si="16"/>
        <v>#VALUE!</v>
      </c>
      <c r="K289" s="37" t="e">
        <f t="shared" si="18"/>
        <v>#VALUE!</v>
      </c>
      <c r="L289" t="s">
        <v>1730</v>
      </c>
      <c r="M289" s="36"/>
    </row>
    <row r="290" spans="1:13" hidden="1" x14ac:dyDescent="0.35">
      <c r="A290" t="s">
        <v>2029</v>
      </c>
      <c r="B290" s="2" t="s">
        <v>477</v>
      </c>
      <c r="C290" s="2" t="s">
        <v>790</v>
      </c>
      <c r="D290" s="44" t="s">
        <v>1080</v>
      </c>
      <c r="E290" s="44" t="s">
        <v>1081</v>
      </c>
      <c r="F290" s="44" t="s">
        <v>1933</v>
      </c>
      <c r="G290" s="8" t="s">
        <v>2015</v>
      </c>
      <c r="H290" s="104">
        <v>304075.8</v>
      </c>
      <c r="I290" s="37" t="e">
        <f t="shared" si="17"/>
        <v>#VALUE!</v>
      </c>
      <c r="J290" s="37" t="e">
        <f t="shared" si="16"/>
        <v>#VALUE!</v>
      </c>
      <c r="K290" s="37" t="e">
        <f t="shared" si="18"/>
        <v>#VALUE!</v>
      </c>
      <c r="L290" t="s">
        <v>1730</v>
      </c>
      <c r="M290" s="36"/>
    </row>
    <row r="291" spans="1:13" hidden="1" x14ac:dyDescent="0.35">
      <c r="A291" t="s">
        <v>2029</v>
      </c>
      <c r="B291" s="2" t="s">
        <v>477</v>
      </c>
      <c r="C291" s="2" t="s">
        <v>790</v>
      </c>
      <c r="D291" s="44" t="s">
        <v>1080</v>
      </c>
      <c r="E291" s="44" t="s">
        <v>1081</v>
      </c>
      <c r="F291" s="44" t="s">
        <v>1947</v>
      </c>
      <c r="G291" s="8" t="s">
        <v>2026</v>
      </c>
      <c r="H291" s="104">
        <v>1257446.8999999999</v>
      </c>
      <c r="I291" s="37" t="e">
        <f t="shared" si="17"/>
        <v>#VALUE!</v>
      </c>
      <c r="J291" s="37" t="e">
        <f t="shared" si="16"/>
        <v>#VALUE!</v>
      </c>
      <c r="K291" s="37" t="e">
        <f t="shared" si="18"/>
        <v>#VALUE!</v>
      </c>
      <c r="L291" t="s">
        <v>1730</v>
      </c>
      <c r="M291" s="36"/>
    </row>
    <row r="292" spans="1:13" hidden="1" x14ac:dyDescent="0.35">
      <c r="A292" t="s">
        <v>2029</v>
      </c>
      <c r="B292" s="2" t="s">
        <v>477</v>
      </c>
      <c r="C292" s="2" t="s">
        <v>790</v>
      </c>
      <c r="D292" s="44" t="s">
        <v>1080</v>
      </c>
      <c r="E292" s="44" t="s">
        <v>1081</v>
      </c>
      <c r="F292" s="44" t="s">
        <v>1957</v>
      </c>
      <c r="G292" s="8" t="s">
        <v>2017</v>
      </c>
      <c r="H292" s="104">
        <v>2406998.7999999998</v>
      </c>
      <c r="I292" s="37" t="e">
        <f t="shared" si="17"/>
        <v>#VALUE!</v>
      </c>
      <c r="J292" s="37" t="e">
        <f t="shared" si="16"/>
        <v>#VALUE!</v>
      </c>
      <c r="K292" s="37" t="e">
        <f t="shared" si="18"/>
        <v>#VALUE!</v>
      </c>
      <c r="L292" t="s">
        <v>1730</v>
      </c>
      <c r="M292" s="36"/>
    </row>
    <row r="293" spans="1:13" hidden="1" x14ac:dyDescent="0.35">
      <c r="A293" t="s">
        <v>2029</v>
      </c>
      <c r="B293" s="2" t="s">
        <v>477</v>
      </c>
      <c r="C293" s="2" t="s">
        <v>790</v>
      </c>
      <c r="D293" s="44" t="s">
        <v>1080</v>
      </c>
      <c r="E293" s="44" t="s">
        <v>1081</v>
      </c>
      <c r="F293" s="44" t="s">
        <v>1958</v>
      </c>
      <c r="G293" s="8" t="s">
        <v>2017</v>
      </c>
      <c r="H293" s="104">
        <v>1220701.6100000001</v>
      </c>
      <c r="I293" s="37" t="e">
        <f t="shared" si="17"/>
        <v>#VALUE!</v>
      </c>
      <c r="J293" s="37" t="e">
        <f t="shared" si="16"/>
        <v>#VALUE!</v>
      </c>
      <c r="K293" s="37" t="e">
        <f t="shared" si="18"/>
        <v>#VALUE!</v>
      </c>
      <c r="L293" t="s">
        <v>1730</v>
      </c>
      <c r="M293" s="36"/>
    </row>
    <row r="294" spans="1:13" hidden="1" x14ac:dyDescent="0.35">
      <c r="A294" t="s">
        <v>2029</v>
      </c>
      <c r="B294" s="2" t="s">
        <v>477</v>
      </c>
      <c r="C294" s="2" t="s">
        <v>790</v>
      </c>
      <c r="D294" s="44" t="s">
        <v>1839</v>
      </c>
      <c r="E294" s="44" t="s">
        <v>2002</v>
      </c>
      <c r="F294" s="44" t="s">
        <v>1959</v>
      </c>
      <c r="G294" s="8" t="s">
        <v>2017</v>
      </c>
      <c r="H294" s="104">
        <f>102762.66-100</f>
        <v>102662.66</v>
      </c>
      <c r="I294" s="37" t="e">
        <f t="shared" si="17"/>
        <v>#VALUE!</v>
      </c>
      <c r="J294" s="37" t="e">
        <f t="shared" si="16"/>
        <v>#VALUE!</v>
      </c>
      <c r="K294" s="37" t="e">
        <f t="shared" si="18"/>
        <v>#VALUE!</v>
      </c>
      <c r="L294" t="s">
        <v>1730</v>
      </c>
      <c r="M294" s="36"/>
    </row>
    <row r="295" spans="1:13" hidden="1" x14ac:dyDescent="0.35">
      <c r="A295" t="s">
        <v>2029</v>
      </c>
      <c r="B295" s="2" t="s">
        <v>477</v>
      </c>
      <c r="C295" s="2" t="s">
        <v>790</v>
      </c>
      <c r="D295" s="44" t="s">
        <v>1080</v>
      </c>
      <c r="E295" s="44" t="s">
        <v>1081</v>
      </c>
      <c r="F295" s="44" t="s">
        <v>1963</v>
      </c>
      <c r="G295" s="8" t="s">
        <v>2018</v>
      </c>
      <c r="H295" s="104">
        <v>1199611.76</v>
      </c>
      <c r="I295" s="37" t="e">
        <f t="shared" si="17"/>
        <v>#VALUE!</v>
      </c>
      <c r="J295" s="37" t="e">
        <f t="shared" si="16"/>
        <v>#VALUE!</v>
      </c>
      <c r="K295" s="37" t="e">
        <f t="shared" si="18"/>
        <v>#VALUE!</v>
      </c>
      <c r="L295" t="s">
        <v>1730</v>
      </c>
      <c r="M295" s="36"/>
    </row>
    <row r="296" spans="1:13" hidden="1" x14ac:dyDescent="0.35">
      <c r="A296" t="s">
        <v>2029</v>
      </c>
      <c r="B296" s="2" t="s">
        <v>477</v>
      </c>
      <c r="C296" s="2" t="s">
        <v>790</v>
      </c>
      <c r="D296" s="44" t="s">
        <v>1080</v>
      </c>
      <c r="E296" s="44" t="s">
        <v>1081</v>
      </c>
      <c r="F296" s="44" t="s">
        <v>1970</v>
      </c>
      <c r="G296" s="8" t="s">
        <v>2023</v>
      </c>
      <c r="H296" s="104">
        <v>796563.5</v>
      </c>
      <c r="I296" s="37" t="e">
        <f t="shared" si="17"/>
        <v>#VALUE!</v>
      </c>
      <c r="J296" s="37" t="e">
        <f t="shared" si="16"/>
        <v>#VALUE!</v>
      </c>
      <c r="K296" s="37" t="e">
        <f t="shared" si="18"/>
        <v>#VALUE!</v>
      </c>
      <c r="L296" t="s">
        <v>1730</v>
      </c>
      <c r="M296" s="36"/>
    </row>
    <row r="297" spans="1:13" hidden="1" x14ac:dyDescent="0.35">
      <c r="A297" t="s">
        <v>2029</v>
      </c>
      <c r="B297" s="2" t="s">
        <v>477</v>
      </c>
      <c r="C297" s="2" t="s">
        <v>790</v>
      </c>
      <c r="D297" s="44" t="s">
        <v>1080</v>
      </c>
      <c r="E297" s="44" t="s">
        <v>1081</v>
      </c>
      <c r="F297" s="44" t="s">
        <v>1971</v>
      </c>
      <c r="G297" s="8" t="s">
        <v>2023</v>
      </c>
      <c r="H297" s="104">
        <v>2404643.16</v>
      </c>
      <c r="I297" s="37" t="e">
        <f t="shared" si="17"/>
        <v>#VALUE!</v>
      </c>
      <c r="J297" s="37" t="e">
        <f t="shared" si="16"/>
        <v>#VALUE!</v>
      </c>
      <c r="K297" s="37" t="e">
        <f t="shared" si="18"/>
        <v>#VALUE!</v>
      </c>
      <c r="L297" t="s">
        <v>1730</v>
      </c>
      <c r="M297" s="36"/>
    </row>
    <row r="298" spans="1:13" hidden="1" x14ac:dyDescent="0.35">
      <c r="A298" t="s">
        <v>2030</v>
      </c>
      <c r="B298" s="2" t="s">
        <v>477</v>
      </c>
      <c r="C298" s="2" t="s">
        <v>790</v>
      </c>
      <c r="D298" s="44" t="s">
        <v>1841</v>
      </c>
      <c r="E298" s="44" t="s">
        <v>2004</v>
      </c>
      <c r="F298" s="44" t="s">
        <v>1982</v>
      </c>
      <c r="G298" s="8" t="s">
        <v>2011</v>
      </c>
      <c r="H298" s="104">
        <v>18408</v>
      </c>
      <c r="I298" s="37" t="e">
        <f t="shared" si="17"/>
        <v>#VALUE!</v>
      </c>
      <c r="J298" s="37" t="e">
        <f t="shared" si="16"/>
        <v>#VALUE!</v>
      </c>
      <c r="K298" s="37" t="e">
        <f t="shared" si="18"/>
        <v>#VALUE!</v>
      </c>
      <c r="L298" t="s">
        <v>1730</v>
      </c>
      <c r="M298" s="36"/>
    </row>
    <row r="299" spans="1:13" hidden="1" x14ac:dyDescent="0.35">
      <c r="A299" t="s">
        <v>2030</v>
      </c>
      <c r="B299" s="2" t="s">
        <v>477</v>
      </c>
      <c r="C299" s="2" t="s">
        <v>790</v>
      </c>
      <c r="D299" s="44" t="s">
        <v>1093</v>
      </c>
      <c r="E299" s="44" t="s">
        <v>1094</v>
      </c>
      <c r="F299" s="44" t="s">
        <v>1985</v>
      </c>
      <c r="G299" s="8" t="s">
        <v>2012</v>
      </c>
      <c r="H299" s="104">
        <v>150482.32999999999</v>
      </c>
      <c r="I299" s="37" t="e">
        <f t="shared" si="17"/>
        <v>#VALUE!</v>
      </c>
      <c r="J299" s="37" t="e">
        <f t="shared" si="16"/>
        <v>#VALUE!</v>
      </c>
      <c r="K299" s="37" t="e">
        <f t="shared" si="18"/>
        <v>#VALUE!</v>
      </c>
      <c r="L299" t="s">
        <v>1730</v>
      </c>
      <c r="M299" s="36"/>
    </row>
    <row r="300" spans="1:13" hidden="1" x14ac:dyDescent="0.35">
      <c r="A300" t="s">
        <v>2030</v>
      </c>
      <c r="B300" s="2" t="s">
        <v>477</v>
      </c>
      <c r="C300" s="2" t="s">
        <v>790</v>
      </c>
      <c r="D300" s="44" t="s">
        <v>430</v>
      </c>
      <c r="E300" s="44" t="s">
        <v>431</v>
      </c>
      <c r="F300" s="44" t="s">
        <v>1986</v>
      </c>
      <c r="G300" s="8" t="s">
        <v>2013</v>
      </c>
      <c r="H300" s="104">
        <f>502450.5-121309</f>
        <v>381141.5</v>
      </c>
      <c r="I300" s="37" t="e">
        <f t="shared" si="17"/>
        <v>#VALUE!</v>
      </c>
      <c r="J300" s="37" t="e">
        <f t="shared" si="16"/>
        <v>#VALUE!</v>
      </c>
      <c r="K300" s="37" t="e">
        <f t="shared" si="18"/>
        <v>#VALUE!</v>
      </c>
      <c r="L300" t="s">
        <v>1730</v>
      </c>
      <c r="M300" s="36"/>
    </row>
    <row r="301" spans="1:13" hidden="1" x14ac:dyDescent="0.35">
      <c r="A301" t="s">
        <v>2030</v>
      </c>
      <c r="B301" s="2" t="s">
        <v>477</v>
      </c>
      <c r="C301" s="2" t="s">
        <v>790</v>
      </c>
      <c r="D301" s="44" t="s">
        <v>1093</v>
      </c>
      <c r="E301" s="44" t="s">
        <v>1094</v>
      </c>
      <c r="F301" s="44" t="s">
        <v>1989</v>
      </c>
      <c r="G301" s="8" t="s">
        <v>2022</v>
      </c>
      <c r="H301" s="104">
        <v>121196.16</v>
      </c>
      <c r="I301" s="37" t="e">
        <f t="shared" si="17"/>
        <v>#VALUE!</v>
      </c>
      <c r="J301" s="37" t="e">
        <f t="shared" ref="J301:J331" si="19">IF(I301&lt;91,"1-90 DAYS",IF(I301&lt;121,"91-120DAYS",IF(I301&lt;181,"121-180 DAYS","More than 180 Days")))</f>
        <v>#VALUE!</v>
      </c>
      <c r="K301" s="37" t="e">
        <f t="shared" si="18"/>
        <v>#VALUE!</v>
      </c>
      <c r="L301" t="s">
        <v>1730</v>
      </c>
      <c r="M301" s="36"/>
    </row>
    <row r="302" spans="1:13" hidden="1" x14ac:dyDescent="0.35">
      <c r="A302" t="s">
        <v>2030</v>
      </c>
      <c r="B302" s="2" t="s">
        <v>477</v>
      </c>
      <c r="C302" s="2" t="s">
        <v>790</v>
      </c>
      <c r="D302" s="44" t="s">
        <v>1056</v>
      </c>
      <c r="E302" s="44" t="s">
        <v>1057</v>
      </c>
      <c r="F302" s="44" t="s">
        <v>1992</v>
      </c>
      <c r="G302" s="8" t="s">
        <v>2016</v>
      </c>
      <c r="H302" s="104">
        <v>41117.1</v>
      </c>
      <c r="I302" s="37" t="e">
        <f t="shared" si="17"/>
        <v>#VALUE!</v>
      </c>
      <c r="J302" s="37" t="e">
        <f t="shared" si="19"/>
        <v>#VALUE!</v>
      </c>
      <c r="K302" s="37" t="e">
        <f t="shared" si="18"/>
        <v>#VALUE!</v>
      </c>
      <c r="L302" t="s">
        <v>1730</v>
      </c>
      <c r="M302" s="36"/>
    </row>
    <row r="303" spans="1:13" hidden="1" x14ac:dyDescent="0.35">
      <c r="B303" s="2" t="s">
        <v>477</v>
      </c>
      <c r="C303" s="2" t="s">
        <v>790</v>
      </c>
      <c r="D303" s="44" t="s">
        <v>1080</v>
      </c>
      <c r="E303" s="44" t="s">
        <v>1081</v>
      </c>
      <c r="F303" s="44" t="s">
        <v>2034</v>
      </c>
      <c r="G303" s="45">
        <v>45477</v>
      </c>
      <c r="H303" s="44">
        <v>601779.69999999995</v>
      </c>
      <c r="I303" s="37">
        <f t="shared" si="17"/>
        <v>28</v>
      </c>
      <c r="J303" s="37" t="str">
        <f t="shared" si="19"/>
        <v>1-90 DAYS</v>
      </c>
      <c r="K303" s="37" t="str">
        <f t="shared" si="18"/>
        <v>0-180 DAYS</v>
      </c>
    </row>
    <row r="304" spans="1:13" hidden="1" x14ac:dyDescent="0.35">
      <c r="B304" s="2" t="s">
        <v>477</v>
      </c>
      <c r="C304" s="2" t="s">
        <v>790</v>
      </c>
      <c r="D304" s="44" t="s">
        <v>1080</v>
      </c>
      <c r="E304" s="44" t="s">
        <v>1081</v>
      </c>
      <c r="F304" s="44" t="s">
        <v>2035</v>
      </c>
      <c r="G304" s="45">
        <v>45478</v>
      </c>
      <c r="H304" s="44">
        <v>229751.84</v>
      </c>
      <c r="I304" s="37">
        <f t="shared" si="17"/>
        <v>27</v>
      </c>
      <c r="J304" s="37" t="str">
        <f t="shared" si="19"/>
        <v>1-90 DAYS</v>
      </c>
      <c r="K304" s="37" t="str">
        <f t="shared" si="18"/>
        <v>0-180 DAYS</v>
      </c>
    </row>
    <row r="305" spans="2:11" hidden="1" x14ac:dyDescent="0.35">
      <c r="B305" s="2" t="s">
        <v>477</v>
      </c>
      <c r="C305" s="2" t="s">
        <v>790</v>
      </c>
      <c r="D305" s="44" t="s">
        <v>1080</v>
      </c>
      <c r="E305" s="44" t="s">
        <v>1081</v>
      </c>
      <c r="F305" s="44" t="s">
        <v>2036</v>
      </c>
      <c r="G305" s="45">
        <v>45479</v>
      </c>
      <c r="H305" s="44">
        <v>61404.81</v>
      </c>
      <c r="I305" s="37">
        <f t="shared" si="17"/>
        <v>26</v>
      </c>
      <c r="J305" s="37" t="str">
        <f t="shared" si="19"/>
        <v>1-90 DAYS</v>
      </c>
      <c r="K305" s="37" t="str">
        <f t="shared" si="18"/>
        <v>0-180 DAYS</v>
      </c>
    </row>
    <row r="306" spans="2:11" hidden="1" x14ac:dyDescent="0.35">
      <c r="B306" s="2" t="s">
        <v>477</v>
      </c>
      <c r="C306" s="2" t="s">
        <v>790</v>
      </c>
      <c r="D306" s="44" t="s">
        <v>1080</v>
      </c>
      <c r="E306" s="44" t="s">
        <v>1081</v>
      </c>
      <c r="F306" s="44" t="s">
        <v>2037</v>
      </c>
      <c r="G306" s="45">
        <v>45481</v>
      </c>
      <c r="H306" s="44">
        <v>369746.98</v>
      </c>
      <c r="I306" s="37">
        <f t="shared" si="17"/>
        <v>24</v>
      </c>
      <c r="J306" s="37" t="str">
        <f t="shared" si="19"/>
        <v>1-90 DAYS</v>
      </c>
      <c r="K306" s="37" t="str">
        <f t="shared" si="18"/>
        <v>0-180 DAYS</v>
      </c>
    </row>
    <row r="307" spans="2:11" hidden="1" x14ac:dyDescent="0.35">
      <c r="B307" s="2" t="s">
        <v>477</v>
      </c>
      <c r="C307" s="2" t="s">
        <v>790</v>
      </c>
      <c r="D307" s="44" t="s">
        <v>1838</v>
      </c>
      <c r="E307" s="44" t="s">
        <v>2001</v>
      </c>
      <c r="F307" s="44" t="s">
        <v>2038</v>
      </c>
      <c r="G307" s="45">
        <v>45482</v>
      </c>
      <c r="H307" s="44">
        <v>863092.12</v>
      </c>
      <c r="I307" s="37">
        <f t="shared" si="17"/>
        <v>23</v>
      </c>
      <c r="J307" s="37" t="str">
        <f t="shared" si="19"/>
        <v>1-90 DAYS</v>
      </c>
      <c r="K307" s="37" t="str">
        <f t="shared" si="18"/>
        <v>0-180 DAYS</v>
      </c>
    </row>
    <row r="308" spans="2:11" hidden="1" x14ac:dyDescent="0.35">
      <c r="B308" s="2" t="s">
        <v>477</v>
      </c>
      <c r="C308" s="2" t="s">
        <v>790</v>
      </c>
      <c r="D308" s="44" t="s">
        <v>2032</v>
      </c>
      <c r="E308" s="44" t="s">
        <v>2063</v>
      </c>
      <c r="F308" s="44" t="s">
        <v>2039</v>
      </c>
      <c r="G308" s="45">
        <v>45482</v>
      </c>
      <c r="H308" s="44">
        <v>2847487.5</v>
      </c>
      <c r="I308" s="37">
        <f t="shared" si="17"/>
        <v>23</v>
      </c>
      <c r="J308" s="37" t="str">
        <f t="shared" si="19"/>
        <v>1-90 DAYS</v>
      </c>
      <c r="K308" s="37" t="str">
        <f t="shared" si="18"/>
        <v>0-180 DAYS</v>
      </c>
    </row>
    <row r="309" spans="2:11" hidden="1" x14ac:dyDescent="0.35">
      <c r="B309" s="2" t="s">
        <v>477</v>
      </c>
      <c r="C309" s="2" t="s">
        <v>790</v>
      </c>
      <c r="D309" s="44" t="s">
        <v>2032</v>
      </c>
      <c r="E309" s="44" t="s">
        <v>2063</v>
      </c>
      <c r="F309" s="44" t="s">
        <v>2040</v>
      </c>
      <c r="G309" s="45">
        <v>45482</v>
      </c>
      <c r="H309" s="44">
        <v>2847487.5</v>
      </c>
      <c r="I309" s="37">
        <f t="shared" si="17"/>
        <v>23</v>
      </c>
      <c r="J309" s="37" t="str">
        <f t="shared" si="19"/>
        <v>1-90 DAYS</v>
      </c>
      <c r="K309" s="37" t="str">
        <f t="shared" si="18"/>
        <v>0-180 DAYS</v>
      </c>
    </row>
    <row r="310" spans="2:11" hidden="1" x14ac:dyDescent="0.35">
      <c r="B310" s="2" t="s">
        <v>477</v>
      </c>
      <c r="C310" s="2" t="s">
        <v>790</v>
      </c>
      <c r="D310" s="44" t="s">
        <v>2033</v>
      </c>
      <c r="E310" s="44" t="s">
        <v>1499</v>
      </c>
      <c r="F310" s="44" t="s">
        <v>2041</v>
      </c>
      <c r="G310" s="45">
        <v>45484</v>
      </c>
      <c r="H310" s="44">
        <v>15182802</v>
      </c>
      <c r="I310" s="37">
        <f t="shared" si="17"/>
        <v>21</v>
      </c>
      <c r="J310" s="37" t="str">
        <f t="shared" si="19"/>
        <v>1-90 DAYS</v>
      </c>
      <c r="K310" s="37" t="str">
        <f t="shared" si="18"/>
        <v>0-180 DAYS</v>
      </c>
    </row>
    <row r="311" spans="2:11" hidden="1" x14ac:dyDescent="0.35">
      <c r="B311" s="2" t="s">
        <v>477</v>
      </c>
      <c r="C311" s="2" t="s">
        <v>790</v>
      </c>
      <c r="D311" s="44" t="s">
        <v>2032</v>
      </c>
      <c r="E311" s="44" t="s">
        <v>2063</v>
      </c>
      <c r="F311" s="44" t="s">
        <v>2042</v>
      </c>
      <c r="G311" s="45">
        <v>45485</v>
      </c>
      <c r="H311" s="44">
        <v>2932787.5</v>
      </c>
      <c r="I311" s="37">
        <f t="shared" si="17"/>
        <v>20</v>
      </c>
      <c r="J311" s="37" t="str">
        <f t="shared" si="19"/>
        <v>1-90 DAYS</v>
      </c>
      <c r="K311" s="37" t="str">
        <f t="shared" si="18"/>
        <v>0-180 DAYS</v>
      </c>
    </row>
    <row r="312" spans="2:11" hidden="1" x14ac:dyDescent="0.35">
      <c r="B312" s="2" t="s">
        <v>477</v>
      </c>
      <c r="C312" s="2" t="s">
        <v>790</v>
      </c>
      <c r="D312" s="44" t="s">
        <v>2032</v>
      </c>
      <c r="E312" s="44" t="s">
        <v>2063</v>
      </c>
      <c r="F312" s="44" t="s">
        <v>2043</v>
      </c>
      <c r="G312" s="45">
        <v>45485</v>
      </c>
      <c r="H312" s="44">
        <v>2932615.5</v>
      </c>
      <c r="I312" s="37">
        <f t="shared" si="17"/>
        <v>20</v>
      </c>
      <c r="J312" s="37" t="str">
        <f t="shared" si="19"/>
        <v>1-90 DAYS</v>
      </c>
      <c r="K312" s="37" t="str">
        <f t="shared" si="18"/>
        <v>0-180 DAYS</v>
      </c>
    </row>
    <row r="313" spans="2:11" hidden="1" x14ac:dyDescent="0.35">
      <c r="B313" s="2" t="s">
        <v>477</v>
      </c>
      <c r="C313" s="2" t="s">
        <v>790</v>
      </c>
      <c r="D313" s="44" t="s">
        <v>2032</v>
      </c>
      <c r="E313" s="44" t="s">
        <v>2063</v>
      </c>
      <c r="F313" s="44" t="s">
        <v>2044</v>
      </c>
      <c r="G313" s="45">
        <v>45485</v>
      </c>
      <c r="H313" s="44">
        <v>2932615.5</v>
      </c>
      <c r="I313" s="37">
        <f t="shared" si="17"/>
        <v>20</v>
      </c>
      <c r="J313" s="37" t="str">
        <f t="shared" si="19"/>
        <v>1-90 DAYS</v>
      </c>
      <c r="K313" s="37" t="str">
        <f t="shared" si="18"/>
        <v>0-180 DAYS</v>
      </c>
    </row>
    <row r="314" spans="2:11" hidden="1" x14ac:dyDescent="0.35">
      <c r="B314" s="2" t="s">
        <v>477</v>
      </c>
      <c r="C314" s="2" t="s">
        <v>790</v>
      </c>
      <c r="D314" s="44" t="s">
        <v>2032</v>
      </c>
      <c r="E314" s="44" t="s">
        <v>2063</v>
      </c>
      <c r="F314" s="44" t="s">
        <v>2045</v>
      </c>
      <c r="G314" s="45">
        <v>45485</v>
      </c>
      <c r="H314" s="44">
        <v>2932615.5</v>
      </c>
      <c r="I314" s="37">
        <f t="shared" si="17"/>
        <v>20</v>
      </c>
      <c r="J314" s="37" t="str">
        <f t="shared" si="19"/>
        <v>1-90 DAYS</v>
      </c>
      <c r="K314" s="37" t="str">
        <f t="shared" si="18"/>
        <v>0-180 DAYS</v>
      </c>
    </row>
    <row r="315" spans="2:11" hidden="1" x14ac:dyDescent="0.35">
      <c r="B315" s="2" t="s">
        <v>477</v>
      </c>
      <c r="C315" s="2" t="s">
        <v>790</v>
      </c>
      <c r="D315" s="44" t="s">
        <v>2032</v>
      </c>
      <c r="E315" s="44" t="s">
        <v>2063</v>
      </c>
      <c r="F315" s="44" t="s">
        <v>2046</v>
      </c>
      <c r="G315" s="45">
        <v>45489</v>
      </c>
      <c r="H315" s="44">
        <v>2845074.5</v>
      </c>
      <c r="I315" s="37">
        <f t="shared" si="17"/>
        <v>16</v>
      </c>
      <c r="J315" s="37" t="str">
        <f t="shared" si="19"/>
        <v>1-90 DAYS</v>
      </c>
      <c r="K315" s="37" t="str">
        <f t="shared" si="18"/>
        <v>0-180 DAYS</v>
      </c>
    </row>
    <row r="316" spans="2:11" hidden="1" x14ac:dyDescent="0.35">
      <c r="B316" s="2" t="s">
        <v>477</v>
      </c>
      <c r="C316" s="2" t="s">
        <v>790</v>
      </c>
      <c r="D316" s="44" t="s">
        <v>2032</v>
      </c>
      <c r="E316" s="44" t="s">
        <v>2063</v>
      </c>
      <c r="F316" s="44" t="s">
        <v>2047</v>
      </c>
      <c r="G316" s="45">
        <v>45489</v>
      </c>
      <c r="H316" s="44">
        <v>2845074.5</v>
      </c>
      <c r="I316" s="37">
        <f t="shared" si="17"/>
        <v>16</v>
      </c>
      <c r="J316" s="37" t="str">
        <f t="shared" si="19"/>
        <v>1-90 DAYS</v>
      </c>
      <c r="K316" s="37" t="str">
        <f t="shared" si="18"/>
        <v>0-180 DAYS</v>
      </c>
    </row>
    <row r="317" spans="2:11" hidden="1" x14ac:dyDescent="0.35">
      <c r="B317" s="2" t="s">
        <v>477</v>
      </c>
      <c r="C317" s="2" t="s">
        <v>790</v>
      </c>
      <c r="D317" s="44" t="s">
        <v>2032</v>
      </c>
      <c r="E317" s="44" t="s">
        <v>2063</v>
      </c>
      <c r="F317" s="44" t="s">
        <v>2048</v>
      </c>
      <c r="G317" s="45">
        <v>45489</v>
      </c>
      <c r="H317" s="44">
        <v>2845074.5</v>
      </c>
      <c r="I317" s="37">
        <f t="shared" si="17"/>
        <v>16</v>
      </c>
      <c r="J317" s="37" t="str">
        <f t="shared" si="19"/>
        <v>1-90 DAYS</v>
      </c>
      <c r="K317" s="37" t="str">
        <f t="shared" si="18"/>
        <v>0-180 DAYS</v>
      </c>
    </row>
    <row r="318" spans="2:11" hidden="1" x14ac:dyDescent="0.35">
      <c r="B318" s="2" t="s">
        <v>477</v>
      </c>
      <c r="C318" s="2" t="s">
        <v>790</v>
      </c>
      <c r="D318" s="44" t="s">
        <v>1087</v>
      </c>
      <c r="E318" s="44" t="s">
        <v>1088</v>
      </c>
      <c r="F318" s="44" t="s">
        <v>2049</v>
      </c>
      <c r="G318" s="45">
        <v>45492</v>
      </c>
      <c r="H318" s="44">
        <v>362484</v>
      </c>
      <c r="I318" s="37">
        <f t="shared" si="17"/>
        <v>13</v>
      </c>
      <c r="J318" s="37" t="str">
        <f t="shared" si="19"/>
        <v>1-90 DAYS</v>
      </c>
      <c r="K318" s="37" t="str">
        <f t="shared" si="18"/>
        <v>0-180 DAYS</v>
      </c>
    </row>
    <row r="319" spans="2:11" hidden="1" x14ac:dyDescent="0.35">
      <c r="B319" s="2" t="s">
        <v>477</v>
      </c>
      <c r="C319" s="2" t="s">
        <v>790</v>
      </c>
      <c r="D319" s="44" t="s">
        <v>1087</v>
      </c>
      <c r="E319" s="44" t="s">
        <v>1088</v>
      </c>
      <c r="F319" s="44" t="s">
        <v>2050</v>
      </c>
      <c r="G319" s="45">
        <v>45496</v>
      </c>
      <c r="H319" s="44">
        <v>355770</v>
      </c>
      <c r="I319" s="37">
        <f t="shared" si="17"/>
        <v>9</v>
      </c>
      <c r="J319" s="37" t="str">
        <f t="shared" si="19"/>
        <v>1-90 DAYS</v>
      </c>
      <c r="K319" s="37" t="str">
        <f t="shared" si="18"/>
        <v>0-180 DAYS</v>
      </c>
    </row>
    <row r="320" spans="2:11" hidden="1" x14ac:dyDescent="0.35">
      <c r="B320" s="2" t="s">
        <v>477</v>
      </c>
      <c r="C320" s="2" t="s">
        <v>790</v>
      </c>
      <c r="D320" s="44" t="s">
        <v>1080</v>
      </c>
      <c r="E320" s="44" t="s">
        <v>1081</v>
      </c>
      <c r="F320" s="44" t="s">
        <v>2051</v>
      </c>
      <c r="G320" s="45">
        <v>45499</v>
      </c>
      <c r="H320" s="44">
        <v>614047.18000000005</v>
      </c>
      <c r="I320" s="37">
        <f t="shared" si="17"/>
        <v>6</v>
      </c>
      <c r="J320" s="37" t="str">
        <f t="shared" si="19"/>
        <v>1-90 DAYS</v>
      </c>
      <c r="K320" s="37" t="str">
        <f t="shared" si="18"/>
        <v>0-180 DAYS</v>
      </c>
    </row>
    <row r="321" spans="2:11" hidden="1" x14ac:dyDescent="0.35">
      <c r="B321" s="2" t="s">
        <v>477</v>
      </c>
      <c r="C321" s="2" t="s">
        <v>790</v>
      </c>
      <c r="D321" s="44" t="s">
        <v>1080</v>
      </c>
      <c r="E321" s="44" t="s">
        <v>1081</v>
      </c>
      <c r="F321" s="44" t="s">
        <v>2052</v>
      </c>
      <c r="G321" s="45">
        <v>45499</v>
      </c>
      <c r="H321" s="44">
        <v>363419.92</v>
      </c>
      <c r="I321" s="37">
        <f t="shared" si="17"/>
        <v>6</v>
      </c>
      <c r="J321" s="37" t="str">
        <f t="shared" si="19"/>
        <v>1-90 DAYS</v>
      </c>
      <c r="K321" s="37" t="str">
        <f t="shared" si="18"/>
        <v>0-180 DAYS</v>
      </c>
    </row>
    <row r="322" spans="2:11" hidden="1" x14ac:dyDescent="0.35">
      <c r="B322" s="2" t="s">
        <v>477</v>
      </c>
      <c r="C322" s="2" t="s">
        <v>790</v>
      </c>
      <c r="D322" s="44" t="s">
        <v>1080</v>
      </c>
      <c r="E322" s="44" t="s">
        <v>1081</v>
      </c>
      <c r="F322" s="44" t="s">
        <v>2053</v>
      </c>
      <c r="G322" s="45">
        <v>45500</v>
      </c>
      <c r="H322" s="44">
        <v>491237.08</v>
      </c>
      <c r="I322" s="37">
        <f t="shared" si="17"/>
        <v>5</v>
      </c>
      <c r="J322" s="37" t="str">
        <f t="shared" si="19"/>
        <v>1-90 DAYS</v>
      </c>
      <c r="K322" s="37" t="str">
        <f t="shared" si="18"/>
        <v>0-180 DAYS</v>
      </c>
    </row>
    <row r="323" spans="2:11" hidden="1" x14ac:dyDescent="0.35">
      <c r="B323" s="2" t="s">
        <v>477</v>
      </c>
      <c r="C323" s="2" t="s">
        <v>790</v>
      </c>
      <c r="D323" s="44" t="s">
        <v>1080</v>
      </c>
      <c r="E323" s="44" t="s">
        <v>1081</v>
      </c>
      <c r="F323" s="44" t="s">
        <v>2054</v>
      </c>
      <c r="G323" s="45">
        <v>45500</v>
      </c>
      <c r="H323" s="44">
        <v>1211400.58</v>
      </c>
      <c r="I323" s="37">
        <f t="shared" si="17"/>
        <v>5</v>
      </c>
      <c r="J323" s="37" t="str">
        <f t="shared" si="19"/>
        <v>1-90 DAYS</v>
      </c>
      <c r="K323" s="37" t="str">
        <f t="shared" si="18"/>
        <v>0-180 DAYS</v>
      </c>
    </row>
    <row r="324" spans="2:11" hidden="1" x14ac:dyDescent="0.35">
      <c r="B324" s="2" t="s">
        <v>477</v>
      </c>
      <c r="C324" s="2" t="s">
        <v>790</v>
      </c>
      <c r="D324" s="44" t="s">
        <v>1080</v>
      </c>
      <c r="E324" s="44" t="s">
        <v>1081</v>
      </c>
      <c r="F324" s="44" t="s">
        <v>2055</v>
      </c>
      <c r="G324" s="45">
        <v>45500</v>
      </c>
      <c r="H324" s="44">
        <v>2849496.68</v>
      </c>
      <c r="I324" s="37">
        <f t="shared" si="17"/>
        <v>5</v>
      </c>
      <c r="J324" s="37" t="str">
        <f t="shared" si="19"/>
        <v>1-90 DAYS</v>
      </c>
      <c r="K324" s="37" t="str">
        <f t="shared" si="18"/>
        <v>0-180 DAYS</v>
      </c>
    </row>
    <row r="325" spans="2:11" hidden="1" x14ac:dyDescent="0.35">
      <c r="B325" s="2" t="s">
        <v>477</v>
      </c>
      <c r="C325" s="2" t="s">
        <v>790</v>
      </c>
      <c r="D325" s="44" t="s">
        <v>1080</v>
      </c>
      <c r="E325" s="44" t="s">
        <v>1081</v>
      </c>
      <c r="F325" s="44" t="s">
        <v>2056</v>
      </c>
      <c r="G325" s="45">
        <v>45502</v>
      </c>
      <c r="H325" s="44">
        <v>245619.28</v>
      </c>
      <c r="I325" s="37">
        <f t="shared" si="17"/>
        <v>3</v>
      </c>
      <c r="J325" s="37" t="str">
        <f t="shared" si="19"/>
        <v>1-90 DAYS</v>
      </c>
      <c r="K325" s="37" t="str">
        <f t="shared" si="18"/>
        <v>0-180 DAYS</v>
      </c>
    </row>
    <row r="326" spans="2:11" hidden="1" x14ac:dyDescent="0.35">
      <c r="B326" s="2" t="s">
        <v>477</v>
      </c>
      <c r="C326" s="2" t="s">
        <v>790</v>
      </c>
      <c r="D326" s="44" t="s">
        <v>1080</v>
      </c>
      <c r="E326" s="44" t="s">
        <v>1081</v>
      </c>
      <c r="F326" s="44" t="s">
        <v>2057</v>
      </c>
      <c r="G326" s="45">
        <v>45502</v>
      </c>
      <c r="H326" s="44">
        <v>491237.56</v>
      </c>
      <c r="I326" s="37">
        <f t="shared" ref="I326:I389" si="20">$I$2-G326+1</f>
        <v>3</v>
      </c>
      <c r="J326" s="37" t="str">
        <f t="shared" si="19"/>
        <v>1-90 DAYS</v>
      </c>
      <c r="K326" s="37" t="str">
        <f t="shared" ref="K326:K389" si="21">IF(I326&lt;180,"0-180 DAYS","More than 180 Days")</f>
        <v>0-180 DAYS</v>
      </c>
    </row>
    <row r="327" spans="2:11" hidden="1" x14ac:dyDescent="0.35">
      <c r="B327" s="2" t="s">
        <v>477</v>
      </c>
      <c r="C327" s="2" t="s">
        <v>790</v>
      </c>
      <c r="D327" s="44" t="s">
        <v>1080</v>
      </c>
      <c r="E327" s="44" t="s">
        <v>1081</v>
      </c>
      <c r="F327" s="44" t="s">
        <v>2058</v>
      </c>
      <c r="G327" s="45">
        <v>45503</v>
      </c>
      <c r="H327" s="44">
        <v>242279.52</v>
      </c>
      <c r="I327" s="37">
        <f t="shared" si="20"/>
        <v>2</v>
      </c>
      <c r="J327" s="37" t="str">
        <f t="shared" si="19"/>
        <v>1-90 DAYS</v>
      </c>
      <c r="K327" s="37" t="str">
        <f t="shared" si="21"/>
        <v>0-180 DAYS</v>
      </c>
    </row>
    <row r="328" spans="2:11" hidden="1" x14ac:dyDescent="0.35">
      <c r="B328" s="2" t="s">
        <v>477</v>
      </c>
      <c r="C328" s="2" t="s">
        <v>790</v>
      </c>
      <c r="D328" s="44" t="s">
        <v>259</v>
      </c>
      <c r="E328" s="44" t="s">
        <v>260</v>
      </c>
      <c r="F328" s="44" t="s">
        <v>2059</v>
      </c>
      <c r="G328" s="45">
        <v>45476</v>
      </c>
      <c r="H328" s="44">
        <v>1293870</v>
      </c>
      <c r="I328" s="37">
        <f t="shared" si="20"/>
        <v>29</v>
      </c>
      <c r="J328" s="37" t="str">
        <f t="shared" si="19"/>
        <v>1-90 DAYS</v>
      </c>
      <c r="K328" s="37" t="str">
        <f t="shared" si="21"/>
        <v>0-180 DAYS</v>
      </c>
    </row>
    <row r="329" spans="2:11" hidden="1" x14ac:dyDescent="0.35">
      <c r="B329" s="2" t="s">
        <v>477</v>
      </c>
      <c r="C329" s="2" t="s">
        <v>790</v>
      </c>
      <c r="D329" s="44" t="s">
        <v>51</v>
      </c>
      <c r="E329" s="44" t="s">
        <v>52</v>
      </c>
      <c r="F329" s="44" t="s">
        <v>2060</v>
      </c>
      <c r="G329" s="45">
        <v>45481</v>
      </c>
      <c r="H329" s="104">
        <f>967600+428</f>
        <v>968028</v>
      </c>
      <c r="I329" s="37">
        <f t="shared" si="20"/>
        <v>24</v>
      </c>
      <c r="J329" s="37" t="str">
        <f t="shared" si="19"/>
        <v>1-90 DAYS</v>
      </c>
      <c r="K329" s="37" t="str">
        <f t="shared" si="21"/>
        <v>0-180 DAYS</v>
      </c>
    </row>
    <row r="330" spans="2:11" hidden="1" x14ac:dyDescent="0.35">
      <c r="B330" s="2" t="s">
        <v>477</v>
      </c>
      <c r="C330" s="2" t="s">
        <v>790</v>
      </c>
      <c r="D330" s="44" t="s">
        <v>1056</v>
      </c>
      <c r="E330" s="44" t="s">
        <v>1057</v>
      </c>
      <c r="F330" s="44" t="s">
        <v>2061</v>
      </c>
      <c r="G330" s="45">
        <v>45489</v>
      </c>
      <c r="H330" s="44">
        <v>41117.1</v>
      </c>
      <c r="I330" s="37">
        <f t="shared" si="20"/>
        <v>16</v>
      </c>
      <c r="J330" s="37" t="str">
        <f t="shared" si="19"/>
        <v>1-90 DAYS</v>
      </c>
      <c r="K330" s="37" t="str">
        <f t="shared" si="21"/>
        <v>0-180 DAYS</v>
      </c>
    </row>
    <row r="331" spans="2:11" hidden="1" x14ac:dyDescent="0.35">
      <c r="B331" s="2" t="s">
        <v>477</v>
      </c>
      <c r="C331" s="2" t="s">
        <v>790</v>
      </c>
      <c r="D331" s="44" t="s">
        <v>259</v>
      </c>
      <c r="E331" s="44" t="s">
        <v>260</v>
      </c>
      <c r="F331" s="44" t="s">
        <v>2062</v>
      </c>
      <c r="G331" s="45">
        <v>45497</v>
      </c>
      <c r="H331" s="44">
        <v>1522200</v>
      </c>
      <c r="I331" s="37">
        <f t="shared" si="20"/>
        <v>8</v>
      </c>
      <c r="J331" s="37" t="str">
        <f t="shared" si="19"/>
        <v>1-90 DAYS</v>
      </c>
      <c r="K331" s="37" t="str">
        <f t="shared" si="21"/>
        <v>0-180 DAYS</v>
      </c>
    </row>
    <row r="332" spans="2:11" hidden="1" x14ac:dyDescent="0.35">
      <c r="B332" s="2" t="s">
        <v>1085</v>
      </c>
      <c r="C332" s="2" t="s">
        <v>790</v>
      </c>
      <c r="D332" s="44" t="s">
        <v>573</v>
      </c>
      <c r="E332" s="2"/>
      <c r="F332" s="44" t="s">
        <v>2067</v>
      </c>
      <c r="G332" s="45">
        <v>45474</v>
      </c>
      <c r="H332" s="44">
        <v>2129105.9</v>
      </c>
      <c r="I332" s="37">
        <f t="shared" si="20"/>
        <v>31</v>
      </c>
      <c r="J332" s="37" t="str">
        <f t="shared" ref="J332:J395" si="22">IF(I332&lt;121,"0-120 DAYS",IF(I332&lt;181,"121-180 DAYS","More than 180 Days"))</f>
        <v>0-120 DAYS</v>
      </c>
      <c r="K332" s="37" t="str">
        <f t="shared" si="21"/>
        <v>0-180 DAYS</v>
      </c>
    </row>
    <row r="333" spans="2:11" hidden="1" x14ac:dyDescent="0.35">
      <c r="B333" s="2" t="s">
        <v>1085</v>
      </c>
      <c r="C333" s="2" t="s">
        <v>790</v>
      </c>
      <c r="D333" s="44" t="s">
        <v>543</v>
      </c>
      <c r="E333" s="2"/>
      <c r="F333" s="44" t="s">
        <v>2068</v>
      </c>
      <c r="G333" s="45">
        <v>45477</v>
      </c>
      <c r="H333" s="44">
        <v>2832899.55</v>
      </c>
      <c r="I333" s="37">
        <f t="shared" si="20"/>
        <v>28</v>
      </c>
      <c r="J333" s="37" t="str">
        <f t="shared" si="22"/>
        <v>0-120 DAYS</v>
      </c>
      <c r="K333" s="37" t="str">
        <f t="shared" si="21"/>
        <v>0-180 DAYS</v>
      </c>
    </row>
    <row r="334" spans="2:11" hidden="1" x14ac:dyDescent="0.35">
      <c r="B334" s="2" t="s">
        <v>1085</v>
      </c>
      <c r="C334" s="2" t="s">
        <v>790</v>
      </c>
      <c r="D334" s="44" t="s">
        <v>548</v>
      </c>
      <c r="E334" s="2"/>
      <c r="F334" s="44" t="s">
        <v>2069</v>
      </c>
      <c r="G334" s="45">
        <v>45478</v>
      </c>
      <c r="H334" s="44">
        <v>3403547.48</v>
      </c>
      <c r="I334" s="37">
        <f t="shared" si="20"/>
        <v>27</v>
      </c>
      <c r="J334" s="37" t="str">
        <f t="shared" si="22"/>
        <v>0-120 DAYS</v>
      </c>
      <c r="K334" s="37" t="str">
        <f t="shared" si="21"/>
        <v>0-180 DAYS</v>
      </c>
    </row>
    <row r="335" spans="2:11" hidden="1" x14ac:dyDescent="0.35">
      <c r="B335" s="2" t="s">
        <v>1085</v>
      </c>
      <c r="C335" s="2" t="s">
        <v>790</v>
      </c>
      <c r="D335" s="44" t="s">
        <v>606</v>
      </c>
      <c r="E335" s="2"/>
      <c r="F335" s="44" t="s">
        <v>2070</v>
      </c>
      <c r="G335" s="45">
        <v>45480</v>
      </c>
      <c r="H335" s="44">
        <v>2891986.08</v>
      </c>
      <c r="I335" s="37">
        <f t="shared" si="20"/>
        <v>25</v>
      </c>
      <c r="J335" s="37" t="str">
        <f t="shared" si="22"/>
        <v>0-120 DAYS</v>
      </c>
      <c r="K335" s="37" t="str">
        <f t="shared" si="21"/>
        <v>0-180 DAYS</v>
      </c>
    </row>
    <row r="336" spans="2:11" hidden="1" x14ac:dyDescent="0.35">
      <c r="B336" s="2" t="s">
        <v>1085</v>
      </c>
      <c r="C336" s="2" t="s">
        <v>790</v>
      </c>
      <c r="D336" s="44" t="s">
        <v>579</v>
      </c>
      <c r="E336" s="2"/>
      <c r="F336" s="44" t="s">
        <v>2071</v>
      </c>
      <c r="G336" s="45">
        <v>45481</v>
      </c>
      <c r="H336" s="44">
        <v>3317168.12</v>
      </c>
      <c r="I336" s="37">
        <f t="shared" si="20"/>
        <v>24</v>
      </c>
      <c r="J336" s="37" t="str">
        <f t="shared" si="22"/>
        <v>0-120 DAYS</v>
      </c>
      <c r="K336" s="37" t="str">
        <f t="shared" si="21"/>
        <v>0-180 DAYS</v>
      </c>
    </row>
    <row r="337" spans="2:11" hidden="1" x14ac:dyDescent="0.35">
      <c r="B337" s="2" t="s">
        <v>1085</v>
      </c>
      <c r="C337" s="2" t="s">
        <v>790</v>
      </c>
      <c r="D337" s="44" t="s">
        <v>814</v>
      </c>
      <c r="E337" s="2"/>
      <c r="F337" s="44" t="s">
        <v>2072</v>
      </c>
      <c r="G337" s="45">
        <v>45481</v>
      </c>
      <c r="H337" s="44">
        <v>46985</v>
      </c>
      <c r="I337" s="37">
        <f t="shared" si="20"/>
        <v>24</v>
      </c>
      <c r="J337" s="37" t="str">
        <f t="shared" si="22"/>
        <v>0-120 DAYS</v>
      </c>
      <c r="K337" s="37" t="str">
        <f t="shared" si="21"/>
        <v>0-180 DAYS</v>
      </c>
    </row>
    <row r="338" spans="2:11" hidden="1" x14ac:dyDescent="0.35">
      <c r="B338" s="2" t="s">
        <v>1085</v>
      </c>
      <c r="C338" s="2" t="s">
        <v>790</v>
      </c>
      <c r="D338" s="44" t="s">
        <v>617</v>
      </c>
      <c r="E338" s="2"/>
      <c r="F338" s="44" t="s">
        <v>2073</v>
      </c>
      <c r="G338" s="45">
        <v>45482</v>
      </c>
      <c r="H338" s="44">
        <v>4051027.24</v>
      </c>
      <c r="I338" s="37">
        <f t="shared" si="20"/>
        <v>23</v>
      </c>
      <c r="J338" s="37" t="str">
        <f t="shared" si="22"/>
        <v>0-120 DAYS</v>
      </c>
      <c r="K338" s="37" t="str">
        <f t="shared" si="21"/>
        <v>0-180 DAYS</v>
      </c>
    </row>
    <row r="339" spans="2:11" hidden="1" x14ac:dyDescent="0.35">
      <c r="B339" s="2" t="s">
        <v>1085</v>
      </c>
      <c r="C339" s="2" t="s">
        <v>790</v>
      </c>
      <c r="D339" s="44" t="s">
        <v>536</v>
      </c>
      <c r="E339" s="2"/>
      <c r="F339" s="44" t="s">
        <v>2074</v>
      </c>
      <c r="G339" s="45">
        <v>45482</v>
      </c>
      <c r="H339" s="44">
        <v>3006712</v>
      </c>
      <c r="I339" s="37">
        <f t="shared" si="20"/>
        <v>23</v>
      </c>
      <c r="J339" s="37" t="str">
        <f t="shared" si="22"/>
        <v>0-120 DAYS</v>
      </c>
      <c r="K339" s="37" t="str">
        <f t="shared" si="21"/>
        <v>0-180 DAYS</v>
      </c>
    </row>
    <row r="340" spans="2:11" hidden="1" x14ac:dyDescent="0.35">
      <c r="B340" s="2" t="s">
        <v>1085</v>
      </c>
      <c r="C340" s="2" t="s">
        <v>790</v>
      </c>
      <c r="D340" s="44" t="s">
        <v>2064</v>
      </c>
      <c r="E340" s="2"/>
      <c r="F340" s="44" t="s">
        <v>2075</v>
      </c>
      <c r="G340" s="45">
        <v>45482</v>
      </c>
      <c r="H340" s="44">
        <v>1908975.6</v>
      </c>
      <c r="I340" s="37">
        <f t="shared" si="20"/>
        <v>23</v>
      </c>
      <c r="J340" s="37" t="str">
        <f t="shared" si="22"/>
        <v>0-120 DAYS</v>
      </c>
      <c r="K340" s="37" t="str">
        <f t="shared" si="21"/>
        <v>0-180 DAYS</v>
      </c>
    </row>
    <row r="341" spans="2:11" hidden="1" x14ac:dyDescent="0.35">
      <c r="B341" s="2" t="s">
        <v>1085</v>
      </c>
      <c r="C341" s="2" t="s">
        <v>790</v>
      </c>
      <c r="D341" s="44" t="s">
        <v>573</v>
      </c>
      <c r="E341" s="2"/>
      <c r="F341" s="44" t="s">
        <v>2076</v>
      </c>
      <c r="G341" s="45">
        <v>45483</v>
      </c>
      <c r="H341" s="44">
        <v>3139375.23</v>
      </c>
      <c r="I341" s="37">
        <f t="shared" si="20"/>
        <v>22</v>
      </c>
      <c r="J341" s="37" t="str">
        <f t="shared" si="22"/>
        <v>0-120 DAYS</v>
      </c>
      <c r="K341" s="37" t="str">
        <f t="shared" si="21"/>
        <v>0-180 DAYS</v>
      </c>
    </row>
    <row r="342" spans="2:11" hidden="1" x14ac:dyDescent="0.35">
      <c r="B342" s="2" t="s">
        <v>1085</v>
      </c>
      <c r="C342" s="2" t="s">
        <v>790</v>
      </c>
      <c r="D342" s="44" t="s">
        <v>1246</v>
      </c>
      <c r="E342" s="2"/>
      <c r="F342" s="44" t="s">
        <v>2077</v>
      </c>
      <c r="G342" s="45">
        <v>45483</v>
      </c>
      <c r="H342" s="44">
        <v>2976020.29</v>
      </c>
      <c r="I342" s="37">
        <f t="shared" si="20"/>
        <v>22</v>
      </c>
      <c r="J342" s="37" t="str">
        <f t="shared" si="22"/>
        <v>0-120 DAYS</v>
      </c>
      <c r="K342" s="37" t="str">
        <f t="shared" si="21"/>
        <v>0-180 DAYS</v>
      </c>
    </row>
    <row r="343" spans="2:11" hidden="1" x14ac:dyDescent="0.35">
      <c r="B343" s="2" t="s">
        <v>1085</v>
      </c>
      <c r="C343" s="2" t="s">
        <v>790</v>
      </c>
      <c r="D343" s="44" t="s">
        <v>617</v>
      </c>
      <c r="E343" s="2"/>
      <c r="F343" s="44" t="s">
        <v>2078</v>
      </c>
      <c r="G343" s="45">
        <v>45484</v>
      </c>
      <c r="H343" s="44">
        <v>3991564.29</v>
      </c>
      <c r="I343" s="37">
        <f t="shared" si="20"/>
        <v>21</v>
      </c>
      <c r="J343" s="37" t="str">
        <f t="shared" si="22"/>
        <v>0-120 DAYS</v>
      </c>
      <c r="K343" s="37" t="str">
        <f t="shared" si="21"/>
        <v>0-180 DAYS</v>
      </c>
    </row>
    <row r="344" spans="2:11" hidden="1" x14ac:dyDescent="0.35">
      <c r="B344" s="2" t="s">
        <v>1085</v>
      </c>
      <c r="C344" s="2" t="s">
        <v>790</v>
      </c>
      <c r="D344" s="44" t="s">
        <v>536</v>
      </c>
      <c r="E344" s="2"/>
      <c r="F344" s="44" t="s">
        <v>2079</v>
      </c>
      <c r="G344" s="45">
        <v>45489</v>
      </c>
      <c r="H344" s="44">
        <v>3286999.62</v>
      </c>
      <c r="I344" s="37">
        <f t="shared" si="20"/>
        <v>16</v>
      </c>
      <c r="J344" s="37" t="str">
        <f t="shared" si="22"/>
        <v>0-120 DAYS</v>
      </c>
      <c r="K344" s="37" t="str">
        <f t="shared" si="21"/>
        <v>0-180 DAYS</v>
      </c>
    </row>
    <row r="345" spans="2:11" hidden="1" x14ac:dyDescent="0.35">
      <c r="B345" s="2" t="s">
        <v>1085</v>
      </c>
      <c r="C345" s="2" t="s">
        <v>790</v>
      </c>
      <c r="D345" s="44" t="s">
        <v>814</v>
      </c>
      <c r="E345" s="2"/>
      <c r="F345" s="44" t="s">
        <v>2080</v>
      </c>
      <c r="G345" s="45">
        <v>45489</v>
      </c>
      <c r="H345" s="44">
        <v>5619</v>
      </c>
      <c r="I345" s="37">
        <f t="shared" si="20"/>
        <v>16</v>
      </c>
      <c r="J345" s="37" t="str">
        <f t="shared" si="22"/>
        <v>0-120 DAYS</v>
      </c>
      <c r="K345" s="37" t="str">
        <f t="shared" si="21"/>
        <v>0-180 DAYS</v>
      </c>
    </row>
    <row r="346" spans="2:11" hidden="1" x14ac:dyDescent="0.35">
      <c r="B346" s="2" t="s">
        <v>1085</v>
      </c>
      <c r="C346" s="2" t="s">
        <v>790</v>
      </c>
      <c r="D346" s="44" t="s">
        <v>573</v>
      </c>
      <c r="E346" s="2"/>
      <c r="F346" s="44" t="s">
        <v>2081</v>
      </c>
      <c r="G346" s="45">
        <v>45489</v>
      </c>
      <c r="H346" s="44">
        <v>3016896</v>
      </c>
      <c r="I346" s="37">
        <f t="shared" si="20"/>
        <v>16</v>
      </c>
      <c r="J346" s="37" t="str">
        <f t="shared" si="22"/>
        <v>0-120 DAYS</v>
      </c>
      <c r="K346" s="37" t="str">
        <f t="shared" si="21"/>
        <v>0-180 DAYS</v>
      </c>
    </row>
    <row r="347" spans="2:11" hidden="1" x14ac:dyDescent="0.35">
      <c r="B347" s="2" t="s">
        <v>1085</v>
      </c>
      <c r="C347" s="2" t="s">
        <v>790</v>
      </c>
      <c r="D347" s="44" t="s">
        <v>573</v>
      </c>
      <c r="E347" s="2"/>
      <c r="F347" s="44" t="s">
        <v>2082</v>
      </c>
      <c r="G347" s="45">
        <v>45489</v>
      </c>
      <c r="H347" s="44">
        <v>3125400.05</v>
      </c>
      <c r="I347" s="37">
        <f t="shared" si="20"/>
        <v>16</v>
      </c>
      <c r="J347" s="37" t="str">
        <f t="shared" si="22"/>
        <v>0-120 DAYS</v>
      </c>
      <c r="K347" s="37" t="str">
        <f t="shared" si="21"/>
        <v>0-180 DAYS</v>
      </c>
    </row>
    <row r="348" spans="2:11" hidden="1" x14ac:dyDescent="0.35">
      <c r="B348" s="2" t="s">
        <v>1085</v>
      </c>
      <c r="C348" s="2" t="s">
        <v>790</v>
      </c>
      <c r="D348" s="44" t="s">
        <v>1246</v>
      </c>
      <c r="E348" s="2"/>
      <c r="F348" s="44" t="s">
        <v>2083</v>
      </c>
      <c r="G348" s="45">
        <v>45491</v>
      </c>
      <c r="H348" s="44">
        <v>2993427.39</v>
      </c>
      <c r="I348" s="37">
        <f t="shared" si="20"/>
        <v>14</v>
      </c>
      <c r="J348" s="37" t="str">
        <f t="shared" si="22"/>
        <v>0-120 DAYS</v>
      </c>
      <c r="K348" s="37" t="str">
        <f t="shared" si="21"/>
        <v>0-180 DAYS</v>
      </c>
    </row>
    <row r="349" spans="2:11" hidden="1" x14ac:dyDescent="0.35">
      <c r="B349" s="2" t="s">
        <v>1085</v>
      </c>
      <c r="C349" s="2" t="s">
        <v>790</v>
      </c>
      <c r="D349" s="44" t="s">
        <v>1052</v>
      </c>
      <c r="E349" s="2"/>
      <c r="F349" s="44" t="s">
        <v>2084</v>
      </c>
      <c r="G349" s="45">
        <v>45492</v>
      </c>
      <c r="H349" s="44">
        <v>2910940.76</v>
      </c>
      <c r="I349" s="37">
        <f t="shared" si="20"/>
        <v>13</v>
      </c>
      <c r="J349" s="37" t="str">
        <f t="shared" si="22"/>
        <v>0-120 DAYS</v>
      </c>
      <c r="K349" s="37" t="str">
        <f t="shared" si="21"/>
        <v>0-180 DAYS</v>
      </c>
    </row>
    <row r="350" spans="2:11" hidden="1" x14ac:dyDescent="0.35">
      <c r="B350" s="2" t="s">
        <v>1085</v>
      </c>
      <c r="C350" s="2" t="s">
        <v>790</v>
      </c>
      <c r="D350" s="44" t="s">
        <v>1052</v>
      </c>
      <c r="E350" s="2"/>
      <c r="F350" s="44" t="s">
        <v>2085</v>
      </c>
      <c r="G350" s="45">
        <v>45493</v>
      </c>
      <c r="H350" s="44">
        <v>2940401.88</v>
      </c>
      <c r="I350" s="37">
        <f t="shared" si="20"/>
        <v>12</v>
      </c>
      <c r="J350" s="37" t="str">
        <f t="shared" si="22"/>
        <v>0-120 DAYS</v>
      </c>
      <c r="K350" s="37" t="str">
        <f t="shared" si="21"/>
        <v>0-180 DAYS</v>
      </c>
    </row>
    <row r="351" spans="2:11" hidden="1" x14ac:dyDescent="0.35">
      <c r="B351" s="2" t="s">
        <v>1085</v>
      </c>
      <c r="C351" s="2" t="s">
        <v>790</v>
      </c>
      <c r="D351" s="44" t="s">
        <v>1052</v>
      </c>
      <c r="E351" s="2"/>
      <c r="F351" s="44" t="s">
        <v>2086</v>
      </c>
      <c r="G351" s="45">
        <v>45493</v>
      </c>
      <c r="H351" s="44">
        <v>2912415.48</v>
      </c>
      <c r="I351" s="37">
        <f t="shared" si="20"/>
        <v>12</v>
      </c>
      <c r="J351" s="37" t="str">
        <f t="shared" si="22"/>
        <v>0-120 DAYS</v>
      </c>
      <c r="K351" s="37" t="str">
        <f t="shared" si="21"/>
        <v>0-180 DAYS</v>
      </c>
    </row>
    <row r="352" spans="2:11" hidden="1" x14ac:dyDescent="0.35">
      <c r="B352" s="2" t="s">
        <v>1085</v>
      </c>
      <c r="C352" s="2" t="s">
        <v>790</v>
      </c>
      <c r="D352" s="44" t="s">
        <v>2027</v>
      </c>
      <c r="E352" s="2"/>
      <c r="F352" s="44" t="s">
        <v>2087</v>
      </c>
      <c r="G352" s="45">
        <v>45493</v>
      </c>
      <c r="H352" s="44">
        <v>2247524.0299999998</v>
      </c>
      <c r="I352" s="37">
        <f t="shared" si="20"/>
        <v>12</v>
      </c>
      <c r="J352" s="37" t="str">
        <f t="shared" si="22"/>
        <v>0-120 DAYS</v>
      </c>
      <c r="K352" s="37" t="str">
        <f t="shared" si="21"/>
        <v>0-180 DAYS</v>
      </c>
    </row>
    <row r="353" spans="2:11" hidden="1" x14ac:dyDescent="0.35">
      <c r="B353" s="2" t="s">
        <v>1085</v>
      </c>
      <c r="C353" s="2" t="s">
        <v>790</v>
      </c>
      <c r="D353" s="44" t="s">
        <v>573</v>
      </c>
      <c r="E353" s="2"/>
      <c r="F353" s="44" t="s">
        <v>2088</v>
      </c>
      <c r="G353" s="45">
        <v>45493</v>
      </c>
      <c r="H353" s="44">
        <v>3804096.96</v>
      </c>
      <c r="I353" s="37">
        <f t="shared" si="20"/>
        <v>12</v>
      </c>
      <c r="J353" s="37" t="str">
        <f t="shared" si="22"/>
        <v>0-120 DAYS</v>
      </c>
      <c r="K353" s="37" t="str">
        <f t="shared" si="21"/>
        <v>0-180 DAYS</v>
      </c>
    </row>
    <row r="354" spans="2:11" hidden="1" x14ac:dyDescent="0.35">
      <c r="B354" s="2" t="s">
        <v>1085</v>
      </c>
      <c r="C354" s="2" t="s">
        <v>790</v>
      </c>
      <c r="D354" s="44" t="s">
        <v>1052</v>
      </c>
      <c r="E354" s="2"/>
      <c r="F354" s="44" t="s">
        <v>2089</v>
      </c>
      <c r="G354" s="45">
        <v>45495</v>
      </c>
      <c r="H354" s="44">
        <v>2927054.52</v>
      </c>
      <c r="I354" s="37">
        <f t="shared" si="20"/>
        <v>10</v>
      </c>
      <c r="J354" s="37" t="str">
        <f t="shared" si="22"/>
        <v>0-120 DAYS</v>
      </c>
      <c r="K354" s="37" t="str">
        <f t="shared" si="21"/>
        <v>0-180 DAYS</v>
      </c>
    </row>
    <row r="355" spans="2:11" hidden="1" x14ac:dyDescent="0.35">
      <c r="B355" s="2" t="s">
        <v>1085</v>
      </c>
      <c r="C355" s="2" t="s">
        <v>790</v>
      </c>
      <c r="D355" s="44" t="s">
        <v>814</v>
      </c>
      <c r="E355" s="2"/>
      <c r="F355" s="44" t="s">
        <v>2090</v>
      </c>
      <c r="G355" s="45">
        <v>45495</v>
      </c>
      <c r="H355" s="44">
        <v>7783</v>
      </c>
      <c r="I355" s="37">
        <f t="shared" si="20"/>
        <v>10</v>
      </c>
      <c r="J355" s="37" t="str">
        <f t="shared" si="22"/>
        <v>0-120 DAYS</v>
      </c>
      <c r="K355" s="37" t="str">
        <f t="shared" si="21"/>
        <v>0-180 DAYS</v>
      </c>
    </row>
    <row r="356" spans="2:11" hidden="1" x14ac:dyDescent="0.35">
      <c r="B356" s="2" t="s">
        <v>1085</v>
      </c>
      <c r="C356" s="2" t="s">
        <v>790</v>
      </c>
      <c r="D356" s="44" t="s">
        <v>573</v>
      </c>
      <c r="E356" s="2"/>
      <c r="F356" s="44" t="s">
        <v>2091</v>
      </c>
      <c r="G356" s="45">
        <v>45495</v>
      </c>
      <c r="H356" s="44">
        <v>4180008.96</v>
      </c>
      <c r="I356" s="37">
        <f t="shared" si="20"/>
        <v>10</v>
      </c>
      <c r="J356" s="37" t="str">
        <f t="shared" si="22"/>
        <v>0-120 DAYS</v>
      </c>
      <c r="K356" s="37" t="str">
        <f t="shared" si="21"/>
        <v>0-180 DAYS</v>
      </c>
    </row>
    <row r="357" spans="2:11" hidden="1" x14ac:dyDescent="0.35">
      <c r="B357" s="2" t="s">
        <v>1085</v>
      </c>
      <c r="C357" s="2" t="s">
        <v>790</v>
      </c>
      <c r="D357" s="44" t="s">
        <v>573</v>
      </c>
      <c r="E357" s="2"/>
      <c r="F357" s="44" t="s">
        <v>2092</v>
      </c>
      <c r="G357" s="45">
        <v>45495</v>
      </c>
      <c r="H357" s="44">
        <v>2874824.28</v>
      </c>
      <c r="I357" s="37">
        <f t="shared" si="20"/>
        <v>10</v>
      </c>
      <c r="J357" s="37" t="str">
        <f t="shared" si="22"/>
        <v>0-120 DAYS</v>
      </c>
      <c r="K357" s="37" t="str">
        <f t="shared" si="21"/>
        <v>0-180 DAYS</v>
      </c>
    </row>
    <row r="358" spans="2:11" hidden="1" x14ac:dyDescent="0.35">
      <c r="B358" s="2" t="s">
        <v>1085</v>
      </c>
      <c r="C358" s="2" t="s">
        <v>790</v>
      </c>
      <c r="D358" s="44" t="s">
        <v>667</v>
      </c>
      <c r="E358" s="2"/>
      <c r="F358" s="44" t="s">
        <v>2093</v>
      </c>
      <c r="G358" s="45">
        <v>45496</v>
      </c>
      <c r="H358" s="44">
        <v>2949750</v>
      </c>
      <c r="I358" s="37">
        <f t="shared" si="20"/>
        <v>9</v>
      </c>
      <c r="J358" s="37" t="str">
        <f t="shared" si="22"/>
        <v>0-120 DAYS</v>
      </c>
      <c r="K358" s="37" t="str">
        <f t="shared" si="21"/>
        <v>0-180 DAYS</v>
      </c>
    </row>
    <row r="359" spans="2:11" hidden="1" x14ac:dyDescent="0.35">
      <c r="B359" s="2" t="s">
        <v>1085</v>
      </c>
      <c r="C359" s="2" t="s">
        <v>790</v>
      </c>
      <c r="D359" s="44" t="s">
        <v>1052</v>
      </c>
      <c r="E359" s="2"/>
      <c r="F359" s="44" t="s">
        <v>2094</v>
      </c>
      <c r="G359" s="45">
        <v>45496</v>
      </c>
      <c r="H359" s="44">
        <v>2942457.8</v>
      </c>
      <c r="I359" s="37">
        <f t="shared" si="20"/>
        <v>9</v>
      </c>
      <c r="J359" s="37" t="str">
        <f t="shared" si="22"/>
        <v>0-120 DAYS</v>
      </c>
      <c r="K359" s="37" t="str">
        <f t="shared" si="21"/>
        <v>0-180 DAYS</v>
      </c>
    </row>
    <row r="360" spans="2:11" hidden="1" x14ac:dyDescent="0.35">
      <c r="B360" s="2" t="s">
        <v>1085</v>
      </c>
      <c r="C360" s="2" t="s">
        <v>790</v>
      </c>
      <c r="D360" s="44" t="s">
        <v>2027</v>
      </c>
      <c r="E360" s="2"/>
      <c r="F360" s="44" t="s">
        <v>2095</v>
      </c>
      <c r="G360" s="45">
        <v>45497</v>
      </c>
      <c r="H360" s="44">
        <v>2363362.88</v>
      </c>
      <c r="I360" s="37">
        <f t="shared" si="20"/>
        <v>8</v>
      </c>
      <c r="J360" s="37" t="str">
        <f t="shared" si="22"/>
        <v>0-120 DAYS</v>
      </c>
      <c r="K360" s="37" t="str">
        <f t="shared" si="21"/>
        <v>0-180 DAYS</v>
      </c>
    </row>
    <row r="361" spans="2:11" hidden="1" x14ac:dyDescent="0.35">
      <c r="B361" s="2" t="s">
        <v>1085</v>
      </c>
      <c r="C361" s="2" t="s">
        <v>790</v>
      </c>
      <c r="D361" s="44" t="s">
        <v>573</v>
      </c>
      <c r="E361" s="2"/>
      <c r="F361" s="44" t="s">
        <v>2096</v>
      </c>
      <c r="G361" s="45">
        <v>45497</v>
      </c>
      <c r="H361" s="44">
        <v>3957707.52</v>
      </c>
      <c r="I361" s="37">
        <f t="shared" si="20"/>
        <v>8</v>
      </c>
      <c r="J361" s="37" t="str">
        <f t="shared" si="22"/>
        <v>0-120 DAYS</v>
      </c>
      <c r="K361" s="37" t="str">
        <f t="shared" si="21"/>
        <v>0-180 DAYS</v>
      </c>
    </row>
    <row r="362" spans="2:11" hidden="1" x14ac:dyDescent="0.35">
      <c r="B362" s="2" t="s">
        <v>1085</v>
      </c>
      <c r="C362" s="2" t="s">
        <v>790</v>
      </c>
      <c r="D362" s="44" t="s">
        <v>584</v>
      </c>
      <c r="E362" s="2"/>
      <c r="F362" s="44" t="s">
        <v>2097</v>
      </c>
      <c r="G362" s="45">
        <v>45499</v>
      </c>
      <c r="H362" s="44">
        <v>3683353.58</v>
      </c>
      <c r="I362" s="37">
        <f t="shared" si="20"/>
        <v>6</v>
      </c>
      <c r="J362" s="37" t="str">
        <f t="shared" si="22"/>
        <v>0-120 DAYS</v>
      </c>
      <c r="K362" s="37" t="str">
        <f t="shared" si="21"/>
        <v>0-180 DAYS</v>
      </c>
    </row>
    <row r="363" spans="2:11" hidden="1" x14ac:dyDescent="0.35">
      <c r="B363" s="2" t="s">
        <v>1085</v>
      </c>
      <c r="C363" s="2" t="s">
        <v>790</v>
      </c>
      <c r="D363" s="44" t="s">
        <v>1052</v>
      </c>
      <c r="E363" s="2"/>
      <c r="F363" s="44" t="s">
        <v>2098</v>
      </c>
      <c r="G363" s="45">
        <v>45500</v>
      </c>
      <c r="H363" s="44">
        <v>2911984.92</v>
      </c>
      <c r="I363" s="37">
        <f t="shared" si="20"/>
        <v>5</v>
      </c>
      <c r="J363" s="37" t="str">
        <f t="shared" si="22"/>
        <v>0-120 DAYS</v>
      </c>
      <c r="K363" s="37" t="str">
        <f t="shared" si="21"/>
        <v>0-180 DAYS</v>
      </c>
    </row>
    <row r="364" spans="2:11" hidden="1" x14ac:dyDescent="0.35">
      <c r="B364" s="2" t="s">
        <v>1085</v>
      </c>
      <c r="C364" s="2" t="s">
        <v>790</v>
      </c>
      <c r="D364" s="44" t="s">
        <v>606</v>
      </c>
      <c r="E364" s="2"/>
      <c r="F364" s="44" t="s">
        <v>2099</v>
      </c>
      <c r="G364" s="45">
        <v>45500</v>
      </c>
      <c r="H364" s="44">
        <v>2866945.86</v>
      </c>
      <c r="I364" s="37">
        <f t="shared" si="20"/>
        <v>5</v>
      </c>
      <c r="J364" s="37" t="str">
        <f t="shared" si="22"/>
        <v>0-120 DAYS</v>
      </c>
      <c r="K364" s="37" t="str">
        <f t="shared" si="21"/>
        <v>0-180 DAYS</v>
      </c>
    </row>
    <row r="365" spans="2:11" hidden="1" x14ac:dyDescent="0.35">
      <c r="B365" s="2" t="s">
        <v>1085</v>
      </c>
      <c r="C365" s="2" t="s">
        <v>790</v>
      </c>
      <c r="D365" s="44" t="s">
        <v>2065</v>
      </c>
      <c r="E365" s="2"/>
      <c r="F365" s="44" t="s">
        <v>2100</v>
      </c>
      <c r="G365" s="45">
        <v>45500</v>
      </c>
      <c r="H365" s="44">
        <v>3641241.78</v>
      </c>
      <c r="I365" s="37">
        <f t="shared" si="20"/>
        <v>5</v>
      </c>
      <c r="J365" s="37" t="str">
        <f t="shared" si="22"/>
        <v>0-120 DAYS</v>
      </c>
      <c r="K365" s="37" t="str">
        <f t="shared" si="21"/>
        <v>0-180 DAYS</v>
      </c>
    </row>
    <row r="366" spans="2:11" hidden="1" x14ac:dyDescent="0.35">
      <c r="B366" s="2" t="s">
        <v>1085</v>
      </c>
      <c r="C366" s="2" t="s">
        <v>790</v>
      </c>
      <c r="D366" s="44" t="s">
        <v>681</v>
      </c>
      <c r="E366" s="2"/>
      <c r="F366" s="44" t="s">
        <v>2101</v>
      </c>
      <c r="G366" s="45">
        <v>45503</v>
      </c>
      <c r="H366" s="44">
        <v>3708115.2</v>
      </c>
      <c r="I366" s="37">
        <f t="shared" si="20"/>
        <v>2</v>
      </c>
      <c r="J366" s="37" t="str">
        <f t="shared" si="22"/>
        <v>0-120 DAYS</v>
      </c>
      <c r="K366" s="37" t="str">
        <f t="shared" si="21"/>
        <v>0-180 DAYS</v>
      </c>
    </row>
    <row r="367" spans="2:11" hidden="1" x14ac:dyDescent="0.35">
      <c r="B367" s="2" t="s">
        <v>1085</v>
      </c>
      <c r="C367" s="2" t="s">
        <v>790</v>
      </c>
      <c r="D367" s="44" t="s">
        <v>570</v>
      </c>
      <c r="E367" s="2"/>
      <c r="F367" s="44" t="s">
        <v>2102</v>
      </c>
      <c r="G367" s="45">
        <v>45475</v>
      </c>
      <c r="H367" s="44">
        <f>3132192+117432</f>
        <v>3249624</v>
      </c>
      <c r="I367" s="37">
        <f t="shared" si="20"/>
        <v>30</v>
      </c>
      <c r="J367" s="37" t="str">
        <f t="shared" si="22"/>
        <v>0-120 DAYS</v>
      </c>
      <c r="K367" s="37" t="str">
        <f t="shared" si="21"/>
        <v>0-180 DAYS</v>
      </c>
    </row>
    <row r="368" spans="2:11" hidden="1" x14ac:dyDescent="0.35">
      <c r="B368" s="2" t="s">
        <v>1085</v>
      </c>
      <c r="C368" s="2" t="s">
        <v>790</v>
      </c>
      <c r="D368" s="44" t="s">
        <v>538</v>
      </c>
      <c r="E368" s="2"/>
      <c r="F368" s="44" t="s">
        <v>2103</v>
      </c>
      <c r="G368" s="45">
        <v>45476</v>
      </c>
      <c r="H368" s="44">
        <v>3006104.15</v>
      </c>
      <c r="I368" s="37">
        <f t="shared" si="20"/>
        <v>29</v>
      </c>
      <c r="J368" s="37" t="str">
        <f t="shared" si="22"/>
        <v>0-120 DAYS</v>
      </c>
      <c r="K368" s="37" t="str">
        <f t="shared" si="21"/>
        <v>0-180 DAYS</v>
      </c>
    </row>
    <row r="369" spans="2:11" hidden="1" x14ac:dyDescent="0.35">
      <c r="B369" s="2" t="s">
        <v>1085</v>
      </c>
      <c r="C369" s="2" t="s">
        <v>790</v>
      </c>
      <c r="D369" s="44" t="s">
        <v>570</v>
      </c>
      <c r="E369" s="2"/>
      <c r="F369" s="44" t="s">
        <v>2104</v>
      </c>
      <c r="G369" s="45">
        <v>45477</v>
      </c>
      <c r="H369" s="44">
        <v>3009283.2</v>
      </c>
      <c r="I369" s="37">
        <f t="shared" si="20"/>
        <v>28</v>
      </c>
      <c r="J369" s="37" t="str">
        <f t="shared" si="22"/>
        <v>0-120 DAYS</v>
      </c>
      <c r="K369" s="37" t="str">
        <f t="shared" si="21"/>
        <v>0-180 DAYS</v>
      </c>
    </row>
    <row r="370" spans="2:11" hidden="1" x14ac:dyDescent="0.35">
      <c r="B370" s="2" t="s">
        <v>1085</v>
      </c>
      <c r="C370" s="2" t="s">
        <v>790</v>
      </c>
      <c r="D370" s="44" t="s">
        <v>543</v>
      </c>
      <c r="E370" s="2"/>
      <c r="F370" s="44" t="s">
        <v>2105</v>
      </c>
      <c r="G370" s="45">
        <v>45477</v>
      </c>
      <c r="H370" s="44">
        <v>2607583.7999999998</v>
      </c>
      <c r="I370" s="37">
        <f t="shared" si="20"/>
        <v>28</v>
      </c>
      <c r="J370" s="37" t="str">
        <f t="shared" si="22"/>
        <v>0-120 DAYS</v>
      </c>
      <c r="K370" s="37" t="str">
        <f t="shared" si="21"/>
        <v>0-180 DAYS</v>
      </c>
    </row>
    <row r="371" spans="2:11" hidden="1" x14ac:dyDescent="0.35">
      <c r="B371" s="2" t="s">
        <v>1085</v>
      </c>
      <c r="C371" s="2" t="s">
        <v>790</v>
      </c>
      <c r="D371" s="44" t="s">
        <v>543</v>
      </c>
      <c r="E371" s="2"/>
      <c r="F371" s="44" t="s">
        <v>2106</v>
      </c>
      <c r="G371" s="45">
        <v>45477</v>
      </c>
      <c r="H371" s="44">
        <v>1168734.6000000001</v>
      </c>
      <c r="I371" s="37">
        <f t="shared" si="20"/>
        <v>28</v>
      </c>
      <c r="J371" s="37" t="str">
        <f t="shared" si="22"/>
        <v>0-120 DAYS</v>
      </c>
      <c r="K371" s="37" t="str">
        <f t="shared" si="21"/>
        <v>0-180 DAYS</v>
      </c>
    </row>
    <row r="372" spans="2:11" hidden="1" x14ac:dyDescent="0.35">
      <c r="B372" s="2" t="s">
        <v>1085</v>
      </c>
      <c r="C372" s="2" t="s">
        <v>790</v>
      </c>
      <c r="D372" s="44" t="s">
        <v>564</v>
      </c>
      <c r="E372" s="2"/>
      <c r="F372" s="44" t="s">
        <v>2107</v>
      </c>
      <c r="G372" s="45">
        <v>45480</v>
      </c>
      <c r="H372" s="44">
        <v>3011425.4</v>
      </c>
      <c r="I372" s="37">
        <f t="shared" si="20"/>
        <v>25</v>
      </c>
      <c r="J372" s="37" t="str">
        <f t="shared" si="22"/>
        <v>0-120 DAYS</v>
      </c>
      <c r="K372" s="37" t="str">
        <f t="shared" si="21"/>
        <v>0-180 DAYS</v>
      </c>
    </row>
    <row r="373" spans="2:11" hidden="1" x14ac:dyDescent="0.35">
      <c r="B373" s="2" t="s">
        <v>1085</v>
      </c>
      <c r="C373" s="2" t="s">
        <v>790</v>
      </c>
      <c r="D373" s="44" t="s">
        <v>570</v>
      </c>
      <c r="E373" s="2"/>
      <c r="F373" s="44" t="s">
        <v>2108</v>
      </c>
      <c r="G373" s="45">
        <v>45481</v>
      </c>
      <c r="H373" s="44">
        <v>3135984</v>
      </c>
      <c r="I373" s="37">
        <f t="shared" si="20"/>
        <v>24</v>
      </c>
      <c r="J373" s="37" t="str">
        <f t="shared" si="22"/>
        <v>0-120 DAYS</v>
      </c>
      <c r="K373" s="37" t="str">
        <f t="shared" si="21"/>
        <v>0-180 DAYS</v>
      </c>
    </row>
    <row r="374" spans="2:11" hidden="1" x14ac:dyDescent="0.35">
      <c r="B374" s="2" t="s">
        <v>1085</v>
      </c>
      <c r="C374" s="2" t="s">
        <v>790</v>
      </c>
      <c r="D374" s="44" t="s">
        <v>522</v>
      </c>
      <c r="E374" s="2"/>
      <c r="F374" s="44" t="s">
        <v>2109</v>
      </c>
      <c r="G374" s="45">
        <v>45481</v>
      </c>
      <c r="H374" s="44">
        <v>2206875.38</v>
      </c>
      <c r="I374" s="37">
        <f t="shared" si="20"/>
        <v>24</v>
      </c>
      <c r="J374" s="37" t="str">
        <f t="shared" si="22"/>
        <v>0-120 DAYS</v>
      </c>
      <c r="K374" s="37" t="str">
        <f t="shared" si="21"/>
        <v>0-180 DAYS</v>
      </c>
    </row>
    <row r="375" spans="2:11" hidden="1" x14ac:dyDescent="0.35">
      <c r="B375" s="2" t="s">
        <v>1085</v>
      </c>
      <c r="C375" s="2" t="s">
        <v>790</v>
      </c>
      <c r="D375" s="44" t="s">
        <v>650</v>
      </c>
      <c r="E375" s="2"/>
      <c r="F375" s="44" t="s">
        <v>2110</v>
      </c>
      <c r="G375" s="45">
        <v>45481</v>
      </c>
      <c r="H375" s="44">
        <v>2874892.8</v>
      </c>
      <c r="I375" s="37">
        <f t="shared" si="20"/>
        <v>24</v>
      </c>
      <c r="J375" s="37" t="str">
        <f t="shared" si="22"/>
        <v>0-120 DAYS</v>
      </c>
      <c r="K375" s="37" t="str">
        <f t="shared" si="21"/>
        <v>0-180 DAYS</v>
      </c>
    </row>
    <row r="376" spans="2:11" hidden="1" x14ac:dyDescent="0.35">
      <c r="B376" s="2" t="s">
        <v>1085</v>
      </c>
      <c r="C376" s="2" t="s">
        <v>790</v>
      </c>
      <c r="D376" s="44" t="s">
        <v>650</v>
      </c>
      <c r="E376" s="2"/>
      <c r="F376" s="44" t="s">
        <v>2111</v>
      </c>
      <c r="G376" s="45">
        <v>45481</v>
      </c>
      <c r="H376" s="44">
        <v>2828298.06</v>
      </c>
      <c r="I376" s="37">
        <f t="shared" si="20"/>
        <v>24</v>
      </c>
      <c r="J376" s="37" t="str">
        <f t="shared" si="22"/>
        <v>0-120 DAYS</v>
      </c>
      <c r="K376" s="37" t="str">
        <f t="shared" si="21"/>
        <v>0-180 DAYS</v>
      </c>
    </row>
    <row r="377" spans="2:11" hidden="1" x14ac:dyDescent="0.35">
      <c r="B377" s="2" t="s">
        <v>1085</v>
      </c>
      <c r="C377" s="2" t="s">
        <v>790</v>
      </c>
      <c r="D377" s="44" t="s">
        <v>650</v>
      </c>
      <c r="E377" s="2"/>
      <c r="F377" s="44" t="s">
        <v>2112</v>
      </c>
      <c r="G377" s="45">
        <v>45483</v>
      </c>
      <c r="H377" s="44">
        <v>2501904.52</v>
      </c>
      <c r="I377" s="37">
        <f t="shared" si="20"/>
        <v>22</v>
      </c>
      <c r="J377" s="37" t="str">
        <f t="shared" si="22"/>
        <v>0-120 DAYS</v>
      </c>
      <c r="K377" s="37" t="str">
        <f t="shared" si="21"/>
        <v>0-180 DAYS</v>
      </c>
    </row>
    <row r="378" spans="2:11" hidden="1" x14ac:dyDescent="0.35">
      <c r="B378" s="2" t="s">
        <v>1085</v>
      </c>
      <c r="C378" s="2" t="s">
        <v>790</v>
      </c>
      <c r="D378" s="44" t="s">
        <v>1091</v>
      </c>
      <c r="E378" s="2"/>
      <c r="F378" s="44" t="s">
        <v>2113</v>
      </c>
      <c r="G378" s="45">
        <v>45484</v>
      </c>
      <c r="H378" s="44">
        <v>3130426.56</v>
      </c>
      <c r="I378" s="37">
        <f t="shared" si="20"/>
        <v>21</v>
      </c>
      <c r="J378" s="37" t="str">
        <f t="shared" si="22"/>
        <v>0-120 DAYS</v>
      </c>
      <c r="K378" s="37" t="str">
        <f t="shared" si="21"/>
        <v>0-180 DAYS</v>
      </c>
    </row>
    <row r="379" spans="2:11" hidden="1" x14ac:dyDescent="0.35">
      <c r="B379" s="2" t="s">
        <v>1085</v>
      </c>
      <c r="C379" s="2" t="s">
        <v>790</v>
      </c>
      <c r="D379" s="44" t="s">
        <v>728</v>
      </c>
      <c r="E379" s="2"/>
      <c r="F379" s="44" t="s">
        <v>2114</v>
      </c>
      <c r="G379" s="45">
        <v>45484</v>
      </c>
      <c r="H379" s="44">
        <v>3204955.8</v>
      </c>
      <c r="I379" s="37">
        <f t="shared" si="20"/>
        <v>21</v>
      </c>
      <c r="J379" s="37" t="str">
        <f t="shared" si="22"/>
        <v>0-120 DAYS</v>
      </c>
      <c r="K379" s="37" t="str">
        <f t="shared" si="21"/>
        <v>0-180 DAYS</v>
      </c>
    </row>
    <row r="380" spans="2:11" hidden="1" x14ac:dyDescent="0.35">
      <c r="B380" s="2" t="s">
        <v>1085</v>
      </c>
      <c r="C380" s="2" t="s">
        <v>790</v>
      </c>
      <c r="D380" s="44" t="s">
        <v>564</v>
      </c>
      <c r="E380" s="2"/>
      <c r="F380" s="44" t="s">
        <v>2115</v>
      </c>
      <c r="G380" s="45">
        <v>45484</v>
      </c>
      <c r="H380" s="44">
        <v>3074331.4</v>
      </c>
      <c r="I380" s="37">
        <f t="shared" si="20"/>
        <v>21</v>
      </c>
      <c r="J380" s="37" t="str">
        <f t="shared" si="22"/>
        <v>0-120 DAYS</v>
      </c>
      <c r="K380" s="37" t="str">
        <f t="shared" si="21"/>
        <v>0-180 DAYS</v>
      </c>
    </row>
    <row r="381" spans="2:11" hidden="1" x14ac:dyDescent="0.35">
      <c r="B381" s="2" t="s">
        <v>1085</v>
      </c>
      <c r="C381" s="2" t="s">
        <v>790</v>
      </c>
      <c r="D381" s="44" t="s">
        <v>1086</v>
      </c>
      <c r="E381" s="2"/>
      <c r="F381" s="44" t="s">
        <v>2116</v>
      </c>
      <c r="G381" s="45">
        <v>45486</v>
      </c>
      <c r="H381" s="44">
        <v>761667</v>
      </c>
      <c r="I381" s="37">
        <f t="shared" si="20"/>
        <v>19</v>
      </c>
      <c r="J381" s="37" t="str">
        <f t="shared" si="22"/>
        <v>0-120 DAYS</v>
      </c>
      <c r="K381" s="37" t="str">
        <f t="shared" si="21"/>
        <v>0-180 DAYS</v>
      </c>
    </row>
    <row r="382" spans="2:11" hidden="1" x14ac:dyDescent="0.35">
      <c r="B382" s="2" t="s">
        <v>1085</v>
      </c>
      <c r="C382" s="2" t="s">
        <v>790</v>
      </c>
      <c r="D382" s="44" t="s">
        <v>1086</v>
      </c>
      <c r="E382" s="2"/>
      <c r="F382" s="44" t="s">
        <v>2117</v>
      </c>
      <c r="G382" s="45">
        <v>45486</v>
      </c>
      <c r="H382" s="44">
        <v>1599537.09</v>
      </c>
      <c r="I382" s="37">
        <f t="shared" si="20"/>
        <v>19</v>
      </c>
      <c r="J382" s="37" t="str">
        <f t="shared" si="22"/>
        <v>0-120 DAYS</v>
      </c>
      <c r="K382" s="37" t="str">
        <f t="shared" si="21"/>
        <v>0-180 DAYS</v>
      </c>
    </row>
    <row r="383" spans="2:11" hidden="1" x14ac:dyDescent="0.35">
      <c r="B383" s="2" t="s">
        <v>1085</v>
      </c>
      <c r="C383" s="2" t="s">
        <v>790</v>
      </c>
      <c r="D383" s="44" t="s">
        <v>1086</v>
      </c>
      <c r="E383" s="2"/>
      <c r="F383" s="44" t="s">
        <v>2118</v>
      </c>
      <c r="G383" s="45">
        <v>45487</v>
      </c>
      <c r="H383" s="44">
        <v>347311.88</v>
      </c>
      <c r="I383" s="37">
        <f t="shared" si="20"/>
        <v>18</v>
      </c>
      <c r="J383" s="37" t="str">
        <f t="shared" si="22"/>
        <v>0-120 DAYS</v>
      </c>
      <c r="K383" s="37" t="str">
        <f t="shared" si="21"/>
        <v>0-180 DAYS</v>
      </c>
    </row>
    <row r="384" spans="2:11" hidden="1" x14ac:dyDescent="0.35">
      <c r="B384" s="2" t="s">
        <v>1085</v>
      </c>
      <c r="C384" s="2" t="s">
        <v>790</v>
      </c>
      <c r="D384" s="44" t="s">
        <v>570</v>
      </c>
      <c r="E384" s="2"/>
      <c r="F384" s="44" t="s">
        <v>2119</v>
      </c>
      <c r="G384" s="45">
        <v>45488</v>
      </c>
      <c r="H384" s="44">
        <v>3209421.6</v>
      </c>
      <c r="I384" s="37">
        <f t="shared" si="20"/>
        <v>17</v>
      </c>
      <c r="J384" s="37" t="str">
        <f t="shared" si="22"/>
        <v>0-120 DAYS</v>
      </c>
      <c r="K384" s="37" t="str">
        <f t="shared" si="21"/>
        <v>0-180 DAYS</v>
      </c>
    </row>
    <row r="385" spans="2:11" hidden="1" x14ac:dyDescent="0.35">
      <c r="B385" s="2" t="s">
        <v>1085</v>
      </c>
      <c r="C385" s="2" t="s">
        <v>790</v>
      </c>
      <c r="D385" s="44" t="s">
        <v>1086</v>
      </c>
      <c r="E385" s="2"/>
      <c r="F385" s="44" t="s">
        <v>2120</v>
      </c>
      <c r="G385" s="45">
        <v>45488</v>
      </c>
      <c r="H385" s="44">
        <v>1939281.9199999999</v>
      </c>
      <c r="I385" s="37">
        <f t="shared" si="20"/>
        <v>17</v>
      </c>
      <c r="J385" s="37" t="str">
        <f t="shared" si="22"/>
        <v>0-120 DAYS</v>
      </c>
      <c r="K385" s="37" t="str">
        <f t="shared" si="21"/>
        <v>0-180 DAYS</v>
      </c>
    </row>
    <row r="386" spans="2:11" hidden="1" x14ac:dyDescent="0.35">
      <c r="B386" s="2" t="s">
        <v>1085</v>
      </c>
      <c r="C386" s="2" t="s">
        <v>790</v>
      </c>
      <c r="D386" s="44" t="s">
        <v>596</v>
      </c>
      <c r="E386" s="2"/>
      <c r="F386" s="44" t="s">
        <v>2121</v>
      </c>
      <c r="G386" s="45">
        <v>45490</v>
      </c>
      <c r="H386" s="44">
        <v>4117384.9</v>
      </c>
      <c r="I386" s="37">
        <f t="shared" si="20"/>
        <v>15</v>
      </c>
      <c r="J386" s="37" t="str">
        <f t="shared" si="22"/>
        <v>0-120 DAYS</v>
      </c>
      <c r="K386" s="37" t="str">
        <f t="shared" si="21"/>
        <v>0-180 DAYS</v>
      </c>
    </row>
    <row r="387" spans="2:11" hidden="1" x14ac:dyDescent="0.35">
      <c r="B387" s="2" t="s">
        <v>1085</v>
      </c>
      <c r="C387" s="2" t="s">
        <v>790</v>
      </c>
      <c r="D387" s="44" t="s">
        <v>1647</v>
      </c>
      <c r="E387" s="2"/>
      <c r="F387" s="44" t="s">
        <v>2122</v>
      </c>
      <c r="G387" s="45">
        <v>45491</v>
      </c>
      <c r="H387" s="44">
        <v>2986727.04</v>
      </c>
      <c r="I387" s="37">
        <f t="shared" si="20"/>
        <v>14</v>
      </c>
      <c r="J387" s="37" t="str">
        <f t="shared" si="22"/>
        <v>0-120 DAYS</v>
      </c>
      <c r="K387" s="37" t="str">
        <f t="shared" si="21"/>
        <v>0-180 DAYS</v>
      </c>
    </row>
    <row r="388" spans="2:11" hidden="1" x14ac:dyDescent="0.35">
      <c r="B388" s="2" t="s">
        <v>1085</v>
      </c>
      <c r="C388" s="2" t="s">
        <v>790</v>
      </c>
      <c r="D388" s="44" t="s">
        <v>1052</v>
      </c>
      <c r="E388" s="2"/>
      <c r="F388" s="44" t="s">
        <v>2123</v>
      </c>
      <c r="G388" s="45">
        <v>45492</v>
      </c>
      <c r="H388" s="44">
        <v>2952057.55</v>
      </c>
      <c r="I388" s="37">
        <f t="shared" si="20"/>
        <v>13</v>
      </c>
      <c r="J388" s="37" t="str">
        <f t="shared" si="22"/>
        <v>0-120 DAYS</v>
      </c>
      <c r="K388" s="37" t="str">
        <f t="shared" si="21"/>
        <v>0-180 DAYS</v>
      </c>
    </row>
    <row r="389" spans="2:11" hidden="1" x14ac:dyDescent="0.35">
      <c r="B389" s="2" t="s">
        <v>1085</v>
      </c>
      <c r="C389" s="2" t="s">
        <v>790</v>
      </c>
      <c r="D389" s="44" t="s">
        <v>526</v>
      </c>
      <c r="E389" s="2"/>
      <c r="F389" s="44" t="s">
        <v>2124</v>
      </c>
      <c r="G389" s="45">
        <v>45492</v>
      </c>
      <c r="H389" s="44">
        <v>5398656</v>
      </c>
      <c r="I389" s="37">
        <f t="shared" si="20"/>
        <v>13</v>
      </c>
      <c r="J389" s="37" t="str">
        <f t="shared" si="22"/>
        <v>0-120 DAYS</v>
      </c>
      <c r="K389" s="37" t="str">
        <f t="shared" si="21"/>
        <v>0-180 DAYS</v>
      </c>
    </row>
    <row r="390" spans="2:11" hidden="1" x14ac:dyDescent="0.35">
      <c r="B390" s="2" t="s">
        <v>1085</v>
      </c>
      <c r="C390" s="2" t="s">
        <v>790</v>
      </c>
      <c r="D390" s="44" t="s">
        <v>1249</v>
      </c>
      <c r="E390" s="2"/>
      <c r="F390" s="44" t="s">
        <v>2125</v>
      </c>
      <c r="G390" s="45">
        <v>45494</v>
      </c>
      <c r="H390" s="44">
        <v>3298752</v>
      </c>
      <c r="I390" s="37">
        <f t="shared" ref="I390:I453" si="23">$I$2-G390+1</f>
        <v>11</v>
      </c>
      <c r="J390" s="37" t="str">
        <f t="shared" si="22"/>
        <v>0-120 DAYS</v>
      </c>
      <c r="K390" s="37" t="str">
        <f t="shared" ref="K390:K453" si="24">IF(I390&lt;180,"0-180 DAYS","More than 180 Days")</f>
        <v>0-180 DAYS</v>
      </c>
    </row>
    <row r="391" spans="2:11" hidden="1" x14ac:dyDescent="0.35">
      <c r="B391" s="2" t="s">
        <v>1085</v>
      </c>
      <c r="C391" s="2" t="s">
        <v>790</v>
      </c>
      <c r="D391" s="44" t="s">
        <v>650</v>
      </c>
      <c r="E391" s="2"/>
      <c r="F391" s="44" t="s">
        <v>1205</v>
      </c>
      <c r="G391" s="45">
        <v>45497</v>
      </c>
      <c r="H391" s="44">
        <v>3533929.56</v>
      </c>
      <c r="I391" s="37">
        <f t="shared" si="23"/>
        <v>8</v>
      </c>
      <c r="J391" s="37" t="str">
        <f t="shared" si="22"/>
        <v>0-120 DAYS</v>
      </c>
      <c r="K391" s="37" t="str">
        <f t="shared" si="24"/>
        <v>0-180 DAYS</v>
      </c>
    </row>
    <row r="392" spans="2:11" hidden="1" x14ac:dyDescent="0.35">
      <c r="B392" s="2" t="s">
        <v>1085</v>
      </c>
      <c r="C392" s="2" t="s">
        <v>790</v>
      </c>
      <c r="D392" s="44" t="s">
        <v>1249</v>
      </c>
      <c r="E392" s="2"/>
      <c r="F392" s="44" t="s">
        <v>2126</v>
      </c>
      <c r="G392" s="45">
        <v>45498</v>
      </c>
      <c r="H392" s="44">
        <v>2700631.3</v>
      </c>
      <c r="I392" s="37">
        <f t="shared" si="23"/>
        <v>7</v>
      </c>
      <c r="J392" s="37" t="str">
        <f t="shared" si="22"/>
        <v>0-120 DAYS</v>
      </c>
      <c r="K392" s="37" t="str">
        <f t="shared" si="24"/>
        <v>0-180 DAYS</v>
      </c>
    </row>
    <row r="393" spans="2:11" hidden="1" x14ac:dyDescent="0.35">
      <c r="B393" s="2" t="s">
        <v>1085</v>
      </c>
      <c r="C393" s="2" t="s">
        <v>790</v>
      </c>
      <c r="D393" s="44" t="s">
        <v>1249</v>
      </c>
      <c r="E393" s="2"/>
      <c r="F393" s="44" t="s">
        <v>2127</v>
      </c>
      <c r="G393" s="45">
        <v>45499</v>
      </c>
      <c r="H393" s="44">
        <v>1786989.6</v>
      </c>
      <c r="I393" s="37">
        <f t="shared" si="23"/>
        <v>6</v>
      </c>
      <c r="J393" s="37" t="str">
        <f t="shared" si="22"/>
        <v>0-120 DAYS</v>
      </c>
      <c r="K393" s="37" t="str">
        <f t="shared" si="24"/>
        <v>0-180 DAYS</v>
      </c>
    </row>
    <row r="394" spans="2:11" hidden="1" x14ac:dyDescent="0.35">
      <c r="B394" s="2" t="s">
        <v>1085</v>
      </c>
      <c r="C394" s="2" t="s">
        <v>790</v>
      </c>
      <c r="D394" s="44" t="s">
        <v>564</v>
      </c>
      <c r="E394" s="2"/>
      <c r="F394" s="44" t="s">
        <v>2128</v>
      </c>
      <c r="G394" s="45">
        <v>45499</v>
      </c>
      <c r="H394" s="44">
        <v>3087325.8</v>
      </c>
      <c r="I394" s="37">
        <f t="shared" si="23"/>
        <v>6</v>
      </c>
      <c r="J394" s="37" t="str">
        <f t="shared" si="22"/>
        <v>0-120 DAYS</v>
      </c>
      <c r="K394" s="37" t="str">
        <f t="shared" si="24"/>
        <v>0-180 DAYS</v>
      </c>
    </row>
    <row r="395" spans="2:11" hidden="1" x14ac:dyDescent="0.35">
      <c r="B395" s="2" t="s">
        <v>1085</v>
      </c>
      <c r="C395" s="2" t="s">
        <v>790</v>
      </c>
      <c r="D395" s="44" t="s">
        <v>650</v>
      </c>
      <c r="E395" s="2"/>
      <c r="F395" s="44" t="s">
        <v>2129</v>
      </c>
      <c r="G395" s="45">
        <v>45500</v>
      </c>
      <c r="H395" s="44">
        <v>3440398.14</v>
      </c>
      <c r="I395" s="37">
        <f t="shared" si="23"/>
        <v>5</v>
      </c>
      <c r="J395" s="37" t="str">
        <f t="shared" si="22"/>
        <v>0-120 DAYS</v>
      </c>
      <c r="K395" s="37" t="str">
        <f t="shared" si="24"/>
        <v>0-180 DAYS</v>
      </c>
    </row>
    <row r="396" spans="2:11" hidden="1" x14ac:dyDescent="0.35">
      <c r="B396" s="2" t="s">
        <v>1085</v>
      </c>
      <c r="C396" s="2" t="s">
        <v>790</v>
      </c>
      <c r="D396" s="44" t="s">
        <v>650</v>
      </c>
      <c r="E396" s="2"/>
      <c r="F396" s="44" t="s">
        <v>2130</v>
      </c>
      <c r="G396" s="45">
        <v>45500</v>
      </c>
      <c r="H396" s="44">
        <v>3104949.19</v>
      </c>
      <c r="I396" s="37">
        <f t="shared" si="23"/>
        <v>5</v>
      </c>
      <c r="J396" s="37" t="str">
        <f t="shared" ref="J396:J412" si="25">IF(I396&lt;121,"0-120 DAYS",IF(I396&lt;181,"121-180 DAYS","More than 180 Days"))</f>
        <v>0-120 DAYS</v>
      </c>
      <c r="K396" s="37" t="str">
        <f t="shared" si="24"/>
        <v>0-180 DAYS</v>
      </c>
    </row>
    <row r="397" spans="2:11" hidden="1" x14ac:dyDescent="0.35">
      <c r="B397" s="2" t="s">
        <v>1085</v>
      </c>
      <c r="C397" s="2" t="s">
        <v>790</v>
      </c>
      <c r="D397" s="44" t="s">
        <v>538</v>
      </c>
      <c r="E397" s="2"/>
      <c r="F397" s="44" t="s">
        <v>2131</v>
      </c>
      <c r="G397" s="45">
        <v>45501</v>
      </c>
      <c r="H397" s="44">
        <v>3105952.2</v>
      </c>
      <c r="I397" s="37">
        <f t="shared" si="23"/>
        <v>4</v>
      </c>
      <c r="J397" s="37" t="str">
        <f t="shared" si="25"/>
        <v>0-120 DAYS</v>
      </c>
      <c r="K397" s="37" t="str">
        <f t="shared" si="24"/>
        <v>0-180 DAYS</v>
      </c>
    </row>
    <row r="398" spans="2:11" hidden="1" x14ac:dyDescent="0.35">
      <c r="B398" s="2" t="s">
        <v>1085</v>
      </c>
      <c r="C398" s="2" t="s">
        <v>790</v>
      </c>
      <c r="D398" s="44" t="s">
        <v>600</v>
      </c>
      <c r="E398" s="2"/>
      <c r="F398" s="44" t="s">
        <v>2132</v>
      </c>
      <c r="G398" s="45">
        <v>45503</v>
      </c>
      <c r="H398" s="44">
        <v>3330497.52</v>
      </c>
      <c r="I398" s="37">
        <f t="shared" si="23"/>
        <v>2</v>
      </c>
      <c r="J398" s="37" t="str">
        <f t="shared" si="25"/>
        <v>0-120 DAYS</v>
      </c>
      <c r="K398" s="37" t="str">
        <f t="shared" si="24"/>
        <v>0-180 DAYS</v>
      </c>
    </row>
    <row r="399" spans="2:11" hidden="1" x14ac:dyDescent="0.35">
      <c r="B399" s="2" t="s">
        <v>1085</v>
      </c>
      <c r="C399" s="2" t="s">
        <v>790</v>
      </c>
      <c r="D399" s="44" t="s">
        <v>1330</v>
      </c>
      <c r="E399" s="2"/>
      <c r="F399" s="44" t="s">
        <v>2133</v>
      </c>
      <c r="G399" s="45">
        <v>45476</v>
      </c>
      <c r="H399" s="44">
        <v>3350112.62</v>
      </c>
      <c r="I399" s="37">
        <f t="shared" si="23"/>
        <v>29</v>
      </c>
      <c r="J399" s="37" t="str">
        <f t="shared" si="25"/>
        <v>0-120 DAYS</v>
      </c>
      <c r="K399" s="37" t="str">
        <f t="shared" si="24"/>
        <v>0-180 DAYS</v>
      </c>
    </row>
    <row r="400" spans="2:11" hidden="1" x14ac:dyDescent="0.35">
      <c r="B400" s="2" t="s">
        <v>1085</v>
      </c>
      <c r="C400" s="2" t="s">
        <v>790</v>
      </c>
      <c r="D400" s="44" t="s">
        <v>581</v>
      </c>
      <c r="E400" s="2"/>
      <c r="F400" s="44" t="s">
        <v>2134</v>
      </c>
      <c r="G400" s="45">
        <v>45478</v>
      </c>
      <c r="H400" s="44">
        <v>3652121.23</v>
      </c>
      <c r="I400" s="37">
        <f t="shared" si="23"/>
        <v>27</v>
      </c>
      <c r="J400" s="37" t="str">
        <f t="shared" si="25"/>
        <v>0-120 DAYS</v>
      </c>
      <c r="K400" s="37" t="str">
        <f t="shared" si="24"/>
        <v>0-180 DAYS</v>
      </c>
    </row>
    <row r="401" spans="2:11" hidden="1" x14ac:dyDescent="0.35">
      <c r="B401" s="2" t="s">
        <v>1085</v>
      </c>
      <c r="C401" s="2" t="s">
        <v>790</v>
      </c>
      <c r="D401" s="44" t="s">
        <v>2066</v>
      </c>
      <c r="E401" s="2"/>
      <c r="F401" s="44" t="s">
        <v>2135</v>
      </c>
      <c r="G401" s="45">
        <v>45485</v>
      </c>
      <c r="H401" s="44">
        <v>3801140.1</v>
      </c>
      <c r="I401" s="37">
        <f t="shared" si="23"/>
        <v>20</v>
      </c>
      <c r="J401" s="37" t="str">
        <f t="shared" si="25"/>
        <v>0-120 DAYS</v>
      </c>
      <c r="K401" s="37" t="str">
        <f t="shared" si="24"/>
        <v>0-180 DAYS</v>
      </c>
    </row>
    <row r="402" spans="2:11" hidden="1" x14ac:dyDescent="0.35">
      <c r="B402" s="2" t="s">
        <v>1085</v>
      </c>
      <c r="C402" s="2" t="s">
        <v>790</v>
      </c>
      <c r="D402" s="44" t="s">
        <v>581</v>
      </c>
      <c r="E402" s="2"/>
      <c r="F402" s="44" t="s">
        <v>2136</v>
      </c>
      <c r="G402" s="45">
        <v>45494</v>
      </c>
      <c r="H402" s="44">
        <v>3425698.54</v>
      </c>
      <c r="I402" s="37">
        <f t="shared" si="23"/>
        <v>11</v>
      </c>
      <c r="J402" s="37" t="str">
        <f t="shared" si="25"/>
        <v>0-120 DAYS</v>
      </c>
      <c r="K402" s="37" t="str">
        <f t="shared" si="24"/>
        <v>0-180 DAYS</v>
      </c>
    </row>
    <row r="403" spans="2:11" hidden="1" x14ac:dyDescent="0.35">
      <c r="B403" s="2" t="s">
        <v>1085</v>
      </c>
      <c r="C403" s="2" t="s">
        <v>790</v>
      </c>
      <c r="D403" s="44" t="s">
        <v>588</v>
      </c>
      <c r="E403" s="2"/>
      <c r="F403" s="44" t="s">
        <v>2137</v>
      </c>
      <c r="G403" s="45">
        <v>45497</v>
      </c>
      <c r="H403" s="44">
        <v>3457653.48</v>
      </c>
      <c r="I403" s="37">
        <f t="shared" si="23"/>
        <v>8</v>
      </c>
      <c r="J403" s="37" t="str">
        <f t="shared" si="25"/>
        <v>0-120 DAYS</v>
      </c>
      <c r="K403" s="37" t="str">
        <f t="shared" si="24"/>
        <v>0-180 DAYS</v>
      </c>
    </row>
    <row r="404" spans="2:11" hidden="1" x14ac:dyDescent="0.35">
      <c r="B404" s="2" t="s">
        <v>1085</v>
      </c>
      <c r="C404" s="2" t="s">
        <v>790</v>
      </c>
      <c r="D404" s="44" t="s">
        <v>588</v>
      </c>
      <c r="E404" s="2"/>
      <c r="F404" s="44" t="s">
        <v>2138</v>
      </c>
      <c r="G404" s="45">
        <v>45497</v>
      </c>
      <c r="H404" s="44">
        <v>3305409.12</v>
      </c>
      <c r="I404" s="37">
        <f t="shared" si="23"/>
        <v>8</v>
      </c>
      <c r="J404" s="37" t="str">
        <f t="shared" si="25"/>
        <v>0-120 DAYS</v>
      </c>
      <c r="K404" s="37" t="str">
        <f t="shared" si="24"/>
        <v>0-180 DAYS</v>
      </c>
    </row>
    <row r="405" spans="2:11" hidden="1" x14ac:dyDescent="0.35">
      <c r="B405" s="2" t="s">
        <v>1085</v>
      </c>
      <c r="C405" s="2" t="s">
        <v>790</v>
      </c>
      <c r="D405" s="44" t="s">
        <v>1055</v>
      </c>
      <c r="E405" s="2"/>
      <c r="F405" s="44" t="s">
        <v>2139</v>
      </c>
      <c r="G405" s="45">
        <v>45498</v>
      </c>
      <c r="H405" s="44">
        <v>3076185.6</v>
      </c>
      <c r="I405" s="37">
        <f t="shared" si="23"/>
        <v>7</v>
      </c>
      <c r="J405" s="37" t="str">
        <f t="shared" si="25"/>
        <v>0-120 DAYS</v>
      </c>
      <c r="K405" s="37" t="str">
        <f t="shared" si="24"/>
        <v>0-180 DAYS</v>
      </c>
    </row>
    <row r="406" spans="2:11" hidden="1" x14ac:dyDescent="0.35">
      <c r="B406" s="2" t="s">
        <v>1085</v>
      </c>
      <c r="C406" s="2" t="s">
        <v>790</v>
      </c>
      <c r="D406" s="44" t="s">
        <v>588</v>
      </c>
      <c r="E406" s="2"/>
      <c r="F406" s="44" t="s">
        <v>2140</v>
      </c>
      <c r="G406" s="45">
        <v>45499</v>
      </c>
      <c r="H406" s="44">
        <v>3358016.1</v>
      </c>
      <c r="I406" s="37">
        <f t="shared" si="23"/>
        <v>6</v>
      </c>
      <c r="J406" s="37" t="str">
        <f t="shared" si="25"/>
        <v>0-120 DAYS</v>
      </c>
      <c r="K406" s="37" t="str">
        <f t="shared" si="24"/>
        <v>0-180 DAYS</v>
      </c>
    </row>
    <row r="407" spans="2:11" hidden="1" x14ac:dyDescent="0.35">
      <c r="B407" s="2" t="s">
        <v>1085</v>
      </c>
      <c r="C407" s="2" t="s">
        <v>790</v>
      </c>
      <c r="D407" s="44" t="s">
        <v>588</v>
      </c>
      <c r="E407" s="2"/>
      <c r="F407" s="44" t="s">
        <v>2141</v>
      </c>
      <c r="G407" s="45">
        <v>45500</v>
      </c>
      <c r="H407" s="44">
        <v>3638952.36</v>
      </c>
      <c r="I407" s="37">
        <f t="shared" si="23"/>
        <v>5</v>
      </c>
      <c r="J407" s="37" t="str">
        <f t="shared" si="25"/>
        <v>0-120 DAYS</v>
      </c>
      <c r="K407" s="37" t="str">
        <f t="shared" si="24"/>
        <v>0-180 DAYS</v>
      </c>
    </row>
    <row r="408" spans="2:11" hidden="1" x14ac:dyDescent="0.35">
      <c r="B408" s="2" t="s">
        <v>1085</v>
      </c>
      <c r="C408" s="2" t="s">
        <v>790</v>
      </c>
      <c r="D408" s="44" t="s">
        <v>588</v>
      </c>
      <c r="E408" s="2"/>
      <c r="F408" s="44" t="s">
        <v>2142</v>
      </c>
      <c r="G408" s="45">
        <v>45500</v>
      </c>
      <c r="H408" s="44">
        <v>3923320.68</v>
      </c>
      <c r="I408" s="37">
        <f t="shared" si="23"/>
        <v>5</v>
      </c>
      <c r="J408" s="37" t="str">
        <f t="shared" si="25"/>
        <v>0-120 DAYS</v>
      </c>
      <c r="K408" s="37" t="str">
        <f t="shared" si="24"/>
        <v>0-180 DAYS</v>
      </c>
    </row>
    <row r="409" spans="2:11" hidden="1" x14ac:dyDescent="0.35">
      <c r="B409" s="2" t="s">
        <v>1085</v>
      </c>
      <c r="C409" s="2" t="s">
        <v>790</v>
      </c>
      <c r="D409" s="44" t="s">
        <v>647</v>
      </c>
      <c r="E409" s="2"/>
      <c r="F409" s="44" t="s">
        <v>642</v>
      </c>
      <c r="G409" s="45">
        <v>45493</v>
      </c>
      <c r="H409" s="44">
        <v>3601601.28</v>
      </c>
      <c r="I409" s="37">
        <f t="shared" si="23"/>
        <v>12</v>
      </c>
      <c r="J409" s="37" t="str">
        <f t="shared" si="25"/>
        <v>0-120 DAYS</v>
      </c>
      <c r="K409" s="37" t="str">
        <f t="shared" si="24"/>
        <v>0-180 DAYS</v>
      </c>
    </row>
    <row r="410" spans="2:11" hidden="1" x14ac:dyDescent="0.35">
      <c r="B410" s="2" t="s">
        <v>1085</v>
      </c>
      <c r="C410" s="2" t="s">
        <v>790</v>
      </c>
      <c r="D410" s="44" t="s">
        <v>536</v>
      </c>
      <c r="E410" s="2"/>
      <c r="F410" s="44" t="s">
        <v>769</v>
      </c>
      <c r="G410" s="45">
        <v>45502</v>
      </c>
      <c r="H410" s="44">
        <v>320076.2</v>
      </c>
      <c r="I410" s="37">
        <f t="shared" si="23"/>
        <v>3</v>
      </c>
      <c r="J410" s="37" t="str">
        <f t="shared" si="25"/>
        <v>0-120 DAYS</v>
      </c>
      <c r="K410" s="37" t="str">
        <f t="shared" si="24"/>
        <v>0-180 DAYS</v>
      </c>
    </row>
    <row r="411" spans="2:11" hidden="1" x14ac:dyDescent="0.35">
      <c r="B411" s="2" t="s">
        <v>1085</v>
      </c>
      <c r="C411" s="2" t="s">
        <v>790</v>
      </c>
      <c r="D411" s="44" t="s">
        <v>548</v>
      </c>
      <c r="E411" s="2"/>
      <c r="F411" s="44" t="s">
        <v>730</v>
      </c>
      <c r="G411" s="45">
        <v>45502</v>
      </c>
      <c r="H411" s="44">
        <v>3385518.12</v>
      </c>
      <c r="I411" s="37">
        <f t="shared" si="23"/>
        <v>3</v>
      </c>
      <c r="J411" s="37" t="str">
        <f t="shared" si="25"/>
        <v>0-120 DAYS</v>
      </c>
      <c r="K411" s="37" t="str">
        <f t="shared" si="24"/>
        <v>0-180 DAYS</v>
      </c>
    </row>
    <row r="412" spans="2:11" hidden="1" x14ac:dyDescent="0.35">
      <c r="B412" s="2" t="s">
        <v>1085</v>
      </c>
      <c r="C412" s="2" t="s">
        <v>790</v>
      </c>
      <c r="D412" s="44" t="s">
        <v>548</v>
      </c>
      <c r="E412" s="2"/>
      <c r="F412" s="44" t="s">
        <v>734</v>
      </c>
      <c r="G412" s="45">
        <v>45502</v>
      </c>
      <c r="H412" s="44">
        <v>3339593.1</v>
      </c>
      <c r="I412" s="37">
        <f t="shared" si="23"/>
        <v>3</v>
      </c>
      <c r="J412" s="37" t="str">
        <f t="shared" si="25"/>
        <v>0-120 DAYS</v>
      </c>
      <c r="K412" s="37" t="str">
        <f t="shared" si="24"/>
        <v>0-180 DAYS</v>
      </c>
    </row>
    <row r="413" spans="2:11" hidden="1" x14ac:dyDescent="0.35">
      <c r="B413" s="2" t="s">
        <v>1209</v>
      </c>
      <c r="C413" s="2" t="s">
        <v>789</v>
      </c>
      <c r="D413" s="44" t="s">
        <v>125</v>
      </c>
      <c r="E413" s="44" t="s">
        <v>57</v>
      </c>
      <c r="F413" s="44" t="s">
        <v>2143</v>
      </c>
      <c r="G413" s="45">
        <v>45483</v>
      </c>
      <c r="H413" s="145">
        <v>100439.2</v>
      </c>
      <c r="I413" s="37">
        <f t="shared" si="23"/>
        <v>22</v>
      </c>
      <c r="J413" s="37" t="str">
        <f t="shared" ref="J413:J476" si="26">IF(I413&lt;91,"1-90 DAYS",IF(I413&lt;121,"91-120DAYS",IF(I413&lt;181,"121-180 DAYS","More than 180 Days")))</f>
        <v>1-90 DAYS</v>
      </c>
      <c r="K413" s="37" t="str">
        <f t="shared" si="24"/>
        <v>0-180 DAYS</v>
      </c>
    </row>
    <row r="414" spans="2:11" hidden="1" x14ac:dyDescent="0.35">
      <c r="B414" s="2" t="s">
        <v>1209</v>
      </c>
      <c r="C414" s="2" t="s">
        <v>789</v>
      </c>
      <c r="D414" s="44" t="s">
        <v>125</v>
      </c>
      <c r="E414" s="44" t="s">
        <v>57</v>
      </c>
      <c r="F414" s="44" t="s">
        <v>2144</v>
      </c>
      <c r="G414" s="45">
        <v>45483</v>
      </c>
      <c r="H414" s="145">
        <v>1510888</v>
      </c>
      <c r="I414" s="37">
        <f t="shared" si="23"/>
        <v>22</v>
      </c>
      <c r="J414" s="37" t="str">
        <f t="shared" si="26"/>
        <v>1-90 DAYS</v>
      </c>
      <c r="K414" s="37" t="str">
        <f t="shared" si="24"/>
        <v>0-180 DAYS</v>
      </c>
    </row>
    <row r="415" spans="2:11" hidden="1" x14ac:dyDescent="0.35">
      <c r="B415" s="2" t="s">
        <v>1209</v>
      </c>
      <c r="C415" s="2" t="s">
        <v>789</v>
      </c>
      <c r="D415" s="44" t="s">
        <v>125</v>
      </c>
      <c r="E415" s="44" t="s">
        <v>57</v>
      </c>
      <c r="F415" s="44" t="s">
        <v>2145</v>
      </c>
      <c r="G415" s="45">
        <v>45484</v>
      </c>
      <c r="H415" s="145">
        <v>699180.04</v>
      </c>
      <c r="I415" s="37">
        <f t="shared" si="23"/>
        <v>21</v>
      </c>
      <c r="J415" s="37" t="str">
        <f t="shared" si="26"/>
        <v>1-90 DAYS</v>
      </c>
      <c r="K415" s="37" t="str">
        <f t="shared" si="24"/>
        <v>0-180 DAYS</v>
      </c>
    </row>
    <row r="416" spans="2:11" hidden="1" x14ac:dyDescent="0.35">
      <c r="B416" s="2" t="s">
        <v>1209</v>
      </c>
      <c r="C416" s="2" t="s">
        <v>789</v>
      </c>
      <c r="D416" s="44" t="s">
        <v>125</v>
      </c>
      <c r="E416" s="44" t="s">
        <v>57</v>
      </c>
      <c r="F416" s="44" t="s">
        <v>2146</v>
      </c>
      <c r="G416" s="45">
        <v>45484</v>
      </c>
      <c r="H416" s="145">
        <v>916163.46</v>
      </c>
      <c r="I416" s="37">
        <f t="shared" si="23"/>
        <v>21</v>
      </c>
      <c r="J416" s="37" t="str">
        <f t="shared" si="26"/>
        <v>1-90 DAYS</v>
      </c>
      <c r="K416" s="37" t="str">
        <f t="shared" si="24"/>
        <v>0-180 DAYS</v>
      </c>
    </row>
    <row r="417" spans="2:11" hidden="1" x14ac:dyDescent="0.35">
      <c r="B417" s="2" t="s">
        <v>1209</v>
      </c>
      <c r="C417" s="2" t="s">
        <v>789</v>
      </c>
      <c r="D417" s="44" t="s">
        <v>125</v>
      </c>
      <c r="E417" s="44" t="s">
        <v>57</v>
      </c>
      <c r="F417" s="44" t="s">
        <v>2147</v>
      </c>
      <c r="G417" s="45">
        <v>45484</v>
      </c>
      <c r="H417" s="145">
        <v>12167.6</v>
      </c>
      <c r="I417" s="37">
        <f t="shared" si="23"/>
        <v>21</v>
      </c>
      <c r="J417" s="37" t="str">
        <f t="shared" si="26"/>
        <v>1-90 DAYS</v>
      </c>
      <c r="K417" s="37" t="str">
        <f t="shared" si="24"/>
        <v>0-180 DAYS</v>
      </c>
    </row>
    <row r="418" spans="2:11" hidden="1" x14ac:dyDescent="0.35">
      <c r="B418" s="2" t="s">
        <v>1209</v>
      </c>
      <c r="C418" s="2" t="s">
        <v>789</v>
      </c>
      <c r="D418" s="44" t="s">
        <v>125</v>
      </c>
      <c r="E418" s="44" t="s">
        <v>57</v>
      </c>
      <c r="F418" s="44" t="s">
        <v>2148</v>
      </c>
      <c r="G418" s="45">
        <v>45484</v>
      </c>
      <c r="H418" s="145">
        <v>22000</v>
      </c>
      <c r="I418" s="37">
        <f t="shared" si="23"/>
        <v>21</v>
      </c>
      <c r="J418" s="37" t="str">
        <f t="shared" si="26"/>
        <v>1-90 DAYS</v>
      </c>
      <c r="K418" s="37" t="str">
        <f t="shared" si="24"/>
        <v>0-180 DAYS</v>
      </c>
    </row>
    <row r="419" spans="2:11" hidden="1" x14ac:dyDescent="0.35">
      <c r="B419" s="2" t="s">
        <v>1209</v>
      </c>
      <c r="C419" s="2" t="s">
        <v>789</v>
      </c>
      <c r="D419" s="44" t="s">
        <v>125</v>
      </c>
      <c r="E419" s="44" t="s">
        <v>57</v>
      </c>
      <c r="F419" s="44" t="s">
        <v>2149</v>
      </c>
      <c r="G419" s="45">
        <v>45485</v>
      </c>
      <c r="H419" s="145">
        <v>872934.14</v>
      </c>
      <c r="I419" s="37">
        <f t="shared" si="23"/>
        <v>20</v>
      </c>
      <c r="J419" s="37" t="str">
        <f t="shared" si="26"/>
        <v>1-90 DAYS</v>
      </c>
      <c r="K419" s="37" t="str">
        <f t="shared" si="24"/>
        <v>0-180 DAYS</v>
      </c>
    </row>
    <row r="420" spans="2:11" hidden="1" x14ac:dyDescent="0.35">
      <c r="B420" s="2" t="s">
        <v>1209</v>
      </c>
      <c r="C420" s="2" t="s">
        <v>789</v>
      </c>
      <c r="D420" s="44" t="s">
        <v>125</v>
      </c>
      <c r="E420" s="44" t="s">
        <v>57</v>
      </c>
      <c r="F420" s="44" t="s">
        <v>2150</v>
      </c>
      <c r="G420" s="45">
        <v>45485</v>
      </c>
      <c r="H420" s="145">
        <v>9847.36</v>
      </c>
      <c r="I420" s="37">
        <f t="shared" si="23"/>
        <v>20</v>
      </c>
      <c r="J420" s="37" t="str">
        <f t="shared" si="26"/>
        <v>1-90 DAYS</v>
      </c>
      <c r="K420" s="37" t="str">
        <f t="shared" si="24"/>
        <v>0-180 DAYS</v>
      </c>
    </row>
    <row r="421" spans="2:11" hidden="1" x14ac:dyDescent="0.35">
      <c r="B421" s="2" t="s">
        <v>1209</v>
      </c>
      <c r="C421" s="2" t="s">
        <v>789</v>
      </c>
      <c r="D421" s="44" t="s">
        <v>125</v>
      </c>
      <c r="E421" s="44" t="s">
        <v>57</v>
      </c>
      <c r="F421" s="44" t="s">
        <v>2151</v>
      </c>
      <c r="G421" s="45">
        <v>45485</v>
      </c>
      <c r="H421" s="145">
        <v>34040.339999999997</v>
      </c>
      <c r="I421" s="37">
        <f t="shared" si="23"/>
        <v>20</v>
      </c>
      <c r="J421" s="37" t="str">
        <f t="shared" si="26"/>
        <v>1-90 DAYS</v>
      </c>
      <c r="K421" s="37" t="str">
        <f t="shared" si="24"/>
        <v>0-180 DAYS</v>
      </c>
    </row>
    <row r="422" spans="2:11" hidden="1" x14ac:dyDescent="0.35">
      <c r="B422" s="2" t="s">
        <v>1209</v>
      </c>
      <c r="C422" s="2" t="s">
        <v>789</v>
      </c>
      <c r="D422" s="44" t="s">
        <v>125</v>
      </c>
      <c r="E422" s="44" t="s">
        <v>57</v>
      </c>
      <c r="F422" s="44" t="s">
        <v>2152</v>
      </c>
      <c r="G422" s="45">
        <v>45485</v>
      </c>
      <c r="H422" s="145">
        <v>33550</v>
      </c>
      <c r="I422" s="37">
        <f t="shared" si="23"/>
        <v>20</v>
      </c>
      <c r="J422" s="37" t="str">
        <f t="shared" si="26"/>
        <v>1-90 DAYS</v>
      </c>
      <c r="K422" s="37" t="str">
        <f t="shared" si="24"/>
        <v>0-180 DAYS</v>
      </c>
    </row>
    <row r="423" spans="2:11" hidden="1" x14ac:dyDescent="0.35">
      <c r="B423" s="2" t="s">
        <v>1209</v>
      </c>
      <c r="C423" s="2" t="s">
        <v>789</v>
      </c>
      <c r="D423" s="44" t="s">
        <v>125</v>
      </c>
      <c r="E423" s="44" t="s">
        <v>57</v>
      </c>
      <c r="F423" s="44" t="s">
        <v>2153</v>
      </c>
      <c r="G423" s="45">
        <v>45486</v>
      </c>
      <c r="H423" s="145">
        <v>11872.16</v>
      </c>
      <c r="I423" s="37">
        <f t="shared" si="23"/>
        <v>19</v>
      </c>
      <c r="J423" s="37" t="str">
        <f t="shared" si="26"/>
        <v>1-90 DAYS</v>
      </c>
      <c r="K423" s="37" t="str">
        <f t="shared" si="24"/>
        <v>0-180 DAYS</v>
      </c>
    </row>
    <row r="424" spans="2:11" hidden="1" x14ac:dyDescent="0.35">
      <c r="B424" s="2" t="s">
        <v>1209</v>
      </c>
      <c r="C424" s="2" t="s">
        <v>789</v>
      </c>
      <c r="D424" s="44" t="s">
        <v>125</v>
      </c>
      <c r="E424" s="44" t="s">
        <v>57</v>
      </c>
      <c r="F424" s="44" t="s">
        <v>2154</v>
      </c>
      <c r="G424" s="45">
        <v>45486</v>
      </c>
      <c r="H424" s="145">
        <v>2438.9</v>
      </c>
      <c r="I424" s="37">
        <f t="shared" si="23"/>
        <v>19</v>
      </c>
      <c r="J424" s="37" t="str">
        <f t="shared" si="26"/>
        <v>1-90 DAYS</v>
      </c>
      <c r="K424" s="37" t="str">
        <f t="shared" si="24"/>
        <v>0-180 DAYS</v>
      </c>
    </row>
    <row r="425" spans="2:11" hidden="1" x14ac:dyDescent="0.35">
      <c r="B425" s="2" t="s">
        <v>1209</v>
      </c>
      <c r="C425" s="2" t="s">
        <v>789</v>
      </c>
      <c r="D425" s="44" t="s">
        <v>125</v>
      </c>
      <c r="E425" s="44" t="s">
        <v>57</v>
      </c>
      <c r="F425" s="44" t="s">
        <v>2155</v>
      </c>
      <c r="G425" s="45">
        <v>45486</v>
      </c>
      <c r="H425" s="145">
        <v>616640.86</v>
      </c>
      <c r="I425" s="37">
        <f t="shared" si="23"/>
        <v>19</v>
      </c>
      <c r="J425" s="37" t="str">
        <f t="shared" si="26"/>
        <v>1-90 DAYS</v>
      </c>
      <c r="K425" s="37" t="str">
        <f t="shared" si="24"/>
        <v>0-180 DAYS</v>
      </c>
    </row>
    <row r="426" spans="2:11" hidden="1" x14ac:dyDescent="0.35">
      <c r="B426" s="2" t="s">
        <v>1209</v>
      </c>
      <c r="C426" s="2" t="s">
        <v>789</v>
      </c>
      <c r="D426" s="44" t="s">
        <v>125</v>
      </c>
      <c r="E426" s="44" t="s">
        <v>57</v>
      </c>
      <c r="F426" s="44" t="s">
        <v>2156</v>
      </c>
      <c r="G426" s="45">
        <v>45486</v>
      </c>
      <c r="H426" s="145">
        <v>6847.44</v>
      </c>
      <c r="I426" s="37">
        <f t="shared" si="23"/>
        <v>19</v>
      </c>
      <c r="J426" s="37" t="str">
        <f t="shared" si="26"/>
        <v>1-90 DAYS</v>
      </c>
      <c r="K426" s="37" t="str">
        <f t="shared" si="24"/>
        <v>0-180 DAYS</v>
      </c>
    </row>
    <row r="427" spans="2:11" hidden="1" x14ac:dyDescent="0.35">
      <c r="B427" s="2" t="s">
        <v>1209</v>
      </c>
      <c r="C427" s="2" t="s">
        <v>789</v>
      </c>
      <c r="D427" s="44" t="s">
        <v>125</v>
      </c>
      <c r="E427" s="44" t="s">
        <v>57</v>
      </c>
      <c r="F427" s="44" t="s">
        <v>2157</v>
      </c>
      <c r="G427" s="45">
        <v>45487</v>
      </c>
      <c r="H427" s="145">
        <v>2424.46</v>
      </c>
      <c r="I427" s="37">
        <f t="shared" si="23"/>
        <v>18</v>
      </c>
      <c r="J427" s="37" t="str">
        <f t="shared" si="26"/>
        <v>1-90 DAYS</v>
      </c>
      <c r="K427" s="37" t="str">
        <f t="shared" si="24"/>
        <v>0-180 DAYS</v>
      </c>
    </row>
    <row r="428" spans="2:11" hidden="1" x14ac:dyDescent="0.35">
      <c r="B428" s="2" t="s">
        <v>1209</v>
      </c>
      <c r="C428" s="2" t="s">
        <v>789</v>
      </c>
      <c r="D428" s="44" t="s">
        <v>125</v>
      </c>
      <c r="E428" s="44" t="s">
        <v>57</v>
      </c>
      <c r="F428" s="44" t="s">
        <v>2158</v>
      </c>
      <c r="G428" s="45">
        <v>45487</v>
      </c>
      <c r="H428" s="145">
        <v>729046.22</v>
      </c>
      <c r="I428" s="37">
        <f t="shared" si="23"/>
        <v>18</v>
      </c>
      <c r="J428" s="37" t="str">
        <f t="shared" si="26"/>
        <v>1-90 DAYS</v>
      </c>
      <c r="K428" s="37" t="str">
        <f t="shared" si="24"/>
        <v>0-180 DAYS</v>
      </c>
    </row>
    <row r="429" spans="2:11" hidden="1" x14ac:dyDescent="0.35">
      <c r="B429" s="2" t="s">
        <v>1209</v>
      </c>
      <c r="C429" s="2" t="s">
        <v>789</v>
      </c>
      <c r="D429" s="44" t="s">
        <v>125</v>
      </c>
      <c r="E429" s="44" t="s">
        <v>57</v>
      </c>
      <c r="F429" s="44" t="s">
        <v>2159</v>
      </c>
      <c r="G429" s="45">
        <v>45487</v>
      </c>
      <c r="H429" s="145">
        <v>3678.6</v>
      </c>
      <c r="I429" s="37">
        <f t="shared" si="23"/>
        <v>18</v>
      </c>
      <c r="J429" s="37" t="str">
        <f t="shared" si="26"/>
        <v>1-90 DAYS</v>
      </c>
      <c r="K429" s="37" t="str">
        <f t="shared" si="24"/>
        <v>0-180 DAYS</v>
      </c>
    </row>
    <row r="430" spans="2:11" hidden="1" x14ac:dyDescent="0.35">
      <c r="B430" s="2" t="s">
        <v>1209</v>
      </c>
      <c r="C430" s="2" t="s">
        <v>789</v>
      </c>
      <c r="D430" s="44" t="s">
        <v>125</v>
      </c>
      <c r="E430" s="44" t="s">
        <v>57</v>
      </c>
      <c r="F430" s="44" t="s">
        <v>2160</v>
      </c>
      <c r="G430" s="45">
        <v>45487</v>
      </c>
      <c r="H430" s="145">
        <v>29770</v>
      </c>
      <c r="I430" s="37">
        <f t="shared" si="23"/>
        <v>18</v>
      </c>
      <c r="J430" s="37" t="str">
        <f t="shared" si="26"/>
        <v>1-90 DAYS</v>
      </c>
      <c r="K430" s="37" t="str">
        <f t="shared" si="24"/>
        <v>0-180 DAYS</v>
      </c>
    </row>
    <row r="431" spans="2:11" hidden="1" x14ac:dyDescent="0.35">
      <c r="B431" s="2" t="s">
        <v>1209</v>
      </c>
      <c r="C431" s="2" t="s">
        <v>789</v>
      </c>
      <c r="D431" s="44" t="s">
        <v>125</v>
      </c>
      <c r="E431" s="44" t="s">
        <v>57</v>
      </c>
      <c r="F431" s="44" t="s">
        <v>2161</v>
      </c>
      <c r="G431" s="45">
        <v>45487</v>
      </c>
      <c r="H431" s="145">
        <v>5691.92</v>
      </c>
      <c r="I431" s="37">
        <f t="shared" si="23"/>
        <v>18</v>
      </c>
      <c r="J431" s="37" t="str">
        <f t="shared" si="26"/>
        <v>1-90 DAYS</v>
      </c>
      <c r="K431" s="37" t="str">
        <f t="shared" si="24"/>
        <v>0-180 DAYS</v>
      </c>
    </row>
    <row r="432" spans="2:11" hidden="1" x14ac:dyDescent="0.35">
      <c r="B432" s="2" t="s">
        <v>1209</v>
      </c>
      <c r="C432" s="2" t="s">
        <v>789</v>
      </c>
      <c r="D432" s="44" t="s">
        <v>125</v>
      </c>
      <c r="E432" s="44" t="s">
        <v>57</v>
      </c>
      <c r="F432" s="44" t="s">
        <v>2162</v>
      </c>
      <c r="G432" s="45">
        <v>45488</v>
      </c>
      <c r="H432" s="145">
        <v>289347.58</v>
      </c>
      <c r="I432" s="37">
        <f t="shared" si="23"/>
        <v>17</v>
      </c>
      <c r="J432" s="37" t="str">
        <f t="shared" si="26"/>
        <v>1-90 DAYS</v>
      </c>
      <c r="K432" s="37" t="str">
        <f t="shared" si="24"/>
        <v>0-180 DAYS</v>
      </c>
    </row>
    <row r="433" spans="2:11" hidden="1" x14ac:dyDescent="0.35">
      <c r="B433" s="2" t="s">
        <v>1209</v>
      </c>
      <c r="C433" s="2" t="s">
        <v>789</v>
      </c>
      <c r="D433" s="44" t="s">
        <v>125</v>
      </c>
      <c r="E433" s="44" t="s">
        <v>57</v>
      </c>
      <c r="F433" s="44" t="s">
        <v>2163</v>
      </c>
      <c r="G433" s="45">
        <v>45488</v>
      </c>
      <c r="H433" s="145">
        <v>1923.76</v>
      </c>
      <c r="I433" s="37">
        <f t="shared" si="23"/>
        <v>17</v>
      </c>
      <c r="J433" s="37" t="str">
        <f t="shared" si="26"/>
        <v>1-90 DAYS</v>
      </c>
      <c r="K433" s="37" t="str">
        <f t="shared" si="24"/>
        <v>0-180 DAYS</v>
      </c>
    </row>
    <row r="434" spans="2:11" hidden="1" x14ac:dyDescent="0.35">
      <c r="B434" s="2" t="s">
        <v>1209</v>
      </c>
      <c r="C434" s="2" t="s">
        <v>789</v>
      </c>
      <c r="D434" s="44" t="s">
        <v>125</v>
      </c>
      <c r="E434" s="44" t="s">
        <v>57</v>
      </c>
      <c r="F434" s="44" t="s">
        <v>2164</v>
      </c>
      <c r="G434" s="45">
        <v>45488</v>
      </c>
      <c r="H434" s="145">
        <v>33550</v>
      </c>
      <c r="I434" s="37">
        <f t="shared" si="23"/>
        <v>17</v>
      </c>
      <c r="J434" s="37" t="str">
        <f t="shared" si="26"/>
        <v>1-90 DAYS</v>
      </c>
      <c r="K434" s="37" t="str">
        <f t="shared" si="24"/>
        <v>0-180 DAYS</v>
      </c>
    </row>
    <row r="435" spans="2:11" hidden="1" x14ac:dyDescent="0.35">
      <c r="B435" s="2" t="s">
        <v>1209</v>
      </c>
      <c r="C435" s="2" t="s">
        <v>789</v>
      </c>
      <c r="D435" s="44" t="s">
        <v>125</v>
      </c>
      <c r="E435" s="44" t="s">
        <v>57</v>
      </c>
      <c r="F435" s="44" t="s">
        <v>2165</v>
      </c>
      <c r="G435" s="45">
        <v>45489</v>
      </c>
      <c r="H435" s="145">
        <v>1127491.22</v>
      </c>
      <c r="I435" s="37">
        <f t="shared" si="23"/>
        <v>16</v>
      </c>
      <c r="J435" s="37" t="str">
        <f t="shared" si="26"/>
        <v>1-90 DAYS</v>
      </c>
      <c r="K435" s="37" t="str">
        <f t="shared" si="24"/>
        <v>0-180 DAYS</v>
      </c>
    </row>
    <row r="436" spans="2:11" hidden="1" x14ac:dyDescent="0.35">
      <c r="B436" s="2" t="s">
        <v>1209</v>
      </c>
      <c r="C436" s="2" t="s">
        <v>789</v>
      </c>
      <c r="D436" s="44" t="s">
        <v>125</v>
      </c>
      <c r="E436" s="44" t="s">
        <v>57</v>
      </c>
      <c r="F436" s="44" t="s">
        <v>2166</v>
      </c>
      <c r="G436" s="45">
        <v>45489</v>
      </c>
      <c r="H436" s="145">
        <v>735410.98</v>
      </c>
      <c r="I436" s="37">
        <f t="shared" si="23"/>
        <v>16</v>
      </c>
      <c r="J436" s="37" t="str">
        <f t="shared" si="26"/>
        <v>1-90 DAYS</v>
      </c>
      <c r="K436" s="37" t="str">
        <f t="shared" si="24"/>
        <v>0-180 DAYS</v>
      </c>
    </row>
    <row r="437" spans="2:11" hidden="1" x14ac:dyDescent="0.35">
      <c r="B437" s="2" t="s">
        <v>1209</v>
      </c>
      <c r="C437" s="2" t="s">
        <v>789</v>
      </c>
      <c r="D437" s="44" t="s">
        <v>125</v>
      </c>
      <c r="E437" s="44" t="s">
        <v>57</v>
      </c>
      <c r="F437" s="44" t="s">
        <v>2167</v>
      </c>
      <c r="G437" s="45">
        <v>45489</v>
      </c>
      <c r="H437" s="145">
        <v>9337.6</v>
      </c>
      <c r="I437" s="37">
        <f t="shared" si="23"/>
        <v>16</v>
      </c>
      <c r="J437" s="37" t="str">
        <f t="shared" si="26"/>
        <v>1-90 DAYS</v>
      </c>
      <c r="K437" s="37" t="str">
        <f t="shared" si="24"/>
        <v>0-180 DAYS</v>
      </c>
    </row>
    <row r="438" spans="2:11" hidden="1" x14ac:dyDescent="0.35">
      <c r="B438" s="2" t="s">
        <v>1209</v>
      </c>
      <c r="C438" s="2" t="s">
        <v>789</v>
      </c>
      <c r="D438" s="44" t="s">
        <v>125</v>
      </c>
      <c r="E438" s="44" t="s">
        <v>57</v>
      </c>
      <c r="F438" s="44" t="s">
        <v>2168</v>
      </c>
      <c r="G438" s="45">
        <v>45489</v>
      </c>
      <c r="H438" s="145">
        <v>206847.35999999999</v>
      </c>
      <c r="I438" s="37">
        <f t="shared" si="23"/>
        <v>16</v>
      </c>
      <c r="J438" s="37" t="str">
        <f t="shared" si="26"/>
        <v>1-90 DAYS</v>
      </c>
      <c r="K438" s="37" t="str">
        <f t="shared" si="24"/>
        <v>0-180 DAYS</v>
      </c>
    </row>
    <row r="439" spans="2:11" hidden="1" x14ac:dyDescent="0.35">
      <c r="B439" s="2" t="s">
        <v>1209</v>
      </c>
      <c r="C439" s="2" t="s">
        <v>789</v>
      </c>
      <c r="D439" s="44" t="s">
        <v>125</v>
      </c>
      <c r="E439" s="44" t="s">
        <v>57</v>
      </c>
      <c r="F439" s="44" t="s">
        <v>2169</v>
      </c>
      <c r="G439" s="45">
        <v>45490</v>
      </c>
      <c r="H439" s="145">
        <v>795802.8</v>
      </c>
      <c r="I439" s="37">
        <f t="shared" si="23"/>
        <v>15</v>
      </c>
      <c r="J439" s="37" t="str">
        <f t="shared" si="26"/>
        <v>1-90 DAYS</v>
      </c>
      <c r="K439" s="37" t="str">
        <f t="shared" si="24"/>
        <v>0-180 DAYS</v>
      </c>
    </row>
    <row r="440" spans="2:11" hidden="1" x14ac:dyDescent="0.35">
      <c r="B440" s="2" t="s">
        <v>1209</v>
      </c>
      <c r="C440" s="2" t="s">
        <v>789</v>
      </c>
      <c r="D440" s="44" t="s">
        <v>125</v>
      </c>
      <c r="E440" s="44" t="s">
        <v>57</v>
      </c>
      <c r="F440" s="44" t="s">
        <v>2170</v>
      </c>
      <c r="G440" s="45">
        <v>45490</v>
      </c>
      <c r="H440" s="145">
        <v>5545.72</v>
      </c>
      <c r="I440" s="37">
        <f t="shared" si="23"/>
        <v>15</v>
      </c>
      <c r="J440" s="37" t="str">
        <f t="shared" si="26"/>
        <v>1-90 DAYS</v>
      </c>
      <c r="K440" s="37" t="str">
        <f t="shared" si="24"/>
        <v>0-180 DAYS</v>
      </c>
    </row>
    <row r="441" spans="2:11" hidden="1" x14ac:dyDescent="0.35">
      <c r="B441" s="2" t="s">
        <v>1209</v>
      </c>
      <c r="C441" s="2" t="s">
        <v>789</v>
      </c>
      <c r="D441" s="44" t="s">
        <v>125</v>
      </c>
      <c r="E441" s="44" t="s">
        <v>57</v>
      </c>
      <c r="F441" s="44" t="s">
        <v>2171</v>
      </c>
      <c r="G441" s="45">
        <v>45490</v>
      </c>
      <c r="H441" s="145">
        <v>20075</v>
      </c>
      <c r="I441" s="37">
        <f t="shared" si="23"/>
        <v>15</v>
      </c>
      <c r="J441" s="37" t="str">
        <f t="shared" si="26"/>
        <v>1-90 DAYS</v>
      </c>
      <c r="K441" s="37" t="str">
        <f t="shared" si="24"/>
        <v>0-180 DAYS</v>
      </c>
    </row>
    <row r="442" spans="2:11" hidden="1" x14ac:dyDescent="0.35">
      <c r="B442" s="2" t="s">
        <v>1209</v>
      </c>
      <c r="C442" s="2" t="s">
        <v>789</v>
      </c>
      <c r="D442" s="44" t="s">
        <v>125</v>
      </c>
      <c r="E442" s="44" t="s">
        <v>57</v>
      </c>
      <c r="F442" s="44" t="s">
        <v>2172</v>
      </c>
      <c r="G442" s="45">
        <v>45491</v>
      </c>
      <c r="H442" s="145">
        <v>617968.42000000004</v>
      </c>
      <c r="I442" s="37">
        <f t="shared" si="23"/>
        <v>14</v>
      </c>
      <c r="J442" s="37" t="str">
        <f t="shared" si="26"/>
        <v>1-90 DAYS</v>
      </c>
      <c r="K442" s="37" t="str">
        <f t="shared" si="24"/>
        <v>0-180 DAYS</v>
      </c>
    </row>
    <row r="443" spans="2:11" hidden="1" x14ac:dyDescent="0.35">
      <c r="B443" s="2" t="s">
        <v>1209</v>
      </c>
      <c r="C443" s="2" t="s">
        <v>789</v>
      </c>
      <c r="D443" s="44" t="s">
        <v>125</v>
      </c>
      <c r="E443" s="44" t="s">
        <v>57</v>
      </c>
      <c r="F443" s="44" t="s">
        <v>2173</v>
      </c>
      <c r="G443" s="45">
        <v>45491</v>
      </c>
      <c r="H443" s="145">
        <v>5432.44</v>
      </c>
      <c r="I443" s="37">
        <f t="shared" si="23"/>
        <v>14</v>
      </c>
      <c r="J443" s="37" t="str">
        <f t="shared" si="26"/>
        <v>1-90 DAYS</v>
      </c>
      <c r="K443" s="37" t="str">
        <f t="shared" si="24"/>
        <v>0-180 DAYS</v>
      </c>
    </row>
    <row r="444" spans="2:11" hidden="1" x14ac:dyDescent="0.35">
      <c r="B444" s="2" t="s">
        <v>1209</v>
      </c>
      <c r="C444" s="2" t="s">
        <v>789</v>
      </c>
      <c r="D444" s="44" t="s">
        <v>125</v>
      </c>
      <c r="E444" s="44" t="s">
        <v>57</v>
      </c>
      <c r="F444" s="44" t="s">
        <v>2174</v>
      </c>
      <c r="G444" s="45">
        <v>45492</v>
      </c>
      <c r="H444" s="145">
        <v>1188.44</v>
      </c>
      <c r="I444" s="37">
        <f t="shared" si="23"/>
        <v>13</v>
      </c>
      <c r="J444" s="37" t="str">
        <f t="shared" si="26"/>
        <v>1-90 DAYS</v>
      </c>
      <c r="K444" s="37" t="str">
        <f t="shared" si="24"/>
        <v>0-180 DAYS</v>
      </c>
    </row>
    <row r="445" spans="2:11" hidden="1" x14ac:dyDescent="0.35">
      <c r="B445" s="2" t="s">
        <v>1209</v>
      </c>
      <c r="C445" s="2" t="s">
        <v>789</v>
      </c>
      <c r="D445" s="44" t="s">
        <v>125</v>
      </c>
      <c r="E445" s="44" t="s">
        <v>57</v>
      </c>
      <c r="F445" s="44" t="s">
        <v>2175</v>
      </c>
      <c r="G445" s="45">
        <v>45492</v>
      </c>
      <c r="H445" s="145">
        <v>498859.68</v>
      </c>
      <c r="I445" s="37">
        <f t="shared" si="23"/>
        <v>13</v>
      </c>
      <c r="J445" s="37" t="str">
        <f t="shared" si="26"/>
        <v>1-90 DAYS</v>
      </c>
      <c r="K445" s="37" t="str">
        <f t="shared" si="24"/>
        <v>0-180 DAYS</v>
      </c>
    </row>
    <row r="446" spans="2:11" hidden="1" x14ac:dyDescent="0.35">
      <c r="B446" s="2" t="s">
        <v>1209</v>
      </c>
      <c r="C446" s="2" t="s">
        <v>789</v>
      </c>
      <c r="D446" s="44" t="s">
        <v>125</v>
      </c>
      <c r="E446" s="44" t="s">
        <v>57</v>
      </c>
      <c r="F446" s="44" t="s">
        <v>2176</v>
      </c>
      <c r="G446" s="45">
        <v>45492</v>
      </c>
      <c r="H446" s="145">
        <v>37950</v>
      </c>
      <c r="I446" s="37">
        <f t="shared" si="23"/>
        <v>13</v>
      </c>
      <c r="J446" s="37" t="str">
        <f t="shared" si="26"/>
        <v>1-90 DAYS</v>
      </c>
      <c r="K446" s="37" t="str">
        <f t="shared" si="24"/>
        <v>0-180 DAYS</v>
      </c>
    </row>
    <row r="447" spans="2:11" hidden="1" x14ac:dyDescent="0.35">
      <c r="B447" s="2" t="s">
        <v>1209</v>
      </c>
      <c r="C447" s="2" t="s">
        <v>789</v>
      </c>
      <c r="D447" s="44" t="s">
        <v>125</v>
      </c>
      <c r="E447" s="44" t="s">
        <v>57</v>
      </c>
      <c r="F447" s="44" t="s">
        <v>2177</v>
      </c>
      <c r="G447" s="45">
        <v>45493</v>
      </c>
      <c r="H447" s="145">
        <v>164180.72</v>
      </c>
      <c r="I447" s="37">
        <f t="shared" si="23"/>
        <v>12</v>
      </c>
      <c r="J447" s="37" t="str">
        <f t="shared" si="26"/>
        <v>1-90 DAYS</v>
      </c>
      <c r="K447" s="37" t="str">
        <f t="shared" si="24"/>
        <v>0-180 DAYS</v>
      </c>
    </row>
    <row r="448" spans="2:11" hidden="1" x14ac:dyDescent="0.35">
      <c r="B448" s="2" t="s">
        <v>1209</v>
      </c>
      <c r="C448" s="2" t="s">
        <v>789</v>
      </c>
      <c r="D448" s="44" t="s">
        <v>125</v>
      </c>
      <c r="E448" s="44" t="s">
        <v>57</v>
      </c>
      <c r="F448" s="44" t="s">
        <v>2178</v>
      </c>
      <c r="G448" s="45">
        <v>45494</v>
      </c>
      <c r="H448" s="145">
        <v>954328.72</v>
      </c>
      <c r="I448" s="37">
        <f t="shared" si="23"/>
        <v>11</v>
      </c>
      <c r="J448" s="37" t="str">
        <f t="shared" si="26"/>
        <v>1-90 DAYS</v>
      </c>
      <c r="K448" s="37" t="str">
        <f t="shared" si="24"/>
        <v>0-180 DAYS</v>
      </c>
    </row>
    <row r="449" spans="2:11" hidden="1" x14ac:dyDescent="0.35">
      <c r="B449" s="2" t="s">
        <v>1209</v>
      </c>
      <c r="C449" s="2" t="s">
        <v>789</v>
      </c>
      <c r="D449" s="44" t="s">
        <v>125</v>
      </c>
      <c r="E449" s="44" t="s">
        <v>57</v>
      </c>
      <c r="F449" s="44" t="s">
        <v>2179</v>
      </c>
      <c r="G449" s="45">
        <v>45494</v>
      </c>
      <c r="H449" s="145">
        <v>4187.3599999999997</v>
      </c>
      <c r="I449" s="37">
        <f t="shared" si="23"/>
        <v>11</v>
      </c>
      <c r="J449" s="37" t="str">
        <f t="shared" si="26"/>
        <v>1-90 DAYS</v>
      </c>
      <c r="K449" s="37" t="str">
        <f t="shared" si="24"/>
        <v>0-180 DAYS</v>
      </c>
    </row>
    <row r="450" spans="2:11" hidden="1" x14ac:dyDescent="0.35">
      <c r="B450" s="2" t="s">
        <v>1209</v>
      </c>
      <c r="C450" s="2" t="s">
        <v>789</v>
      </c>
      <c r="D450" s="44" t="s">
        <v>125</v>
      </c>
      <c r="E450" s="44" t="s">
        <v>57</v>
      </c>
      <c r="F450" s="44" t="s">
        <v>2180</v>
      </c>
      <c r="G450" s="45">
        <v>45495</v>
      </c>
      <c r="H450" s="145">
        <v>735138.27</v>
      </c>
      <c r="I450" s="37">
        <f t="shared" si="23"/>
        <v>10</v>
      </c>
      <c r="J450" s="37" t="str">
        <f t="shared" si="26"/>
        <v>1-90 DAYS</v>
      </c>
      <c r="K450" s="37" t="str">
        <f t="shared" si="24"/>
        <v>0-180 DAYS</v>
      </c>
    </row>
    <row r="451" spans="2:11" hidden="1" x14ac:dyDescent="0.35">
      <c r="B451" s="2" t="s">
        <v>1209</v>
      </c>
      <c r="C451" s="2" t="s">
        <v>789</v>
      </c>
      <c r="D451" s="44" t="s">
        <v>125</v>
      </c>
      <c r="E451" s="44" t="s">
        <v>57</v>
      </c>
      <c r="F451" s="44" t="s">
        <v>2181</v>
      </c>
      <c r="G451" s="45">
        <v>45495</v>
      </c>
      <c r="H451" s="145">
        <v>4357.28</v>
      </c>
      <c r="I451" s="37">
        <f t="shared" si="23"/>
        <v>10</v>
      </c>
      <c r="J451" s="37" t="str">
        <f t="shared" si="26"/>
        <v>1-90 DAYS</v>
      </c>
      <c r="K451" s="37" t="str">
        <f t="shared" si="24"/>
        <v>0-180 DAYS</v>
      </c>
    </row>
    <row r="452" spans="2:11" hidden="1" x14ac:dyDescent="0.35">
      <c r="B452" s="2" t="s">
        <v>1209</v>
      </c>
      <c r="C452" s="2" t="s">
        <v>789</v>
      </c>
      <c r="D452" s="44" t="s">
        <v>125</v>
      </c>
      <c r="E452" s="44" t="s">
        <v>57</v>
      </c>
      <c r="F452" s="44" t="s">
        <v>2182</v>
      </c>
      <c r="G452" s="45">
        <v>45496</v>
      </c>
      <c r="H452" s="145">
        <v>5722.16</v>
      </c>
      <c r="I452" s="37">
        <f t="shared" si="23"/>
        <v>9</v>
      </c>
      <c r="J452" s="37" t="str">
        <f t="shared" si="26"/>
        <v>1-90 DAYS</v>
      </c>
      <c r="K452" s="37" t="str">
        <f t="shared" si="24"/>
        <v>0-180 DAYS</v>
      </c>
    </row>
    <row r="453" spans="2:11" hidden="1" x14ac:dyDescent="0.35">
      <c r="B453" s="2" t="s">
        <v>1209</v>
      </c>
      <c r="C453" s="2" t="s">
        <v>789</v>
      </c>
      <c r="D453" s="44" t="s">
        <v>125</v>
      </c>
      <c r="E453" s="44" t="s">
        <v>57</v>
      </c>
      <c r="F453" s="44" t="s">
        <v>2183</v>
      </c>
      <c r="G453" s="45">
        <v>45496</v>
      </c>
      <c r="H453" s="145">
        <v>167312.46</v>
      </c>
      <c r="I453" s="37">
        <f t="shared" si="23"/>
        <v>9</v>
      </c>
      <c r="J453" s="37" t="str">
        <f t="shared" si="26"/>
        <v>1-90 DAYS</v>
      </c>
      <c r="K453" s="37" t="str">
        <f t="shared" si="24"/>
        <v>0-180 DAYS</v>
      </c>
    </row>
    <row r="454" spans="2:11" hidden="1" x14ac:dyDescent="0.35">
      <c r="B454" s="2" t="s">
        <v>1209</v>
      </c>
      <c r="C454" s="2" t="s">
        <v>789</v>
      </c>
      <c r="D454" s="44" t="s">
        <v>125</v>
      </c>
      <c r="E454" s="44" t="s">
        <v>57</v>
      </c>
      <c r="F454" s="44" t="s">
        <v>2184</v>
      </c>
      <c r="G454" s="45">
        <v>45496</v>
      </c>
      <c r="H454" s="145">
        <v>11771.12</v>
      </c>
      <c r="I454" s="37">
        <f t="shared" ref="I454:I517" si="27">$I$2-G454+1</f>
        <v>9</v>
      </c>
      <c r="J454" s="37" t="str">
        <f t="shared" si="26"/>
        <v>1-90 DAYS</v>
      </c>
      <c r="K454" s="37" t="str">
        <f t="shared" ref="K454:K517" si="28">IF(I454&lt;180,"0-180 DAYS","More than 180 Days")</f>
        <v>0-180 DAYS</v>
      </c>
    </row>
    <row r="455" spans="2:11" hidden="1" x14ac:dyDescent="0.35">
      <c r="B455" s="2" t="s">
        <v>1209</v>
      </c>
      <c r="C455" s="2" t="s">
        <v>789</v>
      </c>
      <c r="D455" s="44" t="s">
        <v>125</v>
      </c>
      <c r="E455" s="44" t="s">
        <v>57</v>
      </c>
      <c r="F455" s="44" t="s">
        <v>2185</v>
      </c>
      <c r="G455" s="45">
        <v>45496</v>
      </c>
      <c r="H455" s="145">
        <v>690781.2</v>
      </c>
      <c r="I455" s="37">
        <f t="shared" si="27"/>
        <v>9</v>
      </c>
      <c r="J455" s="37" t="str">
        <f t="shared" si="26"/>
        <v>1-90 DAYS</v>
      </c>
      <c r="K455" s="37" t="str">
        <f t="shared" si="28"/>
        <v>0-180 DAYS</v>
      </c>
    </row>
    <row r="456" spans="2:11" hidden="1" x14ac:dyDescent="0.35">
      <c r="B456" s="2" t="s">
        <v>1209</v>
      </c>
      <c r="C456" s="2" t="s">
        <v>789</v>
      </c>
      <c r="D456" s="44" t="s">
        <v>125</v>
      </c>
      <c r="E456" s="44" t="s">
        <v>57</v>
      </c>
      <c r="F456" s="44" t="s">
        <v>2186</v>
      </c>
      <c r="G456" s="45">
        <v>45496</v>
      </c>
      <c r="H456" s="145">
        <v>130618.42</v>
      </c>
      <c r="I456" s="37">
        <f t="shared" si="27"/>
        <v>9</v>
      </c>
      <c r="J456" s="37" t="str">
        <f t="shared" si="26"/>
        <v>1-90 DAYS</v>
      </c>
      <c r="K456" s="37" t="str">
        <f t="shared" si="28"/>
        <v>0-180 DAYS</v>
      </c>
    </row>
    <row r="457" spans="2:11" hidden="1" x14ac:dyDescent="0.35">
      <c r="B457" s="2" t="s">
        <v>1209</v>
      </c>
      <c r="C457" s="2" t="s">
        <v>789</v>
      </c>
      <c r="D457" s="44" t="s">
        <v>125</v>
      </c>
      <c r="E457" s="44" t="s">
        <v>57</v>
      </c>
      <c r="F457" s="44" t="s">
        <v>2187</v>
      </c>
      <c r="G457" s="45">
        <v>45496</v>
      </c>
      <c r="H457" s="145">
        <v>30745</v>
      </c>
      <c r="I457" s="37">
        <f t="shared" si="27"/>
        <v>9</v>
      </c>
      <c r="J457" s="37" t="str">
        <f t="shared" si="26"/>
        <v>1-90 DAYS</v>
      </c>
      <c r="K457" s="37" t="str">
        <f t="shared" si="28"/>
        <v>0-180 DAYS</v>
      </c>
    </row>
    <row r="458" spans="2:11" hidden="1" x14ac:dyDescent="0.35">
      <c r="B458" s="2" t="s">
        <v>1209</v>
      </c>
      <c r="C458" s="2" t="s">
        <v>789</v>
      </c>
      <c r="D458" s="44" t="s">
        <v>125</v>
      </c>
      <c r="E458" s="44" t="s">
        <v>57</v>
      </c>
      <c r="F458" s="44" t="s">
        <v>2188</v>
      </c>
      <c r="G458" s="45">
        <v>45497</v>
      </c>
      <c r="H458" s="145">
        <v>27715.78</v>
      </c>
      <c r="I458" s="37">
        <f t="shared" si="27"/>
        <v>8</v>
      </c>
      <c r="J458" s="37" t="str">
        <f t="shared" si="26"/>
        <v>1-90 DAYS</v>
      </c>
      <c r="K458" s="37" t="str">
        <f t="shared" si="28"/>
        <v>0-180 DAYS</v>
      </c>
    </row>
    <row r="459" spans="2:11" hidden="1" x14ac:dyDescent="0.35">
      <c r="B459" s="2" t="s">
        <v>1209</v>
      </c>
      <c r="C459" s="2" t="s">
        <v>789</v>
      </c>
      <c r="D459" s="44" t="s">
        <v>125</v>
      </c>
      <c r="E459" s="44" t="s">
        <v>57</v>
      </c>
      <c r="F459" s="44" t="s">
        <v>2189</v>
      </c>
      <c r="G459" s="45">
        <v>45497</v>
      </c>
      <c r="H459" s="145">
        <v>553972.69999999995</v>
      </c>
      <c r="I459" s="37">
        <f t="shared" si="27"/>
        <v>8</v>
      </c>
      <c r="J459" s="37" t="str">
        <f t="shared" si="26"/>
        <v>1-90 DAYS</v>
      </c>
      <c r="K459" s="37" t="str">
        <f t="shared" si="28"/>
        <v>0-180 DAYS</v>
      </c>
    </row>
    <row r="460" spans="2:11" hidden="1" x14ac:dyDescent="0.35">
      <c r="B460" s="2" t="s">
        <v>1209</v>
      </c>
      <c r="C460" s="2" t="s">
        <v>789</v>
      </c>
      <c r="D460" s="44" t="s">
        <v>125</v>
      </c>
      <c r="E460" s="44" t="s">
        <v>57</v>
      </c>
      <c r="F460" s="44" t="s">
        <v>2190</v>
      </c>
      <c r="G460" s="45">
        <v>45497</v>
      </c>
      <c r="H460" s="145">
        <v>4923.68</v>
      </c>
      <c r="I460" s="37">
        <f t="shared" si="27"/>
        <v>8</v>
      </c>
      <c r="J460" s="37" t="str">
        <f t="shared" si="26"/>
        <v>1-90 DAYS</v>
      </c>
      <c r="K460" s="37" t="str">
        <f t="shared" si="28"/>
        <v>0-180 DAYS</v>
      </c>
    </row>
    <row r="461" spans="2:11" hidden="1" x14ac:dyDescent="0.35">
      <c r="B461" s="2" t="s">
        <v>1209</v>
      </c>
      <c r="C461" s="2" t="s">
        <v>789</v>
      </c>
      <c r="D461" s="44" t="s">
        <v>125</v>
      </c>
      <c r="E461" s="44" t="s">
        <v>57</v>
      </c>
      <c r="F461" s="44" t="s">
        <v>2191</v>
      </c>
      <c r="G461" s="45">
        <v>45498</v>
      </c>
      <c r="H461" s="145">
        <v>28175.54</v>
      </c>
      <c r="I461" s="37">
        <f t="shared" si="27"/>
        <v>7</v>
      </c>
      <c r="J461" s="37" t="str">
        <f t="shared" si="26"/>
        <v>1-90 DAYS</v>
      </c>
      <c r="K461" s="37" t="str">
        <f t="shared" si="28"/>
        <v>0-180 DAYS</v>
      </c>
    </row>
    <row r="462" spans="2:11" hidden="1" x14ac:dyDescent="0.35">
      <c r="B462" s="2" t="s">
        <v>1209</v>
      </c>
      <c r="C462" s="2" t="s">
        <v>789</v>
      </c>
      <c r="D462" s="44" t="s">
        <v>125</v>
      </c>
      <c r="E462" s="44" t="s">
        <v>57</v>
      </c>
      <c r="F462" s="44" t="s">
        <v>2192</v>
      </c>
      <c r="G462" s="45">
        <v>45498</v>
      </c>
      <c r="H462" s="145">
        <v>3343.72</v>
      </c>
      <c r="I462" s="37">
        <f t="shared" si="27"/>
        <v>7</v>
      </c>
      <c r="J462" s="37" t="str">
        <f t="shared" si="26"/>
        <v>1-90 DAYS</v>
      </c>
      <c r="K462" s="37" t="str">
        <f t="shared" si="28"/>
        <v>0-180 DAYS</v>
      </c>
    </row>
    <row r="463" spans="2:11" hidden="1" x14ac:dyDescent="0.35">
      <c r="B463" s="2" t="s">
        <v>1209</v>
      </c>
      <c r="C463" s="2" t="s">
        <v>789</v>
      </c>
      <c r="D463" s="44" t="s">
        <v>125</v>
      </c>
      <c r="E463" s="44" t="s">
        <v>57</v>
      </c>
      <c r="F463" s="44" t="s">
        <v>2193</v>
      </c>
      <c r="G463" s="45">
        <v>45498</v>
      </c>
      <c r="H463" s="145">
        <v>1043398.54</v>
      </c>
      <c r="I463" s="37">
        <f t="shared" si="27"/>
        <v>7</v>
      </c>
      <c r="J463" s="37" t="str">
        <f t="shared" si="26"/>
        <v>1-90 DAYS</v>
      </c>
      <c r="K463" s="37" t="str">
        <f t="shared" si="28"/>
        <v>0-180 DAYS</v>
      </c>
    </row>
    <row r="464" spans="2:11" hidden="1" x14ac:dyDescent="0.35">
      <c r="B464" s="2" t="s">
        <v>1209</v>
      </c>
      <c r="C464" s="2" t="s">
        <v>789</v>
      </c>
      <c r="D464" s="44" t="s">
        <v>125</v>
      </c>
      <c r="E464" s="44" t="s">
        <v>57</v>
      </c>
      <c r="F464" s="44" t="s">
        <v>2194</v>
      </c>
      <c r="G464" s="45">
        <v>45498</v>
      </c>
      <c r="H464" s="145">
        <v>8035.88</v>
      </c>
      <c r="I464" s="37">
        <f t="shared" si="27"/>
        <v>7</v>
      </c>
      <c r="J464" s="37" t="str">
        <f t="shared" si="26"/>
        <v>1-90 DAYS</v>
      </c>
      <c r="K464" s="37" t="str">
        <f t="shared" si="28"/>
        <v>0-180 DAYS</v>
      </c>
    </row>
    <row r="465" spans="2:11" hidden="1" x14ac:dyDescent="0.35">
      <c r="B465" s="2" t="s">
        <v>1209</v>
      </c>
      <c r="C465" s="2" t="s">
        <v>789</v>
      </c>
      <c r="D465" s="44" t="s">
        <v>125</v>
      </c>
      <c r="E465" s="44" t="s">
        <v>57</v>
      </c>
      <c r="F465" s="44" t="s">
        <v>2195</v>
      </c>
      <c r="G465" s="45">
        <v>45498</v>
      </c>
      <c r="H465" s="145">
        <v>36300</v>
      </c>
      <c r="I465" s="37">
        <f t="shared" si="27"/>
        <v>7</v>
      </c>
      <c r="J465" s="37" t="str">
        <f t="shared" si="26"/>
        <v>1-90 DAYS</v>
      </c>
      <c r="K465" s="37" t="str">
        <f t="shared" si="28"/>
        <v>0-180 DAYS</v>
      </c>
    </row>
    <row r="466" spans="2:11" hidden="1" x14ac:dyDescent="0.35">
      <c r="B466" s="2" t="s">
        <v>1209</v>
      </c>
      <c r="C466" s="2" t="s">
        <v>789</v>
      </c>
      <c r="D466" s="44" t="s">
        <v>125</v>
      </c>
      <c r="E466" s="44" t="s">
        <v>57</v>
      </c>
      <c r="F466" s="44" t="s">
        <v>2196</v>
      </c>
      <c r="G466" s="45">
        <v>45499</v>
      </c>
      <c r="H466" s="145">
        <v>3636.68</v>
      </c>
      <c r="I466" s="37">
        <f t="shared" si="27"/>
        <v>6</v>
      </c>
      <c r="J466" s="37" t="str">
        <f t="shared" si="26"/>
        <v>1-90 DAYS</v>
      </c>
      <c r="K466" s="37" t="str">
        <f t="shared" si="28"/>
        <v>0-180 DAYS</v>
      </c>
    </row>
    <row r="467" spans="2:11" hidden="1" x14ac:dyDescent="0.35">
      <c r="B467" s="2" t="s">
        <v>1209</v>
      </c>
      <c r="C467" s="2" t="s">
        <v>789</v>
      </c>
      <c r="D467" s="44" t="s">
        <v>125</v>
      </c>
      <c r="E467" s="44" t="s">
        <v>57</v>
      </c>
      <c r="F467" s="44" t="s">
        <v>2197</v>
      </c>
      <c r="G467" s="45">
        <v>45499</v>
      </c>
      <c r="H467" s="145">
        <v>614576.86</v>
      </c>
      <c r="I467" s="37">
        <f t="shared" si="27"/>
        <v>6</v>
      </c>
      <c r="J467" s="37" t="str">
        <f t="shared" si="26"/>
        <v>1-90 DAYS</v>
      </c>
      <c r="K467" s="37" t="str">
        <f t="shared" si="28"/>
        <v>0-180 DAYS</v>
      </c>
    </row>
    <row r="468" spans="2:11" hidden="1" x14ac:dyDescent="0.35">
      <c r="B468" s="2" t="s">
        <v>1209</v>
      </c>
      <c r="C468" s="2" t="s">
        <v>789</v>
      </c>
      <c r="D468" s="44" t="s">
        <v>125</v>
      </c>
      <c r="E468" s="44" t="s">
        <v>57</v>
      </c>
      <c r="F468" s="44" t="s">
        <v>2198</v>
      </c>
      <c r="G468" s="45">
        <v>45499</v>
      </c>
      <c r="H468" s="145">
        <v>2263.6</v>
      </c>
      <c r="I468" s="37">
        <f t="shared" si="27"/>
        <v>6</v>
      </c>
      <c r="J468" s="37" t="str">
        <f t="shared" si="26"/>
        <v>1-90 DAYS</v>
      </c>
      <c r="K468" s="37" t="str">
        <f t="shared" si="28"/>
        <v>0-180 DAYS</v>
      </c>
    </row>
    <row r="469" spans="2:11" hidden="1" x14ac:dyDescent="0.35">
      <c r="B469" s="2" t="s">
        <v>1209</v>
      </c>
      <c r="C469" s="2" t="s">
        <v>789</v>
      </c>
      <c r="D469" s="44" t="s">
        <v>125</v>
      </c>
      <c r="E469" s="44" t="s">
        <v>57</v>
      </c>
      <c r="F469" s="44" t="s">
        <v>2199</v>
      </c>
      <c r="G469" s="45">
        <v>45499</v>
      </c>
      <c r="H469" s="145">
        <v>500712.28</v>
      </c>
      <c r="I469" s="37">
        <f t="shared" si="27"/>
        <v>6</v>
      </c>
      <c r="J469" s="37" t="str">
        <f t="shared" si="26"/>
        <v>1-90 DAYS</v>
      </c>
      <c r="K469" s="37" t="str">
        <f t="shared" si="28"/>
        <v>0-180 DAYS</v>
      </c>
    </row>
    <row r="470" spans="2:11" hidden="1" x14ac:dyDescent="0.35">
      <c r="B470" s="2" t="s">
        <v>1209</v>
      </c>
      <c r="C470" s="2" t="s">
        <v>789</v>
      </c>
      <c r="D470" s="44" t="s">
        <v>125</v>
      </c>
      <c r="E470" s="44" t="s">
        <v>57</v>
      </c>
      <c r="F470" s="44" t="s">
        <v>2200</v>
      </c>
      <c r="G470" s="45">
        <v>45499</v>
      </c>
      <c r="H470" s="145">
        <v>2716.72</v>
      </c>
      <c r="I470" s="37">
        <f t="shared" si="27"/>
        <v>6</v>
      </c>
      <c r="J470" s="37" t="str">
        <f t="shared" si="26"/>
        <v>1-90 DAYS</v>
      </c>
      <c r="K470" s="37" t="str">
        <f t="shared" si="28"/>
        <v>0-180 DAYS</v>
      </c>
    </row>
    <row r="471" spans="2:11" hidden="1" x14ac:dyDescent="0.35">
      <c r="B471" s="2" t="s">
        <v>1209</v>
      </c>
      <c r="C471" s="2" t="s">
        <v>789</v>
      </c>
      <c r="D471" s="44" t="s">
        <v>125</v>
      </c>
      <c r="E471" s="44" t="s">
        <v>57</v>
      </c>
      <c r="F471" s="44" t="s">
        <v>2201</v>
      </c>
      <c r="G471" s="45">
        <v>45499</v>
      </c>
      <c r="H471" s="145">
        <v>22928.799999999999</v>
      </c>
      <c r="I471" s="37">
        <f t="shared" si="27"/>
        <v>6</v>
      </c>
      <c r="J471" s="37" t="str">
        <f t="shared" si="26"/>
        <v>1-90 DAYS</v>
      </c>
      <c r="K471" s="37" t="str">
        <f t="shared" si="28"/>
        <v>0-180 DAYS</v>
      </c>
    </row>
    <row r="472" spans="2:11" hidden="1" x14ac:dyDescent="0.35">
      <c r="B472" s="2" t="s">
        <v>1209</v>
      </c>
      <c r="C472" s="2" t="s">
        <v>789</v>
      </c>
      <c r="D472" s="44" t="s">
        <v>125</v>
      </c>
      <c r="E472" s="44" t="s">
        <v>57</v>
      </c>
      <c r="F472" s="44" t="s">
        <v>2202</v>
      </c>
      <c r="G472" s="45">
        <v>45499</v>
      </c>
      <c r="H472" s="145">
        <v>4952</v>
      </c>
      <c r="I472" s="37">
        <f t="shared" si="27"/>
        <v>6</v>
      </c>
      <c r="J472" s="37" t="str">
        <f t="shared" si="26"/>
        <v>1-90 DAYS</v>
      </c>
      <c r="K472" s="37" t="str">
        <f t="shared" si="28"/>
        <v>0-180 DAYS</v>
      </c>
    </row>
    <row r="473" spans="2:11" hidden="1" x14ac:dyDescent="0.35">
      <c r="B473" s="2" t="s">
        <v>1209</v>
      </c>
      <c r="C473" s="2" t="s">
        <v>789</v>
      </c>
      <c r="D473" s="44" t="s">
        <v>125</v>
      </c>
      <c r="E473" s="44" t="s">
        <v>57</v>
      </c>
      <c r="F473" s="44" t="s">
        <v>2203</v>
      </c>
      <c r="G473" s="45">
        <v>45501</v>
      </c>
      <c r="H473" s="145">
        <v>76104.42</v>
      </c>
      <c r="I473" s="37">
        <f t="shared" si="27"/>
        <v>4</v>
      </c>
      <c r="J473" s="37" t="str">
        <f t="shared" si="26"/>
        <v>1-90 DAYS</v>
      </c>
      <c r="K473" s="37" t="str">
        <f t="shared" si="28"/>
        <v>0-180 DAYS</v>
      </c>
    </row>
    <row r="474" spans="2:11" hidden="1" x14ac:dyDescent="0.35">
      <c r="B474" s="2" t="s">
        <v>1209</v>
      </c>
      <c r="C474" s="2" t="s">
        <v>789</v>
      </c>
      <c r="D474" s="44" t="s">
        <v>125</v>
      </c>
      <c r="E474" s="44" t="s">
        <v>57</v>
      </c>
      <c r="F474" s="44" t="s">
        <v>2204</v>
      </c>
      <c r="G474" s="45">
        <v>45501</v>
      </c>
      <c r="H474" s="145">
        <v>6960.72</v>
      </c>
      <c r="I474" s="37">
        <f t="shared" si="27"/>
        <v>4</v>
      </c>
      <c r="J474" s="37" t="str">
        <f t="shared" si="26"/>
        <v>1-90 DAYS</v>
      </c>
      <c r="K474" s="37" t="str">
        <f t="shared" si="28"/>
        <v>0-180 DAYS</v>
      </c>
    </row>
    <row r="475" spans="2:11" hidden="1" x14ac:dyDescent="0.35">
      <c r="B475" s="2" t="s">
        <v>1209</v>
      </c>
      <c r="C475" s="2" t="s">
        <v>789</v>
      </c>
      <c r="D475" s="44" t="s">
        <v>125</v>
      </c>
      <c r="E475" s="44" t="s">
        <v>57</v>
      </c>
      <c r="F475" s="44" t="s">
        <v>2205</v>
      </c>
      <c r="G475" s="45">
        <v>45501</v>
      </c>
      <c r="H475" s="145">
        <v>857424.92</v>
      </c>
      <c r="I475" s="37">
        <f t="shared" si="27"/>
        <v>4</v>
      </c>
      <c r="J475" s="37" t="str">
        <f t="shared" si="26"/>
        <v>1-90 DAYS</v>
      </c>
      <c r="K475" s="37" t="str">
        <f t="shared" si="28"/>
        <v>0-180 DAYS</v>
      </c>
    </row>
    <row r="476" spans="2:11" hidden="1" x14ac:dyDescent="0.35">
      <c r="B476" s="2" t="s">
        <v>1209</v>
      </c>
      <c r="C476" s="2" t="s">
        <v>789</v>
      </c>
      <c r="D476" s="44" t="s">
        <v>125</v>
      </c>
      <c r="E476" s="44" t="s">
        <v>57</v>
      </c>
      <c r="F476" s="44" t="s">
        <v>2206</v>
      </c>
      <c r="G476" s="45">
        <v>45501</v>
      </c>
      <c r="H476" s="145">
        <v>51150</v>
      </c>
      <c r="I476" s="37">
        <f t="shared" si="27"/>
        <v>4</v>
      </c>
      <c r="J476" s="37" t="str">
        <f t="shared" si="26"/>
        <v>1-90 DAYS</v>
      </c>
      <c r="K476" s="37" t="str">
        <f t="shared" si="28"/>
        <v>0-180 DAYS</v>
      </c>
    </row>
    <row r="477" spans="2:11" hidden="1" x14ac:dyDescent="0.35">
      <c r="B477" s="2" t="s">
        <v>1209</v>
      </c>
      <c r="C477" s="2" t="s">
        <v>789</v>
      </c>
      <c r="D477" s="44" t="s">
        <v>125</v>
      </c>
      <c r="E477" s="44" t="s">
        <v>57</v>
      </c>
      <c r="F477" s="44" t="s">
        <v>2207</v>
      </c>
      <c r="G477" s="45">
        <v>45502</v>
      </c>
      <c r="H477" s="145">
        <v>1140054.74</v>
      </c>
      <c r="I477" s="37">
        <f t="shared" si="27"/>
        <v>3</v>
      </c>
      <c r="J477" s="37" t="str">
        <f t="shared" ref="J477:J519" si="29">IF(I477&lt;91,"1-90 DAYS",IF(I477&lt;121,"91-120DAYS",IF(I477&lt;181,"121-180 DAYS","More than 180 Days")))</f>
        <v>1-90 DAYS</v>
      </c>
      <c r="K477" s="37" t="str">
        <f t="shared" si="28"/>
        <v>0-180 DAYS</v>
      </c>
    </row>
    <row r="478" spans="2:11" hidden="1" x14ac:dyDescent="0.35">
      <c r="B478" s="2" t="s">
        <v>1209</v>
      </c>
      <c r="C478" s="2" t="s">
        <v>789</v>
      </c>
      <c r="D478" s="44" t="s">
        <v>125</v>
      </c>
      <c r="E478" s="44" t="s">
        <v>57</v>
      </c>
      <c r="F478" s="44" t="s">
        <v>2208</v>
      </c>
      <c r="G478" s="45">
        <v>45502</v>
      </c>
      <c r="H478" s="145">
        <v>12280.88</v>
      </c>
      <c r="I478" s="37">
        <f t="shared" si="27"/>
        <v>3</v>
      </c>
      <c r="J478" s="37" t="str">
        <f t="shared" si="29"/>
        <v>1-90 DAYS</v>
      </c>
      <c r="K478" s="37" t="str">
        <f t="shared" si="28"/>
        <v>0-180 DAYS</v>
      </c>
    </row>
    <row r="479" spans="2:11" hidden="1" x14ac:dyDescent="0.35">
      <c r="B479" s="2" t="s">
        <v>1209</v>
      </c>
      <c r="C479" s="2" t="s">
        <v>789</v>
      </c>
      <c r="D479" s="44" t="s">
        <v>125</v>
      </c>
      <c r="E479" s="44" t="s">
        <v>57</v>
      </c>
      <c r="F479" s="44" t="s">
        <v>2209</v>
      </c>
      <c r="G479" s="45">
        <v>45502</v>
      </c>
      <c r="H479" s="145">
        <v>13469.24</v>
      </c>
      <c r="I479" s="37">
        <f t="shared" si="27"/>
        <v>3</v>
      </c>
      <c r="J479" s="37" t="str">
        <f t="shared" si="29"/>
        <v>1-90 DAYS</v>
      </c>
      <c r="K479" s="37" t="str">
        <f t="shared" si="28"/>
        <v>0-180 DAYS</v>
      </c>
    </row>
    <row r="480" spans="2:11" hidden="1" x14ac:dyDescent="0.35">
      <c r="B480" s="2" t="s">
        <v>1209</v>
      </c>
      <c r="C480" s="2" t="s">
        <v>789</v>
      </c>
      <c r="D480" s="44" t="s">
        <v>125</v>
      </c>
      <c r="E480" s="44" t="s">
        <v>57</v>
      </c>
      <c r="F480" s="44" t="s">
        <v>2210</v>
      </c>
      <c r="G480" s="45">
        <v>45503</v>
      </c>
      <c r="H480" s="145">
        <v>1022620.64</v>
      </c>
      <c r="I480" s="37">
        <f t="shared" si="27"/>
        <v>2</v>
      </c>
      <c r="J480" s="37" t="str">
        <f t="shared" si="29"/>
        <v>1-90 DAYS</v>
      </c>
      <c r="K480" s="37" t="str">
        <f t="shared" si="28"/>
        <v>0-180 DAYS</v>
      </c>
    </row>
    <row r="481" spans="2:11" hidden="1" x14ac:dyDescent="0.35">
      <c r="B481" s="2" t="s">
        <v>1209</v>
      </c>
      <c r="C481" s="2" t="s">
        <v>789</v>
      </c>
      <c r="D481" s="44" t="s">
        <v>125</v>
      </c>
      <c r="E481" s="44" t="s">
        <v>57</v>
      </c>
      <c r="F481" s="44" t="s">
        <v>2211</v>
      </c>
      <c r="G481" s="45">
        <v>45503</v>
      </c>
      <c r="H481" s="145">
        <v>637632.09</v>
      </c>
      <c r="I481" s="37">
        <f t="shared" si="27"/>
        <v>2</v>
      </c>
      <c r="J481" s="37" t="str">
        <f t="shared" si="29"/>
        <v>1-90 DAYS</v>
      </c>
      <c r="K481" s="37" t="str">
        <f t="shared" si="28"/>
        <v>0-180 DAYS</v>
      </c>
    </row>
    <row r="482" spans="2:11" hidden="1" x14ac:dyDescent="0.35">
      <c r="B482" s="2" t="s">
        <v>1209</v>
      </c>
      <c r="C482" s="2" t="s">
        <v>789</v>
      </c>
      <c r="D482" s="44" t="s">
        <v>125</v>
      </c>
      <c r="E482" s="44" t="s">
        <v>57</v>
      </c>
      <c r="F482" s="44" t="s">
        <v>2212</v>
      </c>
      <c r="G482" s="45">
        <v>45503</v>
      </c>
      <c r="H482" s="145">
        <v>678.68</v>
      </c>
      <c r="I482" s="37">
        <f t="shared" si="27"/>
        <v>2</v>
      </c>
      <c r="J482" s="37" t="str">
        <f t="shared" si="29"/>
        <v>1-90 DAYS</v>
      </c>
      <c r="K482" s="37" t="str">
        <f t="shared" si="28"/>
        <v>0-180 DAYS</v>
      </c>
    </row>
    <row r="483" spans="2:11" hidden="1" x14ac:dyDescent="0.35">
      <c r="B483" s="2" t="s">
        <v>1209</v>
      </c>
      <c r="C483" s="2" t="s">
        <v>789</v>
      </c>
      <c r="D483" s="44" t="s">
        <v>125</v>
      </c>
      <c r="E483" s="44" t="s">
        <v>57</v>
      </c>
      <c r="F483" s="44" t="s">
        <v>2213</v>
      </c>
      <c r="G483" s="45">
        <v>45503</v>
      </c>
      <c r="H483" s="145">
        <v>141268.26999999999</v>
      </c>
      <c r="I483" s="37">
        <f t="shared" si="27"/>
        <v>2</v>
      </c>
      <c r="J483" s="37" t="str">
        <f t="shared" si="29"/>
        <v>1-90 DAYS</v>
      </c>
      <c r="K483" s="37" t="str">
        <f t="shared" si="28"/>
        <v>0-180 DAYS</v>
      </c>
    </row>
    <row r="484" spans="2:11" hidden="1" x14ac:dyDescent="0.35">
      <c r="B484" s="2" t="s">
        <v>1209</v>
      </c>
      <c r="C484" s="2" t="s">
        <v>789</v>
      </c>
      <c r="D484" s="44" t="s">
        <v>125</v>
      </c>
      <c r="E484" s="44" t="s">
        <v>57</v>
      </c>
      <c r="F484" s="44" t="s">
        <v>2214</v>
      </c>
      <c r="G484" s="45">
        <v>45503</v>
      </c>
      <c r="H484" s="145">
        <v>10450</v>
      </c>
      <c r="I484" s="37">
        <f t="shared" si="27"/>
        <v>2</v>
      </c>
      <c r="J484" s="37" t="str">
        <f t="shared" si="29"/>
        <v>1-90 DAYS</v>
      </c>
      <c r="K484" s="37" t="str">
        <f t="shared" si="28"/>
        <v>0-180 DAYS</v>
      </c>
    </row>
    <row r="485" spans="2:11" hidden="1" x14ac:dyDescent="0.35">
      <c r="B485" s="2" t="s">
        <v>1209</v>
      </c>
      <c r="C485" s="2" t="s">
        <v>789</v>
      </c>
      <c r="D485" s="44" t="s">
        <v>125</v>
      </c>
      <c r="E485" s="44" t="s">
        <v>57</v>
      </c>
      <c r="F485" s="44" t="s">
        <v>2215</v>
      </c>
      <c r="G485" s="45">
        <v>45474</v>
      </c>
      <c r="H485" s="145">
        <v>217086.91</v>
      </c>
      <c r="I485" s="37">
        <f t="shared" si="27"/>
        <v>31</v>
      </c>
      <c r="J485" s="37" t="str">
        <f t="shared" si="29"/>
        <v>1-90 DAYS</v>
      </c>
      <c r="K485" s="37" t="str">
        <f t="shared" si="28"/>
        <v>0-180 DAYS</v>
      </c>
    </row>
    <row r="486" spans="2:11" hidden="1" x14ac:dyDescent="0.35">
      <c r="B486" s="2" t="s">
        <v>1209</v>
      </c>
      <c r="C486" s="2" t="s">
        <v>789</v>
      </c>
      <c r="D486" s="44" t="s">
        <v>125</v>
      </c>
      <c r="E486" s="44" t="s">
        <v>57</v>
      </c>
      <c r="F486" s="44" t="s">
        <v>2216</v>
      </c>
      <c r="G486" s="45">
        <v>45474</v>
      </c>
      <c r="H486" s="145">
        <v>2603.23</v>
      </c>
      <c r="I486" s="37">
        <f t="shared" si="27"/>
        <v>31</v>
      </c>
      <c r="J486" s="37" t="str">
        <f t="shared" si="29"/>
        <v>1-90 DAYS</v>
      </c>
      <c r="K486" s="37" t="str">
        <f t="shared" si="28"/>
        <v>0-180 DAYS</v>
      </c>
    </row>
    <row r="487" spans="2:11" hidden="1" x14ac:dyDescent="0.35">
      <c r="B487" s="2" t="s">
        <v>1209</v>
      </c>
      <c r="C487" s="2" t="s">
        <v>789</v>
      </c>
      <c r="D487" s="44" t="s">
        <v>125</v>
      </c>
      <c r="E487" s="44" t="s">
        <v>57</v>
      </c>
      <c r="F487" s="44" t="s">
        <v>2217</v>
      </c>
      <c r="G487" s="45">
        <v>45480</v>
      </c>
      <c r="H487" s="145">
        <v>95982.01</v>
      </c>
      <c r="I487" s="37">
        <f t="shared" si="27"/>
        <v>25</v>
      </c>
      <c r="J487" s="37" t="str">
        <f t="shared" si="29"/>
        <v>1-90 DAYS</v>
      </c>
      <c r="K487" s="37" t="str">
        <f t="shared" si="28"/>
        <v>0-180 DAYS</v>
      </c>
    </row>
    <row r="488" spans="2:11" hidden="1" x14ac:dyDescent="0.35">
      <c r="B488" s="2" t="s">
        <v>1209</v>
      </c>
      <c r="C488" s="2" t="s">
        <v>789</v>
      </c>
      <c r="D488" s="44" t="s">
        <v>125</v>
      </c>
      <c r="E488" s="44" t="s">
        <v>57</v>
      </c>
      <c r="F488" s="44" t="s">
        <v>2218</v>
      </c>
      <c r="G488" s="45">
        <v>45482</v>
      </c>
      <c r="H488" s="145">
        <v>752373.97</v>
      </c>
      <c r="I488" s="37">
        <f t="shared" si="27"/>
        <v>23</v>
      </c>
      <c r="J488" s="37" t="str">
        <f t="shared" si="29"/>
        <v>1-90 DAYS</v>
      </c>
      <c r="K488" s="37" t="str">
        <f t="shared" si="28"/>
        <v>0-180 DAYS</v>
      </c>
    </row>
    <row r="489" spans="2:11" hidden="1" x14ac:dyDescent="0.35">
      <c r="B489" s="2" t="s">
        <v>1209</v>
      </c>
      <c r="C489" s="2" t="s">
        <v>789</v>
      </c>
      <c r="D489" s="44" t="s">
        <v>125</v>
      </c>
      <c r="E489" s="44" t="s">
        <v>57</v>
      </c>
      <c r="F489" s="44" t="s">
        <v>2219</v>
      </c>
      <c r="G489" s="45">
        <v>45482</v>
      </c>
      <c r="H489" s="145">
        <v>5828.98</v>
      </c>
      <c r="I489" s="37">
        <f t="shared" si="27"/>
        <v>23</v>
      </c>
      <c r="J489" s="37" t="str">
        <f t="shared" si="29"/>
        <v>1-90 DAYS</v>
      </c>
      <c r="K489" s="37" t="str">
        <f t="shared" si="28"/>
        <v>0-180 DAYS</v>
      </c>
    </row>
    <row r="490" spans="2:11" hidden="1" x14ac:dyDescent="0.35">
      <c r="B490" s="2" t="s">
        <v>1209</v>
      </c>
      <c r="C490" s="2" t="s">
        <v>789</v>
      </c>
      <c r="D490" s="44" t="s">
        <v>125</v>
      </c>
      <c r="E490" s="44" t="s">
        <v>57</v>
      </c>
      <c r="F490" s="44" t="s">
        <v>2220</v>
      </c>
      <c r="G490" s="45">
        <v>45484</v>
      </c>
      <c r="H490" s="145">
        <v>176167.86</v>
      </c>
      <c r="I490" s="37">
        <f t="shared" si="27"/>
        <v>21</v>
      </c>
      <c r="J490" s="37" t="str">
        <f t="shared" si="29"/>
        <v>1-90 DAYS</v>
      </c>
      <c r="K490" s="37" t="str">
        <f t="shared" si="28"/>
        <v>0-180 DAYS</v>
      </c>
    </row>
    <row r="491" spans="2:11" hidden="1" x14ac:dyDescent="0.35">
      <c r="B491" s="2" t="s">
        <v>1209</v>
      </c>
      <c r="C491" s="2" t="s">
        <v>789</v>
      </c>
      <c r="D491" s="44" t="s">
        <v>125</v>
      </c>
      <c r="E491" s="44" t="s">
        <v>57</v>
      </c>
      <c r="F491" s="44" t="s">
        <v>2221</v>
      </c>
      <c r="G491" s="45">
        <v>45487</v>
      </c>
      <c r="H491" s="145">
        <v>590679</v>
      </c>
      <c r="I491" s="37">
        <f t="shared" si="27"/>
        <v>18</v>
      </c>
      <c r="J491" s="37" t="str">
        <f t="shared" si="29"/>
        <v>1-90 DAYS</v>
      </c>
      <c r="K491" s="37" t="str">
        <f t="shared" si="28"/>
        <v>0-180 DAYS</v>
      </c>
    </row>
    <row r="492" spans="2:11" hidden="1" x14ac:dyDescent="0.35">
      <c r="B492" s="2" t="s">
        <v>1209</v>
      </c>
      <c r="C492" s="2" t="s">
        <v>789</v>
      </c>
      <c r="D492" s="44" t="s">
        <v>125</v>
      </c>
      <c r="E492" s="44" t="s">
        <v>57</v>
      </c>
      <c r="F492" s="44" t="s">
        <v>2222</v>
      </c>
      <c r="G492" s="45">
        <v>45488</v>
      </c>
      <c r="H492" s="145">
        <v>1459257.56</v>
      </c>
      <c r="I492" s="37">
        <f t="shared" si="27"/>
        <v>17</v>
      </c>
      <c r="J492" s="37" t="str">
        <f t="shared" si="29"/>
        <v>1-90 DAYS</v>
      </c>
      <c r="K492" s="37" t="str">
        <f t="shared" si="28"/>
        <v>0-180 DAYS</v>
      </c>
    </row>
    <row r="493" spans="2:11" hidden="1" x14ac:dyDescent="0.35">
      <c r="B493" s="2" t="s">
        <v>1209</v>
      </c>
      <c r="C493" s="2" t="s">
        <v>789</v>
      </c>
      <c r="D493" s="44" t="s">
        <v>125</v>
      </c>
      <c r="E493" s="44" t="s">
        <v>57</v>
      </c>
      <c r="F493" s="44" t="s">
        <v>2223</v>
      </c>
      <c r="G493" s="45">
        <v>45488</v>
      </c>
      <c r="H493" s="145">
        <v>1581595.59</v>
      </c>
      <c r="I493" s="37">
        <f t="shared" si="27"/>
        <v>17</v>
      </c>
      <c r="J493" s="37" t="str">
        <f t="shared" si="29"/>
        <v>1-90 DAYS</v>
      </c>
      <c r="K493" s="37" t="str">
        <f t="shared" si="28"/>
        <v>0-180 DAYS</v>
      </c>
    </row>
    <row r="494" spans="2:11" hidden="1" x14ac:dyDescent="0.35">
      <c r="B494" s="2" t="s">
        <v>1209</v>
      </c>
      <c r="C494" s="2" t="s">
        <v>789</v>
      </c>
      <c r="D494" s="44" t="s">
        <v>125</v>
      </c>
      <c r="E494" s="44" t="s">
        <v>57</v>
      </c>
      <c r="F494" s="44" t="s">
        <v>2224</v>
      </c>
      <c r="G494" s="45">
        <v>45488</v>
      </c>
      <c r="H494" s="145">
        <v>665655.97</v>
      </c>
      <c r="I494" s="37">
        <f t="shared" si="27"/>
        <v>17</v>
      </c>
      <c r="J494" s="37" t="str">
        <f t="shared" si="29"/>
        <v>1-90 DAYS</v>
      </c>
      <c r="K494" s="37" t="str">
        <f t="shared" si="28"/>
        <v>0-180 DAYS</v>
      </c>
    </row>
    <row r="495" spans="2:11" hidden="1" x14ac:dyDescent="0.35">
      <c r="B495" s="2" t="s">
        <v>1209</v>
      </c>
      <c r="C495" s="2" t="s">
        <v>789</v>
      </c>
      <c r="D495" s="44" t="s">
        <v>125</v>
      </c>
      <c r="E495" s="44" t="s">
        <v>57</v>
      </c>
      <c r="F495" s="44" t="s">
        <v>2225</v>
      </c>
      <c r="G495" s="45">
        <v>45490</v>
      </c>
      <c r="H495" s="145">
        <v>3406007.77</v>
      </c>
      <c r="I495" s="37">
        <f t="shared" si="27"/>
        <v>15</v>
      </c>
      <c r="J495" s="37" t="str">
        <f t="shared" si="29"/>
        <v>1-90 DAYS</v>
      </c>
      <c r="K495" s="37" t="str">
        <f t="shared" si="28"/>
        <v>0-180 DAYS</v>
      </c>
    </row>
    <row r="496" spans="2:11" hidden="1" x14ac:dyDescent="0.35">
      <c r="B496" s="2" t="s">
        <v>1209</v>
      </c>
      <c r="C496" s="2" t="s">
        <v>789</v>
      </c>
      <c r="D496" s="44" t="s">
        <v>125</v>
      </c>
      <c r="E496" s="44" t="s">
        <v>57</v>
      </c>
      <c r="F496" s="44" t="s">
        <v>2226</v>
      </c>
      <c r="G496" s="45">
        <v>45493</v>
      </c>
      <c r="H496" s="145">
        <v>816138.57</v>
      </c>
      <c r="I496" s="37">
        <f t="shared" si="27"/>
        <v>12</v>
      </c>
      <c r="J496" s="37" t="str">
        <f t="shared" si="29"/>
        <v>1-90 DAYS</v>
      </c>
      <c r="K496" s="37" t="str">
        <f t="shared" si="28"/>
        <v>0-180 DAYS</v>
      </c>
    </row>
    <row r="497" spans="2:11" hidden="1" x14ac:dyDescent="0.35">
      <c r="B497" s="2" t="s">
        <v>1209</v>
      </c>
      <c r="C497" s="2" t="s">
        <v>789</v>
      </c>
      <c r="D497" s="44" t="s">
        <v>125</v>
      </c>
      <c r="E497" s="44" t="s">
        <v>57</v>
      </c>
      <c r="F497" s="44" t="s">
        <v>2227</v>
      </c>
      <c r="G497" s="45">
        <v>45493</v>
      </c>
      <c r="H497" s="145">
        <v>5998.75</v>
      </c>
      <c r="I497" s="37">
        <f t="shared" si="27"/>
        <v>12</v>
      </c>
      <c r="J497" s="37" t="str">
        <f t="shared" si="29"/>
        <v>1-90 DAYS</v>
      </c>
      <c r="K497" s="37" t="str">
        <f t="shared" si="28"/>
        <v>0-180 DAYS</v>
      </c>
    </row>
    <row r="498" spans="2:11" hidden="1" x14ac:dyDescent="0.35">
      <c r="B498" s="2" t="s">
        <v>1209</v>
      </c>
      <c r="C498" s="2" t="s">
        <v>789</v>
      </c>
      <c r="D498" s="44" t="s">
        <v>125</v>
      </c>
      <c r="E498" s="44" t="s">
        <v>57</v>
      </c>
      <c r="F498" s="44" t="s">
        <v>2228</v>
      </c>
      <c r="G498" s="45">
        <v>45495</v>
      </c>
      <c r="H498" s="145">
        <v>1125111.3700000001</v>
      </c>
      <c r="I498" s="37">
        <f t="shared" si="27"/>
        <v>10</v>
      </c>
      <c r="J498" s="37" t="str">
        <f t="shared" si="29"/>
        <v>1-90 DAYS</v>
      </c>
      <c r="K498" s="37" t="str">
        <f t="shared" si="28"/>
        <v>0-180 DAYS</v>
      </c>
    </row>
    <row r="499" spans="2:11" hidden="1" x14ac:dyDescent="0.35">
      <c r="B499" s="2" t="s">
        <v>1209</v>
      </c>
      <c r="C499" s="2" t="s">
        <v>789</v>
      </c>
      <c r="D499" s="44" t="s">
        <v>125</v>
      </c>
      <c r="E499" s="44" t="s">
        <v>57</v>
      </c>
      <c r="F499" s="44" t="s">
        <v>2229</v>
      </c>
      <c r="G499" s="45">
        <v>45495</v>
      </c>
      <c r="H499" s="145">
        <v>2395680.3199999998</v>
      </c>
      <c r="I499" s="37">
        <f t="shared" si="27"/>
        <v>10</v>
      </c>
      <c r="J499" s="37" t="str">
        <f t="shared" si="29"/>
        <v>1-90 DAYS</v>
      </c>
      <c r="K499" s="37" t="str">
        <f t="shared" si="28"/>
        <v>0-180 DAYS</v>
      </c>
    </row>
    <row r="500" spans="2:11" hidden="1" x14ac:dyDescent="0.35">
      <c r="B500" s="2" t="s">
        <v>1209</v>
      </c>
      <c r="C500" s="2" t="s">
        <v>789</v>
      </c>
      <c r="D500" s="44" t="s">
        <v>125</v>
      </c>
      <c r="E500" s="44" t="s">
        <v>57</v>
      </c>
      <c r="F500" s="44" t="s">
        <v>2230</v>
      </c>
      <c r="G500" s="45">
        <v>45495</v>
      </c>
      <c r="H500" s="145">
        <v>1085496.81</v>
      </c>
      <c r="I500" s="37">
        <f t="shared" si="27"/>
        <v>10</v>
      </c>
      <c r="J500" s="37" t="str">
        <f t="shared" si="29"/>
        <v>1-90 DAYS</v>
      </c>
      <c r="K500" s="37" t="str">
        <f t="shared" si="28"/>
        <v>0-180 DAYS</v>
      </c>
    </row>
    <row r="501" spans="2:11" hidden="1" x14ac:dyDescent="0.35">
      <c r="B501" s="2" t="s">
        <v>1209</v>
      </c>
      <c r="C501" s="2" t="s">
        <v>789</v>
      </c>
      <c r="D501" s="44" t="s">
        <v>125</v>
      </c>
      <c r="E501" s="44" t="s">
        <v>57</v>
      </c>
      <c r="F501" s="44" t="s">
        <v>2231</v>
      </c>
      <c r="G501" s="45">
        <v>45497</v>
      </c>
      <c r="H501" s="145">
        <v>1497560.82</v>
      </c>
      <c r="I501" s="37">
        <f t="shared" si="27"/>
        <v>8</v>
      </c>
      <c r="J501" s="37" t="str">
        <f t="shared" si="29"/>
        <v>1-90 DAYS</v>
      </c>
      <c r="K501" s="37" t="str">
        <f t="shared" si="28"/>
        <v>0-180 DAYS</v>
      </c>
    </row>
    <row r="502" spans="2:11" hidden="1" x14ac:dyDescent="0.35">
      <c r="B502" s="2" t="s">
        <v>1209</v>
      </c>
      <c r="C502" s="2" t="s">
        <v>789</v>
      </c>
      <c r="D502" s="44" t="s">
        <v>125</v>
      </c>
      <c r="E502" s="44" t="s">
        <v>57</v>
      </c>
      <c r="F502" s="44" t="s">
        <v>2232</v>
      </c>
      <c r="G502" s="45">
        <v>45498</v>
      </c>
      <c r="H502" s="145">
        <v>367621.63</v>
      </c>
      <c r="I502" s="37">
        <f t="shared" si="27"/>
        <v>7</v>
      </c>
      <c r="J502" s="37" t="str">
        <f t="shared" si="29"/>
        <v>1-90 DAYS</v>
      </c>
      <c r="K502" s="37" t="str">
        <f t="shared" si="28"/>
        <v>0-180 DAYS</v>
      </c>
    </row>
    <row r="503" spans="2:11" hidden="1" x14ac:dyDescent="0.35">
      <c r="B503" s="2" t="s">
        <v>1209</v>
      </c>
      <c r="C503" s="2" t="s">
        <v>789</v>
      </c>
      <c r="D503" s="44" t="s">
        <v>125</v>
      </c>
      <c r="E503" s="44" t="s">
        <v>57</v>
      </c>
      <c r="F503" s="44" t="s">
        <v>2233</v>
      </c>
      <c r="G503" s="45">
        <v>45498</v>
      </c>
      <c r="H503" s="145">
        <v>3791.66</v>
      </c>
      <c r="I503" s="37">
        <f t="shared" si="27"/>
        <v>7</v>
      </c>
      <c r="J503" s="37" t="str">
        <f t="shared" si="29"/>
        <v>1-90 DAYS</v>
      </c>
      <c r="K503" s="37" t="str">
        <f t="shared" si="28"/>
        <v>0-180 DAYS</v>
      </c>
    </row>
    <row r="504" spans="2:11" hidden="1" x14ac:dyDescent="0.35">
      <c r="B504" s="2" t="s">
        <v>1209</v>
      </c>
      <c r="C504" s="2" t="s">
        <v>789</v>
      </c>
      <c r="D504" s="44" t="s">
        <v>125</v>
      </c>
      <c r="E504" s="44" t="s">
        <v>57</v>
      </c>
      <c r="F504" s="44" t="s">
        <v>2234</v>
      </c>
      <c r="G504" s="45">
        <v>45500</v>
      </c>
      <c r="H504" s="145">
        <v>1724053.76</v>
      </c>
      <c r="I504" s="37">
        <f t="shared" si="27"/>
        <v>5</v>
      </c>
      <c r="J504" s="37" t="str">
        <f t="shared" si="29"/>
        <v>1-90 DAYS</v>
      </c>
      <c r="K504" s="37" t="str">
        <f t="shared" si="28"/>
        <v>0-180 DAYS</v>
      </c>
    </row>
    <row r="505" spans="2:11" hidden="1" x14ac:dyDescent="0.35">
      <c r="B505" s="2" t="s">
        <v>1209</v>
      </c>
      <c r="C505" s="2" t="s">
        <v>789</v>
      </c>
      <c r="D505" s="44" t="s">
        <v>125</v>
      </c>
      <c r="E505" s="44" t="s">
        <v>57</v>
      </c>
      <c r="F505" s="44" t="s">
        <v>2235</v>
      </c>
      <c r="G505" s="45">
        <v>45500</v>
      </c>
      <c r="H505" s="145">
        <v>1790760.41</v>
      </c>
      <c r="I505" s="37">
        <f t="shared" si="27"/>
        <v>5</v>
      </c>
      <c r="J505" s="37" t="str">
        <f t="shared" si="29"/>
        <v>1-90 DAYS</v>
      </c>
      <c r="K505" s="37" t="str">
        <f t="shared" si="28"/>
        <v>0-180 DAYS</v>
      </c>
    </row>
    <row r="506" spans="2:11" hidden="1" x14ac:dyDescent="0.35">
      <c r="B506" s="2" t="s">
        <v>1209</v>
      </c>
      <c r="C506" s="2" t="s">
        <v>789</v>
      </c>
      <c r="D506" s="44" t="s">
        <v>125</v>
      </c>
      <c r="E506" s="44" t="s">
        <v>57</v>
      </c>
      <c r="F506" s="44" t="s">
        <v>2236</v>
      </c>
      <c r="G506" s="45">
        <v>45501</v>
      </c>
      <c r="H506" s="145">
        <v>223557.26</v>
      </c>
      <c r="I506" s="37">
        <f t="shared" si="27"/>
        <v>4</v>
      </c>
      <c r="J506" s="37" t="str">
        <f t="shared" si="29"/>
        <v>1-90 DAYS</v>
      </c>
      <c r="K506" s="37" t="str">
        <f t="shared" si="28"/>
        <v>0-180 DAYS</v>
      </c>
    </row>
    <row r="507" spans="2:11" hidden="1" x14ac:dyDescent="0.35">
      <c r="B507" s="2" t="s">
        <v>1209</v>
      </c>
      <c r="C507" s="2" t="s">
        <v>789</v>
      </c>
      <c r="D507" s="44" t="s">
        <v>125</v>
      </c>
      <c r="E507" s="44" t="s">
        <v>57</v>
      </c>
      <c r="F507" s="44" t="s">
        <v>2237</v>
      </c>
      <c r="G507" s="45">
        <v>45501</v>
      </c>
      <c r="H507" s="145">
        <v>2490.0500000000002</v>
      </c>
      <c r="I507" s="37">
        <f t="shared" si="27"/>
        <v>4</v>
      </c>
      <c r="J507" s="37" t="str">
        <f t="shared" si="29"/>
        <v>1-90 DAYS</v>
      </c>
      <c r="K507" s="37" t="str">
        <f t="shared" si="28"/>
        <v>0-180 DAYS</v>
      </c>
    </row>
    <row r="508" spans="2:11" hidden="1" x14ac:dyDescent="0.35">
      <c r="B508" s="2" t="s">
        <v>1209</v>
      </c>
      <c r="C508" s="2" t="s">
        <v>789</v>
      </c>
      <c r="D508" s="44" t="s">
        <v>125</v>
      </c>
      <c r="E508" s="44" t="s">
        <v>57</v>
      </c>
      <c r="F508" s="44" t="s">
        <v>2238</v>
      </c>
      <c r="G508" s="45">
        <v>45475</v>
      </c>
      <c r="H508" s="145">
        <v>1494984.44</v>
      </c>
      <c r="I508" s="37">
        <f t="shared" si="27"/>
        <v>30</v>
      </c>
      <c r="J508" s="37" t="str">
        <f t="shared" si="29"/>
        <v>1-90 DAYS</v>
      </c>
      <c r="K508" s="37" t="str">
        <f t="shared" si="28"/>
        <v>0-180 DAYS</v>
      </c>
    </row>
    <row r="509" spans="2:11" hidden="1" x14ac:dyDescent="0.35">
      <c r="B509" s="2" t="s">
        <v>1209</v>
      </c>
      <c r="C509" s="2" t="s">
        <v>789</v>
      </c>
      <c r="D509" s="44" t="s">
        <v>125</v>
      </c>
      <c r="E509" s="44" t="s">
        <v>57</v>
      </c>
      <c r="F509" s="44" t="s">
        <v>2239</v>
      </c>
      <c r="G509" s="45">
        <v>45482</v>
      </c>
      <c r="H509" s="145">
        <v>31087.39</v>
      </c>
      <c r="I509" s="37">
        <f t="shared" si="27"/>
        <v>23</v>
      </c>
      <c r="J509" s="37" t="str">
        <f t="shared" si="29"/>
        <v>1-90 DAYS</v>
      </c>
      <c r="K509" s="37" t="str">
        <f t="shared" si="28"/>
        <v>0-180 DAYS</v>
      </c>
    </row>
    <row r="510" spans="2:11" hidden="1" x14ac:dyDescent="0.35">
      <c r="B510" s="2" t="s">
        <v>1209</v>
      </c>
      <c r="C510" s="2" t="s">
        <v>789</v>
      </c>
      <c r="D510" s="44" t="s">
        <v>125</v>
      </c>
      <c r="E510" s="44" t="s">
        <v>57</v>
      </c>
      <c r="F510" s="44" t="s">
        <v>2240</v>
      </c>
      <c r="G510" s="45">
        <v>45482</v>
      </c>
      <c r="H510" s="145">
        <v>679.1</v>
      </c>
      <c r="I510" s="37">
        <f t="shared" si="27"/>
        <v>23</v>
      </c>
      <c r="J510" s="37" t="str">
        <f t="shared" si="29"/>
        <v>1-90 DAYS</v>
      </c>
      <c r="K510" s="37" t="str">
        <f t="shared" si="28"/>
        <v>0-180 DAYS</v>
      </c>
    </row>
    <row r="511" spans="2:11" hidden="1" x14ac:dyDescent="0.35">
      <c r="B511" s="2" t="s">
        <v>1209</v>
      </c>
      <c r="C511" s="2" t="s">
        <v>789</v>
      </c>
      <c r="D511" s="44" t="s">
        <v>125</v>
      </c>
      <c r="E511" s="44" t="s">
        <v>57</v>
      </c>
      <c r="F511" s="44" t="s">
        <v>2241</v>
      </c>
      <c r="G511" s="45">
        <v>45486</v>
      </c>
      <c r="H511" s="145">
        <v>1342.8</v>
      </c>
      <c r="I511" s="37">
        <f t="shared" si="27"/>
        <v>19</v>
      </c>
      <c r="J511" s="37" t="str">
        <f t="shared" si="29"/>
        <v>1-90 DAYS</v>
      </c>
      <c r="K511" s="37" t="str">
        <f t="shared" si="28"/>
        <v>0-180 DAYS</v>
      </c>
    </row>
    <row r="512" spans="2:11" hidden="1" x14ac:dyDescent="0.35">
      <c r="B512" s="2" t="s">
        <v>1209</v>
      </c>
      <c r="C512" s="2" t="s">
        <v>789</v>
      </c>
      <c r="D512" s="44" t="s">
        <v>125</v>
      </c>
      <c r="E512" s="44" t="s">
        <v>57</v>
      </c>
      <c r="F512" s="44" t="s">
        <v>2242</v>
      </c>
      <c r="G512" s="45">
        <v>45490</v>
      </c>
      <c r="H512" s="145">
        <v>1139521.52</v>
      </c>
      <c r="I512" s="37">
        <f t="shared" si="27"/>
        <v>15</v>
      </c>
      <c r="J512" s="37" t="str">
        <f t="shared" si="29"/>
        <v>1-90 DAYS</v>
      </c>
      <c r="K512" s="37" t="str">
        <f t="shared" si="28"/>
        <v>0-180 DAYS</v>
      </c>
    </row>
    <row r="513" spans="2:11" hidden="1" x14ac:dyDescent="0.35">
      <c r="B513" s="2" t="s">
        <v>1209</v>
      </c>
      <c r="C513" s="2" t="s">
        <v>789</v>
      </c>
      <c r="D513" s="44" t="s">
        <v>125</v>
      </c>
      <c r="E513" s="44" t="s">
        <v>57</v>
      </c>
      <c r="F513" s="44" t="s">
        <v>2243</v>
      </c>
      <c r="G513" s="45">
        <v>45496</v>
      </c>
      <c r="H513" s="145">
        <v>1573843.24</v>
      </c>
      <c r="I513" s="37">
        <f t="shared" si="27"/>
        <v>9</v>
      </c>
      <c r="J513" s="37" t="str">
        <f t="shared" si="29"/>
        <v>1-90 DAYS</v>
      </c>
      <c r="K513" s="37" t="str">
        <f t="shared" si="28"/>
        <v>0-180 DAYS</v>
      </c>
    </row>
    <row r="514" spans="2:11" hidden="1" x14ac:dyDescent="0.35">
      <c r="B514" s="2" t="s">
        <v>1209</v>
      </c>
      <c r="C514" s="2" t="s">
        <v>789</v>
      </c>
      <c r="D514" s="44" t="s">
        <v>125</v>
      </c>
      <c r="E514" s="44" t="s">
        <v>57</v>
      </c>
      <c r="F514" s="44" t="s">
        <v>2244</v>
      </c>
      <c r="G514" s="45">
        <v>45499</v>
      </c>
      <c r="H514" s="145">
        <v>2128356.09</v>
      </c>
      <c r="I514" s="37">
        <f t="shared" si="27"/>
        <v>6</v>
      </c>
      <c r="J514" s="37" t="str">
        <f t="shared" si="29"/>
        <v>1-90 DAYS</v>
      </c>
      <c r="K514" s="37" t="str">
        <f t="shared" si="28"/>
        <v>0-180 DAYS</v>
      </c>
    </row>
    <row r="515" spans="2:11" hidden="1" x14ac:dyDescent="0.35">
      <c r="B515" s="2" t="s">
        <v>1209</v>
      </c>
      <c r="C515" s="2" t="s">
        <v>789</v>
      </c>
      <c r="D515" s="44" t="s">
        <v>125</v>
      </c>
      <c r="E515" s="44" t="s">
        <v>57</v>
      </c>
      <c r="F515" s="44" t="s">
        <v>2245</v>
      </c>
      <c r="G515" s="45">
        <v>45499</v>
      </c>
      <c r="H515" s="145">
        <v>2406975.89</v>
      </c>
      <c r="I515" s="37">
        <f t="shared" si="27"/>
        <v>6</v>
      </c>
      <c r="J515" s="37" t="str">
        <f t="shared" si="29"/>
        <v>1-90 DAYS</v>
      </c>
      <c r="K515" s="37" t="str">
        <f t="shared" si="28"/>
        <v>0-180 DAYS</v>
      </c>
    </row>
    <row r="516" spans="2:11" hidden="1" x14ac:dyDescent="0.35">
      <c r="B516" s="2" t="s">
        <v>1209</v>
      </c>
      <c r="C516" s="2" t="s">
        <v>789</v>
      </c>
      <c r="D516" s="44" t="s">
        <v>125</v>
      </c>
      <c r="E516" s="44" t="s">
        <v>57</v>
      </c>
      <c r="F516" s="44" t="s">
        <v>2246</v>
      </c>
      <c r="G516" s="45">
        <v>45499</v>
      </c>
      <c r="H516" s="145">
        <v>1507309.88</v>
      </c>
      <c r="I516" s="37">
        <f t="shared" si="27"/>
        <v>6</v>
      </c>
      <c r="J516" s="37" t="str">
        <f t="shared" si="29"/>
        <v>1-90 DAYS</v>
      </c>
      <c r="K516" s="37" t="str">
        <f t="shared" si="28"/>
        <v>0-180 DAYS</v>
      </c>
    </row>
    <row r="517" spans="2:11" hidden="1" x14ac:dyDescent="0.35">
      <c r="B517" s="2" t="s">
        <v>1209</v>
      </c>
      <c r="C517" s="2" t="s">
        <v>789</v>
      </c>
      <c r="D517" s="44" t="s">
        <v>125</v>
      </c>
      <c r="E517" s="44" t="s">
        <v>57</v>
      </c>
      <c r="F517" s="44" t="s">
        <v>2247</v>
      </c>
      <c r="G517" s="45">
        <v>45500</v>
      </c>
      <c r="H517" s="145">
        <v>275355.34999999998</v>
      </c>
      <c r="I517" s="37">
        <f t="shared" si="27"/>
        <v>5</v>
      </c>
      <c r="J517" s="37" t="str">
        <f t="shared" si="29"/>
        <v>1-90 DAYS</v>
      </c>
      <c r="K517" s="37" t="str">
        <f t="shared" si="28"/>
        <v>0-180 DAYS</v>
      </c>
    </row>
    <row r="518" spans="2:11" hidden="1" x14ac:dyDescent="0.35">
      <c r="B518" s="2" t="s">
        <v>1209</v>
      </c>
      <c r="C518" s="2" t="s">
        <v>789</v>
      </c>
      <c r="D518" s="44" t="s">
        <v>125</v>
      </c>
      <c r="E518" s="44" t="s">
        <v>57</v>
      </c>
      <c r="F518" s="44" t="s">
        <v>2248</v>
      </c>
      <c r="G518" s="45">
        <v>45503</v>
      </c>
      <c r="H518" s="145">
        <v>3713.64</v>
      </c>
      <c r="I518" s="37">
        <f>$I$2-G518+1</f>
        <v>2</v>
      </c>
      <c r="J518" s="37" t="str">
        <f t="shared" si="29"/>
        <v>1-90 DAYS</v>
      </c>
      <c r="K518" s="37" t="str">
        <f>IF(I518&lt;180,"0-180 DAYS","More than 180 Days")</f>
        <v>0-180 DAYS</v>
      </c>
    </row>
    <row r="519" spans="2:11" hidden="1" x14ac:dyDescent="0.35">
      <c r="B519" s="2" t="s">
        <v>1209</v>
      </c>
      <c r="C519" s="2" t="s">
        <v>789</v>
      </c>
      <c r="D519" s="44" t="s">
        <v>125</v>
      </c>
      <c r="E519" s="44" t="s">
        <v>57</v>
      </c>
      <c r="F519" s="44" t="s">
        <v>2249</v>
      </c>
      <c r="G519" s="45">
        <v>45503</v>
      </c>
      <c r="H519" s="145">
        <v>2886.19</v>
      </c>
      <c r="I519" s="37">
        <f>$I$2-G519+1</f>
        <v>2</v>
      </c>
      <c r="J519" s="37" t="str">
        <f t="shared" si="29"/>
        <v>1-90 DAYS</v>
      </c>
      <c r="K519" s="37" t="str">
        <f>IF(I519&lt;180,"0-180 DAYS","More than 180 Days")</f>
        <v>0-180 DAYS</v>
      </c>
    </row>
  </sheetData>
  <autoFilter ref="A4:P519" xr:uid="{F01D9CDB-6CEC-4BE0-B41A-9250C41CF7AF}">
    <filterColumn colId="3">
      <filters>
        <filter val="Balcon Enterprises Inc."/>
      </filters>
    </filterColumn>
  </autoFilter>
  <conditionalFormatting sqref="F4">
    <cfRule type="duplicateValues" dxfId="103" priority="1"/>
    <cfRule type="duplicateValues" dxfId="102" priority="2"/>
  </conditionalFormatting>
  <conditionalFormatting sqref="F5">
    <cfRule type="duplicateValues" dxfId="101" priority="3"/>
  </conditionalFormatting>
  <conditionalFormatting sqref="F5:F6">
    <cfRule type="duplicateValues" dxfId="100" priority="8"/>
    <cfRule type="duplicateValues" dxfId="99" priority="9"/>
  </conditionalFormatting>
  <conditionalFormatting sqref="F237:F240">
    <cfRule type="duplicateValues" dxfId="98" priority="4"/>
  </conditionalFormatting>
  <conditionalFormatting sqref="F237:F242">
    <cfRule type="duplicateValues" dxfId="97" priority="5"/>
  </conditionalFormatting>
  <conditionalFormatting sqref="F237:F250">
    <cfRule type="duplicateValues" dxfId="96" priority="6"/>
    <cfRule type="duplicateValues" dxfId="95" priority="7"/>
  </conditionalFormatting>
  <dataValidations count="2">
    <dataValidation type="textLength" operator="lessThanOrEqual" allowBlank="1" showInputMessage="1" showErrorMessage="1" error="Invoice number cannot be greater 18 characters" sqref="F5 F237:F242" xr:uid="{F44EFC49-7043-4D35-9AE9-8B39D65D6069}">
      <formula1>18</formula1>
    </dataValidation>
    <dataValidation type="textLength" allowBlank="1" showInputMessage="1" showErrorMessage="1" error="GST Number, please update 15 characters" sqref="E24 E5 E237:E242" xr:uid="{B76DACF7-FC7B-4D72-89C1-B36DEFACCD03}">
      <formula1>15</formula1>
      <formula2>15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745F-7796-4153-818E-A58AAF5B4B83}">
  <sheetPr codeName="Sheet7" filterMode="1"/>
  <dimension ref="A1:N674"/>
  <sheetViews>
    <sheetView topLeftCell="A2" workbookViewId="0">
      <pane ySplit="2" topLeftCell="A170" activePane="bottomLeft" state="frozen"/>
      <selection activeCell="A2" sqref="A2"/>
      <selection pane="bottomLeft" activeCell="G99" sqref="G99:G431"/>
    </sheetView>
  </sheetViews>
  <sheetFormatPr defaultRowHeight="14.5" x14ac:dyDescent="0.35"/>
  <cols>
    <col min="3" max="3" width="38.7265625" bestFit="1" customWidth="1"/>
    <col min="5" max="5" width="16.6328125" bestFit="1" customWidth="1"/>
    <col min="6" max="6" width="17.453125" style="59" bestFit="1" customWidth="1"/>
    <col min="7" max="7" width="16.08984375" style="97" bestFit="1" customWidth="1"/>
    <col min="8" max="8" width="14.6328125" bestFit="1" customWidth="1"/>
    <col min="9" max="9" width="12.54296875" bestFit="1" customWidth="1"/>
    <col min="13" max="13" width="10.36328125" bestFit="1" customWidth="1"/>
  </cols>
  <sheetData>
    <row r="1" spans="1:14" x14ac:dyDescent="0.35">
      <c r="G1" s="97">
        <v>591779363.35000002</v>
      </c>
      <c r="H1" s="97">
        <f>G1-G2</f>
        <v>533628517.44</v>
      </c>
      <c r="I1" s="73"/>
    </row>
    <row r="2" spans="1:14" x14ac:dyDescent="0.35">
      <c r="E2" s="66"/>
      <c r="F2" s="98"/>
      <c r="G2" s="97">
        <f>SUBTOTAL(9,G4:G674)</f>
        <v>58150845.910000011</v>
      </c>
      <c r="H2" s="35">
        <v>45473</v>
      </c>
    </row>
    <row r="3" spans="1:14" x14ac:dyDescent="0.35">
      <c r="A3" s="2" t="s">
        <v>478</v>
      </c>
      <c r="B3" s="2" t="s">
        <v>787</v>
      </c>
      <c r="C3" s="80" t="s">
        <v>472</v>
      </c>
      <c r="D3" s="80" t="s">
        <v>473</v>
      </c>
      <c r="E3" s="81" t="s">
        <v>474</v>
      </c>
      <c r="F3" s="82" t="s">
        <v>475</v>
      </c>
      <c r="G3" s="86" t="s">
        <v>476</v>
      </c>
      <c r="H3" s="83" t="s">
        <v>483</v>
      </c>
      <c r="I3" s="83" t="s">
        <v>484</v>
      </c>
      <c r="J3" s="83" t="s">
        <v>1051</v>
      </c>
      <c r="K3" s="89"/>
    </row>
    <row r="4" spans="1:14" hidden="1" x14ac:dyDescent="0.35">
      <c r="A4" s="2" t="s">
        <v>1085</v>
      </c>
      <c r="B4" s="2" t="s">
        <v>790</v>
      </c>
      <c r="C4" s="37" t="s">
        <v>518</v>
      </c>
      <c r="D4" s="37" t="s">
        <v>507</v>
      </c>
      <c r="E4" s="37" t="s">
        <v>519</v>
      </c>
      <c r="F4" s="36" t="s">
        <v>1406</v>
      </c>
      <c r="G4" s="67">
        <v>3151699.2</v>
      </c>
      <c r="H4" s="37">
        <f>$H$2-F4+1</f>
        <v>606</v>
      </c>
      <c r="I4" s="37" t="str">
        <f>IF(H4&lt;121,"0-120 DAYS",IF(H4&lt;181,"121-180 DAYS","More than 180 Days"))</f>
        <v>More than 180 Days</v>
      </c>
      <c r="J4" s="37" t="str">
        <f>IF(H4&lt;180,"0-180 DAYS","More than 180 Days")</f>
        <v>More than 180 Days</v>
      </c>
      <c r="M4" s="36" t="s">
        <v>1406</v>
      </c>
      <c r="N4" t="b">
        <f>M4=F4</f>
        <v>1</v>
      </c>
    </row>
    <row r="5" spans="1:14" hidden="1" x14ac:dyDescent="0.35">
      <c r="A5" s="2" t="s">
        <v>1085</v>
      </c>
      <c r="B5" s="2" t="s">
        <v>790</v>
      </c>
      <c r="C5" s="37" t="s">
        <v>520</v>
      </c>
      <c r="D5" s="37" t="s">
        <v>507</v>
      </c>
      <c r="E5" s="37" t="s">
        <v>521</v>
      </c>
      <c r="F5" s="36" t="s">
        <v>1406</v>
      </c>
      <c r="G5" s="67">
        <v>3151699.2</v>
      </c>
      <c r="H5" s="37">
        <f t="shared" ref="H5:H38" si="0">$H$2-F5+1</f>
        <v>606</v>
      </c>
      <c r="I5" s="37" t="str">
        <f t="shared" ref="I5:I38" si="1">IF(H5&lt;121,"0-120 DAYS",IF(H5&lt;181,"121-180 DAYS","More than 180 Days"))</f>
        <v>More than 180 Days</v>
      </c>
      <c r="J5" s="37" t="str">
        <f t="shared" ref="J5:J38" si="2">IF(H5&lt;180,"0-180 DAYS","More than 180 Days")</f>
        <v>More than 180 Days</v>
      </c>
      <c r="M5" s="36" t="s">
        <v>1406</v>
      </c>
      <c r="N5" t="b">
        <f t="shared" ref="N5:N38" si="3">M5=F5</f>
        <v>1</v>
      </c>
    </row>
    <row r="6" spans="1:14" hidden="1" x14ac:dyDescent="0.35">
      <c r="A6" s="2" t="s">
        <v>1085</v>
      </c>
      <c r="B6" s="2" t="s">
        <v>790</v>
      </c>
      <c r="C6" s="18" t="s">
        <v>1197</v>
      </c>
      <c r="D6" s="2" t="s">
        <v>507</v>
      </c>
      <c r="E6" s="18" t="s">
        <v>1198</v>
      </c>
      <c r="F6" s="36" t="s">
        <v>1408</v>
      </c>
      <c r="G6" s="67">
        <v>1030377.2</v>
      </c>
      <c r="H6" s="37" t="e">
        <f t="shared" si="0"/>
        <v>#VALUE!</v>
      </c>
      <c r="I6" s="37" t="e">
        <f t="shared" si="1"/>
        <v>#VALUE!</v>
      </c>
      <c r="J6" s="37" t="e">
        <f t="shared" si="2"/>
        <v>#VALUE!</v>
      </c>
      <c r="M6" s="36" t="s">
        <v>1408</v>
      </c>
      <c r="N6" t="b">
        <f t="shared" si="3"/>
        <v>1</v>
      </c>
    </row>
    <row r="7" spans="1:14" hidden="1" x14ac:dyDescent="0.35">
      <c r="A7" s="2" t="s">
        <v>1085</v>
      </c>
      <c r="B7" s="2" t="s">
        <v>790</v>
      </c>
      <c r="C7" s="18" t="s">
        <v>1197</v>
      </c>
      <c r="D7" s="2" t="s">
        <v>507</v>
      </c>
      <c r="E7" s="18" t="s">
        <v>1199</v>
      </c>
      <c r="F7" s="36" t="s">
        <v>1408</v>
      </c>
      <c r="G7" s="67">
        <v>17681.37</v>
      </c>
      <c r="H7" s="37" t="e">
        <f t="shared" si="0"/>
        <v>#VALUE!</v>
      </c>
      <c r="I7" s="37" t="e">
        <f t="shared" si="1"/>
        <v>#VALUE!</v>
      </c>
      <c r="J7" s="37" t="e">
        <f t="shared" si="2"/>
        <v>#VALUE!</v>
      </c>
      <c r="M7" s="36" t="s">
        <v>1408</v>
      </c>
      <c r="N7" t="b">
        <f t="shared" si="3"/>
        <v>1</v>
      </c>
    </row>
    <row r="8" spans="1:14" hidden="1" x14ac:dyDescent="0.35">
      <c r="A8" s="2" t="s">
        <v>1085</v>
      </c>
      <c r="B8" s="2" t="s">
        <v>790</v>
      </c>
      <c r="C8" s="18" t="s">
        <v>1197</v>
      </c>
      <c r="D8" s="2" t="s">
        <v>507</v>
      </c>
      <c r="E8" s="18" t="s">
        <v>1200</v>
      </c>
      <c r="F8" s="36" t="s">
        <v>1409</v>
      </c>
      <c r="G8" s="67">
        <v>1437238.08</v>
      </c>
      <c r="H8" s="37" t="e">
        <f t="shared" si="0"/>
        <v>#VALUE!</v>
      </c>
      <c r="I8" s="37" t="e">
        <f t="shared" si="1"/>
        <v>#VALUE!</v>
      </c>
      <c r="J8" s="37" t="e">
        <f t="shared" si="2"/>
        <v>#VALUE!</v>
      </c>
      <c r="M8" s="36" t="s">
        <v>1409</v>
      </c>
      <c r="N8" t="b">
        <f t="shared" si="3"/>
        <v>1</v>
      </c>
    </row>
    <row r="9" spans="1:14" x14ac:dyDescent="0.35">
      <c r="A9" s="2" t="s">
        <v>1085</v>
      </c>
      <c r="B9" s="2" t="s">
        <v>790</v>
      </c>
      <c r="C9" s="18" t="s">
        <v>1086</v>
      </c>
      <c r="D9" s="2" t="s">
        <v>507</v>
      </c>
      <c r="E9" s="18" t="s">
        <v>1201</v>
      </c>
      <c r="F9" s="36" t="s">
        <v>1410</v>
      </c>
      <c r="G9" s="67">
        <f>2591060.4-309944</f>
        <v>2281116.4</v>
      </c>
      <c r="H9" s="37" t="e">
        <f t="shared" si="0"/>
        <v>#VALUE!</v>
      </c>
      <c r="I9" s="37" t="e">
        <f t="shared" si="1"/>
        <v>#VALUE!</v>
      </c>
      <c r="J9" s="37" t="e">
        <f t="shared" si="2"/>
        <v>#VALUE!</v>
      </c>
      <c r="M9" s="36" t="s">
        <v>1410</v>
      </c>
      <c r="N9" t="b">
        <f t="shared" si="3"/>
        <v>1</v>
      </c>
    </row>
    <row r="10" spans="1:14" x14ac:dyDescent="0.35">
      <c r="A10" s="2" t="s">
        <v>1085</v>
      </c>
      <c r="B10" s="2" t="s">
        <v>790</v>
      </c>
      <c r="C10" s="18" t="s">
        <v>1086</v>
      </c>
      <c r="D10" s="2" t="s">
        <v>507</v>
      </c>
      <c r="E10" s="18" t="s">
        <v>1202</v>
      </c>
      <c r="F10" s="36" t="s">
        <v>1410</v>
      </c>
      <c r="G10" s="67">
        <v>2311013.58</v>
      </c>
      <c r="H10" s="37" t="e">
        <f t="shared" si="0"/>
        <v>#VALUE!</v>
      </c>
      <c r="I10" s="37" t="e">
        <f t="shared" si="1"/>
        <v>#VALUE!</v>
      </c>
      <c r="J10" s="37" t="e">
        <f t="shared" si="2"/>
        <v>#VALUE!</v>
      </c>
      <c r="M10" s="36" t="s">
        <v>1410</v>
      </c>
      <c r="N10" t="b">
        <f t="shared" si="3"/>
        <v>1</v>
      </c>
    </row>
    <row r="11" spans="1:14" x14ac:dyDescent="0.35">
      <c r="A11" s="2" t="s">
        <v>1085</v>
      </c>
      <c r="B11" s="2" t="s">
        <v>790</v>
      </c>
      <c r="C11" s="1" t="s">
        <v>1086</v>
      </c>
      <c r="D11" s="2" t="s">
        <v>507</v>
      </c>
      <c r="E11" s="18" t="s">
        <v>1203</v>
      </c>
      <c r="F11" s="36" t="s">
        <v>1411</v>
      </c>
      <c r="G11" s="67">
        <v>2943436.32</v>
      </c>
      <c r="H11" s="37" t="e">
        <f t="shared" si="0"/>
        <v>#VALUE!</v>
      </c>
      <c r="I11" s="37" t="e">
        <f t="shared" si="1"/>
        <v>#VALUE!</v>
      </c>
      <c r="J11" s="37" t="e">
        <f t="shared" si="2"/>
        <v>#VALUE!</v>
      </c>
      <c r="M11" s="36" t="s">
        <v>1411</v>
      </c>
      <c r="N11" t="b">
        <f t="shared" si="3"/>
        <v>1</v>
      </c>
    </row>
    <row r="12" spans="1:14" x14ac:dyDescent="0.35">
      <c r="A12" s="2" t="s">
        <v>1085</v>
      </c>
      <c r="B12" s="2" t="s">
        <v>790</v>
      </c>
      <c r="C12" s="1" t="s">
        <v>1086</v>
      </c>
      <c r="D12" s="2" t="s">
        <v>507</v>
      </c>
      <c r="E12" s="18" t="s">
        <v>1204</v>
      </c>
      <c r="F12" s="36" t="s">
        <v>1412</v>
      </c>
      <c r="G12" s="67">
        <v>3938987.26</v>
      </c>
      <c r="H12" s="37" t="e">
        <f t="shared" si="0"/>
        <v>#VALUE!</v>
      </c>
      <c r="I12" s="37" t="e">
        <f t="shared" si="1"/>
        <v>#VALUE!</v>
      </c>
      <c r="J12" s="37" t="e">
        <f t="shared" si="2"/>
        <v>#VALUE!</v>
      </c>
      <c r="M12" s="36" t="s">
        <v>1412</v>
      </c>
      <c r="N12" t="b">
        <f t="shared" si="3"/>
        <v>1</v>
      </c>
    </row>
    <row r="13" spans="1:14" hidden="1" x14ac:dyDescent="0.35">
      <c r="A13" s="2" t="s">
        <v>1085</v>
      </c>
      <c r="B13" s="2" t="s">
        <v>790</v>
      </c>
      <c r="C13" t="s">
        <v>650</v>
      </c>
      <c r="D13" s="2" t="s">
        <v>507</v>
      </c>
      <c r="E13" s="74" t="s">
        <v>1205</v>
      </c>
      <c r="F13" s="36" t="s">
        <v>1413</v>
      </c>
      <c r="G13" s="67">
        <v>143304</v>
      </c>
      <c r="H13" s="37" t="e">
        <f t="shared" si="0"/>
        <v>#VALUE!</v>
      </c>
      <c r="I13" s="37" t="e">
        <f t="shared" si="1"/>
        <v>#VALUE!</v>
      </c>
      <c r="J13" s="37" t="e">
        <f t="shared" si="2"/>
        <v>#VALUE!</v>
      </c>
      <c r="M13" s="36" t="s">
        <v>1413</v>
      </c>
      <c r="N13" t="b">
        <f t="shared" si="3"/>
        <v>1</v>
      </c>
    </row>
    <row r="14" spans="1:14" x14ac:dyDescent="0.35">
      <c r="A14" s="2" t="s">
        <v>1085</v>
      </c>
      <c r="B14" s="2" t="s">
        <v>790</v>
      </c>
      <c r="C14" s="18" t="s">
        <v>1086</v>
      </c>
      <c r="D14" s="2" t="s">
        <v>507</v>
      </c>
      <c r="E14" s="18" t="s">
        <v>1211</v>
      </c>
      <c r="F14" s="36" t="s">
        <v>1414</v>
      </c>
      <c r="G14" s="108">
        <v>203051.26</v>
      </c>
      <c r="H14" s="37">
        <f t="shared" si="0"/>
        <v>121</v>
      </c>
      <c r="I14" s="37" t="str">
        <f t="shared" si="1"/>
        <v>121-180 DAYS</v>
      </c>
      <c r="J14" s="37" t="str">
        <f t="shared" si="2"/>
        <v>0-180 DAYS</v>
      </c>
      <c r="K14" t="s">
        <v>1730</v>
      </c>
      <c r="M14" s="36" t="s">
        <v>1414</v>
      </c>
      <c r="N14" t="b">
        <f t="shared" si="3"/>
        <v>1</v>
      </c>
    </row>
    <row r="15" spans="1:14" x14ac:dyDescent="0.35">
      <c r="A15" s="2" t="s">
        <v>1085</v>
      </c>
      <c r="B15" s="2" t="s">
        <v>790</v>
      </c>
      <c r="C15" s="18" t="s">
        <v>1086</v>
      </c>
      <c r="D15" s="2" t="s">
        <v>507</v>
      </c>
      <c r="E15" s="18" t="s">
        <v>1212</v>
      </c>
      <c r="F15" s="36" t="s">
        <v>1414</v>
      </c>
      <c r="G15" s="108">
        <v>184548.86</v>
      </c>
      <c r="H15" s="37">
        <f t="shared" si="0"/>
        <v>121</v>
      </c>
      <c r="I15" s="37" t="str">
        <f t="shared" si="1"/>
        <v>121-180 DAYS</v>
      </c>
      <c r="J15" s="37" t="str">
        <f t="shared" si="2"/>
        <v>0-180 DAYS</v>
      </c>
      <c r="K15" t="s">
        <v>1730</v>
      </c>
      <c r="M15" s="36" t="s">
        <v>1414</v>
      </c>
      <c r="N15" t="b">
        <f t="shared" si="3"/>
        <v>1</v>
      </c>
    </row>
    <row r="16" spans="1:14" x14ac:dyDescent="0.35">
      <c r="A16" s="2" t="s">
        <v>1085</v>
      </c>
      <c r="B16" s="2" t="s">
        <v>790</v>
      </c>
      <c r="C16" s="18" t="s">
        <v>1086</v>
      </c>
      <c r="D16" s="2" t="s">
        <v>507</v>
      </c>
      <c r="E16" s="18" t="s">
        <v>1213</v>
      </c>
      <c r="F16" s="36" t="s">
        <v>1414</v>
      </c>
      <c r="G16" s="108">
        <v>1119628.1200000001</v>
      </c>
      <c r="H16" s="37">
        <f t="shared" si="0"/>
        <v>121</v>
      </c>
      <c r="I16" s="37" t="str">
        <f t="shared" si="1"/>
        <v>121-180 DAYS</v>
      </c>
      <c r="J16" s="37" t="str">
        <f t="shared" si="2"/>
        <v>0-180 DAYS</v>
      </c>
      <c r="K16" t="s">
        <v>1730</v>
      </c>
      <c r="M16" s="36" t="s">
        <v>1414</v>
      </c>
      <c r="N16" t="b">
        <f t="shared" si="3"/>
        <v>1</v>
      </c>
    </row>
    <row r="17" spans="1:14" x14ac:dyDescent="0.35">
      <c r="A17" s="2" t="s">
        <v>1085</v>
      </c>
      <c r="B17" s="2" t="s">
        <v>790</v>
      </c>
      <c r="C17" s="18" t="s">
        <v>1086</v>
      </c>
      <c r="D17" s="2" t="s">
        <v>507</v>
      </c>
      <c r="E17" s="18" t="s">
        <v>1214</v>
      </c>
      <c r="F17" s="36" t="s">
        <v>1414</v>
      </c>
      <c r="G17" s="108">
        <v>567517.02</v>
      </c>
      <c r="H17" s="37">
        <f t="shared" si="0"/>
        <v>121</v>
      </c>
      <c r="I17" s="37" t="str">
        <f t="shared" si="1"/>
        <v>121-180 DAYS</v>
      </c>
      <c r="J17" s="37" t="str">
        <f t="shared" si="2"/>
        <v>0-180 DAYS</v>
      </c>
      <c r="K17" t="s">
        <v>1730</v>
      </c>
      <c r="M17" s="36" t="s">
        <v>1414</v>
      </c>
      <c r="N17" t="b">
        <f t="shared" si="3"/>
        <v>1</v>
      </c>
    </row>
    <row r="18" spans="1:14" x14ac:dyDescent="0.35">
      <c r="A18" s="2" t="s">
        <v>1085</v>
      </c>
      <c r="B18" s="2" t="s">
        <v>790</v>
      </c>
      <c r="C18" s="18" t="s">
        <v>1086</v>
      </c>
      <c r="D18" s="2" t="s">
        <v>507</v>
      </c>
      <c r="E18" s="18" t="s">
        <v>1215</v>
      </c>
      <c r="F18" s="36" t="s">
        <v>1414</v>
      </c>
      <c r="G18" s="108">
        <v>2424735.6</v>
      </c>
      <c r="H18" s="37">
        <f t="shared" si="0"/>
        <v>121</v>
      </c>
      <c r="I18" s="37" t="str">
        <f t="shared" si="1"/>
        <v>121-180 DAYS</v>
      </c>
      <c r="J18" s="37" t="str">
        <f t="shared" si="2"/>
        <v>0-180 DAYS</v>
      </c>
      <c r="K18" t="s">
        <v>1730</v>
      </c>
      <c r="M18" s="36" t="s">
        <v>1414</v>
      </c>
      <c r="N18" t="b">
        <f t="shared" si="3"/>
        <v>1</v>
      </c>
    </row>
    <row r="19" spans="1:14" x14ac:dyDescent="0.35">
      <c r="A19" s="2" t="s">
        <v>1085</v>
      </c>
      <c r="B19" s="2" t="s">
        <v>790</v>
      </c>
      <c r="C19" s="18" t="s">
        <v>1086</v>
      </c>
      <c r="D19" s="2" t="s">
        <v>507</v>
      </c>
      <c r="E19" s="18" t="s">
        <v>1216</v>
      </c>
      <c r="F19" s="36" t="s">
        <v>1414</v>
      </c>
      <c r="G19" s="108">
        <v>161646.29999999999</v>
      </c>
      <c r="H19" s="37">
        <f t="shared" si="0"/>
        <v>121</v>
      </c>
      <c r="I19" s="37" t="str">
        <f t="shared" si="1"/>
        <v>121-180 DAYS</v>
      </c>
      <c r="J19" s="37" t="str">
        <f t="shared" si="2"/>
        <v>0-180 DAYS</v>
      </c>
      <c r="K19" t="s">
        <v>1730</v>
      </c>
      <c r="M19" s="36" t="s">
        <v>1414</v>
      </c>
      <c r="N19" t="b">
        <f t="shared" si="3"/>
        <v>1</v>
      </c>
    </row>
    <row r="20" spans="1:14" x14ac:dyDescent="0.35">
      <c r="A20" s="2" t="s">
        <v>1085</v>
      </c>
      <c r="B20" s="2" t="s">
        <v>790</v>
      </c>
      <c r="C20" s="18" t="s">
        <v>1086</v>
      </c>
      <c r="D20" s="2" t="s">
        <v>507</v>
      </c>
      <c r="E20" s="18" t="s">
        <v>1217</v>
      </c>
      <c r="F20" s="36" t="s">
        <v>1419</v>
      </c>
      <c r="G20" s="108">
        <v>2697804</v>
      </c>
      <c r="H20" s="37">
        <f t="shared" si="0"/>
        <v>-1</v>
      </c>
      <c r="I20" s="37" t="str">
        <f t="shared" si="1"/>
        <v>0-120 DAYS</v>
      </c>
      <c r="J20" s="37" t="str">
        <f t="shared" si="2"/>
        <v>0-180 DAYS</v>
      </c>
      <c r="K20" t="s">
        <v>1730</v>
      </c>
      <c r="M20" s="36" t="s">
        <v>1419</v>
      </c>
      <c r="N20" t="b">
        <f t="shared" si="3"/>
        <v>1</v>
      </c>
    </row>
    <row r="21" spans="1:14" hidden="1" x14ac:dyDescent="0.35">
      <c r="A21" s="2" t="s">
        <v>1085</v>
      </c>
      <c r="B21" s="2" t="s">
        <v>790</v>
      </c>
      <c r="C21" s="18" t="s">
        <v>570</v>
      </c>
      <c r="D21" s="2" t="s">
        <v>507</v>
      </c>
      <c r="E21" s="18" t="s">
        <v>1218</v>
      </c>
      <c r="F21" s="36" t="s">
        <v>1415</v>
      </c>
      <c r="G21" s="108">
        <f>3590689.46-341065</f>
        <v>3249624.46</v>
      </c>
      <c r="H21" s="37">
        <f t="shared" si="0"/>
        <v>-63</v>
      </c>
      <c r="I21" s="37" t="str">
        <f t="shared" si="1"/>
        <v>0-120 DAYS</v>
      </c>
      <c r="J21" s="37" t="str">
        <f t="shared" si="2"/>
        <v>0-180 DAYS</v>
      </c>
      <c r="K21" t="s">
        <v>1730</v>
      </c>
      <c r="M21" s="36" t="s">
        <v>1415</v>
      </c>
      <c r="N21" t="b">
        <f t="shared" si="3"/>
        <v>1</v>
      </c>
    </row>
    <row r="22" spans="1:14" x14ac:dyDescent="0.35">
      <c r="A22" s="2" t="s">
        <v>1085</v>
      </c>
      <c r="B22" s="2" t="s">
        <v>790</v>
      </c>
      <c r="C22" s="18" t="s">
        <v>1086</v>
      </c>
      <c r="D22" s="2" t="s">
        <v>507</v>
      </c>
      <c r="E22" s="18" t="s">
        <v>1219</v>
      </c>
      <c r="F22" s="36" t="s">
        <v>1420</v>
      </c>
      <c r="G22" s="108">
        <v>151959.03</v>
      </c>
      <c r="H22" s="37">
        <f t="shared" si="0"/>
        <v>-124</v>
      </c>
      <c r="I22" s="37" t="str">
        <f t="shared" si="1"/>
        <v>0-120 DAYS</v>
      </c>
      <c r="J22" s="37" t="str">
        <f t="shared" si="2"/>
        <v>0-180 DAYS</v>
      </c>
      <c r="K22" t="s">
        <v>1730</v>
      </c>
      <c r="M22" s="36" t="s">
        <v>1420</v>
      </c>
      <c r="N22" t="b">
        <f t="shared" si="3"/>
        <v>1</v>
      </c>
    </row>
    <row r="23" spans="1:14" x14ac:dyDescent="0.35">
      <c r="A23" s="2" t="s">
        <v>1085</v>
      </c>
      <c r="B23" s="2" t="s">
        <v>790</v>
      </c>
      <c r="C23" s="18" t="s">
        <v>1086</v>
      </c>
      <c r="D23" s="2" t="s">
        <v>507</v>
      </c>
      <c r="E23" s="18" t="s">
        <v>1220</v>
      </c>
      <c r="F23" s="36" t="s">
        <v>1420</v>
      </c>
      <c r="G23" s="108">
        <v>765439.82</v>
      </c>
      <c r="H23" s="37">
        <f t="shared" si="0"/>
        <v>-124</v>
      </c>
      <c r="I23" s="37" t="str">
        <f t="shared" si="1"/>
        <v>0-120 DAYS</v>
      </c>
      <c r="J23" s="37" t="str">
        <f t="shared" si="2"/>
        <v>0-180 DAYS</v>
      </c>
      <c r="K23" t="s">
        <v>1730</v>
      </c>
      <c r="M23" s="36" t="s">
        <v>1420</v>
      </c>
      <c r="N23" t="b">
        <f t="shared" si="3"/>
        <v>1</v>
      </c>
    </row>
    <row r="24" spans="1:14" x14ac:dyDescent="0.35">
      <c r="A24" s="2" t="s">
        <v>1085</v>
      </c>
      <c r="B24" s="2" t="s">
        <v>790</v>
      </c>
      <c r="C24" s="18" t="s">
        <v>1086</v>
      </c>
      <c r="D24" s="2" t="s">
        <v>507</v>
      </c>
      <c r="E24" s="18" t="s">
        <v>1221</v>
      </c>
      <c r="F24" s="36" t="s">
        <v>1420</v>
      </c>
      <c r="G24" s="108">
        <v>313593</v>
      </c>
      <c r="H24" s="37">
        <f t="shared" si="0"/>
        <v>-124</v>
      </c>
      <c r="I24" s="37" t="str">
        <f t="shared" si="1"/>
        <v>0-120 DAYS</v>
      </c>
      <c r="J24" s="37" t="str">
        <f t="shared" si="2"/>
        <v>0-180 DAYS</v>
      </c>
      <c r="K24" t="s">
        <v>1730</v>
      </c>
      <c r="M24" s="36" t="s">
        <v>1420</v>
      </c>
      <c r="N24" t="b">
        <f t="shared" si="3"/>
        <v>1</v>
      </c>
    </row>
    <row r="25" spans="1:14" x14ac:dyDescent="0.35">
      <c r="A25" s="2" t="s">
        <v>1085</v>
      </c>
      <c r="B25" s="2" t="s">
        <v>790</v>
      </c>
      <c r="C25" s="18" t="s">
        <v>1086</v>
      </c>
      <c r="D25" s="2" t="s">
        <v>507</v>
      </c>
      <c r="E25" s="18" t="s">
        <v>1222</v>
      </c>
      <c r="F25" s="36" t="s">
        <v>1420</v>
      </c>
      <c r="G25" s="108">
        <v>322273.32</v>
      </c>
      <c r="H25" s="37">
        <f t="shared" si="0"/>
        <v>-124</v>
      </c>
      <c r="I25" s="37" t="str">
        <f t="shared" si="1"/>
        <v>0-120 DAYS</v>
      </c>
      <c r="J25" s="37" t="str">
        <f t="shared" si="2"/>
        <v>0-180 DAYS</v>
      </c>
      <c r="K25" t="s">
        <v>1730</v>
      </c>
      <c r="M25" s="36" t="s">
        <v>1420</v>
      </c>
      <c r="N25" t="b">
        <f t="shared" si="3"/>
        <v>1</v>
      </c>
    </row>
    <row r="26" spans="1:14" x14ac:dyDescent="0.35">
      <c r="A26" s="2" t="s">
        <v>1085</v>
      </c>
      <c r="B26" s="2" t="s">
        <v>790</v>
      </c>
      <c r="C26" s="18" t="s">
        <v>1086</v>
      </c>
      <c r="D26" s="2" t="s">
        <v>507</v>
      </c>
      <c r="E26" s="18" t="s">
        <v>1223</v>
      </c>
      <c r="F26" s="36" t="s">
        <v>1420</v>
      </c>
      <c r="G26" s="108">
        <v>207250.86</v>
      </c>
      <c r="H26" s="87">
        <f t="shared" si="0"/>
        <v>-124</v>
      </c>
      <c r="I26" s="37" t="str">
        <f t="shared" si="1"/>
        <v>0-120 DAYS</v>
      </c>
      <c r="J26" s="37" t="str">
        <f t="shared" si="2"/>
        <v>0-180 DAYS</v>
      </c>
      <c r="K26" t="s">
        <v>1730</v>
      </c>
      <c r="M26" s="36" t="s">
        <v>1420</v>
      </c>
      <c r="N26" t="b">
        <f t="shared" si="3"/>
        <v>1</v>
      </c>
    </row>
    <row r="27" spans="1:14" x14ac:dyDescent="0.35">
      <c r="A27" s="2" t="s">
        <v>1085</v>
      </c>
      <c r="B27" s="2" t="s">
        <v>790</v>
      </c>
      <c r="C27" s="18" t="s">
        <v>1086</v>
      </c>
      <c r="D27" s="2" t="s">
        <v>507</v>
      </c>
      <c r="E27" s="18" t="s">
        <v>1224</v>
      </c>
      <c r="F27" s="36" t="s">
        <v>1420</v>
      </c>
      <c r="G27" s="108">
        <v>286351.09999999998</v>
      </c>
      <c r="H27" s="87">
        <f t="shared" si="0"/>
        <v>-124</v>
      </c>
      <c r="I27" s="37" t="str">
        <f t="shared" si="1"/>
        <v>0-120 DAYS</v>
      </c>
      <c r="J27" s="37" t="str">
        <f t="shared" si="2"/>
        <v>0-180 DAYS</v>
      </c>
      <c r="K27" t="s">
        <v>1730</v>
      </c>
      <c r="M27" s="36" t="s">
        <v>1420</v>
      </c>
      <c r="N27" t="b">
        <f t="shared" si="3"/>
        <v>1</v>
      </c>
    </row>
    <row r="28" spans="1:14" x14ac:dyDescent="0.35">
      <c r="A28" s="2" t="s">
        <v>1085</v>
      </c>
      <c r="B28" s="2" t="s">
        <v>790</v>
      </c>
      <c r="C28" s="18" t="s">
        <v>1086</v>
      </c>
      <c r="D28" s="2" t="s">
        <v>507</v>
      </c>
      <c r="E28" s="18" t="s">
        <v>1225</v>
      </c>
      <c r="F28" s="36" t="s">
        <v>1416</v>
      </c>
      <c r="G28" s="108">
        <v>271037.24</v>
      </c>
      <c r="H28" s="87">
        <f t="shared" si="0"/>
        <v>-154</v>
      </c>
      <c r="I28" s="37" t="str">
        <f t="shared" si="1"/>
        <v>0-120 DAYS</v>
      </c>
      <c r="J28" s="37" t="str">
        <f t="shared" si="2"/>
        <v>0-180 DAYS</v>
      </c>
      <c r="K28" t="s">
        <v>1730</v>
      </c>
      <c r="M28" s="36" t="s">
        <v>1416</v>
      </c>
      <c r="N28" t="b">
        <f t="shared" si="3"/>
        <v>1</v>
      </c>
    </row>
    <row r="29" spans="1:14" hidden="1" x14ac:dyDescent="0.35">
      <c r="A29" s="2" t="s">
        <v>1085</v>
      </c>
      <c r="B29" s="2" t="s">
        <v>790</v>
      </c>
      <c r="C29" s="18" t="s">
        <v>650</v>
      </c>
      <c r="D29" s="2" t="s">
        <v>507</v>
      </c>
      <c r="E29" s="18" t="s">
        <v>1226</v>
      </c>
      <c r="F29" s="36" t="s">
        <v>1421</v>
      </c>
      <c r="G29" s="108">
        <v>2519076.15</v>
      </c>
      <c r="H29" s="87" t="e">
        <f t="shared" si="0"/>
        <v>#VALUE!</v>
      </c>
      <c r="I29" s="37" t="e">
        <f t="shared" si="1"/>
        <v>#VALUE!</v>
      </c>
      <c r="J29" s="37" t="e">
        <f t="shared" si="2"/>
        <v>#VALUE!</v>
      </c>
      <c r="K29" t="s">
        <v>1730</v>
      </c>
      <c r="M29" s="36" t="s">
        <v>1421</v>
      </c>
      <c r="N29" t="b">
        <f t="shared" si="3"/>
        <v>1</v>
      </c>
    </row>
    <row r="30" spans="1:14" x14ac:dyDescent="0.35">
      <c r="A30" s="2" t="s">
        <v>1085</v>
      </c>
      <c r="B30" s="2" t="s">
        <v>790</v>
      </c>
      <c r="C30" s="18" t="s">
        <v>1086</v>
      </c>
      <c r="D30" s="2" t="s">
        <v>507</v>
      </c>
      <c r="E30" s="18" t="s">
        <v>1227</v>
      </c>
      <c r="F30" s="36" t="s">
        <v>1422</v>
      </c>
      <c r="G30" s="108">
        <v>71652.100000000006</v>
      </c>
      <c r="H30" s="87" t="e">
        <f t="shared" si="0"/>
        <v>#VALUE!</v>
      </c>
      <c r="I30" s="37" t="e">
        <f t="shared" si="1"/>
        <v>#VALUE!</v>
      </c>
      <c r="J30" s="37" t="e">
        <f t="shared" si="2"/>
        <v>#VALUE!</v>
      </c>
      <c r="K30" t="s">
        <v>1730</v>
      </c>
      <c r="M30" s="36" t="s">
        <v>1422</v>
      </c>
      <c r="N30" t="b">
        <f t="shared" si="3"/>
        <v>1</v>
      </c>
    </row>
    <row r="31" spans="1:14" x14ac:dyDescent="0.35">
      <c r="A31" s="2" t="s">
        <v>1085</v>
      </c>
      <c r="B31" s="2" t="s">
        <v>790</v>
      </c>
      <c r="C31" s="18" t="s">
        <v>1086</v>
      </c>
      <c r="D31" s="2" t="s">
        <v>507</v>
      </c>
      <c r="E31" s="18" t="s">
        <v>1228</v>
      </c>
      <c r="F31" s="36" t="s">
        <v>1422</v>
      </c>
      <c r="G31" s="108">
        <v>2520252</v>
      </c>
      <c r="H31" s="87" t="e">
        <f t="shared" si="0"/>
        <v>#VALUE!</v>
      </c>
      <c r="I31" s="37" t="e">
        <f t="shared" si="1"/>
        <v>#VALUE!</v>
      </c>
      <c r="J31" s="37" t="e">
        <f t="shared" si="2"/>
        <v>#VALUE!</v>
      </c>
      <c r="K31" t="s">
        <v>1730</v>
      </c>
      <c r="M31" s="36" t="s">
        <v>1422</v>
      </c>
      <c r="N31" t="b">
        <f t="shared" si="3"/>
        <v>1</v>
      </c>
    </row>
    <row r="32" spans="1:14" x14ac:dyDescent="0.35">
      <c r="A32" s="2" t="s">
        <v>1085</v>
      </c>
      <c r="B32" s="2" t="s">
        <v>790</v>
      </c>
      <c r="C32" s="18" t="s">
        <v>1086</v>
      </c>
      <c r="D32" s="2" t="s">
        <v>507</v>
      </c>
      <c r="E32" s="18" t="s">
        <v>1229</v>
      </c>
      <c r="F32" s="36" t="s">
        <v>1422</v>
      </c>
      <c r="G32" s="108">
        <v>385384.84</v>
      </c>
      <c r="H32" s="87" t="e">
        <f t="shared" si="0"/>
        <v>#VALUE!</v>
      </c>
      <c r="I32" s="37" t="e">
        <f t="shared" si="1"/>
        <v>#VALUE!</v>
      </c>
      <c r="J32" s="37" t="e">
        <f t="shared" si="2"/>
        <v>#VALUE!</v>
      </c>
      <c r="K32" t="s">
        <v>1730</v>
      </c>
      <c r="M32" s="36" t="s">
        <v>1422</v>
      </c>
      <c r="N32" t="b">
        <f t="shared" si="3"/>
        <v>1</v>
      </c>
    </row>
    <row r="33" spans="1:14" hidden="1" x14ac:dyDescent="0.35">
      <c r="A33" s="2" t="s">
        <v>1085</v>
      </c>
      <c r="B33" s="2" t="s">
        <v>790</v>
      </c>
      <c r="C33" s="18" t="s">
        <v>570</v>
      </c>
      <c r="D33" s="2" t="s">
        <v>507</v>
      </c>
      <c r="E33" s="18" t="s">
        <v>1230</v>
      </c>
      <c r="F33" s="36" t="s">
        <v>1423</v>
      </c>
      <c r="G33" s="108">
        <v>3033180</v>
      </c>
      <c r="H33" s="87" t="e">
        <f t="shared" si="0"/>
        <v>#VALUE!</v>
      </c>
      <c r="I33" s="37" t="e">
        <f t="shared" si="1"/>
        <v>#VALUE!</v>
      </c>
      <c r="J33" s="37" t="e">
        <f t="shared" si="2"/>
        <v>#VALUE!</v>
      </c>
      <c r="K33" t="s">
        <v>1730</v>
      </c>
      <c r="M33" s="36" t="s">
        <v>1423</v>
      </c>
      <c r="N33" t="b">
        <f t="shared" si="3"/>
        <v>1</v>
      </c>
    </row>
    <row r="34" spans="1:14" hidden="1" x14ac:dyDescent="0.35">
      <c r="A34" s="2" t="s">
        <v>1085</v>
      </c>
      <c r="B34" s="2" t="s">
        <v>790</v>
      </c>
      <c r="C34" s="18" t="s">
        <v>650</v>
      </c>
      <c r="D34" s="2" t="s">
        <v>507</v>
      </c>
      <c r="E34" s="18" t="s">
        <v>1231</v>
      </c>
      <c r="F34" s="36" t="s">
        <v>1418</v>
      </c>
      <c r="G34" s="108">
        <v>2890410.72</v>
      </c>
      <c r="H34" s="87" t="e">
        <f t="shared" si="0"/>
        <v>#VALUE!</v>
      </c>
      <c r="I34" s="37" t="e">
        <f t="shared" si="1"/>
        <v>#VALUE!</v>
      </c>
      <c r="J34" s="37" t="e">
        <f t="shared" si="2"/>
        <v>#VALUE!</v>
      </c>
      <c r="K34" t="s">
        <v>1730</v>
      </c>
      <c r="M34" s="36" t="s">
        <v>1418</v>
      </c>
      <c r="N34" t="b">
        <f t="shared" si="3"/>
        <v>1</v>
      </c>
    </row>
    <row r="35" spans="1:14" hidden="1" x14ac:dyDescent="0.35">
      <c r="A35" s="2" t="s">
        <v>1085</v>
      </c>
      <c r="B35" s="2" t="s">
        <v>790</v>
      </c>
      <c r="C35" s="18" t="s">
        <v>570</v>
      </c>
      <c r="D35" s="2" t="s">
        <v>507</v>
      </c>
      <c r="E35" s="18" t="s">
        <v>1232</v>
      </c>
      <c r="F35" s="36" t="s">
        <v>1424</v>
      </c>
      <c r="G35" s="108">
        <v>1581988.32</v>
      </c>
      <c r="H35" s="87" t="e">
        <f t="shared" si="0"/>
        <v>#VALUE!</v>
      </c>
      <c r="I35" s="37" t="e">
        <f t="shared" si="1"/>
        <v>#VALUE!</v>
      </c>
      <c r="J35" s="37" t="e">
        <f t="shared" si="2"/>
        <v>#VALUE!</v>
      </c>
      <c r="K35" t="s">
        <v>1730</v>
      </c>
      <c r="M35" s="36" t="s">
        <v>1424</v>
      </c>
      <c r="N35" t="b">
        <f t="shared" si="3"/>
        <v>1</v>
      </c>
    </row>
    <row r="36" spans="1:14" x14ac:dyDescent="0.35">
      <c r="A36" s="2" t="s">
        <v>1085</v>
      </c>
      <c r="B36" s="2" t="s">
        <v>790</v>
      </c>
      <c r="C36" s="18" t="s">
        <v>1086</v>
      </c>
      <c r="D36" s="2" t="s">
        <v>507</v>
      </c>
      <c r="E36" s="18" t="s">
        <v>1233</v>
      </c>
      <c r="F36" s="36" t="s">
        <v>1424</v>
      </c>
      <c r="G36" s="108">
        <v>2692050</v>
      </c>
      <c r="H36" s="87" t="e">
        <f t="shared" si="0"/>
        <v>#VALUE!</v>
      </c>
      <c r="I36" s="37" t="e">
        <f t="shared" si="1"/>
        <v>#VALUE!</v>
      </c>
      <c r="J36" s="37" t="e">
        <f t="shared" si="2"/>
        <v>#VALUE!</v>
      </c>
      <c r="K36" t="s">
        <v>1730</v>
      </c>
      <c r="M36" s="36" t="s">
        <v>1424</v>
      </c>
      <c r="N36" t="b">
        <f t="shared" si="3"/>
        <v>1</v>
      </c>
    </row>
    <row r="37" spans="1:14" x14ac:dyDescent="0.35">
      <c r="A37" s="2" t="s">
        <v>1085</v>
      </c>
      <c r="B37" s="2" t="s">
        <v>790</v>
      </c>
      <c r="C37" s="18" t="s">
        <v>1086</v>
      </c>
      <c r="D37" s="2" t="s">
        <v>507</v>
      </c>
      <c r="E37" s="18" t="s">
        <v>1234</v>
      </c>
      <c r="F37" s="36" t="s">
        <v>1424</v>
      </c>
      <c r="G37" s="108">
        <v>202980.57</v>
      </c>
      <c r="H37" s="87" t="e">
        <f t="shared" si="0"/>
        <v>#VALUE!</v>
      </c>
      <c r="I37" s="37" t="e">
        <f t="shared" si="1"/>
        <v>#VALUE!</v>
      </c>
      <c r="J37" s="37" t="e">
        <f t="shared" si="2"/>
        <v>#VALUE!</v>
      </c>
      <c r="K37" t="s">
        <v>1730</v>
      </c>
      <c r="M37" s="36" t="s">
        <v>1424</v>
      </c>
      <c r="N37" t="b">
        <f t="shared" si="3"/>
        <v>1</v>
      </c>
    </row>
    <row r="38" spans="1:14" x14ac:dyDescent="0.35">
      <c r="A38" s="2" t="s">
        <v>1085</v>
      </c>
      <c r="B38" s="2" t="s">
        <v>790</v>
      </c>
      <c r="C38" s="18" t="s">
        <v>1086</v>
      </c>
      <c r="D38" s="2" t="s">
        <v>507</v>
      </c>
      <c r="E38" s="18" t="s">
        <v>1235</v>
      </c>
      <c r="F38" s="36" t="s">
        <v>1424</v>
      </c>
      <c r="G38" s="108">
        <v>140026.06</v>
      </c>
      <c r="H38" s="87" t="e">
        <f t="shared" si="0"/>
        <v>#VALUE!</v>
      </c>
      <c r="I38" s="37" t="e">
        <f t="shared" si="1"/>
        <v>#VALUE!</v>
      </c>
      <c r="J38" s="37" t="e">
        <f t="shared" si="2"/>
        <v>#VALUE!</v>
      </c>
      <c r="K38" t="s">
        <v>1730</v>
      </c>
      <c r="M38" s="36" t="s">
        <v>1424</v>
      </c>
      <c r="N38" t="b">
        <f t="shared" si="3"/>
        <v>1</v>
      </c>
    </row>
    <row r="39" spans="1:14" hidden="1" x14ac:dyDescent="0.35">
      <c r="A39" s="88" t="s">
        <v>477</v>
      </c>
      <c r="B39" s="88" t="s">
        <v>790</v>
      </c>
      <c r="C39" s="2" t="s">
        <v>0</v>
      </c>
      <c r="D39" s="2" t="s">
        <v>1</v>
      </c>
      <c r="E39" s="3" t="s">
        <v>1058</v>
      </c>
      <c r="F39" s="36" t="s">
        <v>1425</v>
      </c>
      <c r="G39" s="67">
        <v>82517.399999999994</v>
      </c>
      <c r="H39" s="87">
        <f t="shared" ref="H39:H98" si="4">$H$2-F39+1</f>
        <v>878</v>
      </c>
      <c r="I39" s="37" t="str">
        <f>IF(H39&lt;91,"1-90 DAYS",IF(H39&lt;121,"91-120DAYS",IF(H39&lt;181,"121-180 DAYS","More than 180 Days")))</f>
        <v>More than 180 Days</v>
      </c>
      <c r="J39" s="37" t="str">
        <f t="shared" ref="J39:J98" si="5">IF(H39&lt;180,"0-180 DAYS","More than 180 Days")</f>
        <v>More than 180 Days</v>
      </c>
      <c r="M39" s="36" t="s">
        <v>1425</v>
      </c>
      <c r="N39" t="b">
        <f t="shared" ref="N39:N98" si="6">M39=F39</f>
        <v>1</v>
      </c>
    </row>
    <row r="40" spans="1:14" hidden="1" x14ac:dyDescent="0.35">
      <c r="A40" s="88" t="s">
        <v>477</v>
      </c>
      <c r="B40" s="88" t="s">
        <v>790</v>
      </c>
      <c r="C40" s="44" t="s">
        <v>0</v>
      </c>
      <c r="D40" s="44" t="s">
        <v>1</v>
      </c>
      <c r="E40" s="44" t="s">
        <v>1059</v>
      </c>
      <c r="F40" s="36" t="s">
        <v>1426</v>
      </c>
      <c r="G40" s="67">
        <v>49754.7</v>
      </c>
      <c r="H40" s="87">
        <f t="shared" si="4"/>
        <v>454</v>
      </c>
      <c r="I40" s="37" t="str">
        <f t="shared" ref="I40:I62" si="7">IF(H40&lt;91,"1-90 DAYS",IF(H40&lt;121,"91-120DAYS",IF(H40&lt;181,"121-180 DAYS","More than 180 Days")))</f>
        <v>More than 180 Days</v>
      </c>
      <c r="J40" s="37" t="str">
        <f t="shared" si="5"/>
        <v>More than 180 Days</v>
      </c>
      <c r="M40" s="36" t="s">
        <v>1426</v>
      </c>
      <c r="N40" t="b">
        <f t="shared" si="6"/>
        <v>1</v>
      </c>
    </row>
    <row r="41" spans="1:14" hidden="1" x14ac:dyDescent="0.35">
      <c r="A41" s="88" t="s">
        <v>477</v>
      </c>
      <c r="B41" s="88" t="s">
        <v>790</v>
      </c>
      <c r="C41" s="44" t="s">
        <v>3</v>
      </c>
      <c r="D41" s="44" t="s">
        <v>4</v>
      </c>
      <c r="E41" s="44" t="s">
        <v>1089</v>
      </c>
      <c r="F41" s="36" t="s">
        <v>1427</v>
      </c>
      <c r="G41" s="67">
        <v>8928.24</v>
      </c>
      <c r="H41" s="87">
        <f t="shared" si="4"/>
        <v>509</v>
      </c>
      <c r="I41" s="37" t="str">
        <f t="shared" si="7"/>
        <v>More than 180 Days</v>
      </c>
      <c r="J41" s="37" t="str">
        <f t="shared" si="5"/>
        <v>More than 180 Days</v>
      </c>
      <c r="M41" s="36" t="s">
        <v>1427</v>
      </c>
      <c r="N41" t="b">
        <f t="shared" si="6"/>
        <v>1</v>
      </c>
    </row>
    <row r="42" spans="1:14" hidden="1" x14ac:dyDescent="0.35">
      <c r="A42" s="88" t="s">
        <v>477</v>
      </c>
      <c r="B42" s="88" t="s">
        <v>790</v>
      </c>
      <c r="C42" s="44" t="s">
        <v>3</v>
      </c>
      <c r="D42" s="44" t="s">
        <v>4</v>
      </c>
      <c r="E42" s="44" t="s">
        <v>1092</v>
      </c>
      <c r="F42" s="36" t="s">
        <v>1428</v>
      </c>
      <c r="G42" s="67">
        <v>1730.83</v>
      </c>
      <c r="H42" s="87" t="e">
        <f t="shared" si="4"/>
        <v>#VALUE!</v>
      </c>
      <c r="I42" s="37" t="e">
        <f t="shared" si="7"/>
        <v>#VALUE!</v>
      </c>
      <c r="J42" s="37" t="e">
        <f t="shared" si="5"/>
        <v>#VALUE!</v>
      </c>
      <c r="M42" s="36" t="s">
        <v>1428</v>
      </c>
      <c r="N42" t="b">
        <f t="shared" si="6"/>
        <v>1</v>
      </c>
    </row>
    <row r="43" spans="1:14" hidden="1" x14ac:dyDescent="0.35">
      <c r="A43" s="88" t="s">
        <v>477</v>
      </c>
      <c r="B43" s="88" t="s">
        <v>790</v>
      </c>
      <c r="C43" s="2" t="s">
        <v>5</v>
      </c>
      <c r="D43" s="2" t="s">
        <v>6</v>
      </c>
      <c r="E43" s="3">
        <v>770</v>
      </c>
      <c r="F43" s="36" t="s">
        <v>1429</v>
      </c>
      <c r="G43" s="67">
        <v>14691</v>
      </c>
      <c r="H43" s="87" t="e">
        <f t="shared" si="4"/>
        <v>#VALUE!</v>
      </c>
      <c r="I43" s="37" t="e">
        <f t="shared" si="7"/>
        <v>#VALUE!</v>
      </c>
      <c r="J43" s="37" t="e">
        <f t="shared" si="5"/>
        <v>#VALUE!</v>
      </c>
      <c r="M43" s="36" t="s">
        <v>1429</v>
      </c>
      <c r="N43" t="b">
        <f t="shared" si="6"/>
        <v>1</v>
      </c>
    </row>
    <row r="44" spans="1:14" hidden="1" x14ac:dyDescent="0.35">
      <c r="A44" s="88" t="s">
        <v>477</v>
      </c>
      <c r="B44" s="88" t="s">
        <v>790</v>
      </c>
      <c r="C44" s="2" t="s">
        <v>13</v>
      </c>
      <c r="D44" s="2" t="s">
        <v>14</v>
      </c>
      <c r="E44" s="3" t="s">
        <v>15</v>
      </c>
      <c r="F44" s="36" t="s">
        <v>1430</v>
      </c>
      <c r="G44" s="67">
        <v>81031.210000000006</v>
      </c>
      <c r="H44" s="87" t="e">
        <f t="shared" si="4"/>
        <v>#VALUE!</v>
      </c>
      <c r="I44" s="37" t="e">
        <f>IF(H44&lt;91,"1-90 DAYS",IF(H44&lt;121,"91-120DAYS",IF(H44&lt;181,"121-180 DAYS","More than 180 Days")))</f>
        <v>#VALUE!</v>
      </c>
      <c r="J44" s="37" t="e">
        <f t="shared" si="5"/>
        <v>#VALUE!</v>
      </c>
      <c r="M44" s="36" t="s">
        <v>1430</v>
      </c>
      <c r="N44" t="b">
        <f t="shared" si="6"/>
        <v>1</v>
      </c>
    </row>
    <row r="45" spans="1:14" hidden="1" x14ac:dyDescent="0.35">
      <c r="A45" s="88" t="s">
        <v>477</v>
      </c>
      <c r="B45" s="88" t="s">
        <v>790</v>
      </c>
      <c r="C45" s="44" t="s">
        <v>277</v>
      </c>
      <c r="D45" s="44" t="s">
        <v>278</v>
      </c>
      <c r="E45" s="44" t="s">
        <v>1018</v>
      </c>
      <c r="F45" s="36" t="s">
        <v>1431</v>
      </c>
      <c r="G45" s="67">
        <v>19519.82</v>
      </c>
      <c r="H45" s="87" t="e">
        <f t="shared" si="4"/>
        <v>#VALUE!</v>
      </c>
      <c r="I45" s="37" t="e">
        <f t="shared" si="7"/>
        <v>#VALUE!</v>
      </c>
      <c r="J45" s="37" t="e">
        <f t="shared" si="5"/>
        <v>#VALUE!</v>
      </c>
      <c r="M45" s="36" t="s">
        <v>1431</v>
      </c>
      <c r="N45" t="b">
        <f t="shared" si="6"/>
        <v>1</v>
      </c>
    </row>
    <row r="46" spans="1:14" hidden="1" x14ac:dyDescent="0.35">
      <c r="A46" s="88" t="s">
        <v>477</v>
      </c>
      <c r="B46" s="88" t="s">
        <v>790</v>
      </c>
      <c r="C46" t="s">
        <v>20</v>
      </c>
      <c r="D46" t="s">
        <v>21</v>
      </c>
      <c r="E46" s="79" t="s">
        <v>22</v>
      </c>
      <c r="F46" s="36" t="s">
        <v>1432</v>
      </c>
      <c r="G46" s="67">
        <v>978730</v>
      </c>
      <c r="H46" s="87">
        <f t="shared" si="4"/>
        <v>699</v>
      </c>
      <c r="I46" s="37" t="str">
        <f t="shared" si="7"/>
        <v>More than 180 Days</v>
      </c>
      <c r="J46" s="37" t="str">
        <f t="shared" si="5"/>
        <v>More than 180 Days</v>
      </c>
      <c r="M46" s="36" t="s">
        <v>1432</v>
      </c>
      <c r="N46" t="b">
        <f t="shared" si="6"/>
        <v>1</v>
      </c>
    </row>
    <row r="47" spans="1:14" hidden="1" x14ac:dyDescent="0.35">
      <c r="A47" s="88" t="s">
        <v>477</v>
      </c>
      <c r="B47" s="88" t="s">
        <v>790</v>
      </c>
      <c r="C47" t="s">
        <v>20</v>
      </c>
      <c r="D47" t="s">
        <v>21</v>
      </c>
      <c r="E47" s="79" t="s">
        <v>23</v>
      </c>
      <c r="F47" s="36" t="s">
        <v>1432</v>
      </c>
      <c r="G47" s="67">
        <v>1039965</v>
      </c>
      <c r="H47" s="87">
        <f t="shared" si="4"/>
        <v>699</v>
      </c>
      <c r="I47" s="37" t="str">
        <f t="shared" si="7"/>
        <v>More than 180 Days</v>
      </c>
      <c r="J47" s="37" t="str">
        <f t="shared" si="5"/>
        <v>More than 180 Days</v>
      </c>
      <c r="M47" s="36" t="s">
        <v>1432</v>
      </c>
      <c r="N47" t="b">
        <f t="shared" si="6"/>
        <v>1</v>
      </c>
    </row>
    <row r="48" spans="1:14" hidden="1" x14ac:dyDescent="0.35">
      <c r="A48" s="88" t="s">
        <v>477</v>
      </c>
      <c r="B48" s="88" t="s">
        <v>790</v>
      </c>
      <c r="C48" t="s">
        <v>20</v>
      </c>
      <c r="D48" t="s">
        <v>21</v>
      </c>
      <c r="E48" s="79" t="s">
        <v>24</v>
      </c>
      <c r="F48" s="36" t="s">
        <v>1433</v>
      </c>
      <c r="G48" s="67">
        <v>1160694.02</v>
      </c>
      <c r="H48" s="87" t="e">
        <f t="shared" si="4"/>
        <v>#VALUE!</v>
      </c>
      <c r="I48" s="37" t="e">
        <f t="shared" si="7"/>
        <v>#VALUE!</v>
      </c>
      <c r="J48" s="37" t="e">
        <f t="shared" si="5"/>
        <v>#VALUE!</v>
      </c>
      <c r="M48" s="36" t="s">
        <v>1433</v>
      </c>
      <c r="N48" t="b">
        <f t="shared" si="6"/>
        <v>1</v>
      </c>
    </row>
    <row r="49" spans="1:14" hidden="1" x14ac:dyDescent="0.35">
      <c r="A49" s="88" t="s">
        <v>477</v>
      </c>
      <c r="B49" s="88" t="s">
        <v>790</v>
      </c>
      <c r="C49" t="s">
        <v>20</v>
      </c>
      <c r="D49" t="s">
        <v>21</v>
      </c>
      <c r="E49" s="79" t="s">
        <v>25</v>
      </c>
      <c r="F49" s="36" t="s">
        <v>1434</v>
      </c>
      <c r="G49" s="67">
        <v>1075361.1399999999</v>
      </c>
      <c r="H49" s="87" t="e">
        <f t="shared" si="4"/>
        <v>#VALUE!</v>
      </c>
      <c r="I49" s="37" t="e">
        <f t="shared" si="7"/>
        <v>#VALUE!</v>
      </c>
      <c r="J49" s="37" t="e">
        <f t="shared" si="5"/>
        <v>#VALUE!</v>
      </c>
      <c r="M49" s="36" t="s">
        <v>1434</v>
      </c>
      <c r="N49" t="b">
        <f t="shared" si="6"/>
        <v>1</v>
      </c>
    </row>
    <row r="50" spans="1:14" hidden="1" x14ac:dyDescent="0.35">
      <c r="A50" s="88" t="s">
        <v>477</v>
      </c>
      <c r="B50" s="88" t="s">
        <v>790</v>
      </c>
      <c r="C50" s="18" t="s">
        <v>1082</v>
      </c>
      <c r="D50" s="18" t="s">
        <v>1083</v>
      </c>
      <c r="E50" s="18" t="s">
        <v>1084</v>
      </c>
      <c r="F50" s="36" t="s">
        <v>1435</v>
      </c>
      <c r="G50" s="67">
        <v>2519</v>
      </c>
      <c r="H50" s="87" t="e">
        <f t="shared" si="4"/>
        <v>#VALUE!</v>
      </c>
      <c r="I50" s="37" t="e">
        <f t="shared" si="7"/>
        <v>#VALUE!</v>
      </c>
      <c r="J50" s="37" t="e">
        <f t="shared" si="5"/>
        <v>#VALUE!</v>
      </c>
      <c r="M50" s="36" t="s">
        <v>1435</v>
      </c>
      <c r="N50" t="b">
        <f t="shared" si="6"/>
        <v>1</v>
      </c>
    </row>
    <row r="51" spans="1:14" hidden="1" x14ac:dyDescent="0.35">
      <c r="A51" s="88" t="s">
        <v>477</v>
      </c>
      <c r="B51" s="88" t="s">
        <v>790</v>
      </c>
      <c r="C51" s="18" t="s">
        <v>35</v>
      </c>
      <c r="D51" s="18" t="s">
        <v>36</v>
      </c>
      <c r="E51" s="18" t="s">
        <v>1192</v>
      </c>
      <c r="F51" s="36" t="s">
        <v>1436</v>
      </c>
      <c r="G51" s="67">
        <v>580857.09</v>
      </c>
      <c r="H51" s="87">
        <f t="shared" si="4"/>
        <v>232</v>
      </c>
      <c r="I51" s="37" t="str">
        <f t="shared" si="7"/>
        <v>More than 180 Days</v>
      </c>
      <c r="J51" s="37" t="str">
        <f t="shared" si="5"/>
        <v>More than 180 Days</v>
      </c>
      <c r="M51" s="36" t="s">
        <v>1436</v>
      </c>
      <c r="N51" t="b">
        <f t="shared" si="6"/>
        <v>1</v>
      </c>
    </row>
    <row r="52" spans="1:14" hidden="1" x14ac:dyDescent="0.35">
      <c r="A52" s="88" t="s">
        <v>477</v>
      </c>
      <c r="B52" s="88" t="s">
        <v>790</v>
      </c>
      <c r="C52" t="s">
        <v>38</v>
      </c>
      <c r="D52" t="s">
        <v>39</v>
      </c>
      <c r="E52" t="s">
        <v>40</v>
      </c>
      <c r="F52" s="36" t="s">
        <v>1437</v>
      </c>
      <c r="G52" s="67">
        <v>1507988</v>
      </c>
      <c r="H52" s="87" t="e">
        <f t="shared" si="4"/>
        <v>#VALUE!</v>
      </c>
      <c r="I52" s="37" t="e">
        <f t="shared" si="7"/>
        <v>#VALUE!</v>
      </c>
      <c r="J52" s="37" t="e">
        <f t="shared" si="5"/>
        <v>#VALUE!</v>
      </c>
      <c r="M52" s="36" t="s">
        <v>1437</v>
      </c>
      <c r="N52" t="b">
        <f t="shared" si="6"/>
        <v>1</v>
      </c>
    </row>
    <row r="53" spans="1:14" hidden="1" x14ac:dyDescent="0.35">
      <c r="A53" s="88" t="s">
        <v>477</v>
      </c>
      <c r="B53" s="88" t="s">
        <v>790</v>
      </c>
      <c r="C53" t="s">
        <v>38</v>
      </c>
      <c r="D53" t="s">
        <v>39</v>
      </c>
      <c r="E53" t="s">
        <v>41</v>
      </c>
      <c r="F53" s="36" t="s">
        <v>1438</v>
      </c>
      <c r="G53" s="67">
        <v>2089970</v>
      </c>
      <c r="H53" s="87">
        <f t="shared" si="4"/>
        <v>2464</v>
      </c>
      <c r="I53" s="37" t="str">
        <f t="shared" si="7"/>
        <v>More than 180 Days</v>
      </c>
      <c r="J53" s="37" t="str">
        <f t="shared" si="5"/>
        <v>More than 180 Days</v>
      </c>
      <c r="M53" s="36" t="s">
        <v>1438</v>
      </c>
      <c r="N53" t="b">
        <f t="shared" si="6"/>
        <v>1</v>
      </c>
    </row>
    <row r="54" spans="1:14" hidden="1" x14ac:dyDescent="0.35">
      <c r="A54" s="88" t="s">
        <v>477</v>
      </c>
      <c r="B54" s="88" t="s">
        <v>790</v>
      </c>
      <c r="C54" s="18" t="s">
        <v>263</v>
      </c>
      <c r="D54" s="18" t="s">
        <v>264</v>
      </c>
      <c r="E54" s="18" t="s">
        <v>1236</v>
      </c>
      <c r="F54" s="36" t="s">
        <v>1439</v>
      </c>
      <c r="G54" s="108">
        <v>144007.22</v>
      </c>
      <c r="H54" s="87">
        <f t="shared" si="4"/>
        <v>29</v>
      </c>
      <c r="I54" s="37" t="str">
        <f t="shared" si="7"/>
        <v>1-90 DAYS</v>
      </c>
      <c r="J54" s="37" t="str">
        <f t="shared" si="5"/>
        <v>0-180 DAYS</v>
      </c>
      <c r="M54" s="36" t="s">
        <v>1439</v>
      </c>
      <c r="N54" t="b">
        <f t="shared" si="6"/>
        <v>1</v>
      </c>
    </row>
    <row r="55" spans="1:14" hidden="1" x14ac:dyDescent="0.35">
      <c r="A55" s="88" t="s">
        <v>477</v>
      </c>
      <c r="B55" s="88" t="s">
        <v>790</v>
      </c>
      <c r="C55" s="18" t="s">
        <v>263</v>
      </c>
      <c r="D55" s="18" t="s">
        <v>264</v>
      </c>
      <c r="E55" s="18" t="s">
        <v>449</v>
      </c>
      <c r="F55" s="36" t="s">
        <v>1440</v>
      </c>
      <c r="G55" s="108">
        <v>397854.5</v>
      </c>
      <c r="H55" s="87" t="e">
        <f t="shared" si="4"/>
        <v>#VALUE!</v>
      </c>
      <c r="I55" s="37" t="e">
        <f t="shared" si="7"/>
        <v>#VALUE!</v>
      </c>
      <c r="J55" s="37" t="e">
        <f t="shared" si="5"/>
        <v>#VALUE!</v>
      </c>
      <c r="M55" s="36" t="s">
        <v>1440</v>
      </c>
      <c r="N55" t="b">
        <f t="shared" si="6"/>
        <v>1</v>
      </c>
    </row>
    <row r="56" spans="1:14" hidden="1" x14ac:dyDescent="0.35">
      <c r="A56" s="88" t="s">
        <v>1209</v>
      </c>
      <c r="B56" s="88" t="s">
        <v>789</v>
      </c>
      <c r="C56" s="44" t="s">
        <v>506</v>
      </c>
      <c r="D56" s="2" t="s">
        <v>507</v>
      </c>
      <c r="E56" s="18" t="s">
        <v>1193</v>
      </c>
      <c r="F56" s="36" t="s">
        <v>1441</v>
      </c>
      <c r="G56" s="67">
        <v>1668410.56</v>
      </c>
      <c r="H56" s="87">
        <f t="shared" si="4"/>
        <v>355</v>
      </c>
      <c r="I56" s="37" t="str">
        <f t="shared" si="7"/>
        <v>More than 180 Days</v>
      </c>
      <c r="J56" s="37" t="str">
        <f t="shared" si="5"/>
        <v>More than 180 Days</v>
      </c>
      <c r="M56" s="36" t="s">
        <v>1441</v>
      </c>
      <c r="N56" t="b">
        <f t="shared" si="6"/>
        <v>1</v>
      </c>
    </row>
    <row r="57" spans="1:14" hidden="1" x14ac:dyDescent="0.35">
      <c r="A57" s="88" t="s">
        <v>1209</v>
      </c>
      <c r="B57" s="88" t="s">
        <v>789</v>
      </c>
      <c r="C57" s="44" t="s">
        <v>506</v>
      </c>
      <c r="D57" s="2" t="s">
        <v>507</v>
      </c>
      <c r="E57" s="75" t="s">
        <v>1237</v>
      </c>
      <c r="F57" s="36" t="s">
        <v>1414</v>
      </c>
      <c r="G57" s="111">
        <v>1743955.2</v>
      </c>
      <c r="H57" s="87">
        <f t="shared" si="4"/>
        <v>121</v>
      </c>
      <c r="I57" s="37" t="str">
        <f t="shared" si="7"/>
        <v>121-180 DAYS</v>
      </c>
      <c r="J57" s="37" t="str">
        <f t="shared" si="5"/>
        <v>0-180 DAYS</v>
      </c>
      <c r="M57" s="36" t="s">
        <v>1414</v>
      </c>
      <c r="N57" t="b">
        <f t="shared" si="6"/>
        <v>1</v>
      </c>
    </row>
    <row r="58" spans="1:14" hidden="1" x14ac:dyDescent="0.35">
      <c r="A58" s="88" t="s">
        <v>1209</v>
      </c>
      <c r="B58" s="88" t="s">
        <v>789</v>
      </c>
      <c r="C58" s="44" t="s">
        <v>506</v>
      </c>
      <c r="D58" s="2" t="s">
        <v>507</v>
      </c>
      <c r="E58" s="75" t="s">
        <v>1238</v>
      </c>
      <c r="F58" s="36" t="s">
        <v>1414</v>
      </c>
      <c r="G58" s="111">
        <v>1118577.6000000001</v>
      </c>
      <c r="H58" s="87">
        <f t="shared" si="4"/>
        <v>121</v>
      </c>
      <c r="I58" s="37" t="str">
        <f t="shared" si="7"/>
        <v>121-180 DAYS</v>
      </c>
      <c r="J58" s="37" t="str">
        <f t="shared" si="5"/>
        <v>0-180 DAYS</v>
      </c>
      <c r="M58" s="36" t="s">
        <v>1414</v>
      </c>
      <c r="N58" t="b">
        <f t="shared" si="6"/>
        <v>1</v>
      </c>
    </row>
    <row r="59" spans="1:14" hidden="1" x14ac:dyDescent="0.35">
      <c r="A59" s="88" t="s">
        <v>1209</v>
      </c>
      <c r="B59" s="88" t="s">
        <v>789</v>
      </c>
      <c r="C59" s="44" t="s">
        <v>506</v>
      </c>
      <c r="D59" s="2" t="s">
        <v>507</v>
      </c>
      <c r="E59" s="75" t="s">
        <v>1239</v>
      </c>
      <c r="F59" s="36" t="s">
        <v>1414</v>
      </c>
      <c r="G59" s="111">
        <v>276862.75</v>
      </c>
      <c r="H59" s="87">
        <f t="shared" si="4"/>
        <v>121</v>
      </c>
      <c r="I59" s="37" t="str">
        <f t="shared" si="7"/>
        <v>121-180 DAYS</v>
      </c>
      <c r="J59" s="37" t="str">
        <f t="shared" si="5"/>
        <v>0-180 DAYS</v>
      </c>
      <c r="M59" s="36" t="s">
        <v>1414</v>
      </c>
      <c r="N59" t="b">
        <f t="shared" si="6"/>
        <v>1</v>
      </c>
    </row>
    <row r="60" spans="1:14" hidden="1" x14ac:dyDescent="0.35">
      <c r="A60" s="88" t="s">
        <v>1209</v>
      </c>
      <c r="B60" s="88" t="s">
        <v>789</v>
      </c>
      <c r="C60" s="44" t="s">
        <v>506</v>
      </c>
      <c r="D60" s="2" t="s">
        <v>507</v>
      </c>
      <c r="E60" s="75" t="s">
        <v>1240</v>
      </c>
      <c r="F60" s="36" t="s">
        <v>1415</v>
      </c>
      <c r="G60" s="111">
        <v>3206825.03</v>
      </c>
      <c r="H60" s="87">
        <f t="shared" si="4"/>
        <v>-63</v>
      </c>
      <c r="I60" s="37" t="str">
        <f t="shared" si="7"/>
        <v>1-90 DAYS</v>
      </c>
      <c r="J60" s="37" t="str">
        <f t="shared" si="5"/>
        <v>0-180 DAYS</v>
      </c>
      <c r="M60" s="36" t="s">
        <v>1415</v>
      </c>
      <c r="N60" t="b">
        <f t="shared" si="6"/>
        <v>1</v>
      </c>
    </row>
    <row r="61" spans="1:14" hidden="1" x14ac:dyDescent="0.35">
      <c r="A61" s="88" t="s">
        <v>1209</v>
      </c>
      <c r="B61" s="88" t="s">
        <v>789</v>
      </c>
      <c r="C61" s="44" t="s">
        <v>506</v>
      </c>
      <c r="D61" s="2" t="s">
        <v>507</v>
      </c>
      <c r="E61" s="75" t="s">
        <v>1241</v>
      </c>
      <c r="F61" s="36" t="s">
        <v>1415</v>
      </c>
      <c r="G61" s="111">
        <v>179830.58</v>
      </c>
      <c r="H61" s="87">
        <f t="shared" si="4"/>
        <v>-63</v>
      </c>
      <c r="I61" s="37" t="str">
        <f t="shared" si="7"/>
        <v>1-90 DAYS</v>
      </c>
      <c r="J61" s="37" t="str">
        <f t="shared" si="5"/>
        <v>0-180 DAYS</v>
      </c>
      <c r="M61" s="36" t="s">
        <v>1415</v>
      </c>
      <c r="N61" t="b">
        <f t="shared" si="6"/>
        <v>1</v>
      </c>
    </row>
    <row r="62" spans="1:14" hidden="1" x14ac:dyDescent="0.35">
      <c r="A62" s="88" t="s">
        <v>1209</v>
      </c>
      <c r="B62" s="88" t="s">
        <v>789</v>
      </c>
      <c r="C62" s="44" t="s">
        <v>506</v>
      </c>
      <c r="D62" s="2" t="s">
        <v>507</v>
      </c>
      <c r="E62" s="75" t="s">
        <v>1242</v>
      </c>
      <c r="F62" s="36" t="s">
        <v>1417</v>
      </c>
      <c r="G62" s="111">
        <v>3740266.04</v>
      </c>
      <c r="H62" s="87" t="e">
        <f t="shared" si="4"/>
        <v>#VALUE!</v>
      </c>
      <c r="I62" s="37" t="e">
        <f t="shared" si="7"/>
        <v>#VALUE!</v>
      </c>
      <c r="J62" s="37" t="e">
        <f t="shared" si="5"/>
        <v>#VALUE!</v>
      </c>
      <c r="M62" s="36" t="s">
        <v>1417</v>
      </c>
      <c r="N62" t="b">
        <f t="shared" si="6"/>
        <v>1</v>
      </c>
    </row>
    <row r="63" spans="1:14" s="124" customFormat="1" hidden="1" x14ac:dyDescent="0.35">
      <c r="A63" s="119" t="s">
        <v>1085</v>
      </c>
      <c r="B63" s="119" t="s">
        <v>790</v>
      </c>
      <c r="C63" s="120" t="s">
        <v>538</v>
      </c>
      <c r="D63" s="119" t="s">
        <v>507</v>
      </c>
      <c r="E63" s="120" t="s">
        <v>1250</v>
      </c>
      <c r="F63" s="121" t="s">
        <v>1444</v>
      </c>
      <c r="G63" s="122">
        <f>2640558.6</f>
        <v>2640558.6</v>
      </c>
      <c r="H63" s="123">
        <f t="shared" si="4"/>
        <v>28</v>
      </c>
      <c r="I63" s="123" t="str">
        <f t="shared" ref="I63:I126" si="8">IF(H63&lt;121,"0-120 DAYS",IF(H63&lt;181,"121-180 DAYS","More than 180 Days"))</f>
        <v>0-120 DAYS</v>
      </c>
      <c r="J63" s="123" t="str">
        <f t="shared" si="5"/>
        <v>0-180 DAYS</v>
      </c>
      <c r="K63" s="124" t="s">
        <v>1730</v>
      </c>
      <c r="M63" s="121" t="s">
        <v>1444</v>
      </c>
      <c r="N63" s="124" t="b">
        <f t="shared" si="6"/>
        <v>1</v>
      </c>
    </row>
    <row r="64" spans="1:14" hidden="1" x14ac:dyDescent="0.35">
      <c r="A64" s="2" t="s">
        <v>1085</v>
      </c>
      <c r="B64" s="2" t="s">
        <v>790</v>
      </c>
      <c r="C64" s="18" t="s">
        <v>1052</v>
      </c>
      <c r="D64" s="2" t="s">
        <v>507</v>
      </c>
      <c r="E64" s="18" t="s">
        <v>1251</v>
      </c>
      <c r="F64" s="36" t="s">
        <v>1445</v>
      </c>
      <c r="G64" s="108">
        <v>3028510.92</v>
      </c>
      <c r="H64" s="37">
        <f t="shared" si="4"/>
        <v>-33</v>
      </c>
      <c r="I64" s="37" t="str">
        <f t="shared" si="8"/>
        <v>0-120 DAYS</v>
      </c>
      <c r="J64" s="37" t="str">
        <f t="shared" si="5"/>
        <v>0-180 DAYS</v>
      </c>
      <c r="K64" t="s">
        <v>1730</v>
      </c>
      <c r="M64" s="36" t="s">
        <v>1445</v>
      </c>
      <c r="N64" t="b">
        <f t="shared" si="6"/>
        <v>1</v>
      </c>
    </row>
    <row r="65" spans="1:14" s="124" customFormat="1" hidden="1" x14ac:dyDescent="0.35">
      <c r="A65" s="119" t="s">
        <v>1085</v>
      </c>
      <c r="B65" s="119" t="s">
        <v>790</v>
      </c>
      <c r="C65" s="120" t="s">
        <v>536</v>
      </c>
      <c r="D65" s="119" t="s">
        <v>507</v>
      </c>
      <c r="E65" s="120" t="s">
        <v>1252</v>
      </c>
      <c r="F65" s="121" t="s">
        <v>1445</v>
      </c>
      <c r="G65" s="122">
        <f>3077047.2</f>
        <v>3077047.2</v>
      </c>
      <c r="H65" s="123">
        <f t="shared" si="4"/>
        <v>-33</v>
      </c>
      <c r="I65" s="123" t="str">
        <f t="shared" si="8"/>
        <v>0-120 DAYS</v>
      </c>
      <c r="J65" s="123" t="str">
        <f t="shared" si="5"/>
        <v>0-180 DAYS</v>
      </c>
      <c r="K65" s="124" t="s">
        <v>1730</v>
      </c>
      <c r="M65" s="121" t="s">
        <v>1445</v>
      </c>
      <c r="N65" s="124" t="b">
        <f t="shared" si="6"/>
        <v>1</v>
      </c>
    </row>
    <row r="66" spans="1:14" s="124" customFormat="1" hidden="1" x14ac:dyDescent="0.35">
      <c r="A66" s="119" t="s">
        <v>1085</v>
      </c>
      <c r="B66" s="119" t="s">
        <v>790</v>
      </c>
      <c r="C66" s="120" t="s">
        <v>538</v>
      </c>
      <c r="D66" s="119" t="s">
        <v>507</v>
      </c>
      <c r="E66" s="120" t="s">
        <v>1253</v>
      </c>
      <c r="F66" s="121" t="s">
        <v>1445</v>
      </c>
      <c r="G66" s="122">
        <f>3183671.06</f>
        <v>3183671.06</v>
      </c>
      <c r="H66" s="123">
        <f t="shared" si="4"/>
        <v>-33</v>
      </c>
      <c r="I66" s="123" t="str">
        <f t="shared" si="8"/>
        <v>0-120 DAYS</v>
      </c>
      <c r="J66" s="123" t="str">
        <f t="shared" si="5"/>
        <v>0-180 DAYS</v>
      </c>
      <c r="K66" s="124" t="s">
        <v>1730</v>
      </c>
      <c r="M66" s="121" t="s">
        <v>1445</v>
      </c>
      <c r="N66" s="124" t="b">
        <f t="shared" si="6"/>
        <v>1</v>
      </c>
    </row>
    <row r="67" spans="1:14" hidden="1" x14ac:dyDescent="0.35">
      <c r="A67" s="2" t="s">
        <v>1085</v>
      </c>
      <c r="B67" s="2" t="s">
        <v>790</v>
      </c>
      <c r="C67" s="18" t="s">
        <v>1052</v>
      </c>
      <c r="D67" s="2" t="s">
        <v>507</v>
      </c>
      <c r="E67" s="18" t="s">
        <v>1254</v>
      </c>
      <c r="F67" s="36" t="s">
        <v>1446</v>
      </c>
      <c r="G67" s="108">
        <v>3154169.36</v>
      </c>
      <c r="H67" s="37">
        <f t="shared" si="4"/>
        <v>-94</v>
      </c>
      <c r="I67" s="37" t="str">
        <f t="shared" si="8"/>
        <v>0-120 DAYS</v>
      </c>
      <c r="J67" s="37" t="str">
        <f t="shared" si="5"/>
        <v>0-180 DAYS</v>
      </c>
      <c r="K67" t="s">
        <v>1730</v>
      </c>
      <c r="M67" s="36" t="s">
        <v>1446</v>
      </c>
      <c r="N67" t="b">
        <f t="shared" si="6"/>
        <v>1</v>
      </c>
    </row>
    <row r="68" spans="1:14" hidden="1" x14ac:dyDescent="0.35">
      <c r="A68" s="2" t="s">
        <v>1085</v>
      </c>
      <c r="B68" s="2" t="s">
        <v>790</v>
      </c>
      <c r="C68" s="18" t="s">
        <v>573</v>
      </c>
      <c r="D68" s="2" t="s">
        <v>507</v>
      </c>
      <c r="E68" s="44" t="s">
        <v>847</v>
      </c>
      <c r="F68" s="36" t="s">
        <v>1407</v>
      </c>
      <c r="G68" s="67">
        <v>3355712.16</v>
      </c>
      <c r="H68" s="37" t="e">
        <f>$H$2-F68+1</f>
        <v>#VALUE!</v>
      </c>
      <c r="I68" s="37" t="e">
        <f>IF(H68&lt;121,"0-120 DAYS",IF(H68&lt;181,"121-180 DAYS","More than 180 Days"))</f>
        <v>#VALUE!</v>
      </c>
      <c r="J68" s="37" t="e">
        <f>IF(H68&lt;180,"0-180 DAYS","More than 180 Days")</f>
        <v>#VALUE!</v>
      </c>
      <c r="M68" s="36"/>
    </row>
    <row r="69" spans="1:14" hidden="1" x14ac:dyDescent="0.35">
      <c r="A69" s="2" t="s">
        <v>1085</v>
      </c>
      <c r="B69" s="2" t="s">
        <v>790</v>
      </c>
      <c r="C69" s="18" t="s">
        <v>573</v>
      </c>
      <c r="D69" s="2" t="s">
        <v>507</v>
      </c>
      <c r="E69" s="18" t="s">
        <v>599</v>
      </c>
      <c r="F69" s="36" t="s">
        <v>1447</v>
      </c>
      <c r="G69" s="108">
        <v>3158754.9</v>
      </c>
      <c r="H69" s="37">
        <f t="shared" si="4"/>
        <v>-125</v>
      </c>
      <c r="I69" s="37" t="str">
        <f t="shared" si="8"/>
        <v>0-120 DAYS</v>
      </c>
      <c r="J69" s="37" t="str">
        <f t="shared" si="5"/>
        <v>0-180 DAYS</v>
      </c>
      <c r="K69" t="s">
        <v>1730</v>
      </c>
      <c r="M69" s="36" t="s">
        <v>1447</v>
      </c>
      <c r="N69" t="b">
        <f t="shared" si="6"/>
        <v>1</v>
      </c>
    </row>
    <row r="70" spans="1:14" hidden="1" x14ac:dyDescent="0.35">
      <c r="A70" s="2" t="s">
        <v>1085</v>
      </c>
      <c r="B70" s="2" t="s">
        <v>790</v>
      </c>
      <c r="C70" s="18" t="s">
        <v>573</v>
      </c>
      <c r="D70" s="2" t="s">
        <v>507</v>
      </c>
      <c r="E70" s="18" t="s">
        <v>594</v>
      </c>
      <c r="F70" s="36" t="s">
        <v>1448</v>
      </c>
      <c r="G70" s="108">
        <v>3350520.1</v>
      </c>
      <c r="H70" s="37">
        <f t="shared" si="4"/>
        <v>-155</v>
      </c>
      <c r="I70" s="37" t="str">
        <f t="shared" si="8"/>
        <v>0-120 DAYS</v>
      </c>
      <c r="J70" s="37" t="str">
        <f t="shared" si="5"/>
        <v>0-180 DAYS</v>
      </c>
      <c r="K70" t="s">
        <v>1730</v>
      </c>
      <c r="M70" s="36" t="s">
        <v>1448</v>
      </c>
      <c r="N70" t="b">
        <f t="shared" si="6"/>
        <v>1</v>
      </c>
    </row>
    <row r="71" spans="1:14" s="124" customFormat="1" hidden="1" x14ac:dyDescent="0.35">
      <c r="A71" s="119" t="s">
        <v>1085</v>
      </c>
      <c r="B71" s="119" t="s">
        <v>790</v>
      </c>
      <c r="C71" s="120" t="s">
        <v>538</v>
      </c>
      <c r="D71" s="119" t="s">
        <v>507</v>
      </c>
      <c r="E71" s="120" t="s">
        <v>1255</v>
      </c>
      <c r="F71" s="121" t="s">
        <v>1449</v>
      </c>
      <c r="G71" s="122">
        <f>2817990</f>
        <v>2817990</v>
      </c>
      <c r="H71" s="123" t="e">
        <f t="shared" si="4"/>
        <v>#VALUE!</v>
      </c>
      <c r="I71" s="123" t="e">
        <f t="shared" si="8"/>
        <v>#VALUE!</v>
      </c>
      <c r="J71" s="123" t="e">
        <f t="shared" si="5"/>
        <v>#VALUE!</v>
      </c>
      <c r="K71" s="124" t="s">
        <v>1730</v>
      </c>
      <c r="M71" s="121" t="s">
        <v>1449</v>
      </c>
      <c r="N71" s="124" t="b">
        <f t="shared" si="6"/>
        <v>1</v>
      </c>
    </row>
    <row r="72" spans="1:14" hidden="1" x14ac:dyDescent="0.35">
      <c r="A72" s="2" t="s">
        <v>1085</v>
      </c>
      <c r="B72" s="2" t="s">
        <v>790</v>
      </c>
      <c r="C72" s="18" t="s">
        <v>545</v>
      </c>
      <c r="D72" s="2" t="s">
        <v>507</v>
      </c>
      <c r="E72" s="18" t="s">
        <v>1256</v>
      </c>
      <c r="F72" s="36" t="s">
        <v>1450</v>
      </c>
      <c r="G72" s="108">
        <v>3204806</v>
      </c>
      <c r="H72" s="37" t="e">
        <f t="shared" si="4"/>
        <v>#VALUE!</v>
      </c>
      <c r="I72" s="37" t="e">
        <f t="shared" si="8"/>
        <v>#VALUE!</v>
      </c>
      <c r="J72" s="37" t="e">
        <f t="shared" si="5"/>
        <v>#VALUE!</v>
      </c>
      <c r="K72" t="s">
        <v>1730</v>
      </c>
      <c r="M72" s="36" t="s">
        <v>1450</v>
      </c>
      <c r="N72" t="b">
        <f t="shared" si="6"/>
        <v>1</v>
      </c>
    </row>
    <row r="73" spans="1:14" hidden="1" x14ac:dyDescent="0.35">
      <c r="A73" s="2" t="s">
        <v>1085</v>
      </c>
      <c r="B73" s="2" t="s">
        <v>790</v>
      </c>
      <c r="C73" s="18" t="s">
        <v>1244</v>
      </c>
      <c r="D73" s="2" t="s">
        <v>507</v>
      </c>
      <c r="E73" s="18" t="s">
        <v>1257</v>
      </c>
      <c r="F73" s="36" t="s">
        <v>1450</v>
      </c>
      <c r="G73" s="108">
        <v>2922151.96</v>
      </c>
      <c r="H73" s="37" t="e">
        <f t="shared" si="4"/>
        <v>#VALUE!</v>
      </c>
      <c r="I73" s="37" t="e">
        <f t="shared" si="8"/>
        <v>#VALUE!</v>
      </c>
      <c r="J73" s="37" t="e">
        <f t="shared" si="5"/>
        <v>#VALUE!</v>
      </c>
      <c r="K73" t="s">
        <v>1730</v>
      </c>
      <c r="M73" s="36" t="s">
        <v>1450</v>
      </c>
      <c r="N73" t="b">
        <f t="shared" si="6"/>
        <v>1</v>
      </c>
    </row>
    <row r="74" spans="1:14" hidden="1" x14ac:dyDescent="0.35">
      <c r="A74" s="2" t="s">
        <v>1085</v>
      </c>
      <c r="B74" s="2" t="s">
        <v>790</v>
      </c>
      <c r="C74" s="18" t="s">
        <v>538</v>
      </c>
      <c r="D74" s="2" t="s">
        <v>507</v>
      </c>
      <c r="E74" s="18" t="s">
        <v>1258</v>
      </c>
      <c r="F74" s="36" t="s">
        <v>1451</v>
      </c>
      <c r="G74" s="112">
        <f>2817990</f>
        <v>2817990</v>
      </c>
      <c r="H74" s="37" t="e">
        <f t="shared" si="4"/>
        <v>#VALUE!</v>
      </c>
      <c r="I74" s="37" t="e">
        <f t="shared" si="8"/>
        <v>#VALUE!</v>
      </c>
      <c r="J74" s="37" t="e">
        <f t="shared" si="5"/>
        <v>#VALUE!</v>
      </c>
      <c r="K74" t="s">
        <v>1730</v>
      </c>
      <c r="M74" s="36" t="s">
        <v>1451</v>
      </c>
      <c r="N74" t="b">
        <f t="shared" si="6"/>
        <v>1</v>
      </c>
    </row>
    <row r="75" spans="1:14" hidden="1" x14ac:dyDescent="0.35">
      <c r="A75" s="2" t="s">
        <v>1085</v>
      </c>
      <c r="B75" s="2" t="s">
        <v>790</v>
      </c>
      <c r="C75" s="18" t="s">
        <v>1052</v>
      </c>
      <c r="D75" s="2" t="s">
        <v>507</v>
      </c>
      <c r="E75" s="18" t="s">
        <v>1259</v>
      </c>
      <c r="F75" s="36" t="s">
        <v>1452</v>
      </c>
      <c r="G75" s="108">
        <v>3215830.08</v>
      </c>
      <c r="H75" s="37" t="e">
        <f t="shared" si="4"/>
        <v>#VALUE!</v>
      </c>
      <c r="I75" s="37" t="e">
        <f t="shared" si="8"/>
        <v>#VALUE!</v>
      </c>
      <c r="J75" s="37" t="e">
        <f t="shared" si="5"/>
        <v>#VALUE!</v>
      </c>
      <c r="K75" t="s">
        <v>1730</v>
      </c>
      <c r="M75" s="36" t="s">
        <v>1452</v>
      </c>
      <c r="N75" t="b">
        <f t="shared" si="6"/>
        <v>1</v>
      </c>
    </row>
    <row r="76" spans="1:14" hidden="1" x14ac:dyDescent="0.35">
      <c r="A76" s="2" t="s">
        <v>1085</v>
      </c>
      <c r="B76" s="2" t="s">
        <v>790</v>
      </c>
      <c r="C76" s="18" t="s">
        <v>543</v>
      </c>
      <c r="D76" s="2" t="s">
        <v>507</v>
      </c>
      <c r="E76" s="18" t="s">
        <v>1260</v>
      </c>
      <c r="F76" s="36" t="s">
        <v>1452</v>
      </c>
      <c r="G76" s="108">
        <v>2882826.31</v>
      </c>
      <c r="H76" s="37" t="e">
        <f t="shared" si="4"/>
        <v>#VALUE!</v>
      </c>
      <c r="I76" s="37" t="e">
        <f t="shared" si="8"/>
        <v>#VALUE!</v>
      </c>
      <c r="J76" s="37" t="e">
        <f t="shared" si="5"/>
        <v>#VALUE!</v>
      </c>
      <c r="K76" t="s">
        <v>1730</v>
      </c>
      <c r="M76" s="36" t="s">
        <v>1452</v>
      </c>
      <c r="N76" t="b">
        <f t="shared" si="6"/>
        <v>1</v>
      </c>
    </row>
    <row r="77" spans="1:14" hidden="1" x14ac:dyDescent="0.35">
      <c r="A77" s="2" t="s">
        <v>1085</v>
      </c>
      <c r="B77" s="2" t="s">
        <v>790</v>
      </c>
      <c r="C77" s="18" t="s">
        <v>573</v>
      </c>
      <c r="D77" s="2" t="s">
        <v>507</v>
      </c>
      <c r="E77" s="18" t="s">
        <v>605</v>
      </c>
      <c r="F77" s="36" t="s">
        <v>1454</v>
      </c>
      <c r="G77" s="108">
        <v>3355800.02</v>
      </c>
      <c r="H77" s="37" t="e">
        <f t="shared" si="4"/>
        <v>#VALUE!</v>
      </c>
      <c r="I77" s="37" t="e">
        <f t="shared" si="8"/>
        <v>#VALUE!</v>
      </c>
      <c r="J77" s="37" t="e">
        <f t="shared" si="5"/>
        <v>#VALUE!</v>
      </c>
      <c r="K77" t="s">
        <v>1730</v>
      </c>
      <c r="M77" s="36" t="s">
        <v>1454</v>
      </c>
      <c r="N77" t="b">
        <f t="shared" si="6"/>
        <v>1</v>
      </c>
    </row>
    <row r="78" spans="1:14" hidden="1" x14ac:dyDescent="0.35">
      <c r="A78" s="2" t="s">
        <v>1085</v>
      </c>
      <c r="B78" s="2" t="s">
        <v>790</v>
      </c>
      <c r="C78" s="18" t="s">
        <v>1245</v>
      </c>
      <c r="D78" s="2" t="s">
        <v>507</v>
      </c>
      <c r="E78" s="18" t="s">
        <v>1261</v>
      </c>
      <c r="F78" s="36" t="s">
        <v>1455</v>
      </c>
      <c r="G78" s="108">
        <v>2584207.8199999998</v>
      </c>
      <c r="H78" s="37" t="e">
        <f t="shared" si="4"/>
        <v>#VALUE!</v>
      </c>
      <c r="I78" s="37" t="e">
        <f t="shared" si="8"/>
        <v>#VALUE!</v>
      </c>
      <c r="J78" s="37" t="e">
        <f t="shared" si="5"/>
        <v>#VALUE!</v>
      </c>
      <c r="K78" t="s">
        <v>1730</v>
      </c>
      <c r="M78" s="36" t="s">
        <v>1455</v>
      </c>
      <c r="N78" t="b">
        <f t="shared" si="6"/>
        <v>1</v>
      </c>
    </row>
    <row r="79" spans="1:14" hidden="1" x14ac:dyDescent="0.35">
      <c r="A79" s="2" t="s">
        <v>1085</v>
      </c>
      <c r="B79" s="2" t="s">
        <v>790</v>
      </c>
      <c r="C79" s="18" t="s">
        <v>1245</v>
      </c>
      <c r="D79" s="2" t="s">
        <v>507</v>
      </c>
      <c r="E79" s="18" t="s">
        <v>1262</v>
      </c>
      <c r="F79" s="36" t="s">
        <v>1455</v>
      </c>
      <c r="G79" s="108">
        <v>450025.12</v>
      </c>
      <c r="H79" s="37" t="e">
        <f t="shared" si="4"/>
        <v>#VALUE!</v>
      </c>
      <c r="I79" s="37" t="e">
        <f t="shared" si="8"/>
        <v>#VALUE!</v>
      </c>
      <c r="J79" s="37" t="e">
        <f t="shared" si="5"/>
        <v>#VALUE!</v>
      </c>
      <c r="K79" t="s">
        <v>1730</v>
      </c>
      <c r="M79" s="36" t="s">
        <v>1455</v>
      </c>
      <c r="N79" t="b">
        <f t="shared" si="6"/>
        <v>1</v>
      </c>
    </row>
    <row r="80" spans="1:14" hidden="1" x14ac:dyDescent="0.35">
      <c r="A80" s="2" t="s">
        <v>1085</v>
      </c>
      <c r="B80" s="2" t="s">
        <v>790</v>
      </c>
      <c r="C80" s="18" t="s">
        <v>1245</v>
      </c>
      <c r="D80" s="2" t="s">
        <v>507</v>
      </c>
      <c r="E80" s="18" t="s">
        <v>1263</v>
      </c>
      <c r="F80" s="36" t="s">
        <v>1455</v>
      </c>
      <c r="G80" s="108">
        <v>73531.5</v>
      </c>
      <c r="H80" s="37" t="e">
        <f t="shared" si="4"/>
        <v>#VALUE!</v>
      </c>
      <c r="I80" s="37" t="e">
        <f t="shared" si="8"/>
        <v>#VALUE!</v>
      </c>
      <c r="J80" s="37" t="e">
        <f t="shared" si="5"/>
        <v>#VALUE!</v>
      </c>
      <c r="K80" t="s">
        <v>1730</v>
      </c>
      <c r="M80" s="36" t="s">
        <v>1455</v>
      </c>
      <c r="N80" t="b">
        <f t="shared" si="6"/>
        <v>1</v>
      </c>
    </row>
    <row r="81" spans="1:14" hidden="1" x14ac:dyDescent="0.35">
      <c r="A81" s="2" t="s">
        <v>1085</v>
      </c>
      <c r="B81" s="2" t="s">
        <v>790</v>
      </c>
      <c r="C81" s="18" t="s">
        <v>1245</v>
      </c>
      <c r="D81" s="2" t="s">
        <v>507</v>
      </c>
      <c r="E81" s="18" t="s">
        <v>1264</v>
      </c>
      <c r="F81" s="36" t="s">
        <v>1455</v>
      </c>
      <c r="G81" s="108">
        <v>147599.28</v>
      </c>
      <c r="H81" s="37" t="e">
        <f t="shared" si="4"/>
        <v>#VALUE!</v>
      </c>
      <c r="I81" s="37" t="e">
        <f t="shared" si="8"/>
        <v>#VALUE!</v>
      </c>
      <c r="J81" s="37" t="e">
        <f t="shared" si="5"/>
        <v>#VALUE!</v>
      </c>
      <c r="K81" t="s">
        <v>1730</v>
      </c>
      <c r="M81" s="36" t="s">
        <v>1455</v>
      </c>
      <c r="N81" t="b">
        <f t="shared" si="6"/>
        <v>1</v>
      </c>
    </row>
    <row r="82" spans="1:14" hidden="1" x14ac:dyDescent="0.35">
      <c r="A82" s="2" t="s">
        <v>1085</v>
      </c>
      <c r="B82" s="2" t="s">
        <v>790</v>
      </c>
      <c r="C82" s="18" t="s">
        <v>1052</v>
      </c>
      <c r="D82" s="2" t="s">
        <v>507</v>
      </c>
      <c r="E82" s="18" t="s">
        <v>1265</v>
      </c>
      <c r="F82" s="36" t="s">
        <v>1455</v>
      </c>
      <c r="G82" s="108">
        <v>3270894.15</v>
      </c>
      <c r="H82" s="37" t="e">
        <f t="shared" si="4"/>
        <v>#VALUE!</v>
      </c>
      <c r="I82" s="37" t="e">
        <f t="shared" si="8"/>
        <v>#VALUE!</v>
      </c>
      <c r="J82" s="37" t="e">
        <f t="shared" si="5"/>
        <v>#VALUE!</v>
      </c>
      <c r="K82" t="s">
        <v>1730</v>
      </c>
      <c r="M82" s="36" t="s">
        <v>1455</v>
      </c>
      <c r="N82" t="b">
        <f t="shared" si="6"/>
        <v>1</v>
      </c>
    </row>
    <row r="83" spans="1:14" s="124" customFormat="1" hidden="1" x14ac:dyDescent="0.35">
      <c r="A83" s="119" t="s">
        <v>1085</v>
      </c>
      <c r="B83" s="119" t="s">
        <v>790</v>
      </c>
      <c r="C83" s="120" t="s">
        <v>617</v>
      </c>
      <c r="D83" s="119" t="s">
        <v>507</v>
      </c>
      <c r="E83" s="120" t="s">
        <v>1266</v>
      </c>
      <c r="F83" s="121" t="s">
        <v>1455</v>
      </c>
      <c r="G83" s="122">
        <f>3924082.52</f>
        <v>3924082.52</v>
      </c>
      <c r="H83" s="123" t="e">
        <f t="shared" si="4"/>
        <v>#VALUE!</v>
      </c>
      <c r="I83" s="123" t="e">
        <f t="shared" si="8"/>
        <v>#VALUE!</v>
      </c>
      <c r="J83" s="123" t="e">
        <f t="shared" si="5"/>
        <v>#VALUE!</v>
      </c>
      <c r="K83" s="124" t="s">
        <v>1730</v>
      </c>
      <c r="M83" s="121" t="s">
        <v>1455</v>
      </c>
      <c r="N83" s="124" t="b">
        <f t="shared" si="6"/>
        <v>1</v>
      </c>
    </row>
    <row r="84" spans="1:14" hidden="1" x14ac:dyDescent="0.35">
      <c r="A84" s="2" t="s">
        <v>1085</v>
      </c>
      <c r="B84" s="2" t="s">
        <v>790</v>
      </c>
      <c r="C84" s="18" t="s">
        <v>584</v>
      </c>
      <c r="D84" s="2" t="s">
        <v>507</v>
      </c>
      <c r="E84" s="18" t="s">
        <v>1267</v>
      </c>
      <c r="F84" s="36" t="s">
        <v>1455</v>
      </c>
      <c r="G84" s="108">
        <v>3487607.76</v>
      </c>
      <c r="H84" s="37" t="e">
        <f t="shared" si="4"/>
        <v>#VALUE!</v>
      </c>
      <c r="I84" s="37" t="e">
        <f t="shared" si="8"/>
        <v>#VALUE!</v>
      </c>
      <c r="J84" s="37" t="e">
        <f t="shared" si="5"/>
        <v>#VALUE!</v>
      </c>
      <c r="K84" t="s">
        <v>1730</v>
      </c>
      <c r="M84" s="36" t="s">
        <v>1455</v>
      </c>
      <c r="N84" t="b">
        <f t="shared" si="6"/>
        <v>1</v>
      </c>
    </row>
    <row r="85" spans="1:14" hidden="1" x14ac:dyDescent="0.35">
      <c r="A85" s="2" t="s">
        <v>1085</v>
      </c>
      <c r="B85" s="2" t="s">
        <v>790</v>
      </c>
      <c r="C85" s="18" t="s">
        <v>1246</v>
      </c>
      <c r="D85" s="2" t="s">
        <v>507</v>
      </c>
      <c r="E85" s="18" t="s">
        <v>1268</v>
      </c>
      <c r="F85" s="36" t="s">
        <v>1456</v>
      </c>
      <c r="G85" s="108">
        <v>2890594</v>
      </c>
      <c r="H85" s="37" t="e">
        <f t="shared" si="4"/>
        <v>#VALUE!</v>
      </c>
      <c r="I85" s="37" t="e">
        <f t="shared" si="8"/>
        <v>#VALUE!</v>
      </c>
      <c r="J85" s="37" t="e">
        <f t="shared" si="5"/>
        <v>#VALUE!</v>
      </c>
      <c r="K85" t="s">
        <v>1730</v>
      </c>
      <c r="M85" s="36" t="s">
        <v>1456</v>
      </c>
      <c r="N85" t="b">
        <f t="shared" si="6"/>
        <v>1</v>
      </c>
    </row>
    <row r="86" spans="1:14" hidden="1" x14ac:dyDescent="0.35">
      <c r="A86" s="2" t="s">
        <v>1085</v>
      </c>
      <c r="B86" s="2" t="s">
        <v>790</v>
      </c>
      <c r="C86" s="18" t="s">
        <v>538</v>
      </c>
      <c r="D86" s="2" t="s">
        <v>507</v>
      </c>
      <c r="E86" s="18" t="s">
        <v>1269</v>
      </c>
      <c r="F86" s="36" t="s">
        <v>1457</v>
      </c>
      <c r="G86" s="112">
        <v>3309851.04</v>
      </c>
      <c r="H86" s="37" t="e">
        <f t="shared" si="4"/>
        <v>#VALUE!</v>
      </c>
      <c r="I86" s="37" t="e">
        <f t="shared" si="8"/>
        <v>#VALUE!</v>
      </c>
      <c r="J86" s="37" t="e">
        <f t="shared" si="5"/>
        <v>#VALUE!</v>
      </c>
      <c r="K86" t="s">
        <v>1730</v>
      </c>
      <c r="M86" s="36" t="s">
        <v>1457</v>
      </c>
      <c r="N86" t="b">
        <f t="shared" si="6"/>
        <v>1</v>
      </c>
    </row>
    <row r="87" spans="1:14" x14ac:dyDescent="0.35">
      <c r="A87" s="2" t="s">
        <v>1085</v>
      </c>
      <c r="B87" s="2" t="s">
        <v>790</v>
      </c>
      <c r="C87" s="18" t="s">
        <v>1086</v>
      </c>
      <c r="D87" s="2" t="s">
        <v>507</v>
      </c>
      <c r="E87" s="18" t="s">
        <v>1270</v>
      </c>
      <c r="F87" s="36" t="s">
        <v>1458</v>
      </c>
      <c r="G87" s="108">
        <v>407979.15</v>
      </c>
      <c r="H87" s="37">
        <f t="shared" si="4"/>
        <v>180</v>
      </c>
      <c r="I87" s="37" t="str">
        <f t="shared" si="8"/>
        <v>121-180 DAYS</v>
      </c>
      <c r="J87" s="37" t="str">
        <f t="shared" si="5"/>
        <v>More than 180 Days</v>
      </c>
      <c r="K87" t="s">
        <v>1730</v>
      </c>
      <c r="M87" s="36" t="s">
        <v>1458</v>
      </c>
      <c r="N87" t="b">
        <f t="shared" si="6"/>
        <v>1</v>
      </c>
    </row>
    <row r="88" spans="1:14" x14ac:dyDescent="0.35">
      <c r="A88" s="2" t="s">
        <v>1085</v>
      </c>
      <c r="B88" s="2" t="s">
        <v>790</v>
      </c>
      <c r="C88" s="18" t="s">
        <v>1086</v>
      </c>
      <c r="D88" s="2" t="s">
        <v>507</v>
      </c>
      <c r="E88" s="18" t="s">
        <v>1271</v>
      </c>
      <c r="F88" s="36" t="s">
        <v>1458</v>
      </c>
      <c r="G88" s="108">
        <v>1075594.3999999999</v>
      </c>
      <c r="H88" s="37">
        <f t="shared" si="4"/>
        <v>180</v>
      </c>
      <c r="I88" s="37" t="str">
        <f t="shared" si="8"/>
        <v>121-180 DAYS</v>
      </c>
      <c r="J88" s="37" t="str">
        <f t="shared" si="5"/>
        <v>More than 180 Days</v>
      </c>
      <c r="K88" t="s">
        <v>1730</v>
      </c>
      <c r="M88" s="36" t="s">
        <v>1458</v>
      </c>
      <c r="N88" t="b">
        <f t="shared" si="6"/>
        <v>1</v>
      </c>
    </row>
    <row r="89" spans="1:14" x14ac:dyDescent="0.35">
      <c r="A89" s="2" t="s">
        <v>1085</v>
      </c>
      <c r="B89" s="2" t="s">
        <v>790</v>
      </c>
      <c r="C89" s="18" t="s">
        <v>1086</v>
      </c>
      <c r="D89" s="2" t="s">
        <v>507</v>
      </c>
      <c r="E89" s="18" t="s">
        <v>1272</v>
      </c>
      <c r="F89" s="36" t="s">
        <v>1458</v>
      </c>
      <c r="G89" s="108">
        <v>336140.46</v>
      </c>
      <c r="H89" s="37">
        <f t="shared" si="4"/>
        <v>180</v>
      </c>
      <c r="I89" s="37" t="str">
        <f t="shared" si="8"/>
        <v>121-180 DAYS</v>
      </c>
      <c r="J89" s="37" t="str">
        <f t="shared" si="5"/>
        <v>More than 180 Days</v>
      </c>
      <c r="K89" t="s">
        <v>1730</v>
      </c>
      <c r="M89" s="36" t="s">
        <v>1458</v>
      </c>
      <c r="N89" t="b">
        <f t="shared" si="6"/>
        <v>1</v>
      </c>
    </row>
    <row r="90" spans="1:14" hidden="1" x14ac:dyDescent="0.35">
      <c r="A90" s="2" t="s">
        <v>1085</v>
      </c>
      <c r="B90" s="2" t="s">
        <v>790</v>
      </c>
      <c r="C90" s="18" t="s">
        <v>650</v>
      </c>
      <c r="D90" s="2" t="s">
        <v>507</v>
      </c>
      <c r="E90" s="18" t="s">
        <v>1273</v>
      </c>
      <c r="F90" s="36" t="s">
        <v>1458</v>
      </c>
      <c r="G90" s="108">
        <v>3195115.4</v>
      </c>
      <c r="H90" s="37">
        <f t="shared" si="4"/>
        <v>180</v>
      </c>
      <c r="I90" s="37" t="str">
        <f t="shared" si="8"/>
        <v>121-180 DAYS</v>
      </c>
      <c r="J90" s="37" t="str">
        <f t="shared" si="5"/>
        <v>More than 180 Days</v>
      </c>
      <c r="K90" t="s">
        <v>1730</v>
      </c>
      <c r="M90" s="36" t="s">
        <v>1458</v>
      </c>
      <c r="N90" t="b">
        <f t="shared" si="6"/>
        <v>1</v>
      </c>
    </row>
    <row r="91" spans="1:14" hidden="1" x14ac:dyDescent="0.35">
      <c r="A91" s="2" t="s">
        <v>1085</v>
      </c>
      <c r="B91" s="2" t="s">
        <v>790</v>
      </c>
      <c r="C91" s="18" t="s">
        <v>650</v>
      </c>
      <c r="D91" s="2" t="s">
        <v>507</v>
      </c>
      <c r="E91" s="18" t="s">
        <v>1274</v>
      </c>
      <c r="F91" s="36" t="s">
        <v>1459</v>
      </c>
      <c r="G91" s="108">
        <v>2592197.91</v>
      </c>
      <c r="H91" s="37">
        <f t="shared" si="4"/>
        <v>59</v>
      </c>
      <c r="I91" s="37" t="str">
        <f t="shared" si="8"/>
        <v>0-120 DAYS</v>
      </c>
      <c r="J91" s="37" t="str">
        <f t="shared" si="5"/>
        <v>0-180 DAYS</v>
      </c>
      <c r="K91" t="s">
        <v>1730</v>
      </c>
      <c r="M91" s="36" t="s">
        <v>1459</v>
      </c>
      <c r="N91" t="b">
        <f t="shared" si="6"/>
        <v>1</v>
      </c>
    </row>
    <row r="92" spans="1:14" hidden="1" x14ac:dyDescent="0.35">
      <c r="A92" s="2" t="s">
        <v>1085</v>
      </c>
      <c r="B92" s="2" t="s">
        <v>790</v>
      </c>
      <c r="C92" s="18" t="s">
        <v>732</v>
      </c>
      <c r="D92" s="2" t="s">
        <v>507</v>
      </c>
      <c r="E92" s="18" t="s">
        <v>1275</v>
      </c>
      <c r="F92" s="36" t="s">
        <v>1444</v>
      </c>
      <c r="G92" s="108">
        <v>612913.04</v>
      </c>
      <c r="H92" s="37">
        <f t="shared" si="4"/>
        <v>28</v>
      </c>
      <c r="I92" s="37" t="str">
        <f t="shared" si="8"/>
        <v>0-120 DAYS</v>
      </c>
      <c r="J92" s="37" t="str">
        <f t="shared" si="5"/>
        <v>0-180 DAYS</v>
      </c>
      <c r="K92" t="s">
        <v>1730</v>
      </c>
      <c r="M92" s="36" t="s">
        <v>1444</v>
      </c>
      <c r="N92" t="b">
        <f t="shared" si="6"/>
        <v>1</v>
      </c>
    </row>
    <row r="93" spans="1:14" hidden="1" x14ac:dyDescent="0.35">
      <c r="A93" s="2" t="s">
        <v>1085</v>
      </c>
      <c r="B93" s="2" t="s">
        <v>790</v>
      </c>
      <c r="C93" s="18" t="s">
        <v>543</v>
      </c>
      <c r="D93" s="2" t="s">
        <v>507</v>
      </c>
      <c r="E93" s="18" t="s">
        <v>1276</v>
      </c>
      <c r="F93" s="36" t="s">
        <v>1444</v>
      </c>
      <c r="G93" s="108">
        <v>2921534.75</v>
      </c>
      <c r="H93" s="37">
        <f t="shared" si="4"/>
        <v>28</v>
      </c>
      <c r="I93" s="37" t="str">
        <f t="shared" si="8"/>
        <v>0-120 DAYS</v>
      </c>
      <c r="J93" s="37" t="str">
        <f t="shared" si="5"/>
        <v>0-180 DAYS</v>
      </c>
      <c r="K93" t="s">
        <v>1730</v>
      </c>
      <c r="M93" s="36" t="s">
        <v>1444</v>
      </c>
      <c r="N93" t="b">
        <f t="shared" si="6"/>
        <v>1</v>
      </c>
    </row>
    <row r="94" spans="1:14" hidden="1" x14ac:dyDescent="0.35">
      <c r="A94" s="2" t="s">
        <v>1085</v>
      </c>
      <c r="B94" s="2" t="s">
        <v>790</v>
      </c>
      <c r="C94" s="18" t="s">
        <v>1054</v>
      </c>
      <c r="D94" s="2" t="s">
        <v>507</v>
      </c>
      <c r="E94" s="18" t="s">
        <v>1277</v>
      </c>
      <c r="F94" s="36" t="s">
        <v>1445</v>
      </c>
      <c r="G94" s="108">
        <v>2871705.6000000001</v>
      </c>
      <c r="H94" s="37">
        <f t="shared" si="4"/>
        <v>-33</v>
      </c>
      <c r="I94" s="37" t="str">
        <f t="shared" si="8"/>
        <v>0-120 DAYS</v>
      </c>
      <c r="J94" s="37" t="str">
        <f t="shared" si="5"/>
        <v>0-180 DAYS</v>
      </c>
      <c r="K94" t="s">
        <v>1730</v>
      </c>
      <c r="M94" s="36" t="s">
        <v>1445</v>
      </c>
      <c r="N94" t="b">
        <f t="shared" si="6"/>
        <v>1</v>
      </c>
    </row>
    <row r="95" spans="1:14" hidden="1" x14ac:dyDescent="0.35">
      <c r="A95" s="2" t="s">
        <v>1085</v>
      </c>
      <c r="B95" s="2" t="s">
        <v>790</v>
      </c>
      <c r="C95" s="18" t="s">
        <v>570</v>
      </c>
      <c r="D95" s="2" t="s">
        <v>507</v>
      </c>
      <c r="E95" s="18" t="s">
        <v>1278</v>
      </c>
      <c r="F95" s="36" t="s">
        <v>1460</v>
      </c>
      <c r="G95" s="108">
        <v>3092712</v>
      </c>
      <c r="H95" s="37">
        <f t="shared" si="4"/>
        <v>-64</v>
      </c>
      <c r="I95" s="37" t="str">
        <f t="shared" si="8"/>
        <v>0-120 DAYS</v>
      </c>
      <c r="J95" s="37" t="str">
        <f t="shared" si="5"/>
        <v>0-180 DAYS</v>
      </c>
      <c r="K95" t="s">
        <v>1730</v>
      </c>
      <c r="M95" s="36" t="s">
        <v>1460</v>
      </c>
      <c r="N95" t="b">
        <f t="shared" si="6"/>
        <v>1</v>
      </c>
    </row>
    <row r="96" spans="1:14" hidden="1" x14ac:dyDescent="0.35">
      <c r="A96" s="2" t="s">
        <v>1085</v>
      </c>
      <c r="B96" s="2" t="s">
        <v>790</v>
      </c>
      <c r="C96" s="18" t="s">
        <v>1054</v>
      </c>
      <c r="D96" s="2" t="s">
        <v>507</v>
      </c>
      <c r="E96" s="18" t="s">
        <v>1279</v>
      </c>
      <c r="F96" s="36" t="s">
        <v>1461</v>
      </c>
      <c r="G96" s="108">
        <v>2990458</v>
      </c>
      <c r="H96" s="37" t="e">
        <f t="shared" si="4"/>
        <v>#VALUE!</v>
      </c>
      <c r="I96" s="37" t="e">
        <f t="shared" si="8"/>
        <v>#VALUE!</v>
      </c>
      <c r="J96" s="37" t="e">
        <f t="shared" si="5"/>
        <v>#VALUE!</v>
      </c>
      <c r="K96" t="s">
        <v>1730</v>
      </c>
      <c r="M96" s="36" t="s">
        <v>1461</v>
      </c>
      <c r="N96" t="b">
        <f t="shared" si="6"/>
        <v>1</v>
      </c>
    </row>
    <row r="97" spans="1:14" hidden="1" x14ac:dyDescent="0.35">
      <c r="A97" s="2" t="s">
        <v>1085</v>
      </c>
      <c r="B97" s="2" t="s">
        <v>790</v>
      </c>
      <c r="C97" s="18" t="s">
        <v>650</v>
      </c>
      <c r="D97" s="2" t="s">
        <v>507</v>
      </c>
      <c r="E97" s="18" t="s">
        <v>1280</v>
      </c>
      <c r="F97" s="36" t="s">
        <v>1461</v>
      </c>
      <c r="G97" s="108">
        <v>3739703.13</v>
      </c>
      <c r="H97" s="37" t="e">
        <f t="shared" si="4"/>
        <v>#VALUE!</v>
      </c>
      <c r="I97" s="37" t="e">
        <f t="shared" si="8"/>
        <v>#VALUE!</v>
      </c>
      <c r="J97" s="37" t="e">
        <f t="shared" si="5"/>
        <v>#VALUE!</v>
      </c>
      <c r="K97" t="s">
        <v>1730</v>
      </c>
      <c r="M97" s="36" t="s">
        <v>1461</v>
      </c>
      <c r="N97" t="b">
        <f t="shared" si="6"/>
        <v>1</v>
      </c>
    </row>
    <row r="98" spans="1:14" hidden="1" x14ac:dyDescent="0.35">
      <c r="A98" s="2" t="s">
        <v>1085</v>
      </c>
      <c r="B98" s="2" t="s">
        <v>790</v>
      </c>
      <c r="C98" s="18" t="s">
        <v>650</v>
      </c>
      <c r="D98" s="2" t="s">
        <v>507</v>
      </c>
      <c r="E98" s="18" t="s">
        <v>1281</v>
      </c>
      <c r="F98" s="36" t="s">
        <v>1461</v>
      </c>
      <c r="G98" s="108">
        <v>3331320.03</v>
      </c>
      <c r="H98" s="37" t="e">
        <f t="shared" si="4"/>
        <v>#VALUE!</v>
      </c>
      <c r="I98" s="37" t="e">
        <f t="shared" si="8"/>
        <v>#VALUE!</v>
      </c>
      <c r="J98" s="37" t="e">
        <f t="shared" si="5"/>
        <v>#VALUE!</v>
      </c>
      <c r="K98" t="s">
        <v>1730</v>
      </c>
      <c r="M98" s="36" t="s">
        <v>1461</v>
      </c>
      <c r="N98" t="b">
        <f t="shared" si="6"/>
        <v>1</v>
      </c>
    </row>
    <row r="99" spans="1:14" x14ac:dyDescent="0.35">
      <c r="A99" s="2" t="s">
        <v>1085</v>
      </c>
      <c r="B99" s="2" t="s">
        <v>790</v>
      </c>
      <c r="C99" s="18" t="s">
        <v>1086</v>
      </c>
      <c r="D99" s="2" t="s">
        <v>507</v>
      </c>
      <c r="E99" s="18" t="s">
        <v>1282</v>
      </c>
      <c r="F99" s="36" t="s">
        <v>1462</v>
      </c>
      <c r="G99" s="108">
        <v>433747.20000000001</v>
      </c>
      <c r="H99" s="37" t="e">
        <f t="shared" ref="H99:H146" si="9">$H$2-F99+1</f>
        <v>#VALUE!</v>
      </c>
      <c r="I99" s="37" t="e">
        <f t="shared" si="8"/>
        <v>#VALUE!</v>
      </c>
      <c r="J99" s="37" t="e">
        <f t="shared" ref="J99:J146" si="10">IF(H99&lt;180,"0-180 DAYS","More than 180 Days")</f>
        <v>#VALUE!</v>
      </c>
      <c r="K99" t="s">
        <v>1730</v>
      </c>
      <c r="M99" s="36" t="s">
        <v>1462</v>
      </c>
      <c r="N99" t="b">
        <f t="shared" ref="N99:N146" si="11">M99=F99</f>
        <v>1</v>
      </c>
    </row>
    <row r="100" spans="1:14" x14ac:dyDescent="0.35">
      <c r="A100" s="2" t="s">
        <v>1085</v>
      </c>
      <c r="B100" s="2" t="s">
        <v>790</v>
      </c>
      <c r="C100" s="18" t="s">
        <v>1086</v>
      </c>
      <c r="D100" s="2" t="s">
        <v>507</v>
      </c>
      <c r="E100" s="18" t="s">
        <v>1283</v>
      </c>
      <c r="F100" s="36" t="s">
        <v>1462</v>
      </c>
      <c r="G100" s="108">
        <v>500036</v>
      </c>
      <c r="H100" s="37" t="e">
        <f t="shared" si="9"/>
        <v>#VALUE!</v>
      </c>
      <c r="I100" s="37" t="e">
        <f t="shared" si="8"/>
        <v>#VALUE!</v>
      </c>
      <c r="J100" s="37" t="e">
        <f t="shared" si="10"/>
        <v>#VALUE!</v>
      </c>
      <c r="K100" t="s">
        <v>1730</v>
      </c>
      <c r="M100" s="36" t="s">
        <v>1462</v>
      </c>
      <c r="N100" t="b">
        <f t="shared" si="11"/>
        <v>1</v>
      </c>
    </row>
    <row r="101" spans="1:14" x14ac:dyDescent="0.35">
      <c r="A101" s="2" t="s">
        <v>1085</v>
      </c>
      <c r="B101" s="2" t="s">
        <v>790</v>
      </c>
      <c r="C101" s="18" t="s">
        <v>1086</v>
      </c>
      <c r="D101" s="2" t="s">
        <v>507</v>
      </c>
      <c r="E101" s="18" t="s">
        <v>1284</v>
      </c>
      <c r="F101" s="36" t="s">
        <v>1462</v>
      </c>
      <c r="G101" s="108">
        <v>1244056.44</v>
      </c>
      <c r="H101" s="37" t="e">
        <f t="shared" si="9"/>
        <v>#VALUE!</v>
      </c>
      <c r="I101" s="37" t="e">
        <f t="shared" si="8"/>
        <v>#VALUE!</v>
      </c>
      <c r="J101" s="37" t="e">
        <f t="shared" si="10"/>
        <v>#VALUE!</v>
      </c>
      <c r="K101" t="s">
        <v>1730</v>
      </c>
      <c r="M101" s="36" t="s">
        <v>1462</v>
      </c>
      <c r="N101" t="b">
        <f t="shared" si="11"/>
        <v>1</v>
      </c>
    </row>
    <row r="102" spans="1:14" hidden="1" x14ac:dyDescent="0.35">
      <c r="A102" s="2" t="s">
        <v>1085</v>
      </c>
      <c r="B102" s="2" t="s">
        <v>790</v>
      </c>
      <c r="C102" s="18" t="s">
        <v>1247</v>
      </c>
      <c r="D102" s="2" t="s">
        <v>507</v>
      </c>
      <c r="E102" s="18" t="s">
        <v>1285</v>
      </c>
      <c r="F102" s="36" t="s">
        <v>1450</v>
      </c>
      <c r="G102" s="108">
        <v>1261877.3</v>
      </c>
      <c r="H102" s="37" t="e">
        <f t="shared" si="9"/>
        <v>#VALUE!</v>
      </c>
      <c r="I102" s="37" t="e">
        <f t="shared" si="8"/>
        <v>#VALUE!</v>
      </c>
      <c r="J102" s="37" t="e">
        <f t="shared" si="10"/>
        <v>#VALUE!</v>
      </c>
      <c r="K102" t="s">
        <v>1730</v>
      </c>
      <c r="M102" s="36" t="s">
        <v>1450</v>
      </c>
      <c r="N102" t="b">
        <f t="shared" si="11"/>
        <v>1</v>
      </c>
    </row>
    <row r="103" spans="1:14" hidden="1" x14ac:dyDescent="0.35">
      <c r="A103" s="2" t="s">
        <v>1085</v>
      </c>
      <c r="B103" s="2" t="s">
        <v>790</v>
      </c>
      <c r="C103" s="18" t="s">
        <v>538</v>
      </c>
      <c r="D103" s="2" t="s">
        <v>507</v>
      </c>
      <c r="E103" s="18" t="s">
        <v>1286</v>
      </c>
      <c r="F103" s="36" t="s">
        <v>1450</v>
      </c>
      <c r="G103" s="112">
        <v>3088500</v>
      </c>
      <c r="H103" s="37" t="e">
        <f t="shared" si="9"/>
        <v>#VALUE!</v>
      </c>
      <c r="I103" s="37" t="e">
        <f t="shared" si="8"/>
        <v>#VALUE!</v>
      </c>
      <c r="J103" s="37" t="e">
        <f t="shared" si="10"/>
        <v>#VALUE!</v>
      </c>
      <c r="K103" t="s">
        <v>1730</v>
      </c>
      <c r="M103" s="36" t="s">
        <v>1450</v>
      </c>
      <c r="N103" t="b">
        <f t="shared" si="11"/>
        <v>1</v>
      </c>
    </row>
    <row r="104" spans="1:14" hidden="1" x14ac:dyDescent="0.35">
      <c r="A104" s="2" t="s">
        <v>1085</v>
      </c>
      <c r="B104" s="2" t="s">
        <v>790</v>
      </c>
      <c r="C104" s="18" t="s">
        <v>1091</v>
      </c>
      <c r="D104" s="2" t="s">
        <v>507</v>
      </c>
      <c r="E104" s="18" t="s">
        <v>1287</v>
      </c>
      <c r="F104" s="36" t="s">
        <v>1463</v>
      </c>
      <c r="G104" s="108">
        <v>3092712</v>
      </c>
      <c r="H104" s="37" t="e">
        <f t="shared" si="9"/>
        <v>#VALUE!</v>
      </c>
      <c r="I104" s="37" t="e">
        <f t="shared" si="8"/>
        <v>#VALUE!</v>
      </c>
      <c r="J104" s="37" t="e">
        <f t="shared" si="10"/>
        <v>#VALUE!</v>
      </c>
      <c r="K104" t="s">
        <v>1730</v>
      </c>
      <c r="M104" s="36" t="s">
        <v>1463</v>
      </c>
      <c r="N104" t="b">
        <f t="shared" si="11"/>
        <v>1</v>
      </c>
    </row>
    <row r="105" spans="1:14" hidden="1" x14ac:dyDescent="0.35">
      <c r="A105" s="2" t="s">
        <v>1085</v>
      </c>
      <c r="B105" s="2" t="s">
        <v>790</v>
      </c>
      <c r="C105" s="18" t="s">
        <v>564</v>
      </c>
      <c r="D105" s="2" t="s">
        <v>507</v>
      </c>
      <c r="E105" s="18" t="s">
        <v>1288</v>
      </c>
      <c r="F105" s="36" t="s">
        <v>1463</v>
      </c>
      <c r="G105" s="108">
        <f>2908305.55-1100000</f>
        <v>1808305.5499999998</v>
      </c>
      <c r="H105" s="37" t="e">
        <f t="shared" si="9"/>
        <v>#VALUE!</v>
      </c>
      <c r="I105" s="37" t="e">
        <f t="shared" si="8"/>
        <v>#VALUE!</v>
      </c>
      <c r="J105" s="37" t="e">
        <f t="shared" si="10"/>
        <v>#VALUE!</v>
      </c>
      <c r="K105" t="s">
        <v>1730</v>
      </c>
      <c r="M105" s="36" t="s">
        <v>1463</v>
      </c>
      <c r="N105" t="b">
        <f t="shared" si="11"/>
        <v>1</v>
      </c>
    </row>
    <row r="106" spans="1:14" hidden="1" x14ac:dyDescent="0.35">
      <c r="A106" s="2" t="s">
        <v>1085</v>
      </c>
      <c r="B106" s="2" t="s">
        <v>790</v>
      </c>
      <c r="C106" s="18" t="s">
        <v>650</v>
      </c>
      <c r="D106" s="2" t="s">
        <v>507</v>
      </c>
      <c r="E106" s="18" t="s">
        <v>1289</v>
      </c>
      <c r="F106" s="36" t="s">
        <v>1464</v>
      </c>
      <c r="G106" s="108">
        <v>2764278.5</v>
      </c>
      <c r="H106" s="37" t="e">
        <f t="shared" si="9"/>
        <v>#VALUE!</v>
      </c>
      <c r="I106" s="37" t="e">
        <f t="shared" si="8"/>
        <v>#VALUE!</v>
      </c>
      <c r="J106" s="37" t="e">
        <f t="shared" si="10"/>
        <v>#VALUE!</v>
      </c>
      <c r="K106" t="s">
        <v>1730</v>
      </c>
      <c r="M106" s="36" t="s">
        <v>1464</v>
      </c>
      <c r="N106" t="b">
        <f t="shared" si="11"/>
        <v>1</v>
      </c>
    </row>
    <row r="107" spans="1:14" hidden="1" x14ac:dyDescent="0.35">
      <c r="A107" s="2" t="s">
        <v>1085</v>
      </c>
      <c r="B107" s="2" t="s">
        <v>790</v>
      </c>
      <c r="C107" s="18" t="s">
        <v>1091</v>
      </c>
      <c r="D107" s="2" t="s">
        <v>507</v>
      </c>
      <c r="E107" s="18" t="s">
        <v>1290</v>
      </c>
      <c r="F107" s="36" t="s">
        <v>1451</v>
      </c>
      <c r="G107" s="108">
        <v>3171157.3</v>
      </c>
      <c r="H107" s="37" t="e">
        <f t="shared" si="9"/>
        <v>#VALUE!</v>
      </c>
      <c r="I107" s="37" t="e">
        <f t="shared" si="8"/>
        <v>#VALUE!</v>
      </c>
      <c r="J107" s="37" t="e">
        <f t="shared" si="10"/>
        <v>#VALUE!</v>
      </c>
      <c r="K107" t="s">
        <v>1730</v>
      </c>
      <c r="M107" s="36" t="s">
        <v>1451</v>
      </c>
      <c r="N107" t="b">
        <f t="shared" si="11"/>
        <v>1</v>
      </c>
    </row>
    <row r="108" spans="1:14" hidden="1" x14ac:dyDescent="0.35">
      <c r="A108" s="2" t="s">
        <v>1085</v>
      </c>
      <c r="B108" s="2" t="s">
        <v>790</v>
      </c>
      <c r="C108" s="18" t="s">
        <v>1054</v>
      </c>
      <c r="D108" s="2" t="s">
        <v>507</v>
      </c>
      <c r="E108" s="18" t="s">
        <v>1291</v>
      </c>
      <c r="F108" s="36" t="s">
        <v>1465</v>
      </c>
      <c r="G108" s="108">
        <v>2456064</v>
      </c>
      <c r="H108" s="37" t="e">
        <f t="shared" si="9"/>
        <v>#VALUE!</v>
      </c>
      <c r="I108" s="37" t="e">
        <f t="shared" si="8"/>
        <v>#VALUE!</v>
      </c>
      <c r="J108" s="37" t="e">
        <f t="shared" si="10"/>
        <v>#VALUE!</v>
      </c>
      <c r="K108" t="s">
        <v>1730</v>
      </c>
      <c r="M108" s="36" t="s">
        <v>1465</v>
      </c>
      <c r="N108" t="b">
        <f t="shared" si="11"/>
        <v>1</v>
      </c>
    </row>
    <row r="109" spans="1:14" hidden="1" x14ac:dyDescent="0.35">
      <c r="A109" s="2" t="s">
        <v>1085</v>
      </c>
      <c r="B109" s="2" t="s">
        <v>790</v>
      </c>
      <c r="C109" s="18" t="s">
        <v>538</v>
      </c>
      <c r="D109" s="2" t="s">
        <v>507</v>
      </c>
      <c r="E109" s="18" t="s">
        <v>1292</v>
      </c>
      <c r="F109" s="36" t="s">
        <v>1466</v>
      </c>
      <c r="G109" s="112">
        <v>3116877.81</v>
      </c>
      <c r="H109" s="37" t="e">
        <f t="shared" si="9"/>
        <v>#VALUE!</v>
      </c>
      <c r="I109" s="37" t="e">
        <f t="shared" si="8"/>
        <v>#VALUE!</v>
      </c>
      <c r="J109" s="37" t="e">
        <f t="shared" si="10"/>
        <v>#VALUE!</v>
      </c>
      <c r="K109" t="s">
        <v>1730</v>
      </c>
      <c r="M109" s="36" t="s">
        <v>1466</v>
      </c>
      <c r="N109" t="b">
        <f t="shared" si="11"/>
        <v>1</v>
      </c>
    </row>
    <row r="110" spans="1:14" x14ac:dyDescent="0.35">
      <c r="A110" s="2" t="s">
        <v>1085</v>
      </c>
      <c r="B110" s="2" t="s">
        <v>790</v>
      </c>
      <c r="C110" s="18" t="s">
        <v>1086</v>
      </c>
      <c r="D110" s="2" t="s">
        <v>507</v>
      </c>
      <c r="E110" s="18" t="s">
        <v>1293</v>
      </c>
      <c r="F110" s="36" t="s">
        <v>1455</v>
      </c>
      <c r="G110" s="108">
        <v>1486542.91</v>
      </c>
      <c r="H110" s="37" t="e">
        <f t="shared" si="9"/>
        <v>#VALUE!</v>
      </c>
      <c r="I110" s="37" t="e">
        <f t="shared" si="8"/>
        <v>#VALUE!</v>
      </c>
      <c r="J110" s="37" t="e">
        <f t="shared" si="10"/>
        <v>#VALUE!</v>
      </c>
      <c r="K110" t="s">
        <v>1730</v>
      </c>
      <c r="M110" s="36" t="s">
        <v>1455</v>
      </c>
      <c r="N110" t="b">
        <f t="shared" si="11"/>
        <v>1</v>
      </c>
    </row>
    <row r="111" spans="1:14" x14ac:dyDescent="0.35">
      <c r="A111" s="2" t="s">
        <v>1085</v>
      </c>
      <c r="B111" s="2" t="s">
        <v>790</v>
      </c>
      <c r="C111" s="18" t="s">
        <v>1086</v>
      </c>
      <c r="D111" s="2" t="s">
        <v>507</v>
      </c>
      <c r="E111" s="18" t="s">
        <v>1294</v>
      </c>
      <c r="F111" s="36" t="s">
        <v>1455</v>
      </c>
      <c r="G111" s="108">
        <v>359073.9</v>
      </c>
      <c r="H111" s="37" t="e">
        <f t="shared" si="9"/>
        <v>#VALUE!</v>
      </c>
      <c r="I111" s="37" t="e">
        <f t="shared" si="8"/>
        <v>#VALUE!</v>
      </c>
      <c r="J111" s="37" t="e">
        <f t="shared" si="10"/>
        <v>#VALUE!</v>
      </c>
      <c r="K111" t="s">
        <v>1730</v>
      </c>
      <c r="M111" s="36" t="s">
        <v>1455</v>
      </c>
      <c r="N111" t="b">
        <f t="shared" si="11"/>
        <v>1</v>
      </c>
    </row>
    <row r="112" spans="1:14" x14ac:dyDescent="0.35">
      <c r="A112" s="2" t="s">
        <v>1085</v>
      </c>
      <c r="B112" s="2" t="s">
        <v>790</v>
      </c>
      <c r="C112" s="18" t="s">
        <v>1086</v>
      </c>
      <c r="D112" s="2" t="s">
        <v>507</v>
      </c>
      <c r="E112" s="18" t="s">
        <v>1295</v>
      </c>
      <c r="F112" s="36" t="s">
        <v>1455</v>
      </c>
      <c r="G112" s="108">
        <v>332107.40999999997</v>
      </c>
      <c r="H112" s="37" t="e">
        <f t="shared" si="9"/>
        <v>#VALUE!</v>
      </c>
      <c r="I112" s="37" t="e">
        <f t="shared" si="8"/>
        <v>#VALUE!</v>
      </c>
      <c r="J112" s="37" t="e">
        <f t="shared" si="10"/>
        <v>#VALUE!</v>
      </c>
      <c r="K112" t="s">
        <v>1730</v>
      </c>
      <c r="M112" s="36" t="s">
        <v>1455</v>
      </c>
      <c r="N112" t="b">
        <f t="shared" si="11"/>
        <v>1</v>
      </c>
    </row>
    <row r="113" spans="1:14" hidden="1" x14ac:dyDescent="0.35">
      <c r="A113" s="2" t="s">
        <v>1085</v>
      </c>
      <c r="B113" s="2" t="s">
        <v>790</v>
      </c>
      <c r="C113" s="18" t="s">
        <v>1248</v>
      </c>
      <c r="D113" s="2" t="s">
        <v>507</v>
      </c>
      <c r="E113" s="18" t="s">
        <v>1296</v>
      </c>
      <c r="F113" s="36" t="s">
        <v>1456</v>
      </c>
      <c r="G113" s="108">
        <v>1551531</v>
      </c>
      <c r="H113" s="37" t="e">
        <f t="shared" si="9"/>
        <v>#VALUE!</v>
      </c>
      <c r="I113" s="37" t="e">
        <f t="shared" si="8"/>
        <v>#VALUE!</v>
      </c>
      <c r="J113" s="37" t="e">
        <f t="shared" si="10"/>
        <v>#VALUE!</v>
      </c>
      <c r="K113" t="s">
        <v>1730</v>
      </c>
      <c r="M113" s="36" t="s">
        <v>1456</v>
      </c>
      <c r="N113" t="b">
        <f t="shared" si="11"/>
        <v>1</v>
      </c>
    </row>
    <row r="114" spans="1:14" hidden="1" x14ac:dyDescent="0.35">
      <c r="A114" s="2" t="s">
        <v>1085</v>
      </c>
      <c r="B114" s="2" t="s">
        <v>790</v>
      </c>
      <c r="C114" s="18" t="s">
        <v>1248</v>
      </c>
      <c r="D114" s="2" t="s">
        <v>507</v>
      </c>
      <c r="E114" s="18" t="s">
        <v>1297</v>
      </c>
      <c r="F114" s="36" t="s">
        <v>1456</v>
      </c>
      <c r="G114" s="108">
        <v>3432786</v>
      </c>
      <c r="H114" s="37" t="e">
        <f t="shared" si="9"/>
        <v>#VALUE!</v>
      </c>
      <c r="I114" s="37" t="e">
        <f t="shared" si="8"/>
        <v>#VALUE!</v>
      </c>
      <c r="J114" s="37" t="e">
        <f t="shared" si="10"/>
        <v>#VALUE!</v>
      </c>
      <c r="K114" t="s">
        <v>1730</v>
      </c>
      <c r="M114" s="36" t="s">
        <v>1456</v>
      </c>
      <c r="N114" t="b">
        <f t="shared" si="11"/>
        <v>1</v>
      </c>
    </row>
    <row r="115" spans="1:14" x14ac:dyDescent="0.35">
      <c r="A115" s="2" t="s">
        <v>1085</v>
      </c>
      <c r="B115" s="2" t="s">
        <v>790</v>
      </c>
      <c r="C115" s="18" t="s">
        <v>1086</v>
      </c>
      <c r="D115" s="2" t="s">
        <v>507</v>
      </c>
      <c r="E115" s="18" t="s">
        <v>1298</v>
      </c>
      <c r="F115" s="36" t="s">
        <v>1456</v>
      </c>
      <c r="G115" s="108">
        <v>631926.75</v>
      </c>
      <c r="H115" s="37" t="e">
        <f t="shared" si="9"/>
        <v>#VALUE!</v>
      </c>
      <c r="I115" s="37" t="e">
        <f t="shared" si="8"/>
        <v>#VALUE!</v>
      </c>
      <c r="J115" s="37" t="e">
        <f t="shared" si="10"/>
        <v>#VALUE!</v>
      </c>
      <c r="K115" t="s">
        <v>1730</v>
      </c>
      <c r="M115" s="36" t="s">
        <v>1456</v>
      </c>
      <c r="N115" t="b">
        <f t="shared" si="11"/>
        <v>1</v>
      </c>
    </row>
    <row r="116" spans="1:14" x14ac:dyDescent="0.35">
      <c r="A116" s="2" t="s">
        <v>1085</v>
      </c>
      <c r="B116" s="2" t="s">
        <v>790</v>
      </c>
      <c r="C116" s="18" t="s">
        <v>1086</v>
      </c>
      <c r="D116" s="2" t="s">
        <v>507</v>
      </c>
      <c r="E116" s="18" t="s">
        <v>1299</v>
      </c>
      <c r="F116" s="36" t="s">
        <v>1456</v>
      </c>
      <c r="G116" s="108">
        <v>32065.99</v>
      </c>
      <c r="H116" s="37" t="e">
        <f t="shared" si="9"/>
        <v>#VALUE!</v>
      </c>
      <c r="I116" s="37" t="e">
        <f t="shared" si="8"/>
        <v>#VALUE!</v>
      </c>
      <c r="J116" s="37" t="e">
        <f t="shared" si="10"/>
        <v>#VALUE!</v>
      </c>
      <c r="K116" t="s">
        <v>1730</v>
      </c>
      <c r="M116" s="36" t="s">
        <v>1456</v>
      </c>
      <c r="N116" t="b">
        <f t="shared" si="11"/>
        <v>1</v>
      </c>
    </row>
    <row r="117" spans="1:14" x14ac:dyDescent="0.35">
      <c r="A117" s="2" t="s">
        <v>1085</v>
      </c>
      <c r="B117" s="2" t="s">
        <v>790</v>
      </c>
      <c r="C117" s="18" t="s">
        <v>1086</v>
      </c>
      <c r="D117" s="2" t="s">
        <v>507</v>
      </c>
      <c r="E117" s="18" t="s">
        <v>1300</v>
      </c>
      <c r="F117" s="36" t="s">
        <v>1456</v>
      </c>
      <c r="G117" s="108">
        <v>602359.53</v>
      </c>
      <c r="H117" s="37" t="e">
        <f t="shared" si="9"/>
        <v>#VALUE!</v>
      </c>
      <c r="I117" s="37" t="e">
        <f t="shared" si="8"/>
        <v>#VALUE!</v>
      </c>
      <c r="J117" s="37" t="e">
        <f t="shared" si="10"/>
        <v>#VALUE!</v>
      </c>
      <c r="K117" t="s">
        <v>1730</v>
      </c>
      <c r="M117" s="36" t="s">
        <v>1456</v>
      </c>
      <c r="N117" t="b">
        <f t="shared" si="11"/>
        <v>1</v>
      </c>
    </row>
    <row r="118" spans="1:14" x14ac:dyDescent="0.35">
      <c r="A118" s="2" t="s">
        <v>1085</v>
      </c>
      <c r="B118" s="2" t="s">
        <v>790</v>
      </c>
      <c r="C118" s="18" t="s">
        <v>1086</v>
      </c>
      <c r="D118" s="2" t="s">
        <v>507</v>
      </c>
      <c r="E118" s="18" t="s">
        <v>1301</v>
      </c>
      <c r="F118" s="36" t="s">
        <v>1456</v>
      </c>
      <c r="G118" s="108">
        <v>1066424.71</v>
      </c>
      <c r="H118" s="37" t="e">
        <f t="shared" si="9"/>
        <v>#VALUE!</v>
      </c>
      <c r="I118" s="37" t="e">
        <f t="shared" si="8"/>
        <v>#VALUE!</v>
      </c>
      <c r="J118" s="37" t="e">
        <f t="shared" si="10"/>
        <v>#VALUE!</v>
      </c>
      <c r="K118" t="s">
        <v>1730</v>
      </c>
      <c r="M118" s="36" t="s">
        <v>1456</v>
      </c>
      <c r="N118" t="b">
        <f t="shared" si="11"/>
        <v>1</v>
      </c>
    </row>
    <row r="119" spans="1:14" s="124" customFormat="1" hidden="1" x14ac:dyDescent="0.35">
      <c r="A119" s="119" t="s">
        <v>1085</v>
      </c>
      <c r="B119" s="119" t="s">
        <v>790</v>
      </c>
      <c r="C119" s="120" t="s">
        <v>1249</v>
      </c>
      <c r="D119" s="119" t="s">
        <v>507</v>
      </c>
      <c r="E119" s="120" t="s">
        <v>1302</v>
      </c>
      <c r="F119" s="121" t="s">
        <v>1457</v>
      </c>
      <c r="G119" s="122">
        <f>3183075</f>
        <v>3183075</v>
      </c>
      <c r="H119" s="123" t="e">
        <f t="shared" si="9"/>
        <v>#VALUE!</v>
      </c>
      <c r="I119" s="123" t="e">
        <f t="shared" si="8"/>
        <v>#VALUE!</v>
      </c>
      <c r="J119" s="123" t="e">
        <f t="shared" si="10"/>
        <v>#VALUE!</v>
      </c>
      <c r="K119" s="124" t="s">
        <v>1730</v>
      </c>
      <c r="M119" s="121" t="s">
        <v>1457</v>
      </c>
      <c r="N119" s="124" t="b">
        <f t="shared" si="11"/>
        <v>1</v>
      </c>
    </row>
    <row r="120" spans="1:14" hidden="1" x14ac:dyDescent="0.35">
      <c r="A120" s="2" t="s">
        <v>1085</v>
      </c>
      <c r="B120" s="2" t="s">
        <v>790</v>
      </c>
      <c r="C120" s="18" t="s">
        <v>588</v>
      </c>
      <c r="D120" s="2" t="s">
        <v>507</v>
      </c>
      <c r="E120" s="18" t="s">
        <v>1303</v>
      </c>
      <c r="F120" s="36" t="s">
        <v>1444</v>
      </c>
      <c r="G120" s="108">
        <v>3699164.4</v>
      </c>
      <c r="H120" s="37">
        <f t="shared" si="9"/>
        <v>28</v>
      </c>
      <c r="I120" s="37" t="str">
        <f t="shared" si="8"/>
        <v>0-120 DAYS</v>
      </c>
      <c r="J120" s="37" t="str">
        <f t="shared" si="10"/>
        <v>0-180 DAYS</v>
      </c>
      <c r="K120" t="s">
        <v>1730</v>
      </c>
      <c r="M120" s="36" t="s">
        <v>1444</v>
      </c>
      <c r="N120" t="b">
        <f t="shared" si="11"/>
        <v>1</v>
      </c>
    </row>
    <row r="121" spans="1:14" hidden="1" x14ac:dyDescent="0.35">
      <c r="A121" s="2" t="s">
        <v>1085</v>
      </c>
      <c r="B121" s="2" t="s">
        <v>790</v>
      </c>
      <c r="C121" s="18" t="s">
        <v>1054</v>
      </c>
      <c r="D121" s="2" t="s">
        <v>507</v>
      </c>
      <c r="E121" s="18" t="s">
        <v>1304</v>
      </c>
      <c r="F121" s="36" t="s">
        <v>1447</v>
      </c>
      <c r="G121" s="108">
        <v>3144864</v>
      </c>
      <c r="H121" s="37">
        <f t="shared" si="9"/>
        <v>-125</v>
      </c>
      <c r="I121" s="37" t="str">
        <f t="shared" si="8"/>
        <v>0-120 DAYS</v>
      </c>
      <c r="J121" s="37" t="str">
        <f t="shared" si="10"/>
        <v>0-180 DAYS</v>
      </c>
      <c r="K121" t="s">
        <v>1730</v>
      </c>
      <c r="M121" s="36" t="s">
        <v>1447</v>
      </c>
      <c r="N121" t="b">
        <f t="shared" si="11"/>
        <v>1</v>
      </c>
    </row>
    <row r="122" spans="1:14" hidden="1" x14ac:dyDescent="0.35">
      <c r="A122" s="2" t="s">
        <v>1085</v>
      </c>
      <c r="B122" s="2" t="s">
        <v>790</v>
      </c>
      <c r="C122" s="18" t="s">
        <v>1054</v>
      </c>
      <c r="D122" s="2" t="s">
        <v>507</v>
      </c>
      <c r="E122" s="18" t="s">
        <v>1305</v>
      </c>
      <c r="F122" s="36" t="s">
        <v>1447</v>
      </c>
      <c r="G122" s="108">
        <v>3209742.4</v>
      </c>
      <c r="H122" s="37">
        <f t="shared" si="9"/>
        <v>-125</v>
      </c>
      <c r="I122" s="37" t="str">
        <f t="shared" si="8"/>
        <v>0-120 DAYS</v>
      </c>
      <c r="J122" s="37" t="str">
        <f t="shared" si="10"/>
        <v>0-180 DAYS</v>
      </c>
      <c r="K122" t="s">
        <v>1730</v>
      </c>
      <c r="M122" s="36" t="s">
        <v>1447</v>
      </c>
      <c r="N122" t="b">
        <f t="shared" si="11"/>
        <v>1</v>
      </c>
    </row>
    <row r="123" spans="1:14" hidden="1" x14ac:dyDescent="0.35">
      <c r="A123" s="2" t="s">
        <v>1085</v>
      </c>
      <c r="B123" s="2" t="s">
        <v>790</v>
      </c>
      <c r="C123" s="18" t="s">
        <v>588</v>
      </c>
      <c r="D123" s="2" t="s">
        <v>507</v>
      </c>
      <c r="E123" s="18" t="s">
        <v>1306</v>
      </c>
      <c r="F123" s="36" t="s">
        <v>1450</v>
      </c>
      <c r="G123" s="108">
        <v>3342455.3</v>
      </c>
      <c r="H123" s="37" t="e">
        <f t="shared" si="9"/>
        <v>#VALUE!</v>
      </c>
      <c r="I123" s="37" t="e">
        <f t="shared" si="8"/>
        <v>#VALUE!</v>
      </c>
      <c r="J123" s="37" t="e">
        <f t="shared" si="10"/>
        <v>#VALUE!</v>
      </c>
      <c r="K123" t="s">
        <v>1730</v>
      </c>
      <c r="M123" s="36" t="s">
        <v>1450</v>
      </c>
      <c r="N123" t="b">
        <f t="shared" si="11"/>
        <v>1</v>
      </c>
    </row>
    <row r="124" spans="1:14" hidden="1" x14ac:dyDescent="0.35">
      <c r="A124" s="2" t="s">
        <v>1085</v>
      </c>
      <c r="B124" s="2" t="s">
        <v>790</v>
      </c>
      <c r="C124" s="18" t="s">
        <v>584</v>
      </c>
      <c r="D124" s="2" t="s">
        <v>507</v>
      </c>
      <c r="E124" s="18" t="s">
        <v>1307</v>
      </c>
      <c r="F124" s="36" t="s">
        <v>1464</v>
      </c>
      <c r="G124" s="108">
        <v>3485053.86</v>
      </c>
      <c r="H124" s="37" t="e">
        <f t="shared" si="9"/>
        <v>#VALUE!</v>
      </c>
      <c r="I124" s="37" t="e">
        <f t="shared" si="8"/>
        <v>#VALUE!</v>
      </c>
      <c r="J124" s="37" t="e">
        <f t="shared" si="10"/>
        <v>#VALUE!</v>
      </c>
      <c r="K124" t="s">
        <v>1730</v>
      </c>
      <c r="M124" s="36" t="s">
        <v>1464</v>
      </c>
      <c r="N124" t="b">
        <f t="shared" si="11"/>
        <v>1</v>
      </c>
    </row>
    <row r="125" spans="1:14" hidden="1" x14ac:dyDescent="0.35">
      <c r="A125" s="2" t="s">
        <v>1085</v>
      </c>
      <c r="B125" s="2" t="s">
        <v>790</v>
      </c>
      <c r="C125" s="18" t="s">
        <v>1055</v>
      </c>
      <c r="D125" s="2" t="s">
        <v>507</v>
      </c>
      <c r="E125" s="18" t="s">
        <v>1308</v>
      </c>
      <c r="F125" s="36" t="s">
        <v>1453</v>
      </c>
      <c r="G125" s="108">
        <v>1688880.38</v>
      </c>
      <c r="H125" s="37" t="e">
        <f t="shared" si="9"/>
        <v>#VALUE!</v>
      </c>
      <c r="I125" s="37" t="e">
        <f t="shared" si="8"/>
        <v>#VALUE!</v>
      </c>
      <c r="J125" s="37" t="e">
        <f t="shared" si="10"/>
        <v>#VALUE!</v>
      </c>
      <c r="K125" t="s">
        <v>1730</v>
      </c>
      <c r="M125" s="36" t="s">
        <v>1453</v>
      </c>
      <c r="N125" t="b">
        <f t="shared" si="11"/>
        <v>1</v>
      </c>
    </row>
    <row r="126" spans="1:14" hidden="1" x14ac:dyDescent="0.35">
      <c r="A126" s="2" t="s">
        <v>1085</v>
      </c>
      <c r="B126" s="2" t="s">
        <v>790</v>
      </c>
      <c r="C126" s="18" t="s">
        <v>1055</v>
      </c>
      <c r="D126" s="2" t="s">
        <v>507</v>
      </c>
      <c r="E126" s="18" t="s">
        <v>1309</v>
      </c>
      <c r="F126" s="36" t="s">
        <v>1453</v>
      </c>
      <c r="G126" s="108">
        <v>1138669</v>
      </c>
      <c r="H126" s="37" t="e">
        <f t="shared" si="9"/>
        <v>#VALUE!</v>
      </c>
      <c r="I126" s="37" t="e">
        <f t="shared" si="8"/>
        <v>#VALUE!</v>
      </c>
      <c r="J126" s="37" t="e">
        <f t="shared" si="10"/>
        <v>#VALUE!</v>
      </c>
      <c r="K126" t="s">
        <v>1730</v>
      </c>
      <c r="M126" s="36" t="s">
        <v>1453</v>
      </c>
      <c r="N126" t="b">
        <f t="shared" si="11"/>
        <v>1</v>
      </c>
    </row>
    <row r="127" spans="1:14" hidden="1" x14ac:dyDescent="0.35">
      <c r="A127" s="2" t="s">
        <v>1085</v>
      </c>
      <c r="B127" s="2" t="s">
        <v>790</v>
      </c>
      <c r="C127" s="18" t="s">
        <v>573</v>
      </c>
      <c r="D127" s="2" t="s">
        <v>507</v>
      </c>
      <c r="E127" s="18" t="s">
        <v>1310</v>
      </c>
      <c r="F127" s="36" t="s">
        <v>1459</v>
      </c>
      <c r="G127" s="108">
        <v>4118302.22</v>
      </c>
      <c r="H127" s="37">
        <f t="shared" si="9"/>
        <v>59</v>
      </c>
      <c r="I127" s="37" t="str">
        <f>IF(H127&lt;121,"0-120 DAYS",IF(H127&lt;181,"121-180 DAYS","More than 180 Days"))</f>
        <v>0-120 DAYS</v>
      </c>
      <c r="J127" s="37" t="str">
        <f t="shared" si="10"/>
        <v>0-180 DAYS</v>
      </c>
      <c r="K127" t="s">
        <v>1730</v>
      </c>
      <c r="M127" s="36" t="s">
        <v>1459</v>
      </c>
      <c r="N127" t="b">
        <f t="shared" si="11"/>
        <v>1</v>
      </c>
    </row>
    <row r="128" spans="1:14" s="124" customFormat="1" hidden="1" x14ac:dyDescent="0.35">
      <c r="A128" s="119" t="s">
        <v>1085</v>
      </c>
      <c r="B128" s="119" t="s">
        <v>790</v>
      </c>
      <c r="C128" s="120" t="s">
        <v>536</v>
      </c>
      <c r="D128" s="119" t="s">
        <v>507</v>
      </c>
      <c r="E128" s="120" t="s">
        <v>1311</v>
      </c>
      <c r="F128" s="121" t="s">
        <v>1450</v>
      </c>
      <c r="G128" s="122">
        <f>3244165.3</f>
        <v>3244165.3</v>
      </c>
      <c r="H128" s="123" t="e">
        <f t="shared" si="9"/>
        <v>#VALUE!</v>
      </c>
      <c r="I128" s="123" t="e">
        <f>IF(H128&lt;121,"0-120 DAYS",IF(H128&lt;181,"121-180 DAYS","More than 180 Days"))</f>
        <v>#VALUE!</v>
      </c>
      <c r="J128" s="123" t="e">
        <f t="shared" si="10"/>
        <v>#VALUE!</v>
      </c>
      <c r="K128" s="124" t="s">
        <v>1730</v>
      </c>
      <c r="M128" s="121" t="s">
        <v>1450</v>
      </c>
      <c r="N128" s="124" t="b">
        <f t="shared" si="11"/>
        <v>1</v>
      </c>
    </row>
    <row r="129" spans="1:14" hidden="1" x14ac:dyDescent="0.35">
      <c r="A129" s="2" t="s">
        <v>1085</v>
      </c>
      <c r="B129" s="2" t="s">
        <v>790</v>
      </c>
      <c r="C129" s="18" t="s">
        <v>573</v>
      </c>
      <c r="D129" s="2" t="s">
        <v>507</v>
      </c>
      <c r="E129" s="18" t="s">
        <v>1312</v>
      </c>
      <c r="F129" s="36" t="s">
        <v>1467</v>
      </c>
      <c r="G129" s="108">
        <v>4254560</v>
      </c>
      <c r="H129" s="37" t="e">
        <f t="shared" si="9"/>
        <v>#VALUE!</v>
      </c>
      <c r="I129" s="37" t="e">
        <f>IF(H129&lt;121,"0-120 DAYS",IF(H129&lt;181,"121-180 DAYS","More than 180 Days"))</f>
        <v>#VALUE!</v>
      </c>
      <c r="J129" s="37" t="e">
        <f t="shared" si="10"/>
        <v>#VALUE!</v>
      </c>
      <c r="K129" t="s">
        <v>1730</v>
      </c>
      <c r="M129" s="36" t="s">
        <v>1467</v>
      </c>
      <c r="N129" t="b">
        <f t="shared" si="11"/>
        <v>1</v>
      </c>
    </row>
    <row r="130" spans="1:14" hidden="1" x14ac:dyDescent="0.35">
      <c r="A130" s="88" t="s">
        <v>477</v>
      </c>
      <c r="B130" s="88" t="s">
        <v>790</v>
      </c>
      <c r="C130" s="18" t="s">
        <v>1206</v>
      </c>
      <c r="D130" s="18" t="s">
        <v>1207</v>
      </c>
      <c r="E130" s="18" t="s">
        <v>980</v>
      </c>
      <c r="F130" s="36" t="s">
        <v>1468</v>
      </c>
      <c r="G130" s="108">
        <v>3112</v>
      </c>
      <c r="H130" s="87">
        <f t="shared" si="9"/>
        <v>120</v>
      </c>
      <c r="I130" s="37" t="str">
        <f t="shared" ref="I130:I146" si="12">IF(H130&lt;91,"1-90 DAYS",IF(H130&lt;121,"91-120DAYS",IF(H130&lt;181,"121-180 DAYS","More than 180 Days")))</f>
        <v>91-120DAYS</v>
      </c>
      <c r="J130" s="37" t="str">
        <f t="shared" si="10"/>
        <v>0-180 DAYS</v>
      </c>
      <c r="K130" t="s">
        <v>1730</v>
      </c>
      <c r="M130" s="36" t="s">
        <v>1468</v>
      </c>
      <c r="N130" t="b">
        <f t="shared" si="11"/>
        <v>1</v>
      </c>
    </row>
    <row r="131" spans="1:14" hidden="1" x14ac:dyDescent="0.35">
      <c r="A131" s="88" t="s">
        <v>477</v>
      </c>
      <c r="B131" s="88" t="s">
        <v>790</v>
      </c>
      <c r="C131" s="18" t="s">
        <v>1080</v>
      </c>
      <c r="D131" s="18" t="s">
        <v>1081</v>
      </c>
      <c r="E131" s="18" t="s">
        <v>983</v>
      </c>
      <c r="F131" s="36" t="s">
        <v>1469</v>
      </c>
      <c r="G131" s="108">
        <v>1833981.96</v>
      </c>
      <c r="H131" s="87">
        <f t="shared" si="9"/>
        <v>89</v>
      </c>
      <c r="I131" s="37" t="str">
        <f t="shared" si="12"/>
        <v>1-90 DAYS</v>
      </c>
      <c r="J131" s="37" t="str">
        <f t="shared" si="10"/>
        <v>0-180 DAYS</v>
      </c>
      <c r="K131" t="s">
        <v>1730</v>
      </c>
      <c r="M131" s="36" t="s">
        <v>1469</v>
      </c>
      <c r="N131" t="b">
        <f t="shared" si="11"/>
        <v>1</v>
      </c>
    </row>
    <row r="132" spans="1:14" hidden="1" x14ac:dyDescent="0.35">
      <c r="A132" s="88" t="s">
        <v>477</v>
      </c>
      <c r="B132" s="88" t="s">
        <v>790</v>
      </c>
      <c r="C132" s="18" t="s">
        <v>1080</v>
      </c>
      <c r="D132" s="18" t="s">
        <v>1081</v>
      </c>
      <c r="E132" s="18" t="s">
        <v>981</v>
      </c>
      <c r="F132" s="36" t="s">
        <v>1469</v>
      </c>
      <c r="G132" s="108">
        <v>596907.72</v>
      </c>
      <c r="H132" s="87">
        <f t="shared" si="9"/>
        <v>89</v>
      </c>
      <c r="I132" s="37" t="str">
        <f t="shared" si="12"/>
        <v>1-90 DAYS</v>
      </c>
      <c r="J132" s="37" t="str">
        <f t="shared" si="10"/>
        <v>0-180 DAYS</v>
      </c>
      <c r="K132" t="s">
        <v>1730</v>
      </c>
      <c r="M132" s="36" t="s">
        <v>1469</v>
      </c>
      <c r="N132" t="b">
        <f t="shared" si="11"/>
        <v>1</v>
      </c>
    </row>
    <row r="133" spans="1:14" hidden="1" x14ac:dyDescent="0.35">
      <c r="A133" s="88" t="s">
        <v>477</v>
      </c>
      <c r="B133" s="88" t="s">
        <v>790</v>
      </c>
      <c r="C133" s="18" t="s">
        <v>1080</v>
      </c>
      <c r="D133" s="18" t="s">
        <v>1081</v>
      </c>
      <c r="E133" s="18" t="s">
        <v>986</v>
      </c>
      <c r="F133" s="36" t="s">
        <v>1469</v>
      </c>
      <c r="G133" s="108">
        <v>350205.12</v>
      </c>
      <c r="H133" s="87">
        <f t="shared" si="9"/>
        <v>89</v>
      </c>
      <c r="I133" s="37" t="str">
        <f t="shared" si="12"/>
        <v>1-90 DAYS</v>
      </c>
      <c r="J133" s="37" t="str">
        <f t="shared" si="10"/>
        <v>0-180 DAYS</v>
      </c>
      <c r="K133" t="s">
        <v>1730</v>
      </c>
      <c r="M133" s="36" t="s">
        <v>1469</v>
      </c>
      <c r="N133" t="b">
        <f t="shared" si="11"/>
        <v>1</v>
      </c>
    </row>
    <row r="134" spans="1:14" hidden="1" x14ac:dyDescent="0.35">
      <c r="A134" s="88" t="s">
        <v>477</v>
      </c>
      <c r="B134" s="88" t="s">
        <v>790</v>
      </c>
      <c r="C134" s="18" t="s">
        <v>1080</v>
      </c>
      <c r="D134" s="18" t="s">
        <v>1081</v>
      </c>
      <c r="E134" s="18" t="s">
        <v>1313</v>
      </c>
      <c r="F134" s="36" t="s">
        <v>1460</v>
      </c>
      <c r="G134" s="108">
        <v>520514.52</v>
      </c>
      <c r="H134" s="87">
        <f t="shared" si="9"/>
        <v>-64</v>
      </c>
      <c r="I134" s="37" t="str">
        <f t="shared" si="12"/>
        <v>1-90 DAYS</v>
      </c>
      <c r="J134" s="37" t="str">
        <f t="shared" si="10"/>
        <v>0-180 DAYS</v>
      </c>
      <c r="K134" t="s">
        <v>1730</v>
      </c>
      <c r="M134" s="36" t="s">
        <v>1460</v>
      </c>
      <c r="N134" t="b">
        <f t="shared" si="11"/>
        <v>1</v>
      </c>
    </row>
    <row r="135" spans="1:14" hidden="1" x14ac:dyDescent="0.35">
      <c r="A135" s="88" t="s">
        <v>477</v>
      </c>
      <c r="B135" s="88" t="s">
        <v>790</v>
      </c>
      <c r="C135" s="18" t="s">
        <v>1080</v>
      </c>
      <c r="D135" s="18" t="s">
        <v>1081</v>
      </c>
      <c r="E135" s="18" t="s">
        <v>1314</v>
      </c>
      <c r="F135" s="36" t="s">
        <v>1460</v>
      </c>
      <c r="G135" s="108">
        <v>1167350.3999999999</v>
      </c>
      <c r="H135" s="87">
        <f t="shared" si="9"/>
        <v>-64</v>
      </c>
      <c r="I135" s="37" t="str">
        <f t="shared" si="12"/>
        <v>1-90 DAYS</v>
      </c>
      <c r="J135" s="37" t="str">
        <f t="shared" si="10"/>
        <v>0-180 DAYS</v>
      </c>
      <c r="K135" t="s">
        <v>1730</v>
      </c>
      <c r="M135" s="36" t="s">
        <v>1460</v>
      </c>
      <c r="N135" t="b">
        <f t="shared" si="11"/>
        <v>1</v>
      </c>
    </row>
    <row r="136" spans="1:14" hidden="1" x14ac:dyDescent="0.35">
      <c r="A136" s="88" t="s">
        <v>477</v>
      </c>
      <c r="B136" s="88" t="s">
        <v>790</v>
      </c>
      <c r="C136" s="18" t="s">
        <v>1080</v>
      </c>
      <c r="D136" s="18" t="s">
        <v>1081</v>
      </c>
      <c r="E136" s="18" t="s">
        <v>1315</v>
      </c>
      <c r="F136" s="36" t="s">
        <v>1447</v>
      </c>
      <c r="G136" s="108">
        <v>208205.8</v>
      </c>
      <c r="H136" s="87">
        <f t="shared" si="9"/>
        <v>-125</v>
      </c>
      <c r="I136" s="37" t="str">
        <f t="shared" si="12"/>
        <v>1-90 DAYS</v>
      </c>
      <c r="J136" s="37" t="str">
        <f t="shared" si="10"/>
        <v>0-180 DAYS</v>
      </c>
      <c r="K136" t="s">
        <v>1730</v>
      </c>
      <c r="M136" s="36" t="s">
        <v>1447</v>
      </c>
      <c r="N136" t="b">
        <f t="shared" si="11"/>
        <v>1</v>
      </c>
    </row>
    <row r="137" spans="1:14" hidden="1" x14ac:dyDescent="0.35">
      <c r="A137" s="88" t="s">
        <v>477</v>
      </c>
      <c r="B137" s="88" t="s">
        <v>790</v>
      </c>
      <c r="C137" s="18" t="s">
        <v>1080</v>
      </c>
      <c r="D137" s="18" t="s">
        <v>1081</v>
      </c>
      <c r="E137" s="18" t="s">
        <v>1316</v>
      </c>
      <c r="F137" s="36" t="s">
        <v>1454</v>
      </c>
      <c r="G137" s="108">
        <v>978123.72</v>
      </c>
      <c r="H137" s="87" t="e">
        <f t="shared" si="9"/>
        <v>#VALUE!</v>
      </c>
      <c r="I137" s="37" t="e">
        <f t="shared" si="12"/>
        <v>#VALUE!</v>
      </c>
      <c r="J137" s="37" t="e">
        <f t="shared" si="10"/>
        <v>#VALUE!</v>
      </c>
      <c r="K137" t="s">
        <v>1730</v>
      </c>
      <c r="M137" s="36" t="s">
        <v>1454</v>
      </c>
      <c r="N137" t="b">
        <f t="shared" si="11"/>
        <v>1</v>
      </c>
    </row>
    <row r="138" spans="1:14" hidden="1" x14ac:dyDescent="0.35">
      <c r="A138" s="88" t="s">
        <v>477</v>
      </c>
      <c r="B138" s="88" t="s">
        <v>790</v>
      </c>
      <c r="C138" s="18" t="s">
        <v>1080</v>
      </c>
      <c r="D138" s="18" t="s">
        <v>1081</v>
      </c>
      <c r="E138" s="18" t="s">
        <v>1317</v>
      </c>
      <c r="F138" s="36" t="s">
        <v>1454</v>
      </c>
      <c r="G138" s="108">
        <v>1167350.3999999999</v>
      </c>
      <c r="H138" s="87" t="e">
        <f t="shared" si="9"/>
        <v>#VALUE!</v>
      </c>
      <c r="I138" s="37" t="e">
        <f t="shared" si="12"/>
        <v>#VALUE!</v>
      </c>
      <c r="J138" s="37" t="e">
        <f t="shared" si="10"/>
        <v>#VALUE!</v>
      </c>
      <c r="K138" t="s">
        <v>1730</v>
      </c>
      <c r="M138" s="36" t="s">
        <v>1454</v>
      </c>
      <c r="N138" t="b">
        <f t="shared" si="11"/>
        <v>1</v>
      </c>
    </row>
    <row r="139" spans="1:14" hidden="1" x14ac:dyDescent="0.35">
      <c r="A139" s="88" t="s">
        <v>477</v>
      </c>
      <c r="B139" s="88" t="s">
        <v>790</v>
      </c>
      <c r="C139" s="18" t="s">
        <v>1080</v>
      </c>
      <c r="D139" s="18" t="s">
        <v>1081</v>
      </c>
      <c r="E139" s="18" t="s">
        <v>1318</v>
      </c>
      <c r="F139" s="36" t="s">
        <v>1455</v>
      </c>
      <c r="G139" s="108">
        <v>1833983.74</v>
      </c>
      <c r="H139" s="87" t="e">
        <f t="shared" si="9"/>
        <v>#VALUE!</v>
      </c>
      <c r="I139" s="37" t="e">
        <f t="shared" si="12"/>
        <v>#VALUE!</v>
      </c>
      <c r="J139" s="37" t="e">
        <f t="shared" si="10"/>
        <v>#VALUE!</v>
      </c>
      <c r="K139" t="s">
        <v>1730</v>
      </c>
      <c r="M139" s="36" t="s">
        <v>1455</v>
      </c>
      <c r="N139" t="b">
        <f t="shared" si="11"/>
        <v>1</v>
      </c>
    </row>
    <row r="140" spans="1:14" hidden="1" x14ac:dyDescent="0.35">
      <c r="A140" s="88" t="s">
        <v>477</v>
      </c>
      <c r="B140" s="88" t="s">
        <v>790</v>
      </c>
      <c r="C140" s="18" t="s">
        <v>1080</v>
      </c>
      <c r="D140" s="18" t="s">
        <v>1081</v>
      </c>
      <c r="E140" s="18" t="s">
        <v>1319</v>
      </c>
      <c r="F140" s="36" t="s">
        <v>1456</v>
      </c>
      <c r="G140" s="108">
        <v>1222654.6399999999</v>
      </c>
      <c r="H140" s="87" t="e">
        <f t="shared" si="9"/>
        <v>#VALUE!</v>
      </c>
      <c r="I140" s="37" t="e">
        <f t="shared" si="12"/>
        <v>#VALUE!</v>
      </c>
      <c r="J140" s="37" t="e">
        <f t="shared" si="10"/>
        <v>#VALUE!</v>
      </c>
      <c r="K140" t="s">
        <v>1730</v>
      </c>
      <c r="M140" s="36" t="s">
        <v>1456</v>
      </c>
      <c r="N140" t="b">
        <f t="shared" si="11"/>
        <v>1</v>
      </c>
    </row>
    <row r="141" spans="1:14" hidden="1" x14ac:dyDescent="0.35">
      <c r="A141" s="88" t="s">
        <v>477</v>
      </c>
      <c r="B141" s="88" t="s">
        <v>790</v>
      </c>
      <c r="C141" s="18" t="s">
        <v>1080</v>
      </c>
      <c r="D141" s="18" t="s">
        <v>1081</v>
      </c>
      <c r="E141" s="18" t="s">
        <v>1320</v>
      </c>
      <c r="F141" s="36" t="s">
        <v>1456</v>
      </c>
      <c r="G141" s="108">
        <v>2445309.2799999998</v>
      </c>
      <c r="H141" s="87" t="e">
        <f t="shared" si="9"/>
        <v>#VALUE!</v>
      </c>
      <c r="I141" s="37" t="e">
        <f t="shared" si="12"/>
        <v>#VALUE!</v>
      </c>
      <c r="J141" s="37" t="e">
        <f t="shared" si="10"/>
        <v>#VALUE!</v>
      </c>
      <c r="K141" t="s">
        <v>1730</v>
      </c>
      <c r="M141" s="36" t="s">
        <v>1456</v>
      </c>
      <c r="N141" t="b">
        <f t="shared" si="11"/>
        <v>1</v>
      </c>
    </row>
    <row r="142" spans="1:14" hidden="1" x14ac:dyDescent="0.35">
      <c r="A142" s="88" t="s">
        <v>477</v>
      </c>
      <c r="B142" s="88" t="s">
        <v>790</v>
      </c>
      <c r="C142" s="18" t="s">
        <v>1080</v>
      </c>
      <c r="D142" s="18" t="s">
        <v>1081</v>
      </c>
      <c r="E142" s="18" t="s">
        <v>1321</v>
      </c>
      <c r="F142" s="36" t="s">
        <v>1457</v>
      </c>
      <c r="G142" s="108">
        <v>350205.12</v>
      </c>
      <c r="H142" s="87" t="e">
        <f t="shared" si="9"/>
        <v>#VALUE!</v>
      </c>
      <c r="I142" s="37" t="e">
        <f t="shared" si="12"/>
        <v>#VALUE!</v>
      </c>
      <c r="J142" s="37" t="e">
        <f t="shared" si="10"/>
        <v>#VALUE!</v>
      </c>
      <c r="K142" t="s">
        <v>1730</v>
      </c>
      <c r="M142" s="36" t="s">
        <v>1457</v>
      </c>
      <c r="N142" t="b">
        <f t="shared" si="11"/>
        <v>1</v>
      </c>
    </row>
    <row r="143" spans="1:14" hidden="1" x14ac:dyDescent="0.35">
      <c r="A143" s="88" t="s">
        <v>477</v>
      </c>
      <c r="B143" s="88" t="s">
        <v>790</v>
      </c>
      <c r="C143" s="18" t="s">
        <v>1080</v>
      </c>
      <c r="D143" s="18" t="s">
        <v>1081</v>
      </c>
      <c r="E143" s="18" t="s">
        <v>1322</v>
      </c>
      <c r="F143" s="36" t="s">
        <v>1457</v>
      </c>
      <c r="G143" s="108">
        <v>1167350.3999999999</v>
      </c>
      <c r="H143" s="87" t="e">
        <f t="shared" si="9"/>
        <v>#VALUE!</v>
      </c>
      <c r="I143" s="37" t="e">
        <f t="shared" si="12"/>
        <v>#VALUE!</v>
      </c>
      <c r="J143" s="37" t="e">
        <f t="shared" si="10"/>
        <v>#VALUE!</v>
      </c>
      <c r="K143" t="s">
        <v>1730</v>
      </c>
      <c r="M143" s="36" t="s">
        <v>1457</v>
      </c>
      <c r="N143" t="b">
        <f t="shared" si="11"/>
        <v>1</v>
      </c>
    </row>
    <row r="144" spans="1:14" hidden="1" x14ac:dyDescent="0.35">
      <c r="A144" s="88" t="s">
        <v>477</v>
      </c>
      <c r="B144" s="88" t="s">
        <v>790</v>
      </c>
      <c r="C144" s="18" t="s">
        <v>1080</v>
      </c>
      <c r="D144" s="18" t="s">
        <v>1081</v>
      </c>
      <c r="E144" s="18" t="s">
        <v>1323</v>
      </c>
      <c r="F144" s="36" t="s">
        <v>1457</v>
      </c>
      <c r="G144" s="108">
        <v>1833983.74</v>
      </c>
      <c r="H144" s="87" t="e">
        <f t="shared" si="9"/>
        <v>#VALUE!</v>
      </c>
      <c r="I144" s="37" t="e">
        <f t="shared" si="12"/>
        <v>#VALUE!</v>
      </c>
      <c r="J144" s="37" t="e">
        <f t="shared" si="10"/>
        <v>#VALUE!</v>
      </c>
      <c r="K144" t="s">
        <v>1730</v>
      </c>
      <c r="M144" s="36" t="s">
        <v>1457</v>
      </c>
      <c r="N144" t="b">
        <f t="shared" si="11"/>
        <v>1</v>
      </c>
    </row>
    <row r="145" spans="1:14" hidden="1" x14ac:dyDescent="0.35">
      <c r="A145" s="88" t="s">
        <v>477</v>
      </c>
      <c r="B145" s="88" t="s">
        <v>790</v>
      </c>
      <c r="C145" s="18" t="s">
        <v>1080</v>
      </c>
      <c r="D145" s="18" t="s">
        <v>1081</v>
      </c>
      <c r="E145" s="18" t="s">
        <v>1324</v>
      </c>
      <c r="F145" s="36" t="s">
        <v>1457</v>
      </c>
      <c r="G145" s="108">
        <v>2445309.2799999998</v>
      </c>
      <c r="H145" s="87" t="e">
        <f t="shared" si="9"/>
        <v>#VALUE!</v>
      </c>
      <c r="I145" s="37" t="e">
        <f t="shared" si="12"/>
        <v>#VALUE!</v>
      </c>
      <c r="J145" s="37" t="e">
        <f t="shared" si="10"/>
        <v>#VALUE!</v>
      </c>
      <c r="K145" t="s">
        <v>1730</v>
      </c>
      <c r="M145" s="36" t="s">
        <v>1457</v>
      </c>
      <c r="N145" t="b">
        <f t="shared" si="11"/>
        <v>1</v>
      </c>
    </row>
    <row r="146" spans="1:14" hidden="1" x14ac:dyDescent="0.35">
      <c r="A146" s="88" t="s">
        <v>477</v>
      </c>
      <c r="B146" s="88" t="s">
        <v>790</v>
      </c>
      <c r="C146" s="18" t="s">
        <v>263</v>
      </c>
      <c r="D146" s="18" t="s">
        <v>264</v>
      </c>
      <c r="E146" s="18" t="s">
        <v>865</v>
      </c>
      <c r="F146" s="36" t="s">
        <v>1470</v>
      </c>
      <c r="G146" s="108">
        <v>657971.59</v>
      </c>
      <c r="H146" s="87" t="e">
        <f t="shared" si="9"/>
        <v>#VALUE!</v>
      </c>
      <c r="I146" s="37" t="e">
        <f t="shared" si="12"/>
        <v>#VALUE!</v>
      </c>
      <c r="J146" s="37" t="e">
        <f t="shared" si="10"/>
        <v>#VALUE!</v>
      </c>
      <c r="K146" t="s">
        <v>1730</v>
      </c>
      <c r="M146" s="36" t="s">
        <v>1470</v>
      </c>
      <c r="N146" t="b">
        <f t="shared" si="11"/>
        <v>1</v>
      </c>
    </row>
    <row r="147" spans="1:14" hidden="1" x14ac:dyDescent="0.35">
      <c r="A147" s="88" t="s">
        <v>1209</v>
      </c>
      <c r="B147" s="88" t="s">
        <v>789</v>
      </c>
      <c r="C147" s="18" t="s">
        <v>506</v>
      </c>
      <c r="D147" s="37" t="s">
        <v>507</v>
      </c>
      <c r="E147" s="18" t="s">
        <v>1325</v>
      </c>
      <c r="F147" s="36" t="s">
        <v>1449</v>
      </c>
      <c r="G147" s="108">
        <v>3051802.2</v>
      </c>
      <c r="H147" s="87" t="e">
        <f t="shared" ref="H147:H199" si="13">$H$2-F147+1</f>
        <v>#VALUE!</v>
      </c>
      <c r="I147" s="37" t="e">
        <f>IF(H147&lt;91,"1-90 DAYS",IF(H147&lt;121,"91-120DAYS",IF(H147&lt;181,"121-180 DAYS","More than 180 Days")))</f>
        <v>#VALUE!</v>
      </c>
      <c r="J147" s="37" t="e">
        <f t="shared" ref="J147:J199" si="14">IF(H147&lt;180,"0-180 DAYS","More than 180 Days")</f>
        <v>#VALUE!</v>
      </c>
      <c r="M147" s="36" t="s">
        <v>1449</v>
      </c>
      <c r="N147" t="b">
        <f t="shared" ref="N147:N199" si="15">M147=F147</f>
        <v>1</v>
      </c>
    </row>
    <row r="148" spans="1:14" hidden="1" x14ac:dyDescent="0.35">
      <c r="A148" s="88" t="s">
        <v>1085</v>
      </c>
      <c r="B148" s="88" t="s">
        <v>790</v>
      </c>
      <c r="C148" s="18" t="s">
        <v>538</v>
      </c>
      <c r="D148" t="s">
        <v>507</v>
      </c>
      <c r="E148" s="18" t="s">
        <v>1333</v>
      </c>
      <c r="F148" s="36" t="s">
        <v>1471</v>
      </c>
      <c r="G148" s="112">
        <v>2934700.75</v>
      </c>
      <c r="H148" s="87">
        <f t="shared" si="13"/>
        <v>88</v>
      </c>
      <c r="I148" s="37" t="str">
        <f t="shared" ref="I148:I201" si="16">IF(H148&lt;121,"0-120 DAYS",IF(H148&lt;181,"121-180 DAYS","More than 180 Days"))</f>
        <v>0-120 DAYS</v>
      </c>
      <c r="J148" s="37" t="str">
        <f t="shared" si="14"/>
        <v>0-180 DAYS</v>
      </c>
      <c r="K148" t="s">
        <v>1730</v>
      </c>
      <c r="M148" s="36" t="s">
        <v>1471</v>
      </c>
      <c r="N148" t="b">
        <f t="shared" si="15"/>
        <v>1</v>
      </c>
    </row>
    <row r="149" spans="1:14" hidden="1" x14ac:dyDescent="0.35">
      <c r="A149" s="88" t="s">
        <v>1085</v>
      </c>
      <c r="B149" s="88" t="s">
        <v>790</v>
      </c>
      <c r="C149" s="18" t="s">
        <v>573</v>
      </c>
      <c r="D149" t="s">
        <v>507</v>
      </c>
      <c r="E149" s="18" t="s">
        <v>1334</v>
      </c>
      <c r="F149" s="36" t="s">
        <v>1472</v>
      </c>
      <c r="G149" s="108">
        <v>3634371.15</v>
      </c>
      <c r="H149" s="87">
        <f t="shared" si="13"/>
        <v>27</v>
      </c>
      <c r="I149" s="37" t="str">
        <f t="shared" si="16"/>
        <v>0-120 DAYS</v>
      </c>
      <c r="J149" s="37" t="str">
        <f t="shared" si="14"/>
        <v>0-180 DAYS</v>
      </c>
      <c r="K149" t="s">
        <v>1730</v>
      </c>
      <c r="M149" s="36" t="s">
        <v>1472</v>
      </c>
      <c r="N149" t="b">
        <f t="shared" si="15"/>
        <v>1</v>
      </c>
    </row>
    <row r="150" spans="1:14" hidden="1" x14ac:dyDescent="0.35">
      <c r="A150" s="88" t="s">
        <v>1085</v>
      </c>
      <c r="B150" s="88" t="s">
        <v>790</v>
      </c>
      <c r="C150" s="18" t="s">
        <v>573</v>
      </c>
      <c r="D150" t="s">
        <v>507</v>
      </c>
      <c r="E150" s="18" t="s">
        <v>1335</v>
      </c>
      <c r="F150" s="36" t="s">
        <v>1473</v>
      </c>
      <c r="G150" s="108">
        <v>3370080.07</v>
      </c>
      <c r="H150" s="87">
        <f t="shared" si="13"/>
        <v>-95</v>
      </c>
      <c r="I150" s="37" t="str">
        <f t="shared" si="16"/>
        <v>0-120 DAYS</v>
      </c>
      <c r="J150" s="37" t="str">
        <f t="shared" si="14"/>
        <v>0-180 DAYS</v>
      </c>
      <c r="K150" t="s">
        <v>1730</v>
      </c>
      <c r="M150" s="36" t="s">
        <v>1473</v>
      </c>
      <c r="N150" t="b">
        <f t="shared" si="15"/>
        <v>1</v>
      </c>
    </row>
    <row r="151" spans="1:14" hidden="1" x14ac:dyDescent="0.35">
      <c r="A151" s="88" t="s">
        <v>1085</v>
      </c>
      <c r="B151" s="88" t="s">
        <v>790</v>
      </c>
      <c r="C151" s="18" t="s">
        <v>573</v>
      </c>
      <c r="D151" t="s">
        <v>507</v>
      </c>
      <c r="E151" s="18" t="s">
        <v>1336</v>
      </c>
      <c r="F151" s="36" t="s">
        <v>1474</v>
      </c>
      <c r="G151" s="108">
        <v>3228003.87</v>
      </c>
      <c r="H151" s="87">
        <f t="shared" si="13"/>
        <v>-126</v>
      </c>
      <c r="I151" s="37" t="str">
        <f t="shared" si="16"/>
        <v>0-120 DAYS</v>
      </c>
      <c r="J151" s="37" t="str">
        <f t="shared" si="14"/>
        <v>0-180 DAYS</v>
      </c>
      <c r="K151" t="s">
        <v>1730</v>
      </c>
      <c r="M151" s="36" t="s">
        <v>1474</v>
      </c>
      <c r="N151" t="b">
        <f t="shared" si="15"/>
        <v>1</v>
      </c>
    </row>
    <row r="152" spans="1:14" hidden="1" x14ac:dyDescent="0.35">
      <c r="A152" s="88" t="s">
        <v>1085</v>
      </c>
      <c r="B152" s="88" t="s">
        <v>790</v>
      </c>
      <c r="C152" s="18" t="s">
        <v>1052</v>
      </c>
      <c r="D152" t="s">
        <v>507</v>
      </c>
      <c r="E152" s="18" t="s">
        <v>1337</v>
      </c>
      <c r="F152" s="36" t="s">
        <v>1475</v>
      </c>
      <c r="G152" s="108">
        <v>3102536.95</v>
      </c>
      <c r="H152" s="87">
        <f t="shared" si="13"/>
        <v>-156</v>
      </c>
      <c r="I152" s="37" t="str">
        <f t="shared" si="16"/>
        <v>0-120 DAYS</v>
      </c>
      <c r="J152" s="37" t="str">
        <f t="shared" si="14"/>
        <v>0-180 DAYS</v>
      </c>
      <c r="K152" t="s">
        <v>1730</v>
      </c>
      <c r="M152" s="36" t="s">
        <v>1475</v>
      </c>
      <c r="N152" t="b">
        <f t="shared" si="15"/>
        <v>1</v>
      </c>
    </row>
    <row r="153" spans="1:14" hidden="1" x14ac:dyDescent="0.35">
      <c r="A153" s="88" t="s">
        <v>1085</v>
      </c>
      <c r="B153" s="88" t="s">
        <v>790</v>
      </c>
      <c r="C153" s="18" t="s">
        <v>538</v>
      </c>
      <c r="D153" t="s">
        <v>507</v>
      </c>
      <c r="E153" s="18" t="s">
        <v>1338</v>
      </c>
      <c r="F153" s="36" t="s">
        <v>1476</v>
      </c>
      <c r="G153" s="112">
        <v>2914002</v>
      </c>
      <c r="H153" s="87" t="e">
        <f t="shared" si="13"/>
        <v>#VALUE!</v>
      </c>
      <c r="I153" s="37" t="e">
        <f t="shared" si="16"/>
        <v>#VALUE!</v>
      </c>
      <c r="J153" s="37" t="e">
        <f t="shared" si="14"/>
        <v>#VALUE!</v>
      </c>
      <c r="K153" t="s">
        <v>1730</v>
      </c>
      <c r="M153" s="36" t="s">
        <v>1476</v>
      </c>
      <c r="N153" t="b">
        <f t="shared" si="15"/>
        <v>1</v>
      </c>
    </row>
    <row r="154" spans="1:14" hidden="1" x14ac:dyDescent="0.35">
      <c r="A154" s="88" t="s">
        <v>1085</v>
      </c>
      <c r="B154" s="88" t="s">
        <v>790</v>
      </c>
      <c r="C154" s="18" t="s">
        <v>1328</v>
      </c>
      <c r="D154" t="s">
        <v>507</v>
      </c>
      <c r="E154" s="18" t="s">
        <v>1339</v>
      </c>
      <c r="F154" s="36" t="s">
        <v>1477</v>
      </c>
      <c r="G154" s="108">
        <v>1757844.25</v>
      </c>
      <c r="H154" s="87" t="e">
        <f t="shared" si="13"/>
        <v>#VALUE!</v>
      </c>
      <c r="I154" s="37" t="e">
        <f t="shared" si="16"/>
        <v>#VALUE!</v>
      </c>
      <c r="J154" s="37" t="e">
        <f t="shared" si="14"/>
        <v>#VALUE!</v>
      </c>
      <c r="K154" t="s">
        <v>1730</v>
      </c>
      <c r="M154" s="36" t="s">
        <v>1477</v>
      </c>
      <c r="N154" t="b">
        <f t="shared" si="15"/>
        <v>1</v>
      </c>
    </row>
    <row r="155" spans="1:14" hidden="1" x14ac:dyDescent="0.35">
      <c r="A155" s="88" t="s">
        <v>1085</v>
      </c>
      <c r="B155" s="88" t="s">
        <v>790</v>
      </c>
      <c r="C155" s="18" t="s">
        <v>573</v>
      </c>
      <c r="D155" t="s">
        <v>507</v>
      </c>
      <c r="E155" s="18" t="s">
        <v>1340</v>
      </c>
      <c r="F155" s="36" t="s">
        <v>1477</v>
      </c>
      <c r="G155" s="108">
        <v>4573272.93</v>
      </c>
      <c r="H155" s="87" t="e">
        <f t="shared" si="13"/>
        <v>#VALUE!</v>
      </c>
      <c r="I155" s="37" t="e">
        <f t="shared" si="16"/>
        <v>#VALUE!</v>
      </c>
      <c r="J155" s="37" t="e">
        <f t="shared" si="14"/>
        <v>#VALUE!</v>
      </c>
      <c r="K155" t="s">
        <v>1730</v>
      </c>
      <c r="M155" s="36" t="s">
        <v>1477</v>
      </c>
      <c r="N155" t="b">
        <f t="shared" si="15"/>
        <v>1</v>
      </c>
    </row>
    <row r="156" spans="1:14" s="124" customFormat="1" hidden="1" x14ac:dyDescent="0.35">
      <c r="A156" s="125" t="s">
        <v>1085</v>
      </c>
      <c r="B156" s="125" t="s">
        <v>790</v>
      </c>
      <c r="C156" s="120" t="s">
        <v>606</v>
      </c>
      <c r="D156" s="124" t="s">
        <v>507</v>
      </c>
      <c r="E156" s="120" t="s">
        <v>1341</v>
      </c>
      <c r="F156" s="121" t="s">
        <v>1478</v>
      </c>
      <c r="G156" s="122">
        <f>282899.96</f>
        <v>282899.96000000002</v>
      </c>
      <c r="H156" s="126" t="e">
        <f t="shared" si="13"/>
        <v>#VALUE!</v>
      </c>
      <c r="I156" s="123" t="e">
        <f t="shared" si="16"/>
        <v>#VALUE!</v>
      </c>
      <c r="J156" s="123" t="e">
        <f t="shared" si="14"/>
        <v>#VALUE!</v>
      </c>
      <c r="K156" s="124" t="s">
        <v>1730</v>
      </c>
      <c r="M156" s="121" t="s">
        <v>1478</v>
      </c>
      <c r="N156" s="124" t="b">
        <f t="shared" si="15"/>
        <v>1</v>
      </c>
    </row>
    <row r="157" spans="1:14" hidden="1" x14ac:dyDescent="0.35">
      <c r="A157" s="88" t="s">
        <v>1085</v>
      </c>
      <c r="B157" s="88" t="s">
        <v>790</v>
      </c>
      <c r="C157" s="18" t="s">
        <v>573</v>
      </c>
      <c r="D157" t="s">
        <v>507</v>
      </c>
      <c r="E157" s="18" t="s">
        <v>1342</v>
      </c>
      <c r="F157" s="36" t="s">
        <v>1479</v>
      </c>
      <c r="G157" s="108">
        <v>2135727.5</v>
      </c>
      <c r="H157" s="87" t="e">
        <f t="shared" si="13"/>
        <v>#VALUE!</v>
      </c>
      <c r="I157" s="37" t="e">
        <f t="shared" si="16"/>
        <v>#VALUE!</v>
      </c>
      <c r="J157" s="37" t="e">
        <f t="shared" si="14"/>
        <v>#VALUE!</v>
      </c>
      <c r="K157" t="s">
        <v>1730</v>
      </c>
      <c r="M157" s="36" t="s">
        <v>1479</v>
      </c>
      <c r="N157" t="b">
        <f t="shared" si="15"/>
        <v>1</v>
      </c>
    </row>
    <row r="158" spans="1:14" hidden="1" x14ac:dyDescent="0.35">
      <c r="A158" s="88" t="s">
        <v>1085</v>
      </c>
      <c r="B158" s="88" t="s">
        <v>790</v>
      </c>
      <c r="C158" s="18" t="s">
        <v>617</v>
      </c>
      <c r="D158" t="s">
        <v>507</v>
      </c>
      <c r="E158" s="18" t="s">
        <v>1343</v>
      </c>
      <c r="F158" s="36" t="s">
        <v>1480</v>
      </c>
      <c r="G158" s="108">
        <v>3934577.37</v>
      </c>
      <c r="H158" s="87" t="e">
        <f t="shared" si="13"/>
        <v>#VALUE!</v>
      </c>
      <c r="I158" s="37" t="e">
        <f t="shared" si="16"/>
        <v>#VALUE!</v>
      </c>
      <c r="J158" s="37" t="e">
        <f t="shared" si="14"/>
        <v>#VALUE!</v>
      </c>
      <c r="K158" t="s">
        <v>1730</v>
      </c>
      <c r="M158" s="36" t="s">
        <v>1480</v>
      </c>
      <c r="N158" t="b">
        <f t="shared" si="15"/>
        <v>1</v>
      </c>
    </row>
    <row r="159" spans="1:14" hidden="1" x14ac:dyDescent="0.35">
      <c r="A159" s="88" t="s">
        <v>1085</v>
      </c>
      <c r="B159" s="88" t="s">
        <v>790</v>
      </c>
      <c r="C159" s="18" t="s">
        <v>573</v>
      </c>
      <c r="D159" t="s">
        <v>507</v>
      </c>
      <c r="E159" s="18" t="s">
        <v>1344</v>
      </c>
      <c r="F159" s="36" t="s">
        <v>1480</v>
      </c>
      <c r="G159" s="108">
        <v>3662353.08</v>
      </c>
      <c r="H159" s="87" t="e">
        <f t="shared" si="13"/>
        <v>#VALUE!</v>
      </c>
      <c r="I159" s="37" t="e">
        <f t="shared" si="16"/>
        <v>#VALUE!</v>
      </c>
      <c r="J159" s="37" t="e">
        <f t="shared" si="14"/>
        <v>#VALUE!</v>
      </c>
      <c r="K159" t="s">
        <v>1730</v>
      </c>
      <c r="M159" s="36" t="s">
        <v>1480</v>
      </c>
      <c r="N159" t="b">
        <f t="shared" si="15"/>
        <v>1</v>
      </c>
    </row>
    <row r="160" spans="1:14" hidden="1" x14ac:dyDescent="0.35">
      <c r="A160" s="88" t="s">
        <v>1085</v>
      </c>
      <c r="B160" s="88" t="s">
        <v>790</v>
      </c>
      <c r="C160" s="18" t="s">
        <v>1329</v>
      </c>
      <c r="D160" t="s">
        <v>507</v>
      </c>
      <c r="E160" s="18" t="s">
        <v>1345</v>
      </c>
      <c r="F160" s="36" t="s">
        <v>1481</v>
      </c>
      <c r="G160" s="108">
        <v>2894921.73</v>
      </c>
      <c r="H160" s="87" t="e">
        <f t="shared" si="13"/>
        <v>#VALUE!</v>
      </c>
      <c r="I160" s="37" t="e">
        <f t="shared" si="16"/>
        <v>#VALUE!</v>
      </c>
      <c r="J160" s="37" t="e">
        <f t="shared" si="14"/>
        <v>#VALUE!</v>
      </c>
      <c r="K160" t="s">
        <v>1730</v>
      </c>
      <c r="M160" s="36" t="s">
        <v>1481</v>
      </c>
      <c r="N160" t="b">
        <f t="shared" si="15"/>
        <v>1</v>
      </c>
    </row>
    <row r="161" spans="1:14" hidden="1" x14ac:dyDescent="0.35">
      <c r="A161" s="88" t="s">
        <v>1085</v>
      </c>
      <c r="B161" s="88" t="s">
        <v>790</v>
      </c>
      <c r="C161" s="18" t="s">
        <v>1328</v>
      </c>
      <c r="D161" t="s">
        <v>507</v>
      </c>
      <c r="E161" s="18" t="s">
        <v>1346</v>
      </c>
      <c r="F161" s="36" t="s">
        <v>1482</v>
      </c>
      <c r="G161" s="108">
        <v>3164826.45</v>
      </c>
      <c r="H161" s="87" t="e">
        <f t="shared" si="13"/>
        <v>#VALUE!</v>
      </c>
      <c r="I161" s="37" t="e">
        <f t="shared" si="16"/>
        <v>#VALUE!</v>
      </c>
      <c r="J161" s="37" t="e">
        <f t="shared" si="14"/>
        <v>#VALUE!</v>
      </c>
      <c r="K161" t="s">
        <v>1730</v>
      </c>
      <c r="M161" s="36" t="s">
        <v>1482</v>
      </c>
      <c r="N161" t="b">
        <f t="shared" si="15"/>
        <v>1</v>
      </c>
    </row>
    <row r="162" spans="1:14" hidden="1" x14ac:dyDescent="0.35">
      <c r="A162" s="88" t="s">
        <v>1085</v>
      </c>
      <c r="B162" s="88" t="s">
        <v>790</v>
      </c>
      <c r="C162" s="18" t="s">
        <v>1243</v>
      </c>
      <c r="D162" t="s">
        <v>507</v>
      </c>
      <c r="E162" s="18" t="s">
        <v>1347</v>
      </c>
      <c r="F162" s="36" t="s">
        <v>1483</v>
      </c>
      <c r="G162" s="108">
        <f>2634141.29-1350000</f>
        <v>1284141.29</v>
      </c>
      <c r="H162" s="87" t="e">
        <f t="shared" si="13"/>
        <v>#VALUE!</v>
      </c>
      <c r="I162" s="37" t="e">
        <f t="shared" si="16"/>
        <v>#VALUE!</v>
      </c>
      <c r="J162" s="37" t="e">
        <f t="shared" si="14"/>
        <v>#VALUE!</v>
      </c>
      <c r="K162" t="s">
        <v>1730</v>
      </c>
      <c r="M162" s="36" t="s">
        <v>1483</v>
      </c>
      <c r="N162" t="b">
        <f t="shared" si="15"/>
        <v>1</v>
      </c>
    </row>
    <row r="163" spans="1:14" hidden="1" x14ac:dyDescent="0.35">
      <c r="A163" s="88" t="s">
        <v>1085</v>
      </c>
      <c r="B163" s="88" t="s">
        <v>790</v>
      </c>
      <c r="C163" s="18" t="s">
        <v>1243</v>
      </c>
      <c r="D163" t="s">
        <v>507</v>
      </c>
      <c r="E163" s="18" t="s">
        <v>1348</v>
      </c>
      <c r="F163" s="36" t="s">
        <v>1483</v>
      </c>
      <c r="G163" s="108">
        <v>167784.01</v>
      </c>
      <c r="H163" s="87" t="e">
        <f t="shared" si="13"/>
        <v>#VALUE!</v>
      </c>
      <c r="I163" s="37" t="e">
        <f t="shared" si="16"/>
        <v>#VALUE!</v>
      </c>
      <c r="J163" s="37" t="e">
        <f t="shared" si="14"/>
        <v>#VALUE!</v>
      </c>
      <c r="K163" t="s">
        <v>1730</v>
      </c>
      <c r="M163" s="36" t="s">
        <v>1483</v>
      </c>
      <c r="N163" t="b">
        <f t="shared" si="15"/>
        <v>1</v>
      </c>
    </row>
    <row r="164" spans="1:14" s="124" customFormat="1" hidden="1" x14ac:dyDescent="0.35">
      <c r="A164" s="125" t="s">
        <v>1085</v>
      </c>
      <c r="B164" s="125" t="s">
        <v>790</v>
      </c>
      <c r="C164" s="120" t="s">
        <v>1249</v>
      </c>
      <c r="D164" s="124" t="s">
        <v>507</v>
      </c>
      <c r="E164" s="120" t="s">
        <v>1349</v>
      </c>
      <c r="F164" s="121" t="s">
        <v>1443</v>
      </c>
      <c r="G164" s="122">
        <f>3281775</f>
        <v>3281775</v>
      </c>
      <c r="H164" s="126">
        <f t="shared" si="13"/>
        <v>179</v>
      </c>
      <c r="I164" s="123" t="str">
        <f t="shared" si="16"/>
        <v>121-180 DAYS</v>
      </c>
      <c r="J164" s="123" t="str">
        <f t="shared" si="14"/>
        <v>0-180 DAYS</v>
      </c>
      <c r="K164" s="124" t="s">
        <v>1730</v>
      </c>
      <c r="M164" s="121" t="s">
        <v>1443</v>
      </c>
      <c r="N164" s="124" t="b">
        <f t="shared" si="15"/>
        <v>1</v>
      </c>
    </row>
    <row r="165" spans="1:14" hidden="1" x14ac:dyDescent="0.35">
      <c r="A165" s="88" t="s">
        <v>1085</v>
      </c>
      <c r="B165" s="88" t="s">
        <v>790</v>
      </c>
      <c r="C165" s="18" t="s">
        <v>1054</v>
      </c>
      <c r="D165" t="s">
        <v>507</v>
      </c>
      <c r="E165" s="18" t="s">
        <v>1350</v>
      </c>
      <c r="F165" s="36" t="s">
        <v>1484</v>
      </c>
      <c r="G165" s="108">
        <v>2954033.43</v>
      </c>
      <c r="H165" s="87">
        <f t="shared" si="13"/>
        <v>148</v>
      </c>
      <c r="I165" s="37" t="str">
        <f t="shared" si="16"/>
        <v>121-180 DAYS</v>
      </c>
      <c r="J165" s="37" t="str">
        <f t="shared" si="14"/>
        <v>0-180 DAYS</v>
      </c>
      <c r="K165" t="s">
        <v>1730</v>
      </c>
      <c r="M165" s="36" t="s">
        <v>1484</v>
      </c>
      <c r="N165" t="b">
        <f t="shared" si="15"/>
        <v>1</v>
      </c>
    </row>
    <row r="166" spans="1:14" hidden="1" x14ac:dyDescent="0.35">
      <c r="A166" s="88" t="s">
        <v>1085</v>
      </c>
      <c r="B166" s="88" t="s">
        <v>790</v>
      </c>
      <c r="C166" s="18" t="s">
        <v>538</v>
      </c>
      <c r="D166" t="s">
        <v>507</v>
      </c>
      <c r="E166" s="18" t="s">
        <v>1351</v>
      </c>
      <c r="F166" s="36" t="s">
        <v>1471</v>
      </c>
      <c r="G166" s="112">
        <v>3079161.83</v>
      </c>
      <c r="H166" s="87">
        <f t="shared" si="13"/>
        <v>88</v>
      </c>
      <c r="I166" s="37" t="str">
        <f t="shared" si="16"/>
        <v>0-120 DAYS</v>
      </c>
      <c r="J166" s="37" t="str">
        <f t="shared" si="14"/>
        <v>0-180 DAYS</v>
      </c>
      <c r="K166" t="s">
        <v>1730</v>
      </c>
      <c r="M166" s="36" t="s">
        <v>1471</v>
      </c>
      <c r="N166" t="b">
        <f t="shared" si="15"/>
        <v>1</v>
      </c>
    </row>
    <row r="167" spans="1:14" hidden="1" x14ac:dyDescent="0.35">
      <c r="A167" s="88" t="s">
        <v>1085</v>
      </c>
      <c r="B167" s="88" t="s">
        <v>790</v>
      </c>
      <c r="C167" s="18" t="s">
        <v>570</v>
      </c>
      <c r="D167" t="s">
        <v>507</v>
      </c>
      <c r="E167" s="18" t="s">
        <v>1352</v>
      </c>
      <c r="F167" s="36" t="s">
        <v>1473</v>
      </c>
      <c r="G167" s="108">
        <v>3047940</v>
      </c>
      <c r="H167" s="87">
        <f t="shared" si="13"/>
        <v>-95</v>
      </c>
      <c r="I167" s="37" t="str">
        <f t="shared" si="16"/>
        <v>0-120 DAYS</v>
      </c>
      <c r="J167" s="37" t="str">
        <f t="shared" si="14"/>
        <v>0-180 DAYS</v>
      </c>
      <c r="K167" t="s">
        <v>1730</v>
      </c>
      <c r="M167" s="36" t="s">
        <v>1473</v>
      </c>
      <c r="N167" t="b">
        <f t="shared" si="15"/>
        <v>1</v>
      </c>
    </row>
    <row r="168" spans="1:14" hidden="1" x14ac:dyDescent="0.35">
      <c r="A168" s="88" t="s">
        <v>1085</v>
      </c>
      <c r="B168" s="88" t="s">
        <v>790</v>
      </c>
      <c r="C168" s="18" t="s">
        <v>570</v>
      </c>
      <c r="D168" t="s">
        <v>507</v>
      </c>
      <c r="E168" s="18" t="s">
        <v>1353</v>
      </c>
      <c r="F168" s="36" t="s">
        <v>1474</v>
      </c>
      <c r="G168" s="108">
        <v>3319099.28</v>
      </c>
      <c r="H168" s="87">
        <f t="shared" si="13"/>
        <v>-126</v>
      </c>
      <c r="I168" s="37" t="str">
        <f t="shared" si="16"/>
        <v>0-120 DAYS</v>
      </c>
      <c r="J168" s="37" t="str">
        <f t="shared" si="14"/>
        <v>0-180 DAYS</v>
      </c>
      <c r="K168" t="s">
        <v>1730</v>
      </c>
      <c r="M168" s="36" t="s">
        <v>1474</v>
      </c>
      <c r="N168" t="b">
        <f t="shared" si="15"/>
        <v>1</v>
      </c>
    </row>
    <row r="169" spans="1:14" x14ac:dyDescent="0.35">
      <c r="A169" s="88" t="s">
        <v>1085</v>
      </c>
      <c r="B169" s="88" t="s">
        <v>790</v>
      </c>
      <c r="C169" s="18" t="s">
        <v>1086</v>
      </c>
      <c r="D169" t="s">
        <v>507</v>
      </c>
      <c r="E169" s="18" t="s">
        <v>1354</v>
      </c>
      <c r="F169" s="36" t="s">
        <v>1475</v>
      </c>
      <c r="G169" s="108">
        <v>989839.58</v>
      </c>
      <c r="H169" s="87">
        <f t="shared" si="13"/>
        <v>-156</v>
      </c>
      <c r="I169" s="37" t="str">
        <f t="shared" si="16"/>
        <v>0-120 DAYS</v>
      </c>
      <c r="J169" s="37" t="str">
        <f t="shared" si="14"/>
        <v>0-180 DAYS</v>
      </c>
      <c r="K169" t="s">
        <v>1730</v>
      </c>
      <c r="M169" s="36" t="s">
        <v>1475</v>
      </c>
      <c r="N169" t="b">
        <f t="shared" si="15"/>
        <v>1</v>
      </c>
    </row>
    <row r="170" spans="1:14" x14ac:dyDescent="0.35">
      <c r="A170" s="88" t="s">
        <v>1085</v>
      </c>
      <c r="B170" s="88" t="s">
        <v>790</v>
      </c>
      <c r="C170" s="18" t="s">
        <v>1086</v>
      </c>
      <c r="D170" t="s">
        <v>507</v>
      </c>
      <c r="E170" s="18" t="s">
        <v>1355</v>
      </c>
      <c r="F170" s="36" t="s">
        <v>1475</v>
      </c>
      <c r="G170" s="108">
        <v>866179.94</v>
      </c>
      <c r="H170" s="87">
        <f t="shared" si="13"/>
        <v>-156</v>
      </c>
      <c r="I170" s="37" t="str">
        <f t="shared" si="16"/>
        <v>0-120 DAYS</v>
      </c>
      <c r="J170" s="37" t="str">
        <f t="shared" si="14"/>
        <v>0-180 DAYS</v>
      </c>
      <c r="K170" t="s">
        <v>1730</v>
      </c>
      <c r="M170" s="36" t="s">
        <v>1475</v>
      </c>
      <c r="N170" t="b">
        <f t="shared" si="15"/>
        <v>1</v>
      </c>
    </row>
    <row r="171" spans="1:14" x14ac:dyDescent="0.35">
      <c r="A171" s="88" t="s">
        <v>1085</v>
      </c>
      <c r="B171" s="88" t="s">
        <v>790</v>
      </c>
      <c r="C171" s="18" t="s">
        <v>1086</v>
      </c>
      <c r="D171" t="s">
        <v>507</v>
      </c>
      <c r="E171" s="18" t="s">
        <v>1356</v>
      </c>
      <c r="F171" s="36" t="s">
        <v>1475</v>
      </c>
      <c r="G171" s="108">
        <v>29467.55</v>
      </c>
      <c r="H171" s="87">
        <f t="shared" si="13"/>
        <v>-156</v>
      </c>
      <c r="I171" s="37" t="str">
        <f t="shared" si="16"/>
        <v>0-120 DAYS</v>
      </c>
      <c r="J171" s="37" t="str">
        <f t="shared" si="14"/>
        <v>0-180 DAYS</v>
      </c>
      <c r="K171" t="s">
        <v>1730</v>
      </c>
      <c r="M171" s="36" t="s">
        <v>1475</v>
      </c>
      <c r="N171" t="b">
        <f t="shared" si="15"/>
        <v>1</v>
      </c>
    </row>
    <row r="172" spans="1:14" x14ac:dyDescent="0.35">
      <c r="A172" s="88" t="s">
        <v>1085</v>
      </c>
      <c r="B172" s="88" t="s">
        <v>790</v>
      </c>
      <c r="C172" s="18" t="s">
        <v>1086</v>
      </c>
      <c r="D172" t="s">
        <v>507</v>
      </c>
      <c r="E172" s="18" t="s">
        <v>1357</v>
      </c>
      <c r="F172" s="36" t="s">
        <v>1475</v>
      </c>
      <c r="G172" s="108">
        <v>635013.93000000005</v>
      </c>
      <c r="H172" s="87">
        <f t="shared" si="13"/>
        <v>-156</v>
      </c>
      <c r="I172" s="37" t="str">
        <f t="shared" si="16"/>
        <v>0-120 DAYS</v>
      </c>
      <c r="J172" s="37" t="str">
        <f t="shared" si="14"/>
        <v>0-180 DAYS</v>
      </c>
      <c r="K172" t="s">
        <v>1730</v>
      </c>
      <c r="M172" s="36" t="s">
        <v>1475</v>
      </c>
      <c r="N172" t="b">
        <f t="shared" si="15"/>
        <v>1</v>
      </c>
    </row>
    <row r="173" spans="1:14" hidden="1" x14ac:dyDescent="0.35">
      <c r="A173" s="88" t="s">
        <v>1085</v>
      </c>
      <c r="B173" s="88" t="s">
        <v>790</v>
      </c>
      <c r="C173" s="18" t="s">
        <v>1054</v>
      </c>
      <c r="D173" t="s">
        <v>507</v>
      </c>
      <c r="E173" s="18" t="s">
        <v>1358</v>
      </c>
      <c r="F173" s="36" t="s">
        <v>1485</v>
      </c>
      <c r="G173" s="108">
        <v>3013989.1</v>
      </c>
      <c r="H173" s="87" t="e">
        <f t="shared" si="13"/>
        <v>#VALUE!</v>
      </c>
      <c r="I173" s="37" t="e">
        <f t="shared" si="16"/>
        <v>#VALUE!</v>
      </c>
      <c r="J173" s="37" t="e">
        <f t="shared" si="14"/>
        <v>#VALUE!</v>
      </c>
      <c r="K173" t="s">
        <v>1730</v>
      </c>
      <c r="M173" s="36" t="s">
        <v>1485</v>
      </c>
      <c r="N173" t="b">
        <f t="shared" si="15"/>
        <v>1</v>
      </c>
    </row>
    <row r="174" spans="1:14" hidden="1" x14ac:dyDescent="0.35">
      <c r="A174" s="88" t="s">
        <v>1085</v>
      </c>
      <c r="B174" s="88" t="s">
        <v>790</v>
      </c>
      <c r="C174" s="18" t="s">
        <v>570</v>
      </c>
      <c r="D174" t="s">
        <v>507</v>
      </c>
      <c r="E174" s="18" t="s">
        <v>1359</v>
      </c>
      <c r="F174" s="36" t="s">
        <v>1486</v>
      </c>
      <c r="G174" s="108">
        <v>3515742.4</v>
      </c>
      <c r="H174" s="87" t="e">
        <f t="shared" si="13"/>
        <v>#VALUE!</v>
      </c>
      <c r="I174" s="37" t="e">
        <f t="shared" si="16"/>
        <v>#VALUE!</v>
      </c>
      <c r="J174" s="37" t="e">
        <f t="shared" si="14"/>
        <v>#VALUE!</v>
      </c>
      <c r="K174" t="s">
        <v>1730</v>
      </c>
      <c r="M174" s="36" t="s">
        <v>1486</v>
      </c>
      <c r="N174" t="b">
        <f t="shared" si="15"/>
        <v>1</v>
      </c>
    </row>
    <row r="175" spans="1:14" hidden="1" x14ac:dyDescent="0.35">
      <c r="A175" s="88" t="s">
        <v>1085</v>
      </c>
      <c r="B175" s="88" t="s">
        <v>790</v>
      </c>
      <c r="C175" s="18" t="s">
        <v>575</v>
      </c>
      <c r="D175" t="s">
        <v>507</v>
      </c>
      <c r="E175" s="18" t="s">
        <v>1360</v>
      </c>
      <c r="F175" s="36" t="s">
        <v>1480</v>
      </c>
      <c r="G175" s="108">
        <v>3093422.69</v>
      </c>
      <c r="H175" s="87" t="e">
        <f t="shared" si="13"/>
        <v>#VALUE!</v>
      </c>
      <c r="I175" s="37" t="e">
        <f t="shared" si="16"/>
        <v>#VALUE!</v>
      </c>
      <c r="J175" s="37" t="e">
        <f t="shared" si="14"/>
        <v>#VALUE!</v>
      </c>
      <c r="K175" t="s">
        <v>1730</v>
      </c>
      <c r="M175" s="36" t="s">
        <v>1480</v>
      </c>
      <c r="N175" t="b">
        <f t="shared" si="15"/>
        <v>1</v>
      </c>
    </row>
    <row r="176" spans="1:14" hidden="1" x14ac:dyDescent="0.35">
      <c r="A176" s="88" t="s">
        <v>1085</v>
      </c>
      <c r="B176" s="88" t="s">
        <v>790</v>
      </c>
      <c r="C176" s="18" t="s">
        <v>596</v>
      </c>
      <c r="D176" t="s">
        <v>507</v>
      </c>
      <c r="E176" s="18" t="s">
        <v>1361</v>
      </c>
      <c r="F176" s="36" t="s">
        <v>1480</v>
      </c>
      <c r="G176" s="108">
        <v>3436581.96</v>
      </c>
      <c r="H176" s="87" t="e">
        <f t="shared" si="13"/>
        <v>#VALUE!</v>
      </c>
      <c r="I176" s="37" t="e">
        <f t="shared" si="16"/>
        <v>#VALUE!</v>
      </c>
      <c r="J176" s="37" t="e">
        <f t="shared" si="14"/>
        <v>#VALUE!</v>
      </c>
      <c r="K176" t="s">
        <v>1730</v>
      </c>
      <c r="M176" s="36" t="s">
        <v>1480</v>
      </c>
      <c r="N176" t="b">
        <f t="shared" si="15"/>
        <v>1</v>
      </c>
    </row>
    <row r="177" spans="1:14" hidden="1" x14ac:dyDescent="0.35">
      <c r="A177" s="88" t="s">
        <v>1085</v>
      </c>
      <c r="B177" s="88" t="s">
        <v>790</v>
      </c>
      <c r="C177" s="18" t="s">
        <v>1249</v>
      </c>
      <c r="D177" t="s">
        <v>507</v>
      </c>
      <c r="E177" s="18" t="s">
        <v>1362</v>
      </c>
      <c r="F177" s="36" t="s">
        <v>1487</v>
      </c>
      <c r="G177" s="108">
        <v>3294768</v>
      </c>
      <c r="H177" s="87" t="e">
        <f t="shared" si="13"/>
        <v>#VALUE!</v>
      </c>
      <c r="I177" s="37" t="e">
        <f t="shared" si="16"/>
        <v>#VALUE!</v>
      </c>
      <c r="J177" s="37" t="e">
        <f t="shared" si="14"/>
        <v>#VALUE!</v>
      </c>
      <c r="K177" t="s">
        <v>1730</v>
      </c>
      <c r="M177" s="36" t="s">
        <v>1487</v>
      </c>
      <c r="N177" t="b">
        <f t="shared" si="15"/>
        <v>1</v>
      </c>
    </row>
    <row r="178" spans="1:14" hidden="1" x14ac:dyDescent="0.35">
      <c r="A178" s="88" t="s">
        <v>1085</v>
      </c>
      <c r="B178" s="88" t="s">
        <v>790</v>
      </c>
      <c r="C178" s="18" t="s">
        <v>522</v>
      </c>
      <c r="D178" t="s">
        <v>507</v>
      </c>
      <c r="E178" s="18" t="s">
        <v>1363</v>
      </c>
      <c r="F178" s="36" t="s">
        <v>1482</v>
      </c>
      <c r="G178" s="108">
        <v>3275861.78</v>
      </c>
      <c r="H178" s="87" t="e">
        <f t="shared" si="13"/>
        <v>#VALUE!</v>
      </c>
      <c r="I178" s="37" t="e">
        <f t="shared" si="16"/>
        <v>#VALUE!</v>
      </c>
      <c r="J178" s="37" t="e">
        <f t="shared" si="14"/>
        <v>#VALUE!</v>
      </c>
      <c r="K178" t="s">
        <v>1730</v>
      </c>
      <c r="M178" s="36" t="s">
        <v>1482</v>
      </c>
      <c r="N178" t="b">
        <f t="shared" si="15"/>
        <v>1</v>
      </c>
    </row>
    <row r="179" spans="1:14" hidden="1" x14ac:dyDescent="0.35">
      <c r="A179" s="88" t="s">
        <v>1085</v>
      </c>
      <c r="B179" s="88" t="s">
        <v>790</v>
      </c>
      <c r="C179" s="18" t="s">
        <v>543</v>
      </c>
      <c r="D179" t="s">
        <v>507</v>
      </c>
      <c r="E179" s="18" t="s">
        <v>1364</v>
      </c>
      <c r="F179" s="36" t="s">
        <v>1482</v>
      </c>
      <c r="G179" s="108">
        <v>1661002.56</v>
      </c>
      <c r="H179" s="87" t="e">
        <f t="shared" si="13"/>
        <v>#VALUE!</v>
      </c>
      <c r="I179" s="37" t="e">
        <f t="shared" si="16"/>
        <v>#VALUE!</v>
      </c>
      <c r="J179" s="37" t="e">
        <f t="shared" si="14"/>
        <v>#VALUE!</v>
      </c>
      <c r="K179" t="s">
        <v>1730</v>
      </c>
      <c r="M179" s="36" t="s">
        <v>1482</v>
      </c>
      <c r="N179" t="b">
        <f t="shared" si="15"/>
        <v>1</v>
      </c>
    </row>
    <row r="180" spans="1:14" hidden="1" x14ac:dyDescent="0.35">
      <c r="A180" s="88" t="s">
        <v>1085</v>
      </c>
      <c r="B180" s="88" t="s">
        <v>790</v>
      </c>
      <c r="C180" s="18" t="s">
        <v>1054</v>
      </c>
      <c r="D180" t="s">
        <v>507</v>
      </c>
      <c r="E180" s="18" t="s">
        <v>1365</v>
      </c>
      <c r="F180" s="36" t="s">
        <v>1488</v>
      </c>
      <c r="G180" s="108">
        <v>2999954.91</v>
      </c>
      <c r="H180" s="87" t="e">
        <f t="shared" si="13"/>
        <v>#VALUE!</v>
      </c>
      <c r="I180" s="37" t="e">
        <f t="shared" si="16"/>
        <v>#VALUE!</v>
      </c>
      <c r="J180" s="37" t="e">
        <f t="shared" si="14"/>
        <v>#VALUE!</v>
      </c>
      <c r="K180" t="s">
        <v>1730</v>
      </c>
      <c r="M180" s="36" t="s">
        <v>1488</v>
      </c>
      <c r="N180" t="b">
        <f t="shared" si="15"/>
        <v>1</v>
      </c>
    </row>
    <row r="181" spans="1:14" hidden="1" x14ac:dyDescent="0.35">
      <c r="A181" s="88" t="s">
        <v>1085</v>
      </c>
      <c r="B181" s="88" t="s">
        <v>790</v>
      </c>
      <c r="C181" s="18" t="s">
        <v>570</v>
      </c>
      <c r="D181" t="s">
        <v>507</v>
      </c>
      <c r="E181" s="18" t="s">
        <v>1366</v>
      </c>
      <c r="F181" s="36" t="s">
        <v>1488</v>
      </c>
      <c r="G181" s="108">
        <v>3051630</v>
      </c>
      <c r="H181" s="87" t="e">
        <f t="shared" si="13"/>
        <v>#VALUE!</v>
      </c>
      <c r="I181" s="37" t="e">
        <f t="shared" si="16"/>
        <v>#VALUE!</v>
      </c>
      <c r="J181" s="37" t="e">
        <f t="shared" si="14"/>
        <v>#VALUE!</v>
      </c>
      <c r="K181" t="s">
        <v>1730</v>
      </c>
      <c r="M181" s="36" t="s">
        <v>1488</v>
      </c>
      <c r="N181" t="b">
        <f t="shared" si="15"/>
        <v>1</v>
      </c>
    </row>
    <row r="182" spans="1:14" hidden="1" x14ac:dyDescent="0.35">
      <c r="A182" s="88" t="s">
        <v>1085</v>
      </c>
      <c r="B182" s="88" t="s">
        <v>790</v>
      </c>
      <c r="C182" s="18" t="s">
        <v>650</v>
      </c>
      <c r="D182" t="s">
        <v>507</v>
      </c>
      <c r="E182" s="18" t="s">
        <v>1367</v>
      </c>
      <c r="F182" s="36" t="s">
        <v>1442</v>
      </c>
      <c r="G182" s="108">
        <v>2757096.49</v>
      </c>
      <c r="H182" s="87" t="e">
        <f t="shared" si="13"/>
        <v>#VALUE!</v>
      </c>
      <c r="I182" s="37" t="e">
        <f t="shared" si="16"/>
        <v>#VALUE!</v>
      </c>
      <c r="J182" s="37" t="e">
        <f t="shared" si="14"/>
        <v>#VALUE!</v>
      </c>
      <c r="K182" t="s">
        <v>1730</v>
      </c>
      <c r="M182" s="36" t="s">
        <v>1442</v>
      </c>
      <c r="N182" t="b">
        <f t="shared" si="15"/>
        <v>1</v>
      </c>
    </row>
    <row r="183" spans="1:14" hidden="1" x14ac:dyDescent="0.35">
      <c r="A183" s="88" t="s">
        <v>1085</v>
      </c>
      <c r="B183" s="88" t="s">
        <v>790</v>
      </c>
      <c r="C183" s="18" t="s">
        <v>650</v>
      </c>
      <c r="D183" t="s">
        <v>507</v>
      </c>
      <c r="E183" s="18" t="s">
        <v>1368</v>
      </c>
      <c r="F183" s="36" t="s">
        <v>1442</v>
      </c>
      <c r="G183" s="108">
        <v>269667.5</v>
      </c>
      <c r="H183" s="87" t="e">
        <f t="shared" si="13"/>
        <v>#VALUE!</v>
      </c>
      <c r="I183" s="37" t="e">
        <f t="shared" si="16"/>
        <v>#VALUE!</v>
      </c>
      <c r="J183" s="37" t="e">
        <f t="shared" si="14"/>
        <v>#VALUE!</v>
      </c>
      <c r="K183" t="s">
        <v>1730</v>
      </c>
      <c r="M183" s="36" t="s">
        <v>1442</v>
      </c>
      <c r="N183" t="b">
        <f t="shared" si="15"/>
        <v>1</v>
      </c>
    </row>
    <row r="184" spans="1:14" hidden="1" x14ac:dyDescent="0.35">
      <c r="A184" s="88" t="s">
        <v>1085</v>
      </c>
      <c r="B184" s="88" t="s">
        <v>790</v>
      </c>
      <c r="C184" s="18" t="s">
        <v>1054</v>
      </c>
      <c r="D184" t="s">
        <v>507</v>
      </c>
      <c r="E184" s="18" t="s">
        <v>1369</v>
      </c>
      <c r="F184" s="36" t="s">
        <v>1489</v>
      </c>
      <c r="G184" s="108">
        <v>3167875.2</v>
      </c>
      <c r="H184" s="87">
        <f t="shared" si="13"/>
        <v>-34</v>
      </c>
      <c r="I184" s="37" t="str">
        <f t="shared" si="16"/>
        <v>0-120 DAYS</v>
      </c>
      <c r="J184" s="37" t="str">
        <f t="shared" si="14"/>
        <v>0-180 DAYS</v>
      </c>
      <c r="K184" t="s">
        <v>1730</v>
      </c>
      <c r="M184" s="36" t="s">
        <v>1489</v>
      </c>
      <c r="N184" t="b">
        <f t="shared" si="15"/>
        <v>1</v>
      </c>
    </row>
    <row r="185" spans="1:14" hidden="1" x14ac:dyDescent="0.35">
      <c r="A185" s="88" t="s">
        <v>1085</v>
      </c>
      <c r="B185" s="88" t="s">
        <v>790</v>
      </c>
      <c r="C185" s="18" t="s">
        <v>577</v>
      </c>
      <c r="D185" t="s">
        <v>507</v>
      </c>
      <c r="E185" s="18" t="s">
        <v>1370</v>
      </c>
      <c r="F185" s="36" t="s">
        <v>1489</v>
      </c>
      <c r="G185" s="108">
        <v>3347138.5</v>
      </c>
      <c r="H185" s="87">
        <f t="shared" si="13"/>
        <v>-34</v>
      </c>
      <c r="I185" s="37" t="str">
        <f t="shared" si="16"/>
        <v>0-120 DAYS</v>
      </c>
      <c r="J185" s="37" t="str">
        <f t="shared" si="14"/>
        <v>0-180 DAYS</v>
      </c>
      <c r="K185" t="s">
        <v>1730</v>
      </c>
      <c r="M185" s="36" t="s">
        <v>1489</v>
      </c>
      <c r="N185" t="b">
        <f t="shared" si="15"/>
        <v>1</v>
      </c>
    </row>
    <row r="186" spans="1:14" hidden="1" x14ac:dyDescent="0.35">
      <c r="A186" s="88" t="s">
        <v>1085</v>
      </c>
      <c r="B186" s="88" t="s">
        <v>790</v>
      </c>
      <c r="C186" s="18" t="s">
        <v>1055</v>
      </c>
      <c r="D186" t="s">
        <v>507</v>
      </c>
      <c r="E186" s="18" t="s">
        <v>1371</v>
      </c>
      <c r="F186" s="36" t="s">
        <v>1474</v>
      </c>
      <c r="G186" s="108">
        <v>28414.400000000001</v>
      </c>
      <c r="H186" s="87">
        <f t="shared" si="13"/>
        <v>-126</v>
      </c>
      <c r="I186" s="37" t="str">
        <f t="shared" si="16"/>
        <v>0-120 DAYS</v>
      </c>
      <c r="J186" s="37" t="str">
        <f t="shared" si="14"/>
        <v>0-180 DAYS</v>
      </c>
      <c r="K186" t="s">
        <v>1730</v>
      </c>
      <c r="M186" s="36" t="s">
        <v>1474</v>
      </c>
      <c r="N186" t="b">
        <f t="shared" si="15"/>
        <v>1</v>
      </c>
    </row>
    <row r="187" spans="1:14" hidden="1" x14ac:dyDescent="0.35">
      <c r="A187" s="88" t="s">
        <v>1085</v>
      </c>
      <c r="B187" s="88" t="s">
        <v>790</v>
      </c>
      <c r="C187" s="18" t="s">
        <v>588</v>
      </c>
      <c r="D187" t="s">
        <v>507</v>
      </c>
      <c r="E187" s="18" t="s">
        <v>1372</v>
      </c>
      <c r="F187" s="36" t="s">
        <v>1474</v>
      </c>
      <c r="G187" s="108">
        <v>3558366.7</v>
      </c>
      <c r="H187" s="87">
        <f t="shared" si="13"/>
        <v>-126</v>
      </c>
      <c r="I187" s="37" t="str">
        <f t="shared" si="16"/>
        <v>0-120 DAYS</v>
      </c>
      <c r="J187" s="37" t="str">
        <f t="shared" si="14"/>
        <v>0-180 DAYS</v>
      </c>
      <c r="K187" t="s">
        <v>1730</v>
      </c>
      <c r="M187" s="36" t="s">
        <v>1474</v>
      </c>
      <c r="N187" t="b">
        <f t="shared" si="15"/>
        <v>1</v>
      </c>
    </row>
    <row r="188" spans="1:14" hidden="1" x14ac:dyDescent="0.35">
      <c r="A188" s="88" t="s">
        <v>1085</v>
      </c>
      <c r="B188" s="88" t="s">
        <v>790</v>
      </c>
      <c r="C188" s="18" t="s">
        <v>1330</v>
      </c>
      <c r="D188" t="s">
        <v>507</v>
      </c>
      <c r="E188" s="18" t="s">
        <v>1373</v>
      </c>
      <c r="F188" s="36" t="s">
        <v>1490</v>
      </c>
      <c r="G188" s="108">
        <v>2198648.0299999998</v>
      </c>
      <c r="H188" s="87" t="e">
        <f t="shared" si="13"/>
        <v>#VALUE!</v>
      </c>
      <c r="I188" s="37" t="e">
        <f t="shared" si="16"/>
        <v>#VALUE!</v>
      </c>
      <c r="J188" s="37" t="e">
        <f t="shared" si="14"/>
        <v>#VALUE!</v>
      </c>
      <c r="K188" t="s">
        <v>1730</v>
      </c>
      <c r="M188" s="36" t="s">
        <v>1490</v>
      </c>
      <c r="N188" t="b">
        <f t="shared" si="15"/>
        <v>1</v>
      </c>
    </row>
    <row r="189" spans="1:14" hidden="1" x14ac:dyDescent="0.35">
      <c r="A189" s="88" t="s">
        <v>1085</v>
      </c>
      <c r="B189" s="88" t="s">
        <v>790</v>
      </c>
      <c r="C189" s="18" t="s">
        <v>588</v>
      </c>
      <c r="D189" t="s">
        <v>507</v>
      </c>
      <c r="E189" s="18" t="s">
        <v>1374</v>
      </c>
      <c r="F189" s="36" t="s">
        <v>1490</v>
      </c>
      <c r="G189" s="108">
        <v>3414684</v>
      </c>
      <c r="H189" s="87" t="e">
        <f t="shared" si="13"/>
        <v>#VALUE!</v>
      </c>
      <c r="I189" s="37" t="e">
        <f t="shared" si="16"/>
        <v>#VALUE!</v>
      </c>
      <c r="J189" s="37" t="e">
        <f t="shared" si="14"/>
        <v>#VALUE!</v>
      </c>
      <c r="K189" t="s">
        <v>1730</v>
      </c>
      <c r="M189" s="36" t="s">
        <v>1490</v>
      </c>
      <c r="N189" t="b">
        <f t="shared" si="15"/>
        <v>1</v>
      </c>
    </row>
    <row r="190" spans="1:14" hidden="1" x14ac:dyDescent="0.35">
      <c r="A190" s="88" t="s">
        <v>1085</v>
      </c>
      <c r="B190" s="88" t="s">
        <v>790</v>
      </c>
      <c r="C190" s="18" t="s">
        <v>1054</v>
      </c>
      <c r="D190" t="s">
        <v>507</v>
      </c>
      <c r="E190" s="18" t="s">
        <v>1375</v>
      </c>
      <c r="F190" s="36" t="s">
        <v>1478</v>
      </c>
      <c r="G190" s="108">
        <v>3167875.2</v>
      </c>
      <c r="H190" s="87" t="e">
        <f t="shared" si="13"/>
        <v>#VALUE!</v>
      </c>
      <c r="I190" s="37" t="e">
        <f t="shared" si="16"/>
        <v>#VALUE!</v>
      </c>
      <c r="J190" s="37" t="e">
        <f t="shared" si="14"/>
        <v>#VALUE!</v>
      </c>
      <c r="K190" t="s">
        <v>1730</v>
      </c>
      <c r="M190" s="36" t="s">
        <v>1478</v>
      </c>
      <c r="N190" t="b">
        <f t="shared" si="15"/>
        <v>1</v>
      </c>
    </row>
    <row r="191" spans="1:14" hidden="1" x14ac:dyDescent="0.35">
      <c r="A191" s="88" t="s">
        <v>1085</v>
      </c>
      <c r="B191" s="88" t="s">
        <v>790</v>
      </c>
      <c r="C191" s="18" t="s">
        <v>1055</v>
      </c>
      <c r="D191" t="s">
        <v>507</v>
      </c>
      <c r="E191" s="18" t="s">
        <v>1376</v>
      </c>
      <c r="F191" s="36" t="s">
        <v>1481</v>
      </c>
      <c r="G191" s="108">
        <v>2304352.7999999998</v>
      </c>
      <c r="H191" s="87" t="e">
        <f t="shared" si="13"/>
        <v>#VALUE!</v>
      </c>
      <c r="I191" s="37" t="e">
        <f t="shared" si="16"/>
        <v>#VALUE!</v>
      </c>
      <c r="J191" s="37" t="e">
        <f t="shared" si="14"/>
        <v>#VALUE!</v>
      </c>
      <c r="K191" t="s">
        <v>1730</v>
      </c>
      <c r="M191" s="36" t="s">
        <v>1481</v>
      </c>
      <c r="N191" t="b">
        <f t="shared" si="15"/>
        <v>1</v>
      </c>
    </row>
    <row r="192" spans="1:14" hidden="1" x14ac:dyDescent="0.35">
      <c r="A192" s="88" t="s">
        <v>1085</v>
      </c>
      <c r="B192" s="88" t="s">
        <v>790</v>
      </c>
      <c r="C192" s="18" t="s">
        <v>1055</v>
      </c>
      <c r="D192" t="s">
        <v>507</v>
      </c>
      <c r="E192" s="18" t="s">
        <v>1377</v>
      </c>
      <c r="F192" s="36" t="s">
        <v>1481</v>
      </c>
      <c r="G192" s="108">
        <v>633647.4</v>
      </c>
      <c r="H192" s="87" t="e">
        <f t="shared" si="13"/>
        <v>#VALUE!</v>
      </c>
      <c r="I192" s="37" t="e">
        <f t="shared" si="16"/>
        <v>#VALUE!</v>
      </c>
      <c r="J192" s="37" t="e">
        <f t="shared" si="14"/>
        <v>#VALUE!</v>
      </c>
      <c r="K192" t="s">
        <v>1730</v>
      </c>
      <c r="M192" s="36" t="s">
        <v>1481</v>
      </c>
      <c r="N192" t="b">
        <f t="shared" si="15"/>
        <v>1</v>
      </c>
    </row>
    <row r="193" spans="1:14" hidden="1" x14ac:dyDescent="0.35">
      <c r="A193" s="88" t="s">
        <v>1085</v>
      </c>
      <c r="B193" s="88" t="s">
        <v>790</v>
      </c>
      <c r="C193" s="18" t="s">
        <v>584</v>
      </c>
      <c r="D193" t="s">
        <v>507</v>
      </c>
      <c r="E193" s="18" t="s">
        <v>1378</v>
      </c>
      <c r="F193" s="36" t="s">
        <v>1482</v>
      </c>
      <c r="G193" s="108">
        <v>2998813.95</v>
      </c>
      <c r="H193" s="87" t="e">
        <f t="shared" si="13"/>
        <v>#VALUE!</v>
      </c>
      <c r="I193" s="37" t="e">
        <f t="shared" si="16"/>
        <v>#VALUE!</v>
      </c>
      <c r="J193" s="37" t="e">
        <f t="shared" si="14"/>
        <v>#VALUE!</v>
      </c>
      <c r="K193" t="s">
        <v>1730</v>
      </c>
      <c r="M193" s="36" t="s">
        <v>1482</v>
      </c>
      <c r="N193" t="b">
        <f t="shared" si="15"/>
        <v>1</v>
      </c>
    </row>
    <row r="194" spans="1:14" hidden="1" x14ac:dyDescent="0.35">
      <c r="A194" s="88" t="s">
        <v>1085</v>
      </c>
      <c r="B194" s="88" t="s">
        <v>790</v>
      </c>
      <c r="C194" s="18" t="s">
        <v>1331</v>
      </c>
      <c r="D194" t="s">
        <v>507</v>
      </c>
      <c r="E194" s="18" t="s">
        <v>1379</v>
      </c>
      <c r="F194" s="36" t="s">
        <v>1483</v>
      </c>
      <c r="G194" s="108">
        <v>1034451.8</v>
      </c>
      <c r="H194" s="87" t="e">
        <f t="shared" si="13"/>
        <v>#VALUE!</v>
      </c>
      <c r="I194" s="37" t="e">
        <f t="shared" si="16"/>
        <v>#VALUE!</v>
      </c>
      <c r="J194" s="37" t="e">
        <f t="shared" si="14"/>
        <v>#VALUE!</v>
      </c>
      <c r="K194" t="s">
        <v>1730</v>
      </c>
      <c r="M194" s="36" t="s">
        <v>1483</v>
      </c>
      <c r="N194" t="b">
        <f t="shared" si="15"/>
        <v>1</v>
      </c>
    </row>
    <row r="195" spans="1:14" hidden="1" x14ac:dyDescent="0.35">
      <c r="A195" s="88" t="s">
        <v>1085</v>
      </c>
      <c r="B195" s="88" t="s">
        <v>790</v>
      </c>
      <c r="C195" s="18" t="s">
        <v>588</v>
      </c>
      <c r="D195" t="s">
        <v>507</v>
      </c>
      <c r="E195" s="18" t="s">
        <v>1380</v>
      </c>
      <c r="F195" s="36" t="s">
        <v>1483</v>
      </c>
      <c r="G195" s="108">
        <v>3440679.75</v>
      </c>
      <c r="H195" s="87" t="e">
        <f t="shared" si="13"/>
        <v>#VALUE!</v>
      </c>
      <c r="I195" s="37" t="e">
        <f t="shared" si="16"/>
        <v>#VALUE!</v>
      </c>
      <c r="J195" s="37" t="e">
        <f t="shared" si="14"/>
        <v>#VALUE!</v>
      </c>
      <c r="K195" t="s">
        <v>1730</v>
      </c>
      <c r="M195" s="36" t="s">
        <v>1483</v>
      </c>
      <c r="N195" t="b">
        <f t="shared" si="15"/>
        <v>1</v>
      </c>
    </row>
    <row r="196" spans="1:14" hidden="1" x14ac:dyDescent="0.35">
      <c r="A196" s="88" t="s">
        <v>1085</v>
      </c>
      <c r="B196" s="88" t="s">
        <v>790</v>
      </c>
      <c r="C196" s="18" t="s">
        <v>588</v>
      </c>
      <c r="D196" t="s">
        <v>507</v>
      </c>
      <c r="E196" s="18" t="s">
        <v>1381</v>
      </c>
      <c r="F196" s="36" t="s">
        <v>1442</v>
      </c>
      <c r="G196" s="108">
        <v>3440394.43</v>
      </c>
      <c r="H196" s="87" t="e">
        <f t="shared" si="13"/>
        <v>#VALUE!</v>
      </c>
      <c r="I196" s="37" t="e">
        <f t="shared" si="16"/>
        <v>#VALUE!</v>
      </c>
      <c r="J196" s="37" t="e">
        <f t="shared" si="14"/>
        <v>#VALUE!</v>
      </c>
      <c r="K196" t="s">
        <v>1730</v>
      </c>
      <c r="M196" s="36" t="s">
        <v>1442</v>
      </c>
      <c r="N196" t="b">
        <f t="shared" si="15"/>
        <v>1</v>
      </c>
    </row>
    <row r="197" spans="1:14" hidden="1" x14ac:dyDescent="0.35">
      <c r="A197" s="88" t="s">
        <v>1085</v>
      </c>
      <c r="B197" s="88" t="s">
        <v>790</v>
      </c>
      <c r="C197" s="18" t="s">
        <v>573</v>
      </c>
      <c r="D197" t="s">
        <v>507</v>
      </c>
      <c r="E197" s="18" t="s">
        <v>1382</v>
      </c>
      <c r="F197" s="36" t="s">
        <v>1471</v>
      </c>
      <c r="G197" s="108">
        <v>3810807.04</v>
      </c>
      <c r="H197" s="87">
        <f t="shared" si="13"/>
        <v>88</v>
      </c>
      <c r="I197" s="37" t="str">
        <f t="shared" si="16"/>
        <v>0-120 DAYS</v>
      </c>
      <c r="J197" s="37" t="str">
        <f t="shared" si="14"/>
        <v>0-180 DAYS</v>
      </c>
      <c r="K197" t="s">
        <v>1730</v>
      </c>
      <c r="M197" s="36" t="s">
        <v>1471</v>
      </c>
      <c r="N197" t="b">
        <f t="shared" si="15"/>
        <v>1</v>
      </c>
    </row>
    <row r="198" spans="1:14" hidden="1" x14ac:dyDescent="0.35">
      <c r="A198" s="88" t="s">
        <v>1085</v>
      </c>
      <c r="B198" s="88" t="s">
        <v>790</v>
      </c>
      <c r="C198" s="18" t="s">
        <v>598</v>
      </c>
      <c r="D198" t="s">
        <v>507</v>
      </c>
      <c r="E198" s="18" t="s">
        <v>1383</v>
      </c>
      <c r="F198" s="36" t="s">
        <v>1475</v>
      </c>
      <c r="G198" s="108">
        <f>3566082.01-2100000</f>
        <v>1466082.0099999998</v>
      </c>
      <c r="H198" s="87">
        <f t="shared" si="13"/>
        <v>-156</v>
      </c>
      <c r="I198" s="37" t="str">
        <f t="shared" si="16"/>
        <v>0-120 DAYS</v>
      </c>
      <c r="J198" s="37" t="str">
        <f t="shared" si="14"/>
        <v>0-180 DAYS</v>
      </c>
      <c r="K198" t="s">
        <v>1730</v>
      </c>
      <c r="M198" s="36" t="s">
        <v>1475</v>
      </c>
      <c r="N198" t="b">
        <f t="shared" si="15"/>
        <v>1</v>
      </c>
    </row>
    <row r="199" spans="1:14" hidden="1" x14ac:dyDescent="0.35">
      <c r="A199" s="88" t="s">
        <v>1085</v>
      </c>
      <c r="B199" s="88" t="s">
        <v>790</v>
      </c>
      <c r="C199" s="18" t="s">
        <v>536</v>
      </c>
      <c r="D199" t="s">
        <v>507</v>
      </c>
      <c r="E199" s="18" t="s">
        <v>1384</v>
      </c>
      <c r="F199" s="36" t="s">
        <v>1490</v>
      </c>
      <c r="G199" s="108">
        <v>3004517.93</v>
      </c>
      <c r="H199" s="87" t="e">
        <f t="shared" si="13"/>
        <v>#VALUE!</v>
      </c>
      <c r="I199" s="37" t="e">
        <f t="shared" si="16"/>
        <v>#VALUE!</v>
      </c>
      <c r="J199" s="37" t="e">
        <f t="shared" si="14"/>
        <v>#VALUE!</v>
      </c>
      <c r="K199" t="s">
        <v>1730</v>
      </c>
      <c r="M199" s="36" t="s">
        <v>1490</v>
      </c>
      <c r="N199" t="b">
        <f t="shared" si="15"/>
        <v>1</v>
      </c>
    </row>
    <row r="200" spans="1:14" hidden="1" x14ac:dyDescent="0.35">
      <c r="A200" s="88" t="s">
        <v>1085</v>
      </c>
      <c r="B200" s="88" t="s">
        <v>790</v>
      </c>
      <c r="C200" s="18" t="s">
        <v>536</v>
      </c>
      <c r="D200" t="s">
        <v>507</v>
      </c>
      <c r="E200" s="18" t="s">
        <v>1385</v>
      </c>
      <c r="F200" s="36" t="s">
        <v>1477</v>
      </c>
      <c r="G200" s="108">
        <v>2913714.46</v>
      </c>
      <c r="H200" s="87" t="e">
        <f t="shared" ref="H200:H210" si="17">$H$2-F200+1</f>
        <v>#VALUE!</v>
      </c>
      <c r="I200" s="37" t="e">
        <f t="shared" si="16"/>
        <v>#VALUE!</v>
      </c>
      <c r="J200" s="37" t="e">
        <f t="shared" ref="J200:J210" si="18">IF(H200&lt;180,"0-180 DAYS","More than 180 Days")</f>
        <v>#VALUE!</v>
      </c>
      <c r="K200" t="s">
        <v>1730</v>
      </c>
      <c r="M200" s="36" t="s">
        <v>1477</v>
      </c>
      <c r="N200" t="b">
        <f t="shared" ref="N200:N210" si="19">M200=F200</f>
        <v>1</v>
      </c>
    </row>
    <row r="201" spans="1:14" hidden="1" x14ac:dyDescent="0.35">
      <c r="A201" s="88" t="s">
        <v>1085</v>
      </c>
      <c r="B201" s="88" t="s">
        <v>790</v>
      </c>
      <c r="C201" s="18" t="s">
        <v>1332</v>
      </c>
      <c r="D201" t="s">
        <v>507</v>
      </c>
      <c r="E201" s="18" t="s">
        <v>1386</v>
      </c>
      <c r="F201" s="36" t="s">
        <v>1481</v>
      </c>
      <c r="G201" s="108">
        <f>3412087.41-1500000</f>
        <v>1912087.4100000001</v>
      </c>
      <c r="H201" s="87" t="e">
        <f t="shared" si="17"/>
        <v>#VALUE!</v>
      </c>
      <c r="I201" s="37" t="e">
        <f t="shared" si="16"/>
        <v>#VALUE!</v>
      </c>
      <c r="J201" s="37" t="e">
        <f t="shared" si="18"/>
        <v>#VALUE!</v>
      </c>
      <c r="K201" t="s">
        <v>1730</v>
      </c>
      <c r="M201" s="36" t="s">
        <v>1481</v>
      </c>
      <c r="N201" t="b">
        <f t="shared" si="19"/>
        <v>1</v>
      </c>
    </row>
    <row r="202" spans="1:14" hidden="1" x14ac:dyDescent="0.35">
      <c r="A202" s="88" t="s">
        <v>477</v>
      </c>
      <c r="B202" s="88" t="s">
        <v>790</v>
      </c>
      <c r="C202" s="18" t="s">
        <v>1080</v>
      </c>
      <c r="D202" s="18" t="s">
        <v>1081</v>
      </c>
      <c r="E202" s="18" t="s">
        <v>1387</v>
      </c>
      <c r="F202" s="36" t="s">
        <v>1443</v>
      </c>
      <c r="G202" s="108">
        <v>2445250.2799999998</v>
      </c>
      <c r="H202" s="87">
        <f t="shared" si="17"/>
        <v>179</v>
      </c>
      <c r="I202" s="37" t="str">
        <f t="shared" ref="I202:I210" si="20">IF(H202&lt;91,"1-90 DAYS",IF(H202&lt;121,"91-120DAYS",IF(H202&lt;181,"121-180 DAYS","More than 180 Days")))</f>
        <v>121-180 DAYS</v>
      </c>
      <c r="J202" s="37" t="str">
        <f t="shared" si="18"/>
        <v>0-180 DAYS</v>
      </c>
      <c r="K202" t="s">
        <v>1730</v>
      </c>
      <c r="M202" s="36" t="s">
        <v>1443</v>
      </c>
      <c r="N202" t="b">
        <f t="shared" si="19"/>
        <v>1</v>
      </c>
    </row>
    <row r="203" spans="1:14" hidden="1" x14ac:dyDescent="0.35">
      <c r="A203" s="88" t="s">
        <v>477</v>
      </c>
      <c r="B203" s="88" t="s">
        <v>790</v>
      </c>
      <c r="C203" s="18" t="s">
        <v>1080</v>
      </c>
      <c r="D203" s="18" t="s">
        <v>1081</v>
      </c>
      <c r="E203" s="18" t="s">
        <v>1388</v>
      </c>
      <c r="F203" s="36" t="s">
        <v>1471</v>
      </c>
      <c r="G203" s="108">
        <v>2941258.56</v>
      </c>
      <c r="H203" s="87">
        <f t="shared" si="17"/>
        <v>88</v>
      </c>
      <c r="I203" s="37" t="str">
        <f t="shared" si="20"/>
        <v>1-90 DAYS</v>
      </c>
      <c r="J203" s="37" t="str">
        <f t="shared" si="18"/>
        <v>0-180 DAYS</v>
      </c>
      <c r="K203" t="s">
        <v>1730</v>
      </c>
      <c r="M203" s="36" t="s">
        <v>1471</v>
      </c>
      <c r="N203" t="b">
        <f t="shared" si="19"/>
        <v>1</v>
      </c>
    </row>
    <row r="204" spans="1:14" hidden="1" x14ac:dyDescent="0.35">
      <c r="A204" s="88" t="s">
        <v>477</v>
      </c>
      <c r="B204" s="88" t="s">
        <v>790</v>
      </c>
      <c r="C204" s="18" t="s">
        <v>1087</v>
      </c>
      <c r="D204" s="18" t="s">
        <v>1088</v>
      </c>
      <c r="E204" s="18" t="s">
        <v>1389</v>
      </c>
      <c r="F204" s="36" t="s">
        <v>1473</v>
      </c>
      <c r="G204" s="108">
        <v>476.24</v>
      </c>
      <c r="H204" s="87">
        <f t="shared" si="17"/>
        <v>-95</v>
      </c>
      <c r="I204" s="37" t="str">
        <f t="shared" si="20"/>
        <v>1-90 DAYS</v>
      </c>
      <c r="J204" s="37" t="str">
        <f t="shared" si="18"/>
        <v>0-180 DAYS</v>
      </c>
      <c r="K204" t="s">
        <v>1730</v>
      </c>
      <c r="M204" s="36" t="s">
        <v>1473</v>
      </c>
      <c r="N204" t="b">
        <f t="shared" si="19"/>
        <v>1</v>
      </c>
    </row>
    <row r="205" spans="1:14" hidden="1" x14ac:dyDescent="0.35">
      <c r="A205" s="88" t="s">
        <v>477</v>
      </c>
      <c r="B205" s="88" t="s">
        <v>790</v>
      </c>
      <c r="C205" s="18" t="s">
        <v>26</v>
      </c>
      <c r="D205" s="18" t="s">
        <v>27</v>
      </c>
      <c r="E205" s="18" t="s">
        <v>1390</v>
      </c>
      <c r="F205" s="36" t="s">
        <v>1474</v>
      </c>
      <c r="G205" s="108">
        <v>1152.26</v>
      </c>
      <c r="H205" s="87">
        <f t="shared" si="17"/>
        <v>-126</v>
      </c>
      <c r="I205" s="37" t="str">
        <f t="shared" si="20"/>
        <v>1-90 DAYS</v>
      </c>
      <c r="J205" s="37" t="str">
        <f t="shared" si="18"/>
        <v>0-180 DAYS</v>
      </c>
      <c r="K205" t="s">
        <v>1730</v>
      </c>
      <c r="M205" s="36" t="s">
        <v>1474</v>
      </c>
      <c r="N205" t="b">
        <f t="shared" si="19"/>
        <v>1</v>
      </c>
    </row>
    <row r="206" spans="1:14" hidden="1" x14ac:dyDescent="0.35">
      <c r="A206" s="88" t="s">
        <v>477</v>
      </c>
      <c r="B206" s="88" t="s">
        <v>790</v>
      </c>
      <c r="C206" s="18" t="s">
        <v>1080</v>
      </c>
      <c r="D206" s="18" t="s">
        <v>1081</v>
      </c>
      <c r="E206" s="18" t="s">
        <v>1391</v>
      </c>
      <c r="F206" s="36" t="s">
        <v>1490</v>
      </c>
      <c r="G206" s="108">
        <v>289301.49</v>
      </c>
      <c r="H206" s="87" t="e">
        <f t="shared" si="17"/>
        <v>#VALUE!</v>
      </c>
      <c r="I206" s="37" t="e">
        <f t="shared" si="20"/>
        <v>#VALUE!</v>
      </c>
      <c r="J206" s="37" t="e">
        <f t="shared" si="18"/>
        <v>#VALUE!</v>
      </c>
      <c r="K206" t="s">
        <v>1730</v>
      </c>
      <c r="M206" s="36" t="s">
        <v>1490</v>
      </c>
      <c r="N206" t="b">
        <f t="shared" si="19"/>
        <v>1</v>
      </c>
    </row>
    <row r="207" spans="1:14" hidden="1" x14ac:dyDescent="0.35">
      <c r="A207" s="88" t="s">
        <v>477</v>
      </c>
      <c r="B207" s="88" t="s">
        <v>790</v>
      </c>
      <c r="C207" s="18" t="s">
        <v>1080</v>
      </c>
      <c r="D207" s="18" t="s">
        <v>1081</v>
      </c>
      <c r="E207" s="18" t="s">
        <v>1392</v>
      </c>
      <c r="F207" s="36" t="s">
        <v>1477</v>
      </c>
      <c r="G207" s="108">
        <v>234037.18</v>
      </c>
      <c r="H207" s="87" t="e">
        <f t="shared" si="17"/>
        <v>#VALUE!</v>
      </c>
      <c r="I207" s="37" t="e">
        <f t="shared" si="20"/>
        <v>#VALUE!</v>
      </c>
      <c r="J207" s="37" t="e">
        <f t="shared" si="18"/>
        <v>#VALUE!</v>
      </c>
      <c r="K207" t="s">
        <v>1730</v>
      </c>
      <c r="M207" s="36" t="s">
        <v>1477</v>
      </c>
      <c r="N207" t="b">
        <f t="shared" si="19"/>
        <v>1</v>
      </c>
    </row>
    <row r="208" spans="1:14" hidden="1" x14ac:dyDescent="0.35">
      <c r="A208" s="88" t="s">
        <v>477</v>
      </c>
      <c r="B208" s="88" t="s">
        <v>790</v>
      </c>
      <c r="C208" s="18" t="s">
        <v>1080</v>
      </c>
      <c r="D208" s="18" t="s">
        <v>1081</v>
      </c>
      <c r="E208" s="18" t="s">
        <v>1393</v>
      </c>
      <c r="F208" s="36" t="s">
        <v>1479</v>
      </c>
      <c r="G208" s="108">
        <v>1017399.54</v>
      </c>
      <c r="H208" s="87" t="e">
        <f t="shared" si="17"/>
        <v>#VALUE!</v>
      </c>
      <c r="I208" s="37" t="e">
        <f t="shared" si="20"/>
        <v>#VALUE!</v>
      </c>
      <c r="J208" s="37" t="e">
        <f t="shared" si="18"/>
        <v>#VALUE!</v>
      </c>
      <c r="K208" t="s">
        <v>1730</v>
      </c>
      <c r="M208" s="36" t="s">
        <v>1479</v>
      </c>
      <c r="N208" t="b">
        <f t="shared" si="19"/>
        <v>1</v>
      </c>
    </row>
    <row r="209" spans="1:14" hidden="1" x14ac:dyDescent="0.35">
      <c r="A209" s="88" t="s">
        <v>477</v>
      </c>
      <c r="B209" s="88" t="s">
        <v>790</v>
      </c>
      <c r="C209" s="18" t="s">
        <v>1080</v>
      </c>
      <c r="D209" s="18" t="s">
        <v>1081</v>
      </c>
      <c r="E209" s="18" t="s">
        <v>1394</v>
      </c>
      <c r="F209" s="36" t="s">
        <v>1492</v>
      </c>
      <c r="G209" s="108">
        <v>234037.18</v>
      </c>
      <c r="H209" s="87" t="e">
        <f t="shared" si="17"/>
        <v>#VALUE!</v>
      </c>
      <c r="I209" s="37" t="e">
        <f t="shared" si="20"/>
        <v>#VALUE!</v>
      </c>
      <c r="J209" s="37" t="e">
        <f t="shared" si="18"/>
        <v>#VALUE!</v>
      </c>
      <c r="K209" t="s">
        <v>1730</v>
      </c>
      <c r="M209" s="36" t="s">
        <v>1492</v>
      </c>
      <c r="N209" t="b">
        <f t="shared" si="19"/>
        <v>1</v>
      </c>
    </row>
    <row r="210" spans="1:14" hidden="1" x14ac:dyDescent="0.35">
      <c r="A210" s="88" t="s">
        <v>477</v>
      </c>
      <c r="B210" s="88" t="s">
        <v>790</v>
      </c>
      <c r="C210" s="18" t="s">
        <v>1080</v>
      </c>
      <c r="D210" s="18" t="s">
        <v>1081</v>
      </c>
      <c r="E210" s="18" t="s">
        <v>1395</v>
      </c>
      <c r="F210" s="36" t="s">
        <v>1492</v>
      </c>
      <c r="G210" s="108">
        <v>1228695.23</v>
      </c>
      <c r="H210" s="87" t="e">
        <f t="shared" si="17"/>
        <v>#VALUE!</v>
      </c>
      <c r="I210" s="37" t="e">
        <f t="shared" si="20"/>
        <v>#VALUE!</v>
      </c>
      <c r="J210" s="37" t="e">
        <f t="shared" si="18"/>
        <v>#VALUE!</v>
      </c>
      <c r="K210" t="s">
        <v>1730</v>
      </c>
      <c r="M210" s="36" t="s">
        <v>1492</v>
      </c>
      <c r="N210" t="b">
        <f t="shared" si="19"/>
        <v>1</v>
      </c>
    </row>
    <row r="211" spans="1:14" hidden="1" x14ac:dyDescent="0.35">
      <c r="A211" s="88" t="s">
        <v>477</v>
      </c>
      <c r="B211" s="88" t="s">
        <v>790</v>
      </c>
      <c r="C211" s="18" t="s">
        <v>1080</v>
      </c>
      <c r="D211" s="18" t="s">
        <v>1081</v>
      </c>
      <c r="E211" s="18" t="s">
        <v>1396</v>
      </c>
      <c r="F211" s="36" t="s">
        <v>1442</v>
      </c>
      <c r="G211" s="108">
        <v>1867760.6399999999</v>
      </c>
      <c r="H211" s="87" t="e">
        <f t="shared" ref="H211:H220" si="21">$H$2-F211+1</f>
        <v>#VALUE!</v>
      </c>
      <c r="I211" s="37" t="e">
        <f t="shared" ref="I211:I220" si="22">IF(H211&lt;91,"1-90 DAYS",IF(H211&lt;121,"91-120DAYS",IF(H211&lt;181,"121-180 DAYS","More than 180 Days")))</f>
        <v>#VALUE!</v>
      </c>
      <c r="J211" s="37" t="e">
        <f t="shared" ref="J211:J220" si="23">IF(H211&lt;180,"0-180 DAYS","More than 180 Days")</f>
        <v>#VALUE!</v>
      </c>
      <c r="K211" t="s">
        <v>1730</v>
      </c>
      <c r="M211" s="36" t="s">
        <v>1442</v>
      </c>
      <c r="N211" t="b">
        <f t="shared" ref="N211:N220" si="24">M211=F211</f>
        <v>1</v>
      </c>
    </row>
    <row r="212" spans="1:14" hidden="1" x14ac:dyDescent="0.35">
      <c r="A212" s="88" t="s">
        <v>477</v>
      </c>
      <c r="B212" s="88" t="s">
        <v>790</v>
      </c>
      <c r="C212" s="18" t="s">
        <v>430</v>
      </c>
      <c r="D212" s="18" t="s">
        <v>431</v>
      </c>
      <c r="E212" s="18" t="s">
        <v>1397</v>
      </c>
      <c r="F212" s="36" t="s">
        <v>1491</v>
      </c>
      <c r="G212" s="108">
        <v>78690.98</v>
      </c>
      <c r="H212" s="87">
        <f t="shared" si="21"/>
        <v>119</v>
      </c>
      <c r="I212" s="37" t="str">
        <f t="shared" si="22"/>
        <v>91-120DAYS</v>
      </c>
      <c r="J212" s="37" t="str">
        <f t="shared" si="23"/>
        <v>0-180 DAYS</v>
      </c>
      <c r="K212" t="s">
        <v>1730</v>
      </c>
      <c r="M212" s="36" t="s">
        <v>1491</v>
      </c>
      <c r="N212" t="b">
        <f t="shared" si="24"/>
        <v>1</v>
      </c>
    </row>
    <row r="213" spans="1:14" hidden="1" x14ac:dyDescent="0.35">
      <c r="A213" s="88" t="s">
        <v>477</v>
      </c>
      <c r="B213" s="88" t="s">
        <v>790</v>
      </c>
      <c r="C213" s="18" t="s">
        <v>51</v>
      </c>
      <c r="D213" s="18" t="s">
        <v>52</v>
      </c>
      <c r="E213" s="18" t="s">
        <v>1398</v>
      </c>
      <c r="F213" s="36" t="s">
        <v>1489</v>
      </c>
      <c r="G213" s="108">
        <f>560736+428</f>
        <v>561164</v>
      </c>
      <c r="H213" s="87">
        <f t="shared" si="21"/>
        <v>-34</v>
      </c>
      <c r="I213" s="37" t="str">
        <f t="shared" si="22"/>
        <v>1-90 DAYS</v>
      </c>
      <c r="J213" s="37" t="str">
        <f t="shared" si="23"/>
        <v>0-180 DAYS</v>
      </c>
      <c r="K213" t="s">
        <v>1730</v>
      </c>
      <c r="M213" s="36" t="s">
        <v>1489</v>
      </c>
      <c r="N213" t="b">
        <f t="shared" si="24"/>
        <v>1</v>
      </c>
    </row>
    <row r="214" spans="1:14" hidden="1" x14ac:dyDescent="0.35">
      <c r="A214" s="88" t="s">
        <v>477</v>
      </c>
      <c r="B214" s="88" t="s">
        <v>790</v>
      </c>
      <c r="C214" s="18" t="s">
        <v>263</v>
      </c>
      <c r="D214" s="18" t="s">
        <v>264</v>
      </c>
      <c r="E214" s="18" t="s">
        <v>1399</v>
      </c>
      <c r="F214" s="36" t="s">
        <v>1473</v>
      </c>
      <c r="G214" s="108">
        <v>682010.97</v>
      </c>
      <c r="H214" s="87">
        <f t="shared" si="21"/>
        <v>-95</v>
      </c>
      <c r="I214" s="37" t="str">
        <f t="shared" si="22"/>
        <v>1-90 DAYS</v>
      </c>
      <c r="J214" s="37" t="str">
        <f t="shared" si="23"/>
        <v>0-180 DAYS</v>
      </c>
      <c r="K214" t="s">
        <v>1730</v>
      </c>
      <c r="M214" s="36" t="s">
        <v>1473</v>
      </c>
      <c r="N214" t="b">
        <f t="shared" si="24"/>
        <v>1</v>
      </c>
    </row>
    <row r="215" spans="1:14" hidden="1" x14ac:dyDescent="0.35">
      <c r="A215" s="88" t="s">
        <v>477</v>
      </c>
      <c r="B215" s="88" t="s">
        <v>790</v>
      </c>
      <c r="C215" s="18" t="s">
        <v>259</v>
      </c>
      <c r="D215" s="18" t="s">
        <v>260</v>
      </c>
      <c r="E215" s="18" t="s">
        <v>1400</v>
      </c>
      <c r="F215" s="36" t="s">
        <v>1474</v>
      </c>
      <c r="G215" s="108">
        <v>10155</v>
      </c>
      <c r="H215" s="87">
        <f t="shared" si="21"/>
        <v>-126</v>
      </c>
      <c r="I215" s="37" t="str">
        <f t="shared" si="22"/>
        <v>1-90 DAYS</v>
      </c>
      <c r="J215" s="37" t="str">
        <f t="shared" si="23"/>
        <v>0-180 DAYS</v>
      </c>
      <c r="K215" t="s">
        <v>1730</v>
      </c>
      <c r="M215" s="36" t="s">
        <v>1474</v>
      </c>
      <c r="N215" t="b">
        <f t="shared" si="24"/>
        <v>1</v>
      </c>
    </row>
    <row r="216" spans="1:14" hidden="1" x14ac:dyDescent="0.35">
      <c r="A216" s="88" t="s">
        <v>477</v>
      </c>
      <c r="B216" s="88" t="s">
        <v>790</v>
      </c>
      <c r="C216" s="18" t="s">
        <v>51</v>
      </c>
      <c r="D216" s="18" t="s">
        <v>52</v>
      </c>
      <c r="E216" s="18" t="s">
        <v>1401</v>
      </c>
      <c r="F216" s="36" t="s">
        <v>1481</v>
      </c>
      <c r="G216" s="108">
        <v>281430</v>
      </c>
      <c r="H216" s="87" t="e">
        <f t="shared" si="21"/>
        <v>#VALUE!</v>
      </c>
      <c r="I216" s="37" t="e">
        <f t="shared" si="22"/>
        <v>#VALUE!</v>
      </c>
      <c r="J216" s="37" t="e">
        <f t="shared" si="23"/>
        <v>#VALUE!</v>
      </c>
      <c r="K216" t="s">
        <v>1730</v>
      </c>
      <c r="M216" s="36" t="s">
        <v>1481</v>
      </c>
      <c r="N216" t="b">
        <f t="shared" si="24"/>
        <v>1</v>
      </c>
    </row>
    <row r="217" spans="1:14" hidden="1" x14ac:dyDescent="0.35">
      <c r="A217" s="88" t="s">
        <v>477</v>
      </c>
      <c r="B217" s="88" t="s">
        <v>790</v>
      </c>
      <c r="C217" s="18" t="s">
        <v>51</v>
      </c>
      <c r="D217" s="18" t="s">
        <v>52</v>
      </c>
      <c r="E217" s="18" t="s">
        <v>1402</v>
      </c>
      <c r="F217" s="36" t="s">
        <v>1492</v>
      </c>
      <c r="G217" s="108">
        <v>562860</v>
      </c>
      <c r="H217" s="87" t="e">
        <f t="shared" si="21"/>
        <v>#VALUE!</v>
      </c>
      <c r="I217" s="37" t="e">
        <f t="shared" si="22"/>
        <v>#VALUE!</v>
      </c>
      <c r="J217" s="37" t="e">
        <f t="shared" si="23"/>
        <v>#VALUE!</v>
      </c>
      <c r="K217" t="s">
        <v>1730</v>
      </c>
      <c r="M217" s="36" t="s">
        <v>1492</v>
      </c>
      <c r="N217" t="b">
        <f t="shared" si="24"/>
        <v>1</v>
      </c>
    </row>
    <row r="218" spans="1:14" hidden="1" x14ac:dyDescent="0.35">
      <c r="A218" s="101" t="s">
        <v>477</v>
      </c>
      <c r="B218" s="101" t="s">
        <v>790</v>
      </c>
      <c r="C218" s="102" t="s">
        <v>1080</v>
      </c>
      <c r="D218" s="102" t="s">
        <v>1081</v>
      </c>
      <c r="E218" s="102" t="s">
        <v>1501</v>
      </c>
      <c r="F218" s="106" t="s">
        <v>1731</v>
      </c>
      <c r="G218" s="113">
        <v>220940.28</v>
      </c>
      <c r="H218" s="87">
        <f t="shared" si="21"/>
        <v>147</v>
      </c>
      <c r="I218" s="37" t="str">
        <f t="shared" si="22"/>
        <v>121-180 DAYS</v>
      </c>
      <c r="J218" s="37" t="str">
        <f t="shared" si="23"/>
        <v>0-180 DAYS</v>
      </c>
      <c r="K218" t="s">
        <v>1730</v>
      </c>
      <c r="M218" s="35" t="s">
        <v>1731</v>
      </c>
      <c r="N218" t="b">
        <f t="shared" si="24"/>
        <v>1</v>
      </c>
    </row>
    <row r="219" spans="1:14" hidden="1" x14ac:dyDescent="0.35">
      <c r="A219" s="88" t="s">
        <v>477</v>
      </c>
      <c r="B219" s="88" t="s">
        <v>790</v>
      </c>
      <c r="C219" s="18" t="s">
        <v>1080</v>
      </c>
      <c r="D219" s="18" t="s">
        <v>1081</v>
      </c>
      <c r="E219" s="18" t="s">
        <v>1502</v>
      </c>
      <c r="F219" s="107" t="s">
        <v>1731</v>
      </c>
      <c r="G219" s="108">
        <v>951330.28</v>
      </c>
      <c r="H219" s="87">
        <f t="shared" si="21"/>
        <v>147</v>
      </c>
      <c r="I219" s="37" t="str">
        <f t="shared" si="22"/>
        <v>121-180 DAYS</v>
      </c>
      <c r="J219" s="37" t="str">
        <f t="shared" si="23"/>
        <v>0-180 DAYS</v>
      </c>
      <c r="K219" t="s">
        <v>1730</v>
      </c>
      <c r="M219" s="35" t="s">
        <v>1731</v>
      </c>
      <c r="N219" t="b">
        <f t="shared" si="24"/>
        <v>1</v>
      </c>
    </row>
    <row r="220" spans="1:14" hidden="1" x14ac:dyDescent="0.35">
      <c r="A220" s="88" t="s">
        <v>477</v>
      </c>
      <c r="B220" s="88" t="s">
        <v>790</v>
      </c>
      <c r="C220" s="18" t="s">
        <v>26</v>
      </c>
      <c r="D220" s="18" t="s">
        <v>27</v>
      </c>
      <c r="E220" s="18" t="s">
        <v>1503</v>
      </c>
      <c r="F220" s="107" t="s">
        <v>1732</v>
      </c>
      <c r="G220" s="108">
        <v>2267.96</v>
      </c>
      <c r="H220" s="87">
        <f t="shared" si="21"/>
        <v>118</v>
      </c>
      <c r="I220" s="37" t="str">
        <f t="shared" si="22"/>
        <v>91-120DAYS</v>
      </c>
      <c r="J220" s="37" t="str">
        <f t="shared" si="23"/>
        <v>0-180 DAYS</v>
      </c>
      <c r="K220" t="s">
        <v>1730</v>
      </c>
      <c r="M220" s="35" t="s">
        <v>1732</v>
      </c>
      <c r="N220" t="b">
        <f t="shared" si="24"/>
        <v>1</v>
      </c>
    </row>
    <row r="221" spans="1:14" hidden="1" x14ac:dyDescent="0.35">
      <c r="A221" s="88" t="s">
        <v>477</v>
      </c>
      <c r="B221" s="88" t="s">
        <v>790</v>
      </c>
      <c r="C221" s="18" t="s">
        <v>1080</v>
      </c>
      <c r="D221" s="18" t="s">
        <v>1081</v>
      </c>
      <c r="E221" s="18" t="s">
        <v>1504</v>
      </c>
      <c r="F221" s="107" t="s">
        <v>1737</v>
      </c>
      <c r="G221" s="108">
        <v>1749541.6</v>
      </c>
      <c r="H221" s="87">
        <f t="shared" ref="H221:H249" si="25">$H$2-F221+1</f>
        <v>-66</v>
      </c>
      <c r="I221" s="37" t="str">
        <f t="shared" ref="I221:I251" si="26">IF(H221&lt;91,"1-90 DAYS",IF(H221&lt;121,"91-120DAYS",IF(H221&lt;181,"121-180 DAYS","More than 180 Days")))</f>
        <v>1-90 DAYS</v>
      </c>
      <c r="J221" s="37" t="str">
        <f t="shared" ref="J221:J249" si="27">IF(H221&lt;180,"0-180 DAYS","More than 180 Days")</f>
        <v>0-180 DAYS</v>
      </c>
      <c r="K221" t="s">
        <v>1730</v>
      </c>
      <c r="M221" s="35" t="s">
        <v>1737</v>
      </c>
      <c r="N221" t="b">
        <f t="shared" ref="N221:N249" si="28">M221=F221</f>
        <v>1</v>
      </c>
    </row>
    <row r="222" spans="1:14" hidden="1" x14ac:dyDescent="0.35">
      <c r="A222" s="88" t="s">
        <v>477</v>
      </c>
      <c r="B222" s="88" t="s">
        <v>790</v>
      </c>
      <c r="C222" s="18" t="s">
        <v>1080</v>
      </c>
      <c r="D222" s="18" t="s">
        <v>1081</v>
      </c>
      <c r="E222" s="18" t="s">
        <v>1505</v>
      </c>
      <c r="F222" s="107" t="s">
        <v>1739</v>
      </c>
      <c r="G222" s="108">
        <v>584572.19999999995</v>
      </c>
      <c r="H222" s="87">
        <f t="shared" si="25"/>
        <v>-127</v>
      </c>
      <c r="I222" s="37" t="str">
        <f t="shared" si="26"/>
        <v>1-90 DAYS</v>
      </c>
      <c r="J222" s="37" t="str">
        <f t="shared" si="27"/>
        <v>0-180 DAYS</v>
      </c>
      <c r="K222" t="s">
        <v>1730</v>
      </c>
      <c r="M222" s="35" t="s">
        <v>1739</v>
      </c>
      <c r="N222" t="b">
        <f t="shared" si="28"/>
        <v>1</v>
      </c>
    </row>
    <row r="223" spans="1:14" hidden="1" x14ac:dyDescent="0.35">
      <c r="A223" s="88" t="s">
        <v>477</v>
      </c>
      <c r="B223" s="88" t="s">
        <v>790</v>
      </c>
      <c r="C223" s="18" t="s">
        <v>1080</v>
      </c>
      <c r="D223" s="18" t="s">
        <v>1081</v>
      </c>
      <c r="E223" s="18" t="s">
        <v>1506</v>
      </c>
      <c r="F223" s="107" t="s">
        <v>1741</v>
      </c>
      <c r="G223" s="108">
        <v>584065.19999999995</v>
      </c>
      <c r="H223" s="87" t="e">
        <f t="shared" si="25"/>
        <v>#VALUE!</v>
      </c>
      <c r="I223" s="37" t="e">
        <f t="shared" si="26"/>
        <v>#VALUE!</v>
      </c>
      <c r="J223" s="37" t="e">
        <f t="shared" si="27"/>
        <v>#VALUE!</v>
      </c>
      <c r="K223" t="s">
        <v>1730</v>
      </c>
      <c r="M223" s="35" t="s">
        <v>1741</v>
      </c>
      <c r="N223" t="b">
        <f t="shared" si="28"/>
        <v>1</v>
      </c>
    </row>
    <row r="224" spans="1:14" hidden="1" x14ac:dyDescent="0.35">
      <c r="A224" s="88" t="s">
        <v>477</v>
      </c>
      <c r="B224" s="88" t="s">
        <v>790</v>
      </c>
      <c r="C224" s="18" t="s">
        <v>1080</v>
      </c>
      <c r="D224" s="18" t="s">
        <v>1081</v>
      </c>
      <c r="E224" s="18" t="s">
        <v>1507</v>
      </c>
      <c r="F224" s="107" t="s">
        <v>1741</v>
      </c>
      <c r="G224" s="108">
        <v>292286.09000000003</v>
      </c>
      <c r="H224" s="87" t="e">
        <f t="shared" si="25"/>
        <v>#VALUE!</v>
      </c>
      <c r="I224" s="37" t="e">
        <f t="shared" si="26"/>
        <v>#VALUE!</v>
      </c>
      <c r="J224" s="37" t="e">
        <f t="shared" si="27"/>
        <v>#VALUE!</v>
      </c>
      <c r="K224" t="s">
        <v>1730</v>
      </c>
      <c r="M224" s="35" t="s">
        <v>1741</v>
      </c>
      <c r="N224" t="b">
        <f t="shared" si="28"/>
        <v>1</v>
      </c>
    </row>
    <row r="225" spans="1:14" hidden="1" x14ac:dyDescent="0.35">
      <c r="A225" s="88" t="s">
        <v>1209</v>
      </c>
      <c r="B225" s="88" t="s">
        <v>789</v>
      </c>
      <c r="C225" s="18" t="s">
        <v>125</v>
      </c>
      <c r="D225" s="18" t="s">
        <v>57</v>
      </c>
      <c r="E225" s="18" t="s">
        <v>1508</v>
      </c>
      <c r="F225" s="107" t="s">
        <v>1741</v>
      </c>
      <c r="G225" s="103">
        <v>127192.96000000001</v>
      </c>
      <c r="H225" s="87" t="e">
        <f t="shared" si="25"/>
        <v>#VALUE!</v>
      </c>
      <c r="I225" s="37" t="e">
        <f t="shared" si="26"/>
        <v>#VALUE!</v>
      </c>
      <c r="J225" s="37" t="e">
        <f t="shared" si="27"/>
        <v>#VALUE!</v>
      </c>
      <c r="K225" t="s">
        <v>1730</v>
      </c>
      <c r="M225" s="35" t="s">
        <v>1741</v>
      </c>
      <c r="N225" t="b">
        <f t="shared" si="28"/>
        <v>1</v>
      </c>
    </row>
    <row r="226" spans="1:14" hidden="1" x14ac:dyDescent="0.35">
      <c r="A226" s="88" t="s">
        <v>1209</v>
      </c>
      <c r="B226" s="88" t="s">
        <v>789</v>
      </c>
      <c r="C226" s="18" t="s">
        <v>125</v>
      </c>
      <c r="D226" s="18" t="s">
        <v>57</v>
      </c>
      <c r="E226" s="18" t="s">
        <v>1509</v>
      </c>
      <c r="F226" s="107" t="s">
        <v>1741</v>
      </c>
      <c r="G226" s="103">
        <v>61050</v>
      </c>
      <c r="H226" s="87" t="e">
        <f t="shared" si="25"/>
        <v>#VALUE!</v>
      </c>
      <c r="I226" s="37" t="e">
        <f t="shared" si="26"/>
        <v>#VALUE!</v>
      </c>
      <c r="J226" s="37" t="e">
        <f t="shared" si="27"/>
        <v>#VALUE!</v>
      </c>
      <c r="K226" t="s">
        <v>1730</v>
      </c>
      <c r="M226" s="35" t="s">
        <v>1741</v>
      </c>
      <c r="N226" t="b">
        <f t="shared" si="28"/>
        <v>1</v>
      </c>
    </row>
    <row r="227" spans="1:14" hidden="1" x14ac:dyDescent="0.35">
      <c r="A227" s="88" t="s">
        <v>1209</v>
      </c>
      <c r="B227" s="88" t="s">
        <v>789</v>
      </c>
      <c r="C227" s="18" t="s">
        <v>125</v>
      </c>
      <c r="D227" s="18" t="s">
        <v>57</v>
      </c>
      <c r="E227" s="18" t="s">
        <v>1510</v>
      </c>
      <c r="F227" s="107" t="s">
        <v>1742</v>
      </c>
      <c r="G227" s="103">
        <v>324644.56</v>
      </c>
      <c r="H227" s="87" t="e">
        <f t="shared" si="25"/>
        <v>#VALUE!</v>
      </c>
      <c r="I227" s="37" t="e">
        <f t="shared" si="26"/>
        <v>#VALUE!</v>
      </c>
      <c r="J227" s="37" t="e">
        <f t="shared" si="27"/>
        <v>#VALUE!</v>
      </c>
      <c r="K227" t="s">
        <v>1730</v>
      </c>
      <c r="M227" s="35" t="s">
        <v>1742</v>
      </c>
      <c r="N227" t="b">
        <f t="shared" si="28"/>
        <v>1</v>
      </c>
    </row>
    <row r="228" spans="1:14" hidden="1" x14ac:dyDescent="0.35">
      <c r="A228" s="88" t="s">
        <v>1209</v>
      </c>
      <c r="B228" s="88" t="s">
        <v>789</v>
      </c>
      <c r="C228" s="18" t="s">
        <v>125</v>
      </c>
      <c r="D228" s="18" t="s">
        <v>57</v>
      </c>
      <c r="E228" s="18" t="s">
        <v>1511</v>
      </c>
      <c r="F228" s="107" t="s">
        <v>1742</v>
      </c>
      <c r="G228" s="103">
        <v>18728.66</v>
      </c>
      <c r="H228" s="87" t="e">
        <f t="shared" si="25"/>
        <v>#VALUE!</v>
      </c>
      <c r="I228" s="37" t="e">
        <f t="shared" si="26"/>
        <v>#VALUE!</v>
      </c>
      <c r="J228" s="37" t="e">
        <f t="shared" si="27"/>
        <v>#VALUE!</v>
      </c>
      <c r="K228" t="s">
        <v>1730</v>
      </c>
      <c r="M228" s="35" t="s">
        <v>1742</v>
      </c>
      <c r="N228" t="b">
        <f t="shared" si="28"/>
        <v>1</v>
      </c>
    </row>
    <row r="229" spans="1:14" hidden="1" x14ac:dyDescent="0.35">
      <c r="A229" s="88" t="s">
        <v>1209</v>
      </c>
      <c r="B229" s="88" t="s">
        <v>789</v>
      </c>
      <c r="C229" s="18" t="s">
        <v>125</v>
      </c>
      <c r="D229" s="18" t="s">
        <v>57</v>
      </c>
      <c r="E229" s="18" t="s">
        <v>1512</v>
      </c>
      <c r="F229" s="107" t="s">
        <v>1742</v>
      </c>
      <c r="G229" s="103">
        <v>796449.4</v>
      </c>
      <c r="H229" s="87" t="e">
        <f t="shared" si="25"/>
        <v>#VALUE!</v>
      </c>
      <c r="I229" s="37" t="e">
        <f t="shared" si="26"/>
        <v>#VALUE!</v>
      </c>
      <c r="J229" s="37" t="e">
        <f t="shared" si="27"/>
        <v>#VALUE!</v>
      </c>
      <c r="K229" t="s">
        <v>1730</v>
      </c>
      <c r="M229" s="35" t="s">
        <v>1742</v>
      </c>
      <c r="N229" t="b">
        <f t="shared" si="28"/>
        <v>1</v>
      </c>
    </row>
    <row r="230" spans="1:14" hidden="1" x14ac:dyDescent="0.35">
      <c r="A230" s="88" t="s">
        <v>1209</v>
      </c>
      <c r="B230" s="88" t="s">
        <v>789</v>
      </c>
      <c r="C230" s="18" t="s">
        <v>125</v>
      </c>
      <c r="D230" s="18" t="s">
        <v>57</v>
      </c>
      <c r="E230" s="18" t="s">
        <v>1513</v>
      </c>
      <c r="F230" s="107" t="s">
        <v>1742</v>
      </c>
      <c r="G230" s="103">
        <v>80693.919999999998</v>
      </c>
      <c r="H230" s="87" t="e">
        <f t="shared" si="25"/>
        <v>#VALUE!</v>
      </c>
      <c r="I230" s="37" t="e">
        <f t="shared" si="26"/>
        <v>#VALUE!</v>
      </c>
      <c r="J230" s="37" t="e">
        <f t="shared" si="27"/>
        <v>#VALUE!</v>
      </c>
      <c r="K230" t="s">
        <v>1730</v>
      </c>
      <c r="M230" s="35" t="s">
        <v>1742</v>
      </c>
      <c r="N230" t="b">
        <f t="shared" si="28"/>
        <v>1</v>
      </c>
    </row>
    <row r="231" spans="1:14" hidden="1" x14ac:dyDescent="0.35">
      <c r="A231" s="88" t="s">
        <v>1209</v>
      </c>
      <c r="B231" s="88" t="s">
        <v>789</v>
      </c>
      <c r="C231" s="18" t="s">
        <v>125</v>
      </c>
      <c r="D231" s="18" t="s">
        <v>57</v>
      </c>
      <c r="E231" s="18" t="s">
        <v>1514</v>
      </c>
      <c r="F231" s="107" t="s">
        <v>1742</v>
      </c>
      <c r="G231" s="103">
        <v>23698</v>
      </c>
      <c r="H231" s="87" t="e">
        <f t="shared" si="25"/>
        <v>#VALUE!</v>
      </c>
      <c r="I231" s="37" t="e">
        <f t="shared" si="26"/>
        <v>#VALUE!</v>
      </c>
      <c r="J231" s="37" t="e">
        <f t="shared" si="27"/>
        <v>#VALUE!</v>
      </c>
      <c r="K231" t="s">
        <v>1730</v>
      </c>
      <c r="M231" s="35" t="s">
        <v>1742</v>
      </c>
      <c r="N231" t="b">
        <f t="shared" si="28"/>
        <v>1</v>
      </c>
    </row>
    <row r="232" spans="1:14" hidden="1" x14ac:dyDescent="0.35">
      <c r="A232" s="88" t="s">
        <v>1209</v>
      </c>
      <c r="B232" s="88" t="s">
        <v>789</v>
      </c>
      <c r="C232" s="18" t="s">
        <v>125</v>
      </c>
      <c r="D232" s="18" t="s">
        <v>57</v>
      </c>
      <c r="E232" s="18" t="s">
        <v>1515</v>
      </c>
      <c r="F232" s="107" t="s">
        <v>1743</v>
      </c>
      <c r="G232" s="103">
        <v>478233.58</v>
      </c>
      <c r="H232" s="87" t="e">
        <f t="shared" si="25"/>
        <v>#VALUE!</v>
      </c>
      <c r="I232" s="37" t="e">
        <f t="shared" si="26"/>
        <v>#VALUE!</v>
      </c>
      <c r="J232" s="37" t="e">
        <f t="shared" si="27"/>
        <v>#VALUE!</v>
      </c>
      <c r="K232" t="s">
        <v>1730</v>
      </c>
      <c r="M232" s="35" t="s">
        <v>1743</v>
      </c>
      <c r="N232" t="b">
        <f t="shared" si="28"/>
        <v>1</v>
      </c>
    </row>
    <row r="233" spans="1:14" hidden="1" x14ac:dyDescent="0.35">
      <c r="A233" s="88" t="s">
        <v>1209</v>
      </c>
      <c r="B233" s="88" t="s">
        <v>789</v>
      </c>
      <c r="C233" s="18" t="s">
        <v>125</v>
      </c>
      <c r="D233" s="18" t="s">
        <v>57</v>
      </c>
      <c r="E233" s="18" t="s">
        <v>1516</v>
      </c>
      <c r="F233" s="107" t="s">
        <v>1743</v>
      </c>
      <c r="G233" s="103">
        <v>3621.96</v>
      </c>
      <c r="H233" s="87" t="e">
        <f t="shared" si="25"/>
        <v>#VALUE!</v>
      </c>
      <c r="I233" s="37" t="e">
        <f t="shared" si="26"/>
        <v>#VALUE!</v>
      </c>
      <c r="J233" s="37" t="e">
        <f t="shared" si="27"/>
        <v>#VALUE!</v>
      </c>
      <c r="K233" t="s">
        <v>1730</v>
      </c>
      <c r="M233" s="35" t="s">
        <v>1743</v>
      </c>
      <c r="N233" t="b">
        <f t="shared" si="28"/>
        <v>1</v>
      </c>
    </row>
    <row r="234" spans="1:14" hidden="1" x14ac:dyDescent="0.35">
      <c r="A234" s="88" t="s">
        <v>1209</v>
      </c>
      <c r="B234" s="88" t="s">
        <v>789</v>
      </c>
      <c r="C234" s="18" t="s">
        <v>125</v>
      </c>
      <c r="D234" s="18" t="s">
        <v>57</v>
      </c>
      <c r="E234" s="18" t="s">
        <v>1517</v>
      </c>
      <c r="F234" s="107" t="s">
        <v>1743</v>
      </c>
      <c r="G234" s="103">
        <v>7706.94</v>
      </c>
      <c r="H234" s="87" t="e">
        <f t="shared" si="25"/>
        <v>#VALUE!</v>
      </c>
      <c r="I234" s="37" t="e">
        <f t="shared" si="26"/>
        <v>#VALUE!</v>
      </c>
      <c r="J234" s="37" t="e">
        <f t="shared" si="27"/>
        <v>#VALUE!</v>
      </c>
      <c r="K234" t="s">
        <v>1730</v>
      </c>
      <c r="M234" s="35" t="s">
        <v>1743</v>
      </c>
      <c r="N234" t="b">
        <f t="shared" si="28"/>
        <v>1</v>
      </c>
    </row>
    <row r="235" spans="1:14" hidden="1" x14ac:dyDescent="0.35">
      <c r="A235" s="88" t="s">
        <v>1209</v>
      </c>
      <c r="B235" s="88" t="s">
        <v>789</v>
      </c>
      <c r="C235" s="18" t="s">
        <v>125</v>
      </c>
      <c r="D235" s="18" t="s">
        <v>57</v>
      </c>
      <c r="E235" s="18" t="s">
        <v>1518</v>
      </c>
      <c r="F235" s="107" t="s">
        <v>1744</v>
      </c>
      <c r="G235" s="103">
        <v>364868.9</v>
      </c>
      <c r="H235" s="87" t="e">
        <f t="shared" si="25"/>
        <v>#VALUE!</v>
      </c>
      <c r="I235" s="37" t="e">
        <f t="shared" si="26"/>
        <v>#VALUE!</v>
      </c>
      <c r="J235" s="37" t="e">
        <f t="shared" si="27"/>
        <v>#VALUE!</v>
      </c>
      <c r="K235" t="s">
        <v>1730</v>
      </c>
      <c r="M235" s="35" t="s">
        <v>1744</v>
      </c>
      <c r="N235" t="b">
        <f t="shared" si="28"/>
        <v>1</v>
      </c>
    </row>
    <row r="236" spans="1:14" hidden="1" x14ac:dyDescent="0.35">
      <c r="A236" s="88" t="s">
        <v>1209</v>
      </c>
      <c r="B236" s="88" t="s">
        <v>789</v>
      </c>
      <c r="C236" s="18" t="s">
        <v>125</v>
      </c>
      <c r="D236" s="18" t="s">
        <v>57</v>
      </c>
      <c r="E236" s="18" t="s">
        <v>1519</v>
      </c>
      <c r="F236" s="107" t="s">
        <v>1744</v>
      </c>
      <c r="G236" s="103">
        <v>549895.02</v>
      </c>
      <c r="H236" s="87" t="e">
        <f t="shared" si="25"/>
        <v>#VALUE!</v>
      </c>
      <c r="I236" s="37" t="e">
        <f t="shared" si="26"/>
        <v>#VALUE!</v>
      </c>
      <c r="J236" s="37" t="e">
        <f t="shared" si="27"/>
        <v>#VALUE!</v>
      </c>
      <c r="K236" t="s">
        <v>1730</v>
      </c>
      <c r="M236" s="35" t="s">
        <v>1744</v>
      </c>
      <c r="N236" t="b">
        <f t="shared" si="28"/>
        <v>1</v>
      </c>
    </row>
    <row r="237" spans="1:14" hidden="1" x14ac:dyDescent="0.35">
      <c r="A237" s="88" t="s">
        <v>1209</v>
      </c>
      <c r="B237" s="88" t="s">
        <v>789</v>
      </c>
      <c r="C237" s="18" t="s">
        <v>125</v>
      </c>
      <c r="D237" s="18" t="s">
        <v>57</v>
      </c>
      <c r="E237" s="18" t="s">
        <v>1520</v>
      </c>
      <c r="F237" s="107" t="s">
        <v>1744</v>
      </c>
      <c r="G237" s="103">
        <v>4527.2</v>
      </c>
      <c r="H237" s="87" t="e">
        <f t="shared" si="25"/>
        <v>#VALUE!</v>
      </c>
      <c r="I237" s="37" t="e">
        <f t="shared" si="26"/>
        <v>#VALUE!</v>
      </c>
      <c r="J237" s="37" t="e">
        <f t="shared" si="27"/>
        <v>#VALUE!</v>
      </c>
      <c r="K237" t="s">
        <v>1730</v>
      </c>
      <c r="M237" s="35" t="s">
        <v>1744</v>
      </c>
      <c r="N237" t="b">
        <f t="shared" si="28"/>
        <v>1</v>
      </c>
    </row>
    <row r="238" spans="1:14" hidden="1" x14ac:dyDescent="0.35">
      <c r="A238" s="88" t="s">
        <v>1209</v>
      </c>
      <c r="B238" s="88" t="s">
        <v>789</v>
      </c>
      <c r="C238" s="18" t="s">
        <v>125</v>
      </c>
      <c r="D238" s="18" t="s">
        <v>57</v>
      </c>
      <c r="E238" s="18" t="s">
        <v>1521</v>
      </c>
      <c r="F238" s="107" t="s">
        <v>1744</v>
      </c>
      <c r="G238" s="103">
        <v>29975</v>
      </c>
      <c r="H238" s="87" t="e">
        <f t="shared" si="25"/>
        <v>#VALUE!</v>
      </c>
      <c r="I238" s="37" t="e">
        <f t="shared" si="26"/>
        <v>#VALUE!</v>
      </c>
      <c r="J238" s="37" t="e">
        <f t="shared" si="27"/>
        <v>#VALUE!</v>
      </c>
      <c r="K238" t="s">
        <v>1730</v>
      </c>
      <c r="M238" s="35" t="s">
        <v>1744</v>
      </c>
      <c r="N238" t="b">
        <f t="shared" si="28"/>
        <v>1</v>
      </c>
    </row>
    <row r="239" spans="1:14" hidden="1" x14ac:dyDescent="0.35">
      <c r="A239" s="88" t="s">
        <v>477</v>
      </c>
      <c r="B239" s="88" t="s">
        <v>790</v>
      </c>
      <c r="C239" s="18" t="s">
        <v>1080</v>
      </c>
      <c r="D239" s="18" t="s">
        <v>1081</v>
      </c>
      <c r="E239" s="18" t="s">
        <v>1522</v>
      </c>
      <c r="F239" s="107" t="s">
        <v>1745</v>
      </c>
      <c r="G239" s="108">
        <v>350743.92</v>
      </c>
      <c r="H239" s="87" t="e">
        <f t="shared" si="25"/>
        <v>#VALUE!</v>
      </c>
      <c r="I239" s="37" t="e">
        <f t="shared" si="26"/>
        <v>#VALUE!</v>
      </c>
      <c r="J239" s="37" t="e">
        <f t="shared" si="27"/>
        <v>#VALUE!</v>
      </c>
      <c r="K239" t="s">
        <v>1730</v>
      </c>
      <c r="M239" s="35" t="s">
        <v>1745</v>
      </c>
      <c r="N239" t="b">
        <f t="shared" si="28"/>
        <v>1</v>
      </c>
    </row>
    <row r="240" spans="1:14" hidden="1" x14ac:dyDescent="0.35">
      <c r="A240" s="88" t="s">
        <v>1209</v>
      </c>
      <c r="B240" s="88" t="s">
        <v>789</v>
      </c>
      <c r="C240" s="18" t="s">
        <v>125</v>
      </c>
      <c r="D240" s="18" t="s">
        <v>57</v>
      </c>
      <c r="E240" s="18" t="s">
        <v>1523</v>
      </c>
      <c r="F240" s="107" t="s">
        <v>1745</v>
      </c>
      <c r="G240" s="103">
        <v>602459.65</v>
      </c>
      <c r="H240" s="87" t="e">
        <f t="shared" si="25"/>
        <v>#VALUE!</v>
      </c>
      <c r="I240" s="37" t="e">
        <f t="shared" si="26"/>
        <v>#VALUE!</v>
      </c>
      <c r="J240" s="37" t="e">
        <f t="shared" si="27"/>
        <v>#VALUE!</v>
      </c>
      <c r="K240" t="s">
        <v>1730</v>
      </c>
      <c r="M240" s="35" t="s">
        <v>1745</v>
      </c>
      <c r="N240" t="b">
        <f t="shared" si="28"/>
        <v>1</v>
      </c>
    </row>
    <row r="241" spans="1:14" hidden="1" x14ac:dyDescent="0.35">
      <c r="A241" s="88" t="s">
        <v>1209</v>
      </c>
      <c r="B241" s="88" t="s">
        <v>789</v>
      </c>
      <c r="C241" s="18" t="s">
        <v>125</v>
      </c>
      <c r="D241" s="18" t="s">
        <v>57</v>
      </c>
      <c r="E241" s="18" t="s">
        <v>1524</v>
      </c>
      <c r="F241" s="107" t="s">
        <v>1745</v>
      </c>
      <c r="G241" s="103">
        <v>2998.92</v>
      </c>
      <c r="H241" s="87" t="e">
        <f t="shared" si="25"/>
        <v>#VALUE!</v>
      </c>
      <c r="I241" s="37" t="e">
        <f t="shared" si="26"/>
        <v>#VALUE!</v>
      </c>
      <c r="J241" s="37" t="e">
        <f t="shared" si="27"/>
        <v>#VALUE!</v>
      </c>
      <c r="K241" t="s">
        <v>1730</v>
      </c>
      <c r="M241" s="35" t="s">
        <v>1745</v>
      </c>
      <c r="N241" t="b">
        <f t="shared" si="28"/>
        <v>1</v>
      </c>
    </row>
    <row r="242" spans="1:14" hidden="1" x14ac:dyDescent="0.35">
      <c r="A242" s="88" t="s">
        <v>1209</v>
      </c>
      <c r="B242" s="88" t="s">
        <v>789</v>
      </c>
      <c r="C242" s="18" t="s">
        <v>125</v>
      </c>
      <c r="D242" s="18" t="s">
        <v>57</v>
      </c>
      <c r="E242" s="18" t="s">
        <v>1525</v>
      </c>
      <c r="F242" s="107" t="s">
        <v>1745</v>
      </c>
      <c r="G242" s="103">
        <v>43725</v>
      </c>
      <c r="H242" s="87" t="e">
        <f t="shared" si="25"/>
        <v>#VALUE!</v>
      </c>
      <c r="I242" s="37" t="e">
        <f t="shared" si="26"/>
        <v>#VALUE!</v>
      </c>
      <c r="J242" s="37" t="e">
        <f t="shared" si="27"/>
        <v>#VALUE!</v>
      </c>
      <c r="K242" t="s">
        <v>1730</v>
      </c>
      <c r="M242" s="35" t="s">
        <v>1745</v>
      </c>
      <c r="N242" t="b">
        <f t="shared" si="28"/>
        <v>1</v>
      </c>
    </row>
    <row r="243" spans="1:14" hidden="1" x14ac:dyDescent="0.35">
      <c r="A243" s="88" t="s">
        <v>477</v>
      </c>
      <c r="B243" s="88" t="s">
        <v>790</v>
      </c>
      <c r="C243" s="18" t="s">
        <v>1080</v>
      </c>
      <c r="D243" s="18" t="s">
        <v>1081</v>
      </c>
      <c r="E243" s="18" t="s">
        <v>1526</v>
      </c>
      <c r="F243" s="107" t="s">
        <v>1746</v>
      </c>
      <c r="G243" s="108">
        <v>1156929.3999999999</v>
      </c>
      <c r="H243" s="87" t="e">
        <f t="shared" si="25"/>
        <v>#VALUE!</v>
      </c>
      <c r="I243" s="37" t="e">
        <f t="shared" si="26"/>
        <v>#VALUE!</v>
      </c>
      <c r="J243" s="37" t="e">
        <f t="shared" si="27"/>
        <v>#VALUE!</v>
      </c>
      <c r="K243" t="s">
        <v>1730</v>
      </c>
      <c r="M243" s="35" t="s">
        <v>1746</v>
      </c>
      <c r="N243" t="b">
        <f t="shared" si="28"/>
        <v>1</v>
      </c>
    </row>
    <row r="244" spans="1:14" hidden="1" x14ac:dyDescent="0.35">
      <c r="A244" s="88" t="s">
        <v>477</v>
      </c>
      <c r="B244" s="88" t="s">
        <v>790</v>
      </c>
      <c r="C244" s="18" t="s">
        <v>1080</v>
      </c>
      <c r="D244" s="18" t="s">
        <v>1081</v>
      </c>
      <c r="E244" s="18" t="s">
        <v>1527</v>
      </c>
      <c r="F244" s="107" t="s">
        <v>1746</v>
      </c>
      <c r="G244" s="108">
        <v>1153392.3999999999</v>
      </c>
      <c r="H244" s="87" t="e">
        <f t="shared" si="25"/>
        <v>#VALUE!</v>
      </c>
      <c r="I244" s="37" t="e">
        <f t="shared" si="26"/>
        <v>#VALUE!</v>
      </c>
      <c r="J244" s="37" t="e">
        <f t="shared" si="27"/>
        <v>#VALUE!</v>
      </c>
      <c r="K244" t="s">
        <v>1730</v>
      </c>
      <c r="M244" s="35" t="s">
        <v>1746</v>
      </c>
      <c r="N244" t="b">
        <f t="shared" si="28"/>
        <v>1</v>
      </c>
    </row>
    <row r="245" spans="1:14" hidden="1" x14ac:dyDescent="0.35">
      <c r="A245" s="88" t="s">
        <v>477</v>
      </c>
      <c r="B245" s="88" t="s">
        <v>790</v>
      </c>
      <c r="C245" s="18" t="s">
        <v>1080</v>
      </c>
      <c r="D245" s="18" t="s">
        <v>1081</v>
      </c>
      <c r="E245" s="18" t="s">
        <v>1528</v>
      </c>
      <c r="F245" s="107" t="s">
        <v>1746</v>
      </c>
      <c r="G245" s="108">
        <v>1504007.52</v>
      </c>
      <c r="H245" s="87" t="e">
        <f t="shared" si="25"/>
        <v>#VALUE!</v>
      </c>
      <c r="I245" s="37" t="e">
        <f t="shared" si="26"/>
        <v>#VALUE!</v>
      </c>
      <c r="J245" s="37" t="e">
        <f t="shared" si="27"/>
        <v>#VALUE!</v>
      </c>
      <c r="K245" t="s">
        <v>1730</v>
      </c>
      <c r="M245" s="35" t="s">
        <v>1746</v>
      </c>
      <c r="N245" t="b">
        <f t="shared" si="28"/>
        <v>1</v>
      </c>
    </row>
    <row r="246" spans="1:14" hidden="1" x14ac:dyDescent="0.35">
      <c r="A246" s="88" t="s">
        <v>1209</v>
      </c>
      <c r="B246" s="88" t="s">
        <v>789</v>
      </c>
      <c r="C246" s="18" t="s">
        <v>125</v>
      </c>
      <c r="D246" s="18" t="s">
        <v>57</v>
      </c>
      <c r="E246" s="18" t="s">
        <v>1529</v>
      </c>
      <c r="F246" s="107" t="s">
        <v>1746</v>
      </c>
      <c r="G246" s="103">
        <v>10331.24</v>
      </c>
      <c r="H246" s="87" t="e">
        <f t="shared" si="25"/>
        <v>#VALUE!</v>
      </c>
      <c r="I246" s="37" t="e">
        <f t="shared" si="26"/>
        <v>#VALUE!</v>
      </c>
      <c r="J246" s="37" t="e">
        <f t="shared" si="27"/>
        <v>#VALUE!</v>
      </c>
      <c r="K246" t="s">
        <v>1730</v>
      </c>
      <c r="M246" s="35" t="s">
        <v>1746</v>
      </c>
      <c r="N246" t="b">
        <f t="shared" si="28"/>
        <v>1</v>
      </c>
    </row>
    <row r="247" spans="1:14" hidden="1" x14ac:dyDescent="0.35">
      <c r="A247" s="88" t="s">
        <v>1209</v>
      </c>
      <c r="B247" s="88" t="s">
        <v>789</v>
      </c>
      <c r="C247" s="18" t="s">
        <v>125</v>
      </c>
      <c r="D247" s="18" t="s">
        <v>57</v>
      </c>
      <c r="E247" s="18" t="s">
        <v>1530</v>
      </c>
      <c r="F247" s="107" t="s">
        <v>1746</v>
      </c>
      <c r="G247" s="103">
        <v>55825.77</v>
      </c>
      <c r="H247" s="87" t="e">
        <f t="shared" si="25"/>
        <v>#VALUE!</v>
      </c>
      <c r="I247" s="37" t="e">
        <f t="shared" si="26"/>
        <v>#VALUE!</v>
      </c>
      <c r="J247" s="37" t="e">
        <f t="shared" si="27"/>
        <v>#VALUE!</v>
      </c>
      <c r="K247" t="s">
        <v>1730</v>
      </c>
      <c r="M247" s="35" t="s">
        <v>1746</v>
      </c>
      <c r="N247" t="b">
        <f t="shared" si="28"/>
        <v>1</v>
      </c>
    </row>
    <row r="248" spans="1:14" hidden="1" x14ac:dyDescent="0.35">
      <c r="A248" s="88" t="s">
        <v>1209</v>
      </c>
      <c r="B248" s="88" t="s">
        <v>789</v>
      </c>
      <c r="C248" s="18" t="s">
        <v>125</v>
      </c>
      <c r="D248" s="18" t="s">
        <v>57</v>
      </c>
      <c r="E248" s="18" t="s">
        <v>1531</v>
      </c>
      <c r="F248" s="107" t="s">
        <v>1747</v>
      </c>
      <c r="G248" s="103">
        <v>505350.43</v>
      </c>
      <c r="H248" s="87" t="e">
        <f t="shared" si="25"/>
        <v>#VALUE!</v>
      </c>
      <c r="I248" s="37" t="e">
        <f t="shared" si="26"/>
        <v>#VALUE!</v>
      </c>
      <c r="J248" s="37" t="e">
        <f t="shared" si="27"/>
        <v>#VALUE!</v>
      </c>
      <c r="K248" t="s">
        <v>1730</v>
      </c>
      <c r="M248" s="35" t="s">
        <v>1747</v>
      </c>
      <c r="N248" t="b">
        <f t="shared" si="28"/>
        <v>1</v>
      </c>
    </row>
    <row r="249" spans="1:14" hidden="1" x14ac:dyDescent="0.35">
      <c r="A249" s="88" t="s">
        <v>1209</v>
      </c>
      <c r="B249" s="88" t="s">
        <v>789</v>
      </c>
      <c r="C249" s="18" t="s">
        <v>125</v>
      </c>
      <c r="D249" s="18" t="s">
        <v>57</v>
      </c>
      <c r="E249" s="18" t="s">
        <v>1532</v>
      </c>
      <c r="F249" s="107" t="s">
        <v>1747</v>
      </c>
      <c r="G249" s="103">
        <v>4527.2</v>
      </c>
      <c r="H249" s="87" t="e">
        <f t="shared" si="25"/>
        <v>#VALUE!</v>
      </c>
      <c r="I249" s="37" t="e">
        <f t="shared" si="26"/>
        <v>#VALUE!</v>
      </c>
      <c r="J249" s="37" t="e">
        <f t="shared" si="27"/>
        <v>#VALUE!</v>
      </c>
      <c r="K249" t="s">
        <v>1730</v>
      </c>
      <c r="M249" s="35" t="s">
        <v>1747</v>
      </c>
      <c r="N249" t="b">
        <f t="shared" si="28"/>
        <v>1</v>
      </c>
    </row>
    <row r="250" spans="1:14" hidden="1" x14ac:dyDescent="0.35">
      <c r="A250" s="88" t="s">
        <v>1209</v>
      </c>
      <c r="B250" s="88" t="s">
        <v>789</v>
      </c>
      <c r="C250" s="18" t="s">
        <v>125</v>
      </c>
      <c r="D250" s="18" t="s">
        <v>57</v>
      </c>
      <c r="E250" s="18" t="s">
        <v>1533</v>
      </c>
      <c r="F250" s="107" t="s">
        <v>1747</v>
      </c>
      <c r="G250" s="103">
        <v>340737.82</v>
      </c>
      <c r="H250" s="87" t="e">
        <f t="shared" ref="H250:H312" si="29">$H$2-F250+1</f>
        <v>#VALUE!</v>
      </c>
      <c r="I250" s="37" t="e">
        <f t="shared" si="26"/>
        <v>#VALUE!</v>
      </c>
      <c r="J250" s="37" t="e">
        <f t="shared" ref="J250:J312" si="30">IF(H250&lt;180,"0-180 DAYS","More than 180 Days")</f>
        <v>#VALUE!</v>
      </c>
      <c r="K250" t="s">
        <v>1730</v>
      </c>
      <c r="M250" s="35" t="s">
        <v>1747</v>
      </c>
      <c r="N250" t="b">
        <f t="shared" ref="N250:N312" si="31">M250=F250</f>
        <v>1</v>
      </c>
    </row>
    <row r="251" spans="1:14" hidden="1" x14ac:dyDescent="0.35">
      <c r="A251" s="88" t="s">
        <v>1209</v>
      </c>
      <c r="B251" s="88" t="s">
        <v>789</v>
      </c>
      <c r="C251" s="18" t="s">
        <v>125</v>
      </c>
      <c r="D251" s="18" t="s">
        <v>57</v>
      </c>
      <c r="E251" s="18" t="s">
        <v>1534</v>
      </c>
      <c r="F251" s="107" t="s">
        <v>1748</v>
      </c>
      <c r="G251" s="103">
        <v>375383.7</v>
      </c>
      <c r="H251" s="87" t="e">
        <f t="shared" si="29"/>
        <v>#VALUE!</v>
      </c>
      <c r="I251" s="37" t="e">
        <f t="shared" si="26"/>
        <v>#VALUE!</v>
      </c>
      <c r="J251" s="37" t="e">
        <f t="shared" si="30"/>
        <v>#VALUE!</v>
      </c>
      <c r="K251" t="s">
        <v>1730</v>
      </c>
      <c r="M251" s="35" t="s">
        <v>1748</v>
      </c>
      <c r="N251" t="b">
        <f t="shared" si="31"/>
        <v>1</v>
      </c>
    </row>
    <row r="252" spans="1:14" hidden="1" x14ac:dyDescent="0.35">
      <c r="A252" s="88" t="s">
        <v>1209</v>
      </c>
      <c r="B252" s="88" t="s">
        <v>789</v>
      </c>
      <c r="C252" s="18" t="s">
        <v>125</v>
      </c>
      <c r="D252" s="18" t="s">
        <v>57</v>
      </c>
      <c r="E252" s="18" t="s">
        <v>1535</v>
      </c>
      <c r="F252" s="107" t="s">
        <v>1748</v>
      </c>
      <c r="G252" s="103">
        <v>622.04</v>
      </c>
      <c r="H252" s="87" t="e">
        <f t="shared" si="29"/>
        <v>#VALUE!</v>
      </c>
      <c r="I252" s="37" t="e">
        <f t="shared" ref="I252:I314" si="32">IF(H252&lt;91,"1-90 DAYS",IF(H252&lt;121,"91-120DAYS",IF(H252&lt;181,"121-180 DAYS","More than 180 Days")))</f>
        <v>#VALUE!</v>
      </c>
      <c r="J252" s="37" t="e">
        <f t="shared" si="30"/>
        <v>#VALUE!</v>
      </c>
      <c r="K252" t="s">
        <v>1730</v>
      </c>
      <c r="M252" s="35" t="s">
        <v>1748</v>
      </c>
      <c r="N252" t="b">
        <f t="shared" si="31"/>
        <v>1</v>
      </c>
    </row>
    <row r="253" spans="1:14" hidden="1" x14ac:dyDescent="0.35">
      <c r="A253" s="88" t="s">
        <v>477</v>
      </c>
      <c r="B253" s="88" t="s">
        <v>790</v>
      </c>
      <c r="C253" s="18" t="s">
        <v>1495</v>
      </c>
      <c r="D253" s="18" t="s">
        <v>1498</v>
      </c>
      <c r="E253" s="18" t="s">
        <v>1536</v>
      </c>
      <c r="F253" s="107" t="s">
        <v>1748</v>
      </c>
      <c r="G253" s="108">
        <v>251508.66</v>
      </c>
      <c r="H253" s="87" t="e">
        <f t="shared" si="29"/>
        <v>#VALUE!</v>
      </c>
      <c r="I253" s="37" t="e">
        <f t="shared" si="32"/>
        <v>#VALUE!</v>
      </c>
      <c r="J253" s="37" t="e">
        <f t="shared" si="30"/>
        <v>#VALUE!</v>
      </c>
      <c r="K253" t="s">
        <v>1730</v>
      </c>
      <c r="M253" s="35" t="s">
        <v>1748</v>
      </c>
      <c r="N253" t="b">
        <f t="shared" si="31"/>
        <v>1</v>
      </c>
    </row>
    <row r="254" spans="1:14" hidden="1" x14ac:dyDescent="0.35">
      <c r="A254" s="88" t="s">
        <v>1209</v>
      </c>
      <c r="B254" s="88" t="s">
        <v>789</v>
      </c>
      <c r="C254" s="18" t="s">
        <v>125</v>
      </c>
      <c r="D254" s="18" t="s">
        <v>57</v>
      </c>
      <c r="E254" s="18" t="s">
        <v>1537</v>
      </c>
      <c r="F254" s="107" t="s">
        <v>1749</v>
      </c>
      <c r="G254" s="103">
        <v>479602.26</v>
      </c>
      <c r="H254" s="87" t="e">
        <f t="shared" si="29"/>
        <v>#VALUE!</v>
      </c>
      <c r="I254" s="37" t="e">
        <f t="shared" si="32"/>
        <v>#VALUE!</v>
      </c>
      <c r="J254" s="37" t="e">
        <f t="shared" si="30"/>
        <v>#VALUE!</v>
      </c>
      <c r="K254" t="s">
        <v>1730</v>
      </c>
      <c r="M254" s="35" t="s">
        <v>1749</v>
      </c>
      <c r="N254" t="b">
        <f t="shared" si="31"/>
        <v>1</v>
      </c>
    </row>
    <row r="255" spans="1:14" hidden="1" x14ac:dyDescent="0.35">
      <c r="A255" s="88" t="s">
        <v>1209</v>
      </c>
      <c r="B255" s="88" t="s">
        <v>789</v>
      </c>
      <c r="C255" s="18" t="s">
        <v>125</v>
      </c>
      <c r="D255" s="18" t="s">
        <v>57</v>
      </c>
      <c r="E255" s="18" t="s">
        <v>1538</v>
      </c>
      <c r="F255" s="107" t="s">
        <v>1749</v>
      </c>
      <c r="G255" s="103">
        <v>37964</v>
      </c>
      <c r="H255" s="87" t="e">
        <f t="shared" si="29"/>
        <v>#VALUE!</v>
      </c>
      <c r="I255" s="37" t="e">
        <f t="shared" si="32"/>
        <v>#VALUE!</v>
      </c>
      <c r="J255" s="37" t="e">
        <f t="shared" si="30"/>
        <v>#VALUE!</v>
      </c>
      <c r="K255" t="s">
        <v>1730</v>
      </c>
      <c r="M255" s="35" t="s">
        <v>1749</v>
      </c>
      <c r="N255" t="b">
        <f t="shared" si="31"/>
        <v>1</v>
      </c>
    </row>
    <row r="256" spans="1:14" hidden="1" x14ac:dyDescent="0.35">
      <c r="A256" s="88" t="s">
        <v>1209</v>
      </c>
      <c r="B256" s="88" t="s">
        <v>789</v>
      </c>
      <c r="C256" s="18" t="s">
        <v>125</v>
      </c>
      <c r="D256" s="18" t="s">
        <v>57</v>
      </c>
      <c r="E256" s="18" t="s">
        <v>1539</v>
      </c>
      <c r="F256" s="107" t="s">
        <v>1749</v>
      </c>
      <c r="G256" s="103">
        <v>169775.23</v>
      </c>
      <c r="H256" s="87" t="e">
        <f t="shared" si="29"/>
        <v>#VALUE!</v>
      </c>
      <c r="I256" s="37" t="e">
        <f t="shared" si="32"/>
        <v>#VALUE!</v>
      </c>
      <c r="J256" s="37" t="e">
        <f t="shared" si="30"/>
        <v>#VALUE!</v>
      </c>
      <c r="K256" t="s">
        <v>1730</v>
      </c>
      <c r="M256" s="35" t="s">
        <v>1749</v>
      </c>
      <c r="N256" t="b">
        <f t="shared" si="31"/>
        <v>1</v>
      </c>
    </row>
    <row r="257" spans="1:14" hidden="1" x14ac:dyDescent="0.35">
      <c r="A257" s="88" t="s">
        <v>1209</v>
      </c>
      <c r="B257" s="88" t="s">
        <v>789</v>
      </c>
      <c r="C257" s="18" t="s">
        <v>125</v>
      </c>
      <c r="D257" s="18" t="s">
        <v>57</v>
      </c>
      <c r="E257" s="18" t="s">
        <v>1540</v>
      </c>
      <c r="F257" s="107" t="s">
        <v>1749</v>
      </c>
      <c r="G257" s="103">
        <v>395.48</v>
      </c>
      <c r="H257" s="87" t="e">
        <f t="shared" si="29"/>
        <v>#VALUE!</v>
      </c>
      <c r="I257" s="37" t="e">
        <f t="shared" si="32"/>
        <v>#VALUE!</v>
      </c>
      <c r="J257" s="37" t="e">
        <f t="shared" si="30"/>
        <v>#VALUE!</v>
      </c>
      <c r="K257" t="s">
        <v>1730</v>
      </c>
      <c r="M257" s="35" t="s">
        <v>1749</v>
      </c>
      <c r="N257" t="b">
        <f t="shared" si="31"/>
        <v>1</v>
      </c>
    </row>
    <row r="258" spans="1:14" hidden="1" x14ac:dyDescent="0.35">
      <c r="A258" s="88" t="s">
        <v>1209</v>
      </c>
      <c r="B258" s="88" t="s">
        <v>789</v>
      </c>
      <c r="C258" s="18" t="s">
        <v>125</v>
      </c>
      <c r="D258" s="18" t="s">
        <v>57</v>
      </c>
      <c r="E258" s="18" t="s">
        <v>1541</v>
      </c>
      <c r="F258" s="107" t="s">
        <v>1749</v>
      </c>
      <c r="G258" s="103">
        <v>75949.72</v>
      </c>
      <c r="H258" s="87" t="e">
        <f t="shared" si="29"/>
        <v>#VALUE!</v>
      </c>
      <c r="I258" s="37" t="e">
        <f t="shared" si="32"/>
        <v>#VALUE!</v>
      </c>
      <c r="J258" s="37" t="e">
        <f t="shared" si="30"/>
        <v>#VALUE!</v>
      </c>
      <c r="K258" t="s">
        <v>1730</v>
      </c>
      <c r="M258" s="35" t="s">
        <v>1749</v>
      </c>
      <c r="N258" t="b">
        <f t="shared" si="31"/>
        <v>1</v>
      </c>
    </row>
    <row r="259" spans="1:14" hidden="1" x14ac:dyDescent="0.35">
      <c r="A259" s="88" t="s">
        <v>1209</v>
      </c>
      <c r="B259" s="88" t="s">
        <v>789</v>
      </c>
      <c r="C259" s="18" t="s">
        <v>125</v>
      </c>
      <c r="D259" s="18" t="s">
        <v>57</v>
      </c>
      <c r="E259" s="18" t="s">
        <v>1542</v>
      </c>
      <c r="F259" s="107" t="s">
        <v>1749</v>
      </c>
      <c r="G259" s="103">
        <v>48675</v>
      </c>
      <c r="H259" s="87" t="e">
        <f t="shared" si="29"/>
        <v>#VALUE!</v>
      </c>
      <c r="I259" s="37" t="e">
        <f t="shared" si="32"/>
        <v>#VALUE!</v>
      </c>
      <c r="J259" s="37" t="e">
        <f t="shared" si="30"/>
        <v>#VALUE!</v>
      </c>
      <c r="K259" t="s">
        <v>1730</v>
      </c>
      <c r="M259" s="35" t="s">
        <v>1749</v>
      </c>
      <c r="N259" t="b">
        <f t="shared" si="31"/>
        <v>1</v>
      </c>
    </row>
    <row r="260" spans="1:14" hidden="1" x14ac:dyDescent="0.35">
      <c r="A260" s="88" t="s">
        <v>477</v>
      </c>
      <c r="B260" s="88" t="s">
        <v>790</v>
      </c>
      <c r="C260" s="18" t="s">
        <v>1087</v>
      </c>
      <c r="D260" s="18" t="s">
        <v>1088</v>
      </c>
      <c r="E260" s="18" t="s">
        <v>1543</v>
      </c>
      <c r="F260" s="107" t="s">
        <v>1750</v>
      </c>
      <c r="G260" s="108">
        <v>261517.5</v>
      </c>
      <c r="H260" s="87" t="e">
        <f t="shared" si="29"/>
        <v>#VALUE!</v>
      </c>
      <c r="I260" s="37" t="e">
        <f t="shared" si="32"/>
        <v>#VALUE!</v>
      </c>
      <c r="J260" s="37" t="e">
        <f t="shared" si="30"/>
        <v>#VALUE!</v>
      </c>
      <c r="K260" t="s">
        <v>1730</v>
      </c>
      <c r="M260" s="35" t="s">
        <v>1750</v>
      </c>
      <c r="N260" t="b">
        <f t="shared" si="31"/>
        <v>1</v>
      </c>
    </row>
    <row r="261" spans="1:14" hidden="1" x14ac:dyDescent="0.35">
      <c r="A261" s="88" t="s">
        <v>477</v>
      </c>
      <c r="B261" s="88" t="s">
        <v>790</v>
      </c>
      <c r="C261" s="18" t="s">
        <v>1080</v>
      </c>
      <c r="D261" s="18" t="s">
        <v>1081</v>
      </c>
      <c r="E261" s="18" t="s">
        <v>1544</v>
      </c>
      <c r="F261" s="107" t="s">
        <v>1750</v>
      </c>
      <c r="G261" s="108">
        <v>1402973.66</v>
      </c>
      <c r="H261" s="87" t="e">
        <f t="shared" si="29"/>
        <v>#VALUE!</v>
      </c>
      <c r="I261" s="37" t="e">
        <f t="shared" si="32"/>
        <v>#VALUE!</v>
      </c>
      <c r="J261" s="37" t="e">
        <f t="shared" si="30"/>
        <v>#VALUE!</v>
      </c>
      <c r="K261" t="s">
        <v>1730</v>
      </c>
      <c r="M261" s="35" t="s">
        <v>1750</v>
      </c>
      <c r="N261" t="b">
        <f t="shared" si="31"/>
        <v>1</v>
      </c>
    </row>
    <row r="262" spans="1:14" hidden="1" x14ac:dyDescent="0.35">
      <c r="A262" s="88" t="s">
        <v>1209</v>
      </c>
      <c r="B262" s="88" t="s">
        <v>789</v>
      </c>
      <c r="C262" s="18" t="s">
        <v>125</v>
      </c>
      <c r="D262" s="18" t="s">
        <v>57</v>
      </c>
      <c r="E262" s="18" t="s">
        <v>1545</v>
      </c>
      <c r="F262" s="107" t="s">
        <v>1750</v>
      </c>
      <c r="G262" s="103">
        <v>27075.86</v>
      </c>
      <c r="H262" s="87" t="e">
        <f t="shared" si="29"/>
        <v>#VALUE!</v>
      </c>
      <c r="I262" s="37" t="e">
        <f t="shared" si="32"/>
        <v>#VALUE!</v>
      </c>
      <c r="J262" s="37" t="e">
        <f t="shared" si="30"/>
        <v>#VALUE!</v>
      </c>
      <c r="K262" t="s">
        <v>1730</v>
      </c>
      <c r="M262" s="35" t="s">
        <v>1750</v>
      </c>
      <c r="N262" t="b">
        <f t="shared" si="31"/>
        <v>1</v>
      </c>
    </row>
    <row r="263" spans="1:14" hidden="1" x14ac:dyDescent="0.35">
      <c r="A263" s="88" t="s">
        <v>1209</v>
      </c>
      <c r="B263" s="88" t="s">
        <v>789</v>
      </c>
      <c r="C263" s="18" t="s">
        <v>125</v>
      </c>
      <c r="D263" s="18" t="s">
        <v>57</v>
      </c>
      <c r="E263" s="18" t="s">
        <v>1546</v>
      </c>
      <c r="F263" s="107" t="s">
        <v>1750</v>
      </c>
      <c r="G263" s="103">
        <v>709190.74</v>
      </c>
      <c r="H263" s="87" t="e">
        <f t="shared" si="29"/>
        <v>#VALUE!</v>
      </c>
      <c r="I263" s="37" t="e">
        <f t="shared" si="32"/>
        <v>#VALUE!</v>
      </c>
      <c r="J263" s="37" t="e">
        <f t="shared" si="30"/>
        <v>#VALUE!</v>
      </c>
      <c r="K263" t="s">
        <v>1730</v>
      </c>
      <c r="M263" s="35" t="s">
        <v>1750</v>
      </c>
      <c r="N263" t="b">
        <f t="shared" si="31"/>
        <v>1</v>
      </c>
    </row>
    <row r="264" spans="1:14" hidden="1" x14ac:dyDescent="0.35">
      <c r="A264" s="88" t="s">
        <v>1209</v>
      </c>
      <c r="B264" s="88" t="s">
        <v>789</v>
      </c>
      <c r="C264" s="18" t="s">
        <v>125</v>
      </c>
      <c r="D264" s="18" t="s">
        <v>57</v>
      </c>
      <c r="E264" s="18" t="s">
        <v>1547</v>
      </c>
      <c r="F264" s="107" t="s">
        <v>1750</v>
      </c>
      <c r="G264" s="103">
        <v>3621.96</v>
      </c>
      <c r="H264" s="87" t="e">
        <f t="shared" si="29"/>
        <v>#VALUE!</v>
      </c>
      <c r="I264" s="37" t="e">
        <f t="shared" si="32"/>
        <v>#VALUE!</v>
      </c>
      <c r="J264" s="37" t="e">
        <f t="shared" si="30"/>
        <v>#VALUE!</v>
      </c>
      <c r="K264" t="s">
        <v>1730</v>
      </c>
      <c r="M264" s="35" t="s">
        <v>1750</v>
      </c>
      <c r="N264" t="b">
        <f t="shared" si="31"/>
        <v>1</v>
      </c>
    </row>
    <row r="265" spans="1:14" hidden="1" x14ac:dyDescent="0.35">
      <c r="A265" s="88" t="s">
        <v>1209</v>
      </c>
      <c r="B265" s="88" t="s">
        <v>789</v>
      </c>
      <c r="C265" s="18" t="s">
        <v>125</v>
      </c>
      <c r="D265" s="18" t="s">
        <v>57</v>
      </c>
      <c r="E265" s="18" t="s">
        <v>1548</v>
      </c>
      <c r="F265" s="107" t="s">
        <v>1750</v>
      </c>
      <c r="G265" s="103">
        <v>22687.05</v>
      </c>
      <c r="H265" s="87" t="e">
        <f t="shared" si="29"/>
        <v>#VALUE!</v>
      </c>
      <c r="I265" s="37" t="e">
        <f t="shared" si="32"/>
        <v>#VALUE!</v>
      </c>
      <c r="J265" s="37" t="e">
        <f t="shared" si="30"/>
        <v>#VALUE!</v>
      </c>
      <c r="K265" t="s">
        <v>1730</v>
      </c>
      <c r="M265" s="35" t="s">
        <v>1750</v>
      </c>
      <c r="N265" t="b">
        <f t="shared" si="31"/>
        <v>1</v>
      </c>
    </row>
    <row r="266" spans="1:14" hidden="1" x14ac:dyDescent="0.35">
      <c r="A266" s="88" t="s">
        <v>1209</v>
      </c>
      <c r="B266" s="88" t="s">
        <v>789</v>
      </c>
      <c r="C266" s="18" t="s">
        <v>125</v>
      </c>
      <c r="D266" s="18" t="s">
        <v>57</v>
      </c>
      <c r="E266" s="18" t="s">
        <v>1549</v>
      </c>
      <c r="F266" s="107" t="s">
        <v>1750</v>
      </c>
      <c r="G266" s="103">
        <v>398627.68</v>
      </c>
      <c r="H266" s="87" t="e">
        <f t="shared" si="29"/>
        <v>#VALUE!</v>
      </c>
      <c r="I266" s="37" t="e">
        <f t="shared" si="32"/>
        <v>#VALUE!</v>
      </c>
      <c r="J266" s="37" t="e">
        <f t="shared" si="30"/>
        <v>#VALUE!</v>
      </c>
      <c r="K266" t="s">
        <v>1730</v>
      </c>
      <c r="M266" s="35" t="s">
        <v>1750</v>
      </c>
      <c r="N266" t="b">
        <f t="shared" si="31"/>
        <v>1</v>
      </c>
    </row>
    <row r="267" spans="1:14" hidden="1" x14ac:dyDescent="0.35">
      <c r="A267" s="88" t="s">
        <v>477</v>
      </c>
      <c r="B267" s="88" t="s">
        <v>790</v>
      </c>
      <c r="C267" s="18" t="s">
        <v>1080</v>
      </c>
      <c r="D267" s="18" t="s">
        <v>1081</v>
      </c>
      <c r="E267" s="18" t="s">
        <v>1550</v>
      </c>
      <c r="F267" s="107" t="s">
        <v>1751</v>
      </c>
      <c r="G267" s="108">
        <v>346442.28</v>
      </c>
      <c r="H267" s="87" t="e">
        <f t="shared" si="29"/>
        <v>#VALUE!</v>
      </c>
      <c r="I267" s="37" t="e">
        <f t="shared" si="32"/>
        <v>#VALUE!</v>
      </c>
      <c r="J267" s="37" t="e">
        <f t="shared" si="30"/>
        <v>#VALUE!</v>
      </c>
      <c r="K267" t="s">
        <v>1730</v>
      </c>
      <c r="M267" s="35" t="s">
        <v>1751</v>
      </c>
      <c r="N267" t="b">
        <f t="shared" si="31"/>
        <v>1</v>
      </c>
    </row>
    <row r="268" spans="1:14" hidden="1" x14ac:dyDescent="0.35">
      <c r="A268" s="88" t="s">
        <v>477</v>
      </c>
      <c r="B268" s="88" t="s">
        <v>790</v>
      </c>
      <c r="C268" s="18" t="s">
        <v>1080</v>
      </c>
      <c r="D268" s="18" t="s">
        <v>1081</v>
      </c>
      <c r="E268" s="18" t="s">
        <v>1551</v>
      </c>
      <c r="F268" s="107" t="s">
        <v>1751</v>
      </c>
      <c r="G268" s="108">
        <v>346442.28</v>
      </c>
      <c r="H268" s="87" t="e">
        <f t="shared" si="29"/>
        <v>#VALUE!</v>
      </c>
      <c r="I268" s="37" t="e">
        <f t="shared" si="32"/>
        <v>#VALUE!</v>
      </c>
      <c r="J268" s="37" t="e">
        <f t="shared" si="30"/>
        <v>#VALUE!</v>
      </c>
      <c r="K268" t="s">
        <v>1730</v>
      </c>
      <c r="M268" s="35" t="s">
        <v>1751</v>
      </c>
      <c r="N268" t="b">
        <f t="shared" si="31"/>
        <v>1</v>
      </c>
    </row>
    <row r="269" spans="1:14" hidden="1" x14ac:dyDescent="0.35">
      <c r="A269" s="88" t="s">
        <v>1209</v>
      </c>
      <c r="B269" s="88" t="s">
        <v>789</v>
      </c>
      <c r="C269" s="18" t="s">
        <v>125</v>
      </c>
      <c r="D269" s="18" t="s">
        <v>57</v>
      </c>
      <c r="E269" s="18" t="s">
        <v>1552</v>
      </c>
      <c r="F269" s="107" t="s">
        <v>1751</v>
      </c>
      <c r="G269" s="103">
        <v>694631.89</v>
      </c>
      <c r="H269" s="87" t="e">
        <f t="shared" si="29"/>
        <v>#VALUE!</v>
      </c>
      <c r="I269" s="37" t="e">
        <f t="shared" si="32"/>
        <v>#VALUE!</v>
      </c>
      <c r="J269" s="37" t="e">
        <f t="shared" si="30"/>
        <v>#VALUE!</v>
      </c>
      <c r="K269" t="s">
        <v>1730</v>
      </c>
      <c r="M269" s="35" t="s">
        <v>1751</v>
      </c>
      <c r="N269" t="b">
        <f t="shared" si="31"/>
        <v>1</v>
      </c>
    </row>
    <row r="270" spans="1:14" hidden="1" x14ac:dyDescent="0.35">
      <c r="A270" s="88" t="s">
        <v>1209</v>
      </c>
      <c r="B270" s="88" t="s">
        <v>789</v>
      </c>
      <c r="C270" s="18" t="s">
        <v>125</v>
      </c>
      <c r="D270" s="18" t="s">
        <v>57</v>
      </c>
      <c r="E270" s="18" t="s">
        <v>1553</v>
      </c>
      <c r="F270" s="107" t="s">
        <v>1751</v>
      </c>
      <c r="G270" s="103">
        <v>4300.6400000000003</v>
      </c>
      <c r="H270" s="87" t="e">
        <f t="shared" si="29"/>
        <v>#VALUE!</v>
      </c>
      <c r="I270" s="37" t="e">
        <f t="shared" si="32"/>
        <v>#VALUE!</v>
      </c>
      <c r="J270" s="37" t="e">
        <f t="shared" si="30"/>
        <v>#VALUE!</v>
      </c>
      <c r="K270" t="s">
        <v>1730</v>
      </c>
      <c r="M270" s="35" t="s">
        <v>1751</v>
      </c>
      <c r="N270" t="b">
        <f t="shared" si="31"/>
        <v>1</v>
      </c>
    </row>
    <row r="271" spans="1:14" hidden="1" x14ac:dyDescent="0.35">
      <c r="A271" s="88" t="s">
        <v>1209</v>
      </c>
      <c r="B271" s="88" t="s">
        <v>789</v>
      </c>
      <c r="C271" s="18" t="s">
        <v>125</v>
      </c>
      <c r="D271" s="18" t="s">
        <v>57</v>
      </c>
      <c r="E271" s="18" t="s">
        <v>1554</v>
      </c>
      <c r="F271" s="107" t="s">
        <v>1751</v>
      </c>
      <c r="G271" s="103">
        <v>161805.26</v>
      </c>
      <c r="H271" s="87" t="e">
        <f t="shared" si="29"/>
        <v>#VALUE!</v>
      </c>
      <c r="I271" s="37" t="e">
        <f t="shared" si="32"/>
        <v>#VALUE!</v>
      </c>
      <c r="J271" s="37" t="e">
        <f t="shared" si="30"/>
        <v>#VALUE!</v>
      </c>
      <c r="K271" t="s">
        <v>1730</v>
      </c>
      <c r="M271" s="35" t="s">
        <v>1751</v>
      </c>
      <c r="N271" t="b">
        <f t="shared" si="31"/>
        <v>1</v>
      </c>
    </row>
    <row r="272" spans="1:14" hidden="1" x14ac:dyDescent="0.35">
      <c r="A272" s="88" t="s">
        <v>1209</v>
      </c>
      <c r="B272" s="88" t="s">
        <v>789</v>
      </c>
      <c r="C272" s="18" t="s">
        <v>125</v>
      </c>
      <c r="D272" s="18" t="s">
        <v>57</v>
      </c>
      <c r="E272" s="18" t="s">
        <v>1555</v>
      </c>
      <c r="F272" s="107" t="s">
        <v>1751</v>
      </c>
      <c r="G272" s="103">
        <v>24750</v>
      </c>
      <c r="H272" s="87" t="e">
        <f t="shared" si="29"/>
        <v>#VALUE!</v>
      </c>
      <c r="I272" s="37" t="e">
        <f t="shared" si="32"/>
        <v>#VALUE!</v>
      </c>
      <c r="J272" s="37" t="e">
        <f t="shared" si="30"/>
        <v>#VALUE!</v>
      </c>
      <c r="K272" t="s">
        <v>1730</v>
      </c>
      <c r="M272" s="35" t="s">
        <v>1751</v>
      </c>
      <c r="N272" t="b">
        <f t="shared" si="31"/>
        <v>1</v>
      </c>
    </row>
    <row r="273" spans="1:14" hidden="1" x14ac:dyDescent="0.35">
      <c r="A273" s="88" t="s">
        <v>477</v>
      </c>
      <c r="B273" s="88" t="s">
        <v>790</v>
      </c>
      <c r="C273" s="18" t="s">
        <v>221</v>
      </c>
      <c r="D273" s="18" t="s">
        <v>222</v>
      </c>
      <c r="E273" s="18" t="s">
        <v>1556</v>
      </c>
      <c r="F273" s="107" t="s">
        <v>1752</v>
      </c>
      <c r="G273" s="108">
        <v>154659.89000000001</v>
      </c>
      <c r="H273" s="87" t="e">
        <f t="shared" si="29"/>
        <v>#VALUE!</v>
      </c>
      <c r="I273" s="37" t="e">
        <f t="shared" si="32"/>
        <v>#VALUE!</v>
      </c>
      <c r="J273" s="37" t="e">
        <f t="shared" si="30"/>
        <v>#VALUE!</v>
      </c>
      <c r="K273" t="s">
        <v>1730</v>
      </c>
      <c r="M273" s="35" t="s">
        <v>1752</v>
      </c>
      <c r="N273" t="b">
        <f t="shared" si="31"/>
        <v>1</v>
      </c>
    </row>
    <row r="274" spans="1:14" hidden="1" x14ac:dyDescent="0.35">
      <c r="A274" s="88" t="s">
        <v>1209</v>
      </c>
      <c r="B274" s="88" t="s">
        <v>789</v>
      </c>
      <c r="C274" s="18" t="s">
        <v>125</v>
      </c>
      <c r="D274" s="18" t="s">
        <v>57</v>
      </c>
      <c r="E274" s="18" t="s">
        <v>1557</v>
      </c>
      <c r="F274" s="107" t="s">
        <v>1752</v>
      </c>
      <c r="G274" s="103">
        <v>342046.44</v>
      </c>
      <c r="H274" s="87" t="e">
        <f t="shared" si="29"/>
        <v>#VALUE!</v>
      </c>
      <c r="I274" s="37" t="e">
        <f t="shared" si="32"/>
        <v>#VALUE!</v>
      </c>
      <c r="J274" s="37" t="e">
        <f t="shared" si="30"/>
        <v>#VALUE!</v>
      </c>
      <c r="K274" t="s">
        <v>1730</v>
      </c>
      <c r="M274" s="35" t="s">
        <v>1752</v>
      </c>
      <c r="N274" t="b">
        <f t="shared" si="31"/>
        <v>1</v>
      </c>
    </row>
    <row r="275" spans="1:14" hidden="1" x14ac:dyDescent="0.35">
      <c r="A275" s="88" t="s">
        <v>1209</v>
      </c>
      <c r="B275" s="88" t="s">
        <v>789</v>
      </c>
      <c r="C275" s="18" t="s">
        <v>125</v>
      </c>
      <c r="D275" s="18" t="s">
        <v>57</v>
      </c>
      <c r="E275" s="18" t="s">
        <v>1558</v>
      </c>
      <c r="F275" s="107" t="s">
        <v>1752</v>
      </c>
      <c r="G275" s="103">
        <v>1810.48</v>
      </c>
      <c r="H275" s="87" t="e">
        <f t="shared" si="29"/>
        <v>#VALUE!</v>
      </c>
      <c r="I275" s="37" t="e">
        <f t="shared" si="32"/>
        <v>#VALUE!</v>
      </c>
      <c r="J275" s="37" t="e">
        <f t="shared" si="30"/>
        <v>#VALUE!</v>
      </c>
      <c r="K275" t="s">
        <v>1730</v>
      </c>
      <c r="M275" s="35" t="s">
        <v>1752</v>
      </c>
      <c r="N275" t="b">
        <f t="shared" si="31"/>
        <v>1</v>
      </c>
    </row>
    <row r="276" spans="1:14" hidden="1" x14ac:dyDescent="0.35">
      <c r="A276" s="88" t="s">
        <v>1209</v>
      </c>
      <c r="B276" s="88" t="s">
        <v>789</v>
      </c>
      <c r="C276" s="18" t="s">
        <v>125</v>
      </c>
      <c r="D276" s="18" t="s">
        <v>57</v>
      </c>
      <c r="E276" s="18" t="s">
        <v>1559</v>
      </c>
      <c r="F276" s="107" t="s">
        <v>1752</v>
      </c>
      <c r="G276" s="103">
        <v>282003.21999999997</v>
      </c>
      <c r="H276" s="87" t="e">
        <f t="shared" si="29"/>
        <v>#VALUE!</v>
      </c>
      <c r="I276" s="37" t="e">
        <f t="shared" si="32"/>
        <v>#VALUE!</v>
      </c>
      <c r="J276" s="37" t="e">
        <f t="shared" si="30"/>
        <v>#VALUE!</v>
      </c>
      <c r="K276" t="s">
        <v>1730</v>
      </c>
      <c r="M276" s="35" t="s">
        <v>1752</v>
      </c>
      <c r="N276" t="b">
        <f t="shared" si="31"/>
        <v>1</v>
      </c>
    </row>
    <row r="277" spans="1:14" hidden="1" x14ac:dyDescent="0.35">
      <c r="A277" s="88" t="s">
        <v>477</v>
      </c>
      <c r="B277" s="88" t="s">
        <v>790</v>
      </c>
      <c r="C277" s="18" t="s">
        <v>1496</v>
      </c>
      <c r="D277" s="18" t="s">
        <v>1499</v>
      </c>
      <c r="E277" s="18" t="s">
        <v>1560</v>
      </c>
      <c r="F277" s="107" t="s">
        <v>1753</v>
      </c>
      <c r="G277" s="108">
        <v>3066525</v>
      </c>
      <c r="H277" s="87" t="e">
        <f t="shared" si="29"/>
        <v>#VALUE!</v>
      </c>
      <c r="I277" s="37" t="e">
        <f t="shared" si="32"/>
        <v>#VALUE!</v>
      </c>
      <c r="J277" s="37" t="e">
        <f t="shared" si="30"/>
        <v>#VALUE!</v>
      </c>
      <c r="K277" t="s">
        <v>1730</v>
      </c>
      <c r="M277" s="35" t="s">
        <v>1753</v>
      </c>
      <c r="N277" t="b">
        <f t="shared" si="31"/>
        <v>1</v>
      </c>
    </row>
    <row r="278" spans="1:14" hidden="1" x14ac:dyDescent="0.35">
      <c r="A278" s="88" t="s">
        <v>477</v>
      </c>
      <c r="B278" s="88" t="s">
        <v>790</v>
      </c>
      <c r="C278" s="18" t="s">
        <v>1496</v>
      </c>
      <c r="D278" s="18" t="s">
        <v>1499</v>
      </c>
      <c r="E278" s="18" t="s">
        <v>1561</v>
      </c>
      <c r="F278" s="107" t="s">
        <v>1753</v>
      </c>
      <c r="G278" s="108">
        <v>3066330</v>
      </c>
      <c r="H278" s="87" t="e">
        <f t="shared" si="29"/>
        <v>#VALUE!</v>
      </c>
      <c r="I278" s="37" t="e">
        <f t="shared" si="32"/>
        <v>#VALUE!</v>
      </c>
      <c r="J278" s="37" t="e">
        <f t="shared" si="30"/>
        <v>#VALUE!</v>
      </c>
      <c r="K278" t="s">
        <v>1730</v>
      </c>
      <c r="M278" s="35" t="s">
        <v>1753</v>
      </c>
      <c r="N278" t="b">
        <f t="shared" si="31"/>
        <v>1</v>
      </c>
    </row>
    <row r="279" spans="1:14" hidden="1" x14ac:dyDescent="0.35">
      <c r="A279" s="88" t="s">
        <v>477</v>
      </c>
      <c r="B279" s="88" t="s">
        <v>790</v>
      </c>
      <c r="C279" s="18" t="s">
        <v>1496</v>
      </c>
      <c r="D279" s="18" t="s">
        <v>1499</v>
      </c>
      <c r="E279" s="18" t="s">
        <v>1562</v>
      </c>
      <c r="F279" s="107" t="s">
        <v>1753</v>
      </c>
      <c r="G279" s="108">
        <v>3063926</v>
      </c>
      <c r="H279" s="87" t="e">
        <f t="shared" si="29"/>
        <v>#VALUE!</v>
      </c>
      <c r="I279" s="37" t="e">
        <f t="shared" si="32"/>
        <v>#VALUE!</v>
      </c>
      <c r="J279" s="37" t="e">
        <f t="shared" si="30"/>
        <v>#VALUE!</v>
      </c>
      <c r="K279" t="s">
        <v>1730</v>
      </c>
      <c r="M279" s="35" t="s">
        <v>1753</v>
      </c>
      <c r="N279" t="b">
        <f t="shared" si="31"/>
        <v>1</v>
      </c>
    </row>
    <row r="280" spans="1:14" hidden="1" x14ac:dyDescent="0.35">
      <c r="A280" s="88" t="s">
        <v>477</v>
      </c>
      <c r="B280" s="88" t="s">
        <v>790</v>
      </c>
      <c r="C280" s="18" t="s">
        <v>1496</v>
      </c>
      <c r="D280" s="18" t="s">
        <v>1499</v>
      </c>
      <c r="E280" s="18" t="s">
        <v>1563</v>
      </c>
      <c r="F280" s="107" t="s">
        <v>1753</v>
      </c>
      <c r="G280" s="108">
        <v>3063926</v>
      </c>
      <c r="H280" s="87" t="e">
        <f t="shared" si="29"/>
        <v>#VALUE!</v>
      </c>
      <c r="I280" s="37" t="e">
        <f t="shared" si="32"/>
        <v>#VALUE!</v>
      </c>
      <c r="J280" s="37" t="e">
        <f t="shared" si="30"/>
        <v>#VALUE!</v>
      </c>
      <c r="K280" t="s">
        <v>1730</v>
      </c>
      <c r="M280" s="35" t="s">
        <v>1753</v>
      </c>
      <c r="N280" t="b">
        <f t="shared" si="31"/>
        <v>1</v>
      </c>
    </row>
    <row r="281" spans="1:14" hidden="1" x14ac:dyDescent="0.35">
      <c r="A281" s="88" t="s">
        <v>477</v>
      </c>
      <c r="B281" s="88" t="s">
        <v>790</v>
      </c>
      <c r="C281" s="18" t="s">
        <v>1496</v>
      </c>
      <c r="D281" s="18" t="s">
        <v>1499</v>
      </c>
      <c r="E281" s="18" t="s">
        <v>1564</v>
      </c>
      <c r="F281" s="107" t="s">
        <v>1753</v>
      </c>
      <c r="G281" s="108">
        <v>3063926</v>
      </c>
      <c r="H281" s="87" t="e">
        <f t="shared" si="29"/>
        <v>#VALUE!</v>
      </c>
      <c r="I281" s="37" t="e">
        <f t="shared" si="32"/>
        <v>#VALUE!</v>
      </c>
      <c r="J281" s="37" t="e">
        <f t="shared" si="30"/>
        <v>#VALUE!</v>
      </c>
      <c r="K281" t="s">
        <v>1730</v>
      </c>
      <c r="M281" s="35" t="s">
        <v>1753</v>
      </c>
      <c r="N281" t="b">
        <f t="shared" si="31"/>
        <v>1</v>
      </c>
    </row>
    <row r="282" spans="1:14" hidden="1" x14ac:dyDescent="0.35">
      <c r="A282" s="88" t="s">
        <v>477</v>
      </c>
      <c r="B282" s="88" t="s">
        <v>790</v>
      </c>
      <c r="C282" s="18" t="s">
        <v>1496</v>
      </c>
      <c r="D282" s="18" t="s">
        <v>1499</v>
      </c>
      <c r="E282" s="18" t="s">
        <v>1565</v>
      </c>
      <c r="F282" s="107" t="s">
        <v>1753</v>
      </c>
      <c r="G282" s="108">
        <v>3063926</v>
      </c>
      <c r="H282" s="87" t="e">
        <f t="shared" si="29"/>
        <v>#VALUE!</v>
      </c>
      <c r="I282" s="37" t="e">
        <f t="shared" si="32"/>
        <v>#VALUE!</v>
      </c>
      <c r="J282" s="37" t="e">
        <f t="shared" si="30"/>
        <v>#VALUE!</v>
      </c>
      <c r="K282" t="s">
        <v>1730</v>
      </c>
      <c r="M282" s="35" t="s">
        <v>1753</v>
      </c>
      <c r="N282" t="b">
        <f t="shared" si="31"/>
        <v>1</v>
      </c>
    </row>
    <row r="283" spans="1:14" hidden="1" x14ac:dyDescent="0.35">
      <c r="A283" s="88" t="s">
        <v>1209</v>
      </c>
      <c r="B283" s="88" t="s">
        <v>789</v>
      </c>
      <c r="C283" s="18" t="s">
        <v>125</v>
      </c>
      <c r="D283" s="18" t="s">
        <v>57</v>
      </c>
      <c r="E283" s="18" t="s">
        <v>1566</v>
      </c>
      <c r="F283" s="107" t="s">
        <v>1754</v>
      </c>
      <c r="G283" s="103">
        <v>346568.8</v>
      </c>
      <c r="H283" s="87" t="e">
        <f t="shared" si="29"/>
        <v>#VALUE!</v>
      </c>
      <c r="I283" s="37" t="e">
        <f t="shared" si="32"/>
        <v>#VALUE!</v>
      </c>
      <c r="J283" s="37" t="e">
        <f t="shared" si="30"/>
        <v>#VALUE!</v>
      </c>
      <c r="K283" t="s">
        <v>1730</v>
      </c>
      <c r="M283" s="35" t="s">
        <v>1754</v>
      </c>
      <c r="N283" t="b">
        <f t="shared" si="31"/>
        <v>1</v>
      </c>
    </row>
    <row r="284" spans="1:14" hidden="1" x14ac:dyDescent="0.35">
      <c r="A284" s="88" t="s">
        <v>1209</v>
      </c>
      <c r="B284" s="88" t="s">
        <v>789</v>
      </c>
      <c r="C284" s="18" t="s">
        <v>125</v>
      </c>
      <c r="D284" s="18" t="s">
        <v>57</v>
      </c>
      <c r="E284" s="18" t="s">
        <v>1567</v>
      </c>
      <c r="F284" s="107" t="s">
        <v>1754</v>
      </c>
      <c r="G284" s="103">
        <v>461867.1</v>
      </c>
      <c r="H284" s="87" t="e">
        <f t="shared" si="29"/>
        <v>#VALUE!</v>
      </c>
      <c r="I284" s="37" t="e">
        <f t="shared" si="32"/>
        <v>#VALUE!</v>
      </c>
      <c r="J284" s="37" t="e">
        <f t="shared" si="30"/>
        <v>#VALUE!</v>
      </c>
      <c r="K284" t="s">
        <v>1730</v>
      </c>
      <c r="M284" s="35" t="s">
        <v>1754</v>
      </c>
      <c r="N284" t="b">
        <f t="shared" si="31"/>
        <v>1</v>
      </c>
    </row>
    <row r="285" spans="1:14" hidden="1" x14ac:dyDescent="0.35">
      <c r="A285" s="88" t="s">
        <v>1209</v>
      </c>
      <c r="B285" s="88" t="s">
        <v>789</v>
      </c>
      <c r="C285" s="18" t="s">
        <v>125</v>
      </c>
      <c r="D285" s="18" t="s">
        <v>57</v>
      </c>
      <c r="E285" s="18" t="s">
        <v>1568</v>
      </c>
      <c r="F285" s="107" t="s">
        <v>1754</v>
      </c>
      <c r="G285" s="103">
        <v>2773.36</v>
      </c>
      <c r="H285" s="87" t="e">
        <f t="shared" si="29"/>
        <v>#VALUE!</v>
      </c>
      <c r="I285" s="37" t="e">
        <f t="shared" si="32"/>
        <v>#VALUE!</v>
      </c>
      <c r="J285" s="37" t="e">
        <f t="shared" si="30"/>
        <v>#VALUE!</v>
      </c>
      <c r="K285" t="s">
        <v>1730</v>
      </c>
      <c r="M285" s="35" t="s">
        <v>1754</v>
      </c>
      <c r="N285" t="b">
        <f t="shared" si="31"/>
        <v>1</v>
      </c>
    </row>
    <row r="286" spans="1:14" hidden="1" x14ac:dyDescent="0.35">
      <c r="A286" s="88" t="s">
        <v>1209</v>
      </c>
      <c r="B286" s="88" t="s">
        <v>789</v>
      </c>
      <c r="C286" s="18" t="s">
        <v>125</v>
      </c>
      <c r="D286" s="18" t="s">
        <v>57</v>
      </c>
      <c r="E286" s="18" t="s">
        <v>1569</v>
      </c>
      <c r="F286" s="107" t="s">
        <v>1754</v>
      </c>
      <c r="G286" s="103">
        <v>66000</v>
      </c>
      <c r="H286" s="87" t="e">
        <f t="shared" si="29"/>
        <v>#VALUE!</v>
      </c>
      <c r="I286" s="37" t="e">
        <f t="shared" si="32"/>
        <v>#VALUE!</v>
      </c>
      <c r="J286" s="37" t="e">
        <f t="shared" si="30"/>
        <v>#VALUE!</v>
      </c>
      <c r="K286" t="s">
        <v>1730</v>
      </c>
      <c r="M286" s="35" t="s">
        <v>1754</v>
      </c>
      <c r="N286" t="b">
        <f t="shared" si="31"/>
        <v>1</v>
      </c>
    </row>
    <row r="287" spans="1:14" hidden="1" x14ac:dyDescent="0.35">
      <c r="A287" s="88" t="s">
        <v>477</v>
      </c>
      <c r="B287" s="88" t="s">
        <v>790</v>
      </c>
      <c r="C287" s="18" t="s">
        <v>1496</v>
      </c>
      <c r="D287" s="18" t="s">
        <v>1499</v>
      </c>
      <c r="E287" s="18" t="s">
        <v>1570</v>
      </c>
      <c r="F287" s="107" t="s">
        <v>1755</v>
      </c>
      <c r="G287" s="108">
        <v>3063926</v>
      </c>
      <c r="H287" s="87" t="e">
        <f t="shared" si="29"/>
        <v>#VALUE!</v>
      </c>
      <c r="I287" s="37" t="e">
        <f t="shared" si="32"/>
        <v>#VALUE!</v>
      </c>
      <c r="J287" s="37" t="e">
        <f t="shared" si="30"/>
        <v>#VALUE!</v>
      </c>
      <c r="K287" t="s">
        <v>1730</v>
      </c>
      <c r="M287" s="35" t="s">
        <v>1755</v>
      </c>
      <c r="N287" t="b">
        <f t="shared" si="31"/>
        <v>1</v>
      </c>
    </row>
    <row r="288" spans="1:14" hidden="1" x14ac:dyDescent="0.35">
      <c r="A288" s="88" t="s">
        <v>477</v>
      </c>
      <c r="B288" s="88" t="s">
        <v>790</v>
      </c>
      <c r="C288" s="18" t="s">
        <v>1496</v>
      </c>
      <c r="D288" s="18" t="s">
        <v>1499</v>
      </c>
      <c r="E288" s="18" t="s">
        <v>1571</v>
      </c>
      <c r="F288" s="107" t="s">
        <v>1755</v>
      </c>
      <c r="G288" s="108">
        <v>3063926</v>
      </c>
      <c r="H288" s="87" t="e">
        <f t="shared" si="29"/>
        <v>#VALUE!</v>
      </c>
      <c r="I288" s="37" t="e">
        <f t="shared" si="32"/>
        <v>#VALUE!</v>
      </c>
      <c r="J288" s="37" t="e">
        <f t="shared" si="30"/>
        <v>#VALUE!</v>
      </c>
      <c r="K288" t="s">
        <v>1730</v>
      </c>
      <c r="M288" s="35" t="s">
        <v>1755</v>
      </c>
      <c r="N288" t="b">
        <f t="shared" si="31"/>
        <v>1</v>
      </c>
    </row>
    <row r="289" spans="1:14" hidden="1" x14ac:dyDescent="0.35">
      <c r="A289" s="88" t="s">
        <v>477</v>
      </c>
      <c r="B289" s="88" t="s">
        <v>790</v>
      </c>
      <c r="C289" s="18" t="s">
        <v>1496</v>
      </c>
      <c r="D289" s="18" t="s">
        <v>1499</v>
      </c>
      <c r="E289" s="18" t="s">
        <v>1572</v>
      </c>
      <c r="F289" s="107" t="s">
        <v>1755</v>
      </c>
      <c r="G289" s="108">
        <v>3063926</v>
      </c>
      <c r="H289" s="87" t="e">
        <f t="shared" si="29"/>
        <v>#VALUE!</v>
      </c>
      <c r="I289" s="37" t="e">
        <f t="shared" si="32"/>
        <v>#VALUE!</v>
      </c>
      <c r="J289" s="37" t="e">
        <f t="shared" si="30"/>
        <v>#VALUE!</v>
      </c>
      <c r="K289" t="s">
        <v>1730</v>
      </c>
      <c r="M289" s="35" t="s">
        <v>1755</v>
      </c>
      <c r="N289" t="b">
        <f t="shared" si="31"/>
        <v>1</v>
      </c>
    </row>
    <row r="290" spans="1:14" hidden="1" x14ac:dyDescent="0.35">
      <c r="A290" s="88" t="s">
        <v>477</v>
      </c>
      <c r="B290" s="88" t="s">
        <v>790</v>
      </c>
      <c r="C290" s="18" t="s">
        <v>1496</v>
      </c>
      <c r="D290" s="18" t="s">
        <v>1499</v>
      </c>
      <c r="E290" s="18" t="s">
        <v>1573</v>
      </c>
      <c r="F290" s="107" t="s">
        <v>1755</v>
      </c>
      <c r="G290" s="108">
        <v>3063926</v>
      </c>
      <c r="H290" s="87" t="e">
        <f t="shared" si="29"/>
        <v>#VALUE!</v>
      </c>
      <c r="I290" s="37" t="e">
        <f t="shared" si="32"/>
        <v>#VALUE!</v>
      </c>
      <c r="J290" s="37" t="e">
        <f t="shared" si="30"/>
        <v>#VALUE!</v>
      </c>
      <c r="K290" t="s">
        <v>1730</v>
      </c>
      <c r="M290" s="35" t="s">
        <v>1755</v>
      </c>
      <c r="N290" t="b">
        <f t="shared" si="31"/>
        <v>1</v>
      </c>
    </row>
    <row r="291" spans="1:14" hidden="1" x14ac:dyDescent="0.35">
      <c r="A291" s="88" t="s">
        <v>477</v>
      </c>
      <c r="B291" s="88" t="s">
        <v>790</v>
      </c>
      <c r="C291" s="18" t="s">
        <v>1496</v>
      </c>
      <c r="D291" s="18" t="s">
        <v>1499</v>
      </c>
      <c r="E291" s="18" t="s">
        <v>1574</v>
      </c>
      <c r="F291" s="107" t="s">
        <v>1755</v>
      </c>
      <c r="G291" s="108">
        <v>3063926</v>
      </c>
      <c r="H291" s="87" t="e">
        <f t="shared" si="29"/>
        <v>#VALUE!</v>
      </c>
      <c r="I291" s="37" t="e">
        <f t="shared" si="32"/>
        <v>#VALUE!</v>
      </c>
      <c r="J291" s="37" t="e">
        <f t="shared" si="30"/>
        <v>#VALUE!</v>
      </c>
      <c r="K291" t="s">
        <v>1730</v>
      </c>
      <c r="M291" s="35" t="s">
        <v>1755</v>
      </c>
      <c r="N291" t="b">
        <f t="shared" si="31"/>
        <v>1</v>
      </c>
    </row>
    <row r="292" spans="1:14" hidden="1" x14ac:dyDescent="0.35">
      <c r="A292" s="88" t="s">
        <v>477</v>
      </c>
      <c r="B292" s="88" t="s">
        <v>790</v>
      </c>
      <c r="C292" s="18" t="s">
        <v>1496</v>
      </c>
      <c r="D292" s="18" t="s">
        <v>1499</v>
      </c>
      <c r="E292" s="18" t="s">
        <v>1575</v>
      </c>
      <c r="F292" s="107" t="s">
        <v>1755</v>
      </c>
      <c r="G292" s="108">
        <v>3063926</v>
      </c>
      <c r="H292" s="87" t="e">
        <f t="shared" si="29"/>
        <v>#VALUE!</v>
      </c>
      <c r="I292" s="37" t="e">
        <f t="shared" si="32"/>
        <v>#VALUE!</v>
      </c>
      <c r="J292" s="37" t="e">
        <f t="shared" si="30"/>
        <v>#VALUE!</v>
      </c>
      <c r="K292" t="s">
        <v>1730</v>
      </c>
      <c r="M292" s="35" t="s">
        <v>1755</v>
      </c>
      <c r="N292" t="b">
        <f t="shared" si="31"/>
        <v>1</v>
      </c>
    </row>
    <row r="293" spans="1:14" hidden="1" x14ac:dyDescent="0.35">
      <c r="A293" s="88" t="s">
        <v>1209</v>
      </c>
      <c r="B293" s="88" t="s">
        <v>789</v>
      </c>
      <c r="C293" s="18" t="s">
        <v>125</v>
      </c>
      <c r="D293" s="18" t="s">
        <v>57</v>
      </c>
      <c r="E293" s="18" t="s">
        <v>1576</v>
      </c>
      <c r="F293" s="107" t="s">
        <v>1755</v>
      </c>
      <c r="G293" s="103">
        <v>908528.82</v>
      </c>
      <c r="H293" s="87" t="e">
        <f t="shared" si="29"/>
        <v>#VALUE!</v>
      </c>
      <c r="I293" s="37" t="e">
        <f t="shared" si="32"/>
        <v>#VALUE!</v>
      </c>
      <c r="J293" s="37" t="e">
        <f t="shared" si="30"/>
        <v>#VALUE!</v>
      </c>
      <c r="K293" t="s">
        <v>1730</v>
      </c>
      <c r="M293" s="35" t="s">
        <v>1755</v>
      </c>
      <c r="N293" t="b">
        <f t="shared" si="31"/>
        <v>1</v>
      </c>
    </row>
    <row r="294" spans="1:14" hidden="1" x14ac:dyDescent="0.35">
      <c r="A294" s="88" t="s">
        <v>1209</v>
      </c>
      <c r="B294" s="88" t="s">
        <v>789</v>
      </c>
      <c r="C294" s="18" t="s">
        <v>125</v>
      </c>
      <c r="D294" s="18" t="s">
        <v>57</v>
      </c>
      <c r="E294" s="18" t="s">
        <v>1577</v>
      </c>
      <c r="F294" s="107" t="s">
        <v>1755</v>
      </c>
      <c r="G294" s="103">
        <v>565.4</v>
      </c>
      <c r="H294" s="87" t="e">
        <f t="shared" si="29"/>
        <v>#VALUE!</v>
      </c>
      <c r="I294" s="37" t="e">
        <f t="shared" si="32"/>
        <v>#VALUE!</v>
      </c>
      <c r="J294" s="37" t="e">
        <f t="shared" si="30"/>
        <v>#VALUE!</v>
      </c>
      <c r="K294" t="s">
        <v>1730</v>
      </c>
      <c r="M294" s="35" t="s">
        <v>1755</v>
      </c>
      <c r="N294" t="b">
        <f t="shared" si="31"/>
        <v>1</v>
      </c>
    </row>
    <row r="295" spans="1:14" hidden="1" x14ac:dyDescent="0.35">
      <c r="A295" s="88" t="s">
        <v>1209</v>
      </c>
      <c r="B295" s="88" t="s">
        <v>789</v>
      </c>
      <c r="C295" s="18" t="s">
        <v>125</v>
      </c>
      <c r="D295" s="18" t="s">
        <v>57</v>
      </c>
      <c r="E295" s="18" t="s">
        <v>1578</v>
      </c>
      <c r="F295" s="107" t="s">
        <v>1755</v>
      </c>
      <c r="G295" s="103">
        <v>23698</v>
      </c>
      <c r="H295" s="87" t="e">
        <f t="shared" si="29"/>
        <v>#VALUE!</v>
      </c>
      <c r="I295" s="37" t="e">
        <f t="shared" si="32"/>
        <v>#VALUE!</v>
      </c>
      <c r="J295" s="37" t="e">
        <f t="shared" si="30"/>
        <v>#VALUE!</v>
      </c>
      <c r="K295" t="s">
        <v>1730</v>
      </c>
      <c r="M295" s="35" t="s">
        <v>1755</v>
      </c>
      <c r="N295" t="b">
        <f t="shared" si="31"/>
        <v>1</v>
      </c>
    </row>
    <row r="296" spans="1:14" hidden="1" x14ac:dyDescent="0.35">
      <c r="A296" s="88" t="s">
        <v>477</v>
      </c>
      <c r="B296" s="88" t="s">
        <v>790</v>
      </c>
      <c r="C296" s="18" t="s">
        <v>1080</v>
      </c>
      <c r="D296" s="18" t="s">
        <v>1081</v>
      </c>
      <c r="E296" s="18" t="s">
        <v>1579</v>
      </c>
      <c r="F296" s="107" t="s">
        <v>1756</v>
      </c>
      <c r="G296" s="108">
        <v>2545243.88</v>
      </c>
      <c r="H296" s="87" t="e">
        <f t="shared" si="29"/>
        <v>#VALUE!</v>
      </c>
      <c r="I296" s="37" t="e">
        <f t="shared" si="32"/>
        <v>#VALUE!</v>
      </c>
      <c r="J296" s="37" t="e">
        <f t="shared" si="30"/>
        <v>#VALUE!</v>
      </c>
      <c r="K296" t="s">
        <v>1730</v>
      </c>
      <c r="M296" s="35" t="s">
        <v>1756</v>
      </c>
      <c r="N296" t="b">
        <f t="shared" si="31"/>
        <v>1</v>
      </c>
    </row>
    <row r="297" spans="1:14" hidden="1" x14ac:dyDescent="0.35">
      <c r="A297" s="88" t="s">
        <v>1209</v>
      </c>
      <c r="B297" s="88" t="s">
        <v>789</v>
      </c>
      <c r="C297" s="18" t="s">
        <v>125</v>
      </c>
      <c r="D297" s="18" t="s">
        <v>57</v>
      </c>
      <c r="E297" s="18" t="s">
        <v>1580</v>
      </c>
      <c r="F297" s="107" t="s">
        <v>1756</v>
      </c>
      <c r="G297" s="103">
        <v>827710.26</v>
      </c>
      <c r="H297" s="87" t="e">
        <f t="shared" si="29"/>
        <v>#VALUE!</v>
      </c>
      <c r="I297" s="37" t="e">
        <f t="shared" si="32"/>
        <v>#VALUE!</v>
      </c>
      <c r="J297" s="37" t="e">
        <f t="shared" si="30"/>
        <v>#VALUE!</v>
      </c>
      <c r="K297" t="s">
        <v>1730</v>
      </c>
      <c r="M297" s="35" t="s">
        <v>1756</v>
      </c>
      <c r="N297" t="b">
        <f t="shared" si="31"/>
        <v>1</v>
      </c>
    </row>
    <row r="298" spans="1:14" hidden="1" x14ac:dyDescent="0.35">
      <c r="A298" s="88" t="s">
        <v>1209</v>
      </c>
      <c r="B298" s="88" t="s">
        <v>789</v>
      </c>
      <c r="C298" s="18" t="s">
        <v>125</v>
      </c>
      <c r="D298" s="18" t="s">
        <v>57</v>
      </c>
      <c r="E298" s="18" t="s">
        <v>1581</v>
      </c>
      <c r="F298" s="107" t="s">
        <v>1756</v>
      </c>
      <c r="G298" s="103">
        <v>7413.84</v>
      </c>
      <c r="H298" s="87" t="e">
        <f t="shared" si="29"/>
        <v>#VALUE!</v>
      </c>
      <c r="I298" s="37" t="e">
        <f t="shared" si="32"/>
        <v>#VALUE!</v>
      </c>
      <c r="J298" s="37" t="e">
        <f t="shared" si="30"/>
        <v>#VALUE!</v>
      </c>
      <c r="K298" t="s">
        <v>1730</v>
      </c>
      <c r="M298" s="35" t="s">
        <v>1756</v>
      </c>
      <c r="N298" t="b">
        <f t="shared" si="31"/>
        <v>1</v>
      </c>
    </row>
    <row r="299" spans="1:14" hidden="1" x14ac:dyDescent="0.35">
      <c r="A299" s="88" t="s">
        <v>477</v>
      </c>
      <c r="B299" s="88" t="s">
        <v>790</v>
      </c>
      <c r="C299" s="18" t="s">
        <v>1080</v>
      </c>
      <c r="D299" s="18" t="s">
        <v>1081</v>
      </c>
      <c r="E299" s="18" t="s">
        <v>1582</v>
      </c>
      <c r="F299" s="107" t="s">
        <v>1757</v>
      </c>
      <c r="G299" s="108">
        <v>324014.14</v>
      </c>
      <c r="H299" s="87" t="e">
        <f t="shared" si="29"/>
        <v>#VALUE!</v>
      </c>
      <c r="I299" s="37" t="e">
        <f t="shared" si="32"/>
        <v>#VALUE!</v>
      </c>
      <c r="J299" s="37" t="e">
        <f t="shared" si="30"/>
        <v>#VALUE!</v>
      </c>
      <c r="K299" t="s">
        <v>1730</v>
      </c>
      <c r="M299" s="35" t="s">
        <v>1757</v>
      </c>
      <c r="N299" t="b">
        <f t="shared" si="31"/>
        <v>1</v>
      </c>
    </row>
    <row r="300" spans="1:14" hidden="1" x14ac:dyDescent="0.35">
      <c r="A300" s="88" t="s">
        <v>1209</v>
      </c>
      <c r="B300" s="88" t="s">
        <v>789</v>
      </c>
      <c r="C300" s="18" t="s">
        <v>125</v>
      </c>
      <c r="D300" s="18" t="s">
        <v>57</v>
      </c>
      <c r="E300" s="18" t="s">
        <v>1583</v>
      </c>
      <c r="F300" s="107" t="s">
        <v>1757</v>
      </c>
      <c r="G300" s="103">
        <v>843453.62</v>
      </c>
      <c r="H300" s="87" t="e">
        <f t="shared" si="29"/>
        <v>#VALUE!</v>
      </c>
      <c r="I300" s="37" t="e">
        <f t="shared" si="32"/>
        <v>#VALUE!</v>
      </c>
      <c r="J300" s="37" t="e">
        <f t="shared" si="30"/>
        <v>#VALUE!</v>
      </c>
      <c r="K300" t="s">
        <v>1730</v>
      </c>
      <c r="M300" s="35" t="s">
        <v>1757</v>
      </c>
      <c r="N300" t="b">
        <f t="shared" si="31"/>
        <v>1</v>
      </c>
    </row>
    <row r="301" spans="1:14" hidden="1" x14ac:dyDescent="0.35">
      <c r="A301" s="88" t="s">
        <v>1209</v>
      </c>
      <c r="B301" s="88" t="s">
        <v>789</v>
      </c>
      <c r="C301" s="18" t="s">
        <v>125</v>
      </c>
      <c r="D301" s="18" t="s">
        <v>57</v>
      </c>
      <c r="E301" s="18" t="s">
        <v>1584</v>
      </c>
      <c r="F301" s="107" t="s">
        <v>1757</v>
      </c>
      <c r="G301" s="103">
        <v>6620.88</v>
      </c>
      <c r="H301" s="87" t="e">
        <f t="shared" si="29"/>
        <v>#VALUE!</v>
      </c>
      <c r="I301" s="37" t="e">
        <f t="shared" si="32"/>
        <v>#VALUE!</v>
      </c>
      <c r="J301" s="37" t="e">
        <f t="shared" si="30"/>
        <v>#VALUE!</v>
      </c>
      <c r="K301" t="s">
        <v>1730</v>
      </c>
      <c r="M301" s="35" t="s">
        <v>1757</v>
      </c>
      <c r="N301" t="b">
        <f t="shared" si="31"/>
        <v>1</v>
      </c>
    </row>
    <row r="302" spans="1:14" hidden="1" x14ac:dyDescent="0.35">
      <c r="A302" s="88" t="s">
        <v>1209</v>
      </c>
      <c r="B302" s="88" t="s">
        <v>789</v>
      </c>
      <c r="C302" s="18" t="s">
        <v>125</v>
      </c>
      <c r="D302" s="18" t="s">
        <v>57</v>
      </c>
      <c r="E302" s="18" t="s">
        <v>1585</v>
      </c>
      <c r="F302" s="107" t="s">
        <v>1757</v>
      </c>
      <c r="G302" s="103">
        <v>820.2</v>
      </c>
      <c r="H302" s="87" t="e">
        <f t="shared" si="29"/>
        <v>#VALUE!</v>
      </c>
      <c r="I302" s="37" t="e">
        <f t="shared" si="32"/>
        <v>#VALUE!</v>
      </c>
      <c r="J302" s="37" t="e">
        <f t="shared" si="30"/>
        <v>#VALUE!</v>
      </c>
      <c r="K302" t="s">
        <v>1730</v>
      </c>
      <c r="M302" s="35" t="s">
        <v>1757</v>
      </c>
      <c r="N302" t="b">
        <f t="shared" si="31"/>
        <v>1</v>
      </c>
    </row>
    <row r="303" spans="1:14" hidden="1" x14ac:dyDescent="0.35">
      <c r="A303" s="88" t="s">
        <v>1209</v>
      </c>
      <c r="B303" s="88" t="s">
        <v>789</v>
      </c>
      <c r="C303" s="18" t="s">
        <v>125</v>
      </c>
      <c r="D303" s="18" t="s">
        <v>57</v>
      </c>
      <c r="E303" s="18" t="s">
        <v>1586</v>
      </c>
      <c r="F303" s="107" t="s">
        <v>1758</v>
      </c>
      <c r="G303" s="103">
        <v>2659.85</v>
      </c>
      <c r="H303" s="87" t="e">
        <f t="shared" si="29"/>
        <v>#VALUE!</v>
      </c>
      <c r="I303" s="37" t="e">
        <f t="shared" si="32"/>
        <v>#VALUE!</v>
      </c>
      <c r="J303" s="37" t="e">
        <f t="shared" si="30"/>
        <v>#VALUE!</v>
      </c>
      <c r="K303" t="s">
        <v>1730</v>
      </c>
      <c r="M303" s="35" t="s">
        <v>1758</v>
      </c>
      <c r="N303" t="b">
        <f t="shared" si="31"/>
        <v>1</v>
      </c>
    </row>
    <row r="304" spans="1:14" hidden="1" x14ac:dyDescent="0.35">
      <c r="A304" s="88" t="s">
        <v>1209</v>
      </c>
      <c r="B304" s="88" t="s">
        <v>789</v>
      </c>
      <c r="C304" s="18" t="s">
        <v>125</v>
      </c>
      <c r="D304" s="18" t="s">
        <v>57</v>
      </c>
      <c r="E304" s="18" t="s">
        <v>1587</v>
      </c>
      <c r="F304" s="107" t="s">
        <v>1758</v>
      </c>
      <c r="G304" s="103">
        <v>1198663.33</v>
      </c>
      <c r="H304" s="87" t="e">
        <f t="shared" si="29"/>
        <v>#VALUE!</v>
      </c>
      <c r="I304" s="37" t="e">
        <f t="shared" si="32"/>
        <v>#VALUE!</v>
      </c>
      <c r="J304" s="37" t="e">
        <f t="shared" si="30"/>
        <v>#VALUE!</v>
      </c>
      <c r="K304" t="s">
        <v>1730</v>
      </c>
      <c r="M304" s="35" t="s">
        <v>1758</v>
      </c>
      <c r="N304" t="b">
        <f t="shared" si="31"/>
        <v>1</v>
      </c>
    </row>
    <row r="305" spans="1:14" hidden="1" x14ac:dyDescent="0.35">
      <c r="A305" s="88" t="s">
        <v>1209</v>
      </c>
      <c r="B305" s="88" t="s">
        <v>789</v>
      </c>
      <c r="C305" s="18" t="s">
        <v>125</v>
      </c>
      <c r="D305" s="18" t="s">
        <v>57</v>
      </c>
      <c r="E305" s="18" t="s">
        <v>1588</v>
      </c>
      <c r="F305" s="107" t="s">
        <v>1758</v>
      </c>
      <c r="G305" s="103">
        <v>5545.72</v>
      </c>
      <c r="H305" s="87" t="e">
        <f t="shared" si="29"/>
        <v>#VALUE!</v>
      </c>
      <c r="I305" s="37" t="e">
        <f t="shared" si="32"/>
        <v>#VALUE!</v>
      </c>
      <c r="J305" s="37" t="e">
        <f t="shared" si="30"/>
        <v>#VALUE!</v>
      </c>
      <c r="K305" t="s">
        <v>1730</v>
      </c>
      <c r="M305" s="35" t="s">
        <v>1758</v>
      </c>
      <c r="N305" t="b">
        <f t="shared" si="31"/>
        <v>1</v>
      </c>
    </row>
    <row r="306" spans="1:14" hidden="1" x14ac:dyDescent="0.35">
      <c r="A306" s="88" t="s">
        <v>1209</v>
      </c>
      <c r="B306" s="88" t="s">
        <v>789</v>
      </c>
      <c r="C306" s="18" t="s">
        <v>125</v>
      </c>
      <c r="D306" s="18" t="s">
        <v>57</v>
      </c>
      <c r="E306" s="18" t="s">
        <v>1589</v>
      </c>
      <c r="F306" s="107" t="s">
        <v>1758</v>
      </c>
      <c r="G306" s="103">
        <v>10402.06</v>
      </c>
      <c r="H306" s="87" t="e">
        <f t="shared" si="29"/>
        <v>#VALUE!</v>
      </c>
      <c r="I306" s="37" t="e">
        <f t="shared" si="32"/>
        <v>#VALUE!</v>
      </c>
      <c r="J306" s="37" t="e">
        <f t="shared" si="30"/>
        <v>#VALUE!</v>
      </c>
      <c r="K306" t="s">
        <v>1730</v>
      </c>
      <c r="M306" s="35" t="s">
        <v>1758</v>
      </c>
      <c r="N306" t="b">
        <f t="shared" si="31"/>
        <v>1</v>
      </c>
    </row>
    <row r="307" spans="1:14" hidden="1" x14ac:dyDescent="0.35">
      <c r="A307" s="88" t="s">
        <v>1209</v>
      </c>
      <c r="B307" s="88" t="s">
        <v>789</v>
      </c>
      <c r="C307" s="18" t="s">
        <v>125</v>
      </c>
      <c r="D307" s="18" t="s">
        <v>57</v>
      </c>
      <c r="E307" s="18" t="s">
        <v>1590</v>
      </c>
      <c r="F307" s="107" t="s">
        <v>1758</v>
      </c>
      <c r="G307" s="103">
        <v>1131.7</v>
      </c>
      <c r="H307" s="87" t="e">
        <f t="shared" si="29"/>
        <v>#VALUE!</v>
      </c>
      <c r="I307" s="37" t="e">
        <f t="shared" si="32"/>
        <v>#VALUE!</v>
      </c>
      <c r="J307" s="37" t="e">
        <f t="shared" si="30"/>
        <v>#VALUE!</v>
      </c>
      <c r="K307" t="s">
        <v>1730</v>
      </c>
      <c r="M307" s="35" t="s">
        <v>1758</v>
      </c>
      <c r="N307" t="b">
        <f t="shared" si="31"/>
        <v>1</v>
      </c>
    </row>
    <row r="308" spans="1:14" hidden="1" x14ac:dyDescent="0.35">
      <c r="A308" s="88" t="s">
        <v>1209</v>
      </c>
      <c r="B308" s="88" t="s">
        <v>789</v>
      </c>
      <c r="C308" s="18" t="s">
        <v>125</v>
      </c>
      <c r="D308" s="18" t="s">
        <v>57</v>
      </c>
      <c r="E308" s="18" t="s">
        <v>1591</v>
      </c>
      <c r="F308" s="107" t="s">
        <v>1758</v>
      </c>
      <c r="G308" s="103">
        <v>210418.21</v>
      </c>
      <c r="H308" s="87" t="e">
        <f t="shared" si="29"/>
        <v>#VALUE!</v>
      </c>
      <c r="I308" s="37" t="e">
        <f t="shared" si="32"/>
        <v>#VALUE!</v>
      </c>
      <c r="J308" s="37" t="e">
        <f t="shared" si="30"/>
        <v>#VALUE!</v>
      </c>
      <c r="K308" t="s">
        <v>1730</v>
      </c>
      <c r="M308" s="35" t="s">
        <v>1758</v>
      </c>
      <c r="N308" t="b">
        <f t="shared" si="31"/>
        <v>1</v>
      </c>
    </row>
    <row r="309" spans="1:14" hidden="1" x14ac:dyDescent="0.35">
      <c r="A309" s="88" t="s">
        <v>1209</v>
      </c>
      <c r="B309" s="88" t="s">
        <v>789</v>
      </c>
      <c r="C309" s="18" t="s">
        <v>125</v>
      </c>
      <c r="D309" s="18" t="s">
        <v>57</v>
      </c>
      <c r="E309" s="18" t="s">
        <v>1592</v>
      </c>
      <c r="F309" s="107" t="s">
        <v>1758</v>
      </c>
      <c r="G309" s="103">
        <v>2263.6</v>
      </c>
      <c r="H309" s="87" t="e">
        <f t="shared" si="29"/>
        <v>#VALUE!</v>
      </c>
      <c r="I309" s="37" t="e">
        <f t="shared" si="32"/>
        <v>#VALUE!</v>
      </c>
      <c r="J309" s="37" t="e">
        <f t="shared" si="30"/>
        <v>#VALUE!</v>
      </c>
      <c r="K309" t="s">
        <v>1730</v>
      </c>
      <c r="M309" s="35" t="s">
        <v>1758</v>
      </c>
      <c r="N309" t="b">
        <f t="shared" si="31"/>
        <v>1</v>
      </c>
    </row>
    <row r="310" spans="1:14" hidden="1" x14ac:dyDescent="0.35">
      <c r="A310" s="88" t="s">
        <v>1209</v>
      </c>
      <c r="B310" s="88" t="s">
        <v>789</v>
      </c>
      <c r="C310" s="18" t="s">
        <v>125</v>
      </c>
      <c r="D310" s="18" t="s">
        <v>57</v>
      </c>
      <c r="E310" s="18" t="s">
        <v>1593</v>
      </c>
      <c r="F310" s="107" t="s">
        <v>1758</v>
      </c>
      <c r="G310" s="103">
        <v>79574.48</v>
      </c>
      <c r="H310" s="87" t="e">
        <f t="shared" si="29"/>
        <v>#VALUE!</v>
      </c>
      <c r="I310" s="37" t="e">
        <f t="shared" si="32"/>
        <v>#VALUE!</v>
      </c>
      <c r="J310" s="37" t="e">
        <f t="shared" si="30"/>
        <v>#VALUE!</v>
      </c>
      <c r="K310" t="s">
        <v>1730</v>
      </c>
      <c r="M310" s="35" t="s">
        <v>1758</v>
      </c>
      <c r="N310" t="b">
        <f t="shared" si="31"/>
        <v>1</v>
      </c>
    </row>
    <row r="311" spans="1:14" hidden="1" x14ac:dyDescent="0.35">
      <c r="A311" s="88" t="s">
        <v>477</v>
      </c>
      <c r="B311" s="88" t="s">
        <v>790</v>
      </c>
      <c r="C311" s="18" t="s">
        <v>1087</v>
      </c>
      <c r="D311" s="18" t="s">
        <v>1088</v>
      </c>
      <c r="E311" s="18" t="s">
        <v>1594</v>
      </c>
      <c r="F311" s="107" t="s">
        <v>1759</v>
      </c>
      <c r="G311" s="108">
        <v>313821</v>
      </c>
      <c r="H311" s="87" t="e">
        <f t="shared" si="29"/>
        <v>#VALUE!</v>
      </c>
      <c r="I311" s="37" t="e">
        <f t="shared" si="32"/>
        <v>#VALUE!</v>
      </c>
      <c r="J311" s="37" t="e">
        <f t="shared" si="30"/>
        <v>#VALUE!</v>
      </c>
      <c r="K311" t="s">
        <v>1730</v>
      </c>
      <c r="M311" s="35" t="s">
        <v>1759</v>
      </c>
      <c r="N311" t="b">
        <f t="shared" si="31"/>
        <v>1</v>
      </c>
    </row>
    <row r="312" spans="1:14" hidden="1" x14ac:dyDescent="0.35">
      <c r="A312" s="88" t="s">
        <v>1209</v>
      </c>
      <c r="B312" s="88" t="s">
        <v>789</v>
      </c>
      <c r="C312" s="18" t="s">
        <v>125</v>
      </c>
      <c r="D312" s="18" t="s">
        <v>57</v>
      </c>
      <c r="E312" s="18" t="s">
        <v>1595</v>
      </c>
      <c r="F312" s="107" t="s">
        <v>1759</v>
      </c>
      <c r="G312" s="103">
        <v>366.15</v>
      </c>
      <c r="H312" s="87" t="e">
        <f t="shared" si="29"/>
        <v>#VALUE!</v>
      </c>
      <c r="I312" s="37" t="e">
        <f t="shared" si="32"/>
        <v>#VALUE!</v>
      </c>
      <c r="J312" s="37" t="e">
        <f t="shared" si="30"/>
        <v>#VALUE!</v>
      </c>
      <c r="K312" t="s">
        <v>1730</v>
      </c>
      <c r="M312" s="35" t="s">
        <v>1759</v>
      </c>
      <c r="N312" t="b">
        <f t="shared" si="31"/>
        <v>1</v>
      </c>
    </row>
    <row r="313" spans="1:14" hidden="1" x14ac:dyDescent="0.35">
      <c r="A313" s="88" t="s">
        <v>1209</v>
      </c>
      <c r="B313" s="88" t="s">
        <v>789</v>
      </c>
      <c r="C313" s="18" t="s">
        <v>125</v>
      </c>
      <c r="D313" s="18" t="s">
        <v>57</v>
      </c>
      <c r="E313" s="18" t="s">
        <v>1596</v>
      </c>
      <c r="F313" s="107" t="s">
        <v>1759</v>
      </c>
      <c r="G313" s="103">
        <v>650686.59</v>
      </c>
      <c r="H313" s="87" t="e">
        <f t="shared" ref="H313:H375" si="33">$H$2-F313+1</f>
        <v>#VALUE!</v>
      </c>
      <c r="I313" s="37" t="e">
        <f t="shared" si="32"/>
        <v>#VALUE!</v>
      </c>
      <c r="J313" s="37" t="e">
        <f t="shared" ref="J313:J375" si="34">IF(H313&lt;180,"0-180 DAYS","More than 180 Days")</f>
        <v>#VALUE!</v>
      </c>
      <c r="K313" t="s">
        <v>1730</v>
      </c>
      <c r="M313" s="35" t="s">
        <v>1759</v>
      </c>
      <c r="N313" t="b">
        <f t="shared" ref="N313:N375" si="35">M313=F313</f>
        <v>1</v>
      </c>
    </row>
    <row r="314" spans="1:14" hidden="1" x14ac:dyDescent="0.35">
      <c r="A314" s="88" t="s">
        <v>1209</v>
      </c>
      <c r="B314" s="88" t="s">
        <v>789</v>
      </c>
      <c r="C314" s="18" t="s">
        <v>125</v>
      </c>
      <c r="D314" s="18" t="s">
        <v>57</v>
      </c>
      <c r="E314" s="18" t="s">
        <v>1597</v>
      </c>
      <c r="F314" s="107" t="s">
        <v>1759</v>
      </c>
      <c r="G314" s="103">
        <v>1980.4</v>
      </c>
      <c r="H314" s="87" t="e">
        <f t="shared" si="33"/>
        <v>#VALUE!</v>
      </c>
      <c r="I314" s="37" t="e">
        <f t="shared" si="32"/>
        <v>#VALUE!</v>
      </c>
      <c r="J314" s="37" t="e">
        <f t="shared" si="34"/>
        <v>#VALUE!</v>
      </c>
      <c r="K314" t="s">
        <v>1730</v>
      </c>
      <c r="M314" s="35" t="s">
        <v>1759</v>
      </c>
      <c r="N314" t="b">
        <f t="shared" si="35"/>
        <v>1</v>
      </c>
    </row>
    <row r="315" spans="1:14" hidden="1" x14ac:dyDescent="0.35">
      <c r="A315" s="88" t="s">
        <v>1209</v>
      </c>
      <c r="B315" s="88" t="s">
        <v>789</v>
      </c>
      <c r="C315" s="18" t="s">
        <v>125</v>
      </c>
      <c r="D315" s="18" t="s">
        <v>57</v>
      </c>
      <c r="E315" s="18" t="s">
        <v>1598</v>
      </c>
      <c r="F315" s="107" t="s">
        <v>1759</v>
      </c>
      <c r="G315" s="103">
        <v>69300</v>
      </c>
      <c r="H315" s="87" t="e">
        <f t="shared" si="33"/>
        <v>#VALUE!</v>
      </c>
      <c r="I315" s="37" t="e">
        <f t="shared" ref="I315:I363" si="36">IF(H315&lt;91,"1-90 DAYS",IF(H315&lt;121,"91-120DAYS",IF(H315&lt;181,"121-180 DAYS","More than 180 Days")))</f>
        <v>#VALUE!</v>
      </c>
      <c r="J315" s="37" t="e">
        <f t="shared" si="34"/>
        <v>#VALUE!</v>
      </c>
      <c r="K315" t="s">
        <v>1730</v>
      </c>
      <c r="M315" s="35" t="s">
        <v>1759</v>
      </c>
      <c r="N315" t="b">
        <f t="shared" si="35"/>
        <v>1</v>
      </c>
    </row>
    <row r="316" spans="1:14" hidden="1" x14ac:dyDescent="0.35">
      <c r="A316" s="88" t="s">
        <v>477</v>
      </c>
      <c r="B316" s="88" t="s">
        <v>790</v>
      </c>
      <c r="C316" s="18" t="s">
        <v>51</v>
      </c>
      <c r="D316" s="18" t="s">
        <v>52</v>
      </c>
      <c r="E316" s="18" t="s">
        <v>1599</v>
      </c>
      <c r="F316" s="107" t="s">
        <v>1760</v>
      </c>
      <c r="G316" s="108">
        <v>1055362.5</v>
      </c>
      <c r="H316" s="87">
        <f t="shared" si="33"/>
        <v>178</v>
      </c>
      <c r="I316" s="37" t="str">
        <f t="shared" si="36"/>
        <v>121-180 DAYS</v>
      </c>
      <c r="J316" s="37" t="str">
        <f t="shared" si="34"/>
        <v>0-180 DAYS</v>
      </c>
      <c r="K316" t="s">
        <v>1730</v>
      </c>
      <c r="M316" s="35" t="s">
        <v>1760</v>
      </c>
      <c r="N316" t="b">
        <f t="shared" si="35"/>
        <v>1</v>
      </c>
    </row>
    <row r="317" spans="1:14" hidden="1" x14ac:dyDescent="0.35">
      <c r="A317" s="88" t="s">
        <v>1209</v>
      </c>
      <c r="B317" s="88" t="s">
        <v>789</v>
      </c>
      <c r="C317" s="18" t="s">
        <v>125</v>
      </c>
      <c r="D317" s="18" t="s">
        <v>57</v>
      </c>
      <c r="E317" s="18" t="s">
        <v>31</v>
      </c>
      <c r="F317" s="107" t="s">
        <v>1731</v>
      </c>
      <c r="G317" s="103">
        <v>309060.40999999997</v>
      </c>
      <c r="H317" s="87">
        <f t="shared" si="33"/>
        <v>147</v>
      </c>
      <c r="I317" s="37" t="str">
        <f t="shared" si="36"/>
        <v>121-180 DAYS</v>
      </c>
      <c r="J317" s="37" t="str">
        <f t="shared" si="34"/>
        <v>0-180 DAYS</v>
      </c>
      <c r="K317" t="s">
        <v>1730</v>
      </c>
      <c r="M317" s="35" t="s">
        <v>1731</v>
      </c>
      <c r="N317" t="b">
        <f t="shared" si="35"/>
        <v>1</v>
      </c>
    </row>
    <row r="318" spans="1:14" hidden="1" x14ac:dyDescent="0.35">
      <c r="A318" s="88" t="s">
        <v>1209</v>
      </c>
      <c r="B318" s="88" t="s">
        <v>789</v>
      </c>
      <c r="C318" s="18" t="s">
        <v>125</v>
      </c>
      <c r="D318" s="18" t="s">
        <v>57</v>
      </c>
      <c r="E318" s="18" t="s">
        <v>1600</v>
      </c>
      <c r="F318" s="107" t="s">
        <v>1734</v>
      </c>
      <c r="G318" s="103">
        <v>654633.78</v>
      </c>
      <c r="H318" s="87">
        <f t="shared" si="33"/>
        <v>26</v>
      </c>
      <c r="I318" s="37" t="str">
        <f t="shared" si="36"/>
        <v>1-90 DAYS</v>
      </c>
      <c r="J318" s="37" t="str">
        <f t="shared" si="34"/>
        <v>0-180 DAYS</v>
      </c>
      <c r="K318" t="s">
        <v>1730</v>
      </c>
      <c r="M318" s="35" t="s">
        <v>1734</v>
      </c>
      <c r="N318" t="b">
        <f t="shared" si="35"/>
        <v>1</v>
      </c>
    </row>
    <row r="319" spans="1:14" hidden="1" x14ac:dyDescent="0.35">
      <c r="A319" s="88" t="s">
        <v>1209</v>
      </c>
      <c r="B319" s="88" t="s">
        <v>789</v>
      </c>
      <c r="C319" s="18" t="s">
        <v>125</v>
      </c>
      <c r="D319" s="18" t="s">
        <v>57</v>
      </c>
      <c r="E319" s="18" t="s">
        <v>1601</v>
      </c>
      <c r="F319" s="107" t="s">
        <v>1735</v>
      </c>
      <c r="G319" s="103">
        <v>289115.8</v>
      </c>
      <c r="H319" s="87">
        <f t="shared" si="33"/>
        <v>-4</v>
      </c>
      <c r="I319" s="37" t="str">
        <f t="shared" si="36"/>
        <v>1-90 DAYS</v>
      </c>
      <c r="J319" s="37" t="str">
        <f t="shared" si="34"/>
        <v>0-180 DAYS</v>
      </c>
      <c r="K319" t="s">
        <v>1730</v>
      </c>
      <c r="M319" s="35" t="s">
        <v>1735</v>
      </c>
      <c r="N319" t="b">
        <f t="shared" si="35"/>
        <v>1</v>
      </c>
    </row>
    <row r="320" spans="1:14" hidden="1" x14ac:dyDescent="0.35">
      <c r="A320" s="88" t="s">
        <v>1209</v>
      </c>
      <c r="B320" s="88" t="s">
        <v>789</v>
      </c>
      <c r="C320" s="18" t="s">
        <v>125</v>
      </c>
      <c r="D320" s="18" t="s">
        <v>57</v>
      </c>
      <c r="E320" s="18" t="s">
        <v>1602</v>
      </c>
      <c r="F320" s="107" t="s">
        <v>1735</v>
      </c>
      <c r="G320" s="103">
        <v>223293.17</v>
      </c>
      <c r="H320" s="87">
        <f t="shared" si="33"/>
        <v>-4</v>
      </c>
      <c r="I320" s="37" t="str">
        <f t="shared" si="36"/>
        <v>1-90 DAYS</v>
      </c>
      <c r="J320" s="37" t="str">
        <f t="shared" si="34"/>
        <v>0-180 DAYS</v>
      </c>
      <c r="K320" t="s">
        <v>1730</v>
      </c>
      <c r="M320" s="35" t="s">
        <v>1735</v>
      </c>
      <c r="N320" t="b">
        <f t="shared" si="35"/>
        <v>1</v>
      </c>
    </row>
    <row r="321" spans="1:14" hidden="1" x14ac:dyDescent="0.35">
      <c r="A321" s="88" t="s">
        <v>1209</v>
      </c>
      <c r="B321" s="88" t="s">
        <v>789</v>
      </c>
      <c r="C321" s="18" t="s">
        <v>125</v>
      </c>
      <c r="D321" s="18" t="s">
        <v>57</v>
      </c>
      <c r="E321" s="18" t="s">
        <v>1603</v>
      </c>
      <c r="F321" s="107" t="s">
        <v>1735</v>
      </c>
      <c r="G321" s="103">
        <v>2773.01</v>
      </c>
      <c r="H321" s="87">
        <f t="shared" si="33"/>
        <v>-4</v>
      </c>
      <c r="I321" s="37" t="str">
        <f t="shared" si="36"/>
        <v>1-90 DAYS</v>
      </c>
      <c r="J321" s="37" t="str">
        <f t="shared" si="34"/>
        <v>0-180 DAYS</v>
      </c>
      <c r="K321" t="s">
        <v>1730</v>
      </c>
      <c r="M321" s="35" t="s">
        <v>1735</v>
      </c>
      <c r="N321" t="b">
        <f t="shared" si="35"/>
        <v>1</v>
      </c>
    </row>
    <row r="322" spans="1:14" hidden="1" x14ac:dyDescent="0.35">
      <c r="A322" s="88" t="s">
        <v>1209</v>
      </c>
      <c r="B322" s="88" t="s">
        <v>789</v>
      </c>
      <c r="C322" s="18" t="s">
        <v>125</v>
      </c>
      <c r="D322" s="18" t="s">
        <v>57</v>
      </c>
      <c r="E322" s="18" t="s">
        <v>1604</v>
      </c>
      <c r="F322" s="107" t="s">
        <v>1736</v>
      </c>
      <c r="G322" s="103">
        <v>359595</v>
      </c>
      <c r="H322" s="87">
        <f t="shared" si="33"/>
        <v>-35</v>
      </c>
      <c r="I322" s="37" t="str">
        <f t="shared" si="36"/>
        <v>1-90 DAYS</v>
      </c>
      <c r="J322" s="37" t="str">
        <f t="shared" si="34"/>
        <v>0-180 DAYS</v>
      </c>
      <c r="K322" t="s">
        <v>1730</v>
      </c>
      <c r="M322" s="35" t="s">
        <v>1736</v>
      </c>
      <c r="N322" t="b">
        <f t="shared" si="35"/>
        <v>1</v>
      </c>
    </row>
    <row r="323" spans="1:14" hidden="1" x14ac:dyDescent="0.35">
      <c r="A323" s="88" t="s">
        <v>1209</v>
      </c>
      <c r="B323" s="88" t="s">
        <v>789</v>
      </c>
      <c r="C323" s="18" t="s">
        <v>125</v>
      </c>
      <c r="D323" s="18" t="s">
        <v>57</v>
      </c>
      <c r="E323" s="18" t="s">
        <v>1605</v>
      </c>
      <c r="F323" s="107" t="s">
        <v>1737</v>
      </c>
      <c r="G323" s="103">
        <v>363302.52</v>
      </c>
      <c r="H323" s="87">
        <f t="shared" si="33"/>
        <v>-66</v>
      </c>
      <c r="I323" s="37" t="str">
        <f t="shared" si="36"/>
        <v>1-90 DAYS</v>
      </c>
      <c r="J323" s="37" t="str">
        <f t="shared" si="34"/>
        <v>0-180 DAYS</v>
      </c>
      <c r="K323" t="s">
        <v>1730</v>
      </c>
      <c r="M323" s="35" t="s">
        <v>1737</v>
      </c>
      <c r="N323" t="b">
        <f t="shared" si="35"/>
        <v>1</v>
      </c>
    </row>
    <row r="324" spans="1:14" hidden="1" x14ac:dyDescent="0.35">
      <c r="A324" s="88" t="s">
        <v>477</v>
      </c>
      <c r="B324" s="88" t="s">
        <v>790</v>
      </c>
      <c r="C324" s="18" t="s">
        <v>5</v>
      </c>
      <c r="D324" s="18" t="s">
        <v>6</v>
      </c>
      <c r="E324" s="18" t="s">
        <v>1606</v>
      </c>
      <c r="F324" s="107" t="s">
        <v>1738</v>
      </c>
      <c r="G324" s="108">
        <v>251340</v>
      </c>
      <c r="H324" s="87">
        <f t="shared" si="33"/>
        <v>-96</v>
      </c>
      <c r="I324" s="37" t="str">
        <f t="shared" si="36"/>
        <v>1-90 DAYS</v>
      </c>
      <c r="J324" s="37" t="str">
        <f t="shared" si="34"/>
        <v>0-180 DAYS</v>
      </c>
      <c r="K324" t="s">
        <v>1730</v>
      </c>
      <c r="M324" s="35" t="s">
        <v>1738</v>
      </c>
      <c r="N324" t="b">
        <f t="shared" si="35"/>
        <v>1</v>
      </c>
    </row>
    <row r="325" spans="1:14" hidden="1" x14ac:dyDescent="0.35">
      <c r="A325" s="88" t="s">
        <v>1209</v>
      </c>
      <c r="B325" s="88" t="s">
        <v>789</v>
      </c>
      <c r="C325" s="18" t="s">
        <v>125</v>
      </c>
      <c r="D325" s="18" t="s">
        <v>57</v>
      </c>
      <c r="E325" s="18" t="s">
        <v>1607</v>
      </c>
      <c r="F325" s="107" t="s">
        <v>1738</v>
      </c>
      <c r="G325" s="103">
        <v>4126.5</v>
      </c>
      <c r="H325" s="87">
        <f t="shared" si="33"/>
        <v>-96</v>
      </c>
      <c r="I325" s="37" t="str">
        <f t="shared" si="36"/>
        <v>1-90 DAYS</v>
      </c>
      <c r="J325" s="37" t="str">
        <f t="shared" si="34"/>
        <v>0-180 DAYS</v>
      </c>
      <c r="K325" t="s">
        <v>1730</v>
      </c>
      <c r="M325" s="35" t="s">
        <v>1738</v>
      </c>
      <c r="N325" t="b">
        <f t="shared" si="35"/>
        <v>1</v>
      </c>
    </row>
    <row r="326" spans="1:14" hidden="1" x14ac:dyDescent="0.35">
      <c r="A326" s="88" t="s">
        <v>1209</v>
      </c>
      <c r="B326" s="88" t="s">
        <v>789</v>
      </c>
      <c r="C326" s="18" t="s">
        <v>125</v>
      </c>
      <c r="D326" s="18" t="s">
        <v>57</v>
      </c>
      <c r="E326" s="18" t="s">
        <v>1608</v>
      </c>
      <c r="F326" s="107" t="s">
        <v>1738</v>
      </c>
      <c r="G326" s="103">
        <v>958465.89</v>
      </c>
      <c r="H326" s="87">
        <f t="shared" si="33"/>
        <v>-96</v>
      </c>
      <c r="I326" s="37" t="str">
        <f t="shared" si="36"/>
        <v>1-90 DAYS</v>
      </c>
      <c r="J326" s="37" t="str">
        <f t="shared" si="34"/>
        <v>0-180 DAYS</v>
      </c>
      <c r="K326" t="s">
        <v>1730</v>
      </c>
      <c r="M326" s="35" t="s">
        <v>1738</v>
      </c>
      <c r="N326" t="b">
        <f t="shared" si="35"/>
        <v>1</v>
      </c>
    </row>
    <row r="327" spans="1:14" hidden="1" x14ac:dyDescent="0.35">
      <c r="A327" s="88" t="s">
        <v>1209</v>
      </c>
      <c r="B327" s="88" t="s">
        <v>789</v>
      </c>
      <c r="C327" s="18" t="s">
        <v>125</v>
      </c>
      <c r="D327" s="18" t="s">
        <v>57</v>
      </c>
      <c r="E327" s="18" t="s">
        <v>1609</v>
      </c>
      <c r="F327" s="107" t="s">
        <v>1738</v>
      </c>
      <c r="G327" s="103">
        <v>11714.54</v>
      </c>
      <c r="H327" s="87">
        <f t="shared" si="33"/>
        <v>-96</v>
      </c>
      <c r="I327" s="37" t="str">
        <f t="shared" si="36"/>
        <v>1-90 DAYS</v>
      </c>
      <c r="J327" s="37" t="str">
        <f t="shared" si="34"/>
        <v>0-180 DAYS</v>
      </c>
      <c r="K327" t="s">
        <v>1730</v>
      </c>
      <c r="M327" s="35" t="s">
        <v>1738</v>
      </c>
      <c r="N327" t="b">
        <f t="shared" si="35"/>
        <v>1</v>
      </c>
    </row>
    <row r="328" spans="1:14" hidden="1" x14ac:dyDescent="0.35">
      <c r="A328" s="88" t="s">
        <v>477</v>
      </c>
      <c r="B328" s="88" t="s">
        <v>790</v>
      </c>
      <c r="C328" s="18" t="s">
        <v>0</v>
      </c>
      <c r="D328" s="18" t="s">
        <v>1</v>
      </c>
      <c r="E328" s="18" t="s">
        <v>1610</v>
      </c>
      <c r="F328" s="107" t="s">
        <v>1739</v>
      </c>
      <c r="G328" s="108">
        <v>52321.2</v>
      </c>
      <c r="H328" s="87">
        <f t="shared" si="33"/>
        <v>-127</v>
      </c>
      <c r="I328" s="37" t="str">
        <f t="shared" si="36"/>
        <v>1-90 DAYS</v>
      </c>
      <c r="J328" s="37" t="str">
        <f t="shared" si="34"/>
        <v>0-180 DAYS</v>
      </c>
      <c r="K328" t="s">
        <v>1730</v>
      </c>
      <c r="M328" s="35" t="s">
        <v>1739</v>
      </c>
      <c r="N328" t="b">
        <f t="shared" si="35"/>
        <v>1</v>
      </c>
    </row>
    <row r="329" spans="1:14" hidden="1" x14ac:dyDescent="0.35">
      <c r="A329" s="88" t="s">
        <v>1209</v>
      </c>
      <c r="B329" s="88" t="s">
        <v>789</v>
      </c>
      <c r="C329" s="18" t="s">
        <v>125</v>
      </c>
      <c r="D329" s="18" t="s">
        <v>57</v>
      </c>
      <c r="E329" s="18" t="s">
        <v>1611</v>
      </c>
      <c r="F329" s="107" t="s">
        <v>1740</v>
      </c>
      <c r="G329" s="103">
        <v>705036.79</v>
      </c>
      <c r="H329" s="87">
        <f t="shared" si="33"/>
        <v>-157</v>
      </c>
      <c r="I329" s="37" t="str">
        <f t="shared" si="36"/>
        <v>1-90 DAYS</v>
      </c>
      <c r="J329" s="37" t="str">
        <f t="shared" si="34"/>
        <v>0-180 DAYS</v>
      </c>
      <c r="K329" t="s">
        <v>1730</v>
      </c>
      <c r="M329" s="35" t="s">
        <v>1740</v>
      </c>
      <c r="N329" t="b">
        <f t="shared" si="35"/>
        <v>1</v>
      </c>
    </row>
    <row r="330" spans="1:14" hidden="1" x14ac:dyDescent="0.35">
      <c r="A330" s="88" t="s">
        <v>1209</v>
      </c>
      <c r="B330" s="88" t="s">
        <v>789</v>
      </c>
      <c r="C330" s="18" t="s">
        <v>125</v>
      </c>
      <c r="D330" s="18" t="s">
        <v>57</v>
      </c>
      <c r="E330" s="18" t="s">
        <v>1612</v>
      </c>
      <c r="F330" s="107" t="s">
        <v>1742</v>
      </c>
      <c r="G330" s="103">
        <v>737765.24</v>
      </c>
      <c r="H330" s="87" t="e">
        <f t="shared" si="33"/>
        <v>#VALUE!</v>
      </c>
      <c r="I330" s="37" t="e">
        <f t="shared" si="36"/>
        <v>#VALUE!</v>
      </c>
      <c r="J330" s="37" t="e">
        <f t="shared" si="34"/>
        <v>#VALUE!</v>
      </c>
      <c r="K330" t="s">
        <v>1730</v>
      </c>
      <c r="M330" s="35" t="s">
        <v>1742</v>
      </c>
      <c r="N330" t="b">
        <f t="shared" si="35"/>
        <v>1</v>
      </c>
    </row>
    <row r="331" spans="1:14" hidden="1" x14ac:dyDescent="0.35">
      <c r="A331" s="88" t="s">
        <v>1209</v>
      </c>
      <c r="B331" s="88" t="s">
        <v>789</v>
      </c>
      <c r="C331" s="18" t="s">
        <v>125</v>
      </c>
      <c r="D331" s="18" t="s">
        <v>57</v>
      </c>
      <c r="E331" s="18" t="s">
        <v>1613</v>
      </c>
      <c r="F331" s="107" t="s">
        <v>1742</v>
      </c>
      <c r="G331" s="103">
        <v>9507.4599999999991</v>
      </c>
      <c r="H331" s="87" t="e">
        <f t="shared" si="33"/>
        <v>#VALUE!</v>
      </c>
      <c r="I331" s="37" t="e">
        <f t="shared" si="36"/>
        <v>#VALUE!</v>
      </c>
      <c r="J331" s="37" t="e">
        <f t="shared" si="34"/>
        <v>#VALUE!</v>
      </c>
      <c r="K331" t="s">
        <v>1730</v>
      </c>
      <c r="M331" s="35" t="s">
        <v>1742</v>
      </c>
      <c r="N331" t="b">
        <f t="shared" si="35"/>
        <v>1</v>
      </c>
    </row>
    <row r="332" spans="1:14" hidden="1" x14ac:dyDescent="0.35">
      <c r="A332" s="88" t="s">
        <v>477</v>
      </c>
      <c r="B332" s="88" t="s">
        <v>790</v>
      </c>
      <c r="C332" s="18" t="s">
        <v>1093</v>
      </c>
      <c r="D332" s="18" t="s">
        <v>1094</v>
      </c>
      <c r="E332" s="18" t="s">
        <v>1614</v>
      </c>
      <c r="F332" s="107" t="s">
        <v>1743</v>
      </c>
      <c r="G332" s="108">
        <v>92604.51</v>
      </c>
      <c r="H332" s="87" t="e">
        <f t="shared" si="33"/>
        <v>#VALUE!</v>
      </c>
      <c r="I332" s="37" t="e">
        <f t="shared" si="36"/>
        <v>#VALUE!</v>
      </c>
      <c r="J332" s="37" t="e">
        <f t="shared" si="34"/>
        <v>#VALUE!</v>
      </c>
      <c r="K332" t="s">
        <v>1730</v>
      </c>
      <c r="M332" s="35" t="s">
        <v>1743</v>
      </c>
      <c r="N332" t="b">
        <f t="shared" si="35"/>
        <v>1</v>
      </c>
    </row>
    <row r="333" spans="1:14" hidden="1" x14ac:dyDescent="0.35">
      <c r="A333" s="88" t="s">
        <v>477</v>
      </c>
      <c r="B333" s="88" t="s">
        <v>790</v>
      </c>
      <c r="C333" s="18" t="s">
        <v>259</v>
      </c>
      <c r="D333" s="18" t="s">
        <v>260</v>
      </c>
      <c r="E333" s="18" t="s">
        <v>15</v>
      </c>
      <c r="F333" s="107" t="s">
        <v>1744</v>
      </c>
      <c r="G333" s="108">
        <v>1141650</v>
      </c>
      <c r="H333" s="87" t="e">
        <f t="shared" si="33"/>
        <v>#VALUE!</v>
      </c>
      <c r="I333" s="37" t="e">
        <f t="shared" si="36"/>
        <v>#VALUE!</v>
      </c>
      <c r="J333" s="37" t="e">
        <f t="shared" si="34"/>
        <v>#VALUE!</v>
      </c>
      <c r="K333" t="s">
        <v>1730</v>
      </c>
      <c r="M333" s="35" t="s">
        <v>1744</v>
      </c>
      <c r="N333" t="b">
        <f t="shared" si="35"/>
        <v>1</v>
      </c>
    </row>
    <row r="334" spans="1:14" hidden="1" x14ac:dyDescent="0.35">
      <c r="A334" s="88" t="s">
        <v>1209</v>
      </c>
      <c r="B334" s="88" t="s">
        <v>789</v>
      </c>
      <c r="C334" s="18" t="s">
        <v>125</v>
      </c>
      <c r="D334" s="18" t="s">
        <v>57</v>
      </c>
      <c r="E334" s="18" t="s">
        <v>1615</v>
      </c>
      <c r="F334" s="107" t="s">
        <v>1746</v>
      </c>
      <c r="G334" s="103">
        <v>1587186.89</v>
      </c>
      <c r="H334" s="87" t="e">
        <f t="shared" si="33"/>
        <v>#VALUE!</v>
      </c>
      <c r="I334" s="37" t="e">
        <f t="shared" si="36"/>
        <v>#VALUE!</v>
      </c>
      <c r="J334" s="37" t="e">
        <f t="shared" si="34"/>
        <v>#VALUE!</v>
      </c>
      <c r="K334" t="s">
        <v>1730</v>
      </c>
      <c r="M334" s="35" t="s">
        <v>1746</v>
      </c>
      <c r="N334" t="b">
        <f t="shared" si="35"/>
        <v>1</v>
      </c>
    </row>
    <row r="335" spans="1:14" hidden="1" x14ac:dyDescent="0.35">
      <c r="A335" s="88" t="s">
        <v>1209</v>
      </c>
      <c r="B335" s="88" t="s">
        <v>789</v>
      </c>
      <c r="C335" s="18" t="s">
        <v>125</v>
      </c>
      <c r="D335" s="18" t="s">
        <v>57</v>
      </c>
      <c r="E335" s="18" t="s">
        <v>1616</v>
      </c>
      <c r="F335" s="107" t="s">
        <v>1746</v>
      </c>
      <c r="G335" s="103">
        <v>6960.82</v>
      </c>
      <c r="H335" s="87" t="e">
        <f t="shared" si="33"/>
        <v>#VALUE!</v>
      </c>
      <c r="I335" s="37" t="e">
        <f t="shared" si="36"/>
        <v>#VALUE!</v>
      </c>
      <c r="J335" s="37" t="e">
        <f t="shared" si="34"/>
        <v>#VALUE!</v>
      </c>
      <c r="K335" t="s">
        <v>1730</v>
      </c>
      <c r="M335" s="35" t="s">
        <v>1746</v>
      </c>
      <c r="N335" t="b">
        <f t="shared" si="35"/>
        <v>1</v>
      </c>
    </row>
    <row r="336" spans="1:14" hidden="1" x14ac:dyDescent="0.35">
      <c r="A336" s="88" t="s">
        <v>1209</v>
      </c>
      <c r="B336" s="88" t="s">
        <v>789</v>
      </c>
      <c r="C336" s="18" t="s">
        <v>125</v>
      </c>
      <c r="D336" s="18" t="s">
        <v>57</v>
      </c>
      <c r="E336" s="18" t="s">
        <v>1617</v>
      </c>
      <c r="F336" s="107" t="s">
        <v>1746</v>
      </c>
      <c r="G336" s="103">
        <v>949.21</v>
      </c>
      <c r="H336" s="87" t="e">
        <f t="shared" si="33"/>
        <v>#VALUE!</v>
      </c>
      <c r="I336" s="37" t="e">
        <f t="shared" si="36"/>
        <v>#VALUE!</v>
      </c>
      <c r="J336" s="37" t="e">
        <f t="shared" si="34"/>
        <v>#VALUE!</v>
      </c>
      <c r="K336" t="s">
        <v>1730</v>
      </c>
      <c r="M336" s="35" t="s">
        <v>1746</v>
      </c>
      <c r="N336" t="b">
        <f t="shared" si="35"/>
        <v>1</v>
      </c>
    </row>
    <row r="337" spans="1:14" hidden="1" x14ac:dyDescent="0.35">
      <c r="A337" s="88" t="s">
        <v>1209</v>
      </c>
      <c r="B337" s="88" t="s">
        <v>789</v>
      </c>
      <c r="C337" s="18" t="s">
        <v>125</v>
      </c>
      <c r="D337" s="18" t="s">
        <v>57</v>
      </c>
      <c r="E337" s="18" t="s">
        <v>1618</v>
      </c>
      <c r="F337" s="107" t="s">
        <v>1746</v>
      </c>
      <c r="G337" s="103">
        <v>539392.5</v>
      </c>
      <c r="H337" s="87" t="e">
        <f t="shared" si="33"/>
        <v>#VALUE!</v>
      </c>
      <c r="I337" s="37" t="e">
        <f t="shared" si="36"/>
        <v>#VALUE!</v>
      </c>
      <c r="J337" s="37" t="e">
        <f t="shared" si="34"/>
        <v>#VALUE!</v>
      </c>
      <c r="K337" t="s">
        <v>1730</v>
      </c>
      <c r="M337" s="35" t="s">
        <v>1746</v>
      </c>
      <c r="N337" t="b">
        <f t="shared" si="35"/>
        <v>1</v>
      </c>
    </row>
    <row r="338" spans="1:14" hidden="1" x14ac:dyDescent="0.35">
      <c r="A338" s="88" t="s">
        <v>477</v>
      </c>
      <c r="B338" s="88" t="s">
        <v>790</v>
      </c>
      <c r="C338" s="18" t="s">
        <v>263</v>
      </c>
      <c r="D338" s="18" t="s">
        <v>264</v>
      </c>
      <c r="E338" s="18" t="s">
        <v>1619</v>
      </c>
      <c r="F338" s="107" t="s">
        <v>1747</v>
      </c>
      <c r="G338" s="108">
        <v>670565.34</v>
      </c>
      <c r="H338" s="87" t="e">
        <f t="shared" si="33"/>
        <v>#VALUE!</v>
      </c>
      <c r="I338" s="37" t="e">
        <f t="shared" si="36"/>
        <v>#VALUE!</v>
      </c>
      <c r="J338" s="37" t="e">
        <f t="shared" si="34"/>
        <v>#VALUE!</v>
      </c>
      <c r="K338" t="s">
        <v>1730</v>
      </c>
      <c r="M338" s="35" t="s">
        <v>1747</v>
      </c>
      <c r="N338" t="b">
        <f t="shared" si="35"/>
        <v>1</v>
      </c>
    </row>
    <row r="339" spans="1:14" hidden="1" x14ac:dyDescent="0.35">
      <c r="A339" s="88" t="s">
        <v>1209</v>
      </c>
      <c r="B339" s="88" t="s">
        <v>789</v>
      </c>
      <c r="C339" s="18" t="s">
        <v>125</v>
      </c>
      <c r="D339" s="18" t="s">
        <v>57</v>
      </c>
      <c r="E339" s="18" t="s">
        <v>1620</v>
      </c>
      <c r="F339" s="107" t="s">
        <v>1747</v>
      </c>
      <c r="G339" s="103">
        <v>1466850.49</v>
      </c>
      <c r="H339" s="87" t="e">
        <f t="shared" si="33"/>
        <v>#VALUE!</v>
      </c>
      <c r="I339" s="37" t="e">
        <f t="shared" si="36"/>
        <v>#VALUE!</v>
      </c>
      <c r="J339" s="37" t="e">
        <f t="shared" si="34"/>
        <v>#VALUE!</v>
      </c>
      <c r="K339" t="s">
        <v>1730</v>
      </c>
      <c r="M339" s="35" t="s">
        <v>1747</v>
      </c>
      <c r="N339" t="b">
        <f t="shared" si="35"/>
        <v>1</v>
      </c>
    </row>
    <row r="340" spans="1:14" hidden="1" x14ac:dyDescent="0.35">
      <c r="A340" s="88" t="s">
        <v>1209</v>
      </c>
      <c r="B340" s="88" t="s">
        <v>789</v>
      </c>
      <c r="C340" s="18" t="s">
        <v>125</v>
      </c>
      <c r="D340" s="18" t="s">
        <v>57</v>
      </c>
      <c r="E340" s="18" t="s">
        <v>1621</v>
      </c>
      <c r="F340" s="107" t="s">
        <v>1748</v>
      </c>
      <c r="G340" s="103">
        <v>1551724.34</v>
      </c>
      <c r="H340" s="87" t="e">
        <f t="shared" si="33"/>
        <v>#VALUE!</v>
      </c>
      <c r="I340" s="37" t="e">
        <f t="shared" si="36"/>
        <v>#VALUE!</v>
      </c>
      <c r="J340" s="37" t="e">
        <f t="shared" si="34"/>
        <v>#VALUE!</v>
      </c>
      <c r="K340" t="s">
        <v>1730</v>
      </c>
      <c r="M340" s="35" t="s">
        <v>1748</v>
      </c>
      <c r="N340" t="b">
        <f t="shared" si="35"/>
        <v>1</v>
      </c>
    </row>
    <row r="341" spans="1:14" hidden="1" x14ac:dyDescent="0.35">
      <c r="A341" s="88" t="s">
        <v>1209</v>
      </c>
      <c r="B341" s="88" t="s">
        <v>789</v>
      </c>
      <c r="C341" s="18" t="s">
        <v>125</v>
      </c>
      <c r="D341" s="18" t="s">
        <v>57</v>
      </c>
      <c r="E341" s="18" t="s">
        <v>1622</v>
      </c>
      <c r="F341" s="107" t="s">
        <v>1748</v>
      </c>
      <c r="G341" s="103">
        <v>465065.98</v>
      </c>
      <c r="H341" s="87" t="e">
        <f t="shared" si="33"/>
        <v>#VALUE!</v>
      </c>
      <c r="I341" s="37" t="e">
        <f t="shared" si="36"/>
        <v>#VALUE!</v>
      </c>
      <c r="J341" s="37" t="e">
        <f t="shared" si="34"/>
        <v>#VALUE!</v>
      </c>
      <c r="K341" t="s">
        <v>1730</v>
      </c>
      <c r="M341" s="35" t="s">
        <v>1748</v>
      </c>
      <c r="N341" t="b">
        <f t="shared" si="35"/>
        <v>1</v>
      </c>
    </row>
    <row r="342" spans="1:14" hidden="1" x14ac:dyDescent="0.35">
      <c r="A342" s="88" t="s">
        <v>1209</v>
      </c>
      <c r="B342" s="88" t="s">
        <v>789</v>
      </c>
      <c r="C342" s="18" t="s">
        <v>125</v>
      </c>
      <c r="D342" s="18" t="s">
        <v>57</v>
      </c>
      <c r="E342" s="18" t="s">
        <v>1623</v>
      </c>
      <c r="F342" s="107" t="s">
        <v>1750</v>
      </c>
      <c r="G342" s="103">
        <v>1635834.7</v>
      </c>
      <c r="H342" s="87" t="e">
        <f t="shared" si="33"/>
        <v>#VALUE!</v>
      </c>
      <c r="I342" s="37" t="e">
        <f t="shared" si="36"/>
        <v>#VALUE!</v>
      </c>
      <c r="J342" s="37" t="e">
        <f t="shared" si="34"/>
        <v>#VALUE!</v>
      </c>
      <c r="K342" t="s">
        <v>1730</v>
      </c>
      <c r="M342" s="35" t="s">
        <v>1750</v>
      </c>
      <c r="N342" t="b">
        <f t="shared" si="35"/>
        <v>1</v>
      </c>
    </row>
    <row r="343" spans="1:14" hidden="1" x14ac:dyDescent="0.35">
      <c r="A343" s="88" t="s">
        <v>477</v>
      </c>
      <c r="B343" s="88" t="s">
        <v>790</v>
      </c>
      <c r="C343" s="18" t="s">
        <v>51</v>
      </c>
      <c r="D343" s="18" t="s">
        <v>52</v>
      </c>
      <c r="E343" s="18" t="s">
        <v>1624</v>
      </c>
      <c r="F343" s="107" t="s">
        <v>1752</v>
      </c>
      <c r="G343" s="108">
        <v>727027.5</v>
      </c>
      <c r="H343" s="87" t="e">
        <f t="shared" si="33"/>
        <v>#VALUE!</v>
      </c>
      <c r="I343" s="37" t="e">
        <f t="shared" si="36"/>
        <v>#VALUE!</v>
      </c>
      <c r="J343" s="37" t="e">
        <f t="shared" si="34"/>
        <v>#VALUE!</v>
      </c>
      <c r="K343" t="s">
        <v>1730</v>
      </c>
      <c r="M343" s="35" t="s">
        <v>1752</v>
      </c>
      <c r="N343" t="b">
        <f t="shared" si="35"/>
        <v>1</v>
      </c>
    </row>
    <row r="344" spans="1:14" hidden="1" x14ac:dyDescent="0.35">
      <c r="A344" s="88" t="s">
        <v>1209</v>
      </c>
      <c r="B344" s="88" t="s">
        <v>789</v>
      </c>
      <c r="C344" s="18" t="s">
        <v>125</v>
      </c>
      <c r="D344" s="18" t="s">
        <v>57</v>
      </c>
      <c r="E344" s="18" t="s">
        <v>1625</v>
      </c>
      <c r="F344" s="107" t="s">
        <v>1753</v>
      </c>
      <c r="G344" s="103">
        <v>539392.5</v>
      </c>
      <c r="H344" s="87" t="e">
        <f t="shared" si="33"/>
        <v>#VALUE!</v>
      </c>
      <c r="I344" s="37" t="e">
        <f t="shared" si="36"/>
        <v>#VALUE!</v>
      </c>
      <c r="J344" s="37" t="e">
        <f t="shared" si="34"/>
        <v>#VALUE!</v>
      </c>
      <c r="K344" t="s">
        <v>1730</v>
      </c>
      <c r="M344" s="35" t="s">
        <v>1753</v>
      </c>
      <c r="N344" t="b">
        <f t="shared" si="35"/>
        <v>1</v>
      </c>
    </row>
    <row r="345" spans="1:14" hidden="1" x14ac:dyDescent="0.35">
      <c r="A345" s="88" t="s">
        <v>1209</v>
      </c>
      <c r="B345" s="88" t="s">
        <v>789</v>
      </c>
      <c r="C345" s="18" t="s">
        <v>125</v>
      </c>
      <c r="D345" s="18" t="s">
        <v>57</v>
      </c>
      <c r="E345" s="18" t="s">
        <v>1626</v>
      </c>
      <c r="F345" s="107" t="s">
        <v>1753</v>
      </c>
      <c r="G345" s="103">
        <v>123795</v>
      </c>
      <c r="H345" s="87" t="e">
        <f t="shared" si="33"/>
        <v>#VALUE!</v>
      </c>
      <c r="I345" s="37" t="e">
        <f t="shared" si="36"/>
        <v>#VALUE!</v>
      </c>
      <c r="J345" s="37" t="e">
        <f t="shared" si="34"/>
        <v>#VALUE!</v>
      </c>
      <c r="K345" t="s">
        <v>1730</v>
      </c>
      <c r="M345" s="35" t="s">
        <v>1753</v>
      </c>
      <c r="N345" t="b">
        <f t="shared" si="35"/>
        <v>1</v>
      </c>
    </row>
    <row r="346" spans="1:14" hidden="1" x14ac:dyDescent="0.35">
      <c r="A346" s="88" t="s">
        <v>1209</v>
      </c>
      <c r="B346" s="88" t="s">
        <v>789</v>
      </c>
      <c r="C346" s="18" t="s">
        <v>125</v>
      </c>
      <c r="D346" s="18" t="s">
        <v>57</v>
      </c>
      <c r="E346" s="18" t="s">
        <v>1627</v>
      </c>
      <c r="F346" s="107" t="s">
        <v>1754</v>
      </c>
      <c r="G346" s="103">
        <v>1283862.5900000001</v>
      </c>
      <c r="H346" s="87" t="e">
        <f t="shared" si="33"/>
        <v>#VALUE!</v>
      </c>
      <c r="I346" s="37" t="e">
        <f t="shared" si="36"/>
        <v>#VALUE!</v>
      </c>
      <c r="J346" s="37" t="e">
        <f t="shared" si="34"/>
        <v>#VALUE!</v>
      </c>
      <c r="K346" t="s">
        <v>1730</v>
      </c>
      <c r="M346" s="35" t="s">
        <v>1754</v>
      </c>
      <c r="N346" t="b">
        <f t="shared" si="35"/>
        <v>1</v>
      </c>
    </row>
    <row r="347" spans="1:14" hidden="1" x14ac:dyDescent="0.35">
      <c r="A347" s="88" t="s">
        <v>1209</v>
      </c>
      <c r="B347" s="88" t="s">
        <v>789</v>
      </c>
      <c r="C347" s="18" t="s">
        <v>125</v>
      </c>
      <c r="D347" s="18" t="s">
        <v>57</v>
      </c>
      <c r="E347" s="18" t="s">
        <v>1628</v>
      </c>
      <c r="F347" s="107" t="s">
        <v>1754</v>
      </c>
      <c r="G347" s="103">
        <v>733497.5</v>
      </c>
      <c r="H347" s="87" t="e">
        <f t="shared" si="33"/>
        <v>#VALUE!</v>
      </c>
      <c r="I347" s="37" t="e">
        <f t="shared" si="36"/>
        <v>#VALUE!</v>
      </c>
      <c r="J347" s="37" t="e">
        <f t="shared" si="34"/>
        <v>#VALUE!</v>
      </c>
      <c r="K347" t="s">
        <v>1730</v>
      </c>
      <c r="M347" s="35" t="s">
        <v>1754</v>
      </c>
      <c r="N347" t="b">
        <f t="shared" si="35"/>
        <v>1</v>
      </c>
    </row>
    <row r="348" spans="1:14" hidden="1" x14ac:dyDescent="0.35">
      <c r="A348" s="88" t="s">
        <v>1209</v>
      </c>
      <c r="B348" s="88" t="s">
        <v>789</v>
      </c>
      <c r="C348" s="18" t="s">
        <v>125</v>
      </c>
      <c r="D348" s="18" t="s">
        <v>57</v>
      </c>
      <c r="E348" s="18" t="s">
        <v>1629</v>
      </c>
      <c r="F348" s="107" t="s">
        <v>1755</v>
      </c>
      <c r="G348" s="103">
        <v>523174.18</v>
      </c>
      <c r="H348" s="87" t="e">
        <f t="shared" si="33"/>
        <v>#VALUE!</v>
      </c>
      <c r="I348" s="37" t="e">
        <f t="shared" si="36"/>
        <v>#VALUE!</v>
      </c>
      <c r="J348" s="37" t="e">
        <f t="shared" si="34"/>
        <v>#VALUE!</v>
      </c>
      <c r="K348" t="s">
        <v>1730</v>
      </c>
      <c r="M348" s="35" t="s">
        <v>1755</v>
      </c>
      <c r="N348" t="b">
        <f t="shared" si="35"/>
        <v>1</v>
      </c>
    </row>
    <row r="349" spans="1:14" hidden="1" x14ac:dyDescent="0.35">
      <c r="A349" s="88" t="s">
        <v>1209</v>
      </c>
      <c r="B349" s="88" t="s">
        <v>789</v>
      </c>
      <c r="C349" s="18" t="s">
        <v>125</v>
      </c>
      <c r="D349" s="18" t="s">
        <v>57</v>
      </c>
      <c r="E349" s="18" t="s">
        <v>1630</v>
      </c>
      <c r="F349" s="107" t="s">
        <v>1755</v>
      </c>
      <c r="G349" s="103">
        <v>6338.3</v>
      </c>
      <c r="H349" s="87" t="e">
        <f t="shared" si="33"/>
        <v>#VALUE!</v>
      </c>
      <c r="I349" s="37" t="e">
        <f t="shared" si="36"/>
        <v>#VALUE!</v>
      </c>
      <c r="J349" s="37" t="e">
        <f t="shared" si="34"/>
        <v>#VALUE!</v>
      </c>
      <c r="K349" t="s">
        <v>1730</v>
      </c>
      <c r="M349" s="35" t="s">
        <v>1755</v>
      </c>
      <c r="N349" t="b">
        <f t="shared" si="35"/>
        <v>1</v>
      </c>
    </row>
    <row r="350" spans="1:14" hidden="1" x14ac:dyDescent="0.35">
      <c r="A350" s="88" t="s">
        <v>477</v>
      </c>
      <c r="B350" s="88" t="s">
        <v>790</v>
      </c>
      <c r="C350" s="18" t="s">
        <v>1497</v>
      </c>
      <c r="D350" s="18" t="s">
        <v>1500</v>
      </c>
      <c r="E350" s="18" t="s">
        <v>1631</v>
      </c>
      <c r="F350" s="107" t="s">
        <v>1758</v>
      </c>
      <c r="G350" s="108">
        <v>448148.25</v>
      </c>
      <c r="H350" s="87" t="e">
        <f t="shared" si="33"/>
        <v>#VALUE!</v>
      </c>
      <c r="I350" s="37" t="e">
        <f t="shared" si="36"/>
        <v>#VALUE!</v>
      </c>
      <c r="J350" s="37" t="e">
        <f t="shared" si="34"/>
        <v>#VALUE!</v>
      </c>
      <c r="K350" t="s">
        <v>1730</v>
      </c>
      <c r="M350" s="35" t="s">
        <v>1758</v>
      </c>
      <c r="N350" t="b">
        <f t="shared" si="35"/>
        <v>1</v>
      </c>
    </row>
    <row r="351" spans="1:14" hidden="1" x14ac:dyDescent="0.35">
      <c r="A351" s="88" t="s">
        <v>477</v>
      </c>
      <c r="B351" s="88" t="s">
        <v>790</v>
      </c>
      <c r="C351" s="18" t="s">
        <v>259</v>
      </c>
      <c r="D351" s="18" t="s">
        <v>260</v>
      </c>
      <c r="E351" s="18" t="s">
        <v>1632</v>
      </c>
      <c r="F351" s="107" t="s">
        <v>1758</v>
      </c>
      <c r="G351" s="108">
        <v>608880</v>
      </c>
      <c r="H351" s="87" t="e">
        <f t="shared" si="33"/>
        <v>#VALUE!</v>
      </c>
      <c r="I351" s="37" t="e">
        <f t="shared" si="36"/>
        <v>#VALUE!</v>
      </c>
      <c r="J351" s="37" t="e">
        <f t="shared" si="34"/>
        <v>#VALUE!</v>
      </c>
      <c r="K351" t="s">
        <v>1730</v>
      </c>
      <c r="M351" s="35" t="s">
        <v>1758</v>
      </c>
      <c r="N351" t="b">
        <f t="shared" si="35"/>
        <v>1</v>
      </c>
    </row>
    <row r="352" spans="1:14" hidden="1" x14ac:dyDescent="0.35">
      <c r="A352" s="88" t="s">
        <v>1209</v>
      </c>
      <c r="B352" s="88" t="s">
        <v>789</v>
      </c>
      <c r="C352" s="18" t="s">
        <v>125</v>
      </c>
      <c r="D352" s="18" t="s">
        <v>57</v>
      </c>
      <c r="E352" s="18" t="s">
        <v>1633</v>
      </c>
      <c r="F352" s="107" t="s">
        <v>1759</v>
      </c>
      <c r="G352" s="103">
        <v>213389.57</v>
      </c>
      <c r="H352" s="87" t="e">
        <f t="shared" si="33"/>
        <v>#VALUE!</v>
      </c>
      <c r="I352" s="37" t="e">
        <f t="shared" si="36"/>
        <v>#VALUE!</v>
      </c>
      <c r="J352" s="37" t="e">
        <f t="shared" si="34"/>
        <v>#VALUE!</v>
      </c>
      <c r="K352" t="s">
        <v>1730</v>
      </c>
      <c r="M352" s="35" t="s">
        <v>1759</v>
      </c>
      <c r="N352" t="b">
        <f t="shared" si="35"/>
        <v>1</v>
      </c>
    </row>
    <row r="353" spans="1:14" hidden="1" x14ac:dyDescent="0.35">
      <c r="A353" s="88" t="s">
        <v>1209</v>
      </c>
      <c r="B353" s="88" t="s">
        <v>789</v>
      </c>
      <c r="C353" s="18" t="s">
        <v>125</v>
      </c>
      <c r="D353" s="18" t="s">
        <v>57</v>
      </c>
      <c r="E353" s="18" t="s">
        <v>1634</v>
      </c>
      <c r="F353" s="107" t="s">
        <v>1759</v>
      </c>
      <c r="G353" s="103">
        <v>2546.64</v>
      </c>
      <c r="H353" s="87" t="e">
        <f t="shared" si="33"/>
        <v>#VALUE!</v>
      </c>
      <c r="I353" s="37" t="e">
        <f t="shared" si="36"/>
        <v>#VALUE!</v>
      </c>
      <c r="J353" s="37" t="e">
        <f t="shared" si="34"/>
        <v>#VALUE!</v>
      </c>
      <c r="K353" t="s">
        <v>1730</v>
      </c>
      <c r="M353" s="35" t="s">
        <v>1759</v>
      </c>
      <c r="N353" t="b">
        <f t="shared" si="35"/>
        <v>1</v>
      </c>
    </row>
    <row r="354" spans="1:14" hidden="1" x14ac:dyDescent="0.35">
      <c r="A354" s="88" t="s">
        <v>1209</v>
      </c>
      <c r="B354" s="88" t="s">
        <v>789</v>
      </c>
      <c r="C354" s="18" t="s">
        <v>125</v>
      </c>
      <c r="D354" s="18" t="s">
        <v>57</v>
      </c>
      <c r="E354" s="18" t="s">
        <v>1635</v>
      </c>
      <c r="F354" s="107" t="s">
        <v>1733</v>
      </c>
      <c r="G354" s="103">
        <v>1222824.99</v>
      </c>
      <c r="H354" s="87">
        <f t="shared" si="33"/>
        <v>87</v>
      </c>
      <c r="I354" s="37" t="str">
        <f t="shared" si="36"/>
        <v>1-90 DAYS</v>
      </c>
      <c r="J354" s="37" t="str">
        <f t="shared" si="34"/>
        <v>0-180 DAYS</v>
      </c>
      <c r="K354" t="s">
        <v>1730</v>
      </c>
      <c r="M354" s="35" t="s">
        <v>1733</v>
      </c>
      <c r="N354" t="b">
        <f t="shared" si="35"/>
        <v>1</v>
      </c>
    </row>
    <row r="355" spans="1:14" hidden="1" x14ac:dyDescent="0.35">
      <c r="A355" s="88" t="s">
        <v>1209</v>
      </c>
      <c r="B355" s="88" t="s">
        <v>789</v>
      </c>
      <c r="C355" s="18" t="s">
        <v>125</v>
      </c>
      <c r="D355" s="18" t="s">
        <v>57</v>
      </c>
      <c r="E355" s="18" t="s">
        <v>1636</v>
      </c>
      <c r="F355" s="107" t="s">
        <v>1737</v>
      </c>
      <c r="G355" s="103">
        <v>481105.14</v>
      </c>
      <c r="H355" s="87">
        <f t="shared" si="33"/>
        <v>-66</v>
      </c>
      <c r="I355" s="37" t="str">
        <f t="shared" si="36"/>
        <v>1-90 DAYS</v>
      </c>
      <c r="J355" s="37" t="str">
        <f t="shared" si="34"/>
        <v>0-180 DAYS</v>
      </c>
      <c r="K355" t="s">
        <v>1730</v>
      </c>
      <c r="M355" s="35" t="s">
        <v>1737</v>
      </c>
      <c r="N355" t="b">
        <f t="shared" si="35"/>
        <v>1</v>
      </c>
    </row>
    <row r="356" spans="1:14" hidden="1" x14ac:dyDescent="0.35">
      <c r="A356" s="88" t="s">
        <v>1209</v>
      </c>
      <c r="B356" s="88" t="s">
        <v>789</v>
      </c>
      <c r="C356" s="18" t="s">
        <v>125</v>
      </c>
      <c r="D356" s="18" t="s">
        <v>57</v>
      </c>
      <c r="E356" s="18" t="s">
        <v>1637</v>
      </c>
      <c r="F356" s="107" t="s">
        <v>1742</v>
      </c>
      <c r="G356" s="103">
        <v>9962.5499999999993</v>
      </c>
      <c r="H356" s="87" t="e">
        <f t="shared" si="33"/>
        <v>#VALUE!</v>
      </c>
      <c r="I356" s="37" t="e">
        <f t="shared" si="36"/>
        <v>#VALUE!</v>
      </c>
      <c r="J356" s="37" t="e">
        <f t="shared" si="34"/>
        <v>#VALUE!</v>
      </c>
      <c r="K356" t="s">
        <v>1730</v>
      </c>
      <c r="M356" s="35" t="s">
        <v>1742</v>
      </c>
      <c r="N356" t="b">
        <f t="shared" si="35"/>
        <v>1</v>
      </c>
    </row>
    <row r="357" spans="1:14" hidden="1" x14ac:dyDescent="0.35">
      <c r="A357" s="88" t="s">
        <v>1209</v>
      </c>
      <c r="B357" s="88" t="s">
        <v>789</v>
      </c>
      <c r="C357" s="18" t="s">
        <v>125</v>
      </c>
      <c r="D357" s="18" t="s">
        <v>57</v>
      </c>
      <c r="E357" s="18" t="s">
        <v>1638</v>
      </c>
      <c r="F357" s="107" t="s">
        <v>1748</v>
      </c>
      <c r="G357" s="103">
        <v>1176243.25</v>
      </c>
      <c r="H357" s="87" t="e">
        <f t="shared" si="33"/>
        <v>#VALUE!</v>
      </c>
      <c r="I357" s="37" t="e">
        <f t="shared" si="36"/>
        <v>#VALUE!</v>
      </c>
      <c r="J357" s="37" t="e">
        <f t="shared" si="34"/>
        <v>#VALUE!</v>
      </c>
      <c r="K357" t="s">
        <v>1730</v>
      </c>
      <c r="M357" s="35" t="s">
        <v>1748</v>
      </c>
      <c r="N357" t="b">
        <f t="shared" si="35"/>
        <v>1</v>
      </c>
    </row>
    <row r="358" spans="1:14" hidden="1" x14ac:dyDescent="0.35">
      <c r="A358" s="88" t="s">
        <v>1209</v>
      </c>
      <c r="B358" s="88" t="s">
        <v>789</v>
      </c>
      <c r="C358" s="18" t="s">
        <v>125</v>
      </c>
      <c r="D358" s="18" t="s">
        <v>57</v>
      </c>
      <c r="E358" s="18" t="s">
        <v>1639</v>
      </c>
      <c r="F358" s="107" t="s">
        <v>1748</v>
      </c>
      <c r="G358" s="103">
        <v>136328.92000000001</v>
      </c>
      <c r="H358" s="87" t="e">
        <f t="shared" si="33"/>
        <v>#VALUE!</v>
      </c>
      <c r="I358" s="37" t="e">
        <f t="shared" si="36"/>
        <v>#VALUE!</v>
      </c>
      <c r="J358" s="37" t="e">
        <f t="shared" si="34"/>
        <v>#VALUE!</v>
      </c>
      <c r="K358" t="s">
        <v>1730</v>
      </c>
      <c r="M358" s="35" t="s">
        <v>1748</v>
      </c>
      <c r="N358" t="b">
        <f t="shared" si="35"/>
        <v>1</v>
      </c>
    </row>
    <row r="359" spans="1:14" hidden="1" x14ac:dyDescent="0.35">
      <c r="A359" s="88" t="s">
        <v>1209</v>
      </c>
      <c r="B359" s="88" t="s">
        <v>789</v>
      </c>
      <c r="C359" s="18" t="s">
        <v>125</v>
      </c>
      <c r="D359" s="18" t="s">
        <v>57</v>
      </c>
      <c r="E359" s="18" t="s">
        <v>1640</v>
      </c>
      <c r="F359" s="107" t="s">
        <v>1754</v>
      </c>
      <c r="G359" s="103">
        <v>4193.1000000000004</v>
      </c>
      <c r="H359" s="87" t="e">
        <f t="shared" si="33"/>
        <v>#VALUE!</v>
      </c>
      <c r="I359" s="37" t="e">
        <f t="shared" si="36"/>
        <v>#VALUE!</v>
      </c>
      <c r="J359" s="37" t="e">
        <f t="shared" si="34"/>
        <v>#VALUE!</v>
      </c>
      <c r="K359" t="s">
        <v>1730</v>
      </c>
      <c r="M359" s="35" t="s">
        <v>1754</v>
      </c>
      <c r="N359" t="b">
        <f t="shared" si="35"/>
        <v>1</v>
      </c>
    </row>
    <row r="360" spans="1:14" hidden="1" x14ac:dyDescent="0.35">
      <c r="A360" s="88" t="s">
        <v>1209</v>
      </c>
      <c r="B360" s="88" t="s">
        <v>789</v>
      </c>
      <c r="C360" s="18" t="s">
        <v>125</v>
      </c>
      <c r="D360" s="18" t="s">
        <v>57</v>
      </c>
      <c r="E360" s="18" t="s">
        <v>1641</v>
      </c>
      <c r="F360" s="107" t="s">
        <v>1756</v>
      </c>
      <c r="G360" s="103">
        <v>2029598.47</v>
      </c>
      <c r="H360" s="87" t="e">
        <f t="shared" si="33"/>
        <v>#VALUE!</v>
      </c>
      <c r="I360" s="37" t="e">
        <f t="shared" si="36"/>
        <v>#VALUE!</v>
      </c>
      <c r="J360" s="37" t="e">
        <f t="shared" si="34"/>
        <v>#VALUE!</v>
      </c>
      <c r="K360" t="s">
        <v>1730</v>
      </c>
      <c r="M360" s="35" t="s">
        <v>1756</v>
      </c>
      <c r="N360" t="b">
        <f t="shared" si="35"/>
        <v>1</v>
      </c>
    </row>
    <row r="361" spans="1:14" hidden="1" x14ac:dyDescent="0.35">
      <c r="A361" s="88" t="s">
        <v>1209</v>
      </c>
      <c r="B361" s="88" t="s">
        <v>789</v>
      </c>
      <c r="C361" s="18" t="s">
        <v>125</v>
      </c>
      <c r="D361" s="18" t="s">
        <v>57</v>
      </c>
      <c r="E361" s="18" t="s">
        <v>1642</v>
      </c>
      <c r="F361" s="107" t="s">
        <v>1756</v>
      </c>
      <c r="G361" s="103">
        <v>19296.669999999998</v>
      </c>
      <c r="H361" s="87" t="e">
        <f t="shared" si="33"/>
        <v>#VALUE!</v>
      </c>
      <c r="I361" s="37" t="e">
        <f t="shared" si="36"/>
        <v>#VALUE!</v>
      </c>
      <c r="J361" s="37" t="e">
        <f t="shared" si="34"/>
        <v>#VALUE!</v>
      </c>
      <c r="K361" t="s">
        <v>1730</v>
      </c>
      <c r="M361" s="35" t="s">
        <v>1756</v>
      </c>
      <c r="N361" t="b">
        <f t="shared" si="35"/>
        <v>1</v>
      </c>
    </row>
    <row r="362" spans="1:14" hidden="1" x14ac:dyDescent="0.35">
      <c r="A362" s="88" t="s">
        <v>1209</v>
      </c>
      <c r="B362" s="88" t="s">
        <v>789</v>
      </c>
      <c r="C362" s="18" t="s">
        <v>125</v>
      </c>
      <c r="D362" s="18" t="s">
        <v>57</v>
      </c>
      <c r="E362" s="18" t="s">
        <v>1643</v>
      </c>
      <c r="F362" s="107" t="s">
        <v>1756</v>
      </c>
      <c r="G362" s="103">
        <v>339.55</v>
      </c>
      <c r="H362" s="87" t="e">
        <f t="shared" si="33"/>
        <v>#VALUE!</v>
      </c>
      <c r="I362" s="37" t="e">
        <f t="shared" si="36"/>
        <v>#VALUE!</v>
      </c>
      <c r="J362" s="37" t="e">
        <f t="shared" si="34"/>
        <v>#VALUE!</v>
      </c>
      <c r="K362" t="s">
        <v>1730</v>
      </c>
      <c r="M362" s="35" t="s">
        <v>1756</v>
      </c>
      <c r="N362" t="b">
        <f t="shared" si="35"/>
        <v>1</v>
      </c>
    </row>
    <row r="363" spans="1:14" hidden="1" x14ac:dyDescent="0.35">
      <c r="A363" s="88" t="s">
        <v>1209</v>
      </c>
      <c r="B363" s="88" t="s">
        <v>789</v>
      </c>
      <c r="C363" s="18" t="s">
        <v>125</v>
      </c>
      <c r="D363" s="18" t="s">
        <v>57</v>
      </c>
      <c r="E363" s="18" t="s">
        <v>1644</v>
      </c>
      <c r="F363" s="107" t="s">
        <v>1758</v>
      </c>
      <c r="G363" s="103">
        <v>5234.76</v>
      </c>
      <c r="H363" s="87" t="e">
        <f t="shared" si="33"/>
        <v>#VALUE!</v>
      </c>
      <c r="I363" s="37" t="e">
        <f t="shared" si="36"/>
        <v>#VALUE!</v>
      </c>
      <c r="J363" s="37" t="e">
        <f t="shared" si="34"/>
        <v>#VALUE!</v>
      </c>
      <c r="K363" t="s">
        <v>1730</v>
      </c>
      <c r="M363" s="35" t="s">
        <v>1758</v>
      </c>
      <c r="N363" t="b">
        <f t="shared" si="35"/>
        <v>1</v>
      </c>
    </row>
    <row r="364" spans="1:14" hidden="1" x14ac:dyDescent="0.35">
      <c r="A364" s="2" t="s">
        <v>1085</v>
      </c>
      <c r="B364" s="2" t="s">
        <v>790</v>
      </c>
      <c r="C364" s="18" t="s">
        <v>548</v>
      </c>
      <c r="D364" s="2" t="s">
        <v>507</v>
      </c>
      <c r="E364" s="18" t="s">
        <v>1649</v>
      </c>
      <c r="F364" s="107" t="s">
        <v>1733</v>
      </c>
      <c r="G364" s="108">
        <v>3047692.2</v>
      </c>
      <c r="H364" s="87">
        <f t="shared" si="33"/>
        <v>87</v>
      </c>
      <c r="I364" s="37" t="str">
        <f t="shared" ref="I364:I392" si="37">IF(H364&lt;121,"0-120 DAYS",IF(H364&lt;181,"121-180 DAYS","More than 180 Days"))</f>
        <v>0-120 DAYS</v>
      </c>
      <c r="J364" s="37" t="str">
        <f t="shared" si="34"/>
        <v>0-180 DAYS</v>
      </c>
      <c r="K364" t="s">
        <v>1730</v>
      </c>
      <c r="M364" s="35" t="s">
        <v>1733</v>
      </c>
      <c r="N364" t="b">
        <f t="shared" si="35"/>
        <v>1</v>
      </c>
    </row>
    <row r="365" spans="1:14" s="124" customFormat="1" hidden="1" x14ac:dyDescent="0.35">
      <c r="A365" s="119" t="s">
        <v>1085</v>
      </c>
      <c r="B365" s="119" t="s">
        <v>790</v>
      </c>
      <c r="C365" s="120" t="s">
        <v>1090</v>
      </c>
      <c r="D365" s="119" t="s">
        <v>507</v>
      </c>
      <c r="E365" s="120" t="s">
        <v>1650</v>
      </c>
      <c r="F365" s="127" t="s">
        <v>1761</v>
      </c>
      <c r="G365" s="122">
        <f>1884872.07</f>
        <v>1884872.07</v>
      </c>
      <c r="H365" s="126">
        <f t="shared" si="33"/>
        <v>57</v>
      </c>
      <c r="I365" s="123" t="str">
        <f t="shared" si="37"/>
        <v>0-120 DAYS</v>
      </c>
      <c r="J365" s="123" t="str">
        <f t="shared" si="34"/>
        <v>0-180 DAYS</v>
      </c>
      <c r="K365" s="124" t="s">
        <v>1730</v>
      </c>
      <c r="M365" s="128" t="s">
        <v>1761</v>
      </c>
      <c r="N365" s="124" t="b">
        <f t="shared" si="35"/>
        <v>1</v>
      </c>
    </row>
    <row r="366" spans="1:14" hidden="1" x14ac:dyDescent="0.35">
      <c r="A366" s="2" t="s">
        <v>1085</v>
      </c>
      <c r="B366" s="2" t="s">
        <v>790</v>
      </c>
      <c r="C366" s="18" t="s">
        <v>538</v>
      </c>
      <c r="D366" s="2" t="s">
        <v>507</v>
      </c>
      <c r="E366" s="18" t="s">
        <v>1651</v>
      </c>
      <c r="F366" s="107" t="s">
        <v>1734</v>
      </c>
      <c r="G366" s="108">
        <v>2948658.24</v>
      </c>
      <c r="H366" s="87">
        <f t="shared" si="33"/>
        <v>26</v>
      </c>
      <c r="I366" s="37" t="str">
        <f t="shared" si="37"/>
        <v>0-120 DAYS</v>
      </c>
      <c r="J366" s="37" t="str">
        <f t="shared" si="34"/>
        <v>0-180 DAYS</v>
      </c>
      <c r="K366" t="s">
        <v>1730</v>
      </c>
      <c r="M366" s="35" t="s">
        <v>1734</v>
      </c>
      <c r="N366" t="b">
        <f t="shared" si="35"/>
        <v>1</v>
      </c>
    </row>
    <row r="367" spans="1:14" s="124" customFormat="1" hidden="1" x14ac:dyDescent="0.35">
      <c r="A367" s="119" t="s">
        <v>1085</v>
      </c>
      <c r="B367" s="119" t="s">
        <v>790</v>
      </c>
      <c r="C367" s="120" t="s">
        <v>1090</v>
      </c>
      <c r="D367" s="119" t="s">
        <v>507</v>
      </c>
      <c r="E367" s="120" t="s">
        <v>1652</v>
      </c>
      <c r="F367" s="127" t="s">
        <v>1734</v>
      </c>
      <c r="G367" s="122">
        <f>3040643.12</f>
        <v>3040643.12</v>
      </c>
      <c r="H367" s="126">
        <f t="shared" si="33"/>
        <v>26</v>
      </c>
      <c r="I367" s="123" t="str">
        <f t="shared" si="37"/>
        <v>0-120 DAYS</v>
      </c>
      <c r="J367" s="123" t="str">
        <f t="shared" si="34"/>
        <v>0-180 DAYS</v>
      </c>
      <c r="K367" s="124" t="s">
        <v>1730</v>
      </c>
      <c r="M367" s="128" t="s">
        <v>1734</v>
      </c>
      <c r="N367" s="124" t="b">
        <f t="shared" si="35"/>
        <v>1</v>
      </c>
    </row>
    <row r="368" spans="1:14" s="124" customFormat="1" hidden="1" x14ac:dyDescent="0.35">
      <c r="A368" s="119" t="s">
        <v>1085</v>
      </c>
      <c r="B368" s="119" t="s">
        <v>790</v>
      </c>
      <c r="C368" s="120" t="s">
        <v>606</v>
      </c>
      <c r="D368" s="119" t="s">
        <v>507</v>
      </c>
      <c r="E368" s="120" t="s">
        <v>1653</v>
      </c>
      <c r="F368" s="127" t="s">
        <v>1735</v>
      </c>
      <c r="G368" s="122">
        <f>3102133.86</f>
        <v>3102133.86</v>
      </c>
      <c r="H368" s="126">
        <f t="shared" si="33"/>
        <v>-4</v>
      </c>
      <c r="I368" s="123" t="str">
        <f t="shared" si="37"/>
        <v>0-120 DAYS</v>
      </c>
      <c r="J368" s="123" t="str">
        <f t="shared" si="34"/>
        <v>0-180 DAYS</v>
      </c>
      <c r="K368" s="124" t="s">
        <v>1730</v>
      </c>
      <c r="M368" s="128" t="s">
        <v>1735</v>
      </c>
      <c r="N368" s="124" t="b">
        <f t="shared" si="35"/>
        <v>1</v>
      </c>
    </row>
    <row r="369" spans="1:14" hidden="1" x14ac:dyDescent="0.35">
      <c r="A369" s="2" t="s">
        <v>1085</v>
      </c>
      <c r="B369" s="2" t="s">
        <v>790</v>
      </c>
      <c r="C369" s="18" t="s">
        <v>538</v>
      </c>
      <c r="D369" s="2" t="s">
        <v>507</v>
      </c>
      <c r="E369" s="18" t="s">
        <v>1654</v>
      </c>
      <c r="F369" s="107" t="s">
        <v>1736</v>
      </c>
      <c r="G369" s="108">
        <v>3086872.2</v>
      </c>
      <c r="H369" s="87">
        <f t="shared" si="33"/>
        <v>-35</v>
      </c>
      <c r="I369" s="37" t="str">
        <f t="shared" si="37"/>
        <v>0-120 DAYS</v>
      </c>
      <c r="J369" s="37" t="str">
        <f t="shared" si="34"/>
        <v>0-180 DAYS</v>
      </c>
      <c r="K369" t="s">
        <v>1730</v>
      </c>
      <c r="M369" s="35" t="s">
        <v>1736</v>
      </c>
      <c r="N369" t="b">
        <f t="shared" si="35"/>
        <v>1</v>
      </c>
    </row>
    <row r="370" spans="1:14" hidden="1" x14ac:dyDescent="0.35">
      <c r="A370" s="2" t="s">
        <v>1085</v>
      </c>
      <c r="B370" s="2" t="s">
        <v>790</v>
      </c>
      <c r="C370" s="18" t="s">
        <v>1052</v>
      </c>
      <c r="D370" s="2" t="s">
        <v>507</v>
      </c>
      <c r="E370" s="18" t="s">
        <v>1655</v>
      </c>
      <c r="F370" s="107" t="s">
        <v>1737</v>
      </c>
      <c r="G370" s="108">
        <v>2864488.7</v>
      </c>
      <c r="H370" s="87">
        <f t="shared" si="33"/>
        <v>-66</v>
      </c>
      <c r="I370" s="37" t="str">
        <f t="shared" si="37"/>
        <v>0-120 DAYS</v>
      </c>
      <c r="J370" s="37" t="str">
        <f t="shared" si="34"/>
        <v>0-180 DAYS</v>
      </c>
      <c r="K370" t="s">
        <v>1730</v>
      </c>
      <c r="M370" s="35" t="s">
        <v>1737</v>
      </c>
      <c r="N370" t="b">
        <f t="shared" si="35"/>
        <v>1</v>
      </c>
    </row>
    <row r="371" spans="1:14" hidden="1" x14ac:dyDescent="0.35">
      <c r="A371" s="2" t="s">
        <v>1085</v>
      </c>
      <c r="B371" s="2" t="s">
        <v>790</v>
      </c>
      <c r="C371" s="18" t="s">
        <v>1052</v>
      </c>
      <c r="D371" s="2" t="s">
        <v>507</v>
      </c>
      <c r="E371" s="18" t="s">
        <v>1656</v>
      </c>
      <c r="F371" s="107" t="s">
        <v>1737</v>
      </c>
      <c r="G371" s="108">
        <v>2866391.81</v>
      </c>
      <c r="H371" s="87">
        <f t="shared" si="33"/>
        <v>-66</v>
      </c>
      <c r="I371" s="37" t="str">
        <f t="shared" si="37"/>
        <v>0-120 DAYS</v>
      </c>
      <c r="J371" s="37" t="str">
        <f t="shared" si="34"/>
        <v>0-180 DAYS</v>
      </c>
      <c r="K371" t="s">
        <v>1730</v>
      </c>
      <c r="M371" s="35" t="s">
        <v>1737</v>
      </c>
      <c r="N371" t="b">
        <f t="shared" si="35"/>
        <v>1</v>
      </c>
    </row>
    <row r="372" spans="1:14" hidden="1" x14ac:dyDescent="0.35">
      <c r="A372" s="2" t="s">
        <v>1085</v>
      </c>
      <c r="B372" s="2" t="s">
        <v>790</v>
      </c>
      <c r="C372" s="18" t="s">
        <v>1645</v>
      </c>
      <c r="D372" s="2" t="s">
        <v>507</v>
      </c>
      <c r="E372" s="18" t="s">
        <v>1657</v>
      </c>
      <c r="F372" s="107" t="s">
        <v>1737</v>
      </c>
      <c r="G372" s="108">
        <v>2428654.7599999998</v>
      </c>
      <c r="H372" s="87">
        <f t="shared" si="33"/>
        <v>-66</v>
      </c>
      <c r="I372" s="37" t="str">
        <f t="shared" si="37"/>
        <v>0-120 DAYS</v>
      </c>
      <c r="J372" s="37" t="str">
        <f t="shared" si="34"/>
        <v>0-180 DAYS</v>
      </c>
      <c r="K372" t="s">
        <v>1730</v>
      </c>
      <c r="M372" s="35" t="s">
        <v>1737</v>
      </c>
      <c r="N372" t="b">
        <f t="shared" si="35"/>
        <v>1</v>
      </c>
    </row>
    <row r="373" spans="1:14" s="124" customFormat="1" hidden="1" x14ac:dyDescent="0.35">
      <c r="A373" s="119" t="s">
        <v>1085</v>
      </c>
      <c r="B373" s="119" t="s">
        <v>790</v>
      </c>
      <c r="C373" s="120" t="s">
        <v>606</v>
      </c>
      <c r="D373" s="119" t="s">
        <v>507</v>
      </c>
      <c r="E373" s="120" t="s">
        <v>1658</v>
      </c>
      <c r="F373" s="127" t="s">
        <v>1737</v>
      </c>
      <c r="G373" s="122">
        <f>3104417.75</f>
        <v>3104417.75</v>
      </c>
      <c r="H373" s="126">
        <f t="shared" si="33"/>
        <v>-66</v>
      </c>
      <c r="I373" s="123" t="str">
        <f t="shared" si="37"/>
        <v>0-120 DAYS</v>
      </c>
      <c r="J373" s="123" t="str">
        <f t="shared" si="34"/>
        <v>0-180 DAYS</v>
      </c>
      <c r="K373" s="124" t="s">
        <v>1730</v>
      </c>
      <c r="M373" s="128" t="s">
        <v>1737</v>
      </c>
      <c r="N373" s="124" t="b">
        <f t="shared" si="35"/>
        <v>1</v>
      </c>
    </row>
    <row r="374" spans="1:14" hidden="1" x14ac:dyDescent="0.35">
      <c r="A374" s="2" t="s">
        <v>1085</v>
      </c>
      <c r="B374" s="2" t="s">
        <v>790</v>
      </c>
      <c r="C374" s="18" t="s">
        <v>573</v>
      </c>
      <c r="D374" s="2" t="s">
        <v>507</v>
      </c>
      <c r="E374" s="18" t="s">
        <v>1659</v>
      </c>
      <c r="F374" s="107" t="s">
        <v>1738</v>
      </c>
      <c r="G374" s="108">
        <v>2407955.2000000002</v>
      </c>
      <c r="H374" s="87">
        <f t="shared" si="33"/>
        <v>-96</v>
      </c>
      <c r="I374" s="37" t="str">
        <f t="shared" si="37"/>
        <v>0-120 DAYS</v>
      </c>
      <c r="J374" s="37" t="str">
        <f t="shared" si="34"/>
        <v>0-180 DAYS</v>
      </c>
      <c r="K374" t="s">
        <v>1730</v>
      </c>
      <c r="M374" s="35" t="s">
        <v>1738</v>
      </c>
      <c r="N374" t="b">
        <f t="shared" si="35"/>
        <v>1</v>
      </c>
    </row>
    <row r="375" spans="1:14" hidden="1" x14ac:dyDescent="0.35">
      <c r="A375" s="2" t="s">
        <v>1085</v>
      </c>
      <c r="B375" s="2" t="s">
        <v>790</v>
      </c>
      <c r="C375" s="18" t="s">
        <v>631</v>
      </c>
      <c r="D375" s="2" t="s">
        <v>507</v>
      </c>
      <c r="E375" s="18" t="s">
        <v>1660</v>
      </c>
      <c r="F375" s="107" t="s">
        <v>1739</v>
      </c>
      <c r="G375" s="108">
        <v>3009283.2</v>
      </c>
      <c r="H375" s="87">
        <f t="shared" si="33"/>
        <v>-127</v>
      </c>
      <c r="I375" s="37" t="str">
        <f t="shared" si="37"/>
        <v>0-120 DAYS</v>
      </c>
      <c r="J375" s="37" t="str">
        <f t="shared" si="34"/>
        <v>0-180 DAYS</v>
      </c>
      <c r="K375" t="s">
        <v>1730</v>
      </c>
      <c r="M375" s="35" t="s">
        <v>1739</v>
      </c>
      <c r="N375" t="b">
        <f t="shared" si="35"/>
        <v>1</v>
      </c>
    </row>
    <row r="376" spans="1:14" hidden="1" x14ac:dyDescent="0.35">
      <c r="A376" s="2" t="s">
        <v>1085</v>
      </c>
      <c r="B376" s="2" t="s">
        <v>790</v>
      </c>
      <c r="C376" s="18" t="s">
        <v>1052</v>
      </c>
      <c r="D376" s="2" t="s">
        <v>507</v>
      </c>
      <c r="E376" s="18" t="s">
        <v>1661</v>
      </c>
      <c r="F376" s="107" t="s">
        <v>1743</v>
      </c>
      <c r="G376" s="108">
        <v>2886894.78</v>
      </c>
      <c r="H376" s="87" t="e">
        <f t="shared" ref="H376:H439" si="38">$H$2-F376+1</f>
        <v>#VALUE!</v>
      </c>
      <c r="I376" s="37" t="e">
        <f t="shared" si="37"/>
        <v>#VALUE!</v>
      </c>
      <c r="J376" s="37" t="e">
        <f t="shared" ref="J376:J439" si="39">IF(H376&lt;180,"0-180 DAYS","More than 180 Days")</f>
        <v>#VALUE!</v>
      </c>
      <c r="K376" t="s">
        <v>1730</v>
      </c>
      <c r="M376" s="35" t="s">
        <v>1743</v>
      </c>
      <c r="N376" t="b">
        <f t="shared" ref="N376:N439" si="40">M376=F376</f>
        <v>1</v>
      </c>
    </row>
    <row r="377" spans="1:14" s="124" customFormat="1" hidden="1" x14ac:dyDescent="0.35">
      <c r="A377" s="119" t="s">
        <v>1085</v>
      </c>
      <c r="B377" s="119" t="s">
        <v>790</v>
      </c>
      <c r="C377" s="120" t="s">
        <v>606</v>
      </c>
      <c r="D377" s="119" t="s">
        <v>507</v>
      </c>
      <c r="E377" s="120" t="s">
        <v>1662</v>
      </c>
      <c r="F377" s="127" t="s">
        <v>1743</v>
      </c>
      <c r="G377" s="122">
        <f>3210472.02</f>
        <v>3210472.02</v>
      </c>
      <c r="H377" s="126" t="e">
        <f t="shared" si="38"/>
        <v>#VALUE!</v>
      </c>
      <c r="I377" s="123" t="e">
        <f t="shared" si="37"/>
        <v>#VALUE!</v>
      </c>
      <c r="J377" s="123" t="e">
        <f t="shared" si="39"/>
        <v>#VALUE!</v>
      </c>
      <c r="K377" s="124" t="s">
        <v>1730</v>
      </c>
      <c r="M377" s="128" t="s">
        <v>1743</v>
      </c>
      <c r="N377" s="124" t="b">
        <f t="shared" si="40"/>
        <v>1</v>
      </c>
    </row>
    <row r="378" spans="1:14" hidden="1" x14ac:dyDescent="0.35">
      <c r="A378" s="2" t="s">
        <v>1085</v>
      </c>
      <c r="B378" s="2" t="s">
        <v>790</v>
      </c>
      <c r="C378" s="18" t="s">
        <v>1052</v>
      </c>
      <c r="D378" s="2" t="s">
        <v>507</v>
      </c>
      <c r="E378" s="18" t="s">
        <v>1663</v>
      </c>
      <c r="F378" s="107" t="s">
        <v>1744</v>
      </c>
      <c r="G378" s="108">
        <v>2871043.84</v>
      </c>
      <c r="H378" s="87" t="e">
        <f t="shared" si="38"/>
        <v>#VALUE!</v>
      </c>
      <c r="I378" s="37" t="e">
        <f t="shared" si="37"/>
        <v>#VALUE!</v>
      </c>
      <c r="J378" s="37" t="e">
        <f t="shared" si="39"/>
        <v>#VALUE!</v>
      </c>
      <c r="K378" t="s">
        <v>1730</v>
      </c>
      <c r="M378" s="35" t="s">
        <v>1744</v>
      </c>
      <c r="N378" t="b">
        <f t="shared" si="40"/>
        <v>1</v>
      </c>
    </row>
    <row r="379" spans="1:14" hidden="1" x14ac:dyDescent="0.35">
      <c r="A379" s="2" t="s">
        <v>1085</v>
      </c>
      <c r="B379" s="2" t="s">
        <v>790</v>
      </c>
      <c r="C379" s="18" t="s">
        <v>1246</v>
      </c>
      <c r="D379" s="2" t="s">
        <v>507</v>
      </c>
      <c r="E379" s="18" t="s">
        <v>1664</v>
      </c>
      <c r="F379" s="107" t="s">
        <v>1744</v>
      </c>
      <c r="G379" s="108">
        <v>2911164.31</v>
      </c>
      <c r="H379" s="87" t="e">
        <f t="shared" si="38"/>
        <v>#VALUE!</v>
      </c>
      <c r="I379" s="37" t="e">
        <f t="shared" si="37"/>
        <v>#VALUE!</v>
      </c>
      <c r="J379" s="37" t="e">
        <f t="shared" si="39"/>
        <v>#VALUE!</v>
      </c>
      <c r="K379" t="s">
        <v>1730</v>
      </c>
      <c r="M379" s="35" t="s">
        <v>1744</v>
      </c>
      <c r="N379" t="b">
        <f t="shared" si="40"/>
        <v>1</v>
      </c>
    </row>
    <row r="380" spans="1:14" s="124" customFormat="1" hidden="1" x14ac:dyDescent="0.35">
      <c r="A380" s="119" t="s">
        <v>1085</v>
      </c>
      <c r="B380" s="119" t="s">
        <v>790</v>
      </c>
      <c r="C380" s="120" t="s">
        <v>1090</v>
      </c>
      <c r="D380" s="119" t="s">
        <v>507</v>
      </c>
      <c r="E380" s="120" t="s">
        <v>1665</v>
      </c>
      <c r="F380" s="127" t="s">
        <v>1744</v>
      </c>
      <c r="G380" s="122">
        <f>3040109.52</f>
        <v>3040109.52</v>
      </c>
      <c r="H380" s="126" t="e">
        <f t="shared" si="38"/>
        <v>#VALUE!</v>
      </c>
      <c r="I380" s="123" t="e">
        <f t="shared" si="37"/>
        <v>#VALUE!</v>
      </c>
      <c r="J380" s="123" t="e">
        <f t="shared" si="39"/>
        <v>#VALUE!</v>
      </c>
      <c r="K380" s="124" t="s">
        <v>1730</v>
      </c>
      <c r="M380" s="128" t="s">
        <v>1744</v>
      </c>
      <c r="N380" s="124" t="b">
        <f t="shared" si="40"/>
        <v>1</v>
      </c>
    </row>
    <row r="381" spans="1:14" hidden="1" x14ac:dyDescent="0.35">
      <c r="A381" s="2" t="s">
        <v>1085</v>
      </c>
      <c r="B381" s="2" t="s">
        <v>790</v>
      </c>
      <c r="C381" s="18" t="s">
        <v>1090</v>
      </c>
      <c r="D381" s="2" t="s">
        <v>507</v>
      </c>
      <c r="E381" s="18" t="s">
        <v>1666</v>
      </c>
      <c r="F381" s="107" t="s">
        <v>1744</v>
      </c>
      <c r="G381" s="108">
        <f>3094937.75</f>
        <v>3094937.75</v>
      </c>
      <c r="H381" s="87" t="e">
        <f t="shared" si="38"/>
        <v>#VALUE!</v>
      </c>
      <c r="I381" s="37" t="e">
        <f t="shared" si="37"/>
        <v>#VALUE!</v>
      </c>
      <c r="J381" s="37" t="e">
        <f t="shared" si="39"/>
        <v>#VALUE!</v>
      </c>
      <c r="K381" t="s">
        <v>1730</v>
      </c>
      <c r="M381" s="35" t="s">
        <v>1744</v>
      </c>
      <c r="N381" t="b">
        <f t="shared" si="40"/>
        <v>1</v>
      </c>
    </row>
    <row r="382" spans="1:14" hidden="1" x14ac:dyDescent="0.35">
      <c r="A382" s="2" t="s">
        <v>1085</v>
      </c>
      <c r="B382" s="2" t="s">
        <v>790</v>
      </c>
      <c r="C382" s="18" t="s">
        <v>1052</v>
      </c>
      <c r="D382" s="2" t="s">
        <v>507</v>
      </c>
      <c r="E382" s="18" t="s">
        <v>1667</v>
      </c>
      <c r="F382" s="107" t="s">
        <v>1745</v>
      </c>
      <c r="G382" s="108">
        <v>2875955.52</v>
      </c>
      <c r="H382" s="87" t="e">
        <f t="shared" si="38"/>
        <v>#VALUE!</v>
      </c>
      <c r="I382" s="37" t="e">
        <f t="shared" si="37"/>
        <v>#VALUE!</v>
      </c>
      <c r="J382" s="37" t="e">
        <f t="shared" si="39"/>
        <v>#VALUE!</v>
      </c>
      <c r="K382" t="s">
        <v>1730</v>
      </c>
      <c r="M382" s="35" t="s">
        <v>1745</v>
      </c>
      <c r="N382" t="b">
        <f t="shared" si="40"/>
        <v>1</v>
      </c>
    </row>
    <row r="383" spans="1:14" hidden="1" x14ac:dyDescent="0.35">
      <c r="A383" s="2" t="s">
        <v>1085</v>
      </c>
      <c r="B383" s="2" t="s">
        <v>790</v>
      </c>
      <c r="C383" s="18" t="s">
        <v>1052</v>
      </c>
      <c r="D383" s="2" t="s">
        <v>507</v>
      </c>
      <c r="E383" s="18" t="s">
        <v>1668</v>
      </c>
      <c r="F383" s="107" t="s">
        <v>1746</v>
      </c>
      <c r="G383" s="108">
        <v>2863789.44</v>
      </c>
      <c r="H383" s="87" t="e">
        <f t="shared" si="38"/>
        <v>#VALUE!</v>
      </c>
      <c r="I383" s="37" t="e">
        <f t="shared" si="37"/>
        <v>#VALUE!</v>
      </c>
      <c r="J383" s="37" t="e">
        <f t="shared" si="39"/>
        <v>#VALUE!</v>
      </c>
      <c r="K383" t="s">
        <v>1730</v>
      </c>
      <c r="M383" s="35" t="s">
        <v>1746</v>
      </c>
      <c r="N383" t="b">
        <f t="shared" si="40"/>
        <v>1</v>
      </c>
    </row>
    <row r="384" spans="1:14" hidden="1" x14ac:dyDescent="0.35">
      <c r="A384" s="2" t="s">
        <v>1085</v>
      </c>
      <c r="B384" s="2" t="s">
        <v>790</v>
      </c>
      <c r="C384" s="18" t="s">
        <v>538</v>
      </c>
      <c r="D384" s="2" t="s">
        <v>507</v>
      </c>
      <c r="E384" s="18" t="s">
        <v>1669</v>
      </c>
      <c r="F384" s="107" t="s">
        <v>1746</v>
      </c>
      <c r="G384" s="108">
        <v>3175463.26</v>
      </c>
      <c r="H384" s="87" t="e">
        <f t="shared" si="38"/>
        <v>#VALUE!</v>
      </c>
      <c r="I384" s="37" t="e">
        <f t="shared" si="37"/>
        <v>#VALUE!</v>
      </c>
      <c r="J384" s="37" t="e">
        <f t="shared" si="39"/>
        <v>#VALUE!</v>
      </c>
      <c r="K384" t="s">
        <v>1730</v>
      </c>
      <c r="M384" s="35" t="s">
        <v>1746</v>
      </c>
      <c r="N384" t="b">
        <f t="shared" si="40"/>
        <v>1</v>
      </c>
    </row>
    <row r="385" spans="1:14" hidden="1" x14ac:dyDescent="0.35">
      <c r="A385" s="2" t="s">
        <v>1085</v>
      </c>
      <c r="B385" s="2" t="s">
        <v>790</v>
      </c>
      <c r="C385" s="18" t="s">
        <v>834</v>
      </c>
      <c r="D385" s="2" t="s">
        <v>507</v>
      </c>
      <c r="E385" s="18" t="s">
        <v>1670</v>
      </c>
      <c r="F385" s="107" t="s">
        <v>1746</v>
      </c>
      <c r="G385" s="108">
        <v>3917050.39</v>
      </c>
      <c r="H385" s="87" t="e">
        <f t="shared" si="38"/>
        <v>#VALUE!</v>
      </c>
      <c r="I385" s="37" t="e">
        <f t="shared" si="37"/>
        <v>#VALUE!</v>
      </c>
      <c r="J385" s="37" t="e">
        <f t="shared" si="39"/>
        <v>#VALUE!</v>
      </c>
      <c r="K385" t="s">
        <v>1730</v>
      </c>
      <c r="M385" s="35" t="s">
        <v>1746</v>
      </c>
      <c r="N385" t="b">
        <f t="shared" si="40"/>
        <v>1</v>
      </c>
    </row>
    <row r="386" spans="1:14" hidden="1" x14ac:dyDescent="0.35">
      <c r="A386" s="2" t="s">
        <v>1085</v>
      </c>
      <c r="B386" s="2" t="s">
        <v>790</v>
      </c>
      <c r="C386" s="18" t="s">
        <v>617</v>
      </c>
      <c r="D386" s="2" t="s">
        <v>507</v>
      </c>
      <c r="E386" s="18" t="s">
        <v>1671</v>
      </c>
      <c r="F386" s="107" t="s">
        <v>1750</v>
      </c>
      <c r="G386" s="108">
        <v>3990553.58</v>
      </c>
      <c r="H386" s="87" t="e">
        <f t="shared" si="38"/>
        <v>#VALUE!</v>
      </c>
      <c r="I386" s="37" t="e">
        <f t="shared" si="37"/>
        <v>#VALUE!</v>
      </c>
      <c r="J386" s="37" t="e">
        <f t="shared" si="39"/>
        <v>#VALUE!</v>
      </c>
      <c r="K386" t="s">
        <v>1730</v>
      </c>
      <c r="M386" s="35" t="s">
        <v>1750</v>
      </c>
      <c r="N386" t="b">
        <f t="shared" si="40"/>
        <v>1</v>
      </c>
    </row>
    <row r="387" spans="1:14" hidden="1" x14ac:dyDescent="0.35">
      <c r="A387" s="2" t="s">
        <v>1085</v>
      </c>
      <c r="B387" s="2" t="s">
        <v>790</v>
      </c>
      <c r="C387" s="18" t="s">
        <v>1052</v>
      </c>
      <c r="D387" s="2" t="s">
        <v>507</v>
      </c>
      <c r="E387" s="18" t="s">
        <v>1672</v>
      </c>
      <c r="F387" s="107" t="s">
        <v>1751</v>
      </c>
      <c r="G387" s="108">
        <v>2885794.18</v>
      </c>
      <c r="H387" s="87" t="e">
        <f t="shared" si="38"/>
        <v>#VALUE!</v>
      </c>
      <c r="I387" s="37" t="e">
        <f t="shared" si="37"/>
        <v>#VALUE!</v>
      </c>
      <c r="J387" s="37" t="e">
        <f t="shared" si="39"/>
        <v>#VALUE!</v>
      </c>
      <c r="K387" t="s">
        <v>1730</v>
      </c>
      <c r="M387" s="35" t="s">
        <v>1751</v>
      </c>
      <c r="N387" t="b">
        <f t="shared" si="40"/>
        <v>1</v>
      </c>
    </row>
    <row r="388" spans="1:14" hidden="1" x14ac:dyDescent="0.35">
      <c r="A388" s="2" t="s">
        <v>1085</v>
      </c>
      <c r="B388" s="2" t="s">
        <v>790</v>
      </c>
      <c r="C388" s="18" t="s">
        <v>606</v>
      </c>
      <c r="D388" s="2" t="s">
        <v>507</v>
      </c>
      <c r="E388" s="18" t="s">
        <v>1673</v>
      </c>
      <c r="F388" s="107" t="s">
        <v>1752</v>
      </c>
      <c r="G388" s="108">
        <f>3194232.41</f>
        <v>3194232.41</v>
      </c>
      <c r="H388" s="87" t="e">
        <f t="shared" si="38"/>
        <v>#VALUE!</v>
      </c>
      <c r="I388" s="37" t="e">
        <f t="shared" si="37"/>
        <v>#VALUE!</v>
      </c>
      <c r="J388" s="37" t="e">
        <f t="shared" si="39"/>
        <v>#VALUE!</v>
      </c>
      <c r="K388" t="s">
        <v>1730</v>
      </c>
      <c r="M388" s="35" t="s">
        <v>1752</v>
      </c>
      <c r="N388" t="b">
        <f t="shared" si="40"/>
        <v>1</v>
      </c>
    </row>
    <row r="389" spans="1:14" hidden="1" x14ac:dyDescent="0.35">
      <c r="A389" s="2" t="s">
        <v>1085</v>
      </c>
      <c r="B389" s="2" t="s">
        <v>790</v>
      </c>
      <c r="C389" s="18" t="s">
        <v>606</v>
      </c>
      <c r="D389" s="2" t="s">
        <v>507</v>
      </c>
      <c r="E389" s="18" t="s">
        <v>1674</v>
      </c>
      <c r="F389" s="107" t="s">
        <v>1752</v>
      </c>
      <c r="G389" s="108">
        <v>3167776.14</v>
      </c>
      <c r="H389" s="87" t="e">
        <f t="shared" si="38"/>
        <v>#VALUE!</v>
      </c>
      <c r="I389" s="37" t="e">
        <f t="shared" si="37"/>
        <v>#VALUE!</v>
      </c>
      <c r="J389" s="37" t="e">
        <f t="shared" si="39"/>
        <v>#VALUE!</v>
      </c>
      <c r="K389" t="s">
        <v>1730</v>
      </c>
      <c r="M389" s="35" t="s">
        <v>1752</v>
      </c>
      <c r="N389" t="b">
        <f t="shared" si="40"/>
        <v>1</v>
      </c>
    </row>
    <row r="390" spans="1:14" hidden="1" x14ac:dyDescent="0.35">
      <c r="A390" s="2" t="s">
        <v>1085</v>
      </c>
      <c r="B390" s="2" t="s">
        <v>790</v>
      </c>
      <c r="C390" s="18" t="s">
        <v>1052</v>
      </c>
      <c r="D390" s="2" t="s">
        <v>507</v>
      </c>
      <c r="E390" s="18" t="s">
        <v>1675</v>
      </c>
      <c r="F390" s="107" t="s">
        <v>1754</v>
      </c>
      <c r="G390" s="108">
        <v>2878811.9</v>
      </c>
      <c r="H390" s="87" t="e">
        <f t="shared" si="38"/>
        <v>#VALUE!</v>
      </c>
      <c r="I390" s="37" t="e">
        <f t="shared" si="37"/>
        <v>#VALUE!</v>
      </c>
      <c r="J390" s="37" t="e">
        <f t="shared" si="39"/>
        <v>#VALUE!</v>
      </c>
      <c r="K390" t="s">
        <v>1730</v>
      </c>
      <c r="M390" s="35" t="s">
        <v>1754</v>
      </c>
      <c r="N390" t="b">
        <f t="shared" si="40"/>
        <v>1</v>
      </c>
    </row>
    <row r="391" spans="1:14" hidden="1" x14ac:dyDescent="0.35">
      <c r="A391" s="2" t="s">
        <v>1085</v>
      </c>
      <c r="B391" s="2" t="s">
        <v>790</v>
      </c>
      <c r="C391" s="18" t="s">
        <v>1646</v>
      </c>
      <c r="D391" s="2" t="s">
        <v>507</v>
      </c>
      <c r="E391" s="18" t="s">
        <v>1676</v>
      </c>
      <c r="F391" s="107" t="s">
        <v>1754</v>
      </c>
      <c r="G391" s="108">
        <v>1407487.03</v>
      </c>
      <c r="H391" s="87" t="e">
        <f t="shared" si="38"/>
        <v>#VALUE!</v>
      </c>
      <c r="I391" s="37" t="e">
        <f t="shared" si="37"/>
        <v>#VALUE!</v>
      </c>
      <c r="J391" s="37" t="e">
        <f t="shared" si="39"/>
        <v>#VALUE!</v>
      </c>
      <c r="K391" t="s">
        <v>1730</v>
      </c>
      <c r="M391" s="35" t="s">
        <v>1754</v>
      </c>
      <c r="N391" t="b">
        <f t="shared" si="40"/>
        <v>1</v>
      </c>
    </row>
    <row r="392" spans="1:14" hidden="1" x14ac:dyDescent="0.35">
      <c r="A392" s="2" t="s">
        <v>1085</v>
      </c>
      <c r="B392" s="2" t="s">
        <v>790</v>
      </c>
      <c r="C392" s="18" t="s">
        <v>1646</v>
      </c>
      <c r="D392" s="2" t="s">
        <v>507</v>
      </c>
      <c r="E392" s="18" t="s">
        <v>1677</v>
      </c>
      <c r="F392" s="107" t="s">
        <v>1754</v>
      </c>
      <c r="G392" s="108">
        <v>2911834.71</v>
      </c>
      <c r="H392" s="87" t="e">
        <f t="shared" si="38"/>
        <v>#VALUE!</v>
      </c>
      <c r="I392" s="37" t="e">
        <f t="shared" si="37"/>
        <v>#VALUE!</v>
      </c>
      <c r="J392" s="37" t="e">
        <f t="shared" si="39"/>
        <v>#VALUE!</v>
      </c>
      <c r="K392" t="s">
        <v>1730</v>
      </c>
      <c r="M392" s="35" t="s">
        <v>1754</v>
      </c>
      <c r="N392" t="b">
        <f t="shared" si="40"/>
        <v>1</v>
      </c>
    </row>
    <row r="393" spans="1:14" hidden="1" x14ac:dyDescent="0.35">
      <c r="A393" s="88" t="s">
        <v>1209</v>
      </c>
      <c r="B393" s="88" t="s">
        <v>789</v>
      </c>
      <c r="C393" s="18" t="s">
        <v>506</v>
      </c>
      <c r="D393" s="2" t="s">
        <v>507</v>
      </c>
      <c r="E393" s="18" t="s">
        <v>1678</v>
      </c>
      <c r="F393" s="107" t="s">
        <v>1755</v>
      </c>
      <c r="G393" s="108">
        <v>1719678.72</v>
      </c>
      <c r="H393" s="87" t="e">
        <f t="shared" si="38"/>
        <v>#VALUE!</v>
      </c>
      <c r="I393" s="37" t="e">
        <f>IF(H393&lt;91,"1-90 DAYS",IF(H393&lt;121,"91-120DAYS",IF(H393&lt;181,"121-180 DAYS","More than 180 Days")))</f>
        <v>#VALUE!</v>
      </c>
      <c r="J393" s="37" t="e">
        <f t="shared" si="39"/>
        <v>#VALUE!</v>
      </c>
      <c r="M393" s="35" t="s">
        <v>1755</v>
      </c>
      <c r="N393" t="b">
        <f t="shared" si="40"/>
        <v>1</v>
      </c>
    </row>
    <row r="394" spans="1:14" hidden="1" x14ac:dyDescent="0.35">
      <c r="A394" s="88" t="s">
        <v>1209</v>
      </c>
      <c r="B394" s="88" t="s">
        <v>789</v>
      </c>
      <c r="C394" s="18" t="s">
        <v>506</v>
      </c>
      <c r="D394" s="2" t="s">
        <v>507</v>
      </c>
      <c r="E394" s="18" t="s">
        <v>1679</v>
      </c>
      <c r="F394" s="107" t="s">
        <v>1755</v>
      </c>
      <c r="G394" s="108">
        <v>1293318.77</v>
      </c>
      <c r="H394" s="87" t="e">
        <f t="shared" si="38"/>
        <v>#VALUE!</v>
      </c>
      <c r="I394" s="37" t="e">
        <f>IF(H394&lt;91,"1-90 DAYS",IF(H394&lt;121,"91-120DAYS",IF(H394&lt;181,"121-180 DAYS","More than 180 Days")))</f>
        <v>#VALUE!</v>
      </c>
      <c r="J394" s="37" t="e">
        <f t="shared" si="39"/>
        <v>#VALUE!</v>
      </c>
      <c r="M394" s="35" t="s">
        <v>1755</v>
      </c>
      <c r="N394" t="b">
        <f t="shared" si="40"/>
        <v>1</v>
      </c>
    </row>
    <row r="395" spans="1:14" hidden="1" x14ac:dyDescent="0.35">
      <c r="A395" s="88" t="s">
        <v>1209</v>
      </c>
      <c r="B395" s="88" t="s">
        <v>789</v>
      </c>
      <c r="C395" s="18" t="s">
        <v>506</v>
      </c>
      <c r="D395" s="2" t="s">
        <v>507</v>
      </c>
      <c r="E395" s="18" t="s">
        <v>1680</v>
      </c>
      <c r="F395" s="107" t="s">
        <v>1755</v>
      </c>
      <c r="G395" s="108">
        <v>331389.31</v>
      </c>
      <c r="H395" s="87" t="e">
        <f t="shared" si="38"/>
        <v>#VALUE!</v>
      </c>
      <c r="I395" s="37" t="e">
        <f>IF(H395&lt;91,"1-90 DAYS",IF(H395&lt;121,"91-120DAYS",IF(H395&lt;181,"121-180 DAYS","More than 180 Days")))</f>
        <v>#VALUE!</v>
      </c>
      <c r="J395" s="37" t="e">
        <f t="shared" si="39"/>
        <v>#VALUE!</v>
      </c>
      <c r="M395" s="35" t="s">
        <v>1755</v>
      </c>
      <c r="N395" t="b">
        <f t="shared" si="40"/>
        <v>1</v>
      </c>
    </row>
    <row r="396" spans="1:14" hidden="1" x14ac:dyDescent="0.35">
      <c r="A396" s="2" t="s">
        <v>1085</v>
      </c>
      <c r="B396" s="2" t="s">
        <v>790</v>
      </c>
      <c r="C396" s="18" t="s">
        <v>548</v>
      </c>
      <c r="D396" s="2" t="s">
        <v>507</v>
      </c>
      <c r="E396" s="18" t="s">
        <v>1681</v>
      </c>
      <c r="F396" s="107" t="s">
        <v>1756</v>
      </c>
      <c r="G396" s="108">
        <v>3163081.62</v>
      </c>
      <c r="H396" s="87" t="e">
        <f t="shared" si="38"/>
        <v>#VALUE!</v>
      </c>
      <c r="I396" s="37" t="e">
        <f t="shared" ref="I396:I439" si="41">IF(H396&lt;121,"0-120 DAYS",IF(H396&lt;181,"121-180 DAYS","More than 180 Days"))</f>
        <v>#VALUE!</v>
      </c>
      <c r="J396" s="37" t="e">
        <f t="shared" si="39"/>
        <v>#VALUE!</v>
      </c>
      <c r="K396" t="s">
        <v>1730</v>
      </c>
      <c r="M396" s="35" t="s">
        <v>1756</v>
      </c>
      <c r="N396" t="b">
        <f t="shared" si="40"/>
        <v>1</v>
      </c>
    </row>
    <row r="397" spans="1:14" hidden="1" x14ac:dyDescent="0.35">
      <c r="A397" s="2" t="s">
        <v>1085</v>
      </c>
      <c r="B397" s="2" t="s">
        <v>790</v>
      </c>
      <c r="C397" s="18" t="s">
        <v>1052</v>
      </c>
      <c r="D397" s="2" t="s">
        <v>507</v>
      </c>
      <c r="E397" s="18" t="s">
        <v>1682</v>
      </c>
      <c r="F397" s="107" t="s">
        <v>1759</v>
      </c>
      <c r="G397" s="108">
        <v>2879340.86</v>
      </c>
      <c r="H397" s="87" t="e">
        <f t="shared" si="38"/>
        <v>#VALUE!</v>
      </c>
      <c r="I397" s="37" t="e">
        <f t="shared" si="41"/>
        <v>#VALUE!</v>
      </c>
      <c r="J397" s="37" t="e">
        <f t="shared" si="39"/>
        <v>#VALUE!</v>
      </c>
      <c r="K397" t="s">
        <v>1730</v>
      </c>
      <c r="M397" s="35" t="s">
        <v>1759</v>
      </c>
      <c r="N397" t="b">
        <f t="shared" si="40"/>
        <v>1</v>
      </c>
    </row>
    <row r="398" spans="1:14" hidden="1" x14ac:dyDescent="0.35">
      <c r="A398" s="2" t="s">
        <v>1085</v>
      </c>
      <c r="B398" s="2" t="s">
        <v>790</v>
      </c>
      <c r="C398" s="18" t="s">
        <v>598</v>
      </c>
      <c r="D398" s="2" t="s">
        <v>507</v>
      </c>
      <c r="E398" s="18" t="s">
        <v>1683</v>
      </c>
      <c r="F398" s="107" t="s">
        <v>1759</v>
      </c>
      <c r="G398" s="108">
        <v>3443170.07</v>
      </c>
      <c r="H398" s="87" t="e">
        <f t="shared" si="38"/>
        <v>#VALUE!</v>
      </c>
      <c r="I398" s="37" t="e">
        <f t="shared" si="41"/>
        <v>#VALUE!</v>
      </c>
      <c r="J398" s="37" t="e">
        <f t="shared" si="39"/>
        <v>#VALUE!</v>
      </c>
      <c r="K398" t="s">
        <v>1730</v>
      </c>
      <c r="M398" s="35" t="s">
        <v>1759</v>
      </c>
      <c r="N398" t="b">
        <f t="shared" si="40"/>
        <v>1</v>
      </c>
    </row>
    <row r="399" spans="1:14" hidden="1" x14ac:dyDescent="0.35">
      <c r="A399" s="2" t="s">
        <v>1085</v>
      </c>
      <c r="B399" s="2" t="s">
        <v>790</v>
      </c>
      <c r="C399" s="18" t="s">
        <v>650</v>
      </c>
      <c r="D399" s="2" t="s">
        <v>507</v>
      </c>
      <c r="E399" s="18" t="s">
        <v>1684</v>
      </c>
      <c r="F399" s="107" t="s">
        <v>1760</v>
      </c>
      <c r="G399" s="108">
        <v>2893712.16</v>
      </c>
      <c r="H399" s="87">
        <f t="shared" si="38"/>
        <v>178</v>
      </c>
      <c r="I399" s="37" t="str">
        <f t="shared" si="41"/>
        <v>121-180 DAYS</v>
      </c>
      <c r="J399" s="37" t="str">
        <f t="shared" si="39"/>
        <v>0-180 DAYS</v>
      </c>
      <c r="K399" t="s">
        <v>1730</v>
      </c>
      <c r="M399" s="35" t="s">
        <v>1760</v>
      </c>
      <c r="N399" t="b">
        <f t="shared" si="40"/>
        <v>1</v>
      </c>
    </row>
    <row r="400" spans="1:14" hidden="1" x14ac:dyDescent="0.35">
      <c r="A400" s="2" t="s">
        <v>1085</v>
      </c>
      <c r="B400" s="2" t="s">
        <v>790</v>
      </c>
      <c r="C400" s="18" t="s">
        <v>570</v>
      </c>
      <c r="D400" s="2" t="s">
        <v>507</v>
      </c>
      <c r="E400" s="18" t="s">
        <v>1685</v>
      </c>
      <c r="F400" s="107" t="s">
        <v>1732</v>
      </c>
      <c r="G400" s="108">
        <v>1724588.88</v>
      </c>
      <c r="H400" s="87">
        <f t="shared" si="38"/>
        <v>118</v>
      </c>
      <c r="I400" s="37" t="str">
        <f t="shared" si="41"/>
        <v>0-120 DAYS</v>
      </c>
      <c r="J400" s="37" t="str">
        <f t="shared" si="39"/>
        <v>0-180 DAYS</v>
      </c>
      <c r="K400" t="s">
        <v>1730</v>
      </c>
      <c r="M400" s="35" t="s">
        <v>1732</v>
      </c>
      <c r="N400" t="b">
        <f t="shared" si="40"/>
        <v>1</v>
      </c>
    </row>
    <row r="401" spans="1:14" hidden="1" x14ac:dyDescent="0.35">
      <c r="A401" s="2" t="s">
        <v>1085</v>
      </c>
      <c r="B401" s="2" t="s">
        <v>790</v>
      </c>
      <c r="C401" s="18" t="s">
        <v>1249</v>
      </c>
      <c r="D401" s="2" t="s">
        <v>507</v>
      </c>
      <c r="E401" s="18" t="s">
        <v>1686</v>
      </c>
      <c r="F401" s="107" t="s">
        <v>1735</v>
      </c>
      <c r="G401" s="108">
        <v>3290784</v>
      </c>
      <c r="H401" s="87">
        <f t="shared" si="38"/>
        <v>-4</v>
      </c>
      <c r="I401" s="37" t="str">
        <f t="shared" si="41"/>
        <v>0-120 DAYS</v>
      </c>
      <c r="J401" s="37" t="str">
        <f t="shared" si="39"/>
        <v>0-180 DAYS</v>
      </c>
      <c r="K401" t="s">
        <v>1730</v>
      </c>
      <c r="M401" s="35" t="s">
        <v>1735</v>
      </c>
      <c r="N401" t="b">
        <f t="shared" si="40"/>
        <v>1</v>
      </c>
    </row>
    <row r="402" spans="1:14" x14ac:dyDescent="0.35">
      <c r="A402" s="2" t="s">
        <v>1085</v>
      </c>
      <c r="B402" s="2" t="s">
        <v>790</v>
      </c>
      <c r="C402" s="18" t="s">
        <v>1086</v>
      </c>
      <c r="D402" s="2" t="s">
        <v>507</v>
      </c>
      <c r="E402" s="18" t="s">
        <v>1687</v>
      </c>
      <c r="F402" s="107" t="s">
        <v>1735</v>
      </c>
      <c r="G402" s="108">
        <v>113497.35</v>
      </c>
      <c r="H402" s="87">
        <f t="shared" si="38"/>
        <v>-4</v>
      </c>
      <c r="I402" s="37" t="str">
        <f t="shared" si="41"/>
        <v>0-120 DAYS</v>
      </c>
      <c r="J402" s="37" t="str">
        <f t="shared" si="39"/>
        <v>0-180 DAYS</v>
      </c>
      <c r="K402" t="s">
        <v>1730</v>
      </c>
      <c r="M402" s="35" t="s">
        <v>1735</v>
      </c>
      <c r="N402" t="b">
        <f t="shared" si="40"/>
        <v>1</v>
      </c>
    </row>
    <row r="403" spans="1:14" x14ac:dyDescent="0.35">
      <c r="A403" s="2" t="s">
        <v>1085</v>
      </c>
      <c r="B403" s="2" t="s">
        <v>790</v>
      </c>
      <c r="C403" s="18" t="s">
        <v>1086</v>
      </c>
      <c r="D403" s="2" t="s">
        <v>507</v>
      </c>
      <c r="E403" s="18" t="s">
        <v>1688</v>
      </c>
      <c r="F403" s="107" t="s">
        <v>1735</v>
      </c>
      <c r="G403" s="108">
        <v>1894204.67</v>
      </c>
      <c r="H403" s="87">
        <f t="shared" si="38"/>
        <v>-4</v>
      </c>
      <c r="I403" s="37" t="str">
        <f t="shared" si="41"/>
        <v>0-120 DAYS</v>
      </c>
      <c r="J403" s="37" t="str">
        <f t="shared" si="39"/>
        <v>0-180 DAYS</v>
      </c>
      <c r="K403" t="s">
        <v>1730</v>
      </c>
      <c r="M403" s="35" t="s">
        <v>1735</v>
      </c>
      <c r="N403" t="b">
        <f t="shared" si="40"/>
        <v>1</v>
      </c>
    </row>
    <row r="404" spans="1:14" x14ac:dyDescent="0.35">
      <c r="A404" s="2" t="s">
        <v>1085</v>
      </c>
      <c r="B404" s="2" t="s">
        <v>790</v>
      </c>
      <c r="C404" s="18" t="s">
        <v>1086</v>
      </c>
      <c r="D404" s="2" t="s">
        <v>507</v>
      </c>
      <c r="E404" s="18" t="s">
        <v>1689</v>
      </c>
      <c r="F404" s="107" t="s">
        <v>1735</v>
      </c>
      <c r="G404" s="108">
        <v>114539.76</v>
      </c>
      <c r="H404" s="87">
        <f t="shared" si="38"/>
        <v>-4</v>
      </c>
      <c r="I404" s="37" t="str">
        <f t="shared" si="41"/>
        <v>0-120 DAYS</v>
      </c>
      <c r="J404" s="37" t="str">
        <f t="shared" si="39"/>
        <v>0-180 DAYS</v>
      </c>
      <c r="K404" t="s">
        <v>1730</v>
      </c>
      <c r="M404" s="35" t="s">
        <v>1735</v>
      </c>
      <c r="N404" t="b">
        <f t="shared" si="40"/>
        <v>1</v>
      </c>
    </row>
    <row r="405" spans="1:14" x14ac:dyDescent="0.35">
      <c r="A405" s="2" t="s">
        <v>1085</v>
      </c>
      <c r="B405" s="2" t="s">
        <v>790</v>
      </c>
      <c r="C405" s="18" t="s">
        <v>1086</v>
      </c>
      <c r="D405" s="2" t="s">
        <v>507</v>
      </c>
      <c r="E405" s="18" t="s">
        <v>1690</v>
      </c>
      <c r="F405" s="107" t="s">
        <v>1735</v>
      </c>
      <c r="G405" s="108">
        <v>150414.6</v>
      </c>
      <c r="H405" s="87">
        <f t="shared" si="38"/>
        <v>-4</v>
      </c>
      <c r="I405" s="37" t="str">
        <f t="shared" si="41"/>
        <v>0-120 DAYS</v>
      </c>
      <c r="J405" s="37" t="str">
        <f t="shared" si="39"/>
        <v>0-180 DAYS</v>
      </c>
      <c r="K405" t="s">
        <v>1730</v>
      </c>
      <c r="M405" s="35" t="s">
        <v>1735</v>
      </c>
      <c r="N405" t="b">
        <f t="shared" si="40"/>
        <v>1</v>
      </c>
    </row>
    <row r="406" spans="1:14" x14ac:dyDescent="0.35">
      <c r="A406" s="2" t="s">
        <v>1085</v>
      </c>
      <c r="B406" s="2" t="s">
        <v>790</v>
      </c>
      <c r="C406" s="18" t="s">
        <v>1086</v>
      </c>
      <c r="D406" s="2" t="s">
        <v>507</v>
      </c>
      <c r="E406" s="18" t="s">
        <v>1691</v>
      </c>
      <c r="F406" s="107" t="s">
        <v>1735</v>
      </c>
      <c r="G406" s="108">
        <v>2433676.84</v>
      </c>
      <c r="H406" s="87">
        <f t="shared" si="38"/>
        <v>-4</v>
      </c>
      <c r="I406" s="37" t="str">
        <f t="shared" si="41"/>
        <v>0-120 DAYS</v>
      </c>
      <c r="J406" s="37" t="str">
        <f t="shared" si="39"/>
        <v>0-180 DAYS</v>
      </c>
      <c r="K406" t="s">
        <v>1730</v>
      </c>
      <c r="M406" s="35" t="s">
        <v>1735</v>
      </c>
      <c r="N406" t="b">
        <f t="shared" si="40"/>
        <v>1</v>
      </c>
    </row>
    <row r="407" spans="1:14" hidden="1" x14ac:dyDescent="0.35">
      <c r="A407" s="2" t="s">
        <v>1085</v>
      </c>
      <c r="B407" s="2" t="s">
        <v>790</v>
      </c>
      <c r="C407" s="18" t="s">
        <v>1647</v>
      </c>
      <c r="D407" s="2" t="s">
        <v>507</v>
      </c>
      <c r="E407" s="18" t="s">
        <v>1692</v>
      </c>
      <c r="F407" s="107" t="s">
        <v>1735</v>
      </c>
      <c r="G407" s="108">
        <v>3034724</v>
      </c>
      <c r="H407" s="87">
        <f t="shared" si="38"/>
        <v>-4</v>
      </c>
      <c r="I407" s="37" t="str">
        <f t="shared" si="41"/>
        <v>0-120 DAYS</v>
      </c>
      <c r="J407" s="37" t="str">
        <f t="shared" si="39"/>
        <v>0-180 DAYS</v>
      </c>
      <c r="K407" t="s">
        <v>1730</v>
      </c>
      <c r="M407" s="35" t="s">
        <v>1735</v>
      </c>
      <c r="N407" t="b">
        <f t="shared" si="40"/>
        <v>1</v>
      </c>
    </row>
    <row r="408" spans="1:14" x14ac:dyDescent="0.35">
      <c r="A408" s="2" t="s">
        <v>1085</v>
      </c>
      <c r="B408" s="2" t="s">
        <v>790</v>
      </c>
      <c r="C408" s="18" t="s">
        <v>1086</v>
      </c>
      <c r="D408" s="2" t="s">
        <v>507</v>
      </c>
      <c r="E408" s="18" t="s">
        <v>1693</v>
      </c>
      <c r="F408" s="107" t="s">
        <v>1736</v>
      </c>
      <c r="G408" s="108">
        <v>3091028.29</v>
      </c>
      <c r="H408" s="87">
        <f t="shared" si="38"/>
        <v>-35</v>
      </c>
      <c r="I408" s="37" t="str">
        <f t="shared" si="41"/>
        <v>0-120 DAYS</v>
      </c>
      <c r="J408" s="37" t="str">
        <f t="shared" si="39"/>
        <v>0-180 DAYS</v>
      </c>
      <c r="K408" t="s">
        <v>1730</v>
      </c>
      <c r="M408" s="35" t="s">
        <v>1736</v>
      </c>
      <c r="N408" t="b">
        <f t="shared" si="40"/>
        <v>1</v>
      </c>
    </row>
    <row r="409" spans="1:14" hidden="1" x14ac:dyDescent="0.35">
      <c r="A409" s="2" t="s">
        <v>1085</v>
      </c>
      <c r="B409" s="2" t="s">
        <v>790</v>
      </c>
      <c r="C409" s="18" t="s">
        <v>570</v>
      </c>
      <c r="D409" s="2" t="s">
        <v>507</v>
      </c>
      <c r="E409" s="18" t="s">
        <v>1694</v>
      </c>
      <c r="F409" s="107" t="s">
        <v>1738</v>
      </c>
      <c r="G409" s="108">
        <v>3047940</v>
      </c>
      <c r="H409" s="87">
        <f t="shared" si="38"/>
        <v>-96</v>
      </c>
      <c r="I409" s="37" t="str">
        <f t="shared" si="41"/>
        <v>0-120 DAYS</v>
      </c>
      <c r="J409" s="37" t="str">
        <f t="shared" si="39"/>
        <v>0-180 DAYS</v>
      </c>
      <c r="K409" t="s">
        <v>1730</v>
      </c>
      <c r="M409" s="35" t="s">
        <v>1738</v>
      </c>
      <c r="N409" t="b">
        <f t="shared" si="40"/>
        <v>1</v>
      </c>
    </row>
    <row r="410" spans="1:14" hidden="1" x14ac:dyDescent="0.35">
      <c r="A410" s="2" t="s">
        <v>1085</v>
      </c>
      <c r="B410" s="2" t="s">
        <v>790</v>
      </c>
      <c r="C410" s="18" t="s">
        <v>1091</v>
      </c>
      <c r="D410" s="2" t="s">
        <v>507</v>
      </c>
      <c r="E410" s="18" t="s">
        <v>1695</v>
      </c>
      <c r="F410" s="107" t="s">
        <v>1743</v>
      </c>
      <c r="G410" s="108">
        <v>3646624.8</v>
      </c>
      <c r="H410" s="87" t="e">
        <f t="shared" si="38"/>
        <v>#VALUE!</v>
      </c>
      <c r="I410" s="37" t="e">
        <f t="shared" si="41"/>
        <v>#VALUE!</v>
      </c>
      <c r="J410" s="37" t="e">
        <f t="shared" si="39"/>
        <v>#VALUE!</v>
      </c>
      <c r="K410" t="s">
        <v>1730</v>
      </c>
      <c r="M410" s="35" t="s">
        <v>1743</v>
      </c>
      <c r="N410" t="b">
        <f t="shared" si="40"/>
        <v>1</v>
      </c>
    </row>
    <row r="411" spans="1:14" hidden="1" x14ac:dyDescent="0.35">
      <c r="A411" s="2" t="s">
        <v>1085</v>
      </c>
      <c r="B411" s="2" t="s">
        <v>790</v>
      </c>
      <c r="C411" s="18" t="s">
        <v>1648</v>
      </c>
      <c r="D411" s="2" t="s">
        <v>507</v>
      </c>
      <c r="E411" s="18" t="s">
        <v>1696</v>
      </c>
      <c r="F411" s="107" t="s">
        <v>1743</v>
      </c>
      <c r="G411" s="108">
        <f>3285702-1400000</f>
        <v>1885702</v>
      </c>
      <c r="H411" s="87" t="e">
        <f t="shared" si="38"/>
        <v>#VALUE!</v>
      </c>
      <c r="I411" s="37" t="e">
        <f t="shared" si="41"/>
        <v>#VALUE!</v>
      </c>
      <c r="J411" s="37" t="e">
        <f t="shared" si="39"/>
        <v>#VALUE!</v>
      </c>
      <c r="K411" t="s">
        <v>1730</v>
      </c>
      <c r="M411" s="35" t="s">
        <v>1743</v>
      </c>
      <c r="N411" t="b">
        <f t="shared" si="40"/>
        <v>1</v>
      </c>
    </row>
    <row r="412" spans="1:14" hidden="1" x14ac:dyDescent="0.35">
      <c r="A412" s="2" t="s">
        <v>1085</v>
      </c>
      <c r="B412" s="2" t="s">
        <v>790</v>
      </c>
      <c r="C412" s="18" t="s">
        <v>543</v>
      </c>
      <c r="D412" s="2" t="s">
        <v>507</v>
      </c>
      <c r="E412" s="18" t="s">
        <v>1697</v>
      </c>
      <c r="F412" s="107" t="s">
        <v>1744</v>
      </c>
      <c r="G412" s="108">
        <v>3144240.14</v>
      </c>
      <c r="H412" s="87" t="e">
        <f t="shared" si="38"/>
        <v>#VALUE!</v>
      </c>
      <c r="I412" s="37" t="e">
        <f t="shared" si="41"/>
        <v>#VALUE!</v>
      </c>
      <c r="J412" s="37" t="e">
        <f t="shared" si="39"/>
        <v>#VALUE!</v>
      </c>
      <c r="K412" t="s">
        <v>1730</v>
      </c>
      <c r="M412" s="35" t="s">
        <v>1744</v>
      </c>
      <c r="N412" t="b">
        <f t="shared" si="40"/>
        <v>1</v>
      </c>
    </row>
    <row r="413" spans="1:14" hidden="1" x14ac:dyDescent="0.35">
      <c r="A413" s="2" t="s">
        <v>1085</v>
      </c>
      <c r="B413" s="2" t="s">
        <v>790</v>
      </c>
      <c r="C413" s="18" t="s">
        <v>538</v>
      </c>
      <c r="D413" s="2" t="s">
        <v>507</v>
      </c>
      <c r="E413" s="18" t="s">
        <v>1698</v>
      </c>
      <c r="F413" s="107" t="s">
        <v>1745</v>
      </c>
      <c r="G413" s="108">
        <v>3211239</v>
      </c>
      <c r="H413" s="87" t="e">
        <f t="shared" si="38"/>
        <v>#VALUE!</v>
      </c>
      <c r="I413" s="37" t="e">
        <f t="shared" si="41"/>
        <v>#VALUE!</v>
      </c>
      <c r="J413" s="37" t="e">
        <f t="shared" si="39"/>
        <v>#VALUE!</v>
      </c>
      <c r="K413" t="s">
        <v>1730</v>
      </c>
      <c r="M413" s="35" t="s">
        <v>1745</v>
      </c>
      <c r="N413" t="b">
        <f t="shared" si="40"/>
        <v>1</v>
      </c>
    </row>
    <row r="414" spans="1:14" hidden="1" x14ac:dyDescent="0.35">
      <c r="A414" s="2" t="s">
        <v>1085</v>
      </c>
      <c r="B414" s="2" t="s">
        <v>790</v>
      </c>
      <c r="C414" s="18" t="s">
        <v>538</v>
      </c>
      <c r="D414" s="2" t="s">
        <v>507</v>
      </c>
      <c r="E414" s="18" t="s">
        <v>1699</v>
      </c>
      <c r="F414" s="107" t="s">
        <v>1746</v>
      </c>
      <c r="G414" s="108">
        <v>3182450.43</v>
      </c>
      <c r="H414" s="87" t="e">
        <f t="shared" si="38"/>
        <v>#VALUE!</v>
      </c>
      <c r="I414" s="37" t="e">
        <f t="shared" si="41"/>
        <v>#VALUE!</v>
      </c>
      <c r="J414" s="37" t="e">
        <f t="shared" si="39"/>
        <v>#VALUE!</v>
      </c>
      <c r="K414" t="s">
        <v>1730</v>
      </c>
      <c r="M414" s="35" t="s">
        <v>1746</v>
      </c>
      <c r="N414" t="b">
        <f t="shared" si="40"/>
        <v>1</v>
      </c>
    </row>
    <row r="415" spans="1:14" hidden="1" x14ac:dyDescent="0.35">
      <c r="A415" s="2" t="s">
        <v>1085</v>
      </c>
      <c r="B415" s="2" t="s">
        <v>790</v>
      </c>
      <c r="C415" s="18" t="s">
        <v>650</v>
      </c>
      <c r="D415" s="2" t="s">
        <v>507</v>
      </c>
      <c r="E415" s="18" t="s">
        <v>735</v>
      </c>
      <c r="F415" s="107" t="s">
        <v>1748</v>
      </c>
      <c r="G415" s="108">
        <v>2852239.64</v>
      </c>
      <c r="H415" s="87" t="e">
        <f t="shared" si="38"/>
        <v>#VALUE!</v>
      </c>
      <c r="I415" s="37" t="e">
        <f t="shared" si="41"/>
        <v>#VALUE!</v>
      </c>
      <c r="J415" s="37" t="e">
        <f t="shared" si="39"/>
        <v>#VALUE!</v>
      </c>
      <c r="K415" t="s">
        <v>1730</v>
      </c>
      <c r="M415" s="35" t="s">
        <v>1748</v>
      </c>
      <c r="N415" t="b">
        <f t="shared" si="40"/>
        <v>1</v>
      </c>
    </row>
    <row r="416" spans="1:14" hidden="1" x14ac:dyDescent="0.35">
      <c r="A416" s="2" t="s">
        <v>1085</v>
      </c>
      <c r="B416" s="2" t="s">
        <v>790</v>
      </c>
      <c r="C416" s="18" t="s">
        <v>635</v>
      </c>
      <c r="D416" s="2" t="s">
        <v>507</v>
      </c>
      <c r="E416" s="18" t="s">
        <v>1700</v>
      </c>
      <c r="F416" s="107" t="s">
        <v>1750</v>
      </c>
      <c r="G416" s="108">
        <v>2905961.6</v>
      </c>
      <c r="H416" s="87" t="e">
        <f t="shared" si="38"/>
        <v>#VALUE!</v>
      </c>
      <c r="I416" s="37" t="e">
        <f t="shared" si="41"/>
        <v>#VALUE!</v>
      </c>
      <c r="J416" s="37" t="e">
        <f t="shared" si="39"/>
        <v>#VALUE!</v>
      </c>
      <c r="K416" t="s">
        <v>1730</v>
      </c>
      <c r="M416" s="35" t="s">
        <v>1750</v>
      </c>
      <c r="N416" t="b">
        <f t="shared" si="40"/>
        <v>1</v>
      </c>
    </row>
    <row r="417" spans="1:14" hidden="1" x14ac:dyDescent="0.35">
      <c r="A417" s="2" t="s">
        <v>1085</v>
      </c>
      <c r="B417" s="2" t="s">
        <v>790</v>
      </c>
      <c r="C417" s="18" t="s">
        <v>1648</v>
      </c>
      <c r="D417" s="2" t="s">
        <v>507</v>
      </c>
      <c r="E417" s="18" t="s">
        <v>1701</v>
      </c>
      <c r="F417" s="107" t="s">
        <v>1750</v>
      </c>
      <c r="G417" s="108">
        <v>3059397.61</v>
      </c>
      <c r="H417" s="87" t="e">
        <f t="shared" si="38"/>
        <v>#VALUE!</v>
      </c>
      <c r="I417" s="37" t="e">
        <f t="shared" si="41"/>
        <v>#VALUE!</v>
      </c>
      <c r="J417" s="37" t="e">
        <f t="shared" si="39"/>
        <v>#VALUE!</v>
      </c>
      <c r="K417" t="s">
        <v>1730</v>
      </c>
      <c r="M417" s="35" t="s">
        <v>1750</v>
      </c>
      <c r="N417" t="b">
        <f t="shared" si="40"/>
        <v>1</v>
      </c>
    </row>
    <row r="418" spans="1:14" hidden="1" x14ac:dyDescent="0.35">
      <c r="A418" s="2" t="s">
        <v>1085</v>
      </c>
      <c r="B418" s="2" t="s">
        <v>790</v>
      </c>
      <c r="C418" s="18" t="s">
        <v>538</v>
      </c>
      <c r="D418" s="2" t="s">
        <v>507</v>
      </c>
      <c r="E418" s="18" t="s">
        <v>1702</v>
      </c>
      <c r="F418" s="107" t="s">
        <v>1752</v>
      </c>
      <c r="G418" s="108">
        <v>2953911</v>
      </c>
      <c r="H418" s="87" t="e">
        <f t="shared" si="38"/>
        <v>#VALUE!</v>
      </c>
      <c r="I418" s="37" t="e">
        <f t="shared" si="41"/>
        <v>#VALUE!</v>
      </c>
      <c r="J418" s="37" t="e">
        <f t="shared" si="39"/>
        <v>#VALUE!</v>
      </c>
      <c r="K418" t="s">
        <v>1730</v>
      </c>
      <c r="M418" s="35" t="s">
        <v>1752</v>
      </c>
      <c r="N418" t="b">
        <f t="shared" si="40"/>
        <v>1</v>
      </c>
    </row>
    <row r="419" spans="1:14" x14ac:dyDescent="0.35">
      <c r="A419" s="2" t="s">
        <v>1085</v>
      </c>
      <c r="B419" s="2" t="s">
        <v>790</v>
      </c>
      <c r="C419" s="18" t="s">
        <v>1086</v>
      </c>
      <c r="D419" s="2" t="s">
        <v>507</v>
      </c>
      <c r="E419" s="18" t="s">
        <v>1703</v>
      </c>
      <c r="F419" s="107" t="s">
        <v>1753</v>
      </c>
      <c r="G419" s="108">
        <v>1978545.95</v>
      </c>
      <c r="H419" s="87" t="e">
        <f t="shared" si="38"/>
        <v>#VALUE!</v>
      </c>
      <c r="I419" s="37" t="e">
        <f t="shared" si="41"/>
        <v>#VALUE!</v>
      </c>
      <c r="J419" s="37" t="e">
        <f t="shared" si="39"/>
        <v>#VALUE!</v>
      </c>
      <c r="K419" t="s">
        <v>1730</v>
      </c>
      <c r="M419" s="35" t="s">
        <v>1753</v>
      </c>
      <c r="N419" t="b">
        <f t="shared" si="40"/>
        <v>1</v>
      </c>
    </row>
    <row r="420" spans="1:14" x14ac:dyDescent="0.35">
      <c r="A420" s="2" t="s">
        <v>1085</v>
      </c>
      <c r="B420" s="2" t="s">
        <v>790</v>
      </c>
      <c r="C420" s="18" t="s">
        <v>1086</v>
      </c>
      <c r="D420" s="2" t="s">
        <v>507</v>
      </c>
      <c r="E420" s="18" t="s">
        <v>1704</v>
      </c>
      <c r="F420" s="107" t="s">
        <v>1753</v>
      </c>
      <c r="G420" s="108">
        <v>212245.2</v>
      </c>
      <c r="H420" s="87" t="e">
        <f t="shared" si="38"/>
        <v>#VALUE!</v>
      </c>
      <c r="I420" s="37" t="e">
        <f t="shared" si="41"/>
        <v>#VALUE!</v>
      </c>
      <c r="J420" s="37" t="e">
        <f t="shared" si="39"/>
        <v>#VALUE!</v>
      </c>
      <c r="K420" t="s">
        <v>1730</v>
      </c>
      <c r="M420" s="35" t="s">
        <v>1753</v>
      </c>
      <c r="N420" t="b">
        <f t="shared" si="40"/>
        <v>1</v>
      </c>
    </row>
    <row r="421" spans="1:14" x14ac:dyDescent="0.35">
      <c r="A421" s="2" t="s">
        <v>1085</v>
      </c>
      <c r="B421" s="2" t="s">
        <v>790</v>
      </c>
      <c r="C421" s="18" t="s">
        <v>1086</v>
      </c>
      <c r="D421" s="2" t="s">
        <v>507</v>
      </c>
      <c r="E421" s="18" t="s">
        <v>1705</v>
      </c>
      <c r="F421" s="107" t="s">
        <v>1753</v>
      </c>
      <c r="G421" s="108">
        <v>530613</v>
      </c>
      <c r="H421" s="87" t="e">
        <f t="shared" si="38"/>
        <v>#VALUE!</v>
      </c>
      <c r="I421" s="37" t="e">
        <f t="shared" si="41"/>
        <v>#VALUE!</v>
      </c>
      <c r="J421" s="37" t="e">
        <f t="shared" si="39"/>
        <v>#VALUE!</v>
      </c>
      <c r="K421" t="s">
        <v>1730</v>
      </c>
      <c r="M421" s="35" t="s">
        <v>1753</v>
      </c>
      <c r="N421" t="b">
        <f t="shared" si="40"/>
        <v>1</v>
      </c>
    </row>
    <row r="422" spans="1:14" x14ac:dyDescent="0.35">
      <c r="A422" s="2" t="s">
        <v>1085</v>
      </c>
      <c r="B422" s="2" t="s">
        <v>790</v>
      </c>
      <c r="C422" s="18" t="s">
        <v>1086</v>
      </c>
      <c r="D422" s="2" t="s">
        <v>507</v>
      </c>
      <c r="E422" s="18" t="s">
        <v>1706</v>
      </c>
      <c r="F422" s="107" t="s">
        <v>1753</v>
      </c>
      <c r="G422" s="108">
        <v>2283845.96</v>
      </c>
      <c r="H422" s="87" t="e">
        <f t="shared" si="38"/>
        <v>#VALUE!</v>
      </c>
      <c r="I422" s="37" t="e">
        <f t="shared" si="41"/>
        <v>#VALUE!</v>
      </c>
      <c r="J422" s="37" t="e">
        <f t="shared" si="39"/>
        <v>#VALUE!</v>
      </c>
      <c r="K422" t="s">
        <v>1730</v>
      </c>
      <c r="M422" s="35" t="s">
        <v>1753</v>
      </c>
      <c r="N422" t="b">
        <f t="shared" si="40"/>
        <v>1</v>
      </c>
    </row>
    <row r="423" spans="1:14" hidden="1" x14ac:dyDescent="0.35">
      <c r="A423" s="2" t="s">
        <v>1085</v>
      </c>
      <c r="B423" s="2" t="s">
        <v>790</v>
      </c>
      <c r="C423" s="18" t="s">
        <v>526</v>
      </c>
      <c r="D423" s="2" t="s">
        <v>507</v>
      </c>
      <c r="E423" s="18" t="s">
        <v>1707</v>
      </c>
      <c r="F423" s="107" t="s">
        <v>1756</v>
      </c>
      <c r="G423" s="108">
        <v>5395392</v>
      </c>
      <c r="H423" s="87" t="e">
        <f t="shared" si="38"/>
        <v>#VALUE!</v>
      </c>
      <c r="I423" s="37" t="e">
        <f t="shared" si="41"/>
        <v>#VALUE!</v>
      </c>
      <c r="J423" s="37" t="e">
        <f t="shared" si="39"/>
        <v>#VALUE!</v>
      </c>
      <c r="K423" t="s">
        <v>1730</v>
      </c>
      <c r="M423" s="35" t="s">
        <v>1756</v>
      </c>
      <c r="N423" t="b">
        <f t="shared" si="40"/>
        <v>1</v>
      </c>
    </row>
    <row r="424" spans="1:14" hidden="1" x14ac:dyDescent="0.35">
      <c r="A424" s="2" t="s">
        <v>1085</v>
      </c>
      <c r="B424" s="2" t="s">
        <v>790</v>
      </c>
      <c r="C424" s="18" t="s">
        <v>650</v>
      </c>
      <c r="D424" s="2" t="s">
        <v>507</v>
      </c>
      <c r="E424" s="18" t="s">
        <v>1708</v>
      </c>
      <c r="F424" s="107" t="s">
        <v>1757</v>
      </c>
      <c r="G424" s="108">
        <v>2852239.77</v>
      </c>
      <c r="H424" s="87" t="e">
        <f t="shared" si="38"/>
        <v>#VALUE!</v>
      </c>
      <c r="I424" s="37" t="e">
        <f t="shared" si="41"/>
        <v>#VALUE!</v>
      </c>
      <c r="J424" s="37" t="e">
        <f t="shared" si="39"/>
        <v>#VALUE!</v>
      </c>
      <c r="K424" t="s">
        <v>1730</v>
      </c>
      <c r="M424" s="35" t="s">
        <v>1757</v>
      </c>
      <c r="N424" t="b">
        <f t="shared" si="40"/>
        <v>1</v>
      </c>
    </row>
    <row r="425" spans="1:14" hidden="1" x14ac:dyDescent="0.35">
      <c r="A425" s="2" t="s">
        <v>1085</v>
      </c>
      <c r="B425" s="2" t="s">
        <v>790</v>
      </c>
      <c r="C425" s="18" t="s">
        <v>1249</v>
      </c>
      <c r="D425" s="2" t="s">
        <v>507</v>
      </c>
      <c r="E425" s="18" t="s">
        <v>1709</v>
      </c>
      <c r="F425" s="107" t="s">
        <v>1758</v>
      </c>
      <c r="G425" s="108">
        <v>3292776</v>
      </c>
      <c r="H425" s="87" t="e">
        <f t="shared" si="38"/>
        <v>#VALUE!</v>
      </c>
      <c r="I425" s="37" t="e">
        <f t="shared" si="41"/>
        <v>#VALUE!</v>
      </c>
      <c r="J425" s="37" t="e">
        <f t="shared" si="39"/>
        <v>#VALUE!</v>
      </c>
      <c r="K425" t="s">
        <v>1730</v>
      </c>
      <c r="M425" s="35" t="s">
        <v>1758</v>
      </c>
      <c r="N425" t="b">
        <f t="shared" si="40"/>
        <v>1</v>
      </c>
    </row>
    <row r="426" spans="1:14" hidden="1" x14ac:dyDescent="0.35">
      <c r="A426" s="2" t="s">
        <v>1085</v>
      </c>
      <c r="B426" s="2" t="s">
        <v>790</v>
      </c>
      <c r="C426" s="18" t="s">
        <v>600</v>
      </c>
      <c r="D426" s="2" t="s">
        <v>507</v>
      </c>
      <c r="E426" s="18" t="s">
        <v>1710</v>
      </c>
      <c r="F426" s="107" t="s">
        <v>1758</v>
      </c>
      <c r="G426" s="108">
        <v>3373578.77</v>
      </c>
      <c r="H426" s="87" t="e">
        <f t="shared" si="38"/>
        <v>#VALUE!</v>
      </c>
      <c r="I426" s="37" t="e">
        <f t="shared" si="41"/>
        <v>#VALUE!</v>
      </c>
      <c r="J426" s="37" t="e">
        <f t="shared" si="39"/>
        <v>#VALUE!</v>
      </c>
      <c r="K426" t="s">
        <v>1730</v>
      </c>
      <c r="M426" s="35" t="s">
        <v>1758</v>
      </c>
      <c r="N426" t="b">
        <f t="shared" si="40"/>
        <v>1</v>
      </c>
    </row>
    <row r="427" spans="1:14" hidden="1" x14ac:dyDescent="0.35">
      <c r="A427" s="2" t="s">
        <v>1085</v>
      </c>
      <c r="B427" s="2" t="s">
        <v>790</v>
      </c>
      <c r="C427" s="18" t="s">
        <v>522</v>
      </c>
      <c r="D427" s="2" t="s">
        <v>507</v>
      </c>
      <c r="E427" s="18" t="s">
        <v>1711</v>
      </c>
      <c r="F427" s="107" t="s">
        <v>1759</v>
      </c>
      <c r="G427" s="108">
        <v>1891932.64</v>
      </c>
      <c r="H427" s="87" t="e">
        <f t="shared" si="38"/>
        <v>#VALUE!</v>
      </c>
      <c r="I427" s="37" t="e">
        <f t="shared" si="41"/>
        <v>#VALUE!</v>
      </c>
      <c r="J427" s="37" t="e">
        <f t="shared" si="39"/>
        <v>#VALUE!</v>
      </c>
      <c r="K427" t="s">
        <v>1730</v>
      </c>
      <c r="M427" s="35" t="s">
        <v>1759</v>
      </c>
      <c r="N427" t="b">
        <f t="shared" si="40"/>
        <v>1</v>
      </c>
    </row>
    <row r="428" spans="1:14" s="124" customFormat="1" hidden="1" x14ac:dyDescent="0.35">
      <c r="A428" s="119" t="s">
        <v>1085</v>
      </c>
      <c r="B428" s="119" t="s">
        <v>790</v>
      </c>
      <c r="C428" s="120" t="s">
        <v>524</v>
      </c>
      <c r="D428" s="119" t="s">
        <v>507</v>
      </c>
      <c r="E428" s="120" t="s">
        <v>1712</v>
      </c>
      <c r="F428" s="127" t="s">
        <v>1733</v>
      </c>
      <c r="G428" s="122">
        <f>3318537.6</f>
        <v>3318537.6</v>
      </c>
      <c r="H428" s="126">
        <f t="shared" si="38"/>
        <v>87</v>
      </c>
      <c r="I428" s="123" t="str">
        <f t="shared" si="41"/>
        <v>0-120 DAYS</v>
      </c>
      <c r="J428" s="123" t="str">
        <f t="shared" si="39"/>
        <v>0-180 DAYS</v>
      </c>
      <c r="K428" s="124" t="s">
        <v>1730</v>
      </c>
      <c r="M428" s="128" t="s">
        <v>1733</v>
      </c>
      <c r="N428" s="124" t="b">
        <f t="shared" si="40"/>
        <v>1</v>
      </c>
    </row>
    <row r="429" spans="1:14" hidden="1" x14ac:dyDescent="0.35">
      <c r="A429" s="2" t="s">
        <v>1085</v>
      </c>
      <c r="B429" s="2" t="s">
        <v>790</v>
      </c>
      <c r="C429" s="18" t="s">
        <v>581</v>
      </c>
      <c r="D429" s="2" t="s">
        <v>507</v>
      </c>
      <c r="E429" s="18" t="s">
        <v>1713</v>
      </c>
      <c r="F429" s="107" t="s">
        <v>1737</v>
      </c>
      <c r="G429" s="108">
        <f>3837730.7-2480000</f>
        <v>1357730.7000000002</v>
      </c>
      <c r="H429" s="87">
        <f t="shared" si="38"/>
        <v>-66</v>
      </c>
      <c r="I429" s="37" t="str">
        <f t="shared" si="41"/>
        <v>0-120 DAYS</v>
      </c>
      <c r="J429" s="37" t="str">
        <f t="shared" si="39"/>
        <v>0-180 DAYS</v>
      </c>
      <c r="K429" t="s">
        <v>1730</v>
      </c>
      <c r="M429" s="35" t="s">
        <v>1737</v>
      </c>
      <c r="N429" t="b">
        <f t="shared" si="40"/>
        <v>1</v>
      </c>
    </row>
    <row r="430" spans="1:14" hidden="1" x14ac:dyDescent="0.35">
      <c r="A430" s="2" t="s">
        <v>1085</v>
      </c>
      <c r="B430" s="2" t="s">
        <v>790</v>
      </c>
      <c r="C430" s="18" t="s">
        <v>1054</v>
      </c>
      <c r="D430" s="2" t="s">
        <v>507</v>
      </c>
      <c r="E430" s="18" t="s">
        <v>1714</v>
      </c>
      <c r="F430" s="107" t="s">
        <v>1738</v>
      </c>
      <c r="G430" s="108">
        <v>3044966.3999999999</v>
      </c>
      <c r="H430" s="87">
        <f t="shared" si="38"/>
        <v>-96</v>
      </c>
      <c r="I430" s="37" t="str">
        <f t="shared" si="41"/>
        <v>0-120 DAYS</v>
      </c>
      <c r="J430" s="37" t="str">
        <f t="shared" si="39"/>
        <v>0-180 DAYS</v>
      </c>
      <c r="K430" t="s">
        <v>1730</v>
      </c>
      <c r="M430" s="35" t="s">
        <v>1738</v>
      </c>
      <c r="N430" t="b">
        <f t="shared" si="40"/>
        <v>1</v>
      </c>
    </row>
    <row r="431" spans="1:14" x14ac:dyDescent="0.35">
      <c r="A431" s="2" t="s">
        <v>1085</v>
      </c>
      <c r="B431" s="2" t="s">
        <v>790</v>
      </c>
      <c r="C431" s="18" t="s">
        <v>1086</v>
      </c>
      <c r="D431" s="2" t="s">
        <v>507</v>
      </c>
      <c r="E431" s="18" t="s">
        <v>1715</v>
      </c>
      <c r="F431" s="107" t="s">
        <v>1742</v>
      </c>
      <c r="G431" s="108">
        <v>3082632</v>
      </c>
      <c r="H431" s="87" t="e">
        <f t="shared" si="38"/>
        <v>#VALUE!</v>
      </c>
      <c r="I431" s="37" t="e">
        <f t="shared" si="41"/>
        <v>#VALUE!</v>
      </c>
      <c r="J431" s="37" t="e">
        <f t="shared" si="39"/>
        <v>#VALUE!</v>
      </c>
      <c r="K431" t="s">
        <v>1730</v>
      </c>
      <c r="M431" s="35" t="s">
        <v>1742</v>
      </c>
      <c r="N431" t="b">
        <f t="shared" si="40"/>
        <v>1</v>
      </c>
    </row>
    <row r="432" spans="1:14" hidden="1" x14ac:dyDescent="0.35">
      <c r="A432" s="2" t="s">
        <v>1085</v>
      </c>
      <c r="B432" s="2" t="s">
        <v>790</v>
      </c>
      <c r="C432" s="18" t="s">
        <v>588</v>
      </c>
      <c r="D432" s="2" t="s">
        <v>507</v>
      </c>
      <c r="E432" s="18" t="s">
        <v>1716</v>
      </c>
      <c r="F432" s="107" t="s">
        <v>1742</v>
      </c>
      <c r="G432" s="108">
        <v>3354014.3</v>
      </c>
      <c r="H432" s="87" t="e">
        <f t="shared" si="38"/>
        <v>#VALUE!</v>
      </c>
      <c r="I432" s="37" t="e">
        <f t="shared" si="41"/>
        <v>#VALUE!</v>
      </c>
      <c r="J432" s="37" t="e">
        <f t="shared" si="39"/>
        <v>#VALUE!</v>
      </c>
      <c r="K432" t="s">
        <v>1730</v>
      </c>
      <c r="M432" s="35" t="s">
        <v>1742</v>
      </c>
      <c r="N432" t="b">
        <f t="shared" si="40"/>
        <v>1</v>
      </c>
    </row>
    <row r="433" spans="1:14" hidden="1" x14ac:dyDescent="0.35">
      <c r="A433" s="2" t="s">
        <v>1085</v>
      </c>
      <c r="B433" s="2" t="s">
        <v>790</v>
      </c>
      <c r="C433" s="18" t="s">
        <v>707</v>
      </c>
      <c r="D433" s="2" t="s">
        <v>507</v>
      </c>
      <c r="E433" s="18" t="s">
        <v>1717</v>
      </c>
      <c r="F433" s="107" t="s">
        <v>1743</v>
      </c>
      <c r="G433" s="108">
        <f>3062808-1200000</f>
        <v>1862808</v>
      </c>
      <c r="H433" s="87" t="e">
        <f t="shared" si="38"/>
        <v>#VALUE!</v>
      </c>
      <c r="I433" s="37" t="e">
        <f t="shared" si="41"/>
        <v>#VALUE!</v>
      </c>
      <c r="J433" s="37" t="e">
        <f t="shared" si="39"/>
        <v>#VALUE!</v>
      </c>
      <c r="K433" t="s">
        <v>1730</v>
      </c>
      <c r="M433" s="35" t="s">
        <v>1743</v>
      </c>
      <c r="N433" t="b">
        <f t="shared" si="40"/>
        <v>1</v>
      </c>
    </row>
    <row r="434" spans="1:14" hidden="1" x14ac:dyDescent="0.35">
      <c r="A434" s="2" t="s">
        <v>1085</v>
      </c>
      <c r="B434" s="2" t="s">
        <v>790</v>
      </c>
      <c r="C434" s="18" t="s">
        <v>584</v>
      </c>
      <c r="D434" s="2" t="s">
        <v>507</v>
      </c>
      <c r="E434" s="18" t="s">
        <v>1718</v>
      </c>
      <c r="F434" s="107" t="s">
        <v>1744</v>
      </c>
      <c r="G434" s="108">
        <v>3586646.39</v>
      </c>
      <c r="H434" s="87" t="e">
        <f t="shared" si="38"/>
        <v>#VALUE!</v>
      </c>
      <c r="I434" s="37" t="e">
        <f t="shared" si="41"/>
        <v>#VALUE!</v>
      </c>
      <c r="J434" s="37" t="e">
        <f t="shared" si="39"/>
        <v>#VALUE!</v>
      </c>
      <c r="K434" t="s">
        <v>1730</v>
      </c>
      <c r="M434" s="35" t="s">
        <v>1744</v>
      </c>
      <c r="N434" t="b">
        <f t="shared" si="40"/>
        <v>1</v>
      </c>
    </row>
    <row r="435" spans="1:14" hidden="1" x14ac:dyDescent="0.35">
      <c r="A435" s="2" t="s">
        <v>1085</v>
      </c>
      <c r="B435" s="2" t="s">
        <v>790</v>
      </c>
      <c r="C435" s="18" t="s">
        <v>588</v>
      </c>
      <c r="D435" s="2" t="s">
        <v>507</v>
      </c>
      <c r="E435" s="18" t="s">
        <v>1719</v>
      </c>
      <c r="F435" s="107" t="s">
        <v>1745</v>
      </c>
      <c r="G435" s="108">
        <v>3636476.03</v>
      </c>
      <c r="H435" s="87" t="e">
        <f t="shared" si="38"/>
        <v>#VALUE!</v>
      </c>
      <c r="I435" s="37" t="e">
        <f t="shared" si="41"/>
        <v>#VALUE!</v>
      </c>
      <c r="J435" s="37" t="e">
        <f t="shared" si="39"/>
        <v>#VALUE!</v>
      </c>
      <c r="K435" t="s">
        <v>1730</v>
      </c>
      <c r="M435" s="35" t="s">
        <v>1745</v>
      </c>
      <c r="N435" t="b">
        <f t="shared" si="40"/>
        <v>1</v>
      </c>
    </row>
    <row r="436" spans="1:14" hidden="1" x14ac:dyDescent="0.35">
      <c r="A436" s="2" t="s">
        <v>1085</v>
      </c>
      <c r="B436" s="2" t="s">
        <v>790</v>
      </c>
      <c r="C436" s="18" t="s">
        <v>540</v>
      </c>
      <c r="D436" s="2" t="s">
        <v>507</v>
      </c>
      <c r="E436" s="18" t="s">
        <v>1720</v>
      </c>
      <c r="F436" s="107" t="s">
        <v>1748</v>
      </c>
      <c r="G436" s="108">
        <f>3104823.15-1300000</f>
        <v>1804823.15</v>
      </c>
      <c r="H436" s="87" t="e">
        <f t="shared" si="38"/>
        <v>#VALUE!</v>
      </c>
      <c r="I436" s="37" t="e">
        <f t="shared" si="41"/>
        <v>#VALUE!</v>
      </c>
      <c r="J436" s="37" t="e">
        <f t="shared" si="39"/>
        <v>#VALUE!</v>
      </c>
      <c r="K436" t="s">
        <v>1730</v>
      </c>
      <c r="M436" s="35" t="s">
        <v>1748</v>
      </c>
      <c r="N436" t="b">
        <f t="shared" si="40"/>
        <v>1</v>
      </c>
    </row>
    <row r="437" spans="1:14" hidden="1" x14ac:dyDescent="0.35">
      <c r="A437" s="2" t="s">
        <v>1085</v>
      </c>
      <c r="B437" s="2" t="s">
        <v>790</v>
      </c>
      <c r="C437" s="18" t="s">
        <v>1054</v>
      </c>
      <c r="D437" s="2" t="s">
        <v>507</v>
      </c>
      <c r="E437" s="18" t="s">
        <v>1721</v>
      </c>
      <c r="F437" s="107" t="s">
        <v>1750</v>
      </c>
      <c r="G437" s="108">
        <v>3046809.6000000001</v>
      </c>
      <c r="H437" s="87" t="e">
        <f t="shared" si="38"/>
        <v>#VALUE!</v>
      </c>
      <c r="I437" s="37" t="e">
        <f t="shared" si="41"/>
        <v>#VALUE!</v>
      </c>
      <c r="J437" s="37" t="e">
        <f t="shared" si="39"/>
        <v>#VALUE!</v>
      </c>
      <c r="K437" t="s">
        <v>1730</v>
      </c>
      <c r="M437" s="35" t="s">
        <v>1750</v>
      </c>
      <c r="N437" t="b">
        <f t="shared" si="40"/>
        <v>1</v>
      </c>
    </row>
    <row r="438" spans="1:14" s="124" customFormat="1" hidden="1" x14ac:dyDescent="0.35">
      <c r="A438" s="119" t="s">
        <v>1085</v>
      </c>
      <c r="B438" s="119" t="s">
        <v>790</v>
      </c>
      <c r="C438" s="120" t="s">
        <v>678</v>
      </c>
      <c r="D438" s="119" t="s">
        <v>507</v>
      </c>
      <c r="E438" s="120" t="s">
        <v>1722</v>
      </c>
      <c r="F438" s="127" t="s">
        <v>1752</v>
      </c>
      <c r="G438" s="122">
        <f>3821283.76</f>
        <v>3821283.76</v>
      </c>
      <c r="H438" s="126" t="e">
        <f t="shared" si="38"/>
        <v>#VALUE!</v>
      </c>
      <c r="I438" s="123" t="e">
        <f t="shared" si="41"/>
        <v>#VALUE!</v>
      </c>
      <c r="J438" s="123" t="e">
        <f t="shared" si="39"/>
        <v>#VALUE!</v>
      </c>
      <c r="K438" s="124" t="s">
        <v>1730</v>
      </c>
      <c r="M438" s="128" t="s">
        <v>1752</v>
      </c>
      <c r="N438" s="124" t="b">
        <f t="shared" si="40"/>
        <v>1</v>
      </c>
    </row>
    <row r="439" spans="1:14" hidden="1" x14ac:dyDescent="0.35">
      <c r="A439" s="2" t="s">
        <v>1085</v>
      </c>
      <c r="B439" s="2" t="s">
        <v>790</v>
      </c>
      <c r="C439" s="18" t="s">
        <v>667</v>
      </c>
      <c r="D439" s="2" t="s">
        <v>507</v>
      </c>
      <c r="E439" s="18" t="s">
        <v>1723</v>
      </c>
      <c r="F439" s="107" t="s">
        <v>1754</v>
      </c>
      <c r="G439" s="108">
        <f>2998897.4-976000</f>
        <v>2022897.4</v>
      </c>
      <c r="H439" s="87" t="e">
        <f t="shared" si="38"/>
        <v>#VALUE!</v>
      </c>
      <c r="I439" s="37" t="e">
        <f t="shared" si="41"/>
        <v>#VALUE!</v>
      </c>
      <c r="J439" s="37" t="e">
        <f t="shared" si="39"/>
        <v>#VALUE!</v>
      </c>
      <c r="K439" t="s">
        <v>1730</v>
      </c>
      <c r="M439" s="35" t="s">
        <v>1754</v>
      </c>
      <c r="N439" t="b">
        <f t="shared" si="40"/>
        <v>1</v>
      </c>
    </row>
    <row r="440" spans="1:14" hidden="1" x14ac:dyDescent="0.35">
      <c r="A440" s="88" t="s">
        <v>1727</v>
      </c>
      <c r="B440" s="88" t="s">
        <v>788</v>
      </c>
      <c r="C440" s="18" t="s">
        <v>1728</v>
      </c>
      <c r="D440" s="2" t="s">
        <v>507</v>
      </c>
      <c r="E440" s="56" t="s">
        <v>2006</v>
      </c>
      <c r="F440" s="105">
        <v>45444</v>
      </c>
      <c r="G440" s="97">
        <v>33691755.010000013</v>
      </c>
      <c r="H440" s="87">
        <f t="shared" ref="H440:H503" si="42">$H$2-F440+1</f>
        <v>30</v>
      </c>
      <c r="I440" s="87" t="str">
        <f>IF(H440&lt;91,"1-90 DAYS",IF(H440&lt;121,"91-120DAYS",IF(H440&lt;181,"121-180 DAYS","More than 180 Days")))</f>
        <v>1-90 DAYS</v>
      </c>
      <c r="J440" s="87" t="str">
        <f>IF(H440&lt;180,"0-180 DAYS","More than 180 Days")</f>
        <v>0-180 DAYS</v>
      </c>
      <c r="K440" t="s">
        <v>1730</v>
      </c>
      <c r="M440" s="35" t="s">
        <v>1760</v>
      </c>
      <c r="N440" t="b">
        <f>M440=F440</f>
        <v>0</v>
      </c>
    </row>
    <row r="441" spans="1:14" hidden="1" x14ac:dyDescent="0.35">
      <c r="A441" s="88" t="s">
        <v>1727</v>
      </c>
      <c r="B441" s="88" t="s">
        <v>788</v>
      </c>
      <c r="C441" s="18" t="s">
        <v>1729</v>
      </c>
      <c r="D441" s="2" t="s">
        <v>507</v>
      </c>
      <c r="E441" s="56" t="s">
        <v>2006</v>
      </c>
      <c r="F441" s="105">
        <v>45444</v>
      </c>
      <c r="G441" s="114">
        <f>415.291371475552*10^5</f>
        <v>41529137.147555202</v>
      </c>
      <c r="H441" s="87">
        <f t="shared" si="42"/>
        <v>30</v>
      </c>
      <c r="I441" s="87" t="str">
        <f>IF(H441&lt;91,"1-90 DAYS",IF(H441&lt;121,"91-120DAYS",IF(H441&lt;181,"121-180 DAYS","More than 180 Days")))</f>
        <v>1-90 DAYS</v>
      </c>
      <c r="J441" s="87" t="str">
        <f>IF(H441&lt;180,"0-180 DAYS","More than 180 Days")</f>
        <v>0-180 DAYS</v>
      </c>
      <c r="K441" t="s">
        <v>1730</v>
      </c>
      <c r="M441" s="35" t="s">
        <v>1760</v>
      </c>
      <c r="N441" t="b">
        <f>M441=F441</f>
        <v>0</v>
      </c>
    </row>
    <row r="442" spans="1:14" hidden="1" x14ac:dyDescent="0.35">
      <c r="A442" s="2" t="s">
        <v>1085</v>
      </c>
      <c r="B442" s="2" t="s">
        <v>790</v>
      </c>
      <c r="C442" s="18" t="s">
        <v>573</v>
      </c>
      <c r="D442" s="2" t="s">
        <v>507</v>
      </c>
      <c r="E442" s="18" t="s">
        <v>1765</v>
      </c>
      <c r="F442" s="19">
        <v>45444</v>
      </c>
      <c r="G442" s="108">
        <v>32280.2</v>
      </c>
      <c r="H442" s="87">
        <f t="shared" si="42"/>
        <v>30</v>
      </c>
      <c r="I442" s="37" t="str">
        <f>IF(H442&lt;121,"0-120 DAYS",IF(H442&lt;181,"121-180 DAYS","More than 180 Days"))</f>
        <v>0-120 DAYS</v>
      </c>
      <c r="J442" s="87" t="str">
        <f>IF(H442&lt;180,"0-180 DAYS","More than 180 Days")</f>
        <v>0-180 DAYS</v>
      </c>
    </row>
    <row r="443" spans="1:14" hidden="1" x14ac:dyDescent="0.35">
      <c r="A443" s="2" t="s">
        <v>1085</v>
      </c>
      <c r="B443" s="2" t="s">
        <v>790</v>
      </c>
      <c r="C443" s="18" t="s">
        <v>548</v>
      </c>
      <c r="D443" s="2" t="s">
        <v>507</v>
      </c>
      <c r="E443" s="18" t="s">
        <v>1766</v>
      </c>
      <c r="F443" s="19">
        <v>45446</v>
      </c>
      <c r="G443" s="108">
        <v>3187273.28</v>
      </c>
      <c r="H443" s="87">
        <f t="shared" si="42"/>
        <v>28</v>
      </c>
      <c r="I443" s="37" t="str">
        <f t="shared" ref="I443:I506" si="43">IF(H443&lt;121,"0-120 DAYS",IF(H443&lt;181,"121-180 DAYS","More than 180 Days"))</f>
        <v>0-120 DAYS</v>
      </c>
      <c r="J443" s="87" t="str">
        <f t="shared" ref="J443:J506" si="44">IF(H443&lt;180,"0-180 DAYS","More than 180 Days")</f>
        <v>0-180 DAYS</v>
      </c>
    </row>
    <row r="444" spans="1:14" hidden="1" x14ac:dyDescent="0.35">
      <c r="A444" s="2" t="s">
        <v>1085</v>
      </c>
      <c r="B444" s="2" t="s">
        <v>790</v>
      </c>
      <c r="C444" s="18" t="s">
        <v>543</v>
      </c>
      <c r="D444" s="2" t="s">
        <v>507</v>
      </c>
      <c r="E444" s="18" t="s">
        <v>1767</v>
      </c>
      <c r="F444" s="19">
        <v>45447</v>
      </c>
      <c r="G444" s="108">
        <v>3363893.48</v>
      </c>
      <c r="H444" s="87">
        <f t="shared" si="42"/>
        <v>27</v>
      </c>
      <c r="I444" s="37" t="str">
        <f t="shared" si="43"/>
        <v>0-120 DAYS</v>
      </c>
      <c r="J444" s="87" t="str">
        <f t="shared" si="44"/>
        <v>0-180 DAYS</v>
      </c>
    </row>
    <row r="445" spans="1:14" hidden="1" x14ac:dyDescent="0.35">
      <c r="A445" s="2" t="s">
        <v>1085</v>
      </c>
      <c r="B445" s="2" t="s">
        <v>790</v>
      </c>
      <c r="C445" s="18" t="s">
        <v>606</v>
      </c>
      <c r="D445" s="2" t="s">
        <v>507</v>
      </c>
      <c r="E445" s="18" t="s">
        <v>1768</v>
      </c>
      <c r="F445" s="19">
        <v>45450</v>
      </c>
      <c r="G445" s="108">
        <v>3210166.4</v>
      </c>
      <c r="H445" s="87">
        <f t="shared" si="42"/>
        <v>24</v>
      </c>
      <c r="I445" s="37" t="str">
        <f t="shared" si="43"/>
        <v>0-120 DAYS</v>
      </c>
      <c r="J445" s="87" t="str">
        <f t="shared" si="44"/>
        <v>0-180 DAYS</v>
      </c>
    </row>
    <row r="446" spans="1:14" hidden="1" x14ac:dyDescent="0.35">
      <c r="A446" s="2" t="s">
        <v>1085</v>
      </c>
      <c r="B446" s="2" t="s">
        <v>790</v>
      </c>
      <c r="C446" s="18" t="s">
        <v>814</v>
      </c>
      <c r="D446" s="2" t="s">
        <v>507</v>
      </c>
      <c r="E446" s="18" t="s">
        <v>1769</v>
      </c>
      <c r="F446" s="19">
        <v>45450</v>
      </c>
      <c r="G446" s="108">
        <v>22677</v>
      </c>
      <c r="H446" s="87">
        <f t="shared" si="42"/>
        <v>24</v>
      </c>
      <c r="I446" s="37" t="str">
        <f t="shared" si="43"/>
        <v>0-120 DAYS</v>
      </c>
      <c r="J446" s="87" t="str">
        <f t="shared" si="44"/>
        <v>0-180 DAYS</v>
      </c>
    </row>
    <row r="447" spans="1:14" hidden="1" x14ac:dyDescent="0.35">
      <c r="A447" s="2" t="s">
        <v>1085</v>
      </c>
      <c r="B447" s="2" t="s">
        <v>790</v>
      </c>
      <c r="C447" s="18" t="s">
        <v>1243</v>
      </c>
      <c r="D447" s="2" t="s">
        <v>507</v>
      </c>
      <c r="E447" s="18" t="s">
        <v>1770</v>
      </c>
      <c r="F447" s="19">
        <v>45451</v>
      </c>
      <c r="G447" s="108">
        <v>3324650.61</v>
      </c>
      <c r="H447" s="87">
        <f t="shared" si="42"/>
        <v>23</v>
      </c>
      <c r="I447" s="37" t="str">
        <f t="shared" si="43"/>
        <v>0-120 DAYS</v>
      </c>
      <c r="J447" s="87" t="str">
        <f t="shared" si="44"/>
        <v>0-180 DAYS</v>
      </c>
    </row>
    <row r="448" spans="1:14" hidden="1" x14ac:dyDescent="0.35">
      <c r="A448" s="2" t="s">
        <v>1085</v>
      </c>
      <c r="B448" s="2" t="s">
        <v>790</v>
      </c>
      <c r="C448" s="18" t="s">
        <v>1243</v>
      </c>
      <c r="D448" s="2" t="s">
        <v>507</v>
      </c>
      <c r="E448" s="18" t="s">
        <v>1771</v>
      </c>
      <c r="F448" s="19">
        <v>45451</v>
      </c>
      <c r="G448" s="108">
        <v>178153.5</v>
      </c>
      <c r="H448" s="87">
        <f t="shared" si="42"/>
        <v>23</v>
      </c>
      <c r="I448" s="37" t="str">
        <f t="shared" si="43"/>
        <v>0-120 DAYS</v>
      </c>
      <c r="J448" s="87" t="str">
        <f t="shared" si="44"/>
        <v>0-180 DAYS</v>
      </c>
    </row>
    <row r="449" spans="1:10" hidden="1" x14ac:dyDescent="0.35">
      <c r="A449" s="2" t="s">
        <v>1085</v>
      </c>
      <c r="B449" s="2" t="s">
        <v>790</v>
      </c>
      <c r="C449" s="18" t="s">
        <v>606</v>
      </c>
      <c r="D449" s="2" t="s">
        <v>507</v>
      </c>
      <c r="E449" s="18" t="s">
        <v>1772</v>
      </c>
      <c r="F449" s="19">
        <v>45451</v>
      </c>
      <c r="G449" s="108">
        <v>3081872.08</v>
      </c>
      <c r="H449" s="87">
        <f t="shared" si="42"/>
        <v>23</v>
      </c>
      <c r="I449" s="37" t="str">
        <f t="shared" si="43"/>
        <v>0-120 DAYS</v>
      </c>
      <c r="J449" s="87" t="str">
        <f t="shared" si="44"/>
        <v>0-180 DAYS</v>
      </c>
    </row>
    <row r="450" spans="1:10" hidden="1" x14ac:dyDescent="0.35">
      <c r="A450" s="2" t="s">
        <v>1085</v>
      </c>
      <c r="B450" s="2" t="s">
        <v>790</v>
      </c>
      <c r="C450" s="18" t="s">
        <v>606</v>
      </c>
      <c r="D450" s="2" t="s">
        <v>507</v>
      </c>
      <c r="E450" s="18" t="s">
        <v>1773</v>
      </c>
      <c r="F450" s="19">
        <v>45456</v>
      </c>
      <c r="G450" s="108">
        <v>2889628.84</v>
      </c>
      <c r="H450" s="87">
        <f t="shared" si="42"/>
        <v>18</v>
      </c>
      <c r="I450" s="37" t="str">
        <f t="shared" si="43"/>
        <v>0-120 DAYS</v>
      </c>
      <c r="J450" s="87" t="str">
        <f t="shared" si="44"/>
        <v>0-180 DAYS</v>
      </c>
    </row>
    <row r="451" spans="1:10" hidden="1" x14ac:dyDescent="0.35">
      <c r="A451" s="2" t="s">
        <v>1085</v>
      </c>
      <c r="B451" s="2" t="s">
        <v>790</v>
      </c>
      <c r="C451" s="18" t="s">
        <v>1052</v>
      </c>
      <c r="D451" s="2" t="s">
        <v>507</v>
      </c>
      <c r="E451" s="18" t="s">
        <v>1774</v>
      </c>
      <c r="F451" s="19">
        <v>45457</v>
      </c>
      <c r="G451" s="108">
        <v>3090967.99</v>
      </c>
      <c r="H451" s="87">
        <f t="shared" si="42"/>
        <v>17</v>
      </c>
      <c r="I451" s="37" t="str">
        <f t="shared" si="43"/>
        <v>0-120 DAYS</v>
      </c>
      <c r="J451" s="87" t="str">
        <f t="shared" si="44"/>
        <v>0-180 DAYS</v>
      </c>
    </row>
    <row r="452" spans="1:10" hidden="1" x14ac:dyDescent="0.35">
      <c r="A452" s="2" t="s">
        <v>1085</v>
      </c>
      <c r="B452" s="2" t="s">
        <v>790</v>
      </c>
      <c r="C452" s="18" t="s">
        <v>1052</v>
      </c>
      <c r="D452" s="2" t="s">
        <v>507</v>
      </c>
      <c r="E452" s="18" t="s">
        <v>1775</v>
      </c>
      <c r="F452" s="19">
        <v>45457</v>
      </c>
      <c r="G452" s="108">
        <v>3110844.86</v>
      </c>
      <c r="H452" s="87">
        <f t="shared" si="42"/>
        <v>17</v>
      </c>
      <c r="I452" s="37" t="str">
        <f t="shared" si="43"/>
        <v>0-120 DAYS</v>
      </c>
      <c r="J452" s="87" t="str">
        <f t="shared" si="44"/>
        <v>0-180 DAYS</v>
      </c>
    </row>
    <row r="453" spans="1:10" hidden="1" x14ac:dyDescent="0.35">
      <c r="A453" s="2" t="s">
        <v>1085</v>
      </c>
      <c r="B453" s="2" t="s">
        <v>790</v>
      </c>
      <c r="C453" s="18" t="s">
        <v>606</v>
      </c>
      <c r="D453" s="2" t="s">
        <v>507</v>
      </c>
      <c r="E453" s="18" t="s">
        <v>1776</v>
      </c>
      <c r="F453" s="19">
        <v>45457</v>
      </c>
      <c r="G453" s="108">
        <v>2922421.04</v>
      </c>
      <c r="H453" s="87">
        <f t="shared" si="42"/>
        <v>17</v>
      </c>
      <c r="I453" s="37" t="str">
        <f t="shared" si="43"/>
        <v>0-120 DAYS</v>
      </c>
      <c r="J453" s="87" t="str">
        <f t="shared" si="44"/>
        <v>0-180 DAYS</v>
      </c>
    </row>
    <row r="454" spans="1:10" hidden="1" x14ac:dyDescent="0.35">
      <c r="A454" s="2" t="s">
        <v>1085</v>
      </c>
      <c r="B454" s="2" t="s">
        <v>790</v>
      </c>
      <c r="C454" s="18" t="s">
        <v>814</v>
      </c>
      <c r="D454" s="2" t="s">
        <v>507</v>
      </c>
      <c r="E454" s="18" t="s">
        <v>1777</v>
      </c>
      <c r="F454" s="19">
        <v>45457</v>
      </c>
      <c r="G454" s="108">
        <v>8916.42</v>
      </c>
      <c r="H454" s="87">
        <f t="shared" si="42"/>
        <v>17</v>
      </c>
      <c r="I454" s="37" t="str">
        <f t="shared" si="43"/>
        <v>0-120 DAYS</v>
      </c>
      <c r="J454" s="87" t="str">
        <f t="shared" si="44"/>
        <v>0-180 DAYS</v>
      </c>
    </row>
    <row r="455" spans="1:10" hidden="1" x14ac:dyDescent="0.35">
      <c r="A455" s="2" t="s">
        <v>1085</v>
      </c>
      <c r="B455" s="2" t="s">
        <v>790</v>
      </c>
      <c r="C455" s="18" t="s">
        <v>524</v>
      </c>
      <c r="D455" s="2" t="s">
        <v>507</v>
      </c>
      <c r="E455" s="18" t="s">
        <v>1778</v>
      </c>
      <c r="F455" s="19">
        <v>45457</v>
      </c>
      <c r="G455" s="108">
        <v>2991475.3</v>
      </c>
      <c r="H455" s="87">
        <f t="shared" si="42"/>
        <v>17</v>
      </c>
      <c r="I455" s="37" t="str">
        <f t="shared" si="43"/>
        <v>0-120 DAYS</v>
      </c>
      <c r="J455" s="87" t="str">
        <f t="shared" si="44"/>
        <v>0-180 DAYS</v>
      </c>
    </row>
    <row r="456" spans="1:10" hidden="1" x14ac:dyDescent="0.35">
      <c r="A456" s="2" t="s">
        <v>1085</v>
      </c>
      <c r="B456" s="2" t="s">
        <v>790</v>
      </c>
      <c r="C456" s="18" t="s">
        <v>1052</v>
      </c>
      <c r="D456" s="2" t="s">
        <v>507</v>
      </c>
      <c r="E456" s="18" t="s">
        <v>1779</v>
      </c>
      <c r="F456" s="19">
        <v>45458</v>
      </c>
      <c r="G456" s="108">
        <v>2911121.36</v>
      </c>
      <c r="H456" s="87">
        <f t="shared" si="42"/>
        <v>16</v>
      </c>
      <c r="I456" s="37" t="str">
        <f t="shared" si="43"/>
        <v>0-120 DAYS</v>
      </c>
      <c r="J456" s="87" t="str">
        <f t="shared" si="44"/>
        <v>0-180 DAYS</v>
      </c>
    </row>
    <row r="457" spans="1:10" hidden="1" x14ac:dyDescent="0.35">
      <c r="A457" s="2" t="s">
        <v>1085</v>
      </c>
      <c r="B457" s="2" t="s">
        <v>790</v>
      </c>
      <c r="C457" s="18" t="s">
        <v>814</v>
      </c>
      <c r="D457" s="2" t="s">
        <v>507</v>
      </c>
      <c r="E457" s="18" t="s">
        <v>1780</v>
      </c>
      <c r="F457" s="19">
        <v>45458</v>
      </c>
      <c r="G457" s="108">
        <v>206543</v>
      </c>
      <c r="H457" s="87">
        <f t="shared" si="42"/>
        <v>16</v>
      </c>
      <c r="I457" s="37" t="str">
        <f t="shared" si="43"/>
        <v>0-120 DAYS</v>
      </c>
      <c r="J457" s="87" t="str">
        <f t="shared" si="44"/>
        <v>0-180 DAYS</v>
      </c>
    </row>
    <row r="458" spans="1:10" hidden="1" x14ac:dyDescent="0.35">
      <c r="A458" s="2" t="s">
        <v>1085</v>
      </c>
      <c r="B458" s="2" t="s">
        <v>790</v>
      </c>
      <c r="C458" s="18" t="s">
        <v>814</v>
      </c>
      <c r="D458" s="2" t="s">
        <v>507</v>
      </c>
      <c r="E458" s="18" t="s">
        <v>1781</v>
      </c>
      <c r="F458" s="19">
        <v>45458</v>
      </c>
      <c r="G458" s="108">
        <v>5075.58</v>
      </c>
      <c r="H458" s="87">
        <f t="shared" si="42"/>
        <v>16</v>
      </c>
      <c r="I458" s="37" t="str">
        <f t="shared" si="43"/>
        <v>0-120 DAYS</v>
      </c>
      <c r="J458" s="87" t="str">
        <f t="shared" si="44"/>
        <v>0-180 DAYS</v>
      </c>
    </row>
    <row r="459" spans="1:10" hidden="1" x14ac:dyDescent="0.35">
      <c r="A459" s="2" t="s">
        <v>1085</v>
      </c>
      <c r="B459" s="2" t="s">
        <v>790</v>
      </c>
      <c r="C459" s="18" t="s">
        <v>1052</v>
      </c>
      <c r="D459" s="2" t="s">
        <v>507</v>
      </c>
      <c r="E459" s="18" t="s">
        <v>1782</v>
      </c>
      <c r="F459" s="19">
        <v>45459</v>
      </c>
      <c r="G459" s="108">
        <v>2873581.31</v>
      </c>
      <c r="H459" s="87">
        <f t="shared" si="42"/>
        <v>15</v>
      </c>
      <c r="I459" s="37" t="str">
        <f t="shared" si="43"/>
        <v>0-120 DAYS</v>
      </c>
      <c r="J459" s="87" t="str">
        <f t="shared" si="44"/>
        <v>0-180 DAYS</v>
      </c>
    </row>
    <row r="460" spans="1:10" hidden="1" x14ac:dyDescent="0.35">
      <c r="A460" s="2" t="s">
        <v>1085</v>
      </c>
      <c r="B460" s="2" t="s">
        <v>790</v>
      </c>
      <c r="C460" s="18" t="s">
        <v>814</v>
      </c>
      <c r="D460" s="2" t="s">
        <v>507</v>
      </c>
      <c r="E460" s="18" t="s">
        <v>1783</v>
      </c>
      <c r="F460" s="19">
        <v>45460</v>
      </c>
      <c r="G460" s="108">
        <v>21454</v>
      </c>
      <c r="H460" s="87">
        <f t="shared" si="42"/>
        <v>14</v>
      </c>
      <c r="I460" s="37" t="str">
        <f t="shared" si="43"/>
        <v>0-120 DAYS</v>
      </c>
      <c r="J460" s="87" t="str">
        <f t="shared" si="44"/>
        <v>0-180 DAYS</v>
      </c>
    </row>
    <row r="461" spans="1:10" hidden="1" x14ac:dyDescent="0.35">
      <c r="A461" s="2" t="s">
        <v>1085</v>
      </c>
      <c r="B461" s="2" t="s">
        <v>790</v>
      </c>
      <c r="C461" s="18" t="s">
        <v>814</v>
      </c>
      <c r="D461" s="2" t="s">
        <v>507</v>
      </c>
      <c r="E461" s="18" t="s">
        <v>1784</v>
      </c>
      <c r="F461" s="19">
        <v>45460</v>
      </c>
      <c r="G461" s="108">
        <v>172402</v>
      </c>
      <c r="H461" s="87">
        <f t="shared" si="42"/>
        <v>14</v>
      </c>
      <c r="I461" s="37" t="str">
        <f t="shared" si="43"/>
        <v>0-120 DAYS</v>
      </c>
      <c r="J461" s="87" t="str">
        <f t="shared" si="44"/>
        <v>0-180 DAYS</v>
      </c>
    </row>
    <row r="462" spans="1:10" hidden="1" x14ac:dyDescent="0.35">
      <c r="A462" s="2" t="s">
        <v>1085</v>
      </c>
      <c r="B462" s="2" t="s">
        <v>790</v>
      </c>
      <c r="C462" s="18" t="s">
        <v>543</v>
      </c>
      <c r="D462" s="2" t="s">
        <v>507</v>
      </c>
      <c r="E462" s="18" t="s">
        <v>1785</v>
      </c>
      <c r="F462" s="19">
        <v>45460</v>
      </c>
      <c r="G462" s="108">
        <v>2988049.44</v>
      </c>
      <c r="H462" s="87">
        <f t="shared" si="42"/>
        <v>14</v>
      </c>
      <c r="I462" s="37" t="str">
        <f t="shared" si="43"/>
        <v>0-120 DAYS</v>
      </c>
      <c r="J462" s="87" t="str">
        <f t="shared" si="44"/>
        <v>0-180 DAYS</v>
      </c>
    </row>
    <row r="463" spans="1:10" hidden="1" x14ac:dyDescent="0.35">
      <c r="A463" s="2" t="s">
        <v>1085</v>
      </c>
      <c r="B463" s="2" t="s">
        <v>790</v>
      </c>
      <c r="C463" s="18" t="s">
        <v>631</v>
      </c>
      <c r="D463" s="2" t="s">
        <v>507</v>
      </c>
      <c r="E463" s="18" t="s">
        <v>1786</v>
      </c>
      <c r="F463" s="19">
        <v>45461</v>
      </c>
      <c r="G463" s="108">
        <v>3009283.2</v>
      </c>
      <c r="H463" s="87">
        <f t="shared" si="42"/>
        <v>13</v>
      </c>
      <c r="I463" s="37" t="str">
        <f t="shared" si="43"/>
        <v>0-120 DAYS</v>
      </c>
      <c r="J463" s="87" t="str">
        <f t="shared" si="44"/>
        <v>0-180 DAYS</v>
      </c>
    </row>
    <row r="464" spans="1:10" hidden="1" x14ac:dyDescent="0.35">
      <c r="A464" s="2" t="s">
        <v>1085</v>
      </c>
      <c r="B464" s="2" t="s">
        <v>790</v>
      </c>
      <c r="C464" s="18" t="s">
        <v>631</v>
      </c>
      <c r="D464" s="2" t="s">
        <v>507</v>
      </c>
      <c r="E464" s="18" t="s">
        <v>1787</v>
      </c>
      <c r="F464" s="19">
        <v>45461</v>
      </c>
      <c r="G464" s="108">
        <v>3009283.2</v>
      </c>
      <c r="H464" s="87">
        <f t="shared" si="42"/>
        <v>13</v>
      </c>
      <c r="I464" s="37" t="str">
        <f t="shared" si="43"/>
        <v>0-120 DAYS</v>
      </c>
      <c r="J464" s="87" t="str">
        <f t="shared" si="44"/>
        <v>0-180 DAYS</v>
      </c>
    </row>
    <row r="465" spans="1:11" hidden="1" x14ac:dyDescent="0.35">
      <c r="A465" s="2" t="s">
        <v>1085</v>
      </c>
      <c r="B465" s="2" t="s">
        <v>790</v>
      </c>
      <c r="C465" s="18" t="s">
        <v>631</v>
      </c>
      <c r="D465" s="2" t="s">
        <v>507</v>
      </c>
      <c r="E465" s="18" t="s">
        <v>1788</v>
      </c>
      <c r="F465" s="19">
        <v>45461</v>
      </c>
      <c r="G465" s="108">
        <v>3009283.2</v>
      </c>
      <c r="H465" s="87">
        <f t="shared" si="42"/>
        <v>13</v>
      </c>
      <c r="I465" s="37" t="str">
        <f t="shared" si="43"/>
        <v>0-120 DAYS</v>
      </c>
      <c r="J465" s="87" t="str">
        <f t="shared" si="44"/>
        <v>0-180 DAYS</v>
      </c>
    </row>
    <row r="466" spans="1:11" hidden="1" x14ac:dyDescent="0.35">
      <c r="A466" s="2" t="s">
        <v>1085</v>
      </c>
      <c r="B466" s="2" t="s">
        <v>790</v>
      </c>
      <c r="C466" s="18" t="s">
        <v>584</v>
      </c>
      <c r="D466" s="2" t="s">
        <v>507</v>
      </c>
      <c r="E466" s="18" t="s">
        <v>1789</v>
      </c>
      <c r="F466" s="19">
        <v>45462</v>
      </c>
      <c r="G466" s="108">
        <v>3550041.53</v>
      </c>
      <c r="H466" s="87">
        <f t="shared" si="42"/>
        <v>12</v>
      </c>
      <c r="I466" s="37" t="str">
        <f t="shared" si="43"/>
        <v>0-120 DAYS</v>
      </c>
      <c r="J466" s="87" t="str">
        <f t="shared" si="44"/>
        <v>0-180 DAYS</v>
      </c>
    </row>
    <row r="467" spans="1:11" hidden="1" x14ac:dyDescent="0.35">
      <c r="A467" s="2" t="s">
        <v>1085</v>
      </c>
      <c r="B467" s="2" t="s">
        <v>790</v>
      </c>
      <c r="C467" s="18" t="s">
        <v>1763</v>
      </c>
      <c r="D467" s="2" t="s">
        <v>507</v>
      </c>
      <c r="E467" s="18" t="s">
        <v>1790</v>
      </c>
      <c r="F467" s="19">
        <v>45462</v>
      </c>
      <c r="G467" s="108">
        <v>2797513.32</v>
      </c>
      <c r="H467" s="87">
        <f t="shared" si="42"/>
        <v>12</v>
      </c>
      <c r="I467" s="37" t="str">
        <f t="shared" si="43"/>
        <v>0-120 DAYS</v>
      </c>
      <c r="J467" s="87" t="str">
        <f t="shared" si="44"/>
        <v>0-180 DAYS</v>
      </c>
    </row>
    <row r="468" spans="1:11" hidden="1" x14ac:dyDescent="0.35">
      <c r="A468" s="2" t="s">
        <v>1085</v>
      </c>
      <c r="B468" s="2" t="s">
        <v>790</v>
      </c>
      <c r="C468" s="18" t="s">
        <v>814</v>
      </c>
      <c r="D468" s="2" t="s">
        <v>507</v>
      </c>
      <c r="E468" s="18" t="s">
        <v>1791</v>
      </c>
      <c r="F468" s="19">
        <v>45463</v>
      </c>
      <c r="G468" s="108">
        <v>152847</v>
      </c>
      <c r="H468" s="87">
        <f t="shared" si="42"/>
        <v>11</v>
      </c>
      <c r="I468" s="37" t="str">
        <f t="shared" si="43"/>
        <v>0-120 DAYS</v>
      </c>
      <c r="J468" s="87" t="str">
        <f t="shared" si="44"/>
        <v>0-180 DAYS</v>
      </c>
    </row>
    <row r="469" spans="1:11" hidden="1" x14ac:dyDescent="0.35">
      <c r="A469" s="2" t="s">
        <v>1085</v>
      </c>
      <c r="B469" s="2" t="s">
        <v>790</v>
      </c>
      <c r="C469" s="18" t="s">
        <v>1052</v>
      </c>
      <c r="D469" s="2" t="s">
        <v>507</v>
      </c>
      <c r="E469" s="18" t="s">
        <v>1792</v>
      </c>
      <c r="F469" s="19">
        <v>45465</v>
      </c>
      <c r="G469" s="108">
        <v>3116956.43</v>
      </c>
      <c r="H469" s="87">
        <f t="shared" si="42"/>
        <v>9</v>
      </c>
      <c r="I469" s="37" t="str">
        <f t="shared" si="43"/>
        <v>0-120 DAYS</v>
      </c>
      <c r="J469" s="87" t="str">
        <f t="shared" si="44"/>
        <v>0-180 DAYS</v>
      </c>
    </row>
    <row r="470" spans="1:11" hidden="1" x14ac:dyDescent="0.35">
      <c r="A470" s="2" t="s">
        <v>1085</v>
      </c>
      <c r="B470" s="2" t="s">
        <v>790</v>
      </c>
      <c r="C470" s="18" t="s">
        <v>814</v>
      </c>
      <c r="D470" s="2" t="s">
        <v>507</v>
      </c>
      <c r="E470" s="18" t="s">
        <v>1793</v>
      </c>
      <c r="F470" s="19">
        <v>45465</v>
      </c>
      <c r="G470" s="108">
        <v>85749</v>
      </c>
      <c r="H470" s="87">
        <f t="shared" si="42"/>
        <v>9</v>
      </c>
      <c r="I470" s="37" t="str">
        <f t="shared" si="43"/>
        <v>0-120 DAYS</v>
      </c>
      <c r="J470" s="87" t="str">
        <f t="shared" si="44"/>
        <v>0-180 DAYS</v>
      </c>
    </row>
    <row r="471" spans="1:11" hidden="1" x14ac:dyDescent="0.35">
      <c r="A471" s="2" t="s">
        <v>1085</v>
      </c>
      <c r="B471" s="2" t="s">
        <v>790</v>
      </c>
      <c r="C471" s="18" t="s">
        <v>573</v>
      </c>
      <c r="D471" s="2" t="s">
        <v>507</v>
      </c>
      <c r="E471" s="18" t="s">
        <v>1794</v>
      </c>
      <c r="F471" s="19">
        <v>45465</v>
      </c>
      <c r="G471" s="108">
        <v>3465210.44</v>
      </c>
      <c r="H471" s="87">
        <f t="shared" si="42"/>
        <v>9</v>
      </c>
      <c r="I471" s="37" t="str">
        <f t="shared" si="43"/>
        <v>0-120 DAYS</v>
      </c>
      <c r="J471" s="87" t="str">
        <f t="shared" si="44"/>
        <v>0-180 DAYS</v>
      </c>
    </row>
    <row r="472" spans="1:11" x14ac:dyDescent="0.35">
      <c r="A472" s="2" t="s">
        <v>1085</v>
      </c>
      <c r="B472" s="2" t="s">
        <v>790</v>
      </c>
      <c r="C472" s="18" t="s">
        <v>1086</v>
      </c>
      <c r="D472" s="2" t="s">
        <v>507</v>
      </c>
      <c r="E472" s="18" t="s">
        <v>1795</v>
      </c>
      <c r="F472" s="19">
        <v>45465</v>
      </c>
      <c r="G472" s="108">
        <v>4073311.78</v>
      </c>
      <c r="H472" s="87">
        <f t="shared" si="42"/>
        <v>9</v>
      </c>
      <c r="I472" s="37" t="str">
        <f t="shared" si="43"/>
        <v>0-120 DAYS</v>
      </c>
      <c r="J472" s="87" t="str">
        <f t="shared" si="44"/>
        <v>0-180 DAYS</v>
      </c>
      <c r="K472" t="s">
        <v>573</v>
      </c>
    </row>
    <row r="473" spans="1:11" hidden="1" x14ac:dyDescent="0.35">
      <c r="A473" s="2" t="s">
        <v>1085</v>
      </c>
      <c r="B473" s="2" t="s">
        <v>790</v>
      </c>
      <c r="C473" s="18" t="s">
        <v>1052</v>
      </c>
      <c r="D473" s="2" t="s">
        <v>507</v>
      </c>
      <c r="E473" s="18" t="s">
        <v>1796</v>
      </c>
      <c r="F473" s="19">
        <v>45466</v>
      </c>
      <c r="G473" s="108">
        <v>2857193.47</v>
      </c>
      <c r="H473" s="87">
        <f t="shared" si="42"/>
        <v>8</v>
      </c>
      <c r="I473" s="37" t="str">
        <f t="shared" si="43"/>
        <v>0-120 DAYS</v>
      </c>
      <c r="J473" s="87" t="str">
        <f t="shared" si="44"/>
        <v>0-180 DAYS</v>
      </c>
    </row>
    <row r="474" spans="1:11" hidden="1" x14ac:dyDescent="0.35">
      <c r="A474" s="2" t="s">
        <v>1085</v>
      </c>
      <c r="B474" s="2" t="s">
        <v>790</v>
      </c>
      <c r="C474" s="18" t="s">
        <v>606</v>
      </c>
      <c r="D474" s="2" t="s">
        <v>507</v>
      </c>
      <c r="E474" s="18" t="s">
        <v>1797</v>
      </c>
      <c r="F474" s="19">
        <v>45467</v>
      </c>
      <c r="G474" s="108">
        <v>2848213.2</v>
      </c>
      <c r="H474" s="87">
        <f t="shared" si="42"/>
        <v>7</v>
      </c>
      <c r="I474" s="37" t="str">
        <f t="shared" si="43"/>
        <v>0-120 DAYS</v>
      </c>
      <c r="J474" s="87" t="str">
        <f t="shared" si="44"/>
        <v>0-180 DAYS</v>
      </c>
    </row>
    <row r="475" spans="1:11" hidden="1" x14ac:dyDescent="0.35">
      <c r="A475" s="2" t="s">
        <v>1085</v>
      </c>
      <c r="B475" s="2" t="s">
        <v>790</v>
      </c>
      <c r="C475" s="18" t="s">
        <v>573</v>
      </c>
      <c r="D475" s="2" t="s">
        <v>507</v>
      </c>
      <c r="E475" s="18" t="s">
        <v>1798</v>
      </c>
      <c r="F475" s="19">
        <v>45470</v>
      </c>
      <c r="G475" s="108">
        <v>3370080</v>
      </c>
      <c r="H475" s="87">
        <f t="shared" si="42"/>
        <v>4</v>
      </c>
      <c r="I475" s="37" t="str">
        <f t="shared" si="43"/>
        <v>0-120 DAYS</v>
      </c>
      <c r="J475" s="87" t="str">
        <f t="shared" si="44"/>
        <v>0-180 DAYS</v>
      </c>
    </row>
    <row r="476" spans="1:11" hidden="1" x14ac:dyDescent="0.35">
      <c r="A476" s="2" t="s">
        <v>1085</v>
      </c>
      <c r="B476" s="2" t="s">
        <v>790</v>
      </c>
      <c r="C476" s="18" t="s">
        <v>530</v>
      </c>
      <c r="D476" s="2" t="s">
        <v>507</v>
      </c>
      <c r="E476" s="18" t="s">
        <v>1799</v>
      </c>
      <c r="F476" s="19">
        <v>45471</v>
      </c>
      <c r="G476" s="108">
        <v>4085809</v>
      </c>
      <c r="H476" s="87">
        <f t="shared" si="42"/>
        <v>3</v>
      </c>
      <c r="I476" s="37" t="str">
        <f t="shared" si="43"/>
        <v>0-120 DAYS</v>
      </c>
      <c r="J476" s="87" t="str">
        <f t="shared" si="44"/>
        <v>0-180 DAYS</v>
      </c>
      <c r="K476" t="s">
        <v>530</v>
      </c>
    </row>
    <row r="477" spans="1:11" hidden="1" x14ac:dyDescent="0.35">
      <c r="A477" s="2" t="s">
        <v>1085</v>
      </c>
      <c r="B477" s="2" t="s">
        <v>790</v>
      </c>
      <c r="C477" s="18" t="s">
        <v>573</v>
      </c>
      <c r="D477" s="2" t="s">
        <v>507</v>
      </c>
      <c r="E477" s="18" t="s">
        <v>1800</v>
      </c>
      <c r="F477" s="19">
        <v>45471</v>
      </c>
      <c r="G477" s="108">
        <v>3549255.92</v>
      </c>
      <c r="H477" s="87">
        <f t="shared" si="42"/>
        <v>3</v>
      </c>
      <c r="I477" s="37" t="str">
        <f t="shared" si="43"/>
        <v>0-120 DAYS</v>
      </c>
      <c r="J477" s="87" t="str">
        <f t="shared" si="44"/>
        <v>0-180 DAYS</v>
      </c>
    </row>
    <row r="478" spans="1:11" hidden="1" x14ac:dyDescent="0.35">
      <c r="A478" s="2" t="s">
        <v>1085</v>
      </c>
      <c r="B478" s="2" t="s">
        <v>790</v>
      </c>
      <c r="C478" s="18" t="s">
        <v>573</v>
      </c>
      <c r="D478" s="2" t="s">
        <v>507</v>
      </c>
      <c r="E478" s="18" t="s">
        <v>1801</v>
      </c>
      <c r="F478" s="19">
        <v>45471</v>
      </c>
      <c r="G478" s="108">
        <v>3437408.91</v>
      </c>
      <c r="H478" s="87">
        <f t="shared" si="42"/>
        <v>3</v>
      </c>
      <c r="I478" s="37" t="str">
        <f t="shared" si="43"/>
        <v>0-120 DAYS</v>
      </c>
      <c r="J478" s="87" t="str">
        <f t="shared" si="44"/>
        <v>0-180 DAYS</v>
      </c>
    </row>
    <row r="479" spans="1:11" hidden="1" x14ac:dyDescent="0.35">
      <c r="A479" s="2" t="s">
        <v>1085</v>
      </c>
      <c r="B479" s="2" t="s">
        <v>790</v>
      </c>
      <c r="C479" s="18" t="s">
        <v>573</v>
      </c>
      <c r="D479" s="2" t="s">
        <v>507</v>
      </c>
      <c r="E479" s="18" t="s">
        <v>1802</v>
      </c>
      <c r="F479" s="19">
        <v>45472</v>
      </c>
      <c r="G479" s="108">
        <v>3529419.53</v>
      </c>
      <c r="H479" s="87">
        <f t="shared" si="42"/>
        <v>2</v>
      </c>
      <c r="I479" s="37" t="str">
        <f t="shared" si="43"/>
        <v>0-120 DAYS</v>
      </c>
      <c r="J479" s="87" t="str">
        <f t="shared" si="44"/>
        <v>0-180 DAYS</v>
      </c>
    </row>
    <row r="480" spans="1:11" hidden="1" x14ac:dyDescent="0.35">
      <c r="A480" s="2" t="s">
        <v>1085</v>
      </c>
      <c r="B480" s="2" t="s">
        <v>790</v>
      </c>
      <c r="C480" s="18" t="s">
        <v>564</v>
      </c>
      <c r="D480" s="2" t="s">
        <v>507</v>
      </c>
      <c r="E480" s="18" t="s">
        <v>1803</v>
      </c>
      <c r="F480" s="19">
        <v>45444</v>
      </c>
      <c r="G480" s="108">
        <v>3148886.1</v>
      </c>
      <c r="H480" s="87">
        <f t="shared" si="42"/>
        <v>30</v>
      </c>
      <c r="I480" s="37" t="str">
        <f t="shared" si="43"/>
        <v>0-120 DAYS</v>
      </c>
      <c r="J480" s="87" t="str">
        <f t="shared" si="44"/>
        <v>0-180 DAYS</v>
      </c>
    </row>
    <row r="481" spans="1:11" hidden="1" x14ac:dyDescent="0.35">
      <c r="A481" s="2" t="s">
        <v>1085</v>
      </c>
      <c r="B481" s="2" t="s">
        <v>790</v>
      </c>
      <c r="C481" s="18" t="s">
        <v>1054</v>
      </c>
      <c r="D481" s="2" t="s">
        <v>507</v>
      </c>
      <c r="E481" s="18" t="s">
        <v>1804</v>
      </c>
      <c r="F481" s="19">
        <v>45445</v>
      </c>
      <c r="G481" s="108">
        <v>1638486.66</v>
      </c>
      <c r="H481" s="87">
        <f t="shared" si="42"/>
        <v>29</v>
      </c>
      <c r="I481" s="37" t="str">
        <f t="shared" si="43"/>
        <v>0-120 DAYS</v>
      </c>
      <c r="J481" s="87" t="str">
        <f t="shared" si="44"/>
        <v>0-180 DAYS</v>
      </c>
    </row>
    <row r="482" spans="1:11" hidden="1" x14ac:dyDescent="0.35">
      <c r="A482" s="2" t="s">
        <v>1085</v>
      </c>
      <c r="B482" s="2" t="s">
        <v>790</v>
      </c>
      <c r="C482" s="18" t="s">
        <v>1054</v>
      </c>
      <c r="D482" s="2" t="s">
        <v>507</v>
      </c>
      <c r="E482" s="18" t="s">
        <v>1805</v>
      </c>
      <c r="F482" s="19">
        <v>45445</v>
      </c>
      <c r="G482" s="108">
        <v>1332185.76</v>
      </c>
      <c r="H482" s="87">
        <f t="shared" si="42"/>
        <v>29</v>
      </c>
      <c r="I482" s="37" t="str">
        <f t="shared" si="43"/>
        <v>0-120 DAYS</v>
      </c>
      <c r="J482" s="87" t="str">
        <f t="shared" si="44"/>
        <v>0-180 DAYS</v>
      </c>
    </row>
    <row r="483" spans="1:11" hidden="1" x14ac:dyDescent="0.35">
      <c r="A483" s="2" t="s">
        <v>1085</v>
      </c>
      <c r="B483" s="2" t="s">
        <v>790</v>
      </c>
      <c r="C483" s="18" t="s">
        <v>715</v>
      </c>
      <c r="D483" s="2" t="s">
        <v>507</v>
      </c>
      <c r="E483" s="18" t="s">
        <v>1806</v>
      </c>
      <c r="F483" s="19">
        <v>45445</v>
      </c>
      <c r="G483" s="108">
        <v>3352284</v>
      </c>
      <c r="H483" s="87">
        <f t="shared" si="42"/>
        <v>29</v>
      </c>
      <c r="I483" s="37" t="str">
        <f t="shared" si="43"/>
        <v>0-120 DAYS</v>
      </c>
      <c r="J483" s="87" t="str">
        <f t="shared" si="44"/>
        <v>0-180 DAYS</v>
      </c>
    </row>
    <row r="484" spans="1:11" hidden="1" x14ac:dyDescent="0.35">
      <c r="A484" s="2" t="s">
        <v>1085</v>
      </c>
      <c r="B484" s="2" t="s">
        <v>790</v>
      </c>
      <c r="C484" s="18" t="s">
        <v>650</v>
      </c>
      <c r="D484" s="2" t="s">
        <v>507</v>
      </c>
      <c r="E484" s="18" t="s">
        <v>1807</v>
      </c>
      <c r="F484" s="19">
        <v>45446</v>
      </c>
      <c r="G484" s="108">
        <v>3101110.83</v>
      </c>
      <c r="H484" s="87">
        <f t="shared" si="42"/>
        <v>28</v>
      </c>
      <c r="I484" s="37" t="str">
        <f t="shared" si="43"/>
        <v>0-120 DAYS</v>
      </c>
      <c r="J484" s="87" t="str">
        <f t="shared" si="44"/>
        <v>0-180 DAYS</v>
      </c>
    </row>
    <row r="485" spans="1:11" hidden="1" x14ac:dyDescent="0.35">
      <c r="A485" s="2" t="s">
        <v>1085</v>
      </c>
      <c r="B485" s="2" t="s">
        <v>790</v>
      </c>
      <c r="C485" s="18" t="s">
        <v>600</v>
      </c>
      <c r="D485" s="2" t="s">
        <v>507</v>
      </c>
      <c r="E485" s="18" t="s">
        <v>1808</v>
      </c>
      <c r="F485" s="19">
        <v>45447</v>
      </c>
      <c r="G485" s="108">
        <v>74432.11</v>
      </c>
      <c r="H485" s="87">
        <f t="shared" si="42"/>
        <v>27</v>
      </c>
      <c r="I485" s="37" t="str">
        <f t="shared" si="43"/>
        <v>0-120 DAYS</v>
      </c>
      <c r="J485" s="87" t="str">
        <f t="shared" si="44"/>
        <v>0-180 DAYS</v>
      </c>
    </row>
    <row r="486" spans="1:11" hidden="1" x14ac:dyDescent="0.35">
      <c r="A486" s="2" t="s">
        <v>1085</v>
      </c>
      <c r="B486" s="2" t="s">
        <v>790</v>
      </c>
      <c r="C486" s="18" t="s">
        <v>1764</v>
      </c>
      <c r="D486" s="2" t="s">
        <v>507</v>
      </c>
      <c r="E486" s="18" t="s">
        <v>1809</v>
      </c>
      <c r="F486" s="19">
        <v>45449</v>
      </c>
      <c r="G486" s="108">
        <f>3245763.84+752</f>
        <v>3246515.84</v>
      </c>
      <c r="H486" s="87">
        <f t="shared" si="42"/>
        <v>25</v>
      </c>
      <c r="I486" s="37" t="str">
        <f t="shared" si="43"/>
        <v>0-120 DAYS</v>
      </c>
      <c r="J486" s="87" t="str">
        <f t="shared" si="44"/>
        <v>0-180 DAYS</v>
      </c>
    </row>
    <row r="487" spans="1:11" hidden="1" x14ac:dyDescent="0.35">
      <c r="A487" s="2" t="s">
        <v>1085</v>
      </c>
      <c r="B487" s="2" t="s">
        <v>790</v>
      </c>
      <c r="C487" s="18" t="s">
        <v>570</v>
      </c>
      <c r="D487" s="2" t="s">
        <v>507</v>
      </c>
      <c r="E487" s="18" t="s">
        <v>1810</v>
      </c>
      <c r="F487" s="19">
        <v>45451</v>
      </c>
      <c r="G487" s="108">
        <v>1757595.84</v>
      </c>
      <c r="H487" s="87">
        <f t="shared" si="42"/>
        <v>23</v>
      </c>
      <c r="I487" s="37" t="str">
        <f t="shared" si="43"/>
        <v>0-120 DAYS</v>
      </c>
      <c r="J487" s="87" t="str">
        <f t="shared" si="44"/>
        <v>0-180 DAYS</v>
      </c>
    </row>
    <row r="488" spans="1:11" hidden="1" x14ac:dyDescent="0.35">
      <c r="A488" s="2" t="s">
        <v>1085</v>
      </c>
      <c r="B488" s="2" t="s">
        <v>790</v>
      </c>
      <c r="C488" s="18" t="s">
        <v>526</v>
      </c>
      <c r="D488" s="2" t="s">
        <v>507</v>
      </c>
      <c r="E488" s="18" t="s">
        <v>1811</v>
      </c>
      <c r="F488" s="19">
        <v>45452</v>
      </c>
      <c r="G488" s="108">
        <v>5392128</v>
      </c>
      <c r="H488" s="87">
        <f t="shared" si="42"/>
        <v>22</v>
      </c>
      <c r="I488" s="37" t="str">
        <f t="shared" si="43"/>
        <v>0-120 DAYS</v>
      </c>
      <c r="J488" s="87" t="str">
        <f t="shared" si="44"/>
        <v>0-180 DAYS</v>
      </c>
      <c r="K488" t="s">
        <v>526</v>
      </c>
    </row>
    <row r="489" spans="1:11" hidden="1" x14ac:dyDescent="0.35">
      <c r="A489" s="2" t="s">
        <v>1085</v>
      </c>
      <c r="B489" s="2" t="s">
        <v>790</v>
      </c>
      <c r="C489" s="18" t="s">
        <v>650</v>
      </c>
      <c r="D489" s="2" t="s">
        <v>507</v>
      </c>
      <c r="E489" s="18" t="s">
        <v>1812</v>
      </c>
      <c r="F489" s="19">
        <v>45453</v>
      </c>
      <c r="G489" s="108">
        <v>3321129.89</v>
      </c>
      <c r="H489" s="87">
        <f t="shared" si="42"/>
        <v>21</v>
      </c>
      <c r="I489" s="37" t="str">
        <f t="shared" si="43"/>
        <v>0-120 DAYS</v>
      </c>
      <c r="J489" s="87" t="str">
        <f t="shared" si="44"/>
        <v>0-180 DAYS</v>
      </c>
    </row>
    <row r="490" spans="1:11" hidden="1" x14ac:dyDescent="0.35">
      <c r="A490" s="2" t="s">
        <v>1085</v>
      </c>
      <c r="B490" s="2" t="s">
        <v>790</v>
      </c>
      <c r="C490" s="18" t="s">
        <v>650</v>
      </c>
      <c r="D490" s="2" t="s">
        <v>507</v>
      </c>
      <c r="E490" s="18" t="s">
        <v>1813</v>
      </c>
      <c r="F490" s="19">
        <v>45455</v>
      </c>
      <c r="G490" s="108">
        <v>2850643.61</v>
      </c>
      <c r="H490" s="87">
        <f t="shared" si="42"/>
        <v>19</v>
      </c>
      <c r="I490" s="37" t="str">
        <f t="shared" si="43"/>
        <v>0-120 DAYS</v>
      </c>
      <c r="J490" s="87" t="str">
        <f t="shared" si="44"/>
        <v>0-180 DAYS</v>
      </c>
    </row>
    <row r="491" spans="1:11" hidden="1" x14ac:dyDescent="0.35">
      <c r="A491" s="2" t="s">
        <v>1085</v>
      </c>
      <c r="B491" s="2" t="s">
        <v>790</v>
      </c>
      <c r="C491" s="18" t="s">
        <v>650</v>
      </c>
      <c r="D491" s="2" t="s">
        <v>507</v>
      </c>
      <c r="E491" s="18" t="s">
        <v>1814</v>
      </c>
      <c r="F491" s="19">
        <v>45457</v>
      </c>
      <c r="G491" s="108">
        <v>2600130.2400000002</v>
      </c>
      <c r="H491" s="87">
        <f t="shared" si="42"/>
        <v>17</v>
      </c>
      <c r="I491" s="37" t="str">
        <f t="shared" si="43"/>
        <v>0-120 DAYS</v>
      </c>
      <c r="J491" s="87" t="str">
        <f t="shared" si="44"/>
        <v>0-180 DAYS</v>
      </c>
    </row>
    <row r="492" spans="1:11" hidden="1" x14ac:dyDescent="0.35">
      <c r="A492" s="2" t="s">
        <v>1085</v>
      </c>
      <c r="B492" s="2" t="s">
        <v>790</v>
      </c>
      <c r="C492" s="18" t="s">
        <v>650</v>
      </c>
      <c r="D492" s="2" t="s">
        <v>507</v>
      </c>
      <c r="E492" s="18" t="s">
        <v>1815</v>
      </c>
      <c r="F492" s="19">
        <v>45457</v>
      </c>
      <c r="G492" s="108">
        <v>3257128.35</v>
      </c>
      <c r="H492" s="87">
        <f t="shared" si="42"/>
        <v>17</v>
      </c>
      <c r="I492" s="37" t="str">
        <f t="shared" si="43"/>
        <v>0-120 DAYS</v>
      </c>
      <c r="J492" s="87" t="str">
        <f t="shared" si="44"/>
        <v>0-180 DAYS</v>
      </c>
    </row>
    <row r="493" spans="1:11" hidden="1" x14ac:dyDescent="0.35">
      <c r="A493" s="2" t="s">
        <v>1085</v>
      </c>
      <c r="B493" s="2" t="s">
        <v>790</v>
      </c>
      <c r="C493" s="18" t="s">
        <v>1054</v>
      </c>
      <c r="D493" s="2" t="s">
        <v>507</v>
      </c>
      <c r="E493" s="18" t="s">
        <v>1816</v>
      </c>
      <c r="F493" s="19">
        <v>45458</v>
      </c>
      <c r="G493" s="108">
        <v>3123498.35</v>
      </c>
      <c r="H493" s="87">
        <f t="shared" si="42"/>
        <v>16</v>
      </c>
      <c r="I493" s="37" t="str">
        <f t="shared" si="43"/>
        <v>0-120 DAYS</v>
      </c>
      <c r="J493" s="87" t="str">
        <f t="shared" si="44"/>
        <v>0-180 DAYS</v>
      </c>
    </row>
    <row r="494" spans="1:11" hidden="1" x14ac:dyDescent="0.35">
      <c r="A494" s="2" t="s">
        <v>1085</v>
      </c>
      <c r="B494" s="2" t="s">
        <v>790</v>
      </c>
      <c r="C494" s="18" t="s">
        <v>653</v>
      </c>
      <c r="D494" s="2" t="s">
        <v>507</v>
      </c>
      <c r="E494" s="18" t="s">
        <v>1817</v>
      </c>
      <c r="F494" s="19">
        <v>45461</v>
      </c>
      <c r="G494" s="108">
        <v>3045817.61</v>
      </c>
      <c r="H494" s="87">
        <f t="shared" si="42"/>
        <v>13</v>
      </c>
      <c r="I494" s="37" t="str">
        <f t="shared" si="43"/>
        <v>0-120 DAYS</v>
      </c>
      <c r="J494" s="87" t="str">
        <f t="shared" si="44"/>
        <v>0-180 DAYS</v>
      </c>
    </row>
    <row r="495" spans="1:11" hidden="1" x14ac:dyDescent="0.35">
      <c r="A495" s="2" t="s">
        <v>1085</v>
      </c>
      <c r="B495" s="2" t="s">
        <v>790</v>
      </c>
      <c r="C495" s="18" t="s">
        <v>650</v>
      </c>
      <c r="D495" s="2" t="s">
        <v>507</v>
      </c>
      <c r="E495" s="18" t="s">
        <v>1818</v>
      </c>
      <c r="F495" s="19">
        <v>45461</v>
      </c>
      <c r="G495" s="108">
        <v>2850644.2</v>
      </c>
      <c r="H495" s="87">
        <f t="shared" si="42"/>
        <v>13</v>
      </c>
      <c r="I495" s="37" t="str">
        <f t="shared" si="43"/>
        <v>0-120 DAYS</v>
      </c>
      <c r="J495" s="87" t="str">
        <f t="shared" si="44"/>
        <v>0-180 DAYS</v>
      </c>
    </row>
    <row r="496" spans="1:11" hidden="1" x14ac:dyDescent="0.35">
      <c r="A496" s="2" t="s">
        <v>1085</v>
      </c>
      <c r="B496" s="2" t="s">
        <v>790</v>
      </c>
      <c r="C496" s="18" t="s">
        <v>650</v>
      </c>
      <c r="D496" s="2" t="s">
        <v>507</v>
      </c>
      <c r="E496" s="18" t="s">
        <v>1819</v>
      </c>
      <c r="F496" s="19">
        <v>45462</v>
      </c>
      <c r="G496" s="108">
        <v>3272804.82</v>
      </c>
      <c r="H496" s="87">
        <f t="shared" si="42"/>
        <v>12</v>
      </c>
      <c r="I496" s="37" t="str">
        <f t="shared" si="43"/>
        <v>0-120 DAYS</v>
      </c>
      <c r="J496" s="87" t="str">
        <f t="shared" si="44"/>
        <v>0-180 DAYS</v>
      </c>
    </row>
    <row r="497" spans="1:11" hidden="1" x14ac:dyDescent="0.35">
      <c r="A497" s="2" t="s">
        <v>1085</v>
      </c>
      <c r="B497" s="2" t="s">
        <v>790</v>
      </c>
      <c r="C497" s="18" t="s">
        <v>1091</v>
      </c>
      <c r="D497" s="2" t="s">
        <v>507</v>
      </c>
      <c r="E497" s="18" t="s">
        <v>1820</v>
      </c>
      <c r="F497" s="19">
        <v>45465</v>
      </c>
      <c r="G497" s="108">
        <v>3126641.28</v>
      </c>
      <c r="H497" s="87">
        <f t="shared" si="42"/>
        <v>9</v>
      </c>
      <c r="I497" s="37" t="str">
        <f t="shared" si="43"/>
        <v>0-120 DAYS</v>
      </c>
      <c r="J497" s="87" t="str">
        <f t="shared" si="44"/>
        <v>0-180 DAYS</v>
      </c>
    </row>
    <row r="498" spans="1:11" hidden="1" x14ac:dyDescent="0.35">
      <c r="A498" s="2" t="s">
        <v>1085</v>
      </c>
      <c r="B498" s="2" t="s">
        <v>790</v>
      </c>
      <c r="C498" s="18" t="s">
        <v>650</v>
      </c>
      <c r="D498" s="2" t="s">
        <v>507</v>
      </c>
      <c r="E498" s="18" t="s">
        <v>1821</v>
      </c>
      <c r="F498" s="19">
        <v>45468</v>
      </c>
      <c r="G498" s="108">
        <v>3770547.85</v>
      </c>
      <c r="H498" s="87">
        <f t="shared" si="42"/>
        <v>6</v>
      </c>
      <c r="I498" s="37" t="str">
        <f t="shared" si="43"/>
        <v>0-120 DAYS</v>
      </c>
      <c r="J498" s="87" t="str">
        <f t="shared" si="44"/>
        <v>0-180 DAYS</v>
      </c>
      <c r="K498" t="s">
        <v>650</v>
      </c>
    </row>
    <row r="499" spans="1:11" hidden="1" x14ac:dyDescent="0.35">
      <c r="A499" s="2" t="s">
        <v>1085</v>
      </c>
      <c r="B499" s="2" t="s">
        <v>790</v>
      </c>
      <c r="C499" s="18" t="s">
        <v>1332</v>
      </c>
      <c r="D499" s="2" t="s">
        <v>507</v>
      </c>
      <c r="E499" s="18" t="s">
        <v>1822</v>
      </c>
      <c r="F499" s="19">
        <v>45470</v>
      </c>
      <c r="G499" s="108">
        <v>3085684.88</v>
      </c>
      <c r="H499" s="87">
        <f t="shared" si="42"/>
        <v>4</v>
      </c>
      <c r="I499" s="37" t="str">
        <f t="shared" si="43"/>
        <v>0-120 DAYS</v>
      </c>
      <c r="J499" s="87" t="str">
        <f t="shared" si="44"/>
        <v>0-180 DAYS</v>
      </c>
    </row>
    <row r="500" spans="1:11" hidden="1" x14ac:dyDescent="0.35">
      <c r="A500" s="2" t="s">
        <v>1085</v>
      </c>
      <c r="B500" s="2" t="s">
        <v>790</v>
      </c>
      <c r="C500" s="18" t="s">
        <v>667</v>
      </c>
      <c r="D500" s="2" t="s">
        <v>507</v>
      </c>
      <c r="E500" s="18" t="s">
        <v>1823</v>
      </c>
      <c r="F500" s="19">
        <v>45473</v>
      </c>
      <c r="G500" s="108">
        <v>2976259.72</v>
      </c>
      <c r="H500" s="87">
        <f t="shared" si="42"/>
        <v>1</v>
      </c>
      <c r="I500" s="37" t="str">
        <f t="shared" si="43"/>
        <v>0-120 DAYS</v>
      </c>
      <c r="J500" s="87" t="str">
        <f t="shared" si="44"/>
        <v>0-180 DAYS</v>
      </c>
    </row>
    <row r="501" spans="1:11" hidden="1" x14ac:dyDescent="0.35">
      <c r="A501" s="2" t="s">
        <v>1085</v>
      </c>
      <c r="B501" s="2" t="s">
        <v>790</v>
      </c>
      <c r="C501" s="18" t="s">
        <v>678</v>
      </c>
      <c r="D501" s="2" t="s">
        <v>507</v>
      </c>
      <c r="E501" s="18" t="s">
        <v>1824</v>
      </c>
      <c r="F501" s="19">
        <v>45450</v>
      </c>
      <c r="G501" s="108">
        <f>3826218.05-2264510</f>
        <v>1561708.0499999998</v>
      </c>
      <c r="H501" s="87">
        <f t="shared" si="42"/>
        <v>24</v>
      </c>
      <c r="I501" s="37" t="str">
        <f t="shared" si="43"/>
        <v>0-120 DAYS</v>
      </c>
      <c r="J501" s="87" t="str">
        <f t="shared" si="44"/>
        <v>0-180 DAYS</v>
      </c>
    </row>
    <row r="502" spans="1:11" hidden="1" x14ac:dyDescent="0.35">
      <c r="A502" s="2" t="s">
        <v>1085</v>
      </c>
      <c r="B502" s="2" t="s">
        <v>790</v>
      </c>
      <c r="C502" s="18" t="s">
        <v>584</v>
      </c>
      <c r="D502" s="2" t="s">
        <v>507</v>
      </c>
      <c r="E502" s="18" t="s">
        <v>1825</v>
      </c>
      <c r="F502" s="19">
        <v>45451</v>
      </c>
      <c r="G502" s="108">
        <v>3059040.61</v>
      </c>
      <c r="H502" s="87">
        <f t="shared" si="42"/>
        <v>23</v>
      </c>
      <c r="I502" s="37" t="str">
        <f t="shared" si="43"/>
        <v>0-120 DAYS</v>
      </c>
      <c r="J502" s="87" t="str">
        <f t="shared" si="44"/>
        <v>0-180 DAYS</v>
      </c>
    </row>
    <row r="503" spans="1:11" hidden="1" x14ac:dyDescent="0.35">
      <c r="A503" s="2" t="s">
        <v>1085</v>
      </c>
      <c r="B503" s="2" t="s">
        <v>790</v>
      </c>
      <c r="C503" s="18" t="s">
        <v>707</v>
      </c>
      <c r="D503" s="2" t="s">
        <v>507</v>
      </c>
      <c r="E503" s="18" t="s">
        <v>1826</v>
      </c>
      <c r="F503" s="19">
        <v>45453</v>
      </c>
      <c r="G503" s="108">
        <v>3066772.8</v>
      </c>
      <c r="H503" s="87">
        <f t="shared" si="42"/>
        <v>21</v>
      </c>
      <c r="I503" s="37" t="str">
        <f t="shared" si="43"/>
        <v>0-120 DAYS</v>
      </c>
      <c r="J503" s="87" t="str">
        <f t="shared" si="44"/>
        <v>0-180 DAYS</v>
      </c>
    </row>
    <row r="504" spans="1:11" hidden="1" x14ac:dyDescent="0.35">
      <c r="A504" s="2" t="s">
        <v>1085</v>
      </c>
      <c r="B504" s="2" t="s">
        <v>790</v>
      </c>
      <c r="C504" s="18" t="s">
        <v>584</v>
      </c>
      <c r="D504" s="2" t="s">
        <v>507</v>
      </c>
      <c r="E504" s="18" t="s">
        <v>1827</v>
      </c>
      <c r="F504" s="19">
        <v>45454</v>
      </c>
      <c r="G504" s="108">
        <v>3095552.35</v>
      </c>
      <c r="H504" s="87">
        <f t="shared" ref="H504:H516" si="45">$H$2-F504+1</f>
        <v>20</v>
      </c>
      <c r="I504" s="37" t="str">
        <f t="shared" si="43"/>
        <v>0-120 DAYS</v>
      </c>
      <c r="J504" s="87" t="str">
        <f t="shared" si="44"/>
        <v>0-180 DAYS</v>
      </c>
    </row>
    <row r="505" spans="1:11" hidden="1" x14ac:dyDescent="0.35">
      <c r="A505" s="2" t="s">
        <v>1085</v>
      </c>
      <c r="B505" s="2" t="s">
        <v>790</v>
      </c>
      <c r="C505" s="18" t="s">
        <v>540</v>
      </c>
      <c r="D505" s="2" t="s">
        <v>507</v>
      </c>
      <c r="E505" s="18" t="s">
        <v>1828</v>
      </c>
      <c r="F505" s="19">
        <v>45460</v>
      </c>
      <c r="G505" s="108">
        <v>3193314.42</v>
      </c>
      <c r="H505" s="87">
        <f t="shared" si="45"/>
        <v>14</v>
      </c>
      <c r="I505" s="37" t="str">
        <f t="shared" si="43"/>
        <v>0-120 DAYS</v>
      </c>
      <c r="J505" s="87" t="str">
        <f t="shared" si="44"/>
        <v>0-180 DAYS</v>
      </c>
    </row>
    <row r="506" spans="1:11" hidden="1" x14ac:dyDescent="0.35">
      <c r="A506" s="2" t="s">
        <v>1085</v>
      </c>
      <c r="B506" s="2" t="s">
        <v>790</v>
      </c>
      <c r="C506" s="18" t="s">
        <v>524</v>
      </c>
      <c r="D506" s="2" t="s">
        <v>507</v>
      </c>
      <c r="E506" s="18" t="s">
        <v>1829</v>
      </c>
      <c r="F506" s="19">
        <v>45461</v>
      </c>
      <c r="G506" s="108">
        <v>3112368</v>
      </c>
      <c r="H506" s="87">
        <f t="shared" si="45"/>
        <v>13</v>
      </c>
      <c r="I506" s="37" t="str">
        <f t="shared" si="43"/>
        <v>0-120 DAYS</v>
      </c>
      <c r="J506" s="87" t="str">
        <f t="shared" si="44"/>
        <v>0-180 DAYS</v>
      </c>
    </row>
    <row r="507" spans="1:11" hidden="1" x14ac:dyDescent="0.35">
      <c r="A507" s="2" t="s">
        <v>1085</v>
      </c>
      <c r="B507" s="2" t="s">
        <v>790</v>
      </c>
      <c r="C507" s="18" t="s">
        <v>1054</v>
      </c>
      <c r="D507" s="2" t="s">
        <v>507</v>
      </c>
      <c r="E507" s="18" t="s">
        <v>1830</v>
      </c>
      <c r="F507" s="19">
        <v>45462</v>
      </c>
      <c r="G507" s="108">
        <v>3058446.72</v>
      </c>
      <c r="H507" s="87">
        <f t="shared" si="45"/>
        <v>12</v>
      </c>
      <c r="I507" s="37" t="str">
        <f t="shared" ref="I507:I515" si="46">IF(H507&lt;121,"0-120 DAYS",IF(H507&lt;181,"121-180 DAYS","More than 180 Days"))</f>
        <v>0-120 DAYS</v>
      </c>
      <c r="J507" s="87" t="str">
        <f t="shared" ref="J507:J516" si="47">IF(H507&lt;180,"0-180 DAYS","More than 180 Days")</f>
        <v>0-180 DAYS</v>
      </c>
    </row>
    <row r="508" spans="1:11" hidden="1" x14ac:dyDescent="0.35">
      <c r="A508" s="2" t="s">
        <v>1085</v>
      </c>
      <c r="B508" s="2" t="s">
        <v>790</v>
      </c>
      <c r="C508" s="18" t="s">
        <v>588</v>
      </c>
      <c r="D508" s="2" t="s">
        <v>507</v>
      </c>
      <c r="E508" s="18" t="s">
        <v>1831</v>
      </c>
      <c r="F508" s="19">
        <v>45465</v>
      </c>
      <c r="G508" s="108">
        <v>3401682.76</v>
      </c>
      <c r="H508" s="87">
        <f t="shared" si="45"/>
        <v>9</v>
      </c>
      <c r="I508" s="37" t="str">
        <f t="shared" si="46"/>
        <v>0-120 DAYS</v>
      </c>
      <c r="J508" s="87" t="str">
        <f t="shared" si="47"/>
        <v>0-180 DAYS</v>
      </c>
    </row>
    <row r="509" spans="1:11" hidden="1" x14ac:dyDescent="0.35">
      <c r="A509" s="2" t="s">
        <v>1085</v>
      </c>
      <c r="B509" s="2" t="s">
        <v>790</v>
      </c>
      <c r="C509" s="18" t="s">
        <v>588</v>
      </c>
      <c r="D509" s="2" t="s">
        <v>507</v>
      </c>
      <c r="E509" s="18" t="s">
        <v>1832</v>
      </c>
      <c r="F509" s="19">
        <v>45465</v>
      </c>
      <c r="G509" s="108">
        <v>3359821.08</v>
      </c>
      <c r="H509" s="87">
        <f t="shared" si="45"/>
        <v>9</v>
      </c>
      <c r="I509" s="37" t="str">
        <f t="shared" si="46"/>
        <v>0-120 DAYS</v>
      </c>
      <c r="J509" s="87" t="str">
        <f t="shared" si="47"/>
        <v>0-180 DAYS</v>
      </c>
    </row>
    <row r="510" spans="1:11" hidden="1" x14ac:dyDescent="0.35">
      <c r="A510" s="2" t="s">
        <v>1085</v>
      </c>
      <c r="B510" s="2" t="s">
        <v>790</v>
      </c>
      <c r="C510" s="18" t="s">
        <v>543</v>
      </c>
      <c r="D510" s="2" t="s">
        <v>507</v>
      </c>
      <c r="E510" s="18" t="s">
        <v>1833</v>
      </c>
      <c r="F510" s="19">
        <v>45468</v>
      </c>
      <c r="G510" s="108">
        <v>4080118.04</v>
      </c>
      <c r="H510" s="87">
        <f t="shared" si="45"/>
        <v>6</v>
      </c>
      <c r="I510" s="37" t="str">
        <f t="shared" si="46"/>
        <v>0-120 DAYS</v>
      </c>
      <c r="J510" s="87" t="str">
        <f t="shared" si="47"/>
        <v>0-180 DAYS</v>
      </c>
      <c r="K510" t="s">
        <v>543</v>
      </c>
    </row>
    <row r="511" spans="1:11" hidden="1" x14ac:dyDescent="0.35">
      <c r="A511" s="2" t="s">
        <v>1085</v>
      </c>
      <c r="B511" s="2" t="s">
        <v>790</v>
      </c>
      <c r="C511" s="18" t="s">
        <v>581</v>
      </c>
      <c r="D511" s="2" t="s">
        <v>507</v>
      </c>
      <c r="E511" s="18" t="s">
        <v>1834</v>
      </c>
      <c r="F511" s="19">
        <v>45470</v>
      </c>
      <c r="G511" s="108">
        <v>3626422.42</v>
      </c>
      <c r="H511" s="87">
        <f t="shared" si="45"/>
        <v>4</v>
      </c>
      <c r="I511" s="37" t="str">
        <f t="shared" si="46"/>
        <v>0-120 DAYS</v>
      </c>
      <c r="J511" s="87" t="str">
        <f t="shared" si="47"/>
        <v>0-180 DAYS</v>
      </c>
    </row>
    <row r="512" spans="1:11" hidden="1" x14ac:dyDescent="0.35">
      <c r="A512" s="2" t="s">
        <v>1085</v>
      </c>
      <c r="B512" s="2" t="s">
        <v>790</v>
      </c>
      <c r="C512" s="18" t="s">
        <v>814</v>
      </c>
      <c r="D512" s="2" t="s">
        <v>507</v>
      </c>
      <c r="E512" s="18" t="s">
        <v>1835</v>
      </c>
      <c r="F512" s="19">
        <v>45471</v>
      </c>
      <c r="G512" s="108">
        <v>9030.9599999999991</v>
      </c>
      <c r="H512" s="87">
        <f t="shared" si="45"/>
        <v>3</v>
      </c>
      <c r="I512" s="37" t="str">
        <f t="shared" si="46"/>
        <v>0-120 DAYS</v>
      </c>
      <c r="J512" s="87" t="str">
        <f t="shared" si="47"/>
        <v>0-180 DAYS</v>
      </c>
    </row>
    <row r="513" spans="1:11" hidden="1" x14ac:dyDescent="0.35">
      <c r="A513" s="2" t="s">
        <v>1085</v>
      </c>
      <c r="B513" s="2" t="s">
        <v>790</v>
      </c>
      <c r="C513" s="18" t="s">
        <v>678</v>
      </c>
      <c r="D513" s="2" t="s">
        <v>507</v>
      </c>
      <c r="E513" s="18" t="s">
        <v>1836</v>
      </c>
      <c r="F513" s="19">
        <v>45471</v>
      </c>
      <c r="G513" s="108">
        <v>3699311.86</v>
      </c>
      <c r="H513" s="87">
        <f t="shared" si="45"/>
        <v>3</v>
      </c>
      <c r="I513" s="37" t="str">
        <f t="shared" si="46"/>
        <v>0-120 DAYS</v>
      </c>
      <c r="J513" s="87" t="str">
        <f t="shared" si="47"/>
        <v>0-180 DAYS</v>
      </c>
      <c r="K513" t="s">
        <v>678</v>
      </c>
    </row>
    <row r="514" spans="1:11" hidden="1" x14ac:dyDescent="0.35">
      <c r="A514" s="2" t="s">
        <v>1085</v>
      </c>
      <c r="B514" s="2" t="s">
        <v>790</v>
      </c>
      <c r="C514" s="18" t="s">
        <v>524</v>
      </c>
      <c r="D514" s="2" t="s">
        <v>507</v>
      </c>
      <c r="E514" s="18" t="s">
        <v>1837</v>
      </c>
      <c r="F514" s="19">
        <v>45472</v>
      </c>
      <c r="G514" s="108">
        <v>3408026.44</v>
      </c>
      <c r="H514" s="87">
        <f t="shared" si="45"/>
        <v>2</v>
      </c>
      <c r="I514" s="37" t="str">
        <f t="shared" si="46"/>
        <v>0-120 DAYS</v>
      </c>
      <c r="J514" s="87" t="str">
        <f t="shared" si="47"/>
        <v>0-180 DAYS</v>
      </c>
    </row>
    <row r="515" spans="1:11" hidden="1" x14ac:dyDescent="0.35">
      <c r="A515" s="2" t="s">
        <v>1085</v>
      </c>
      <c r="B515" s="2" t="s">
        <v>790</v>
      </c>
      <c r="C515" s="18" t="s">
        <v>543</v>
      </c>
      <c r="D515" s="2" t="s">
        <v>507</v>
      </c>
      <c r="E515" s="18" t="s">
        <v>629</v>
      </c>
      <c r="F515" s="19">
        <v>45454</v>
      </c>
      <c r="G515" s="108">
        <v>2980860.82</v>
      </c>
      <c r="H515" s="87">
        <f t="shared" si="45"/>
        <v>20</v>
      </c>
      <c r="I515" s="37" t="str">
        <f t="shared" si="46"/>
        <v>0-120 DAYS</v>
      </c>
      <c r="J515" s="87" t="str">
        <f t="shared" si="47"/>
        <v>0-180 DAYS</v>
      </c>
    </row>
    <row r="516" spans="1:11" hidden="1" x14ac:dyDescent="0.35">
      <c r="A516" s="88" t="s">
        <v>477</v>
      </c>
      <c r="B516" s="88" t="s">
        <v>790</v>
      </c>
      <c r="C516" s="18" t="s">
        <v>1080</v>
      </c>
      <c r="D516" s="18" t="s">
        <v>1081</v>
      </c>
      <c r="E516" s="18" t="s">
        <v>1842</v>
      </c>
      <c r="F516" s="19">
        <v>45444</v>
      </c>
      <c r="G516" s="108">
        <v>2545243.88</v>
      </c>
      <c r="H516" s="87">
        <f t="shared" si="45"/>
        <v>30</v>
      </c>
      <c r="I516" t="str">
        <f>IF(H516&lt;91,"1-90 DAYS",IF(H516&lt;121,"91-120DAYS",IF(H516&lt;181,"121-180 DAYS","More than 180 Days")))</f>
        <v>1-90 DAYS</v>
      </c>
      <c r="J516" s="87" t="str">
        <f t="shared" si="47"/>
        <v>0-180 DAYS</v>
      </c>
    </row>
    <row r="517" spans="1:11" hidden="1" x14ac:dyDescent="0.35">
      <c r="A517" s="88" t="s">
        <v>1209</v>
      </c>
      <c r="B517" s="88" t="s">
        <v>789</v>
      </c>
      <c r="C517" s="18" t="s">
        <v>125</v>
      </c>
      <c r="D517" s="18" t="s">
        <v>57</v>
      </c>
      <c r="E517" s="18" t="s">
        <v>1843</v>
      </c>
      <c r="F517" s="19">
        <v>45444</v>
      </c>
      <c r="G517" s="108">
        <v>1443808.99</v>
      </c>
      <c r="H517" s="87">
        <f t="shared" ref="H517:H580" si="48">$H$2-F517+1</f>
        <v>30</v>
      </c>
      <c r="I517" t="str">
        <f t="shared" ref="I517:I580" si="49">IF(H517&lt;91,"1-90 DAYS",IF(H517&lt;121,"91-120DAYS",IF(H517&lt;181,"121-180 DAYS","More than 180 Days")))</f>
        <v>1-90 DAYS</v>
      </c>
      <c r="J517" s="87" t="str">
        <f t="shared" ref="J517:J580" si="50">IF(H517&lt;180,"0-180 DAYS","More than 180 Days")</f>
        <v>0-180 DAYS</v>
      </c>
    </row>
    <row r="518" spans="1:11" hidden="1" x14ac:dyDescent="0.35">
      <c r="A518" s="88" t="s">
        <v>1209</v>
      </c>
      <c r="B518" s="88" t="s">
        <v>789</v>
      </c>
      <c r="C518" s="18" t="s">
        <v>125</v>
      </c>
      <c r="D518" s="18" t="s">
        <v>57</v>
      </c>
      <c r="E518" s="18" t="s">
        <v>1844</v>
      </c>
      <c r="F518" s="19">
        <v>45444</v>
      </c>
      <c r="G518" s="108">
        <v>9394.24</v>
      </c>
      <c r="H518" s="87">
        <f t="shared" si="48"/>
        <v>30</v>
      </c>
      <c r="I518" t="str">
        <f t="shared" si="49"/>
        <v>1-90 DAYS</v>
      </c>
      <c r="J518" s="87" t="str">
        <f t="shared" si="50"/>
        <v>0-180 DAYS</v>
      </c>
    </row>
    <row r="519" spans="1:11" hidden="1" x14ac:dyDescent="0.35">
      <c r="A519" s="88" t="s">
        <v>1209</v>
      </c>
      <c r="B519" s="88" t="s">
        <v>789</v>
      </c>
      <c r="C519" s="18" t="s">
        <v>125</v>
      </c>
      <c r="D519" s="18" t="s">
        <v>57</v>
      </c>
      <c r="E519" s="18" t="s">
        <v>1845</v>
      </c>
      <c r="F519" s="19">
        <v>45444</v>
      </c>
      <c r="G519" s="108">
        <v>21016.6</v>
      </c>
      <c r="H519" s="87">
        <f t="shared" si="48"/>
        <v>30</v>
      </c>
      <c r="I519" t="str">
        <f t="shared" si="49"/>
        <v>1-90 DAYS</v>
      </c>
      <c r="J519" s="87" t="str">
        <f t="shared" si="50"/>
        <v>0-180 DAYS</v>
      </c>
    </row>
    <row r="520" spans="1:11" hidden="1" x14ac:dyDescent="0.35">
      <c r="A520" s="88" t="s">
        <v>1209</v>
      </c>
      <c r="B520" s="88" t="s">
        <v>789</v>
      </c>
      <c r="C520" s="18" t="s">
        <v>125</v>
      </c>
      <c r="D520" s="18" t="s">
        <v>57</v>
      </c>
      <c r="E520" s="18" t="s">
        <v>1846</v>
      </c>
      <c r="F520" s="19">
        <v>45445</v>
      </c>
      <c r="G520" s="108">
        <v>601042.86</v>
      </c>
      <c r="H520" s="87">
        <f t="shared" si="48"/>
        <v>29</v>
      </c>
      <c r="I520" t="str">
        <f t="shared" si="49"/>
        <v>1-90 DAYS</v>
      </c>
      <c r="J520" s="87" t="str">
        <f t="shared" si="50"/>
        <v>0-180 DAYS</v>
      </c>
    </row>
    <row r="521" spans="1:11" hidden="1" x14ac:dyDescent="0.35">
      <c r="A521" s="88" t="s">
        <v>1209</v>
      </c>
      <c r="B521" s="88" t="s">
        <v>789</v>
      </c>
      <c r="C521" s="18" t="s">
        <v>125</v>
      </c>
      <c r="D521" s="18" t="s">
        <v>57</v>
      </c>
      <c r="E521" s="18" t="s">
        <v>1847</v>
      </c>
      <c r="F521" s="19">
        <v>45445</v>
      </c>
      <c r="G521" s="108">
        <v>4753.76</v>
      </c>
      <c r="H521" s="87">
        <f t="shared" si="48"/>
        <v>29</v>
      </c>
      <c r="I521" t="str">
        <f t="shared" si="49"/>
        <v>1-90 DAYS</v>
      </c>
      <c r="J521" s="87" t="str">
        <f t="shared" si="50"/>
        <v>0-180 DAYS</v>
      </c>
    </row>
    <row r="522" spans="1:11" hidden="1" x14ac:dyDescent="0.35">
      <c r="A522" s="88" t="s">
        <v>1209</v>
      </c>
      <c r="B522" s="88" t="s">
        <v>789</v>
      </c>
      <c r="C522" s="18" t="s">
        <v>125</v>
      </c>
      <c r="D522" s="18" t="s">
        <v>57</v>
      </c>
      <c r="E522" s="18" t="s">
        <v>1848</v>
      </c>
      <c r="F522" s="19">
        <v>45445</v>
      </c>
      <c r="G522" s="108">
        <v>110001</v>
      </c>
      <c r="H522" s="87">
        <f t="shared" si="48"/>
        <v>29</v>
      </c>
      <c r="I522" t="str">
        <f t="shared" si="49"/>
        <v>1-90 DAYS</v>
      </c>
      <c r="J522" s="87" t="str">
        <f t="shared" si="50"/>
        <v>0-180 DAYS</v>
      </c>
    </row>
    <row r="523" spans="1:11" hidden="1" x14ac:dyDescent="0.35">
      <c r="A523" s="88" t="s">
        <v>1209</v>
      </c>
      <c r="B523" s="88" t="s">
        <v>789</v>
      </c>
      <c r="C523" s="18" t="s">
        <v>125</v>
      </c>
      <c r="D523" s="18" t="s">
        <v>57</v>
      </c>
      <c r="E523" s="18" t="s">
        <v>1849</v>
      </c>
      <c r="F523" s="19">
        <v>45445</v>
      </c>
      <c r="G523" s="108">
        <v>93877.84</v>
      </c>
      <c r="H523" s="87">
        <f t="shared" si="48"/>
        <v>29</v>
      </c>
      <c r="I523" t="str">
        <f t="shared" si="49"/>
        <v>1-90 DAYS</v>
      </c>
      <c r="J523" s="87" t="str">
        <f t="shared" si="50"/>
        <v>0-180 DAYS</v>
      </c>
    </row>
    <row r="524" spans="1:11" hidden="1" x14ac:dyDescent="0.35">
      <c r="A524" s="88" t="s">
        <v>1209</v>
      </c>
      <c r="B524" s="88" t="s">
        <v>789</v>
      </c>
      <c r="C524" s="18" t="s">
        <v>125</v>
      </c>
      <c r="D524" s="18" t="s">
        <v>57</v>
      </c>
      <c r="E524" s="18" t="s">
        <v>1850</v>
      </c>
      <c r="F524" s="19">
        <v>45446</v>
      </c>
      <c r="G524" s="108">
        <v>5126.1000000000004</v>
      </c>
      <c r="H524" s="87">
        <f t="shared" si="48"/>
        <v>28</v>
      </c>
      <c r="I524" t="str">
        <f t="shared" si="49"/>
        <v>1-90 DAYS</v>
      </c>
      <c r="J524" s="87" t="str">
        <f t="shared" si="50"/>
        <v>0-180 DAYS</v>
      </c>
    </row>
    <row r="525" spans="1:11" hidden="1" x14ac:dyDescent="0.35">
      <c r="A525" s="88" t="s">
        <v>1209</v>
      </c>
      <c r="B525" s="88" t="s">
        <v>789</v>
      </c>
      <c r="C525" s="18" t="s">
        <v>125</v>
      </c>
      <c r="D525" s="18" t="s">
        <v>57</v>
      </c>
      <c r="E525" s="18" t="s">
        <v>1851</v>
      </c>
      <c r="F525" s="19">
        <v>45446</v>
      </c>
      <c r="G525" s="108">
        <v>1132557.45</v>
      </c>
      <c r="H525" s="87">
        <f t="shared" si="48"/>
        <v>28</v>
      </c>
      <c r="I525" t="str">
        <f t="shared" si="49"/>
        <v>1-90 DAYS</v>
      </c>
      <c r="J525" s="87" t="str">
        <f t="shared" si="50"/>
        <v>0-180 DAYS</v>
      </c>
    </row>
    <row r="526" spans="1:11" hidden="1" x14ac:dyDescent="0.35">
      <c r="A526" s="88" t="s">
        <v>1209</v>
      </c>
      <c r="B526" s="88" t="s">
        <v>789</v>
      </c>
      <c r="C526" s="18" t="s">
        <v>125</v>
      </c>
      <c r="D526" s="18" t="s">
        <v>57</v>
      </c>
      <c r="E526" s="18" t="s">
        <v>1852</v>
      </c>
      <c r="F526" s="19">
        <v>45446</v>
      </c>
      <c r="G526" s="108">
        <v>8489</v>
      </c>
      <c r="H526" s="87">
        <f t="shared" si="48"/>
        <v>28</v>
      </c>
      <c r="I526" t="str">
        <f t="shared" si="49"/>
        <v>1-90 DAYS</v>
      </c>
      <c r="J526" s="87" t="str">
        <f t="shared" si="50"/>
        <v>0-180 DAYS</v>
      </c>
    </row>
    <row r="527" spans="1:11" hidden="1" x14ac:dyDescent="0.35">
      <c r="A527" s="88" t="s">
        <v>477</v>
      </c>
      <c r="B527" s="88" t="s">
        <v>790</v>
      </c>
      <c r="C527" s="18" t="s">
        <v>1196</v>
      </c>
      <c r="D527" s="18" t="s">
        <v>1208</v>
      </c>
      <c r="E527" s="18" t="s">
        <v>1853</v>
      </c>
      <c r="F527" s="19">
        <v>45446</v>
      </c>
      <c r="G527" s="108">
        <v>2037535.5</v>
      </c>
      <c r="H527" s="87">
        <f t="shared" si="48"/>
        <v>28</v>
      </c>
      <c r="I527" t="str">
        <f t="shared" si="49"/>
        <v>1-90 DAYS</v>
      </c>
      <c r="J527" s="87" t="str">
        <f t="shared" si="50"/>
        <v>0-180 DAYS</v>
      </c>
    </row>
    <row r="528" spans="1:11" hidden="1" x14ac:dyDescent="0.35">
      <c r="A528" s="88" t="s">
        <v>1209</v>
      </c>
      <c r="B528" s="88" t="s">
        <v>789</v>
      </c>
      <c r="C528" s="18" t="s">
        <v>125</v>
      </c>
      <c r="D528" s="18" t="s">
        <v>57</v>
      </c>
      <c r="E528" s="18" t="s">
        <v>1854</v>
      </c>
      <c r="F528" s="19">
        <v>45447</v>
      </c>
      <c r="G528" s="108">
        <v>14873.65</v>
      </c>
      <c r="H528" s="87">
        <f t="shared" si="48"/>
        <v>27</v>
      </c>
      <c r="I528" t="str">
        <f t="shared" si="49"/>
        <v>1-90 DAYS</v>
      </c>
      <c r="J528" s="87" t="str">
        <f t="shared" si="50"/>
        <v>0-180 DAYS</v>
      </c>
    </row>
    <row r="529" spans="1:10" hidden="1" x14ac:dyDescent="0.35">
      <c r="A529" s="88" t="s">
        <v>1209</v>
      </c>
      <c r="B529" s="88" t="s">
        <v>789</v>
      </c>
      <c r="C529" s="18" t="s">
        <v>125</v>
      </c>
      <c r="D529" s="18" t="s">
        <v>57</v>
      </c>
      <c r="E529" s="18" t="s">
        <v>1855</v>
      </c>
      <c r="F529" s="19">
        <v>45447</v>
      </c>
      <c r="G529" s="108">
        <v>498102.12</v>
      </c>
      <c r="H529" s="87">
        <f t="shared" si="48"/>
        <v>27</v>
      </c>
      <c r="I529" t="str">
        <f t="shared" si="49"/>
        <v>1-90 DAYS</v>
      </c>
      <c r="J529" s="87" t="str">
        <f t="shared" si="50"/>
        <v>0-180 DAYS</v>
      </c>
    </row>
    <row r="530" spans="1:10" hidden="1" x14ac:dyDescent="0.35">
      <c r="A530" s="88" t="s">
        <v>1209</v>
      </c>
      <c r="B530" s="88" t="s">
        <v>789</v>
      </c>
      <c r="C530" s="18" t="s">
        <v>125</v>
      </c>
      <c r="D530" s="18" t="s">
        <v>57</v>
      </c>
      <c r="E530" s="18" t="s">
        <v>1856</v>
      </c>
      <c r="F530" s="19">
        <v>45447</v>
      </c>
      <c r="G530" s="108">
        <v>6451.96</v>
      </c>
      <c r="H530" s="87">
        <f t="shared" si="48"/>
        <v>27</v>
      </c>
      <c r="I530" t="str">
        <f t="shared" si="49"/>
        <v>1-90 DAYS</v>
      </c>
      <c r="J530" s="87" t="str">
        <f t="shared" si="50"/>
        <v>0-180 DAYS</v>
      </c>
    </row>
    <row r="531" spans="1:10" hidden="1" x14ac:dyDescent="0.35">
      <c r="A531" s="88" t="s">
        <v>1209</v>
      </c>
      <c r="B531" s="88" t="s">
        <v>789</v>
      </c>
      <c r="C531" s="18" t="s">
        <v>125</v>
      </c>
      <c r="D531" s="18" t="s">
        <v>57</v>
      </c>
      <c r="E531" s="18" t="s">
        <v>1857</v>
      </c>
      <c r="F531" s="19">
        <v>45447</v>
      </c>
      <c r="G531" s="108">
        <v>318739.21000000002</v>
      </c>
      <c r="H531" s="87">
        <f t="shared" si="48"/>
        <v>27</v>
      </c>
      <c r="I531" t="str">
        <f t="shared" si="49"/>
        <v>1-90 DAYS</v>
      </c>
      <c r="J531" s="87" t="str">
        <f t="shared" si="50"/>
        <v>0-180 DAYS</v>
      </c>
    </row>
    <row r="532" spans="1:10" hidden="1" x14ac:dyDescent="0.35">
      <c r="A532" s="88" t="s">
        <v>1209</v>
      </c>
      <c r="B532" s="88" t="s">
        <v>789</v>
      </c>
      <c r="C532" s="18" t="s">
        <v>125</v>
      </c>
      <c r="D532" s="18" t="s">
        <v>57</v>
      </c>
      <c r="E532" s="18" t="s">
        <v>1858</v>
      </c>
      <c r="F532" s="19">
        <v>45447</v>
      </c>
      <c r="G532" s="108">
        <v>33550</v>
      </c>
      <c r="H532" s="87">
        <f t="shared" si="48"/>
        <v>27</v>
      </c>
      <c r="I532" t="str">
        <f t="shared" si="49"/>
        <v>1-90 DAYS</v>
      </c>
      <c r="J532" s="87" t="str">
        <f t="shared" si="50"/>
        <v>0-180 DAYS</v>
      </c>
    </row>
    <row r="533" spans="1:10" hidden="1" x14ac:dyDescent="0.35">
      <c r="A533" s="88" t="s">
        <v>477</v>
      </c>
      <c r="B533" s="88" t="s">
        <v>790</v>
      </c>
      <c r="C533" s="18" t="s">
        <v>1087</v>
      </c>
      <c r="D533" s="18" t="s">
        <v>1088</v>
      </c>
      <c r="E533" s="18" t="s">
        <v>1859</v>
      </c>
      <c r="F533" s="19">
        <v>45448</v>
      </c>
      <c r="G533" s="108">
        <v>209214</v>
      </c>
      <c r="H533" s="87">
        <f t="shared" si="48"/>
        <v>26</v>
      </c>
      <c r="I533" t="str">
        <f t="shared" si="49"/>
        <v>1-90 DAYS</v>
      </c>
      <c r="J533" s="87" t="str">
        <f t="shared" si="50"/>
        <v>0-180 DAYS</v>
      </c>
    </row>
    <row r="534" spans="1:10" hidden="1" x14ac:dyDescent="0.35">
      <c r="A534" s="88" t="s">
        <v>477</v>
      </c>
      <c r="B534" s="88" t="s">
        <v>790</v>
      </c>
      <c r="C534" s="18" t="s">
        <v>1087</v>
      </c>
      <c r="D534" s="18" t="s">
        <v>1088</v>
      </c>
      <c r="E534" s="18" t="s">
        <v>1860</v>
      </c>
      <c r="F534" s="19">
        <v>45448</v>
      </c>
      <c r="G534" s="108">
        <v>97173</v>
      </c>
      <c r="H534" s="87">
        <f t="shared" si="48"/>
        <v>26</v>
      </c>
      <c r="I534" t="str">
        <f t="shared" si="49"/>
        <v>1-90 DAYS</v>
      </c>
      <c r="J534" s="87" t="str">
        <f t="shared" si="50"/>
        <v>0-180 DAYS</v>
      </c>
    </row>
    <row r="535" spans="1:10" hidden="1" x14ac:dyDescent="0.35">
      <c r="A535" s="88" t="s">
        <v>1209</v>
      </c>
      <c r="B535" s="88" t="s">
        <v>789</v>
      </c>
      <c r="C535" s="18" t="s">
        <v>125</v>
      </c>
      <c r="D535" s="18" t="s">
        <v>57</v>
      </c>
      <c r="E535" s="18" t="s">
        <v>1861</v>
      </c>
      <c r="F535" s="19">
        <v>45448</v>
      </c>
      <c r="G535" s="108">
        <v>7745.84</v>
      </c>
      <c r="H535" s="87">
        <f t="shared" si="48"/>
        <v>26</v>
      </c>
      <c r="I535" t="str">
        <f t="shared" si="49"/>
        <v>1-90 DAYS</v>
      </c>
      <c r="J535" s="87" t="str">
        <f t="shared" si="50"/>
        <v>0-180 DAYS</v>
      </c>
    </row>
    <row r="536" spans="1:10" hidden="1" x14ac:dyDescent="0.35">
      <c r="A536" s="88" t="s">
        <v>1209</v>
      </c>
      <c r="B536" s="88" t="s">
        <v>789</v>
      </c>
      <c r="C536" s="18" t="s">
        <v>125</v>
      </c>
      <c r="D536" s="18" t="s">
        <v>57</v>
      </c>
      <c r="E536" s="18" t="s">
        <v>1862</v>
      </c>
      <c r="F536" s="19">
        <v>45448</v>
      </c>
      <c r="G536" s="108">
        <v>291883.46999999997</v>
      </c>
      <c r="H536" s="87">
        <f t="shared" si="48"/>
        <v>26</v>
      </c>
      <c r="I536" t="str">
        <f t="shared" si="49"/>
        <v>1-90 DAYS</v>
      </c>
      <c r="J536" s="87" t="str">
        <f t="shared" si="50"/>
        <v>0-180 DAYS</v>
      </c>
    </row>
    <row r="537" spans="1:10" hidden="1" x14ac:dyDescent="0.35">
      <c r="A537" s="88" t="s">
        <v>1209</v>
      </c>
      <c r="B537" s="88" t="s">
        <v>789</v>
      </c>
      <c r="C537" s="18" t="s">
        <v>125</v>
      </c>
      <c r="D537" s="18" t="s">
        <v>57</v>
      </c>
      <c r="E537" s="18" t="s">
        <v>1863</v>
      </c>
      <c r="F537" s="19">
        <v>45448</v>
      </c>
      <c r="G537" s="108">
        <v>906597.25</v>
      </c>
      <c r="H537" s="87">
        <f t="shared" si="48"/>
        <v>26</v>
      </c>
      <c r="I537" t="str">
        <f t="shared" si="49"/>
        <v>1-90 DAYS</v>
      </c>
      <c r="J537" s="87" t="str">
        <f t="shared" si="50"/>
        <v>0-180 DAYS</v>
      </c>
    </row>
    <row r="538" spans="1:10" hidden="1" x14ac:dyDescent="0.35">
      <c r="A538" s="88" t="s">
        <v>1209</v>
      </c>
      <c r="B538" s="88" t="s">
        <v>789</v>
      </c>
      <c r="C538" s="18" t="s">
        <v>125</v>
      </c>
      <c r="D538" s="18" t="s">
        <v>57</v>
      </c>
      <c r="E538" s="18" t="s">
        <v>1864</v>
      </c>
      <c r="F538" s="19">
        <v>45448</v>
      </c>
      <c r="G538" s="108">
        <v>5545.72</v>
      </c>
      <c r="H538" s="87">
        <f t="shared" si="48"/>
        <v>26</v>
      </c>
      <c r="I538" t="str">
        <f t="shared" si="49"/>
        <v>1-90 DAYS</v>
      </c>
      <c r="J538" s="87" t="str">
        <f t="shared" si="50"/>
        <v>0-180 DAYS</v>
      </c>
    </row>
    <row r="539" spans="1:10" hidden="1" x14ac:dyDescent="0.35">
      <c r="A539" s="88" t="s">
        <v>477</v>
      </c>
      <c r="B539" s="88" t="s">
        <v>790</v>
      </c>
      <c r="C539" s="18" t="s">
        <v>1080</v>
      </c>
      <c r="D539" s="18" t="s">
        <v>1081</v>
      </c>
      <c r="E539" s="18" t="s">
        <v>1865</v>
      </c>
      <c r="F539" s="19">
        <v>45449</v>
      </c>
      <c r="G539" s="108">
        <v>477089.54</v>
      </c>
      <c r="H539" s="87">
        <f t="shared" si="48"/>
        <v>25</v>
      </c>
      <c r="I539" t="str">
        <f t="shared" si="49"/>
        <v>1-90 DAYS</v>
      </c>
      <c r="J539" s="87" t="str">
        <f t="shared" si="50"/>
        <v>0-180 DAYS</v>
      </c>
    </row>
    <row r="540" spans="1:10" hidden="1" x14ac:dyDescent="0.35">
      <c r="A540" s="88" t="s">
        <v>1209</v>
      </c>
      <c r="B540" s="88" t="s">
        <v>789</v>
      </c>
      <c r="C540" s="18" t="s">
        <v>125</v>
      </c>
      <c r="D540" s="18" t="s">
        <v>57</v>
      </c>
      <c r="E540" s="18" t="s">
        <v>1866</v>
      </c>
      <c r="F540" s="19">
        <v>45449</v>
      </c>
      <c r="G540" s="108">
        <v>444543.33</v>
      </c>
      <c r="H540" s="87">
        <f t="shared" si="48"/>
        <v>25</v>
      </c>
      <c r="I540" t="str">
        <f t="shared" si="49"/>
        <v>1-90 DAYS</v>
      </c>
      <c r="J540" s="87" t="str">
        <f t="shared" si="50"/>
        <v>0-180 DAYS</v>
      </c>
    </row>
    <row r="541" spans="1:10" hidden="1" x14ac:dyDescent="0.35">
      <c r="A541" s="88" t="s">
        <v>1209</v>
      </c>
      <c r="B541" s="88" t="s">
        <v>789</v>
      </c>
      <c r="C541" s="18" t="s">
        <v>125</v>
      </c>
      <c r="D541" s="18" t="s">
        <v>57</v>
      </c>
      <c r="E541" s="18" t="s">
        <v>1867</v>
      </c>
      <c r="F541" s="19">
        <v>45449</v>
      </c>
      <c r="G541" s="108">
        <v>3398.4</v>
      </c>
      <c r="H541" s="87">
        <f t="shared" si="48"/>
        <v>25</v>
      </c>
      <c r="I541" t="str">
        <f t="shared" si="49"/>
        <v>1-90 DAYS</v>
      </c>
      <c r="J541" s="87" t="str">
        <f t="shared" si="50"/>
        <v>0-180 DAYS</v>
      </c>
    </row>
    <row r="542" spans="1:10" hidden="1" x14ac:dyDescent="0.35">
      <c r="A542" s="88" t="s">
        <v>1209</v>
      </c>
      <c r="B542" s="88" t="s">
        <v>789</v>
      </c>
      <c r="C542" s="18" t="s">
        <v>125</v>
      </c>
      <c r="D542" s="18" t="s">
        <v>57</v>
      </c>
      <c r="E542" s="18" t="s">
        <v>1868</v>
      </c>
      <c r="F542" s="19">
        <v>45449</v>
      </c>
      <c r="G542" s="108">
        <v>31075</v>
      </c>
      <c r="H542" s="87">
        <f t="shared" si="48"/>
        <v>25</v>
      </c>
      <c r="I542" t="str">
        <f t="shared" si="49"/>
        <v>1-90 DAYS</v>
      </c>
      <c r="J542" s="87" t="str">
        <f t="shared" si="50"/>
        <v>0-180 DAYS</v>
      </c>
    </row>
    <row r="543" spans="1:10" hidden="1" x14ac:dyDescent="0.35">
      <c r="A543" s="88" t="s">
        <v>1209</v>
      </c>
      <c r="B543" s="88" t="s">
        <v>789</v>
      </c>
      <c r="C543" s="18" t="s">
        <v>125</v>
      </c>
      <c r="D543" s="18" t="s">
        <v>57</v>
      </c>
      <c r="E543" s="18" t="s">
        <v>1869</v>
      </c>
      <c r="F543" s="19">
        <v>45450</v>
      </c>
      <c r="G543" s="108">
        <v>12548.66</v>
      </c>
      <c r="H543" s="87">
        <f t="shared" si="48"/>
        <v>24</v>
      </c>
      <c r="I543" t="str">
        <f t="shared" si="49"/>
        <v>1-90 DAYS</v>
      </c>
      <c r="J543" s="87" t="str">
        <f t="shared" si="50"/>
        <v>0-180 DAYS</v>
      </c>
    </row>
    <row r="544" spans="1:10" hidden="1" x14ac:dyDescent="0.35">
      <c r="A544" s="88" t="s">
        <v>1209</v>
      </c>
      <c r="B544" s="88" t="s">
        <v>789</v>
      </c>
      <c r="C544" s="18" t="s">
        <v>125</v>
      </c>
      <c r="D544" s="18" t="s">
        <v>57</v>
      </c>
      <c r="E544" s="18" t="s">
        <v>1870</v>
      </c>
      <c r="F544" s="19">
        <v>45450</v>
      </c>
      <c r="G544" s="108">
        <v>23816</v>
      </c>
      <c r="H544" s="87">
        <f t="shared" si="48"/>
        <v>24</v>
      </c>
      <c r="I544" t="str">
        <f t="shared" si="49"/>
        <v>1-90 DAYS</v>
      </c>
      <c r="J544" s="87" t="str">
        <f t="shared" si="50"/>
        <v>0-180 DAYS</v>
      </c>
    </row>
    <row r="545" spans="1:10" hidden="1" x14ac:dyDescent="0.35">
      <c r="A545" s="88" t="s">
        <v>1209</v>
      </c>
      <c r="B545" s="88" t="s">
        <v>789</v>
      </c>
      <c r="C545" s="18" t="s">
        <v>125</v>
      </c>
      <c r="D545" s="18" t="s">
        <v>57</v>
      </c>
      <c r="E545" s="18" t="s">
        <v>1871</v>
      </c>
      <c r="F545" s="19">
        <v>45450</v>
      </c>
      <c r="G545" s="108">
        <v>12167.6</v>
      </c>
      <c r="H545" s="87">
        <f t="shared" si="48"/>
        <v>24</v>
      </c>
      <c r="I545" t="str">
        <f t="shared" si="49"/>
        <v>1-90 DAYS</v>
      </c>
      <c r="J545" s="87" t="str">
        <f t="shared" si="50"/>
        <v>0-180 DAYS</v>
      </c>
    </row>
    <row r="546" spans="1:10" hidden="1" x14ac:dyDescent="0.35">
      <c r="A546" s="88" t="s">
        <v>1209</v>
      </c>
      <c r="B546" s="88" t="s">
        <v>789</v>
      </c>
      <c r="C546" s="18" t="s">
        <v>125</v>
      </c>
      <c r="D546" s="18" t="s">
        <v>57</v>
      </c>
      <c r="E546" s="18" t="s">
        <v>1872</v>
      </c>
      <c r="F546" s="19">
        <v>45450</v>
      </c>
      <c r="G546" s="108">
        <v>1055050.03</v>
      </c>
      <c r="H546" s="87">
        <f t="shared" si="48"/>
        <v>24</v>
      </c>
      <c r="I546" t="str">
        <f t="shared" si="49"/>
        <v>1-90 DAYS</v>
      </c>
      <c r="J546" s="87" t="str">
        <f t="shared" si="50"/>
        <v>0-180 DAYS</v>
      </c>
    </row>
    <row r="547" spans="1:10" hidden="1" x14ac:dyDescent="0.35">
      <c r="A547" s="88" t="s">
        <v>1209</v>
      </c>
      <c r="B547" s="88" t="s">
        <v>789</v>
      </c>
      <c r="C547" s="18" t="s">
        <v>125</v>
      </c>
      <c r="D547" s="18" t="s">
        <v>57</v>
      </c>
      <c r="E547" s="18" t="s">
        <v>1873</v>
      </c>
      <c r="F547" s="19">
        <v>45451</v>
      </c>
      <c r="G547" s="108">
        <v>639925.77</v>
      </c>
      <c r="H547" s="87">
        <f t="shared" si="48"/>
        <v>23</v>
      </c>
      <c r="I547" t="str">
        <f t="shared" si="49"/>
        <v>1-90 DAYS</v>
      </c>
      <c r="J547" s="87" t="str">
        <f t="shared" si="50"/>
        <v>0-180 DAYS</v>
      </c>
    </row>
    <row r="548" spans="1:10" hidden="1" x14ac:dyDescent="0.35">
      <c r="A548" s="88" t="s">
        <v>1209</v>
      </c>
      <c r="B548" s="88" t="s">
        <v>789</v>
      </c>
      <c r="C548" s="18" t="s">
        <v>125</v>
      </c>
      <c r="D548" s="18" t="s">
        <v>57</v>
      </c>
      <c r="E548" s="18" t="s">
        <v>1874</v>
      </c>
      <c r="F548" s="19">
        <v>45451</v>
      </c>
      <c r="G548" s="108">
        <v>415853.48</v>
      </c>
      <c r="H548" s="87">
        <f t="shared" si="48"/>
        <v>23</v>
      </c>
      <c r="I548" t="str">
        <f t="shared" si="49"/>
        <v>1-90 DAYS</v>
      </c>
      <c r="J548" s="87" t="str">
        <f t="shared" si="50"/>
        <v>0-180 DAYS</v>
      </c>
    </row>
    <row r="549" spans="1:10" hidden="1" x14ac:dyDescent="0.35">
      <c r="A549" s="88" t="s">
        <v>1209</v>
      </c>
      <c r="B549" s="88" t="s">
        <v>789</v>
      </c>
      <c r="C549" s="18" t="s">
        <v>125</v>
      </c>
      <c r="D549" s="18" t="s">
        <v>57</v>
      </c>
      <c r="E549" s="18" t="s">
        <v>1875</v>
      </c>
      <c r="F549" s="19">
        <v>45451</v>
      </c>
      <c r="G549" s="108">
        <v>110001</v>
      </c>
      <c r="H549" s="87">
        <f t="shared" si="48"/>
        <v>23</v>
      </c>
      <c r="I549" t="str">
        <f t="shared" si="49"/>
        <v>1-90 DAYS</v>
      </c>
      <c r="J549" s="87" t="str">
        <f t="shared" si="50"/>
        <v>0-180 DAYS</v>
      </c>
    </row>
    <row r="550" spans="1:10" hidden="1" x14ac:dyDescent="0.35">
      <c r="A550" s="88" t="s">
        <v>1209</v>
      </c>
      <c r="B550" s="88" t="s">
        <v>789</v>
      </c>
      <c r="C550" s="18" t="s">
        <v>125</v>
      </c>
      <c r="D550" s="18" t="s">
        <v>57</v>
      </c>
      <c r="E550" s="18" t="s">
        <v>1876</v>
      </c>
      <c r="F550" s="19">
        <v>45451</v>
      </c>
      <c r="G550" s="108">
        <v>1032351.65</v>
      </c>
      <c r="H550" s="87">
        <f t="shared" si="48"/>
        <v>23</v>
      </c>
      <c r="I550" t="str">
        <f t="shared" si="49"/>
        <v>1-90 DAYS</v>
      </c>
      <c r="J550" s="87" t="str">
        <f t="shared" si="50"/>
        <v>0-180 DAYS</v>
      </c>
    </row>
    <row r="551" spans="1:10" hidden="1" x14ac:dyDescent="0.35">
      <c r="A551" s="88" t="s">
        <v>1209</v>
      </c>
      <c r="B551" s="88" t="s">
        <v>789</v>
      </c>
      <c r="C551" s="18" t="s">
        <v>125</v>
      </c>
      <c r="D551" s="18" t="s">
        <v>57</v>
      </c>
      <c r="E551" s="18" t="s">
        <v>1877</v>
      </c>
      <c r="F551" s="19">
        <v>45452</v>
      </c>
      <c r="G551" s="108">
        <v>33177.78</v>
      </c>
      <c r="H551" s="87">
        <f t="shared" si="48"/>
        <v>22</v>
      </c>
      <c r="I551" t="str">
        <f t="shared" si="49"/>
        <v>1-90 DAYS</v>
      </c>
      <c r="J551" s="87" t="str">
        <f t="shared" si="50"/>
        <v>0-180 DAYS</v>
      </c>
    </row>
    <row r="552" spans="1:10" hidden="1" x14ac:dyDescent="0.35">
      <c r="A552" s="88" t="s">
        <v>1209</v>
      </c>
      <c r="B552" s="88" t="s">
        <v>789</v>
      </c>
      <c r="C552" s="18" t="s">
        <v>125</v>
      </c>
      <c r="D552" s="18" t="s">
        <v>57</v>
      </c>
      <c r="E552" s="18" t="s">
        <v>1878</v>
      </c>
      <c r="F552" s="19">
        <v>45452</v>
      </c>
      <c r="G552" s="108">
        <v>12733</v>
      </c>
      <c r="H552" s="87">
        <f t="shared" si="48"/>
        <v>22</v>
      </c>
      <c r="I552" t="str">
        <f t="shared" si="49"/>
        <v>1-90 DAYS</v>
      </c>
      <c r="J552" s="87" t="str">
        <f t="shared" si="50"/>
        <v>0-180 DAYS</v>
      </c>
    </row>
    <row r="553" spans="1:10" hidden="1" x14ac:dyDescent="0.35">
      <c r="A553" s="88" t="s">
        <v>1209</v>
      </c>
      <c r="B553" s="88" t="s">
        <v>789</v>
      </c>
      <c r="C553" s="18" t="s">
        <v>125</v>
      </c>
      <c r="D553" s="18" t="s">
        <v>57</v>
      </c>
      <c r="E553" s="18" t="s">
        <v>1879</v>
      </c>
      <c r="F553" s="19">
        <v>45452</v>
      </c>
      <c r="G553" s="108">
        <v>1060755.02</v>
      </c>
      <c r="H553" s="87">
        <f t="shared" si="48"/>
        <v>22</v>
      </c>
      <c r="I553" t="str">
        <f t="shared" si="49"/>
        <v>1-90 DAYS</v>
      </c>
      <c r="J553" s="87" t="str">
        <f t="shared" si="50"/>
        <v>0-180 DAYS</v>
      </c>
    </row>
    <row r="554" spans="1:10" hidden="1" x14ac:dyDescent="0.35">
      <c r="A554" s="88" t="s">
        <v>477</v>
      </c>
      <c r="B554" s="88" t="s">
        <v>790</v>
      </c>
      <c r="C554" s="18" t="s">
        <v>1080</v>
      </c>
      <c r="D554" s="18" t="s">
        <v>1081</v>
      </c>
      <c r="E554" s="18" t="s">
        <v>1880</v>
      </c>
      <c r="F554" s="19">
        <v>45453</v>
      </c>
      <c r="G554" s="108">
        <v>477090.02</v>
      </c>
      <c r="H554" s="87">
        <f t="shared" si="48"/>
        <v>21</v>
      </c>
      <c r="I554" t="str">
        <f t="shared" si="49"/>
        <v>1-90 DAYS</v>
      </c>
      <c r="J554" s="87" t="str">
        <f t="shared" si="50"/>
        <v>0-180 DAYS</v>
      </c>
    </row>
    <row r="555" spans="1:10" hidden="1" x14ac:dyDescent="0.35">
      <c r="A555" s="88" t="s">
        <v>477</v>
      </c>
      <c r="B555" s="88" t="s">
        <v>790</v>
      </c>
      <c r="C555" s="18" t="s">
        <v>1080</v>
      </c>
      <c r="D555" s="18" t="s">
        <v>1081</v>
      </c>
      <c r="E555" s="18" t="s">
        <v>1881</v>
      </c>
      <c r="F555" s="19">
        <v>45453</v>
      </c>
      <c r="G555" s="108">
        <v>1113390.18</v>
      </c>
      <c r="H555" s="87">
        <f t="shared" si="48"/>
        <v>21</v>
      </c>
      <c r="I555" t="str">
        <f t="shared" si="49"/>
        <v>1-90 DAYS</v>
      </c>
      <c r="J555" s="87" t="str">
        <f t="shared" si="50"/>
        <v>0-180 DAYS</v>
      </c>
    </row>
    <row r="556" spans="1:10" hidden="1" x14ac:dyDescent="0.35">
      <c r="A556" s="88" t="s">
        <v>1209</v>
      </c>
      <c r="B556" s="88" t="s">
        <v>789</v>
      </c>
      <c r="C556" s="18" t="s">
        <v>125</v>
      </c>
      <c r="D556" s="18" t="s">
        <v>57</v>
      </c>
      <c r="E556" s="18" t="s">
        <v>1882</v>
      </c>
      <c r="F556" s="19">
        <v>45453</v>
      </c>
      <c r="G556" s="108">
        <v>157665.69</v>
      </c>
      <c r="H556" s="87">
        <f t="shared" si="48"/>
        <v>21</v>
      </c>
      <c r="I556" t="str">
        <f t="shared" si="49"/>
        <v>1-90 DAYS</v>
      </c>
      <c r="J556" s="87" t="str">
        <f t="shared" si="50"/>
        <v>0-180 DAYS</v>
      </c>
    </row>
    <row r="557" spans="1:10" hidden="1" x14ac:dyDescent="0.35">
      <c r="A557" s="88" t="s">
        <v>1209</v>
      </c>
      <c r="B557" s="88" t="s">
        <v>789</v>
      </c>
      <c r="C557" s="18" t="s">
        <v>125</v>
      </c>
      <c r="D557" s="18" t="s">
        <v>57</v>
      </c>
      <c r="E557" s="18" t="s">
        <v>1883</v>
      </c>
      <c r="F557" s="19">
        <v>45453</v>
      </c>
      <c r="G557" s="108">
        <v>1951.11</v>
      </c>
      <c r="H557" s="87">
        <f t="shared" si="48"/>
        <v>21</v>
      </c>
      <c r="I557" t="str">
        <f t="shared" si="49"/>
        <v>1-90 DAYS</v>
      </c>
      <c r="J557" s="87" t="str">
        <f t="shared" si="50"/>
        <v>0-180 DAYS</v>
      </c>
    </row>
    <row r="558" spans="1:10" hidden="1" x14ac:dyDescent="0.35">
      <c r="A558" s="88" t="s">
        <v>1209</v>
      </c>
      <c r="B558" s="88" t="s">
        <v>789</v>
      </c>
      <c r="C558" s="18" t="s">
        <v>125</v>
      </c>
      <c r="D558" s="18" t="s">
        <v>57</v>
      </c>
      <c r="E558" s="18" t="s">
        <v>1884</v>
      </c>
      <c r="F558" s="19">
        <v>45453</v>
      </c>
      <c r="G558" s="108">
        <v>31879.43</v>
      </c>
      <c r="H558" s="87">
        <f t="shared" si="48"/>
        <v>21</v>
      </c>
      <c r="I558" t="str">
        <f t="shared" si="49"/>
        <v>1-90 DAYS</v>
      </c>
      <c r="J558" s="87" t="str">
        <f t="shared" si="50"/>
        <v>0-180 DAYS</v>
      </c>
    </row>
    <row r="559" spans="1:10" hidden="1" x14ac:dyDescent="0.35">
      <c r="A559" s="88" t="s">
        <v>1209</v>
      </c>
      <c r="B559" s="88" t="s">
        <v>789</v>
      </c>
      <c r="C559" s="18" t="s">
        <v>125</v>
      </c>
      <c r="D559" s="18" t="s">
        <v>57</v>
      </c>
      <c r="E559" s="18" t="s">
        <v>1885</v>
      </c>
      <c r="F559" s="19">
        <v>45453</v>
      </c>
      <c r="G559" s="108">
        <v>947149.59</v>
      </c>
      <c r="H559" s="87">
        <f t="shared" si="48"/>
        <v>21</v>
      </c>
      <c r="I559" t="str">
        <f t="shared" si="49"/>
        <v>1-90 DAYS</v>
      </c>
      <c r="J559" s="87" t="str">
        <f t="shared" si="50"/>
        <v>0-180 DAYS</v>
      </c>
    </row>
    <row r="560" spans="1:10" hidden="1" x14ac:dyDescent="0.35">
      <c r="A560" s="88" t="s">
        <v>1209</v>
      </c>
      <c r="B560" s="88" t="s">
        <v>789</v>
      </c>
      <c r="C560" s="18" t="s">
        <v>125</v>
      </c>
      <c r="D560" s="18" t="s">
        <v>57</v>
      </c>
      <c r="E560" s="18" t="s">
        <v>1886</v>
      </c>
      <c r="F560" s="19">
        <v>45453</v>
      </c>
      <c r="G560" s="108">
        <v>5659</v>
      </c>
      <c r="H560" s="87">
        <f t="shared" si="48"/>
        <v>21</v>
      </c>
      <c r="I560" t="str">
        <f t="shared" si="49"/>
        <v>1-90 DAYS</v>
      </c>
      <c r="J560" s="87" t="str">
        <f t="shared" si="50"/>
        <v>0-180 DAYS</v>
      </c>
    </row>
    <row r="561" spans="1:10" hidden="1" x14ac:dyDescent="0.35">
      <c r="A561" s="88" t="s">
        <v>1209</v>
      </c>
      <c r="B561" s="88" t="s">
        <v>789</v>
      </c>
      <c r="C561" s="18" t="s">
        <v>125</v>
      </c>
      <c r="D561" s="18" t="s">
        <v>57</v>
      </c>
      <c r="E561" s="18" t="s">
        <v>1887</v>
      </c>
      <c r="F561" s="19">
        <v>45453</v>
      </c>
      <c r="G561" s="108">
        <v>33000</v>
      </c>
      <c r="H561" s="87">
        <f t="shared" si="48"/>
        <v>21</v>
      </c>
      <c r="I561" t="str">
        <f t="shared" si="49"/>
        <v>1-90 DAYS</v>
      </c>
      <c r="J561" s="87" t="str">
        <f t="shared" si="50"/>
        <v>0-180 DAYS</v>
      </c>
    </row>
    <row r="562" spans="1:10" hidden="1" x14ac:dyDescent="0.35">
      <c r="A562" s="88" t="s">
        <v>477</v>
      </c>
      <c r="B562" s="88" t="s">
        <v>790</v>
      </c>
      <c r="C562" s="18" t="s">
        <v>1838</v>
      </c>
      <c r="D562" s="18" t="s">
        <v>2001</v>
      </c>
      <c r="E562" s="18" t="s">
        <v>1888</v>
      </c>
      <c r="F562" s="19">
        <v>45454</v>
      </c>
      <c r="G562" s="108">
        <v>25980.06</v>
      </c>
      <c r="H562" s="87">
        <f t="shared" si="48"/>
        <v>20</v>
      </c>
      <c r="I562" t="str">
        <f t="shared" si="49"/>
        <v>1-90 DAYS</v>
      </c>
      <c r="J562" s="87" t="str">
        <f t="shared" si="50"/>
        <v>0-180 DAYS</v>
      </c>
    </row>
    <row r="563" spans="1:10" hidden="1" x14ac:dyDescent="0.35">
      <c r="A563" s="88" t="s">
        <v>477</v>
      </c>
      <c r="B563" s="88" t="s">
        <v>790</v>
      </c>
      <c r="C563" s="18" t="s">
        <v>1080</v>
      </c>
      <c r="D563" s="18" t="s">
        <v>1081</v>
      </c>
      <c r="E563" s="18" t="s">
        <v>1889</v>
      </c>
      <c r="F563" s="19">
        <v>45454</v>
      </c>
      <c r="G563" s="108">
        <v>1761921.62</v>
      </c>
      <c r="H563" s="87">
        <f t="shared" si="48"/>
        <v>20</v>
      </c>
      <c r="I563" t="str">
        <f t="shared" si="49"/>
        <v>1-90 DAYS</v>
      </c>
      <c r="J563" s="87" t="str">
        <f t="shared" si="50"/>
        <v>0-180 DAYS</v>
      </c>
    </row>
    <row r="564" spans="1:10" hidden="1" x14ac:dyDescent="0.35">
      <c r="A564" s="88" t="s">
        <v>477</v>
      </c>
      <c r="B564" s="88" t="s">
        <v>790</v>
      </c>
      <c r="C564" s="18" t="s">
        <v>1080</v>
      </c>
      <c r="D564" s="18" t="s">
        <v>1081</v>
      </c>
      <c r="E564" s="18" t="s">
        <v>1890</v>
      </c>
      <c r="F564" s="19">
        <v>45454</v>
      </c>
      <c r="G564" s="108">
        <v>587307.19999999995</v>
      </c>
      <c r="H564" s="87">
        <f t="shared" si="48"/>
        <v>20</v>
      </c>
      <c r="I564" t="str">
        <f t="shared" si="49"/>
        <v>1-90 DAYS</v>
      </c>
      <c r="J564" s="87" t="str">
        <f t="shared" si="50"/>
        <v>0-180 DAYS</v>
      </c>
    </row>
    <row r="565" spans="1:10" hidden="1" x14ac:dyDescent="0.35">
      <c r="A565" s="88" t="s">
        <v>1209</v>
      </c>
      <c r="B565" s="88" t="s">
        <v>789</v>
      </c>
      <c r="C565" s="18" t="s">
        <v>125</v>
      </c>
      <c r="D565" s="18" t="s">
        <v>57</v>
      </c>
      <c r="E565" s="18" t="s">
        <v>1891</v>
      </c>
      <c r="F565" s="19">
        <v>45454</v>
      </c>
      <c r="G565" s="108">
        <v>523588.52</v>
      </c>
      <c r="H565" s="87">
        <f t="shared" si="48"/>
        <v>20</v>
      </c>
      <c r="I565" t="str">
        <f t="shared" si="49"/>
        <v>1-90 DAYS</v>
      </c>
      <c r="J565" s="87" t="str">
        <f t="shared" si="50"/>
        <v>0-180 DAYS</v>
      </c>
    </row>
    <row r="566" spans="1:10" hidden="1" x14ac:dyDescent="0.35">
      <c r="A566" s="88" t="s">
        <v>1209</v>
      </c>
      <c r="B566" s="88" t="s">
        <v>789</v>
      </c>
      <c r="C566" s="18" t="s">
        <v>125</v>
      </c>
      <c r="D566" s="18" t="s">
        <v>57</v>
      </c>
      <c r="E566" s="18" t="s">
        <v>1892</v>
      </c>
      <c r="F566" s="19">
        <v>45454</v>
      </c>
      <c r="G566" s="108">
        <v>14204.64</v>
      </c>
      <c r="H566" s="87">
        <f t="shared" si="48"/>
        <v>20</v>
      </c>
      <c r="I566" t="str">
        <f t="shared" si="49"/>
        <v>1-90 DAYS</v>
      </c>
      <c r="J566" s="87" t="str">
        <f t="shared" si="50"/>
        <v>0-180 DAYS</v>
      </c>
    </row>
    <row r="567" spans="1:10" hidden="1" x14ac:dyDescent="0.35">
      <c r="A567" s="88" t="s">
        <v>1209</v>
      </c>
      <c r="B567" s="88" t="s">
        <v>789</v>
      </c>
      <c r="C567" s="18" t="s">
        <v>125</v>
      </c>
      <c r="D567" s="18" t="s">
        <v>57</v>
      </c>
      <c r="E567" s="18" t="s">
        <v>1893</v>
      </c>
      <c r="F567" s="19">
        <v>45454</v>
      </c>
      <c r="G567" s="108">
        <v>1633807.96</v>
      </c>
      <c r="H567" s="87">
        <f t="shared" si="48"/>
        <v>20</v>
      </c>
      <c r="I567" t="str">
        <f t="shared" si="49"/>
        <v>1-90 DAYS</v>
      </c>
      <c r="J567" s="87" t="str">
        <f t="shared" si="50"/>
        <v>0-180 DAYS</v>
      </c>
    </row>
    <row r="568" spans="1:10" hidden="1" x14ac:dyDescent="0.35">
      <c r="A568" s="88" t="s">
        <v>1209</v>
      </c>
      <c r="B568" s="88" t="s">
        <v>789</v>
      </c>
      <c r="C568" s="18" t="s">
        <v>125</v>
      </c>
      <c r="D568" s="18" t="s">
        <v>57</v>
      </c>
      <c r="E568" s="18" t="s">
        <v>1894</v>
      </c>
      <c r="F568" s="19">
        <v>45455</v>
      </c>
      <c r="G568" s="108">
        <v>121409.98</v>
      </c>
      <c r="H568" s="87">
        <f t="shared" si="48"/>
        <v>19</v>
      </c>
      <c r="I568" t="str">
        <f t="shared" si="49"/>
        <v>1-90 DAYS</v>
      </c>
      <c r="J568" s="87" t="str">
        <f t="shared" si="50"/>
        <v>0-180 DAYS</v>
      </c>
    </row>
    <row r="569" spans="1:10" hidden="1" x14ac:dyDescent="0.35">
      <c r="A569" s="88" t="s">
        <v>1209</v>
      </c>
      <c r="B569" s="88" t="s">
        <v>789</v>
      </c>
      <c r="C569" s="18" t="s">
        <v>125</v>
      </c>
      <c r="D569" s="18" t="s">
        <v>57</v>
      </c>
      <c r="E569" s="18" t="s">
        <v>1895</v>
      </c>
      <c r="F569" s="19">
        <v>45455</v>
      </c>
      <c r="G569" s="108">
        <v>95349.55</v>
      </c>
      <c r="H569" s="87">
        <f t="shared" si="48"/>
        <v>19</v>
      </c>
      <c r="I569" t="str">
        <f t="shared" si="49"/>
        <v>1-90 DAYS</v>
      </c>
      <c r="J569" s="87" t="str">
        <f t="shared" si="50"/>
        <v>0-180 DAYS</v>
      </c>
    </row>
    <row r="570" spans="1:10" hidden="1" x14ac:dyDescent="0.35">
      <c r="A570" s="88" t="s">
        <v>1209</v>
      </c>
      <c r="B570" s="88" t="s">
        <v>789</v>
      </c>
      <c r="C570" s="18" t="s">
        <v>125</v>
      </c>
      <c r="D570" s="18" t="s">
        <v>57</v>
      </c>
      <c r="E570" s="18" t="s">
        <v>1896</v>
      </c>
      <c r="F570" s="19">
        <v>45455</v>
      </c>
      <c r="G570" s="108">
        <v>22000</v>
      </c>
      <c r="H570" s="87">
        <f t="shared" si="48"/>
        <v>19</v>
      </c>
      <c r="I570" t="str">
        <f t="shared" si="49"/>
        <v>1-90 DAYS</v>
      </c>
      <c r="J570" s="87" t="str">
        <f t="shared" si="50"/>
        <v>0-180 DAYS</v>
      </c>
    </row>
    <row r="571" spans="1:10" hidden="1" x14ac:dyDescent="0.35">
      <c r="A571" s="88" t="s">
        <v>477</v>
      </c>
      <c r="B571" s="88" t="s">
        <v>790</v>
      </c>
      <c r="C571" s="18" t="s">
        <v>1080</v>
      </c>
      <c r="D571" s="18" t="s">
        <v>1081</v>
      </c>
      <c r="E571" s="18" t="s">
        <v>1897</v>
      </c>
      <c r="F571" s="19">
        <v>45456</v>
      </c>
      <c r="G571" s="108">
        <v>1250666.6000000001</v>
      </c>
      <c r="H571" s="87">
        <f t="shared" si="48"/>
        <v>18</v>
      </c>
      <c r="I571" t="str">
        <f t="shared" si="49"/>
        <v>1-90 DAYS</v>
      </c>
      <c r="J571" s="87" t="str">
        <f t="shared" si="50"/>
        <v>0-180 DAYS</v>
      </c>
    </row>
    <row r="572" spans="1:10" hidden="1" x14ac:dyDescent="0.35">
      <c r="A572" s="88" t="s">
        <v>1209</v>
      </c>
      <c r="B572" s="88" t="s">
        <v>789</v>
      </c>
      <c r="C572" s="18" t="s">
        <v>125</v>
      </c>
      <c r="D572" s="18" t="s">
        <v>57</v>
      </c>
      <c r="E572" s="18" t="s">
        <v>1898</v>
      </c>
      <c r="F572" s="19">
        <v>45456</v>
      </c>
      <c r="G572" s="108">
        <v>9450.8799999999992</v>
      </c>
      <c r="H572" s="87">
        <f t="shared" si="48"/>
        <v>18</v>
      </c>
      <c r="I572" t="str">
        <f t="shared" si="49"/>
        <v>1-90 DAYS</v>
      </c>
      <c r="J572" s="87" t="str">
        <f t="shared" si="50"/>
        <v>0-180 DAYS</v>
      </c>
    </row>
    <row r="573" spans="1:10" hidden="1" x14ac:dyDescent="0.35">
      <c r="A573" s="88" t="s">
        <v>1209</v>
      </c>
      <c r="B573" s="88" t="s">
        <v>789</v>
      </c>
      <c r="C573" s="18" t="s">
        <v>125</v>
      </c>
      <c r="D573" s="18" t="s">
        <v>57</v>
      </c>
      <c r="E573" s="18" t="s">
        <v>1899</v>
      </c>
      <c r="F573" s="19">
        <v>45456</v>
      </c>
      <c r="G573" s="108">
        <v>809853.37</v>
      </c>
      <c r="H573" s="87">
        <f t="shared" si="48"/>
        <v>18</v>
      </c>
      <c r="I573" t="str">
        <f t="shared" si="49"/>
        <v>1-90 DAYS</v>
      </c>
      <c r="J573" s="87" t="str">
        <f t="shared" si="50"/>
        <v>0-180 DAYS</v>
      </c>
    </row>
    <row r="574" spans="1:10" hidden="1" x14ac:dyDescent="0.35">
      <c r="A574" s="88" t="s">
        <v>1209</v>
      </c>
      <c r="B574" s="88" t="s">
        <v>789</v>
      </c>
      <c r="C574" s="18" t="s">
        <v>125</v>
      </c>
      <c r="D574" s="18" t="s">
        <v>57</v>
      </c>
      <c r="E574" s="18" t="s">
        <v>1900</v>
      </c>
      <c r="F574" s="19">
        <v>45456</v>
      </c>
      <c r="G574" s="108">
        <v>40975</v>
      </c>
      <c r="H574" s="87">
        <f t="shared" si="48"/>
        <v>18</v>
      </c>
      <c r="I574" t="str">
        <f t="shared" si="49"/>
        <v>1-90 DAYS</v>
      </c>
      <c r="J574" s="87" t="str">
        <f t="shared" si="50"/>
        <v>0-180 DAYS</v>
      </c>
    </row>
    <row r="575" spans="1:10" hidden="1" x14ac:dyDescent="0.35">
      <c r="A575" s="88" t="s">
        <v>477</v>
      </c>
      <c r="B575" s="88" t="s">
        <v>790</v>
      </c>
      <c r="C575" s="18" t="s">
        <v>1080</v>
      </c>
      <c r="D575" s="18" t="s">
        <v>1081</v>
      </c>
      <c r="E575" s="18" t="s">
        <v>1901</v>
      </c>
      <c r="F575" s="19">
        <v>45457</v>
      </c>
      <c r="G575" s="108">
        <v>1201731.3999999999</v>
      </c>
      <c r="H575" s="87">
        <f t="shared" si="48"/>
        <v>17</v>
      </c>
      <c r="I575" t="str">
        <f t="shared" si="49"/>
        <v>1-90 DAYS</v>
      </c>
      <c r="J575" s="87" t="str">
        <f t="shared" si="50"/>
        <v>0-180 DAYS</v>
      </c>
    </row>
    <row r="576" spans="1:10" hidden="1" x14ac:dyDescent="0.35">
      <c r="A576" s="88" t="s">
        <v>1209</v>
      </c>
      <c r="B576" s="88" t="s">
        <v>789</v>
      </c>
      <c r="C576" s="18" t="s">
        <v>125</v>
      </c>
      <c r="D576" s="18" t="s">
        <v>57</v>
      </c>
      <c r="E576" s="18" t="s">
        <v>1902</v>
      </c>
      <c r="F576" s="19">
        <v>45457</v>
      </c>
      <c r="G576" s="108">
        <v>23816</v>
      </c>
      <c r="H576" s="87">
        <f t="shared" si="48"/>
        <v>17</v>
      </c>
      <c r="I576" t="str">
        <f t="shared" si="49"/>
        <v>1-90 DAYS</v>
      </c>
      <c r="J576" s="87" t="str">
        <f t="shared" si="50"/>
        <v>0-180 DAYS</v>
      </c>
    </row>
    <row r="577" spans="1:10" hidden="1" x14ac:dyDescent="0.35">
      <c r="A577" s="88" t="s">
        <v>1209</v>
      </c>
      <c r="B577" s="88" t="s">
        <v>789</v>
      </c>
      <c r="C577" s="18" t="s">
        <v>125</v>
      </c>
      <c r="D577" s="18" t="s">
        <v>57</v>
      </c>
      <c r="E577" s="18" t="s">
        <v>1903</v>
      </c>
      <c r="F577" s="19">
        <v>45457</v>
      </c>
      <c r="G577" s="108">
        <v>970599.75</v>
      </c>
      <c r="H577" s="87">
        <f t="shared" si="48"/>
        <v>17</v>
      </c>
      <c r="I577" t="str">
        <f t="shared" si="49"/>
        <v>1-90 DAYS</v>
      </c>
      <c r="J577" s="87" t="str">
        <f t="shared" si="50"/>
        <v>0-180 DAYS</v>
      </c>
    </row>
    <row r="578" spans="1:10" hidden="1" x14ac:dyDescent="0.35">
      <c r="A578" s="88" t="s">
        <v>1209</v>
      </c>
      <c r="B578" s="88" t="s">
        <v>789</v>
      </c>
      <c r="C578" s="18" t="s">
        <v>125</v>
      </c>
      <c r="D578" s="18" t="s">
        <v>57</v>
      </c>
      <c r="E578" s="18" t="s">
        <v>1904</v>
      </c>
      <c r="F578" s="19">
        <v>45457</v>
      </c>
      <c r="G578" s="108">
        <v>7865.96</v>
      </c>
      <c r="H578" s="87">
        <f t="shared" si="48"/>
        <v>17</v>
      </c>
      <c r="I578" t="str">
        <f t="shared" si="49"/>
        <v>1-90 DAYS</v>
      </c>
      <c r="J578" s="87" t="str">
        <f t="shared" si="50"/>
        <v>0-180 DAYS</v>
      </c>
    </row>
    <row r="579" spans="1:10" hidden="1" x14ac:dyDescent="0.35">
      <c r="A579" s="88" t="s">
        <v>1209</v>
      </c>
      <c r="B579" s="88" t="s">
        <v>789</v>
      </c>
      <c r="C579" s="18" t="s">
        <v>125</v>
      </c>
      <c r="D579" s="18" t="s">
        <v>57</v>
      </c>
      <c r="E579" s="18" t="s">
        <v>1905</v>
      </c>
      <c r="F579" s="19">
        <v>45458</v>
      </c>
      <c r="G579" s="108">
        <v>623009.65</v>
      </c>
      <c r="H579" s="87">
        <f t="shared" si="48"/>
        <v>16</v>
      </c>
      <c r="I579" t="str">
        <f t="shared" si="49"/>
        <v>1-90 DAYS</v>
      </c>
      <c r="J579" s="87" t="str">
        <f t="shared" si="50"/>
        <v>0-180 DAYS</v>
      </c>
    </row>
    <row r="580" spans="1:10" hidden="1" x14ac:dyDescent="0.35">
      <c r="A580" s="88" t="s">
        <v>1209</v>
      </c>
      <c r="B580" s="88" t="s">
        <v>789</v>
      </c>
      <c r="C580" s="18" t="s">
        <v>125</v>
      </c>
      <c r="D580" s="18" t="s">
        <v>57</v>
      </c>
      <c r="E580" s="18" t="s">
        <v>1906</v>
      </c>
      <c r="F580" s="19">
        <v>45458</v>
      </c>
      <c r="G580" s="108">
        <v>63775.74</v>
      </c>
      <c r="H580" s="87">
        <f t="shared" si="48"/>
        <v>16</v>
      </c>
      <c r="I580" t="str">
        <f t="shared" si="49"/>
        <v>1-90 DAYS</v>
      </c>
      <c r="J580" s="87" t="str">
        <f t="shared" si="50"/>
        <v>0-180 DAYS</v>
      </c>
    </row>
    <row r="581" spans="1:10" hidden="1" x14ac:dyDescent="0.35">
      <c r="A581" s="88" t="s">
        <v>1209</v>
      </c>
      <c r="B581" s="88" t="s">
        <v>789</v>
      </c>
      <c r="C581" s="18" t="s">
        <v>125</v>
      </c>
      <c r="D581" s="18" t="s">
        <v>57</v>
      </c>
      <c r="E581" s="18" t="s">
        <v>1907</v>
      </c>
      <c r="F581" s="19">
        <v>45458</v>
      </c>
      <c r="G581" s="108">
        <v>549469</v>
      </c>
      <c r="H581" s="87">
        <f t="shared" ref="H581:H644" si="51">$H$2-F581+1</f>
        <v>16</v>
      </c>
      <c r="I581" t="str">
        <f t="shared" ref="I581:I644" si="52">IF(H581&lt;91,"1-90 DAYS",IF(H581&lt;121,"91-120DAYS",IF(H581&lt;181,"121-180 DAYS","More than 180 Days")))</f>
        <v>1-90 DAYS</v>
      </c>
      <c r="J581" s="87" t="str">
        <f t="shared" ref="J581:J644" si="53">IF(H581&lt;180,"0-180 DAYS","More than 180 Days")</f>
        <v>0-180 DAYS</v>
      </c>
    </row>
    <row r="582" spans="1:10" hidden="1" x14ac:dyDescent="0.35">
      <c r="A582" s="88" t="s">
        <v>1209</v>
      </c>
      <c r="B582" s="88" t="s">
        <v>789</v>
      </c>
      <c r="C582" s="18" t="s">
        <v>125</v>
      </c>
      <c r="D582" s="18" t="s">
        <v>57</v>
      </c>
      <c r="E582" s="18" t="s">
        <v>1908</v>
      </c>
      <c r="F582" s="19">
        <v>45459</v>
      </c>
      <c r="G582" s="108">
        <v>1009248.37</v>
      </c>
      <c r="H582" s="87">
        <f t="shared" si="51"/>
        <v>15</v>
      </c>
      <c r="I582" t="str">
        <f t="shared" si="52"/>
        <v>1-90 DAYS</v>
      </c>
      <c r="J582" s="87" t="str">
        <f t="shared" si="53"/>
        <v>0-180 DAYS</v>
      </c>
    </row>
    <row r="583" spans="1:10" hidden="1" x14ac:dyDescent="0.35">
      <c r="A583" s="88" t="s">
        <v>1209</v>
      </c>
      <c r="B583" s="88" t="s">
        <v>789</v>
      </c>
      <c r="C583" s="18" t="s">
        <v>125</v>
      </c>
      <c r="D583" s="18" t="s">
        <v>57</v>
      </c>
      <c r="E583" s="18" t="s">
        <v>1909</v>
      </c>
      <c r="F583" s="19">
        <v>45459</v>
      </c>
      <c r="G583" s="108">
        <v>12676.36</v>
      </c>
      <c r="H583" s="87">
        <f t="shared" si="51"/>
        <v>15</v>
      </c>
      <c r="I583" t="str">
        <f t="shared" si="52"/>
        <v>1-90 DAYS</v>
      </c>
      <c r="J583" s="87" t="str">
        <f t="shared" si="53"/>
        <v>0-180 DAYS</v>
      </c>
    </row>
    <row r="584" spans="1:10" hidden="1" x14ac:dyDescent="0.35">
      <c r="A584" s="88" t="s">
        <v>1209</v>
      </c>
      <c r="B584" s="88" t="s">
        <v>789</v>
      </c>
      <c r="C584" s="18" t="s">
        <v>125</v>
      </c>
      <c r="D584" s="18" t="s">
        <v>57</v>
      </c>
      <c r="E584" s="18" t="s">
        <v>1910</v>
      </c>
      <c r="F584" s="19">
        <v>45459</v>
      </c>
      <c r="G584" s="108">
        <v>169979.39</v>
      </c>
      <c r="H584" s="87">
        <f t="shared" si="51"/>
        <v>15</v>
      </c>
      <c r="I584" t="str">
        <f t="shared" si="52"/>
        <v>1-90 DAYS</v>
      </c>
      <c r="J584" s="87" t="str">
        <f t="shared" si="53"/>
        <v>0-180 DAYS</v>
      </c>
    </row>
    <row r="585" spans="1:10" hidden="1" x14ac:dyDescent="0.35">
      <c r="A585" s="88" t="s">
        <v>477</v>
      </c>
      <c r="B585" s="88" t="s">
        <v>790</v>
      </c>
      <c r="C585" s="18" t="s">
        <v>1838</v>
      </c>
      <c r="D585" s="18" t="s">
        <v>2001</v>
      </c>
      <c r="E585" s="18" t="s">
        <v>1911</v>
      </c>
      <c r="F585" s="19">
        <v>45460</v>
      </c>
      <c r="G585" s="108">
        <v>70223.58</v>
      </c>
      <c r="H585" s="87">
        <f t="shared" si="51"/>
        <v>14</v>
      </c>
      <c r="I585" t="str">
        <f t="shared" si="52"/>
        <v>1-90 DAYS</v>
      </c>
      <c r="J585" s="87" t="str">
        <f t="shared" si="53"/>
        <v>0-180 DAYS</v>
      </c>
    </row>
    <row r="586" spans="1:10" hidden="1" x14ac:dyDescent="0.35">
      <c r="A586" s="88" t="s">
        <v>1209</v>
      </c>
      <c r="B586" s="88" t="s">
        <v>789</v>
      </c>
      <c r="C586" s="18" t="s">
        <v>125</v>
      </c>
      <c r="D586" s="18" t="s">
        <v>57</v>
      </c>
      <c r="E586" s="18" t="s">
        <v>1912</v>
      </c>
      <c r="F586" s="19">
        <v>45460</v>
      </c>
      <c r="G586" s="108">
        <v>33000</v>
      </c>
      <c r="H586" s="87">
        <f t="shared" si="51"/>
        <v>14</v>
      </c>
      <c r="I586" t="str">
        <f t="shared" si="52"/>
        <v>1-90 DAYS</v>
      </c>
      <c r="J586" s="87" t="str">
        <f t="shared" si="53"/>
        <v>0-180 DAYS</v>
      </c>
    </row>
    <row r="587" spans="1:10" hidden="1" x14ac:dyDescent="0.35">
      <c r="A587" s="88" t="s">
        <v>1209</v>
      </c>
      <c r="B587" s="88" t="s">
        <v>789</v>
      </c>
      <c r="C587" s="18" t="s">
        <v>125</v>
      </c>
      <c r="D587" s="18" t="s">
        <v>57</v>
      </c>
      <c r="E587" s="18" t="s">
        <v>1913</v>
      </c>
      <c r="F587" s="19">
        <v>45461</v>
      </c>
      <c r="G587" s="108">
        <v>551690.86</v>
      </c>
      <c r="H587" s="87">
        <f t="shared" si="51"/>
        <v>13</v>
      </c>
      <c r="I587" t="str">
        <f t="shared" si="52"/>
        <v>1-90 DAYS</v>
      </c>
      <c r="J587" s="87" t="str">
        <f t="shared" si="53"/>
        <v>0-180 DAYS</v>
      </c>
    </row>
    <row r="588" spans="1:10" hidden="1" x14ac:dyDescent="0.35">
      <c r="A588" s="88" t="s">
        <v>1209</v>
      </c>
      <c r="B588" s="88" t="s">
        <v>789</v>
      </c>
      <c r="C588" s="18" t="s">
        <v>125</v>
      </c>
      <c r="D588" s="18" t="s">
        <v>57</v>
      </c>
      <c r="E588" s="18" t="s">
        <v>1914</v>
      </c>
      <c r="F588" s="19">
        <v>45461</v>
      </c>
      <c r="G588" s="108">
        <v>29329.19</v>
      </c>
      <c r="H588" s="87">
        <f t="shared" si="51"/>
        <v>13</v>
      </c>
      <c r="I588" t="str">
        <f t="shared" si="52"/>
        <v>1-90 DAYS</v>
      </c>
      <c r="J588" s="87" t="str">
        <f t="shared" si="53"/>
        <v>0-180 DAYS</v>
      </c>
    </row>
    <row r="589" spans="1:10" hidden="1" x14ac:dyDescent="0.35">
      <c r="A589" s="88" t="s">
        <v>1209</v>
      </c>
      <c r="B589" s="88" t="s">
        <v>789</v>
      </c>
      <c r="C589" s="18" t="s">
        <v>125</v>
      </c>
      <c r="D589" s="18" t="s">
        <v>57</v>
      </c>
      <c r="E589" s="18" t="s">
        <v>1915</v>
      </c>
      <c r="F589" s="19">
        <v>45461</v>
      </c>
      <c r="G589" s="108">
        <v>1753876.45</v>
      </c>
      <c r="H589" s="87">
        <f t="shared" si="51"/>
        <v>13</v>
      </c>
      <c r="I589" t="str">
        <f t="shared" si="52"/>
        <v>1-90 DAYS</v>
      </c>
      <c r="J589" s="87" t="str">
        <f t="shared" si="53"/>
        <v>0-180 DAYS</v>
      </c>
    </row>
    <row r="590" spans="1:10" hidden="1" x14ac:dyDescent="0.35">
      <c r="A590" s="88" t="s">
        <v>1209</v>
      </c>
      <c r="B590" s="88" t="s">
        <v>789</v>
      </c>
      <c r="C590" s="18" t="s">
        <v>125</v>
      </c>
      <c r="D590" s="18" t="s">
        <v>57</v>
      </c>
      <c r="E590" s="18" t="s">
        <v>1916</v>
      </c>
      <c r="F590" s="19">
        <v>45461</v>
      </c>
      <c r="G590" s="108">
        <v>11374.64</v>
      </c>
      <c r="H590" s="87">
        <f t="shared" si="51"/>
        <v>13</v>
      </c>
      <c r="I590" t="str">
        <f t="shared" si="52"/>
        <v>1-90 DAYS</v>
      </c>
      <c r="J590" s="87" t="str">
        <f t="shared" si="53"/>
        <v>0-180 DAYS</v>
      </c>
    </row>
    <row r="591" spans="1:10" hidden="1" x14ac:dyDescent="0.35">
      <c r="A591" s="88" t="s">
        <v>477</v>
      </c>
      <c r="B591" s="88" t="s">
        <v>790</v>
      </c>
      <c r="C591" s="18" t="s">
        <v>1087</v>
      </c>
      <c r="D591" s="18" t="s">
        <v>1088</v>
      </c>
      <c r="E591" s="18" t="s">
        <v>1917</v>
      </c>
      <c r="F591" s="19">
        <v>45462</v>
      </c>
      <c r="G591" s="108">
        <v>326270</v>
      </c>
      <c r="H591" s="87">
        <f t="shared" si="51"/>
        <v>12</v>
      </c>
      <c r="I591" t="str">
        <f t="shared" si="52"/>
        <v>1-90 DAYS</v>
      </c>
      <c r="J591" s="87" t="str">
        <f t="shared" si="53"/>
        <v>0-180 DAYS</v>
      </c>
    </row>
    <row r="592" spans="1:10" hidden="1" x14ac:dyDescent="0.35">
      <c r="A592" s="88" t="s">
        <v>1209</v>
      </c>
      <c r="B592" s="88" t="s">
        <v>789</v>
      </c>
      <c r="C592" s="18" t="s">
        <v>125</v>
      </c>
      <c r="D592" s="18" t="s">
        <v>57</v>
      </c>
      <c r="E592" s="18" t="s">
        <v>1918</v>
      </c>
      <c r="F592" s="19">
        <v>45462</v>
      </c>
      <c r="G592" s="108">
        <v>727808.2</v>
      </c>
      <c r="H592" s="87">
        <f t="shared" si="51"/>
        <v>12</v>
      </c>
      <c r="I592" t="str">
        <f t="shared" si="52"/>
        <v>1-90 DAYS</v>
      </c>
      <c r="J592" s="87" t="str">
        <f t="shared" si="53"/>
        <v>0-180 DAYS</v>
      </c>
    </row>
    <row r="593" spans="1:10" hidden="1" x14ac:dyDescent="0.35">
      <c r="A593" s="88" t="s">
        <v>1209</v>
      </c>
      <c r="B593" s="88" t="s">
        <v>789</v>
      </c>
      <c r="C593" s="18" t="s">
        <v>125</v>
      </c>
      <c r="D593" s="18" t="s">
        <v>57</v>
      </c>
      <c r="E593" s="18" t="s">
        <v>1919</v>
      </c>
      <c r="F593" s="19">
        <v>45462</v>
      </c>
      <c r="G593" s="108">
        <v>10469.4</v>
      </c>
      <c r="H593" s="87">
        <f t="shared" si="51"/>
        <v>12</v>
      </c>
      <c r="I593" t="str">
        <f t="shared" si="52"/>
        <v>1-90 DAYS</v>
      </c>
      <c r="J593" s="87" t="str">
        <f t="shared" si="53"/>
        <v>0-180 DAYS</v>
      </c>
    </row>
    <row r="594" spans="1:10" hidden="1" x14ac:dyDescent="0.35">
      <c r="A594" s="88" t="s">
        <v>1209</v>
      </c>
      <c r="B594" s="88" t="s">
        <v>789</v>
      </c>
      <c r="C594" s="18" t="s">
        <v>125</v>
      </c>
      <c r="D594" s="18" t="s">
        <v>57</v>
      </c>
      <c r="E594" s="18" t="s">
        <v>1920</v>
      </c>
      <c r="F594" s="19">
        <v>45462</v>
      </c>
      <c r="G594" s="108">
        <v>156968.34</v>
      </c>
      <c r="H594" s="87">
        <f t="shared" si="51"/>
        <v>12</v>
      </c>
      <c r="I594" t="str">
        <f t="shared" si="52"/>
        <v>1-90 DAYS</v>
      </c>
      <c r="J594" s="87" t="str">
        <f t="shared" si="53"/>
        <v>0-180 DAYS</v>
      </c>
    </row>
    <row r="595" spans="1:10" hidden="1" x14ac:dyDescent="0.35">
      <c r="A595" s="88" t="s">
        <v>1209</v>
      </c>
      <c r="B595" s="88" t="s">
        <v>789</v>
      </c>
      <c r="C595" s="18" t="s">
        <v>125</v>
      </c>
      <c r="D595" s="18" t="s">
        <v>57</v>
      </c>
      <c r="E595" s="18" t="s">
        <v>1921</v>
      </c>
      <c r="F595" s="19">
        <v>45462</v>
      </c>
      <c r="G595" s="108">
        <v>22000</v>
      </c>
      <c r="H595" s="87">
        <f t="shared" si="51"/>
        <v>12</v>
      </c>
      <c r="I595" t="str">
        <f t="shared" si="52"/>
        <v>1-90 DAYS</v>
      </c>
      <c r="J595" s="87" t="str">
        <f t="shared" si="53"/>
        <v>0-180 DAYS</v>
      </c>
    </row>
    <row r="596" spans="1:10" hidden="1" x14ac:dyDescent="0.35">
      <c r="A596" s="88" t="s">
        <v>477</v>
      </c>
      <c r="B596" s="88" t="s">
        <v>790</v>
      </c>
      <c r="C596" s="18" t="s">
        <v>1087</v>
      </c>
      <c r="D596" s="18" t="s">
        <v>1088</v>
      </c>
      <c r="E596" s="18" t="s">
        <v>1922</v>
      </c>
      <c r="F596" s="19">
        <v>45463</v>
      </c>
      <c r="G596" s="108">
        <v>288279.90000000002</v>
      </c>
      <c r="H596" s="87">
        <f t="shared" si="51"/>
        <v>11</v>
      </c>
      <c r="I596" t="str">
        <f t="shared" si="52"/>
        <v>1-90 DAYS</v>
      </c>
      <c r="J596" s="87" t="str">
        <f t="shared" si="53"/>
        <v>0-180 DAYS</v>
      </c>
    </row>
    <row r="597" spans="1:10" hidden="1" x14ac:dyDescent="0.35">
      <c r="A597" s="88" t="s">
        <v>477</v>
      </c>
      <c r="B597" s="88" t="s">
        <v>790</v>
      </c>
      <c r="C597" s="18" t="s">
        <v>1080</v>
      </c>
      <c r="D597" s="18" t="s">
        <v>1081</v>
      </c>
      <c r="E597" s="18" t="s">
        <v>1923</v>
      </c>
      <c r="F597" s="19">
        <v>45463</v>
      </c>
      <c r="G597" s="108">
        <v>486521.56</v>
      </c>
      <c r="H597" s="87">
        <f t="shared" si="51"/>
        <v>11</v>
      </c>
      <c r="I597" t="str">
        <f t="shared" si="52"/>
        <v>1-90 DAYS</v>
      </c>
      <c r="J597" s="87" t="str">
        <f t="shared" si="53"/>
        <v>0-180 DAYS</v>
      </c>
    </row>
    <row r="598" spans="1:10" hidden="1" x14ac:dyDescent="0.35">
      <c r="A598" s="88" t="s">
        <v>477</v>
      </c>
      <c r="B598" s="88" t="s">
        <v>790</v>
      </c>
      <c r="C598" s="18" t="s">
        <v>1080</v>
      </c>
      <c r="D598" s="18" t="s">
        <v>1081</v>
      </c>
      <c r="E598" s="18" t="s">
        <v>1924</v>
      </c>
      <c r="F598" s="19">
        <v>45463</v>
      </c>
      <c r="G598" s="108">
        <v>243261.28</v>
      </c>
      <c r="H598" s="87">
        <f t="shared" si="51"/>
        <v>11</v>
      </c>
      <c r="I598" t="str">
        <f t="shared" si="52"/>
        <v>1-90 DAYS</v>
      </c>
      <c r="J598" s="87" t="str">
        <f t="shared" si="53"/>
        <v>0-180 DAYS</v>
      </c>
    </row>
    <row r="599" spans="1:10" hidden="1" x14ac:dyDescent="0.35">
      <c r="A599" s="88" t="s">
        <v>1209</v>
      </c>
      <c r="B599" s="88" t="s">
        <v>789</v>
      </c>
      <c r="C599" s="18" t="s">
        <v>125</v>
      </c>
      <c r="D599" s="18" t="s">
        <v>57</v>
      </c>
      <c r="E599" s="18" t="s">
        <v>1925</v>
      </c>
      <c r="F599" s="19">
        <v>45463</v>
      </c>
      <c r="G599" s="108">
        <v>250624.32</v>
      </c>
      <c r="H599" s="87">
        <f t="shared" si="51"/>
        <v>11</v>
      </c>
      <c r="I599" t="str">
        <f t="shared" si="52"/>
        <v>1-90 DAYS</v>
      </c>
      <c r="J599" s="87" t="str">
        <f t="shared" si="53"/>
        <v>0-180 DAYS</v>
      </c>
    </row>
    <row r="600" spans="1:10" hidden="1" x14ac:dyDescent="0.35">
      <c r="A600" s="88" t="s">
        <v>1209</v>
      </c>
      <c r="B600" s="88" t="s">
        <v>789</v>
      </c>
      <c r="C600" s="18" t="s">
        <v>125</v>
      </c>
      <c r="D600" s="18" t="s">
        <v>57</v>
      </c>
      <c r="E600" s="18" t="s">
        <v>1926</v>
      </c>
      <c r="F600" s="19">
        <v>45463</v>
      </c>
      <c r="G600" s="108">
        <v>50325</v>
      </c>
      <c r="H600" s="87">
        <f t="shared" si="51"/>
        <v>11</v>
      </c>
      <c r="I600" t="str">
        <f t="shared" si="52"/>
        <v>1-90 DAYS</v>
      </c>
      <c r="J600" s="87" t="str">
        <f t="shared" si="53"/>
        <v>0-180 DAYS</v>
      </c>
    </row>
    <row r="601" spans="1:10" hidden="1" x14ac:dyDescent="0.35">
      <c r="A601" s="88" t="s">
        <v>477</v>
      </c>
      <c r="B601" s="88" t="s">
        <v>790</v>
      </c>
      <c r="C601" s="18" t="s">
        <v>1838</v>
      </c>
      <c r="D601" s="18" t="s">
        <v>2001</v>
      </c>
      <c r="E601" s="18" t="s">
        <v>1927</v>
      </c>
      <c r="F601" s="19">
        <v>45464</v>
      </c>
      <c r="G601" s="108">
        <v>24794.74</v>
      </c>
      <c r="H601" s="87">
        <f t="shared" si="51"/>
        <v>10</v>
      </c>
      <c r="I601" t="str">
        <f t="shared" si="52"/>
        <v>1-90 DAYS</v>
      </c>
      <c r="J601" s="87" t="str">
        <f t="shared" si="53"/>
        <v>0-180 DAYS</v>
      </c>
    </row>
    <row r="602" spans="1:10" hidden="1" x14ac:dyDescent="0.35">
      <c r="A602" s="88" t="s">
        <v>1209</v>
      </c>
      <c r="B602" s="88" t="s">
        <v>789</v>
      </c>
      <c r="C602" s="18" t="s">
        <v>125</v>
      </c>
      <c r="D602" s="18" t="s">
        <v>57</v>
      </c>
      <c r="E602" s="18" t="s">
        <v>1928</v>
      </c>
      <c r="F602" s="19">
        <v>45464</v>
      </c>
      <c r="G602" s="108">
        <v>10752.6</v>
      </c>
      <c r="H602" s="87">
        <f t="shared" si="51"/>
        <v>10</v>
      </c>
      <c r="I602" t="str">
        <f t="shared" si="52"/>
        <v>1-90 DAYS</v>
      </c>
      <c r="J602" s="87" t="str">
        <f t="shared" si="53"/>
        <v>0-180 DAYS</v>
      </c>
    </row>
    <row r="603" spans="1:10" hidden="1" x14ac:dyDescent="0.35">
      <c r="A603" s="88" t="s">
        <v>1209</v>
      </c>
      <c r="B603" s="88" t="s">
        <v>789</v>
      </c>
      <c r="C603" s="18" t="s">
        <v>125</v>
      </c>
      <c r="D603" s="18" t="s">
        <v>57</v>
      </c>
      <c r="E603" s="18" t="s">
        <v>1929</v>
      </c>
      <c r="F603" s="19">
        <v>45464</v>
      </c>
      <c r="G603" s="108">
        <v>964755.9</v>
      </c>
      <c r="H603" s="87">
        <f t="shared" si="51"/>
        <v>10</v>
      </c>
      <c r="I603" t="str">
        <f t="shared" si="52"/>
        <v>1-90 DAYS</v>
      </c>
      <c r="J603" s="87" t="str">
        <f t="shared" si="53"/>
        <v>0-180 DAYS</v>
      </c>
    </row>
    <row r="604" spans="1:10" hidden="1" x14ac:dyDescent="0.35">
      <c r="A604" s="88" t="s">
        <v>477</v>
      </c>
      <c r="B604" s="88" t="s">
        <v>790</v>
      </c>
      <c r="C604" s="18" t="s">
        <v>1838</v>
      </c>
      <c r="D604" s="18" t="s">
        <v>2001</v>
      </c>
      <c r="E604" s="18" t="s">
        <v>1930</v>
      </c>
      <c r="F604" s="19">
        <v>45465</v>
      </c>
      <c r="G604" s="108">
        <v>104694.32</v>
      </c>
      <c r="H604" s="87">
        <f t="shared" si="51"/>
        <v>9</v>
      </c>
      <c r="I604" t="str">
        <f t="shared" si="52"/>
        <v>1-90 DAYS</v>
      </c>
      <c r="J604" s="87" t="str">
        <f t="shared" si="53"/>
        <v>0-180 DAYS</v>
      </c>
    </row>
    <row r="605" spans="1:10" hidden="1" x14ac:dyDescent="0.35">
      <c r="A605" s="88" t="s">
        <v>477</v>
      </c>
      <c r="B605" s="88" t="s">
        <v>790</v>
      </c>
      <c r="C605" s="18" t="s">
        <v>1080</v>
      </c>
      <c r="D605" s="18" t="s">
        <v>1081</v>
      </c>
      <c r="E605" s="18" t="s">
        <v>1931</v>
      </c>
      <c r="F605" s="19">
        <v>45465</v>
      </c>
      <c r="G605" s="108">
        <v>304075.8</v>
      </c>
      <c r="H605" s="87">
        <f t="shared" si="51"/>
        <v>9</v>
      </c>
      <c r="I605" t="str">
        <f t="shared" si="52"/>
        <v>1-90 DAYS</v>
      </c>
      <c r="J605" s="87" t="str">
        <f t="shared" si="53"/>
        <v>0-180 DAYS</v>
      </c>
    </row>
    <row r="606" spans="1:10" hidden="1" x14ac:dyDescent="0.35">
      <c r="A606" s="88" t="s">
        <v>477</v>
      </c>
      <c r="B606" s="88" t="s">
        <v>790</v>
      </c>
      <c r="C606" s="18" t="s">
        <v>1080</v>
      </c>
      <c r="D606" s="18" t="s">
        <v>1081</v>
      </c>
      <c r="E606" s="18" t="s">
        <v>1932</v>
      </c>
      <c r="F606" s="19">
        <v>45465</v>
      </c>
      <c r="G606" s="108">
        <v>608152.18000000005</v>
      </c>
      <c r="H606" s="87">
        <f t="shared" si="51"/>
        <v>9</v>
      </c>
      <c r="I606" t="str">
        <f t="shared" si="52"/>
        <v>1-90 DAYS</v>
      </c>
      <c r="J606" s="87" t="str">
        <f t="shared" si="53"/>
        <v>0-180 DAYS</v>
      </c>
    </row>
    <row r="607" spans="1:10" hidden="1" x14ac:dyDescent="0.35">
      <c r="A607" s="88" t="s">
        <v>477</v>
      </c>
      <c r="B607" s="88" t="s">
        <v>790</v>
      </c>
      <c r="C607" s="18" t="s">
        <v>1080</v>
      </c>
      <c r="D607" s="18" t="s">
        <v>1081</v>
      </c>
      <c r="E607" s="18" t="s">
        <v>1933</v>
      </c>
      <c r="F607" s="19">
        <v>45465</v>
      </c>
      <c r="G607" s="108">
        <v>304075.8</v>
      </c>
      <c r="H607" s="87">
        <f t="shared" si="51"/>
        <v>9</v>
      </c>
      <c r="I607" t="str">
        <f t="shared" si="52"/>
        <v>1-90 DAYS</v>
      </c>
      <c r="J607" s="87" t="str">
        <f t="shared" si="53"/>
        <v>0-180 DAYS</v>
      </c>
    </row>
    <row r="608" spans="1:10" hidden="1" x14ac:dyDescent="0.35">
      <c r="A608" s="88" t="s">
        <v>1209</v>
      </c>
      <c r="B608" s="88" t="s">
        <v>789</v>
      </c>
      <c r="C608" s="18" t="s">
        <v>125</v>
      </c>
      <c r="D608" s="18" t="s">
        <v>57</v>
      </c>
      <c r="E608" s="18" t="s">
        <v>1934</v>
      </c>
      <c r="F608" s="19">
        <v>45465</v>
      </c>
      <c r="G608" s="108">
        <v>177027</v>
      </c>
      <c r="H608" s="87">
        <f t="shared" si="51"/>
        <v>9</v>
      </c>
      <c r="I608" t="str">
        <f t="shared" si="52"/>
        <v>1-90 DAYS</v>
      </c>
      <c r="J608" s="87" t="str">
        <f t="shared" si="53"/>
        <v>0-180 DAYS</v>
      </c>
    </row>
    <row r="609" spans="1:10" hidden="1" x14ac:dyDescent="0.35">
      <c r="A609" s="88" t="s">
        <v>1209</v>
      </c>
      <c r="B609" s="88" t="s">
        <v>789</v>
      </c>
      <c r="C609" s="18" t="s">
        <v>125</v>
      </c>
      <c r="D609" s="18" t="s">
        <v>57</v>
      </c>
      <c r="E609" s="18" t="s">
        <v>1935</v>
      </c>
      <c r="F609" s="19">
        <v>45465</v>
      </c>
      <c r="G609" s="108">
        <v>314220.37</v>
      </c>
      <c r="H609" s="87">
        <f t="shared" si="51"/>
        <v>9</v>
      </c>
      <c r="I609" t="str">
        <f t="shared" si="52"/>
        <v>1-90 DAYS</v>
      </c>
      <c r="J609" s="87" t="str">
        <f t="shared" si="53"/>
        <v>0-180 DAYS</v>
      </c>
    </row>
    <row r="610" spans="1:10" hidden="1" x14ac:dyDescent="0.35">
      <c r="A610" s="88" t="s">
        <v>1209</v>
      </c>
      <c r="B610" s="88" t="s">
        <v>789</v>
      </c>
      <c r="C610" s="18" t="s">
        <v>125</v>
      </c>
      <c r="D610" s="18" t="s">
        <v>57</v>
      </c>
      <c r="E610" s="18" t="s">
        <v>1936</v>
      </c>
      <c r="F610" s="19">
        <v>45465</v>
      </c>
      <c r="G610" s="108">
        <v>11000</v>
      </c>
      <c r="H610" s="87">
        <f t="shared" si="51"/>
        <v>9</v>
      </c>
      <c r="I610" t="str">
        <f t="shared" si="52"/>
        <v>1-90 DAYS</v>
      </c>
      <c r="J610" s="87" t="str">
        <f t="shared" si="53"/>
        <v>0-180 DAYS</v>
      </c>
    </row>
    <row r="611" spans="1:10" hidden="1" x14ac:dyDescent="0.35">
      <c r="A611" s="88" t="s">
        <v>1209</v>
      </c>
      <c r="B611" s="88" t="s">
        <v>789</v>
      </c>
      <c r="C611" s="18" t="s">
        <v>125</v>
      </c>
      <c r="D611" s="18" t="s">
        <v>57</v>
      </c>
      <c r="E611" s="18" t="s">
        <v>1937</v>
      </c>
      <c r="F611" s="19">
        <v>45466</v>
      </c>
      <c r="G611" s="108">
        <v>31830.76</v>
      </c>
      <c r="H611" s="87">
        <f t="shared" si="51"/>
        <v>8</v>
      </c>
      <c r="I611" t="str">
        <f t="shared" si="52"/>
        <v>1-90 DAYS</v>
      </c>
      <c r="J611" s="87" t="str">
        <f t="shared" si="53"/>
        <v>0-180 DAYS</v>
      </c>
    </row>
    <row r="612" spans="1:10" hidden="1" x14ac:dyDescent="0.35">
      <c r="A612" s="88" t="s">
        <v>1209</v>
      </c>
      <c r="B612" s="88" t="s">
        <v>789</v>
      </c>
      <c r="C612" s="18" t="s">
        <v>125</v>
      </c>
      <c r="D612" s="18" t="s">
        <v>57</v>
      </c>
      <c r="E612" s="18" t="s">
        <v>1938</v>
      </c>
      <c r="F612" s="19">
        <v>45467</v>
      </c>
      <c r="G612" s="108">
        <v>935599.86</v>
      </c>
      <c r="H612" s="87">
        <f t="shared" si="51"/>
        <v>7</v>
      </c>
      <c r="I612" t="str">
        <f t="shared" si="52"/>
        <v>1-90 DAYS</v>
      </c>
      <c r="J612" s="87" t="str">
        <f t="shared" si="53"/>
        <v>0-180 DAYS</v>
      </c>
    </row>
    <row r="613" spans="1:10" hidden="1" x14ac:dyDescent="0.35">
      <c r="A613" s="88" t="s">
        <v>1209</v>
      </c>
      <c r="B613" s="88" t="s">
        <v>789</v>
      </c>
      <c r="C613" s="18" t="s">
        <v>125</v>
      </c>
      <c r="D613" s="18" t="s">
        <v>57</v>
      </c>
      <c r="E613" s="18" t="s">
        <v>1939</v>
      </c>
      <c r="F613" s="19">
        <v>45467</v>
      </c>
      <c r="G613" s="108">
        <v>17691.8</v>
      </c>
      <c r="H613" s="87">
        <f t="shared" si="51"/>
        <v>7</v>
      </c>
      <c r="I613" t="str">
        <f t="shared" si="52"/>
        <v>1-90 DAYS</v>
      </c>
      <c r="J613" s="87" t="str">
        <f t="shared" si="53"/>
        <v>0-180 DAYS</v>
      </c>
    </row>
    <row r="614" spans="1:10" hidden="1" x14ac:dyDescent="0.35">
      <c r="A614" s="88" t="s">
        <v>1209</v>
      </c>
      <c r="B614" s="88" t="s">
        <v>789</v>
      </c>
      <c r="C614" s="18" t="s">
        <v>125</v>
      </c>
      <c r="D614" s="18" t="s">
        <v>57</v>
      </c>
      <c r="E614" s="18" t="s">
        <v>1940</v>
      </c>
      <c r="F614" s="19">
        <v>45467</v>
      </c>
      <c r="G614" s="108">
        <v>33542.730000000003</v>
      </c>
      <c r="H614" s="87">
        <f t="shared" si="51"/>
        <v>7</v>
      </c>
      <c r="I614" t="str">
        <f t="shared" si="52"/>
        <v>1-90 DAYS</v>
      </c>
      <c r="J614" s="87" t="str">
        <f t="shared" si="53"/>
        <v>0-180 DAYS</v>
      </c>
    </row>
    <row r="615" spans="1:10" hidden="1" x14ac:dyDescent="0.35">
      <c r="A615" s="88" t="s">
        <v>1209</v>
      </c>
      <c r="B615" s="88" t="s">
        <v>789</v>
      </c>
      <c r="C615" s="18" t="s">
        <v>125</v>
      </c>
      <c r="D615" s="18" t="s">
        <v>57</v>
      </c>
      <c r="E615" s="18" t="s">
        <v>1941</v>
      </c>
      <c r="F615" s="19">
        <v>45467</v>
      </c>
      <c r="G615" s="108">
        <v>523178.86</v>
      </c>
      <c r="H615" s="87">
        <f t="shared" si="51"/>
        <v>7</v>
      </c>
      <c r="I615" t="str">
        <f t="shared" si="52"/>
        <v>1-90 DAYS</v>
      </c>
      <c r="J615" s="87" t="str">
        <f t="shared" si="53"/>
        <v>0-180 DAYS</v>
      </c>
    </row>
    <row r="616" spans="1:10" hidden="1" x14ac:dyDescent="0.35">
      <c r="A616" s="88" t="s">
        <v>1209</v>
      </c>
      <c r="B616" s="88" t="s">
        <v>789</v>
      </c>
      <c r="C616" s="18" t="s">
        <v>125</v>
      </c>
      <c r="D616" s="18" t="s">
        <v>57</v>
      </c>
      <c r="E616" s="18" t="s">
        <v>1942</v>
      </c>
      <c r="F616" s="19">
        <v>45467</v>
      </c>
      <c r="G616" s="108">
        <v>5602.36</v>
      </c>
      <c r="H616" s="87">
        <f t="shared" si="51"/>
        <v>7</v>
      </c>
      <c r="I616" t="str">
        <f t="shared" si="52"/>
        <v>1-90 DAYS</v>
      </c>
      <c r="J616" s="87" t="str">
        <f t="shared" si="53"/>
        <v>0-180 DAYS</v>
      </c>
    </row>
    <row r="617" spans="1:10" hidden="1" x14ac:dyDescent="0.35">
      <c r="A617" s="88" t="s">
        <v>1209</v>
      </c>
      <c r="B617" s="88" t="s">
        <v>789</v>
      </c>
      <c r="C617" s="18" t="s">
        <v>125</v>
      </c>
      <c r="D617" s="18" t="s">
        <v>57</v>
      </c>
      <c r="E617" s="18" t="s">
        <v>1943</v>
      </c>
      <c r="F617" s="19">
        <v>45467</v>
      </c>
      <c r="G617" s="108">
        <v>41360</v>
      </c>
      <c r="H617" s="87">
        <f t="shared" si="51"/>
        <v>7</v>
      </c>
      <c r="I617" t="str">
        <f t="shared" si="52"/>
        <v>1-90 DAYS</v>
      </c>
      <c r="J617" s="87" t="str">
        <f t="shared" si="53"/>
        <v>0-180 DAYS</v>
      </c>
    </row>
    <row r="618" spans="1:10" hidden="1" x14ac:dyDescent="0.35">
      <c r="A618" s="88" t="s">
        <v>1209</v>
      </c>
      <c r="B618" s="88" t="s">
        <v>789</v>
      </c>
      <c r="C618" s="18" t="s">
        <v>125</v>
      </c>
      <c r="D618" s="18" t="s">
        <v>57</v>
      </c>
      <c r="E618" s="18" t="s">
        <v>1944</v>
      </c>
      <c r="F618" s="19">
        <v>45468</v>
      </c>
      <c r="G618" s="108">
        <v>190702.39</v>
      </c>
      <c r="H618" s="87">
        <f t="shared" si="51"/>
        <v>6</v>
      </c>
      <c r="I618" t="str">
        <f t="shared" si="52"/>
        <v>1-90 DAYS</v>
      </c>
      <c r="J618" s="87" t="str">
        <f t="shared" si="53"/>
        <v>0-180 DAYS</v>
      </c>
    </row>
    <row r="619" spans="1:10" hidden="1" x14ac:dyDescent="0.35">
      <c r="A619" s="88" t="s">
        <v>1209</v>
      </c>
      <c r="B619" s="88" t="s">
        <v>789</v>
      </c>
      <c r="C619" s="18" t="s">
        <v>125</v>
      </c>
      <c r="D619" s="18" t="s">
        <v>57</v>
      </c>
      <c r="E619" s="18" t="s">
        <v>1945</v>
      </c>
      <c r="F619" s="19">
        <v>45468</v>
      </c>
      <c r="G619" s="108">
        <v>1100012.28</v>
      </c>
      <c r="H619" s="87">
        <f t="shared" si="51"/>
        <v>6</v>
      </c>
      <c r="I619" t="str">
        <f t="shared" si="52"/>
        <v>1-90 DAYS</v>
      </c>
      <c r="J619" s="87" t="str">
        <f t="shared" si="53"/>
        <v>0-180 DAYS</v>
      </c>
    </row>
    <row r="620" spans="1:10" hidden="1" x14ac:dyDescent="0.35">
      <c r="A620" s="88" t="s">
        <v>1209</v>
      </c>
      <c r="B620" s="88" t="s">
        <v>789</v>
      </c>
      <c r="C620" s="18" t="s">
        <v>125</v>
      </c>
      <c r="D620" s="18" t="s">
        <v>57</v>
      </c>
      <c r="E620" s="18" t="s">
        <v>1946</v>
      </c>
      <c r="F620" s="19">
        <v>45468</v>
      </c>
      <c r="G620" s="108">
        <v>10582.68</v>
      </c>
      <c r="H620" s="87">
        <f t="shared" si="51"/>
        <v>6</v>
      </c>
      <c r="I620" t="str">
        <f t="shared" si="52"/>
        <v>1-90 DAYS</v>
      </c>
      <c r="J620" s="87" t="str">
        <f t="shared" si="53"/>
        <v>0-180 DAYS</v>
      </c>
    </row>
    <row r="621" spans="1:10" hidden="1" x14ac:dyDescent="0.35">
      <c r="A621" s="88" t="s">
        <v>477</v>
      </c>
      <c r="B621" s="88" t="s">
        <v>790</v>
      </c>
      <c r="C621" s="18" t="s">
        <v>1080</v>
      </c>
      <c r="D621" s="18" t="s">
        <v>1081</v>
      </c>
      <c r="E621" s="18" t="s">
        <v>1947</v>
      </c>
      <c r="F621" s="19">
        <v>45469</v>
      </c>
      <c r="G621" s="108">
        <v>1257446.8999999999</v>
      </c>
      <c r="H621" s="87">
        <f t="shared" si="51"/>
        <v>5</v>
      </c>
      <c r="I621" t="str">
        <f t="shared" si="52"/>
        <v>1-90 DAYS</v>
      </c>
      <c r="J621" s="87" t="str">
        <f t="shared" si="53"/>
        <v>0-180 DAYS</v>
      </c>
    </row>
    <row r="622" spans="1:10" hidden="1" x14ac:dyDescent="0.35">
      <c r="A622" s="88" t="s">
        <v>1209</v>
      </c>
      <c r="B622" s="88" t="s">
        <v>789</v>
      </c>
      <c r="C622" s="18" t="s">
        <v>125</v>
      </c>
      <c r="D622" s="18" t="s">
        <v>57</v>
      </c>
      <c r="E622" s="18" t="s">
        <v>1948</v>
      </c>
      <c r="F622" s="19">
        <v>45469</v>
      </c>
      <c r="G622" s="108">
        <v>12505.88</v>
      </c>
      <c r="H622" s="87">
        <f t="shared" si="51"/>
        <v>5</v>
      </c>
      <c r="I622" t="str">
        <f t="shared" si="52"/>
        <v>1-90 DAYS</v>
      </c>
      <c r="J622" s="87" t="str">
        <f t="shared" si="53"/>
        <v>0-180 DAYS</v>
      </c>
    </row>
    <row r="623" spans="1:10" hidden="1" x14ac:dyDescent="0.35">
      <c r="A623" s="88" t="s">
        <v>1209</v>
      </c>
      <c r="B623" s="88" t="s">
        <v>789</v>
      </c>
      <c r="C623" s="18" t="s">
        <v>125</v>
      </c>
      <c r="D623" s="18" t="s">
        <v>57</v>
      </c>
      <c r="E623" s="18" t="s">
        <v>1949</v>
      </c>
      <c r="F623" s="19">
        <v>45469</v>
      </c>
      <c r="G623" s="108">
        <v>23816</v>
      </c>
      <c r="H623" s="87">
        <f t="shared" si="51"/>
        <v>5</v>
      </c>
      <c r="I623" t="str">
        <f t="shared" si="52"/>
        <v>1-90 DAYS</v>
      </c>
      <c r="J623" s="87" t="str">
        <f t="shared" si="53"/>
        <v>0-180 DAYS</v>
      </c>
    </row>
    <row r="624" spans="1:10" hidden="1" x14ac:dyDescent="0.35">
      <c r="A624" s="88" t="s">
        <v>1209</v>
      </c>
      <c r="B624" s="88" t="s">
        <v>789</v>
      </c>
      <c r="C624" s="18" t="s">
        <v>125</v>
      </c>
      <c r="D624" s="18" t="s">
        <v>57</v>
      </c>
      <c r="E624" s="18" t="s">
        <v>1950</v>
      </c>
      <c r="F624" s="19">
        <v>45469</v>
      </c>
      <c r="G624" s="108">
        <v>197578.1</v>
      </c>
      <c r="H624" s="87">
        <f t="shared" si="51"/>
        <v>5</v>
      </c>
      <c r="I624" t="str">
        <f t="shared" si="52"/>
        <v>1-90 DAYS</v>
      </c>
      <c r="J624" s="87" t="str">
        <f t="shared" si="53"/>
        <v>0-180 DAYS</v>
      </c>
    </row>
    <row r="625" spans="1:10" hidden="1" x14ac:dyDescent="0.35">
      <c r="A625" s="88" t="s">
        <v>1209</v>
      </c>
      <c r="B625" s="88" t="s">
        <v>789</v>
      </c>
      <c r="C625" s="18" t="s">
        <v>125</v>
      </c>
      <c r="D625" s="18" t="s">
        <v>57</v>
      </c>
      <c r="E625" s="18" t="s">
        <v>1951</v>
      </c>
      <c r="F625" s="19">
        <v>45470</v>
      </c>
      <c r="G625" s="108">
        <v>163015.78</v>
      </c>
      <c r="H625" s="87">
        <f t="shared" si="51"/>
        <v>4</v>
      </c>
      <c r="I625" t="str">
        <f t="shared" si="52"/>
        <v>1-90 DAYS</v>
      </c>
      <c r="J625" s="87" t="str">
        <f t="shared" si="53"/>
        <v>0-180 DAYS</v>
      </c>
    </row>
    <row r="626" spans="1:10" hidden="1" x14ac:dyDescent="0.35">
      <c r="A626" s="88" t="s">
        <v>1209</v>
      </c>
      <c r="B626" s="88" t="s">
        <v>789</v>
      </c>
      <c r="C626" s="18" t="s">
        <v>125</v>
      </c>
      <c r="D626" s="18" t="s">
        <v>57</v>
      </c>
      <c r="E626" s="18" t="s">
        <v>1952</v>
      </c>
      <c r="F626" s="19">
        <v>45470</v>
      </c>
      <c r="G626" s="108">
        <v>76361.34</v>
      </c>
      <c r="H626" s="87">
        <f t="shared" si="51"/>
        <v>4</v>
      </c>
      <c r="I626" t="str">
        <f t="shared" si="52"/>
        <v>1-90 DAYS</v>
      </c>
      <c r="J626" s="87" t="str">
        <f t="shared" si="53"/>
        <v>0-180 DAYS</v>
      </c>
    </row>
    <row r="627" spans="1:10" hidden="1" x14ac:dyDescent="0.35">
      <c r="A627" s="88" t="s">
        <v>1209</v>
      </c>
      <c r="B627" s="88" t="s">
        <v>789</v>
      </c>
      <c r="C627" s="18" t="s">
        <v>125</v>
      </c>
      <c r="D627" s="18" t="s">
        <v>57</v>
      </c>
      <c r="E627" s="18" t="s">
        <v>1953</v>
      </c>
      <c r="F627" s="19">
        <v>45470</v>
      </c>
      <c r="G627" s="108">
        <v>179208</v>
      </c>
      <c r="H627" s="87">
        <f t="shared" si="51"/>
        <v>4</v>
      </c>
      <c r="I627" t="str">
        <f t="shared" si="52"/>
        <v>1-90 DAYS</v>
      </c>
      <c r="J627" s="87" t="str">
        <f t="shared" si="53"/>
        <v>0-180 DAYS</v>
      </c>
    </row>
    <row r="628" spans="1:10" hidden="1" x14ac:dyDescent="0.35">
      <c r="A628" s="88" t="s">
        <v>1209</v>
      </c>
      <c r="B628" s="88" t="s">
        <v>789</v>
      </c>
      <c r="C628" s="18" t="s">
        <v>125</v>
      </c>
      <c r="D628" s="18" t="s">
        <v>57</v>
      </c>
      <c r="E628" s="18" t="s">
        <v>1954</v>
      </c>
      <c r="F628" s="19">
        <v>45470</v>
      </c>
      <c r="G628" s="108">
        <v>420665.76</v>
      </c>
      <c r="H628" s="87">
        <f t="shared" si="51"/>
        <v>4</v>
      </c>
      <c r="I628" t="str">
        <f t="shared" si="52"/>
        <v>1-90 DAYS</v>
      </c>
      <c r="J628" s="87" t="str">
        <f t="shared" si="53"/>
        <v>0-180 DAYS</v>
      </c>
    </row>
    <row r="629" spans="1:10" hidden="1" x14ac:dyDescent="0.35">
      <c r="A629" s="88" t="s">
        <v>1209</v>
      </c>
      <c r="B629" s="88" t="s">
        <v>789</v>
      </c>
      <c r="C629" s="18" t="s">
        <v>125</v>
      </c>
      <c r="D629" s="18" t="s">
        <v>57</v>
      </c>
      <c r="E629" s="18" t="s">
        <v>1955</v>
      </c>
      <c r="F629" s="19">
        <v>45470</v>
      </c>
      <c r="G629" s="108">
        <v>2546.8000000000002</v>
      </c>
      <c r="H629" s="87">
        <f t="shared" si="51"/>
        <v>4</v>
      </c>
      <c r="I629" t="str">
        <f t="shared" si="52"/>
        <v>1-90 DAYS</v>
      </c>
      <c r="J629" s="87" t="str">
        <f t="shared" si="53"/>
        <v>0-180 DAYS</v>
      </c>
    </row>
    <row r="630" spans="1:10" hidden="1" x14ac:dyDescent="0.35">
      <c r="A630" s="88" t="s">
        <v>1209</v>
      </c>
      <c r="B630" s="88" t="s">
        <v>789</v>
      </c>
      <c r="C630" s="18" t="s">
        <v>125</v>
      </c>
      <c r="D630" s="18" t="s">
        <v>57</v>
      </c>
      <c r="E630" s="18" t="s">
        <v>1956</v>
      </c>
      <c r="F630" s="19">
        <v>45470</v>
      </c>
      <c r="G630" s="108">
        <v>46200</v>
      </c>
      <c r="H630" s="87">
        <f t="shared" si="51"/>
        <v>4</v>
      </c>
      <c r="I630" t="str">
        <f t="shared" si="52"/>
        <v>1-90 DAYS</v>
      </c>
      <c r="J630" s="87" t="str">
        <f t="shared" si="53"/>
        <v>0-180 DAYS</v>
      </c>
    </row>
    <row r="631" spans="1:10" hidden="1" x14ac:dyDescent="0.35">
      <c r="A631" s="88" t="s">
        <v>477</v>
      </c>
      <c r="B631" s="88" t="s">
        <v>790</v>
      </c>
      <c r="C631" s="18" t="s">
        <v>1080</v>
      </c>
      <c r="D631" s="18" t="s">
        <v>1081</v>
      </c>
      <c r="E631" s="18" t="s">
        <v>1957</v>
      </c>
      <c r="F631" s="19">
        <v>45471</v>
      </c>
      <c r="G631" s="108">
        <v>2406998.7999999998</v>
      </c>
      <c r="H631" s="87">
        <f t="shared" si="51"/>
        <v>3</v>
      </c>
      <c r="I631" t="str">
        <f t="shared" si="52"/>
        <v>1-90 DAYS</v>
      </c>
      <c r="J631" s="87" t="str">
        <f t="shared" si="53"/>
        <v>0-180 DAYS</v>
      </c>
    </row>
    <row r="632" spans="1:10" hidden="1" x14ac:dyDescent="0.35">
      <c r="A632" s="88" t="s">
        <v>477</v>
      </c>
      <c r="B632" s="88" t="s">
        <v>790</v>
      </c>
      <c r="C632" s="18" t="s">
        <v>1080</v>
      </c>
      <c r="D632" s="18" t="s">
        <v>1081</v>
      </c>
      <c r="E632" s="18" t="s">
        <v>1958</v>
      </c>
      <c r="F632" s="19">
        <v>45471</v>
      </c>
      <c r="G632" s="108">
        <v>1220701.6100000001</v>
      </c>
      <c r="H632" s="87">
        <f t="shared" si="51"/>
        <v>3</v>
      </c>
      <c r="I632" t="str">
        <f t="shared" si="52"/>
        <v>1-90 DAYS</v>
      </c>
      <c r="J632" s="87" t="str">
        <f t="shared" si="53"/>
        <v>0-180 DAYS</v>
      </c>
    </row>
    <row r="633" spans="1:10" hidden="1" x14ac:dyDescent="0.35">
      <c r="A633" s="88" t="s">
        <v>477</v>
      </c>
      <c r="B633" s="88" t="s">
        <v>790</v>
      </c>
      <c r="C633" s="18" t="s">
        <v>1839</v>
      </c>
      <c r="D633" s="18" t="s">
        <v>2002</v>
      </c>
      <c r="E633" s="18" t="s">
        <v>1959</v>
      </c>
      <c r="F633" s="19">
        <v>45471</v>
      </c>
      <c r="G633" s="108">
        <v>102762.66</v>
      </c>
      <c r="H633" s="87">
        <f t="shared" si="51"/>
        <v>3</v>
      </c>
      <c r="I633" t="str">
        <f t="shared" si="52"/>
        <v>1-90 DAYS</v>
      </c>
      <c r="J633" s="87" t="str">
        <f t="shared" si="53"/>
        <v>0-180 DAYS</v>
      </c>
    </row>
    <row r="634" spans="1:10" hidden="1" x14ac:dyDescent="0.35">
      <c r="A634" s="88" t="s">
        <v>1209</v>
      </c>
      <c r="B634" s="88" t="s">
        <v>789</v>
      </c>
      <c r="C634" s="18" t="s">
        <v>125</v>
      </c>
      <c r="D634" s="18" t="s">
        <v>57</v>
      </c>
      <c r="E634" s="18" t="s">
        <v>1960</v>
      </c>
      <c r="F634" s="19">
        <v>45471</v>
      </c>
      <c r="G634" s="108">
        <v>607206.18000000005</v>
      </c>
      <c r="H634" s="87">
        <f t="shared" si="51"/>
        <v>3</v>
      </c>
      <c r="I634" t="str">
        <f t="shared" si="52"/>
        <v>1-90 DAYS</v>
      </c>
      <c r="J634" s="87" t="str">
        <f t="shared" si="53"/>
        <v>0-180 DAYS</v>
      </c>
    </row>
    <row r="635" spans="1:10" hidden="1" x14ac:dyDescent="0.35">
      <c r="A635" s="88" t="s">
        <v>1209</v>
      </c>
      <c r="B635" s="88" t="s">
        <v>789</v>
      </c>
      <c r="C635" s="18" t="s">
        <v>125</v>
      </c>
      <c r="D635" s="18" t="s">
        <v>57</v>
      </c>
      <c r="E635" s="18" t="s">
        <v>1961</v>
      </c>
      <c r="F635" s="19">
        <v>45471</v>
      </c>
      <c r="G635" s="108">
        <v>1269163.1200000001</v>
      </c>
      <c r="H635" s="87">
        <f t="shared" si="51"/>
        <v>3</v>
      </c>
      <c r="I635" t="str">
        <f t="shared" si="52"/>
        <v>1-90 DAYS</v>
      </c>
      <c r="J635" s="87" t="str">
        <f t="shared" si="53"/>
        <v>0-180 DAYS</v>
      </c>
    </row>
    <row r="636" spans="1:10" hidden="1" x14ac:dyDescent="0.35">
      <c r="A636" s="88" t="s">
        <v>1209</v>
      </c>
      <c r="B636" s="88" t="s">
        <v>789</v>
      </c>
      <c r="C636" s="18" t="s">
        <v>125</v>
      </c>
      <c r="D636" s="18" t="s">
        <v>57</v>
      </c>
      <c r="E636" s="18" t="s">
        <v>1962</v>
      </c>
      <c r="F636" s="19">
        <v>45471</v>
      </c>
      <c r="G636" s="108">
        <v>16524.88</v>
      </c>
      <c r="H636" s="87">
        <f t="shared" si="51"/>
        <v>3</v>
      </c>
      <c r="I636" t="str">
        <f t="shared" si="52"/>
        <v>1-90 DAYS</v>
      </c>
      <c r="J636" s="87" t="str">
        <f t="shared" si="53"/>
        <v>0-180 DAYS</v>
      </c>
    </row>
    <row r="637" spans="1:10" hidden="1" x14ac:dyDescent="0.35">
      <c r="A637" s="88" t="s">
        <v>477</v>
      </c>
      <c r="B637" s="88" t="s">
        <v>790</v>
      </c>
      <c r="C637" s="18" t="s">
        <v>1080</v>
      </c>
      <c r="D637" s="18" t="s">
        <v>1081</v>
      </c>
      <c r="E637" s="18" t="s">
        <v>1963</v>
      </c>
      <c r="F637" s="19">
        <v>45472</v>
      </c>
      <c r="G637" s="108">
        <v>1199611.76</v>
      </c>
      <c r="H637" s="87">
        <f t="shared" si="51"/>
        <v>2</v>
      </c>
      <c r="I637" t="str">
        <f t="shared" si="52"/>
        <v>1-90 DAYS</v>
      </c>
      <c r="J637" s="87" t="str">
        <f t="shared" si="53"/>
        <v>0-180 DAYS</v>
      </c>
    </row>
    <row r="638" spans="1:10" hidden="1" x14ac:dyDescent="0.35">
      <c r="A638" s="88" t="s">
        <v>1209</v>
      </c>
      <c r="B638" s="88" t="s">
        <v>789</v>
      </c>
      <c r="C638" s="18" t="s">
        <v>125</v>
      </c>
      <c r="D638" s="18" t="s">
        <v>57</v>
      </c>
      <c r="E638" s="18" t="s">
        <v>1964</v>
      </c>
      <c r="F638" s="19">
        <v>45472</v>
      </c>
      <c r="G638" s="108">
        <v>173865.7</v>
      </c>
      <c r="H638" s="87">
        <f t="shared" si="51"/>
        <v>2</v>
      </c>
      <c r="I638" t="str">
        <f t="shared" si="52"/>
        <v>1-90 DAYS</v>
      </c>
      <c r="J638" s="87" t="str">
        <f t="shared" si="53"/>
        <v>0-180 DAYS</v>
      </c>
    </row>
    <row r="639" spans="1:10" hidden="1" x14ac:dyDescent="0.35">
      <c r="A639" s="88" t="s">
        <v>1209</v>
      </c>
      <c r="B639" s="88" t="s">
        <v>789</v>
      </c>
      <c r="C639" s="18" t="s">
        <v>125</v>
      </c>
      <c r="D639" s="18" t="s">
        <v>57</v>
      </c>
      <c r="E639" s="18" t="s">
        <v>1965</v>
      </c>
      <c r="F639" s="19">
        <v>45472</v>
      </c>
      <c r="G639" s="108">
        <v>661353.23</v>
      </c>
      <c r="H639" s="87">
        <f t="shared" si="51"/>
        <v>2</v>
      </c>
      <c r="I639" t="str">
        <f t="shared" si="52"/>
        <v>1-90 DAYS</v>
      </c>
      <c r="J639" s="87" t="str">
        <f t="shared" si="53"/>
        <v>0-180 DAYS</v>
      </c>
    </row>
    <row r="640" spans="1:10" hidden="1" x14ac:dyDescent="0.35">
      <c r="A640" s="88" t="s">
        <v>1209</v>
      </c>
      <c r="B640" s="88" t="s">
        <v>789</v>
      </c>
      <c r="C640" s="18" t="s">
        <v>125</v>
      </c>
      <c r="D640" s="18" t="s">
        <v>57</v>
      </c>
      <c r="E640" s="18" t="s">
        <v>1966</v>
      </c>
      <c r="F640" s="19">
        <v>45472</v>
      </c>
      <c r="G640" s="108">
        <v>501004.76</v>
      </c>
      <c r="H640" s="87">
        <f t="shared" si="51"/>
        <v>2</v>
      </c>
      <c r="I640" t="str">
        <f t="shared" si="52"/>
        <v>1-90 DAYS</v>
      </c>
      <c r="J640" s="87" t="str">
        <f t="shared" si="53"/>
        <v>0-180 DAYS</v>
      </c>
    </row>
    <row r="641" spans="1:10" hidden="1" x14ac:dyDescent="0.35">
      <c r="A641" s="88" t="s">
        <v>1209</v>
      </c>
      <c r="B641" s="88" t="s">
        <v>789</v>
      </c>
      <c r="C641" s="18" t="s">
        <v>125</v>
      </c>
      <c r="D641" s="18" t="s">
        <v>57</v>
      </c>
      <c r="E641" s="18" t="s">
        <v>1967</v>
      </c>
      <c r="F641" s="19">
        <v>45472</v>
      </c>
      <c r="G641" s="108">
        <v>5659</v>
      </c>
      <c r="H641" s="87">
        <f t="shared" si="51"/>
        <v>2</v>
      </c>
      <c r="I641" t="str">
        <f t="shared" si="52"/>
        <v>1-90 DAYS</v>
      </c>
      <c r="J641" s="87" t="str">
        <f t="shared" si="53"/>
        <v>0-180 DAYS</v>
      </c>
    </row>
    <row r="642" spans="1:10" hidden="1" x14ac:dyDescent="0.35">
      <c r="A642" s="88" t="s">
        <v>1209</v>
      </c>
      <c r="B642" s="88" t="s">
        <v>789</v>
      </c>
      <c r="C642" s="18" t="s">
        <v>125</v>
      </c>
      <c r="D642" s="18" t="s">
        <v>57</v>
      </c>
      <c r="E642" s="18" t="s">
        <v>1968</v>
      </c>
      <c r="F642" s="19">
        <v>45472</v>
      </c>
      <c r="G642" s="108">
        <v>529659.96</v>
      </c>
      <c r="H642" s="87">
        <f t="shared" si="51"/>
        <v>2</v>
      </c>
      <c r="I642" t="str">
        <f t="shared" si="52"/>
        <v>1-90 DAYS</v>
      </c>
      <c r="J642" s="87" t="str">
        <f t="shared" si="53"/>
        <v>0-180 DAYS</v>
      </c>
    </row>
    <row r="643" spans="1:10" hidden="1" x14ac:dyDescent="0.35">
      <c r="A643" s="88" t="s">
        <v>1209</v>
      </c>
      <c r="B643" s="88" t="s">
        <v>789</v>
      </c>
      <c r="C643" s="18" t="s">
        <v>125</v>
      </c>
      <c r="D643" s="18" t="s">
        <v>57</v>
      </c>
      <c r="E643" s="18" t="s">
        <v>1969</v>
      </c>
      <c r="F643" s="19">
        <v>45472</v>
      </c>
      <c r="G643" s="108">
        <v>7527.12</v>
      </c>
      <c r="H643" s="87">
        <f t="shared" si="51"/>
        <v>2</v>
      </c>
      <c r="I643" t="str">
        <f t="shared" si="52"/>
        <v>1-90 DAYS</v>
      </c>
      <c r="J643" s="87" t="str">
        <f t="shared" si="53"/>
        <v>0-180 DAYS</v>
      </c>
    </row>
    <row r="644" spans="1:10" hidden="1" x14ac:dyDescent="0.35">
      <c r="A644" s="88" t="s">
        <v>477</v>
      </c>
      <c r="B644" s="88" t="s">
        <v>790</v>
      </c>
      <c r="C644" s="18" t="s">
        <v>1080</v>
      </c>
      <c r="D644" s="18" t="s">
        <v>1081</v>
      </c>
      <c r="E644" s="18" t="s">
        <v>1970</v>
      </c>
      <c r="F644" s="19">
        <v>45473</v>
      </c>
      <c r="G644" s="108">
        <v>796563.5</v>
      </c>
      <c r="H644" s="87">
        <f t="shared" si="51"/>
        <v>1</v>
      </c>
      <c r="I644" t="str">
        <f t="shared" si="52"/>
        <v>1-90 DAYS</v>
      </c>
      <c r="J644" s="87" t="str">
        <f t="shared" si="53"/>
        <v>0-180 DAYS</v>
      </c>
    </row>
    <row r="645" spans="1:10" hidden="1" x14ac:dyDescent="0.35">
      <c r="A645" s="88" t="s">
        <v>477</v>
      </c>
      <c r="B645" s="88" t="s">
        <v>790</v>
      </c>
      <c r="C645" s="18" t="s">
        <v>1080</v>
      </c>
      <c r="D645" s="18" t="s">
        <v>1081</v>
      </c>
      <c r="E645" s="18" t="s">
        <v>1971</v>
      </c>
      <c r="F645" s="19">
        <v>45473</v>
      </c>
      <c r="G645" s="108">
        <v>2404643.16</v>
      </c>
      <c r="H645" s="87">
        <f t="shared" ref="H645:H674" si="54">$H$2-F645+1</f>
        <v>1</v>
      </c>
      <c r="I645" t="str">
        <f t="shared" ref="I645:I674" si="55">IF(H645&lt;91,"1-90 DAYS",IF(H645&lt;121,"91-120DAYS",IF(H645&lt;181,"121-180 DAYS","More than 180 Days")))</f>
        <v>1-90 DAYS</v>
      </c>
      <c r="J645" s="87" t="str">
        <f t="shared" ref="J645:J674" si="56">IF(H645&lt;180,"0-180 DAYS","More than 180 Days")</f>
        <v>0-180 DAYS</v>
      </c>
    </row>
    <row r="646" spans="1:10" hidden="1" x14ac:dyDescent="0.35">
      <c r="A646" s="88" t="s">
        <v>1209</v>
      </c>
      <c r="B646" s="88" t="s">
        <v>789</v>
      </c>
      <c r="C646" s="18" t="s">
        <v>125</v>
      </c>
      <c r="D646" s="18" t="s">
        <v>57</v>
      </c>
      <c r="E646" s="18" t="s">
        <v>1972</v>
      </c>
      <c r="F646" s="19">
        <v>45473</v>
      </c>
      <c r="G646" s="108">
        <v>1129396.56</v>
      </c>
      <c r="H646" s="87">
        <f t="shared" si="54"/>
        <v>1</v>
      </c>
      <c r="I646" t="str">
        <f t="shared" si="55"/>
        <v>1-90 DAYS</v>
      </c>
      <c r="J646" s="87" t="str">
        <f t="shared" si="56"/>
        <v>0-180 DAYS</v>
      </c>
    </row>
    <row r="647" spans="1:10" hidden="1" x14ac:dyDescent="0.35">
      <c r="A647" s="88" t="s">
        <v>1209</v>
      </c>
      <c r="B647" s="88" t="s">
        <v>789</v>
      </c>
      <c r="C647" s="18" t="s">
        <v>125</v>
      </c>
      <c r="D647" s="18" t="s">
        <v>57</v>
      </c>
      <c r="E647" s="18" t="s">
        <v>1973</v>
      </c>
      <c r="F647" s="19">
        <v>45473</v>
      </c>
      <c r="G647" s="108">
        <v>34327.58</v>
      </c>
      <c r="H647" s="87">
        <f t="shared" si="54"/>
        <v>1</v>
      </c>
      <c r="I647" t="str">
        <f t="shared" si="55"/>
        <v>1-90 DAYS</v>
      </c>
      <c r="J647" s="87" t="str">
        <f t="shared" si="56"/>
        <v>0-180 DAYS</v>
      </c>
    </row>
    <row r="648" spans="1:10" hidden="1" x14ac:dyDescent="0.35">
      <c r="A648" s="88" t="s">
        <v>1209</v>
      </c>
      <c r="B648" s="88" t="s">
        <v>789</v>
      </c>
      <c r="C648" s="18" t="s">
        <v>125</v>
      </c>
      <c r="D648" s="18" t="s">
        <v>57</v>
      </c>
      <c r="E648" s="18" t="s">
        <v>1974</v>
      </c>
      <c r="F648" s="19">
        <v>45446</v>
      </c>
      <c r="G648" s="108">
        <v>3789600.17</v>
      </c>
      <c r="H648" s="87">
        <f t="shared" si="54"/>
        <v>28</v>
      </c>
      <c r="I648" t="str">
        <f t="shared" si="55"/>
        <v>1-90 DAYS</v>
      </c>
      <c r="J648" s="87" t="str">
        <f t="shared" si="56"/>
        <v>0-180 DAYS</v>
      </c>
    </row>
    <row r="649" spans="1:10" hidden="1" x14ac:dyDescent="0.35">
      <c r="A649" s="88" t="s">
        <v>1209</v>
      </c>
      <c r="B649" s="88" t="s">
        <v>789</v>
      </c>
      <c r="C649" s="18" t="s">
        <v>125</v>
      </c>
      <c r="D649" s="18" t="s">
        <v>57</v>
      </c>
      <c r="E649" s="18" t="s">
        <v>1975</v>
      </c>
      <c r="F649" s="19">
        <v>45446</v>
      </c>
      <c r="G649" s="108">
        <v>586018.93000000005</v>
      </c>
      <c r="H649" s="87">
        <f t="shared" si="54"/>
        <v>28</v>
      </c>
      <c r="I649" t="str">
        <f t="shared" si="55"/>
        <v>1-90 DAYS</v>
      </c>
      <c r="J649" s="87" t="str">
        <f t="shared" si="56"/>
        <v>0-180 DAYS</v>
      </c>
    </row>
    <row r="650" spans="1:10" hidden="1" x14ac:dyDescent="0.35">
      <c r="A650" s="88" t="s">
        <v>1209</v>
      </c>
      <c r="B650" s="88" t="s">
        <v>789</v>
      </c>
      <c r="C650" s="18" t="s">
        <v>125</v>
      </c>
      <c r="D650" s="18" t="s">
        <v>57</v>
      </c>
      <c r="E650" s="18" t="s">
        <v>1976</v>
      </c>
      <c r="F650" s="19">
        <v>45450</v>
      </c>
      <c r="G650" s="108">
        <v>1203450.5</v>
      </c>
      <c r="H650" s="87">
        <f t="shared" si="54"/>
        <v>24</v>
      </c>
      <c r="I650" t="str">
        <f t="shared" si="55"/>
        <v>1-90 DAYS</v>
      </c>
      <c r="J650" s="87" t="str">
        <f t="shared" si="56"/>
        <v>0-180 DAYS</v>
      </c>
    </row>
    <row r="651" spans="1:10" hidden="1" x14ac:dyDescent="0.35">
      <c r="A651" s="88" t="s">
        <v>1209</v>
      </c>
      <c r="B651" s="88" t="s">
        <v>789</v>
      </c>
      <c r="C651" s="18" t="s">
        <v>125</v>
      </c>
      <c r="D651" s="18" t="s">
        <v>57</v>
      </c>
      <c r="E651" s="18" t="s">
        <v>1977</v>
      </c>
      <c r="F651" s="19">
        <v>45450</v>
      </c>
      <c r="G651" s="108">
        <v>3621.89</v>
      </c>
      <c r="H651" s="87">
        <f t="shared" si="54"/>
        <v>24</v>
      </c>
      <c r="I651" t="str">
        <f t="shared" si="55"/>
        <v>1-90 DAYS</v>
      </c>
      <c r="J651" s="87" t="str">
        <f t="shared" si="56"/>
        <v>0-180 DAYS</v>
      </c>
    </row>
    <row r="652" spans="1:10" hidden="1" x14ac:dyDescent="0.35">
      <c r="A652" s="88" t="s">
        <v>477</v>
      </c>
      <c r="B652" s="88" t="s">
        <v>790</v>
      </c>
      <c r="C652" s="18" t="s">
        <v>1840</v>
      </c>
      <c r="D652" s="18" t="s">
        <v>2003</v>
      </c>
      <c r="E652" s="18" t="s">
        <v>1978</v>
      </c>
      <c r="F652" s="19">
        <v>45451</v>
      </c>
      <c r="G652" s="108">
        <v>233197.5</v>
      </c>
      <c r="H652" s="87">
        <f t="shared" si="54"/>
        <v>23</v>
      </c>
      <c r="I652" t="str">
        <f t="shared" si="55"/>
        <v>1-90 DAYS</v>
      </c>
      <c r="J652" s="87" t="str">
        <f t="shared" si="56"/>
        <v>0-180 DAYS</v>
      </c>
    </row>
    <row r="653" spans="1:10" hidden="1" x14ac:dyDescent="0.35">
      <c r="A653" s="88" t="s">
        <v>1209</v>
      </c>
      <c r="B653" s="88" t="s">
        <v>789</v>
      </c>
      <c r="C653" s="18" t="s">
        <v>125</v>
      </c>
      <c r="D653" s="18" t="s">
        <v>57</v>
      </c>
      <c r="E653" s="18" t="s">
        <v>1979</v>
      </c>
      <c r="F653" s="19">
        <v>45452</v>
      </c>
      <c r="G653" s="108">
        <v>253656.92</v>
      </c>
      <c r="H653" s="87">
        <f t="shared" si="54"/>
        <v>22</v>
      </c>
      <c r="I653" t="str">
        <f t="shared" si="55"/>
        <v>1-90 DAYS</v>
      </c>
      <c r="J653" s="87" t="str">
        <f t="shared" si="56"/>
        <v>0-180 DAYS</v>
      </c>
    </row>
    <row r="654" spans="1:10" hidden="1" x14ac:dyDescent="0.35">
      <c r="A654" s="88" t="s">
        <v>1209</v>
      </c>
      <c r="B654" s="88" t="s">
        <v>789</v>
      </c>
      <c r="C654" s="18" t="s">
        <v>125</v>
      </c>
      <c r="D654" s="18" t="s">
        <v>57</v>
      </c>
      <c r="E654" s="18" t="s">
        <v>1980</v>
      </c>
      <c r="F654" s="19">
        <v>45457</v>
      </c>
      <c r="G654" s="108">
        <v>468511.04</v>
      </c>
      <c r="H654" s="87">
        <f t="shared" si="54"/>
        <v>17</v>
      </c>
      <c r="I654" t="str">
        <f t="shared" si="55"/>
        <v>1-90 DAYS</v>
      </c>
      <c r="J654" s="87" t="str">
        <f t="shared" si="56"/>
        <v>0-180 DAYS</v>
      </c>
    </row>
    <row r="655" spans="1:10" hidden="1" x14ac:dyDescent="0.35">
      <c r="A655" s="88" t="s">
        <v>1209</v>
      </c>
      <c r="B655" s="88" t="s">
        <v>789</v>
      </c>
      <c r="C655" s="18" t="s">
        <v>125</v>
      </c>
      <c r="D655" s="18" t="s">
        <v>57</v>
      </c>
      <c r="E655" s="18" t="s">
        <v>1981</v>
      </c>
      <c r="F655" s="19">
        <v>45457</v>
      </c>
      <c r="G655" s="108">
        <v>2942.78</v>
      </c>
      <c r="H655" s="87">
        <f t="shared" si="54"/>
        <v>17</v>
      </c>
      <c r="I655" t="str">
        <f t="shared" si="55"/>
        <v>1-90 DAYS</v>
      </c>
      <c r="J655" s="87" t="str">
        <f t="shared" si="56"/>
        <v>0-180 DAYS</v>
      </c>
    </row>
    <row r="656" spans="1:10" hidden="1" x14ac:dyDescent="0.35">
      <c r="A656" s="88" t="s">
        <v>477</v>
      </c>
      <c r="B656" s="88" t="s">
        <v>790</v>
      </c>
      <c r="C656" s="18" t="s">
        <v>1841</v>
      </c>
      <c r="D656" s="18" t="s">
        <v>2004</v>
      </c>
      <c r="E656" s="18" t="s">
        <v>1982</v>
      </c>
      <c r="F656" s="19">
        <v>45458</v>
      </c>
      <c r="G656" s="108">
        <v>18408</v>
      </c>
      <c r="H656" s="87">
        <f t="shared" si="54"/>
        <v>16</v>
      </c>
      <c r="I656" t="str">
        <f t="shared" si="55"/>
        <v>1-90 DAYS</v>
      </c>
      <c r="J656" s="87" t="str">
        <f t="shared" si="56"/>
        <v>0-180 DAYS</v>
      </c>
    </row>
    <row r="657" spans="1:10" hidden="1" x14ac:dyDescent="0.35">
      <c r="A657" s="88" t="s">
        <v>1209</v>
      </c>
      <c r="B657" s="88" t="s">
        <v>789</v>
      </c>
      <c r="C657" s="18" t="s">
        <v>125</v>
      </c>
      <c r="D657" s="18" t="s">
        <v>57</v>
      </c>
      <c r="E657" s="18" t="s">
        <v>1983</v>
      </c>
      <c r="F657" s="19">
        <v>45458</v>
      </c>
      <c r="G657" s="108">
        <v>724759.48</v>
      </c>
      <c r="H657" s="87">
        <f t="shared" si="54"/>
        <v>16</v>
      </c>
      <c r="I657" t="str">
        <f t="shared" si="55"/>
        <v>1-90 DAYS</v>
      </c>
      <c r="J657" s="87" t="str">
        <f t="shared" si="56"/>
        <v>0-180 DAYS</v>
      </c>
    </row>
    <row r="658" spans="1:10" hidden="1" x14ac:dyDescent="0.35">
      <c r="A658" s="88" t="s">
        <v>1209</v>
      </c>
      <c r="B658" s="88" t="s">
        <v>789</v>
      </c>
      <c r="C658" s="18" t="s">
        <v>125</v>
      </c>
      <c r="D658" s="18" t="s">
        <v>57</v>
      </c>
      <c r="E658" s="18" t="s">
        <v>1984</v>
      </c>
      <c r="F658" s="19">
        <v>45458</v>
      </c>
      <c r="G658" s="108">
        <v>1471.39</v>
      </c>
      <c r="H658" s="87">
        <f t="shared" si="54"/>
        <v>16</v>
      </c>
      <c r="I658" t="str">
        <f t="shared" si="55"/>
        <v>1-90 DAYS</v>
      </c>
      <c r="J658" s="87" t="str">
        <f t="shared" si="56"/>
        <v>0-180 DAYS</v>
      </c>
    </row>
    <row r="659" spans="1:10" hidden="1" x14ac:dyDescent="0.35">
      <c r="A659" s="88" t="s">
        <v>477</v>
      </c>
      <c r="B659" s="88" t="s">
        <v>790</v>
      </c>
      <c r="C659" s="18" t="s">
        <v>1093</v>
      </c>
      <c r="D659" s="18" t="s">
        <v>1094</v>
      </c>
      <c r="E659" s="18" t="s">
        <v>1985</v>
      </c>
      <c r="F659" s="19">
        <v>45460</v>
      </c>
      <c r="G659" s="108">
        <v>150482.32999999999</v>
      </c>
      <c r="H659" s="87">
        <f t="shared" si="54"/>
        <v>14</v>
      </c>
      <c r="I659" t="str">
        <f t="shared" si="55"/>
        <v>1-90 DAYS</v>
      </c>
      <c r="J659" s="87" t="str">
        <f t="shared" si="56"/>
        <v>0-180 DAYS</v>
      </c>
    </row>
    <row r="660" spans="1:10" hidden="1" x14ac:dyDescent="0.35">
      <c r="A660" s="88" t="s">
        <v>477</v>
      </c>
      <c r="B660" s="88" t="s">
        <v>790</v>
      </c>
      <c r="C660" s="18" t="s">
        <v>430</v>
      </c>
      <c r="D660" s="18" t="s">
        <v>431</v>
      </c>
      <c r="E660" s="18" t="s">
        <v>1986</v>
      </c>
      <c r="F660" s="19">
        <v>45462</v>
      </c>
      <c r="G660" s="108">
        <v>502450.5</v>
      </c>
      <c r="H660" s="87">
        <f t="shared" si="54"/>
        <v>12</v>
      </c>
      <c r="I660" t="str">
        <f t="shared" si="55"/>
        <v>1-90 DAYS</v>
      </c>
      <c r="J660" s="87" t="str">
        <f t="shared" si="56"/>
        <v>0-180 DAYS</v>
      </c>
    </row>
    <row r="661" spans="1:10" hidden="1" x14ac:dyDescent="0.35">
      <c r="A661" s="88" t="s">
        <v>1209</v>
      </c>
      <c r="B661" s="88" t="s">
        <v>789</v>
      </c>
      <c r="C661" s="18" t="s">
        <v>125</v>
      </c>
      <c r="D661" s="18" t="s">
        <v>57</v>
      </c>
      <c r="E661" s="18" t="s">
        <v>1987</v>
      </c>
      <c r="F661" s="19">
        <v>45463</v>
      </c>
      <c r="G661" s="108">
        <v>575159.18000000005</v>
      </c>
      <c r="H661" s="87">
        <f t="shared" si="54"/>
        <v>11</v>
      </c>
      <c r="I661" t="str">
        <f t="shared" si="55"/>
        <v>1-90 DAYS</v>
      </c>
      <c r="J661" s="87" t="str">
        <f t="shared" si="56"/>
        <v>0-180 DAYS</v>
      </c>
    </row>
    <row r="662" spans="1:10" hidden="1" x14ac:dyDescent="0.35">
      <c r="A662" s="88" t="s">
        <v>1209</v>
      </c>
      <c r="B662" s="88" t="s">
        <v>789</v>
      </c>
      <c r="C662" s="18" t="s">
        <v>125</v>
      </c>
      <c r="D662" s="18" t="s">
        <v>57</v>
      </c>
      <c r="E662" s="18" t="s">
        <v>1988</v>
      </c>
      <c r="F662" s="19">
        <v>45463</v>
      </c>
      <c r="G662" s="108">
        <v>1471.39</v>
      </c>
      <c r="H662" s="87">
        <f t="shared" si="54"/>
        <v>11</v>
      </c>
      <c r="I662" t="str">
        <f t="shared" si="55"/>
        <v>1-90 DAYS</v>
      </c>
      <c r="J662" s="87" t="str">
        <f t="shared" si="56"/>
        <v>0-180 DAYS</v>
      </c>
    </row>
    <row r="663" spans="1:10" hidden="1" x14ac:dyDescent="0.35">
      <c r="A663" s="88" t="s">
        <v>477</v>
      </c>
      <c r="B663" s="88" t="s">
        <v>790</v>
      </c>
      <c r="C663" s="18" t="s">
        <v>1093</v>
      </c>
      <c r="D663" s="18" t="s">
        <v>1094</v>
      </c>
      <c r="E663" s="18" t="s">
        <v>1989</v>
      </c>
      <c r="F663" s="19">
        <v>45468</v>
      </c>
      <c r="G663" s="108">
        <v>121196.16</v>
      </c>
      <c r="H663" s="87">
        <f t="shared" si="54"/>
        <v>6</v>
      </c>
      <c r="I663" t="str">
        <f>IF(H663&lt;91,"1-90 DAYS",IF(H663&lt;121,"91-120DAYS",IF(H663&lt;181,"121-180 DAYS","More than 180 Days")))</f>
        <v>1-90 DAYS</v>
      </c>
      <c r="J663" s="87" t="str">
        <f t="shared" si="56"/>
        <v>0-180 DAYS</v>
      </c>
    </row>
    <row r="664" spans="1:10" hidden="1" x14ac:dyDescent="0.35">
      <c r="A664" s="88" t="s">
        <v>1209</v>
      </c>
      <c r="B664" s="88" t="s">
        <v>789</v>
      </c>
      <c r="C664" s="18" t="s">
        <v>125</v>
      </c>
      <c r="D664" s="18" t="s">
        <v>57</v>
      </c>
      <c r="E664" s="18" t="s">
        <v>1990</v>
      </c>
      <c r="F664" s="19">
        <v>45468</v>
      </c>
      <c r="G664" s="108">
        <v>369866.45</v>
      </c>
      <c r="H664" s="87">
        <f t="shared" si="54"/>
        <v>6</v>
      </c>
      <c r="I664" t="str">
        <f t="shared" si="55"/>
        <v>1-90 DAYS</v>
      </c>
      <c r="J664" s="87" t="str">
        <f t="shared" si="56"/>
        <v>0-180 DAYS</v>
      </c>
    </row>
    <row r="665" spans="1:10" hidden="1" x14ac:dyDescent="0.35">
      <c r="A665" s="88" t="s">
        <v>1209</v>
      </c>
      <c r="B665" s="88" t="s">
        <v>789</v>
      </c>
      <c r="C665" s="18" t="s">
        <v>125</v>
      </c>
      <c r="D665" s="18" t="s">
        <v>57</v>
      </c>
      <c r="E665" s="18" t="s">
        <v>1991</v>
      </c>
      <c r="F665" s="19">
        <v>45468</v>
      </c>
      <c r="G665" s="108">
        <v>3678.48</v>
      </c>
      <c r="H665" s="87">
        <f t="shared" si="54"/>
        <v>6</v>
      </c>
      <c r="I665" t="str">
        <f t="shared" si="55"/>
        <v>1-90 DAYS</v>
      </c>
      <c r="J665" s="87" t="str">
        <f t="shared" si="56"/>
        <v>0-180 DAYS</v>
      </c>
    </row>
    <row r="666" spans="1:10" hidden="1" x14ac:dyDescent="0.35">
      <c r="A666" s="88" t="s">
        <v>477</v>
      </c>
      <c r="B666" s="88" t="s">
        <v>790</v>
      </c>
      <c r="C666" s="18" t="s">
        <v>1056</v>
      </c>
      <c r="D666" s="18" t="s">
        <v>1057</v>
      </c>
      <c r="E666" s="18" t="s">
        <v>1992</v>
      </c>
      <c r="F666" s="19">
        <v>45470</v>
      </c>
      <c r="G666" s="108">
        <v>41117.1</v>
      </c>
      <c r="H666" s="87">
        <f t="shared" si="54"/>
        <v>4</v>
      </c>
      <c r="I666" t="str">
        <f t="shared" si="55"/>
        <v>1-90 DAYS</v>
      </c>
      <c r="J666" s="87" t="str">
        <f t="shared" si="56"/>
        <v>0-180 DAYS</v>
      </c>
    </row>
    <row r="667" spans="1:10" hidden="1" x14ac:dyDescent="0.35">
      <c r="A667" s="88" t="s">
        <v>1209</v>
      </c>
      <c r="B667" s="88" t="s">
        <v>789</v>
      </c>
      <c r="C667" s="18" t="s">
        <v>125</v>
      </c>
      <c r="D667" s="18" t="s">
        <v>57</v>
      </c>
      <c r="E667" s="18" t="s">
        <v>1993</v>
      </c>
      <c r="F667" s="19">
        <v>45471</v>
      </c>
      <c r="G667" s="108">
        <v>590679</v>
      </c>
      <c r="H667" s="87">
        <f t="shared" si="54"/>
        <v>3</v>
      </c>
      <c r="I667" t="str">
        <f t="shared" si="55"/>
        <v>1-90 DAYS</v>
      </c>
      <c r="J667" s="87" t="str">
        <f t="shared" si="56"/>
        <v>0-180 DAYS</v>
      </c>
    </row>
    <row r="668" spans="1:10" hidden="1" x14ac:dyDescent="0.35">
      <c r="A668" s="88" t="s">
        <v>1209</v>
      </c>
      <c r="B668" s="88" t="s">
        <v>789</v>
      </c>
      <c r="C668" s="18" t="s">
        <v>125</v>
      </c>
      <c r="D668" s="18" t="s">
        <v>57</v>
      </c>
      <c r="E668" s="18" t="s">
        <v>1994</v>
      </c>
      <c r="F668" s="19">
        <v>45448</v>
      </c>
      <c r="G668" s="108">
        <v>682574.29</v>
      </c>
      <c r="H668" s="87">
        <f t="shared" si="54"/>
        <v>26</v>
      </c>
      <c r="I668" t="str">
        <f t="shared" si="55"/>
        <v>1-90 DAYS</v>
      </c>
      <c r="J668" s="87" t="str">
        <f t="shared" si="56"/>
        <v>0-180 DAYS</v>
      </c>
    </row>
    <row r="669" spans="1:10" hidden="1" x14ac:dyDescent="0.35">
      <c r="A669" s="88" t="s">
        <v>1209</v>
      </c>
      <c r="B669" s="88" t="s">
        <v>789</v>
      </c>
      <c r="C669" s="18" t="s">
        <v>125</v>
      </c>
      <c r="D669" s="18" t="s">
        <v>57</v>
      </c>
      <c r="E669" s="18" t="s">
        <v>1995</v>
      </c>
      <c r="F669" s="19">
        <v>45453</v>
      </c>
      <c r="G669" s="108">
        <v>7634.02</v>
      </c>
      <c r="H669" s="87">
        <f t="shared" si="54"/>
        <v>21</v>
      </c>
      <c r="I669" t="str">
        <f t="shared" si="55"/>
        <v>1-90 DAYS</v>
      </c>
      <c r="J669" s="87" t="str">
        <f t="shared" si="56"/>
        <v>0-180 DAYS</v>
      </c>
    </row>
    <row r="670" spans="1:10" hidden="1" x14ac:dyDescent="0.35">
      <c r="A670" s="88" t="s">
        <v>1209</v>
      </c>
      <c r="B670" s="88" t="s">
        <v>789</v>
      </c>
      <c r="C670" s="18" t="s">
        <v>125</v>
      </c>
      <c r="D670" s="18" t="s">
        <v>57</v>
      </c>
      <c r="E670" s="18" t="s">
        <v>1996</v>
      </c>
      <c r="F670" s="19">
        <v>45454</v>
      </c>
      <c r="G670" s="108">
        <v>17449.2</v>
      </c>
      <c r="H670" s="87">
        <f t="shared" si="54"/>
        <v>20</v>
      </c>
      <c r="I670" t="str">
        <f t="shared" si="55"/>
        <v>1-90 DAYS</v>
      </c>
      <c r="J670" s="87" t="str">
        <f t="shared" si="56"/>
        <v>0-180 DAYS</v>
      </c>
    </row>
    <row r="671" spans="1:10" hidden="1" x14ac:dyDescent="0.35">
      <c r="A671" s="88" t="s">
        <v>1209</v>
      </c>
      <c r="B671" s="88" t="s">
        <v>789</v>
      </c>
      <c r="C671" s="18" t="s">
        <v>125</v>
      </c>
      <c r="D671" s="18" t="s">
        <v>57</v>
      </c>
      <c r="E671" s="18" t="s">
        <v>1997</v>
      </c>
      <c r="F671" s="19">
        <v>45457</v>
      </c>
      <c r="G671" s="108">
        <v>1047019.93</v>
      </c>
      <c r="H671" s="87">
        <f t="shared" si="54"/>
        <v>17</v>
      </c>
      <c r="I671" t="str">
        <f t="shared" si="55"/>
        <v>1-90 DAYS</v>
      </c>
      <c r="J671" s="87" t="str">
        <f t="shared" si="56"/>
        <v>0-180 DAYS</v>
      </c>
    </row>
    <row r="672" spans="1:10" hidden="1" x14ac:dyDescent="0.35">
      <c r="A672" s="88" t="s">
        <v>1209</v>
      </c>
      <c r="B672" s="88" t="s">
        <v>789</v>
      </c>
      <c r="C672" s="18" t="s">
        <v>125</v>
      </c>
      <c r="D672" s="18" t="s">
        <v>57</v>
      </c>
      <c r="E672" s="18" t="s">
        <v>1998</v>
      </c>
      <c r="F672" s="19">
        <v>45461</v>
      </c>
      <c r="G672" s="108">
        <v>350544.84</v>
      </c>
      <c r="H672" s="87">
        <f t="shared" si="54"/>
        <v>13</v>
      </c>
      <c r="I672" t="str">
        <f t="shared" si="55"/>
        <v>1-90 DAYS</v>
      </c>
      <c r="J672" s="87" t="str">
        <f t="shared" si="56"/>
        <v>0-180 DAYS</v>
      </c>
    </row>
    <row r="673" spans="1:10" hidden="1" x14ac:dyDescent="0.35">
      <c r="A673" s="88" t="s">
        <v>1209</v>
      </c>
      <c r="B673" s="88" t="s">
        <v>789</v>
      </c>
      <c r="C673" s="18" t="s">
        <v>125</v>
      </c>
      <c r="D673" s="18" t="s">
        <v>57</v>
      </c>
      <c r="E673" s="18" t="s">
        <v>1999</v>
      </c>
      <c r="F673" s="19">
        <v>45465</v>
      </c>
      <c r="G673" s="108">
        <v>126346.18</v>
      </c>
      <c r="H673" s="87">
        <f t="shared" si="54"/>
        <v>9</v>
      </c>
      <c r="I673" t="str">
        <f t="shared" si="55"/>
        <v>1-90 DAYS</v>
      </c>
      <c r="J673" s="87" t="str">
        <f t="shared" si="56"/>
        <v>0-180 DAYS</v>
      </c>
    </row>
    <row r="674" spans="1:10" hidden="1" x14ac:dyDescent="0.35">
      <c r="A674" s="88" t="s">
        <v>1209</v>
      </c>
      <c r="B674" s="88" t="s">
        <v>789</v>
      </c>
      <c r="C674" s="18" t="s">
        <v>125</v>
      </c>
      <c r="D674" s="18" t="s">
        <v>57</v>
      </c>
      <c r="E674" s="18" t="s">
        <v>2000</v>
      </c>
      <c r="F674" s="19">
        <v>45468</v>
      </c>
      <c r="G674" s="108">
        <v>1071.71</v>
      </c>
      <c r="H674" s="87">
        <f t="shared" si="54"/>
        <v>6</v>
      </c>
      <c r="I674" t="str">
        <f t="shared" si="55"/>
        <v>1-90 DAYS</v>
      </c>
      <c r="J674" s="87" t="str">
        <f t="shared" si="56"/>
        <v>0-180 DAYS</v>
      </c>
    </row>
  </sheetData>
  <autoFilter ref="A3:K674" xr:uid="{8BD05E96-EC16-4C30-8517-C2AE5CCD9570}">
    <filterColumn colId="2">
      <filters>
        <filter val="Fibco Plastic Industry Llc"/>
      </filters>
    </filterColumn>
  </autoFilter>
  <conditionalFormatting sqref="E3">
    <cfRule type="duplicateValues" dxfId="94" priority="3"/>
    <cfRule type="duplicateValues" dxfId="93" priority="4"/>
  </conditionalFormatting>
  <conditionalFormatting sqref="E4">
    <cfRule type="duplicateValues" dxfId="92" priority="7"/>
  </conditionalFormatting>
  <conditionalFormatting sqref="E4:E5">
    <cfRule type="duplicateValues" dxfId="91" priority="215"/>
    <cfRule type="duplicateValues" dxfId="90" priority="216"/>
  </conditionalFormatting>
  <conditionalFormatting sqref="E39:E43">
    <cfRule type="duplicateValues" dxfId="89" priority="5"/>
  </conditionalFormatting>
  <conditionalFormatting sqref="E39:E45">
    <cfRule type="duplicateValues" dxfId="88" priority="6"/>
  </conditionalFormatting>
  <conditionalFormatting sqref="E39:E53">
    <cfRule type="duplicateValues" dxfId="87" priority="213"/>
    <cfRule type="duplicateValues" dxfId="86" priority="214"/>
  </conditionalFormatting>
  <conditionalFormatting sqref="E68:F68">
    <cfRule type="duplicateValues" dxfId="85" priority="1"/>
    <cfRule type="duplicateValues" dxfId="84" priority="2"/>
  </conditionalFormatting>
  <dataValidations disablePrompts="1" count="2">
    <dataValidation type="textLength" operator="lessThanOrEqual" allowBlank="1" showInputMessage="1" showErrorMessage="1" error="Invoice number cannot be greater 18 characters" sqref="E39:E45 E4" xr:uid="{817B73BF-6275-4A82-8690-23CBA82F0811}">
      <formula1>18</formula1>
    </dataValidation>
    <dataValidation type="textLength" allowBlank="1" showInputMessage="1" showErrorMessage="1" error="GST Number, please update 15 characters" sqref="D39:D45 D147 D4" xr:uid="{3001323F-F5BC-4BFE-912F-FB4DD22A86EA}">
      <formula1>15</formula1>
      <formula2>15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2FD9-4773-4D7B-848B-9C4D91540CB0}">
  <sheetPr codeName="Sheet8" filterMode="1">
    <tabColor theme="7"/>
  </sheetPr>
  <dimension ref="A1:O794"/>
  <sheetViews>
    <sheetView workbookViewId="0">
      <pane ySplit="4" topLeftCell="A103" activePane="bottomLeft" state="frozen"/>
      <selection pane="bottomLeft" activeCell="C805" sqref="C805"/>
    </sheetView>
  </sheetViews>
  <sheetFormatPr defaultRowHeight="14.5" x14ac:dyDescent="0.35"/>
  <cols>
    <col min="3" max="3" width="38.7265625" bestFit="1" customWidth="1"/>
    <col min="5" max="5" width="16.6328125" bestFit="1" customWidth="1"/>
    <col min="6" max="6" width="17.453125" style="59" bestFit="1" customWidth="1"/>
    <col min="7" max="7" width="16.08984375" style="97" bestFit="1" customWidth="1"/>
    <col min="8" max="8" width="14.6328125" bestFit="1" customWidth="1"/>
    <col min="9" max="9" width="12.54296875" bestFit="1" customWidth="1"/>
    <col min="13" max="13" width="10" bestFit="1" customWidth="1"/>
    <col min="15" max="15" width="10" bestFit="1" customWidth="1"/>
  </cols>
  <sheetData>
    <row r="1" spans="1:15" x14ac:dyDescent="0.35">
      <c r="H1" s="97"/>
      <c r="I1" s="73"/>
    </row>
    <row r="2" spans="1:15" x14ac:dyDescent="0.35">
      <c r="E2" s="66"/>
      <c r="F2" s="98"/>
      <c r="H2" s="35">
        <v>45657</v>
      </c>
    </row>
    <row r="3" spans="1:15" x14ac:dyDescent="0.35">
      <c r="E3" s="66"/>
      <c r="F3" s="98"/>
      <c r="G3" s="150">
        <f>SUBTOTAL(9,G5:G794)</f>
        <v>1490376.96</v>
      </c>
      <c r="H3" s="35"/>
      <c r="M3" s="66"/>
    </row>
    <row r="4" spans="1:15" x14ac:dyDescent="0.35">
      <c r="A4" s="2" t="s">
        <v>478</v>
      </c>
      <c r="B4" s="2" t="s">
        <v>787</v>
      </c>
      <c r="C4" s="80" t="s">
        <v>472</v>
      </c>
      <c r="D4" s="80" t="s">
        <v>473</v>
      </c>
      <c r="E4" s="81" t="s">
        <v>474</v>
      </c>
      <c r="F4" s="82" t="s">
        <v>475</v>
      </c>
      <c r="G4" s="86" t="s">
        <v>476</v>
      </c>
      <c r="H4" s="83" t="s">
        <v>483</v>
      </c>
      <c r="I4" s="83" t="s">
        <v>484</v>
      </c>
      <c r="J4" s="83" t="s">
        <v>1051</v>
      </c>
      <c r="K4" s="89"/>
      <c r="L4" s="89"/>
    </row>
    <row r="5" spans="1:15" hidden="1" x14ac:dyDescent="0.35">
      <c r="A5" s="2" t="s">
        <v>1085</v>
      </c>
      <c r="B5" s="2" t="s">
        <v>790</v>
      </c>
      <c r="C5" s="37" t="s">
        <v>518</v>
      </c>
      <c r="D5" s="37" t="s">
        <v>507</v>
      </c>
      <c r="E5" s="37" t="s">
        <v>519</v>
      </c>
      <c r="F5" s="36" t="s">
        <v>1406</v>
      </c>
      <c r="G5" s="67">
        <v>3151699.2</v>
      </c>
      <c r="H5" s="37">
        <f t="shared" ref="H5:H68" si="0">$H$2-F5+1</f>
        <v>790</v>
      </c>
      <c r="I5" s="37" t="str">
        <f>IF(H5&lt;121,"0-120 DAYS",IF(H5&lt;181,"121-180 DAYS","More than 180 Days"))</f>
        <v>More than 180 Days</v>
      </c>
      <c r="J5" s="37" t="str">
        <f>IF(H5&lt;180,"0-180 DAYS","More than 180 Days")</f>
        <v>More than 180 Days</v>
      </c>
      <c r="M5" s="66"/>
      <c r="N5" t="s">
        <v>1406</v>
      </c>
      <c r="O5" s="66">
        <v>3151699.2</v>
      </c>
    </row>
    <row r="6" spans="1:15" hidden="1" x14ac:dyDescent="0.35">
      <c r="A6" s="2" t="s">
        <v>1085</v>
      </c>
      <c r="B6" s="2" t="s">
        <v>790</v>
      </c>
      <c r="C6" s="37" t="s">
        <v>520</v>
      </c>
      <c r="D6" s="37" t="s">
        <v>507</v>
      </c>
      <c r="E6" s="37" t="s">
        <v>521</v>
      </c>
      <c r="F6" s="36" t="s">
        <v>1406</v>
      </c>
      <c r="G6" s="67">
        <v>3151699.2</v>
      </c>
      <c r="H6" s="37">
        <f t="shared" si="0"/>
        <v>790</v>
      </c>
      <c r="I6" s="37" t="str">
        <f>IF(H6&lt;121,"0-120 DAYS",IF(H6&lt;181,"121-180 DAYS","More than 180 Days"))</f>
        <v>More than 180 Days</v>
      </c>
      <c r="J6" s="37" t="str">
        <f t="shared" ref="J6:J69" si="1">IF(H6&lt;180,"0-180 DAYS","More than 180 Days")</f>
        <v>More than 180 Days</v>
      </c>
      <c r="M6" s="66"/>
      <c r="N6" t="s">
        <v>1406</v>
      </c>
      <c r="O6" s="66">
        <v>3151699.2</v>
      </c>
    </row>
    <row r="7" spans="1:15" hidden="1" x14ac:dyDescent="0.35">
      <c r="A7" s="2" t="s">
        <v>1209</v>
      </c>
      <c r="B7" s="2" t="s">
        <v>789</v>
      </c>
      <c r="C7" s="44" t="s">
        <v>506</v>
      </c>
      <c r="D7" s="2" t="s">
        <v>507</v>
      </c>
      <c r="E7" s="135" t="s">
        <v>1240</v>
      </c>
      <c r="F7" s="36" t="s">
        <v>1415</v>
      </c>
      <c r="G7" s="67">
        <v>1488580.03</v>
      </c>
      <c r="H7" s="37">
        <f t="shared" si="0"/>
        <v>121</v>
      </c>
      <c r="I7" s="37" t="str">
        <f>IF(H7&lt;91,"1-90 DAYS",IF(H7&lt;121,"91-120DAYS",IF(H7&lt;181,"121-180 DAYS","More than 180 Days")))</f>
        <v>121-180 DAYS</v>
      </c>
      <c r="J7" s="37" t="str">
        <f t="shared" si="1"/>
        <v>0-180 DAYS</v>
      </c>
      <c r="M7" s="66"/>
      <c r="N7" t="s">
        <v>1415</v>
      </c>
      <c r="O7" s="66">
        <v>1488580.03</v>
      </c>
    </row>
    <row r="8" spans="1:15" hidden="1" x14ac:dyDescent="0.35">
      <c r="A8" s="2" t="s">
        <v>1209</v>
      </c>
      <c r="B8" s="2" t="s">
        <v>789</v>
      </c>
      <c r="C8" s="44" t="s">
        <v>506</v>
      </c>
      <c r="D8" s="2" t="s">
        <v>507</v>
      </c>
      <c r="E8" s="135" t="s">
        <v>1241</v>
      </c>
      <c r="F8" s="36" t="s">
        <v>1415</v>
      </c>
      <c r="G8" s="67">
        <v>179830.58</v>
      </c>
      <c r="H8" s="37">
        <f t="shared" si="0"/>
        <v>121</v>
      </c>
      <c r="I8" s="37" t="str">
        <f>IF(H8&lt;91,"1-90 DAYS",IF(H8&lt;121,"91-120DAYS",IF(H8&lt;181,"121-180 DAYS","More than 180 Days")))</f>
        <v>121-180 DAYS</v>
      </c>
      <c r="J8" s="37" t="str">
        <f t="shared" si="1"/>
        <v>0-180 DAYS</v>
      </c>
      <c r="M8" s="66"/>
      <c r="N8" t="s">
        <v>1415</v>
      </c>
      <c r="O8" s="66">
        <v>179830.58</v>
      </c>
    </row>
    <row r="9" spans="1:15" hidden="1" x14ac:dyDescent="0.35">
      <c r="A9" s="2" t="s">
        <v>1209</v>
      </c>
      <c r="B9" s="2" t="s">
        <v>789</v>
      </c>
      <c r="C9" s="44" t="s">
        <v>506</v>
      </c>
      <c r="D9" s="2" t="s">
        <v>507</v>
      </c>
      <c r="E9" s="44" t="s">
        <v>1678</v>
      </c>
      <c r="F9" s="36" t="s">
        <v>1755</v>
      </c>
      <c r="G9" s="67">
        <v>1719678.72</v>
      </c>
      <c r="H9" s="37" t="e">
        <f t="shared" si="0"/>
        <v>#VALUE!</v>
      </c>
      <c r="I9" s="37" t="e">
        <f>IF(H9&lt;91,"1-90 DAYS",IF(H9&lt;121,"91-120DAYS",IF(H9&lt;181,"121-180 DAYS","More than 180 Days")))</f>
        <v>#VALUE!</v>
      </c>
      <c r="J9" s="37" t="e">
        <f t="shared" si="1"/>
        <v>#VALUE!</v>
      </c>
      <c r="M9" s="66"/>
      <c r="N9" t="s">
        <v>1755</v>
      </c>
      <c r="O9" s="66">
        <v>1719678.72</v>
      </c>
    </row>
    <row r="10" spans="1:15" hidden="1" x14ac:dyDescent="0.35">
      <c r="A10" s="2" t="s">
        <v>1209</v>
      </c>
      <c r="B10" s="2" t="s">
        <v>789</v>
      </c>
      <c r="C10" s="44" t="s">
        <v>506</v>
      </c>
      <c r="D10" s="2" t="s">
        <v>507</v>
      </c>
      <c r="E10" s="44" t="s">
        <v>1679</v>
      </c>
      <c r="F10" s="36" t="s">
        <v>1755</v>
      </c>
      <c r="G10" s="67">
        <v>1293318.77</v>
      </c>
      <c r="H10" s="37" t="e">
        <f t="shared" si="0"/>
        <v>#VALUE!</v>
      </c>
      <c r="I10" s="37" t="e">
        <f>IF(H10&lt;91,"1-90 DAYS",IF(H10&lt;121,"91-120DAYS",IF(H10&lt;181,"121-180 DAYS","More than 180 Days")))</f>
        <v>#VALUE!</v>
      </c>
      <c r="J10" s="37" t="e">
        <f t="shared" si="1"/>
        <v>#VALUE!</v>
      </c>
      <c r="M10" s="66"/>
      <c r="N10" t="s">
        <v>1755</v>
      </c>
      <c r="O10" s="66">
        <v>1293318.77</v>
      </c>
    </row>
    <row r="11" spans="1:15" hidden="1" x14ac:dyDescent="0.35">
      <c r="A11" s="2" t="s">
        <v>1209</v>
      </c>
      <c r="B11" s="2" t="s">
        <v>789</v>
      </c>
      <c r="C11" s="44" t="s">
        <v>506</v>
      </c>
      <c r="D11" s="2" t="s">
        <v>507</v>
      </c>
      <c r="E11" s="44" t="s">
        <v>1680</v>
      </c>
      <c r="F11" s="36" t="s">
        <v>1755</v>
      </c>
      <c r="G11" s="67">
        <v>331389.31</v>
      </c>
      <c r="H11" s="37" t="e">
        <f t="shared" si="0"/>
        <v>#VALUE!</v>
      </c>
      <c r="I11" s="37" t="e">
        <f>IF(H11&lt;91,"1-90 DAYS",IF(H11&lt;121,"91-120DAYS",IF(H11&lt;181,"121-180 DAYS","More than 180 Days")))</f>
        <v>#VALUE!</v>
      </c>
      <c r="J11" s="37" t="e">
        <f t="shared" si="1"/>
        <v>#VALUE!</v>
      </c>
      <c r="M11" s="66"/>
      <c r="N11" t="s">
        <v>1755</v>
      </c>
      <c r="O11" s="66">
        <v>331389.31</v>
      </c>
    </row>
    <row r="12" spans="1:15" hidden="1" x14ac:dyDescent="0.35">
      <c r="A12" s="2" t="s">
        <v>1085</v>
      </c>
      <c r="B12" s="2" t="s">
        <v>790</v>
      </c>
      <c r="C12" s="44" t="s">
        <v>1647</v>
      </c>
      <c r="D12" s="2" t="s">
        <v>507</v>
      </c>
      <c r="E12" s="44" t="s">
        <v>1692</v>
      </c>
      <c r="F12" s="36" t="s">
        <v>1735</v>
      </c>
      <c r="G12" s="67">
        <v>3034724</v>
      </c>
      <c r="H12" s="37">
        <f t="shared" si="0"/>
        <v>180</v>
      </c>
      <c r="I12" s="37" t="str">
        <f>IF(H12&lt;121,"0-120 DAYS",IF(H12&lt;181,"121-180 DAYS","More than 180 Days"))</f>
        <v>121-180 DAYS</v>
      </c>
      <c r="J12" s="37" t="str">
        <f t="shared" si="1"/>
        <v>More than 180 Days</v>
      </c>
      <c r="M12" s="66"/>
      <c r="N12" t="s">
        <v>1735</v>
      </c>
      <c r="O12" s="66">
        <v>3034724</v>
      </c>
    </row>
    <row r="13" spans="1:15" hidden="1" x14ac:dyDescent="0.35">
      <c r="A13" s="2" t="s">
        <v>1085</v>
      </c>
      <c r="B13" s="2" t="s">
        <v>790</v>
      </c>
      <c r="C13" s="44" t="s">
        <v>538</v>
      </c>
      <c r="D13" s="2" t="s">
        <v>507</v>
      </c>
      <c r="E13" s="44" t="s">
        <v>1699</v>
      </c>
      <c r="F13" s="36" t="s">
        <v>1746</v>
      </c>
      <c r="G13" s="67">
        <v>281395.43</v>
      </c>
      <c r="H13" s="37" t="e">
        <f t="shared" si="0"/>
        <v>#VALUE!</v>
      </c>
      <c r="I13" s="37" t="e">
        <f>IF(H13&lt;121,"0-120 DAYS",IF(H13&lt;181,"121-180 DAYS","More than 180 Days"))</f>
        <v>#VALUE!</v>
      </c>
      <c r="J13" s="37" t="e">
        <f t="shared" si="1"/>
        <v>#VALUE!</v>
      </c>
      <c r="M13" s="66"/>
      <c r="N13" t="s">
        <v>1746</v>
      </c>
      <c r="O13" s="66">
        <v>281395.43</v>
      </c>
    </row>
    <row r="14" spans="1:15" hidden="1" x14ac:dyDescent="0.35">
      <c r="A14" s="2" t="s">
        <v>1085</v>
      </c>
      <c r="B14" s="2" t="s">
        <v>790</v>
      </c>
      <c r="C14" s="44" t="s">
        <v>538</v>
      </c>
      <c r="D14" s="2" t="s">
        <v>507</v>
      </c>
      <c r="E14" s="44" t="s">
        <v>1702</v>
      </c>
      <c r="F14" s="36" t="s">
        <v>1752</v>
      </c>
      <c r="G14" s="67">
        <v>2953911</v>
      </c>
      <c r="H14" s="37" t="e">
        <f t="shared" si="0"/>
        <v>#VALUE!</v>
      </c>
      <c r="I14" s="37" t="e">
        <f>IF(H14&lt;121,"0-120 DAYS",IF(H14&lt;181,"121-180 DAYS","More than 180 Days"))</f>
        <v>#VALUE!</v>
      </c>
      <c r="J14" s="37" t="e">
        <f t="shared" si="1"/>
        <v>#VALUE!</v>
      </c>
      <c r="M14" s="66"/>
      <c r="N14" t="s">
        <v>1752</v>
      </c>
      <c r="O14" s="66">
        <v>2953911</v>
      </c>
    </row>
    <row r="15" spans="1:15" hidden="1" x14ac:dyDescent="0.35">
      <c r="A15" s="2" t="s">
        <v>1727</v>
      </c>
      <c r="B15" s="2" t="s">
        <v>788</v>
      </c>
      <c r="C15" s="44" t="s">
        <v>1729</v>
      </c>
      <c r="D15" s="2" t="s">
        <v>507</v>
      </c>
      <c r="E15" s="140" t="s">
        <v>2548</v>
      </c>
      <c r="F15" s="35">
        <v>45626</v>
      </c>
      <c r="G15" s="151">
        <v>21755961.243016753</v>
      </c>
      <c r="H15" s="37">
        <f t="shared" si="0"/>
        <v>32</v>
      </c>
      <c r="I15" s="37" t="str">
        <f>IF(H15&lt;91,"1-90 DAYS",IF(H15&lt;121,"91-120DAYS",IF(H15&lt;181,"121-180 DAYS","More than 180 Days")))</f>
        <v>1-90 DAYS</v>
      </c>
      <c r="J15" s="37" t="str">
        <f t="shared" si="1"/>
        <v>0-180 DAYS</v>
      </c>
      <c r="K15" t="s">
        <v>1730</v>
      </c>
      <c r="M15" s="66"/>
      <c r="N15" t="s">
        <v>2860</v>
      </c>
      <c r="O15" s="66">
        <v>21755961.239999998</v>
      </c>
    </row>
    <row r="16" spans="1:15" hidden="1" x14ac:dyDescent="0.35">
      <c r="A16" s="2" t="s">
        <v>1727</v>
      </c>
      <c r="B16" s="2" t="s">
        <v>788</v>
      </c>
      <c r="C16" s="44" t="s">
        <v>1728</v>
      </c>
      <c r="D16" s="2" t="s">
        <v>507</v>
      </c>
      <c r="E16" s="140" t="s">
        <v>2548</v>
      </c>
      <c r="F16" s="35">
        <v>45626</v>
      </c>
      <c r="G16" s="151">
        <v>30004713.290000014</v>
      </c>
      <c r="H16" s="37">
        <f t="shared" si="0"/>
        <v>32</v>
      </c>
      <c r="I16" s="37" t="str">
        <f>IF(H16&lt;91,"1-90 DAYS",IF(H16&lt;121,"91-120DAYS",IF(H16&lt;181,"121-180 DAYS","More than 180 Days")))</f>
        <v>1-90 DAYS</v>
      </c>
      <c r="J16" s="37" t="str">
        <f t="shared" si="1"/>
        <v>0-180 DAYS</v>
      </c>
      <c r="K16" t="s">
        <v>1730</v>
      </c>
      <c r="M16" s="66"/>
      <c r="N16" t="s">
        <v>2860</v>
      </c>
      <c r="O16" s="66">
        <v>30004713.289999999</v>
      </c>
    </row>
    <row r="17" spans="1:15" hidden="1" x14ac:dyDescent="0.35">
      <c r="A17" s="2" t="s">
        <v>1085</v>
      </c>
      <c r="B17" s="2" t="s">
        <v>790</v>
      </c>
      <c r="C17" s="44" t="s">
        <v>526</v>
      </c>
      <c r="D17" s="2" t="s">
        <v>507</v>
      </c>
      <c r="E17" s="44" t="s">
        <v>1811</v>
      </c>
      <c r="F17" s="36" t="s">
        <v>2020</v>
      </c>
      <c r="G17" s="67">
        <v>5392128</v>
      </c>
      <c r="H17" s="37">
        <f t="shared" si="0"/>
        <v>117</v>
      </c>
      <c r="I17" s="37" t="str">
        <f>IF(H17&lt;121,"0-120 DAYS",IF(H17&lt;181,"121-180 DAYS","More than 180 Days"))</f>
        <v>0-120 DAYS</v>
      </c>
      <c r="J17" s="37" t="str">
        <f t="shared" si="1"/>
        <v>0-180 DAYS</v>
      </c>
      <c r="M17" s="66"/>
      <c r="N17" t="s">
        <v>2020</v>
      </c>
      <c r="O17" s="66">
        <v>5392128</v>
      </c>
    </row>
    <row r="18" spans="1:15" hidden="1" x14ac:dyDescent="0.35">
      <c r="A18" s="2" t="s">
        <v>1085</v>
      </c>
      <c r="B18" s="2" t="s">
        <v>790</v>
      </c>
      <c r="C18" s="144" t="s">
        <v>1091</v>
      </c>
      <c r="D18" s="2" t="s">
        <v>507</v>
      </c>
      <c r="E18" s="44" t="s">
        <v>1820</v>
      </c>
      <c r="F18" s="36" t="s">
        <v>2015</v>
      </c>
      <c r="G18" s="67">
        <v>3126641.28</v>
      </c>
      <c r="H18" s="37" t="e">
        <f t="shared" si="0"/>
        <v>#VALUE!</v>
      </c>
      <c r="I18" s="37" t="e">
        <f>IF(H18&lt;121,"0-120 DAYS",IF(H18&lt;181,"121-180 DAYS","More than 180 Days"))</f>
        <v>#VALUE!</v>
      </c>
      <c r="J18" s="37" t="e">
        <f t="shared" si="1"/>
        <v>#VALUE!</v>
      </c>
      <c r="M18" s="66"/>
      <c r="N18" t="s">
        <v>2015</v>
      </c>
      <c r="O18" s="66">
        <v>3126641.28</v>
      </c>
    </row>
    <row r="19" spans="1:15" hidden="1" x14ac:dyDescent="0.35">
      <c r="A19" s="2" t="s">
        <v>477</v>
      </c>
      <c r="B19" s="2" t="s">
        <v>790</v>
      </c>
      <c r="C19" s="2" t="s">
        <v>0</v>
      </c>
      <c r="D19" s="2" t="s">
        <v>1</v>
      </c>
      <c r="E19" s="3" t="s">
        <v>1058</v>
      </c>
      <c r="F19" s="36" t="s">
        <v>1425</v>
      </c>
      <c r="G19" s="67">
        <v>82517.399999999994</v>
      </c>
      <c r="H19" s="37">
        <f t="shared" si="0"/>
        <v>1062</v>
      </c>
      <c r="I19" s="37" t="str">
        <f t="shared" ref="I19:I56" si="2">IF(H19&lt;91,"1-90 DAYS",IF(H19&lt;121,"91-120DAYS",IF(H19&lt;181,"121-180 DAYS","More than 180 Days")))</f>
        <v>More than 180 Days</v>
      </c>
      <c r="J19" s="37" t="str">
        <f t="shared" si="1"/>
        <v>More than 180 Days</v>
      </c>
      <c r="M19" s="66"/>
      <c r="N19" t="s">
        <v>1425</v>
      </c>
      <c r="O19" s="66">
        <v>82517.399999999994</v>
      </c>
    </row>
    <row r="20" spans="1:15" hidden="1" x14ac:dyDescent="0.35">
      <c r="A20" s="2" t="s">
        <v>477</v>
      </c>
      <c r="B20" s="2" t="s">
        <v>790</v>
      </c>
      <c r="C20" s="44" t="s">
        <v>0</v>
      </c>
      <c r="D20" s="44" t="s">
        <v>1</v>
      </c>
      <c r="E20" s="44" t="s">
        <v>1059</v>
      </c>
      <c r="F20" s="36" t="s">
        <v>1426</v>
      </c>
      <c r="G20" s="67">
        <v>49754.7</v>
      </c>
      <c r="H20" s="37">
        <f t="shared" si="0"/>
        <v>638</v>
      </c>
      <c r="I20" s="37" t="str">
        <f t="shared" si="2"/>
        <v>More than 180 Days</v>
      </c>
      <c r="J20" s="37" t="str">
        <f t="shared" si="1"/>
        <v>More than 180 Days</v>
      </c>
      <c r="M20" s="66"/>
      <c r="N20" t="s">
        <v>1426</v>
      </c>
      <c r="O20" s="66">
        <v>49754.7</v>
      </c>
    </row>
    <row r="21" spans="1:15" hidden="1" x14ac:dyDescent="0.35">
      <c r="A21" s="2" t="s">
        <v>477</v>
      </c>
      <c r="B21" s="2" t="s">
        <v>790</v>
      </c>
      <c r="C21" s="44" t="s">
        <v>3</v>
      </c>
      <c r="D21" s="44" t="s">
        <v>4</v>
      </c>
      <c r="E21" s="44" t="s">
        <v>1089</v>
      </c>
      <c r="F21" s="36" t="s">
        <v>1427</v>
      </c>
      <c r="G21" s="67">
        <v>8928.24</v>
      </c>
      <c r="H21" s="37">
        <f t="shared" si="0"/>
        <v>693</v>
      </c>
      <c r="I21" s="37" t="str">
        <f t="shared" si="2"/>
        <v>More than 180 Days</v>
      </c>
      <c r="J21" s="37" t="str">
        <f t="shared" si="1"/>
        <v>More than 180 Days</v>
      </c>
      <c r="M21" s="66"/>
      <c r="N21" t="s">
        <v>1427</v>
      </c>
      <c r="O21" s="66">
        <v>8928.24</v>
      </c>
    </row>
    <row r="22" spans="1:15" hidden="1" x14ac:dyDescent="0.35">
      <c r="A22" s="2" t="s">
        <v>477</v>
      </c>
      <c r="B22" s="2" t="s">
        <v>790</v>
      </c>
      <c r="C22" s="44" t="s">
        <v>3</v>
      </c>
      <c r="D22" s="44" t="s">
        <v>4</v>
      </c>
      <c r="E22" s="44" t="s">
        <v>1092</v>
      </c>
      <c r="F22" s="36" t="s">
        <v>1428</v>
      </c>
      <c r="G22" s="67">
        <v>1730.83</v>
      </c>
      <c r="H22" s="37" t="e">
        <f t="shared" si="0"/>
        <v>#VALUE!</v>
      </c>
      <c r="I22" s="37" t="e">
        <f t="shared" si="2"/>
        <v>#VALUE!</v>
      </c>
      <c r="J22" s="37" t="e">
        <f t="shared" si="1"/>
        <v>#VALUE!</v>
      </c>
      <c r="M22" s="66"/>
      <c r="N22" t="s">
        <v>1428</v>
      </c>
      <c r="O22" s="66">
        <v>1730.83</v>
      </c>
    </row>
    <row r="23" spans="1:15" hidden="1" x14ac:dyDescent="0.35">
      <c r="A23" s="2" t="s">
        <v>477</v>
      </c>
      <c r="B23" s="2" t="s">
        <v>790</v>
      </c>
      <c r="C23" s="2" t="s">
        <v>13</v>
      </c>
      <c r="D23" s="2" t="s">
        <v>14</v>
      </c>
      <c r="E23" s="3" t="s">
        <v>15</v>
      </c>
      <c r="F23" s="36" t="s">
        <v>1430</v>
      </c>
      <c r="G23" s="67">
        <v>81031.210000000006</v>
      </c>
      <c r="H23" s="37" t="e">
        <f t="shared" si="0"/>
        <v>#VALUE!</v>
      </c>
      <c r="I23" s="37" t="e">
        <f t="shared" si="2"/>
        <v>#VALUE!</v>
      </c>
      <c r="J23" s="37" t="e">
        <f t="shared" si="1"/>
        <v>#VALUE!</v>
      </c>
      <c r="M23" s="66"/>
      <c r="N23" t="s">
        <v>1430</v>
      </c>
      <c r="O23" s="66">
        <v>81031.210000000006</v>
      </c>
    </row>
    <row r="24" spans="1:15" hidden="1" x14ac:dyDescent="0.35">
      <c r="A24" s="2" t="s">
        <v>477</v>
      </c>
      <c r="B24" s="2" t="s">
        <v>790</v>
      </c>
      <c r="C24" s="44" t="s">
        <v>277</v>
      </c>
      <c r="D24" s="44" t="s">
        <v>278</v>
      </c>
      <c r="E24" s="44" t="s">
        <v>1018</v>
      </c>
      <c r="F24" s="36" t="s">
        <v>1431</v>
      </c>
      <c r="G24" s="67">
        <v>19519.82</v>
      </c>
      <c r="H24" s="37" t="e">
        <f t="shared" si="0"/>
        <v>#VALUE!</v>
      </c>
      <c r="I24" s="37" t="e">
        <f t="shared" si="2"/>
        <v>#VALUE!</v>
      </c>
      <c r="J24" s="37" t="e">
        <f t="shared" si="1"/>
        <v>#VALUE!</v>
      </c>
      <c r="M24" s="66"/>
      <c r="N24" t="s">
        <v>1431</v>
      </c>
      <c r="O24" s="66">
        <v>19519.82</v>
      </c>
    </row>
    <row r="25" spans="1:15" hidden="1" x14ac:dyDescent="0.35">
      <c r="A25" s="2" t="s">
        <v>477</v>
      </c>
      <c r="B25" s="2" t="s">
        <v>790</v>
      </c>
      <c r="C25" s="2" t="s">
        <v>20</v>
      </c>
      <c r="D25" s="2" t="s">
        <v>21</v>
      </c>
      <c r="E25" s="3" t="s">
        <v>22</v>
      </c>
      <c r="F25" s="36" t="s">
        <v>1432</v>
      </c>
      <c r="G25" s="67">
        <v>978730</v>
      </c>
      <c r="H25" s="37">
        <f t="shared" si="0"/>
        <v>883</v>
      </c>
      <c r="I25" s="37" t="str">
        <f t="shared" si="2"/>
        <v>More than 180 Days</v>
      </c>
      <c r="J25" s="37" t="str">
        <f t="shared" si="1"/>
        <v>More than 180 Days</v>
      </c>
      <c r="M25" s="66"/>
      <c r="N25" t="s">
        <v>1432</v>
      </c>
      <c r="O25" s="66">
        <v>978730</v>
      </c>
    </row>
    <row r="26" spans="1:15" hidden="1" x14ac:dyDescent="0.35">
      <c r="A26" s="2" t="s">
        <v>477</v>
      </c>
      <c r="B26" s="2" t="s">
        <v>790</v>
      </c>
      <c r="C26" s="2" t="s">
        <v>20</v>
      </c>
      <c r="D26" s="2" t="s">
        <v>21</v>
      </c>
      <c r="E26" s="3" t="s">
        <v>23</v>
      </c>
      <c r="F26" s="36" t="s">
        <v>1432</v>
      </c>
      <c r="G26" s="67">
        <v>1039965</v>
      </c>
      <c r="H26" s="37">
        <f t="shared" si="0"/>
        <v>883</v>
      </c>
      <c r="I26" s="37" t="str">
        <f t="shared" si="2"/>
        <v>More than 180 Days</v>
      </c>
      <c r="J26" s="37" t="str">
        <f t="shared" si="1"/>
        <v>More than 180 Days</v>
      </c>
      <c r="M26" s="66"/>
      <c r="N26" t="s">
        <v>1432</v>
      </c>
      <c r="O26" s="66">
        <v>1039965</v>
      </c>
    </row>
    <row r="27" spans="1:15" hidden="1" x14ac:dyDescent="0.35">
      <c r="A27" s="2" t="s">
        <v>477</v>
      </c>
      <c r="B27" s="2" t="s">
        <v>790</v>
      </c>
      <c r="C27" s="2" t="s">
        <v>20</v>
      </c>
      <c r="D27" s="2" t="s">
        <v>21</v>
      </c>
      <c r="E27" s="3" t="s">
        <v>24</v>
      </c>
      <c r="F27" s="36" t="s">
        <v>1433</v>
      </c>
      <c r="G27" s="67">
        <v>1160694.02</v>
      </c>
      <c r="H27" s="37" t="e">
        <f t="shared" si="0"/>
        <v>#VALUE!</v>
      </c>
      <c r="I27" s="37" t="e">
        <f t="shared" si="2"/>
        <v>#VALUE!</v>
      </c>
      <c r="J27" s="37" t="e">
        <f t="shared" si="1"/>
        <v>#VALUE!</v>
      </c>
      <c r="M27" s="66"/>
      <c r="N27" t="s">
        <v>1433</v>
      </c>
      <c r="O27" s="66">
        <v>1160694.02</v>
      </c>
    </row>
    <row r="28" spans="1:15" hidden="1" x14ac:dyDescent="0.35">
      <c r="A28" s="2" t="s">
        <v>477</v>
      </c>
      <c r="B28" s="2" t="s">
        <v>790</v>
      </c>
      <c r="C28" s="2" t="s">
        <v>20</v>
      </c>
      <c r="D28" s="2" t="s">
        <v>21</v>
      </c>
      <c r="E28" s="3" t="s">
        <v>25</v>
      </c>
      <c r="F28" s="36" t="s">
        <v>1434</v>
      </c>
      <c r="G28" s="67">
        <v>1075361.1399999999</v>
      </c>
      <c r="H28" s="37" t="e">
        <f t="shared" si="0"/>
        <v>#VALUE!</v>
      </c>
      <c r="I28" s="37" t="e">
        <f t="shared" si="2"/>
        <v>#VALUE!</v>
      </c>
      <c r="J28" s="37" t="e">
        <f t="shared" si="1"/>
        <v>#VALUE!</v>
      </c>
      <c r="M28" s="66"/>
      <c r="N28" t="s">
        <v>1434</v>
      </c>
      <c r="O28" s="66">
        <v>1075361.1399999999</v>
      </c>
    </row>
    <row r="29" spans="1:15" hidden="1" x14ac:dyDescent="0.35">
      <c r="A29" s="2" t="s">
        <v>477</v>
      </c>
      <c r="B29" s="2" t="s">
        <v>790</v>
      </c>
      <c r="C29" s="44" t="s">
        <v>35</v>
      </c>
      <c r="D29" s="44" t="s">
        <v>36</v>
      </c>
      <c r="E29" s="44" t="s">
        <v>1192</v>
      </c>
      <c r="F29" s="36" t="s">
        <v>1436</v>
      </c>
      <c r="G29" s="67">
        <v>580857.09</v>
      </c>
      <c r="H29" s="37">
        <f t="shared" si="0"/>
        <v>416</v>
      </c>
      <c r="I29" s="37" t="str">
        <f t="shared" si="2"/>
        <v>More than 180 Days</v>
      </c>
      <c r="J29" s="37" t="str">
        <f t="shared" si="1"/>
        <v>More than 180 Days</v>
      </c>
      <c r="M29" s="66"/>
      <c r="N29" t="s">
        <v>1436</v>
      </c>
      <c r="O29" s="66">
        <v>580857.09</v>
      </c>
    </row>
    <row r="30" spans="1:15" hidden="1" x14ac:dyDescent="0.35">
      <c r="A30" s="2" t="s">
        <v>477</v>
      </c>
      <c r="B30" s="2" t="s">
        <v>790</v>
      </c>
      <c r="C30" s="2" t="s">
        <v>38</v>
      </c>
      <c r="D30" s="2" t="s">
        <v>39</v>
      </c>
      <c r="E30" s="2" t="s">
        <v>40</v>
      </c>
      <c r="F30" s="36" t="s">
        <v>1437</v>
      </c>
      <c r="G30" s="67">
        <v>1507988</v>
      </c>
      <c r="H30" s="37" t="e">
        <f t="shared" si="0"/>
        <v>#VALUE!</v>
      </c>
      <c r="I30" s="37" t="e">
        <f t="shared" si="2"/>
        <v>#VALUE!</v>
      </c>
      <c r="J30" s="37" t="e">
        <f t="shared" si="1"/>
        <v>#VALUE!</v>
      </c>
      <c r="M30" s="66"/>
      <c r="N30" t="s">
        <v>1437</v>
      </c>
      <c r="O30" s="66">
        <v>1507988</v>
      </c>
    </row>
    <row r="31" spans="1:15" hidden="1" x14ac:dyDescent="0.35">
      <c r="A31" s="2" t="s">
        <v>477</v>
      </c>
      <c r="B31" s="2" t="s">
        <v>790</v>
      </c>
      <c r="C31" s="2" t="s">
        <v>38</v>
      </c>
      <c r="D31" s="2" t="s">
        <v>39</v>
      </c>
      <c r="E31" s="2" t="s">
        <v>41</v>
      </c>
      <c r="F31" s="36" t="s">
        <v>1438</v>
      </c>
      <c r="G31" s="67">
        <v>2089970</v>
      </c>
      <c r="H31" s="37">
        <f t="shared" si="0"/>
        <v>2648</v>
      </c>
      <c r="I31" s="37" t="str">
        <f t="shared" si="2"/>
        <v>More than 180 Days</v>
      </c>
      <c r="J31" s="37" t="str">
        <f t="shared" si="1"/>
        <v>More than 180 Days</v>
      </c>
      <c r="M31" s="66"/>
      <c r="N31" t="s">
        <v>1438</v>
      </c>
      <c r="O31" s="66">
        <v>2089970</v>
      </c>
    </row>
    <row r="32" spans="1:15" hidden="1" x14ac:dyDescent="0.35">
      <c r="A32" s="2" t="s">
        <v>477</v>
      </c>
      <c r="B32" s="2" t="s">
        <v>790</v>
      </c>
      <c r="C32" s="44" t="s">
        <v>263</v>
      </c>
      <c r="D32" s="44" t="s">
        <v>264</v>
      </c>
      <c r="E32" s="44" t="s">
        <v>1399</v>
      </c>
      <c r="F32" s="36" t="s">
        <v>1473</v>
      </c>
      <c r="G32" s="67">
        <v>681843.97</v>
      </c>
      <c r="H32" s="37">
        <f t="shared" si="0"/>
        <v>89</v>
      </c>
      <c r="I32" s="37" t="str">
        <f t="shared" si="2"/>
        <v>1-90 DAYS</v>
      </c>
      <c r="J32" s="37" t="str">
        <f t="shared" si="1"/>
        <v>0-180 DAYS</v>
      </c>
      <c r="M32" s="66"/>
      <c r="N32" t="s">
        <v>1473</v>
      </c>
      <c r="O32" s="66">
        <v>681843.97</v>
      </c>
    </row>
    <row r="33" spans="1:15" hidden="1" x14ac:dyDescent="0.35">
      <c r="A33" s="2" t="s">
        <v>477</v>
      </c>
      <c r="B33" s="2" t="s">
        <v>790</v>
      </c>
      <c r="C33" s="44" t="s">
        <v>1496</v>
      </c>
      <c r="D33" s="44" t="s">
        <v>1499</v>
      </c>
      <c r="E33" s="44" t="s">
        <v>1560</v>
      </c>
      <c r="F33" s="36" t="s">
        <v>1753</v>
      </c>
      <c r="G33" s="67">
        <v>3066525</v>
      </c>
      <c r="H33" s="37" t="e">
        <f t="shared" si="0"/>
        <v>#VALUE!</v>
      </c>
      <c r="I33" s="37" t="e">
        <f t="shared" si="2"/>
        <v>#VALUE!</v>
      </c>
      <c r="J33" s="37" t="e">
        <f t="shared" si="1"/>
        <v>#VALUE!</v>
      </c>
      <c r="M33" s="66"/>
      <c r="N33" t="s">
        <v>1753</v>
      </c>
      <c r="O33" s="66">
        <v>3066525</v>
      </c>
    </row>
    <row r="34" spans="1:15" hidden="1" x14ac:dyDescent="0.35">
      <c r="A34" s="2" t="s">
        <v>477</v>
      </c>
      <c r="B34" s="2" t="s">
        <v>790</v>
      </c>
      <c r="C34" s="44" t="s">
        <v>1496</v>
      </c>
      <c r="D34" s="44" t="s">
        <v>1499</v>
      </c>
      <c r="E34" s="44" t="s">
        <v>1561</v>
      </c>
      <c r="F34" s="36" t="s">
        <v>1753</v>
      </c>
      <c r="G34" s="67">
        <v>3066330</v>
      </c>
      <c r="H34" s="37" t="e">
        <f t="shared" si="0"/>
        <v>#VALUE!</v>
      </c>
      <c r="I34" s="37" t="e">
        <f t="shared" si="2"/>
        <v>#VALUE!</v>
      </c>
      <c r="J34" s="37" t="e">
        <f t="shared" si="1"/>
        <v>#VALUE!</v>
      </c>
      <c r="M34" s="66"/>
      <c r="N34" t="s">
        <v>1753</v>
      </c>
      <c r="O34" s="66">
        <v>3066330</v>
      </c>
    </row>
    <row r="35" spans="1:15" hidden="1" x14ac:dyDescent="0.35">
      <c r="A35" s="2" t="s">
        <v>477</v>
      </c>
      <c r="B35" s="2" t="s">
        <v>790</v>
      </c>
      <c r="C35" s="44" t="s">
        <v>1496</v>
      </c>
      <c r="D35" s="44" t="s">
        <v>1499</v>
      </c>
      <c r="E35" s="44" t="s">
        <v>1562</v>
      </c>
      <c r="F35" s="36" t="s">
        <v>1753</v>
      </c>
      <c r="G35" s="67">
        <v>3063926</v>
      </c>
      <c r="H35" s="37" t="e">
        <f t="shared" si="0"/>
        <v>#VALUE!</v>
      </c>
      <c r="I35" s="37" t="e">
        <f t="shared" si="2"/>
        <v>#VALUE!</v>
      </c>
      <c r="J35" s="37" t="e">
        <f t="shared" si="1"/>
        <v>#VALUE!</v>
      </c>
      <c r="M35" s="66"/>
      <c r="N35" t="s">
        <v>1753</v>
      </c>
      <c r="O35" s="66">
        <v>3063926</v>
      </c>
    </row>
    <row r="36" spans="1:15" hidden="1" x14ac:dyDescent="0.35">
      <c r="A36" s="2" t="s">
        <v>477</v>
      </c>
      <c r="B36" s="2" t="s">
        <v>790</v>
      </c>
      <c r="C36" s="44" t="s">
        <v>1496</v>
      </c>
      <c r="D36" s="44" t="s">
        <v>1499</v>
      </c>
      <c r="E36" s="44" t="s">
        <v>1563</v>
      </c>
      <c r="F36" s="36" t="s">
        <v>1753</v>
      </c>
      <c r="G36" s="67">
        <v>3063926</v>
      </c>
      <c r="H36" s="37" t="e">
        <f t="shared" si="0"/>
        <v>#VALUE!</v>
      </c>
      <c r="I36" s="37" t="e">
        <f t="shared" si="2"/>
        <v>#VALUE!</v>
      </c>
      <c r="J36" s="37" t="e">
        <f t="shared" si="1"/>
        <v>#VALUE!</v>
      </c>
      <c r="M36" s="66"/>
      <c r="N36" t="s">
        <v>1753</v>
      </c>
      <c r="O36" s="66">
        <v>3063926</v>
      </c>
    </row>
    <row r="37" spans="1:15" hidden="1" x14ac:dyDescent="0.35">
      <c r="A37" s="2" t="s">
        <v>477</v>
      </c>
      <c r="B37" s="2" t="s">
        <v>790</v>
      </c>
      <c r="C37" s="44" t="s">
        <v>1496</v>
      </c>
      <c r="D37" s="44" t="s">
        <v>1499</v>
      </c>
      <c r="E37" s="44" t="s">
        <v>1564</v>
      </c>
      <c r="F37" s="36" t="s">
        <v>1753</v>
      </c>
      <c r="G37" s="67">
        <v>3063926</v>
      </c>
      <c r="H37" s="37" t="e">
        <f t="shared" si="0"/>
        <v>#VALUE!</v>
      </c>
      <c r="I37" s="37" t="e">
        <f t="shared" si="2"/>
        <v>#VALUE!</v>
      </c>
      <c r="J37" s="37" t="e">
        <f t="shared" si="1"/>
        <v>#VALUE!</v>
      </c>
      <c r="M37" s="66"/>
      <c r="N37" t="s">
        <v>1753</v>
      </c>
      <c r="O37" s="66">
        <v>3063926</v>
      </c>
    </row>
    <row r="38" spans="1:15" hidden="1" x14ac:dyDescent="0.35">
      <c r="A38" s="2" t="s">
        <v>477</v>
      </c>
      <c r="B38" s="2" t="s">
        <v>790</v>
      </c>
      <c r="C38" s="44" t="s">
        <v>1496</v>
      </c>
      <c r="D38" s="44" t="s">
        <v>1499</v>
      </c>
      <c r="E38" s="44" t="s">
        <v>1565</v>
      </c>
      <c r="F38" s="36" t="s">
        <v>1753</v>
      </c>
      <c r="G38" s="67">
        <v>3063926</v>
      </c>
      <c r="H38" s="37" t="e">
        <f t="shared" si="0"/>
        <v>#VALUE!</v>
      </c>
      <c r="I38" s="37" t="e">
        <f t="shared" si="2"/>
        <v>#VALUE!</v>
      </c>
      <c r="J38" s="37" t="e">
        <f t="shared" si="1"/>
        <v>#VALUE!</v>
      </c>
      <c r="M38" s="66"/>
      <c r="N38" t="s">
        <v>1753</v>
      </c>
      <c r="O38" s="66">
        <v>3063926</v>
      </c>
    </row>
    <row r="39" spans="1:15" hidden="1" x14ac:dyDescent="0.35">
      <c r="A39" s="2" t="s">
        <v>477</v>
      </c>
      <c r="B39" s="2" t="s">
        <v>790</v>
      </c>
      <c r="C39" s="44" t="s">
        <v>1496</v>
      </c>
      <c r="D39" s="44" t="s">
        <v>1499</v>
      </c>
      <c r="E39" s="44" t="s">
        <v>1570</v>
      </c>
      <c r="F39" s="36" t="s">
        <v>1755</v>
      </c>
      <c r="G39" s="67">
        <v>3063926</v>
      </c>
      <c r="H39" s="37" t="e">
        <f t="shared" si="0"/>
        <v>#VALUE!</v>
      </c>
      <c r="I39" s="37" t="e">
        <f t="shared" si="2"/>
        <v>#VALUE!</v>
      </c>
      <c r="J39" s="37" t="e">
        <f t="shared" si="1"/>
        <v>#VALUE!</v>
      </c>
      <c r="M39" s="66"/>
      <c r="N39" t="s">
        <v>1755</v>
      </c>
      <c r="O39" s="66">
        <v>3063926</v>
      </c>
    </row>
    <row r="40" spans="1:15" hidden="1" x14ac:dyDescent="0.35">
      <c r="A40" s="2" t="s">
        <v>477</v>
      </c>
      <c r="B40" s="2" t="s">
        <v>790</v>
      </c>
      <c r="C40" s="44" t="s">
        <v>1496</v>
      </c>
      <c r="D40" s="44" t="s">
        <v>1499</v>
      </c>
      <c r="E40" s="44" t="s">
        <v>1571</v>
      </c>
      <c r="F40" s="36" t="s">
        <v>1755</v>
      </c>
      <c r="G40" s="67">
        <v>3063926</v>
      </c>
      <c r="H40" s="37" t="e">
        <f t="shared" si="0"/>
        <v>#VALUE!</v>
      </c>
      <c r="I40" s="37" t="e">
        <f t="shared" si="2"/>
        <v>#VALUE!</v>
      </c>
      <c r="J40" s="37" t="e">
        <f t="shared" si="1"/>
        <v>#VALUE!</v>
      </c>
      <c r="M40" s="66"/>
      <c r="N40" t="s">
        <v>1755</v>
      </c>
      <c r="O40" s="66">
        <v>3063926</v>
      </c>
    </row>
    <row r="41" spans="1:15" hidden="1" x14ac:dyDescent="0.35">
      <c r="A41" s="2" t="s">
        <v>477</v>
      </c>
      <c r="B41" s="2" t="s">
        <v>790</v>
      </c>
      <c r="C41" s="44" t="s">
        <v>1496</v>
      </c>
      <c r="D41" s="44" t="s">
        <v>1499</v>
      </c>
      <c r="E41" s="44" t="s">
        <v>1572</v>
      </c>
      <c r="F41" s="36" t="s">
        <v>1755</v>
      </c>
      <c r="G41" s="67">
        <v>3063926</v>
      </c>
      <c r="H41" s="37" t="e">
        <f t="shared" si="0"/>
        <v>#VALUE!</v>
      </c>
      <c r="I41" s="37" t="e">
        <f t="shared" si="2"/>
        <v>#VALUE!</v>
      </c>
      <c r="J41" s="37" t="e">
        <f t="shared" si="1"/>
        <v>#VALUE!</v>
      </c>
      <c r="M41" s="66"/>
      <c r="N41" t="s">
        <v>1755</v>
      </c>
      <c r="O41" s="66">
        <v>3063926</v>
      </c>
    </row>
    <row r="42" spans="1:15" hidden="1" x14ac:dyDescent="0.35">
      <c r="A42" s="2" t="s">
        <v>477</v>
      </c>
      <c r="B42" s="2" t="s">
        <v>790</v>
      </c>
      <c r="C42" s="44" t="s">
        <v>1496</v>
      </c>
      <c r="D42" s="44" t="s">
        <v>1499</v>
      </c>
      <c r="E42" s="44" t="s">
        <v>1573</v>
      </c>
      <c r="F42" s="36" t="s">
        <v>1755</v>
      </c>
      <c r="G42" s="67">
        <v>3063926</v>
      </c>
      <c r="H42" s="37" t="e">
        <f t="shared" si="0"/>
        <v>#VALUE!</v>
      </c>
      <c r="I42" s="37" t="e">
        <f t="shared" si="2"/>
        <v>#VALUE!</v>
      </c>
      <c r="J42" s="37" t="e">
        <f t="shared" si="1"/>
        <v>#VALUE!</v>
      </c>
      <c r="M42" s="66"/>
      <c r="N42" t="s">
        <v>1755</v>
      </c>
      <c r="O42" s="66">
        <v>3063926</v>
      </c>
    </row>
    <row r="43" spans="1:15" hidden="1" x14ac:dyDescent="0.35">
      <c r="A43" s="2" t="s">
        <v>477</v>
      </c>
      <c r="B43" s="2" t="s">
        <v>790</v>
      </c>
      <c r="C43" s="44" t="s">
        <v>1496</v>
      </c>
      <c r="D43" s="44" t="s">
        <v>1499</v>
      </c>
      <c r="E43" s="44" t="s">
        <v>1574</v>
      </c>
      <c r="F43" s="36" t="s">
        <v>1755</v>
      </c>
      <c r="G43" s="67">
        <v>3063926</v>
      </c>
      <c r="H43" s="37" t="e">
        <f t="shared" si="0"/>
        <v>#VALUE!</v>
      </c>
      <c r="I43" s="37" t="e">
        <f t="shared" si="2"/>
        <v>#VALUE!</v>
      </c>
      <c r="J43" s="37" t="e">
        <f t="shared" si="1"/>
        <v>#VALUE!</v>
      </c>
      <c r="M43" s="66"/>
      <c r="N43" t="s">
        <v>1755</v>
      </c>
      <c r="O43" s="66">
        <v>3063926</v>
      </c>
    </row>
    <row r="44" spans="1:15" hidden="1" x14ac:dyDescent="0.35">
      <c r="A44" s="2" t="s">
        <v>477</v>
      </c>
      <c r="B44" s="2" t="s">
        <v>790</v>
      </c>
      <c r="C44" s="44" t="s">
        <v>1496</v>
      </c>
      <c r="D44" s="44" t="s">
        <v>1499</v>
      </c>
      <c r="E44" s="44" t="s">
        <v>1575</v>
      </c>
      <c r="F44" s="36" t="s">
        <v>1755</v>
      </c>
      <c r="G44" s="67">
        <v>3063926</v>
      </c>
      <c r="H44" s="37" t="e">
        <f t="shared" si="0"/>
        <v>#VALUE!</v>
      </c>
      <c r="I44" s="37" t="e">
        <f t="shared" si="2"/>
        <v>#VALUE!</v>
      </c>
      <c r="J44" s="37" t="e">
        <f t="shared" si="1"/>
        <v>#VALUE!</v>
      </c>
      <c r="M44" s="66"/>
      <c r="N44" t="s">
        <v>1755</v>
      </c>
      <c r="O44" s="66">
        <v>3063926</v>
      </c>
    </row>
    <row r="45" spans="1:15" hidden="1" x14ac:dyDescent="0.35">
      <c r="A45" s="2" t="s">
        <v>477</v>
      </c>
      <c r="B45" s="2" t="s">
        <v>790</v>
      </c>
      <c r="C45" s="44" t="s">
        <v>0</v>
      </c>
      <c r="D45" s="44" t="s">
        <v>1</v>
      </c>
      <c r="E45" s="44" t="s">
        <v>1610</v>
      </c>
      <c r="F45" s="36" t="s">
        <v>1739</v>
      </c>
      <c r="G45" s="67">
        <v>52321.2</v>
      </c>
      <c r="H45" s="37">
        <f t="shared" si="0"/>
        <v>57</v>
      </c>
      <c r="I45" s="37" t="str">
        <f t="shared" si="2"/>
        <v>1-90 DAYS</v>
      </c>
      <c r="J45" s="37" t="str">
        <f t="shared" si="1"/>
        <v>0-180 DAYS</v>
      </c>
      <c r="M45" s="66"/>
      <c r="N45" t="s">
        <v>1739</v>
      </c>
      <c r="O45" s="66">
        <v>52321.2</v>
      </c>
    </row>
    <row r="46" spans="1:15" hidden="1" x14ac:dyDescent="0.35">
      <c r="A46" s="2" t="s">
        <v>477</v>
      </c>
      <c r="B46" s="2" t="s">
        <v>790</v>
      </c>
      <c r="C46" s="44" t="s">
        <v>263</v>
      </c>
      <c r="D46" s="44" t="s">
        <v>264</v>
      </c>
      <c r="E46" s="44" t="s">
        <v>1619</v>
      </c>
      <c r="F46" s="36" t="s">
        <v>1747</v>
      </c>
      <c r="G46" s="67">
        <v>670565.34</v>
      </c>
      <c r="H46" s="37" t="e">
        <f t="shared" si="0"/>
        <v>#VALUE!</v>
      </c>
      <c r="I46" s="37" t="e">
        <f t="shared" si="2"/>
        <v>#VALUE!</v>
      </c>
      <c r="J46" s="37" t="e">
        <f t="shared" si="1"/>
        <v>#VALUE!</v>
      </c>
      <c r="M46" s="66"/>
      <c r="N46" t="s">
        <v>1747</v>
      </c>
      <c r="O46" s="66">
        <v>670565.34</v>
      </c>
    </row>
    <row r="47" spans="1:15" hidden="1" x14ac:dyDescent="0.35">
      <c r="A47" s="2" t="s">
        <v>477</v>
      </c>
      <c r="B47" s="2" t="s">
        <v>790</v>
      </c>
      <c r="C47" s="44" t="s">
        <v>430</v>
      </c>
      <c r="D47" s="44" t="s">
        <v>431</v>
      </c>
      <c r="E47" s="44" t="s">
        <v>1986</v>
      </c>
      <c r="F47" s="36" t="s">
        <v>2013</v>
      </c>
      <c r="G47" s="67">
        <v>78690.48</v>
      </c>
      <c r="H47" s="37" t="e">
        <f t="shared" si="0"/>
        <v>#VALUE!</v>
      </c>
      <c r="I47" s="37" t="e">
        <f t="shared" si="2"/>
        <v>#VALUE!</v>
      </c>
      <c r="J47" s="37" t="e">
        <f t="shared" si="1"/>
        <v>#VALUE!</v>
      </c>
      <c r="M47" s="66"/>
      <c r="N47" t="s">
        <v>2013</v>
      </c>
      <c r="O47" s="66">
        <v>78690.48</v>
      </c>
    </row>
    <row r="48" spans="1:15" hidden="1" x14ac:dyDescent="0.35">
      <c r="A48" s="2" t="s">
        <v>477</v>
      </c>
      <c r="B48" s="2" t="s">
        <v>790</v>
      </c>
      <c r="C48" s="44" t="s">
        <v>2032</v>
      </c>
      <c r="D48" s="44" t="s">
        <v>2063</v>
      </c>
      <c r="E48" s="44" t="s">
        <v>2039</v>
      </c>
      <c r="F48" s="36" t="s">
        <v>2259</v>
      </c>
      <c r="G48" s="67">
        <v>2847487.5</v>
      </c>
      <c r="H48" s="37">
        <f t="shared" si="0"/>
        <v>116</v>
      </c>
      <c r="I48" s="37" t="str">
        <f t="shared" si="2"/>
        <v>91-120DAYS</v>
      </c>
      <c r="J48" s="37" t="str">
        <f t="shared" si="1"/>
        <v>0-180 DAYS</v>
      </c>
      <c r="M48" s="66"/>
      <c r="N48" t="s">
        <v>2259</v>
      </c>
      <c r="O48" s="66">
        <v>2847487.5</v>
      </c>
    </row>
    <row r="49" spans="1:15" hidden="1" x14ac:dyDescent="0.35">
      <c r="A49" s="2" t="s">
        <v>477</v>
      </c>
      <c r="B49" s="2" t="s">
        <v>790</v>
      </c>
      <c r="C49" s="44" t="s">
        <v>2032</v>
      </c>
      <c r="D49" s="44" t="s">
        <v>2063</v>
      </c>
      <c r="E49" s="44" t="s">
        <v>2040</v>
      </c>
      <c r="F49" s="36" t="s">
        <v>2259</v>
      </c>
      <c r="G49" s="67">
        <v>2847487.5</v>
      </c>
      <c r="H49" s="37">
        <f t="shared" si="0"/>
        <v>116</v>
      </c>
      <c r="I49" s="37" t="str">
        <f t="shared" si="2"/>
        <v>91-120DAYS</v>
      </c>
      <c r="J49" s="37" t="str">
        <f t="shared" si="1"/>
        <v>0-180 DAYS</v>
      </c>
      <c r="M49" s="66"/>
      <c r="N49" t="s">
        <v>2259</v>
      </c>
      <c r="O49" s="66">
        <v>2847487.5</v>
      </c>
    </row>
    <row r="50" spans="1:15" hidden="1" x14ac:dyDescent="0.35">
      <c r="A50" s="2" t="s">
        <v>477</v>
      </c>
      <c r="B50" s="2" t="s">
        <v>790</v>
      </c>
      <c r="C50" s="44" t="s">
        <v>2032</v>
      </c>
      <c r="D50" s="44" t="s">
        <v>2063</v>
      </c>
      <c r="E50" s="44" t="s">
        <v>2042</v>
      </c>
      <c r="F50" s="36" t="s">
        <v>2261</v>
      </c>
      <c r="G50" s="67">
        <v>2932787.5</v>
      </c>
      <c r="H50" s="37">
        <f t="shared" si="0"/>
        <v>25</v>
      </c>
      <c r="I50" s="37" t="str">
        <f t="shared" si="2"/>
        <v>1-90 DAYS</v>
      </c>
      <c r="J50" s="37" t="str">
        <f t="shared" si="1"/>
        <v>0-180 DAYS</v>
      </c>
      <c r="M50" s="66"/>
      <c r="N50" t="s">
        <v>2261</v>
      </c>
      <c r="O50" s="66">
        <v>2932787.5</v>
      </c>
    </row>
    <row r="51" spans="1:15" hidden="1" x14ac:dyDescent="0.35">
      <c r="A51" s="2" t="s">
        <v>477</v>
      </c>
      <c r="B51" s="2" t="s">
        <v>790</v>
      </c>
      <c r="C51" s="44" t="s">
        <v>2032</v>
      </c>
      <c r="D51" s="44" t="s">
        <v>2063</v>
      </c>
      <c r="E51" s="44" t="s">
        <v>2043</v>
      </c>
      <c r="F51" s="36" t="s">
        <v>2261</v>
      </c>
      <c r="G51" s="67">
        <v>2932615.5</v>
      </c>
      <c r="H51" s="37">
        <f t="shared" si="0"/>
        <v>25</v>
      </c>
      <c r="I51" s="37" t="str">
        <f t="shared" si="2"/>
        <v>1-90 DAYS</v>
      </c>
      <c r="J51" s="37" t="str">
        <f t="shared" si="1"/>
        <v>0-180 DAYS</v>
      </c>
      <c r="M51" s="66"/>
      <c r="N51" t="s">
        <v>2261</v>
      </c>
      <c r="O51" s="66">
        <v>2932615.5</v>
      </c>
    </row>
    <row r="52" spans="1:15" hidden="1" x14ac:dyDescent="0.35">
      <c r="A52" s="2" t="s">
        <v>477</v>
      </c>
      <c r="B52" s="2" t="s">
        <v>790</v>
      </c>
      <c r="C52" s="44" t="s">
        <v>2032</v>
      </c>
      <c r="D52" s="44" t="s">
        <v>2063</v>
      </c>
      <c r="E52" s="44" t="s">
        <v>2044</v>
      </c>
      <c r="F52" s="36" t="s">
        <v>2261</v>
      </c>
      <c r="G52" s="67">
        <v>2932615.5</v>
      </c>
      <c r="H52" s="37">
        <f t="shared" si="0"/>
        <v>25</v>
      </c>
      <c r="I52" s="37" t="str">
        <f t="shared" si="2"/>
        <v>1-90 DAYS</v>
      </c>
      <c r="J52" s="37" t="str">
        <f t="shared" si="1"/>
        <v>0-180 DAYS</v>
      </c>
      <c r="M52" s="66"/>
      <c r="N52" t="s">
        <v>2261</v>
      </c>
      <c r="O52" s="66">
        <v>2932615.5</v>
      </c>
    </row>
    <row r="53" spans="1:15" hidden="1" x14ac:dyDescent="0.35">
      <c r="A53" s="2" t="s">
        <v>477</v>
      </c>
      <c r="B53" s="2" t="s">
        <v>790</v>
      </c>
      <c r="C53" s="44" t="s">
        <v>2032</v>
      </c>
      <c r="D53" s="44" t="s">
        <v>2063</v>
      </c>
      <c r="E53" s="44" t="s">
        <v>2045</v>
      </c>
      <c r="F53" s="36" t="s">
        <v>2261</v>
      </c>
      <c r="G53" s="67">
        <v>2932615.5</v>
      </c>
      <c r="H53" s="37">
        <f t="shared" si="0"/>
        <v>25</v>
      </c>
      <c r="I53" s="37" t="str">
        <f t="shared" si="2"/>
        <v>1-90 DAYS</v>
      </c>
      <c r="J53" s="37" t="str">
        <f t="shared" si="1"/>
        <v>0-180 DAYS</v>
      </c>
      <c r="M53" s="66"/>
      <c r="N53" t="s">
        <v>2261</v>
      </c>
      <c r="O53" s="66">
        <v>2932615.5</v>
      </c>
    </row>
    <row r="54" spans="1:15" hidden="1" x14ac:dyDescent="0.35">
      <c r="A54" s="2" t="s">
        <v>477</v>
      </c>
      <c r="B54" s="2" t="s">
        <v>790</v>
      </c>
      <c r="C54" s="44" t="s">
        <v>2032</v>
      </c>
      <c r="D54" s="44" t="s">
        <v>2063</v>
      </c>
      <c r="E54" s="44" t="s">
        <v>2046</v>
      </c>
      <c r="F54" s="36" t="s">
        <v>2252</v>
      </c>
      <c r="G54" s="67">
        <v>2845074.5</v>
      </c>
      <c r="H54" s="37" t="e">
        <f t="shared" si="0"/>
        <v>#VALUE!</v>
      </c>
      <c r="I54" s="37" t="e">
        <f t="shared" si="2"/>
        <v>#VALUE!</v>
      </c>
      <c r="J54" s="37" t="e">
        <f t="shared" si="1"/>
        <v>#VALUE!</v>
      </c>
      <c r="M54" s="66"/>
      <c r="N54" t="s">
        <v>2252</v>
      </c>
      <c r="O54" s="66">
        <v>2845074.5</v>
      </c>
    </row>
    <row r="55" spans="1:15" hidden="1" x14ac:dyDescent="0.35">
      <c r="A55" s="2" t="s">
        <v>477</v>
      </c>
      <c r="B55" s="2" t="s">
        <v>790</v>
      </c>
      <c r="C55" s="44" t="s">
        <v>2032</v>
      </c>
      <c r="D55" s="44" t="s">
        <v>2063</v>
      </c>
      <c r="E55" s="44" t="s">
        <v>2047</v>
      </c>
      <c r="F55" s="36" t="s">
        <v>2252</v>
      </c>
      <c r="G55" s="67">
        <v>2845074.5</v>
      </c>
      <c r="H55" s="37" t="e">
        <f t="shared" si="0"/>
        <v>#VALUE!</v>
      </c>
      <c r="I55" s="37" t="e">
        <f t="shared" si="2"/>
        <v>#VALUE!</v>
      </c>
      <c r="J55" s="37" t="e">
        <f t="shared" si="1"/>
        <v>#VALUE!</v>
      </c>
      <c r="M55" s="66"/>
      <c r="N55" t="s">
        <v>2252</v>
      </c>
      <c r="O55" s="66">
        <v>2845074.5</v>
      </c>
    </row>
    <row r="56" spans="1:15" hidden="1" x14ac:dyDescent="0.35">
      <c r="A56" s="2" t="s">
        <v>477</v>
      </c>
      <c r="B56" s="2" t="s">
        <v>790</v>
      </c>
      <c r="C56" s="44" t="s">
        <v>2032</v>
      </c>
      <c r="D56" s="44" t="s">
        <v>2063</v>
      </c>
      <c r="E56" s="44" t="s">
        <v>2048</v>
      </c>
      <c r="F56" s="36" t="s">
        <v>2252</v>
      </c>
      <c r="G56" s="67">
        <v>2845074.5</v>
      </c>
      <c r="H56" s="37" t="e">
        <f t="shared" si="0"/>
        <v>#VALUE!</v>
      </c>
      <c r="I56" s="37" t="e">
        <f t="shared" si="2"/>
        <v>#VALUE!</v>
      </c>
      <c r="J56" s="37" t="e">
        <f t="shared" si="1"/>
        <v>#VALUE!</v>
      </c>
      <c r="M56" s="66"/>
      <c r="N56" t="s">
        <v>2252</v>
      </c>
      <c r="O56" s="66">
        <v>2845074.5</v>
      </c>
    </row>
    <row r="57" spans="1:15" hidden="1" x14ac:dyDescent="0.35">
      <c r="A57" s="2" t="s">
        <v>1085</v>
      </c>
      <c r="B57" s="2" t="s">
        <v>790</v>
      </c>
      <c r="C57" s="44" t="s">
        <v>573</v>
      </c>
      <c r="D57" t="s">
        <v>507</v>
      </c>
      <c r="E57" s="44" t="s">
        <v>2076</v>
      </c>
      <c r="F57" s="36" t="s">
        <v>2253</v>
      </c>
      <c r="G57" s="67">
        <v>3139375.23</v>
      </c>
      <c r="H57" s="37">
        <f t="shared" si="0"/>
        <v>86</v>
      </c>
      <c r="I57" s="37" t="str">
        <f t="shared" ref="I57:I102" si="3">IF(H57&lt;121,"0-120 DAYS",IF(H57&lt;181,"121-180 DAYS","More than 180 Days"))</f>
        <v>0-120 DAYS</v>
      </c>
      <c r="J57" s="37" t="str">
        <f t="shared" si="1"/>
        <v>0-180 DAYS</v>
      </c>
      <c r="L57" t="s">
        <v>1730</v>
      </c>
      <c r="M57" s="66"/>
      <c r="N57" t="s">
        <v>2253</v>
      </c>
      <c r="O57" s="66">
        <v>3139375.23</v>
      </c>
    </row>
    <row r="58" spans="1:15" hidden="1" x14ac:dyDescent="0.35">
      <c r="A58" s="2" t="s">
        <v>1085</v>
      </c>
      <c r="B58" s="2" t="s">
        <v>790</v>
      </c>
      <c r="C58" s="44" t="s">
        <v>1246</v>
      </c>
      <c r="D58" t="s">
        <v>507</v>
      </c>
      <c r="E58" s="44" t="s">
        <v>2077</v>
      </c>
      <c r="F58" s="36" t="s">
        <v>2253</v>
      </c>
      <c r="G58" s="67">
        <v>2976020.29</v>
      </c>
      <c r="H58" s="37">
        <f t="shared" si="0"/>
        <v>86</v>
      </c>
      <c r="I58" s="37" t="str">
        <f t="shared" si="3"/>
        <v>0-120 DAYS</v>
      </c>
      <c r="J58" s="37" t="str">
        <f t="shared" si="1"/>
        <v>0-180 DAYS</v>
      </c>
      <c r="L58" t="s">
        <v>1730</v>
      </c>
      <c r="M58" s="66"/>
      <c r="N58" t="s">
        <v>2253</v>
      </c>
      <c r="O58" s="66">
        <v>2976020.29</v>
      </c>
    </row>
    <row r="59" spans="1:15" hidden="1" x14ac:dyDescent="0.35">
      <c r="A59" s="2" t="s">
        <v>1085</v>
      </c>
      <c r="B59" s="2" t="s">
        <v>790</v>
      </c>
      <c r="C59" s="44" t="s">
        <v>536</v>
      </c>
      <c r="D59" t="s">
        <v>507</v>
      </c>
      <c r="E59" s="44" t="s">
        <v>2079</v>
      </c>
      <c r="F59" s="36" t="s">
        <v>2252</v>
      </c>
      <c r="G59" s="67">
        <v>3286999.62</v>
      </c>
      <c r="H59" s="37" t="e">
        <f t="shared" si="0"/>
        <v>#VALUE!</v>
      </c>
      <c r="I59" s="37" t="e">
        <f t="shared" si="3"/>
        <v>#VALUE!</v>
      </c>
      <c r="J59" s="37" t="e">
        <f t="shared" si="1"/>
        <v>#VALUE!</v>
      </c>
      <c r="L59" t="s">
        <v>1730</v>
      </c>
      <c r="M59" s="66"/>
      <c r="N59" t="s">
        <v>2252</v>
      </c>
      <c r="O59" s="66">
        <v>3286999.62</v>
      </c>
    </row>
    <row r="60" spans="1:15" hidden="1" x14ac:dyDescent="0.35">
      <c r="A60" s="2" t="s">
        <v>1085</v>
      </c>
      <c r="B60" s="2" t="s">
        <v>790</v>
      </c>
      <c r="C60" s="44" t="s">
        <v>573</v>
      </c>
      <c r="D60" t="s">
        <v>507</v>
      </c>
      <c r="E60" s="44" t="s">
        <v>2081</v>
      </c>
      <c r="F60" s="36" t="s">
        <v>2252</v>
      </c>
      <c r="G60" s="67">
        <v>3016896</v>
      </c>
      <c r="H60" s="37" t="e">
        <f t="shared" si="0"/>
        <v>#VALUE!</v>
      </c>
      <c r="I60" s="37" t="e">
        <f t="shared" si="3"/>
        <v>#VALUE!</v>
      </c>
      <c r="J60" s="37" t="e">
        <f t="shared" si="1"/>
        <v>#VALUE!</v>
      </c>
      <c r="L60" t="s">
        <v>1730</v>
      </c>
      <c r="M60" s="66"/>
      <c r="N60" t="s">
        <v>2252</v>
      </c>
      <c r="O60" s="66">
        <v>3016896</v>
      </c>
    </row>
    <row r="61" spans="1:15" hidden="1" x14ac:dyDescent="0.35">
      <c r="A61" s="2" t="s">
        <v>1085</v>
      </c>
      <c r="B61" s="2" t="s">
        <v>790</v>
      </c>
      <c r="C61" s="44" t="s">
        <v>573</v>
      </c>
      <c r="D61" t="s">
        <v>507</v>
      </c>
      <c r="E61" s="44" t="s">
        <v>2082</v>
      </c>
      <c r="F61" s="36" t="s">
        <v>2252</v>
      </c>
      <c r="G61" s="67">
        <v>3125400.05</v>
      </c>
      <c r="H61" s="37" t="e">
        <f t="shared" si="0"/>
        <v>#VALUE!</v>
      </c>
      <c r="I61" s="37" t="e">
        <f t="shared" si="3"/>
        <v>#VALUE!</v>
      </c>
      <c r="J61" s="37" t="e">
        <f t="shared" si="1"/>
        <v>#VALUE!</v>
      </c>
      <c r="L61" t="s">
        <v>1730</v>
      </c>
      <c r="M61" s="66"/>
      <c r="N61" t="s">
        <v>2252</v>
      </c>
      <c r="O61" s="66">
        <v>3125400.05</v>
      </c>
    </row>
    <row r="62" spans="1:15" hidden="1" x14ac:dyDescent="0.35">
      <c r="A62" s="2" t="s">
        <v>1085</v>
      </c>
      <c r="B62" s="2" t="s">
        <v>790</v>
      </c>
      <c r="C62" s="44" t="s">
        <v>573</v>
      </c>
      <c r="D62" t="s">
        <v>507</v>
      </c>
      <c r="E62" s="44" t="s">
        <v>2088</v>
      </c>
      <c r="F62" s="36" t="s">
        <v>2266</v>
      </c>
      <c r="G62" s="67">
        <v>3804096.96</v>
      </c>
      <c r="H62" s="37" t="e">
        <f t="shared" si="0"/>
        <v>#VALUE!</v>
      </c>
      <c r="I62" s="37" t="e">
        <f t="shared" si="3"/>
        <v>#VALUE!</v>
      </c>
      <c r="J62" s="37" t="e">
        <f t="shared" si="1"/>
        <v>#VALUE!</v>
      </c>
      <c r="L62" t="s">
        <v>1730</v>
      </c>
      <c r="M62" s="66"/>
      <c r="N62" t="s">
        <v>2266</v>
      </c>
      <c r="O62" s="66">
        <v>3804096.96</v>
      </c>
    </row>
    <row r="63" spans="1:15" hidden="1" x14ac:dyDescent="0.35">
      <c r="A63" s="2" t="s">
        <v>1085</v>
      </c>
      <c r="B63" s="2" t="s">
        <v>790</v>
      </c>
      <c r="C63" s="44" t="s">
        <v>573</v>
      </c>
      <c r="D63" t="s">
        <v>507</v>
      </c>
      <c r="E63" s="44" t="s">
        <v>2091</v>
      </c>
      <c r="F63" s="36" t="s">
        <v>2267</v>
      </c>
      <c r="G63" s="67">
        <v>4180008.96</v>
      </c>
      <c r="H63" s="37" t="e">
        <f t="shared" si="0"/>
        <v>#VALUE!</v>
      </c>
      <c r="I63" s="37" t="e">
        <f t="shared" si="3"/>
        <v>#VALUE!</v>
      </c>
      <c r="J63" s="37" t="e">
        <f t="shared" si="1"/>
        <v>#VALUE!</v>
      </c>
      <c r="L63" t="s">
        <v>1730</v>
      </c>
      <c r="M63" s="66"/>
      <c r="N63" t="s">
        <v>2267</v>
      </c>
      <c r="O63" s="66">
        <v>4180008.96</v>
      </c>
    </row>
    <row r="64" spans="1:15" hidden="1" x14ac:dyDescent="0.35">
      <c r="A64" s="2" t="s">
        <v>1085</v>
      </c>
      <c r="B64" s="2" t="s">
        <v>790</v>
      </c>
      <c r="C64" s="44" t="s">
        <v>573</v>
      </c>
      <c r="D64" t="s">
        <v>507</v>
      </c>
      <c r="E64" s="44" t="s">
        <v>2092</v>
      </c>
      <c r="F64" s="36" t="s">
        <v>2267</v>
      </c>
      <c r="G64" s="67">
        <v>2874824.28</v>
      </c>
      <c r="H64" s="37" t="e">
        <f t="shared" si="0"/>
        <v>#VALUE!</v>
      </c>
      <c r="I64" s="37" t="e">
        <f t="shared" si="3"/>
        <v>#VALUE!</v>
      </c>
      <c r="J64" s="37" t="e">
        <f t="shared" si="1"/>
        <v>#VALUE!</v>
      </c>
      <c r="L64" t="s">
        <v>1730</v>
      </c>
      <c r="M64" s="66"/>
      <c r="N64" t="s">
        <v>2267</v>
      </c>
      <c r="O64" s="66">
        <v>2874824.28</v>
      </c>
    </row>
    <row r="65" spans="1:15" hidden="1" x14ac:dyDescent="0.35">
      <c r="A65" s="2" t="s">
        <v>1085</v>
      </c>
      <c r="B65" s="2" t="s">
        <v>790</v>
      </c>
      <c r="C65" s="44" t="s">
        <v>573</v>
      </c>
      <c r="D65" t="s">
        <v>507</v>
      </c>
      <c r="E65" s="44" t="s">
        <v>2096</v>
      </c>
      <c r="F65" s="36" t="s">
        <v>2264</v>
      </c>
      <c r="G65" s="67">
        <v>3957707.52</v>
      </c>
      <c r="H65" s="37" t="e">
        <f t="shared" si="0"/>
        <v>#VALUE!</v>
      </c>
      <c r="I65" s="37" t="e">
        <f t="shared" si="3"/>
        <v>#VALUE!</v>
      </c>
      <c r="J65" s="37" t="e">
        <f t="shared" si="1"/>
        <v>#VALUE!</v>
      </c>
      <c r="L65" t="s">
        <v>1730</v>
      </c>
      <c r="M65" s="66"/>
      <c r="N65" t="s">
        <v>2264</v>
      </c>
      <c r="O65" s="66">
        <v>3957707.52</v>
      </c>
    </row>
    <row r="66" spans="1:15" hidden="1" x14ac:dyDescent="0.35">
      <c r="A66" s="2" t="s">
        <v>1085</v>
      </c>
      <c r="B66" s="2" t="s">
        <v>790</v>
      </c>
      <c r="C66" s="44" t="s">
        <v>570</v>
      </c>
      <c r="D66" t="s">
        <v>507</v>
      </c>
      <c r="E66" s="44" t="s">
        <v>2108</v>
      </c>
      <c r="F66" s="36" t="s">
        <v>2258</v>
      </c>
      <c r="G66" s="67">
        <v>3135984</v>
      </c>
      <c r="H66" s="37">
        <f t="shared" si="0"/>
        <v>147</v>
      </c>
      <c r="I66" s="37" t="str">
        <f t="shared" si="3"/>
        <v>121-180 DAYS</v>
      </c>
      <c r="J66" s="37" t="str">
        <f t="shared" si="1"/>
        <v>0-180 DAYS</v>
      </c>
      <c r="L66" t="s">
        <v>1730</v>
      </c>
      <c r="M66" s="66"/>
      <c r="N66" t="s">
        <v>2258</v>
      </c>
      <c r="O66" s="66">
        <v>3135984</v>
      </c>
    </row>
    <row r="67" spans="1:15" hidden="1" x14ac:dyDescent="0.35">
      <c r="A67" s="2" t="s">
        <v>1085</v>
      </c>
      <c r="B67" s="2" t="s">
        <v>790</v>
      </c>
      <c r="C67" s="44" t="s">
        <v>1091</v>
      </c>
      <c r="D67" t="s">
        <v>507</v>
      </c>
      <c r="E67" s="44" t="s">
        <v>2113</v>
      </c>
      <c r="F67" s="36" t="s">
        <v>2260</v>
      </c>
      <c r="G67" s="67">
        <v>3130426.56</v>
      </c>
      <c r="H67" s="37">
        <f t="shared" si="0"/>
        <v>55</v>
      </c>
      <c r="I67" s="37" t="str">
        <f t="shared" si="3"/>
        <v>0-120 DAYS</v>
      </c>
      <c r="J67" s="37" t="str">
        <f t="shared" si="1"/>
        <v>0-180 DAYS</v>
      </c>
      <c r="L67" t="s">
        <v>1730</v>
      </c>
      <c r="M67" s="66"/>
      <c r="N67" t="s">
        <v>2260</v>
      </c>
      <c r="O67" s="66">
        <v>3130426.56</v>
      </c>
    </row>
    <row r="68" spans="1:15" hidden="1" x14ac:dyDescent="0.35">
      <c r="A68" s="2" t="s">
        <v>1085</v>
      </c>
      <c r="B68" s="2" t="s">
        <v>790</v>
      </c>
      <c r="C68" s="44" t="s">
        <v>1086</v>
      </c>
      <c r="D68" t="s">
        <v>507</v>
      </c>
      <c r="E68" s="44" t="s">
        <v>2116</v>
      </c>
      <c r="F68" s="36" t="s">
        <v>2268</v>
      </c>
      <c r="G68" s="67">
        <v>761667</v>
      </c>
      <c r="H68" s="37" t="e">
        <f t="shared" si="0"/>
        <v>#VALUE!</v>
      </c>
      <c r="I68" s="37" t="e">
        <f t="shared" si="3"/>
        <v>#VALUE!</v>
      </c>
      <c r="J68" s="37" t="e">
        <f t="shared" si="1"/>
        <v>#VALUE!</v>
      </c>
      <c r="L68" t="s">
        <v>1730</v>
      </c>
      <c r="M68" s="66"/>
      <c r="N68" t="s">
        <v>2268</v>
      </c>
      <c r="O68" s="66">
        <v>761667</v>
      </c>
    </row>
    <row r="69" spans="1:15" hidden="1" x14ac:dyDescent="0.35">
      <c r="A69" s="2" t="s">
        <v>1085</v>
      </c>
      <c r="B69" s="2" t="s">
        <v>790</v>
      </c>
      <c r="C69" s="44" t="s">
        <v>1086</v>
      </c>
      <c r="D69" t="s">
        <v>507</v>
      </c>
      <c r="E69" s="44" t="s">
        <v>2117</v>
      </c>
      <c r="F69" s="36" t="s">
        <v>2268</v>
      </c>
      <c r="G69" s="67">
        <v>1599537.09</v>
      </c>
      <c r="H69" s="37" t="e">
        <f t="shared" ref="H69:H132" si="4">$H$2-F69+1</f>
        <v>#VALUE!</v>
      </c>
      <c r="I69" s="37" t="e">
        <f t="shared" si="3"/>
        <v>#VALUE!</v>
      </c>
      <c r="J69" s="37" t="e">
        <f t="shared" si="1"/>
        <v>#VALUE!</v>
      </c>
      <c r="L69" t="s">
        <v>1730</v>
      </c>
      <c r="M69" s="66"/>
      <c r="N69" t="s">
        <v>2268</v>
      </c>
      <c r="O69" s="66">
        <v>1599537.09</v>
      </c>
    </row>
    <row r="70" spans="1:15" hidden="1" x14ac:dyDescent="0.35">
      <c r="A70" s="2" t="s">
        <v>1085</v>
      </c>
      <c r="B70" s="2" t="s">
        <v>790</v>
      </c>
      <c r="C70" s="44" t="s">
        <v>1086</v>
      </c>
      <c r="D70" t="s">
        <v>507</v>
      </c>
      <c r="E70" s="44" t="s">
        <v>2118</v>
      </c>
      <c r="F70" s="36" t="s">
        <v>2269</v>
      </c>
      <c r="G70" s="67">
        <v>347311.88</v>
      </c>
      <c r="H70" s="37" t="e">
        <f t="shared" si="4"/>
        <v>#VALUE!</v>
      </c>
      <c r="I70" s="37" t="e">
        <f t="shared" si="3"/>
        <v>#VALUE!</v>
      </c>
      <c r="J70" s="37" t="e">
        <f t="shared" ref="J70:J133" si="5">IF(H70&lt;180,"0-180 DAYS","More than 180 Days")</f>
        <v>#VALUE!</v>
      </c>
      <c r="L70" t="s">
        <v>1730</v>
      </c>
      <c r="M70" s="66"/>
      <c r="N70" t="s">
        <v>2269</v>
      </c>
      <c r="O70" s="66">
        <v>347311.88</v>
      </c>
    </row>
    <row r="71" spans="1:15" hidden="1" x14ac:dyDescent="0.35">
      <c r="A71" s="2" t="s">
        <v>1085</v>
      </c>
      <c r="B71" s="2" t="s">
        <v>790</v>
      </c>
      <c r="C71" s="44" t="s">
        <v>570</v>
      </c>
      <c r="D71" t="s">
        <v>507</v>
      </c>
      <c r="E71" s="44" t="s">
        <v>2119</v>
      </c>
      <c r="F71" s="36" t="s">
        <v>2254</v>
      </c>
      <c r="G71" s="67">
        <v>3209421.6</v>
      </c>
      <c r="H71" s="37" t="e">
        <f t="shared" si="4"/>
        <v>#VALUE!</v>
      </c>
      <c r="I71" s="37" t="e">
        <f t="shared" si="3"/>
        <v>#VALUE!</v>
      </c>
      <c r="J71" s="37" t="e">
        <f t="shared" si="5"/>
        <v>#VALUE!</v>
      </c>
      <c r="L71" t="s">
        <v>1730</v>
      </c>
      <c r="M71" s="66"/>
      <c r="N71" t="s">
        <v>2254</v>
      </c>
      <c r="O71" s="66">
        <v>3209421.6</v>
      </c>
    </row>
    <row r="72" spans="1:15" hidden="1" x14ac:dyDescent="0.35">
      <c r="A72" s="2" t="s">
        <v>1085</v>
      </c>
      <c r="B72" s="2" t="s">
        <v>790</v>
      </c>
      <c r="C72" s="44" t="s">
        <v>1086</v>
      </c>
      <c r="D72" t="s">
        <v>507</v>
      </c>
      <c r="E72" s="44" t="s">
        <v>2120</v>
      </c>
      <c r="F72" s="36" t="s">
        <v>2254</v>
      </c>
      <c r="G72" s="67">
        <v>1939281.9199999999</v>
      </c>
      <c r="H72" s="37" t="e">
        <f t="shared" si="4"/>
        <v>#VALUE!</v>
      </c>
      <c r="I72" s="37" t="e">
        <f t="shared" si="3"/>
        <v>#VALUE!</v>
      </c>
      <c r="J72" s="37" t="e">
        <f t="shared" si="5"/>
        <v>#VALUE!</v>
      </c>
      <c r="L72" t="s">
        <v>1730</v>
      </c>
      <c r="M72" s="66"/>
      <c r="N72" t="s">
        <v>2254</v>
      </c>
      <c r="O72" s="66">
        <v>1939281.9199999999</v>
      </c>
    </row>
    <row r="73" spans="1:15" hidden="1" x14ac:dyDescent="0.35">
      <c r="A73" s="2" t="s">
        <v>1085</v>
      </c>
      <c r="B73" s="2" t="s">
        <v>790</v>
      </c>
      <c r="C73" s="44" t="s">
        <v>526</v>
      </c>
      <c r="D73" t="s">
        <v>507</v>
      </c>
      <c r="E73" s="44" t="s">
        <v>2124</v>
      </c>
      <c r="F73" s="36" t="s">
        <v>2255</v>
      </c>
      <c r="G73" s="67">
        <v>5398656</v>
      </c>
      <c r="H73" s="37" t="e">
        <f t="shared" si="4"/>
        <v>#VALUE!</v>
      </c>
      <c r="I73" s="37" t="e">
        <f t="shared" si="3"/>
        <v>#VALUE!</v>
      </c>
      <c r="J73" s="37" t="e">
        <f t="shared" si="5"/>
        <v>#VALUE!</v>
      </c>
      <c r="L73" t="s">
        <v>1730</v>
      </c>
      <c r="M73" s="66"/>
      <c r="N73" t="s">
        <v>2255</v>
      </c>
      <c r="O73" s="66">
        <v>5398656</v>
      </c>
    </row>
    <row r="74" spans="1:15" hidden="1" x14ac:dyDescent="0.35">
      <c r="A74" s="2" t="s">
        <v>1085</v>
      </c>
      <c r="B74" s="2" t="s">
        <v>790</v>
      </c>
      <c r="C74" s="44" t="s">
        <v>538</v>
      </c>
      <c r="D74" t="s">
        <v>507</v>
      </c>
      <c r="E74" s="44" t="s">
        <v>2131</v>
      </c>
      <c r="F74" s="36" t="s">
        <v>2272</v>
      </c>
      <c r="G74" s="67">
        <v>3105952.2</v>
      </c>
      <c r="H74" s="37" t="e">
        <f t="shared" si="4"/>
        <v>#VALUE!</v>
      </c>
      <c r="I74" s="37" t="e">
        <f t="shared" si="3"/>
        <v>#VALUE!</v>
      </c>
      <c r="J74" s="37" t="e">
        <f t="shared" si="5"/>
        <v>#VALUE!</v>
      </c>
      <c r="L74" t="s">
        <v>1730</v>
      </c>
      <c r="M74" s="66"/>
      <c r="N74" t="s">
        <v>2272</v>
      </c>
      <c r="O74" s="66">
        <v>3105952.2</v>
      </c>
    </row>
    <row r="75" spans="1:15" hidden="1" x14ac:dyDescent="0.35">
      <c r="A75" s="2" t="s">
        <v>1085</v>
      </c>
      <c r="B75" s="2" t="s">
        <v>790</v>
      </c>
      <c r="C75" s="44" t="s">
        <v>536</v>
      </c>
      <c r="D75" t="s">
        <v>507</v>
      </c>
      <c r="E75" s="44" t="s">
        <v>769</v>
      </c>
      <c r="F75" s="36" t="s">
        <v>2262</v>
      </c>
      <c r="G75" s="67">
        <v>320076.2</v>
      </c>
      <c r="H75" s="37" t="e">
        <f t="shared" si="4"/>
        <v>#VALUE!</v>
      </c>
      <c r="I75" s="37" t="e">
        <f t="shared" si="3"/>
        <v>#VALUE!</v>
      </c>
      <c r="J75" s="37" t="e">
        <f t="shared" si="5"/>
        <v>#VALUE!</v>
      </c>
      <c r="L75" t="s">
        <v>1730</v>
      </c>
      <c r="M75" s="66"/>
      <c r="N75" t="s">
        <v>2262</v>
      </c>
      <c r="O75" s="66">
        <v>320076.2</v>
      </c>
    </row>
    <row r="76" spans="1:15" hidden="1" x14ac:dyDescent="0.35">
      <c r="A76" s="2" t="s">
        <v>1085</v>
      </c>
      <c r="B76" s="2" t="s">
        <v>790</v>
      </c>
      <c r="C76" s="44" t="s">
        <v>548</v>
      </c>
      <c r="D76" t="s">
        <v>507</v>
      </c>
      <c r="E76" s="44" t="s">
        <v>730</v>
      </c>
      <c r="F76" s="36" t="s">
        <v>2262</v>
      </c>
      <c r="G76" s="67">
        <v>3385518.12</v>
      </c>
      <c r="H76" s="37" t="e">
        <f t="shared" si="4"/>
        <v>#VALUE!</v>
      </c>
      <c r="I76" s="37" t="e">
        <f t="shared" si="3"/>
        <v>#VALUE!</v>
      </c>
      <c r="J76" s="37" t="e">
        <f t="shared" si="5"/>
        <v>#VALUE!</v>
      </c>
      <c r="L76" t="s">
        <v>1730</v>
      </c>
      <c r="M76" s="66"/>
      <c r="N76" t="s">
        <v>2262</v>
      </c>
      <c r="O76" s="66">
        <v>3385518.12</v>
      </c>
    </row>
    <row r="77" spans="1:15" hidden="1" x14ac:dyDescent="0.35">
      <c r="A77" s="2" t="s">
        <v>1085</v>
      </c>
      <c r="B77" s="2" t="s">
        <v>790</v>
      </c>
      <c r="C77" s="44" t="s">
        <v>548</v>
      </c>
      <c r="D77" t="s">
        <v>507</v>
      </c>
      <c r="E77" s="44" t="s">
        <v>734</v>
      </c>
      <c r="F77" s="36" t="s">
        <v>2262</v>
      </c>
      <c r="G77" s="67">
        <v>3339593.1</v>
      </c>
      <c r="H77" s="37" t="e">
        <f t="shared" si="4"/>
        <v>#VALUE!</v>
      </c>
      <c r="I77" s="37" t="e">
        <f t="shared" si="3"/>
        <v>#VALUE!</v>
      </c>
      <c r="J77" s="37" t="e">
        <f t="shared" si="5"/>
        <v>#VALUE!</v>
      </c>
      <c r="L77" t="s">
        <v>1730</v>
      </c>
      <c r="M77" s="66"/>
      <c r="N77" t="s">
        <v>2262</v>
      </c>
      <c r="O77" s="66">
        <v>3339593.1</v>
      </c>
    </row>
    <row r="78" spans="1:15" hidden="1" x14ac:dyDescent="0.35">
      <c r="A78" s="88" t="s">
        <v>1085</v>
      </c>
      <c r="B78" s="88" t="s">
        <v>790</v>
      </c>
      <c r="C78" t="s">
        <v>536</v>
      </c>
      <c r="D78" s="37" t="s">
        <v>507</v>
      </c>
      <c r="E78" s="18" t="s">
        <v>2274</v>
      </c>
      <c r="F78" s="36" t="s">
        <v>2355</v>
      </c>
      <c r="G78" s="67">
        <v>3251659.51</v>
      </c>
      <c r="H78" s="37">
        <f t="shared" si="4"/>
        <v>328</v>
      </c>
      <c r="I78" s="37" t="str">
        <f t="shared" si="3"/>
        <v>More than 180 Days</v>
      </c>
      <c r="J78" s="37" t="str">
        <f t="shared" si="5"/>
        <v>More than 180 Days</v>
      </c>
      <c r="L78" t="s">
        <v>1730</v>
      </c>
      <c r="M78" s="66"/>
      <c r="N78" t="s">
        <v>2355</v>
      </c>
      <c r="O78" s="66">
        <v>3251659.51</v>
      </c>
    </row>
    <row r="79" spans="1:15" hidden="1" x14ac:dyDescent="0.35">
      <c r="A79" s="88" t="s">
        <v>1085</v>
      </c>
      <c r="B79" s="88" t="s">
        <v>790</v>
      </c>
      <c r="C79" t="s">
        <v>573</v>
      </c>
      <c r="D79" s="37" t="s">
        <v>507</v>
      </c>
      <c r="E79" s="18" t="s">
        <v>2275</v>
      </c>
      <c r="F79" s="36" t="s">
        <v>2355</v>
      </c>
      <c r="G79" s="67">
        <v>3955524.14</v>
      </c>
      <c r="H79" s="37">
        <f t="shared" si="4"/>
        <v>328</v>
      </c>
      <c r="I79" s="37" t="str">
        <f t="shared" si="3"/>
        <v>More than 180 Days</v>
      </c>
      <c r="J79" s="37" t="str">
        <f t="shared" si="5"/>
        <v>More than 180 Days</v>
      </c>
      <c r="L79" t="s">
        <v>1730</v>
      </c>
      <c r="M79" s="66"/>
      <c r="N79" t="s">
        <v>2355</v>
      </c>
      <c r="O79" s="66">
        <v>3955524.14</v>
      </c>
    </row>
    <row r="80" spans="1:15" hidden="1" x14ac:dyDescent="0.35">
      <c r="A80" s="88" t="s">
        <v>1085</v>
      </c>
      <c r="B80" s="88" t="s">
        <v>790</v>
      </c>
      <c r="C80" t="s">
        <v>573</v>
      </c>
      <c r="D80" s="37" t="s">
        <v>507</v>
      </c>
      <c r="E80" s="18" t="s">
        <v>2279</v>
      </c>
      <c r="F80" s="36" t="s">
        <v>2357</v>
      </c>
      <c r="G80" s="67">
        <v>4587669.62</v>
      </c>
      <c r="H80" s="37">
        <f t="shared" si="4"/>
        <v>85</v>
      </c>
      <c r="I80" s="37" t="str">
        <f t="shared" si="3"/>
        <v>0-120 DAYS</v>
      </c>
      <c r="J80" s="37" t="str">
        <f t="shared" si="5"/>
        <v>0-180 DAYS</v>
      </c>
      <c r="K80" t="s">
        <v>1730</v>
      </c>
      <c r="M80" s="66"/>
      <c r="N80" t="s">
        <v>2357</v>
      </c>
      <c r="O80" s="66">
        <v>4587669.62</v>
      </c>
    </row>
    <row r="81" spans="1:15" hidden="1" x14ac:dyDescent="0.35">
      <c r="A81" s="88" t="s">
        <v>1085</v>
      </c>
      <c r="B81" s="88" t="s">
        <v>790</v>
      </c>
      <c r="C81" t="s">
        <v>1086</v>
      </c>
      <c r="D81" s="37" t="s">
        <v>507</v>
      </c>
      <c r="E81" s="18" t="s">
        <v>2281</v>
      </c>
      <c r="F81" s="36" t="s">
        <v>2359</v>
      </c>
      <c r="G81" s="67">
        <v>2292025.14</v>
      </c>
      <c r="H81" s="37" t="e">
        <f t="shared" si="4"/>
        <v>#VALUE!</v>
      </c>
      <c r="I81" s="37" t="e">
        <f t="shared" si="3"/>
        <v>#VALUE!</v>
      </c>
      <c r="J81" s="37" t="e">
        <f t="shared" si="5"/>
        <v>#VALUE!</v>
      </c>
      <c r="K81" t="s">
        <v>1730</v>
      </c>
      <c r="M81" s="66"/>
      <c r="N81" t="s">
        <v>2359</v>
      </c>
      <c r="O81" s="66">
        <v>2292025.14</v>
      </c>
    </row>
    <row r="82" spans="1:15" hidden="1" x14ac:dyDescent="0.35">
      <c r="A82" s="88" t="s">
        <v>1085</v>
      </c>
      <c r="B82" s="88" t="s">
        <v>790</v>
      </c>
      <c r="C82" t="s">
        <v>1086</v>
      </c>
      <c r="D82" s="37" t="s">
        <v>507</v>
      </c>
      <c r="E82" s="18" t="s">
        <v>2282</v>
      </c>
      <c r="F82" s="36" t="s">
        <v>2359</v>
      </c>
      <c r="G82" s="67">
        <v>309289.89</v>
      </c>
      <c r="H82" s="37" t="e">
        <f t="shared" si="4"/>
        <v>#VALUE!</v>
      </c>
      <c r="I82" s="37" t="e">
        <f t="shared" si="3"/>
        <v>#VALUE!</v>
      </c>
      <c r="J82" s="37" t="e">
        <f t="shared" si="5"/>
        <v>#VALUE!</v>
      </c>
      <c r="K82" t="s">
        <v>1730</v>
      </c>
      <c r="M82" s="66"/>
      <c r="N82" t="s">
        <v>2359</v>
      </c>
      <c r="O82" s="66">
        <v>309289.89</v>
      </c>
    </row>
    <row r="83" spans="1:15" hidden="1" x14ac:dyDescent="0.35">
      <c r="A83" s="88" t="s">
        <v>1085</v>
      </c>
      <c r="B83" s="88" t="s">
        <v>790</v>
      </c>
      <c r="C83" t="s">
        <v>1086</v>
      </c>
      <c r="D83" s="37" t="s">
        <v>507</v>
      </c>
      <c r="E83" s="18" t="s">
        <v>2283</v>
      </c>
      <c r="F83" s="36" t="s">
        <v>2359</v>
      </c>
      <c r="G83" s="67">
        <v>33321.440000000002</v>
      </c>
      <c r="H83" s="37" t="e">
        <f t="shared" si="4"/>
        <v>#VALUE!</v>
      </c>
      <c r="I83" s="37" t="e">
        <f t="shared" si="3"/>
        <v>#VALUE!</v>
      </c>
      <c r="J83" s="37" t="e">
        <f t="shared" si="5"/>
        <v>#VALUE!</v>
      </c>
      <c r="K83" t="s">
        <v>1730</v>
      </c>
      <c r="M83" s="66"/>
      <c r="N83" t="s">
        <v>2359</v>
      </c>
      <c r="O83" s="66">
        <v>33321.440000000002</v>
      </c>
    </row>
    <row r="84" spans="1:15" hidden="1" x14ac:dyDescent="0.35">
      <c r="A84" s="88" t="s">
        <v>1085</v>
      </c>
      <c r="B84" s="88" t="s">
        <v>790</v>
      </c>
      <c r="C84" t="s">
        <v>1086</v>
      </c>
      <c r="D84" s="37" t="s">
        <v>507</v>
      </c>
      <c r="E84" s="18" t="s">
        <v>2284</v>
      </c>
      <c r="F84" s="36" t="s">
        <v>2360</v>
      </c>
      <c r="G84" s="67">
        <v>1858191.62</v>
      </c>
      <c r="H84" s="37" t="e">
        <f t="shared" si="4"/>
        <v>#VALUE!</v>
      </c>
      <c r="I84" s="37" t="e">
        <f t="shared" si="3"/>
        <v>#VALUE!</v>
      </c>
      <c r="J84" s="37" t="e">
        <f t="shared" si="5"/>
        <v>#VALUE!</v>
      </c>
      <c r="K84" t="s">
        <v>1730</v>
      </c>
      <c r="M84" s="66"/>
      <c r="N84" t="s">
        <v>2360</v>
      </c>
      <c r="O84" s="66">
        <v>1858191.62</v>
      </c>
    </row>
    <row r="85" spans="1:15" hidden="1" x14ac:dyDescent="0.35">
      <c r="A85" s="88" t="s">
        <v>1085</v>
      </c>
      <c r="B85" s="88" t="s">
        <v>790</v>
      </c>
      <c r="C85" t="s">
        <v>1086</v>
      </c>
      <c r="D85" s="37" t="s">
        <v>507</v>
      </c>
      <c r="E85" s="18" t="s">
        <v>2285</v>
      </c>
      <c r="F85" s="36" t="s">
        <v>2360</v>
      </c>
      <c r="G85" s="67">
        <v>903992.55</v>
      </c>
      <c r="H85" s="37" t="e">
        <f t="shared" si="4"/>
        <v>#VALUE!</v>
      </c>
      <c r="I85" s="37" t="e">
        <f t="shared" si="3"/>
        <v>#VALUE!</v>
      </c>
      <c r="J85" s="37" t="e">
        <f t="shared" si="5"/>
        <v>#VALUE!</v>
      </c>
      <c r="K85" t="s">
        <v>1730</v>
      </c>
      <c r="M85" s="66"/>
      <c r="N85" t="s">
        <v>2360</v>
      </c>
      <c r="O85" s="66">
        <v>903992.55</v>
      </c>
    </row>
    <row r="86" spans="1:15" hidden="1" x14ac:dyDescent="0.35">
      <c r="A86" s="88" t="s">
        <v>1085</v>
      </c>
      <c r="B86" s="88" t="s">
        <v>790</v>
      </c>
      <c r="C86" t="s">
        <v>536</v>
      </c>
      <c r="D86" s="37" t="s">
        <v>507</v>
      </c>
      <c r="E86" s="18" t="s">
        <v>2290</v>
      </c>
      <c r="F86" s="36" t="s">
        <v>2363</v>
      </c>
      <c r="G86" s="67">
        <v>2843850.15</v>
      </c>
      <c r="H86" s="37" t="e">
        <f t="shared" si="4"/>
        <v>#VALUE!</v>
      </c>
      <c r="I86" s="37" t="e">
        <f t="shared" si="3"/>
        <v>#VALUE!</v>
      </c>
      <c r="J86" s="37" t="e">
        <f t="shared" si="5"/>
        <v>#VALUE!</v>
      </c>
      <c r="K86" t="s">
        <v>1730</v>
      </c>
      <c r="M86" s="66"/>
      <c r="N86" t="s">
        <v>2363</v>
      </c>
      <c r="O86" s="66">
        <v>2843850.15</v>
      </c>
    </row>
    <row r="87" spans="1:15" hidden="1" x14ac:dyDescent="0.35">
      <c r="A87" s="88" t="s">
        <v>1085</v>
      </c>
      <c r="B87" s="88" t="s">
        <v>790</v>
      </c>
      <c r="C87" t="s">
        <v>530</v>
      </c>
      <c r="D87" s="37" t="s">
        <v>507</v>
      </c>
      <c r="E87" s="18" t="s">
        <v>2291</v>
      </c>
      <c r="F87" s="36" t="s">
        <v>2363</v>
      </c>
      <c r="G87" s="67">
        <v>3757470.37</v>
      </c>
      <c r="H87" s="37" t="e">
        <f t="shared" si="4"/>
        <v>#VALUE!</v>
      </c>
      <c r="I87" s="37" t="e">
        <f t="shared" si="3"/>
        <v>#VALUE!</v>
      </c>
      <c r="J87" s="37" t="e">
        <f t="shared" si="5"/>
        <v>#VALUE!</v>
      </c>
      <c r="K87" t="s">
        <v>1730</v>
      </c>
      <c r="M87" s="66"/>
      <c r="N87" t="s">
        <v>2363</v>
      </c>
      <c r="O87" s="66">
        <v>3757470.37</v>
      </c>
    </row>
    <row r="88" spans="1:15" hidden="1" x14ac:dyDescent="0.35">
      <c r="A88" s="88" t="s">
        <v>1085</v>
      </c>
      <c r="B88" s="88" t="s">
        <v>790</v>
      </c>
      <c r="C88" t="s">
        <v>598</v>
      </c>
      <c r="D88" s="37" t="s">
        <v>507</v>
      </c>
      <c r="E88" s="18" t="s">
        <v>2292</v>
      </c>
      <c r="F88" s="36" t="s">
        <v>2363</v>
      </c>
      <c r="G88" s="67">
        <v>3620742.16</v>
      </c>
      <c r="H88" s="37" t="e">
        <f t="shared" si="4"/>
        <v>#VALUE!</v>
      </c>
      <c r="I88" s="37" t="e">
        <f t="shared" si="3"/>
        <v>#VALUE!</v>
      </c>
      <c r="J88" s="37" t="e">
        <f t="shared" si="5"/>
        <v>#VALUE!</v>
      </c>
      <c r="K88" t="s">
        <v>1730</v>
      </c>
      <c r="M88" s="66"/>
      <c r="N88" t="s">
        <v>2363</v>
      </c>
      <c r="O88" s="66">
        <v>3620742.16</v>
      </c>
    </row>
    <row r="89" spans="1:15" hidden="1" x14ac:dyDescent="0.35">
      <c r="A89" s="88" t="s">
        <v>1085</v>
      </c>
      <c r="B89" s="88" t="s">
        <v>790</v>
      </c>
      <c r="C89" t="s">
        <v>538</v>
      </c>
      <c r="D89" s="37" t="s">
        <v>507</v>
      </c>
      <c r="E89" s="18" t="s">
        <v>2295</v>
      </c>
      <c r="F89" s="36" t="s">
        <v>2365</v>
      </c>
      <c r="G89" s="67">
        <v>3211573.63</v>
      </c>
      <c r="H89" s="37" t="e">
        <f t="shared" si="4"/>
        <v>#VALUE!</v>
      </c>
      <c r="I89" s="37" t="e">
        <f t="shared" si="3"/>
        <v>#VALUE!</v>
      </c>
      <c r="J89" s="37" t="e">
        <f t="shared" si="5"/>
        <v>#VALUE!</v>
      </c>
      <c r="K89" t="s">
        <v>1730</v>
      </c>
      <c r="M89" s="66"/>
      <c r="N89" t="s">
        <v>2365</v>
      </c>
      <c r="O89" s="66">
        <v>3211573.63</v>
      </c>
    </row>
    <row r="90" spans="1:15" hidden="1" x14ac:dyDescent="0.35">
      <c r="A90" s="88" t="s">
        <v>1085</v>
      </c>
      <c r="B90" s="88" t="s">
        <v>790</v>
      </c>
      <c r="C90" t="s">
        <v>1086</v>
      </c>
      <c r="D90" s="37" t="s">
        <v>507</v>
      </c>
      <c r="E90" s="18" t="s">
        <v>2296</v>
      </c>
      <c r="F90" s="36" t="s">
        <v>2366</v>
      </c>
      <c r="G90" s="67">
        <v>28329.72</v>
      </c>
      <c r="H90" s="37">
        <f t="shared" si="4"/>
        <v>238</v>
      </c>
      <c r="I90" s="37" t="str">
        <f t="shared" si="3"/>
        <v>More than 180 Days</v>
      </c>
      <c r="J90" s="37" t="str">
        <f t="shared" si="5"/>
        <v>More than 180 Days</v>
      </c>
      <c r="K90" t="s">
        <v>1730</v>
      </c>
      <c r="M90" s="66"/>
      <c r="N90" t="s">
        <v>2366</v>
      </c>
      <c r="O90" s="66">
        <v>28329.72</v>
      </c>
    </row>
    <row r="91" spans="1:15" hidden="1" x14ac:dyDescent="0.35">
      <c r="A91" s="88" t="s">
        <v>1085</v>
      </c>
      <c r="B91" s="88" t="s">
        <v>790</v>
      </c>
      <c r="C91" t="s">
        <v>1086</v>
      </c>
      <c r="D91" s="37" t="s">
        <v>507</v>
      </c>
      <c r="E91" s="18" t="s">
        <v>2297</v>
      </c>
      <c r="F91" s="36" t="s">
        <v>2366</v>
      </c>
      <c r="G91" s="67">
        <v>2313321.96</v>
      </c>
      <c r="H91" s="37">
        <f t="shared" si="4"/>
        <v>238</v>
      </c>
      <c r="I91" s="37" t="str">
        <f t="shared" si="3"/>
        <v>More than 180 Days</v>
      </c>
      <c r="J91" s="37" t="str">
        <f t="shared" si="5"/>
        <v>More than 180 Days</v>
      </c>
      <c r="K91" t="s">
        <v>1730</v>
      </c>
      <c r="M91" s="66"/>
      <c r="N91" t="s">
        <v>2366</v>
      </c>
      <c r="O91" s="66">
        <v>2313321.96</v>
      </c>
    </row>
    <row r="92" spans="1:15" hidden="1" x14ac:dyDescent="0.35">
      <c r="A92" s="88" t="s">
        <v>1085</v>
      </c>
      <c r="B92" s="88" t="s">
        <v>790</v>
      </c>
      <c r="C92" t="s">
        <v>570</v>
      </c>
      <c r="D92" s="37" t="s">
        <v>507</v>
      </c>
      <c r="E92" s="18" t="s">
        <v>2300</v>
      </c>
      <c r="F92" s="36" t="s">
        <v>2367</v>
      </c>
      <c r="G92" s="67">
        <v>1658706.71</v>
      </c>
      <c r="H92" s="37">
        <f t="shared" si="4"/>
        <v>115</v>
      </c>
      <c r="I92" s="37" t="str">
        <f t="shared" si="3"/>
        <v>0-120 DAYS</v>
      </c>
      <c r="J92" s="37" t="str">
        <f t="shared" si="5"/>
        <v>0-180 DAYS</v>
      </c>
      <c r="K92" t="s">
        <v>1730</v>
      </c>
      <c r="M92" s="66"/>
      <c r="N92" t="s">
        <v>2367</v>
      </c>
      <c r="O92" s="66">
        <v>1658706.71</v>
      </c>
    </row>
    <row r="93" spans="1:15" hidden="1" x14ac:dyDescent="0.35">
      <c r="A93" s="88" t="s">
        <v>1085</v>
      </c>
      <c r="B93" s="88" t="s">
        <v>790</v>
      </c>
      <c r="C93" t="s">
        <v>1249</v>
      </c>
      <c r="D93" s="37" t="s">
        <v>507</v>
      </c>
      <c r="E93" s="18" t="s">
        <v>2305</v>
      </c>
      <c r="F93" s="36" t="s">
        <v>2360</v>
      </c>
      <c r="G93" s="67">
        <v>3310704</v>
      </c>
      <c r="H93" s="37" t="e">
        <f t="shared" si="4"/>
        <v>#VALUE!</v>
      </c>
      <c r="I93" s="37" t="e">
        <f t="shared" si="3"/>
        <v>#VALUE!</v>
      </c>
      <c r="J93" s="37" t="e">
        <f t="shared" si="5"/>
        <v>#VALUE!</v>
      </c>
      <c r="K93" t="s">
        <v>1730</v>
      </c>
      <c r="M93" s="66"/>
      <c r="N93" t="s">
        <v>2360</v>
      </c>
      <c r="O93" s="66">
        <v>3310704</v>
      </c>
    </row>
    <row r="94" spans="1:15" hidden="1" x14ac:dyDescent="0.35">
      <c r="A94" s="88" t="s">
        <v>1085</v>
      </c>
      <c r="B94" s="88" t="s">
        <v>790</v>
      </c>
      <c r="C94" t="s">
        <v>1249</v>
      </c>
      <c r="D94" s="37" t="s">
        <v>507</v>
      </c>
      <c r="E94" s="18" t="s">
        <v>2307</v>
      </c>
      <c r="F94" s="36" t="s">
        <v>2369</v>
      </c>
      <c r="G94" s="67">
        <v>3400452</v>
      </c>
      <c r="H94" s="37" t="e">
        <f t="shared" si="4"/>
        <v>#VALUE!</v>
      </c>
      <c r="I94" s="37" t="e">
        <f t="shared" si="3"/>
        <v>#VALUE!</v>
      </c>
      <c r="J94" s="37" t="e">
        <f t="shared" si="5"/>
        <v>#VALUE!</v>
      </c>
      <c r="K94" t="s">
        <v>1730</v>
      </c>
      <c r="M94" s="66"/>
      <c r="N94" t="s">
        <v>2369</v>
      </c>
      <c r="O94" s="66">
        <v>3400452</v>
      </c>
    </row>
    <row r="95" spans="1:15" hidden="1" x14ac:dyDescent="0.35">
      <c r="A95" s="88" t="s">
        <v>1085</v>
      </c>
      <c r="B95" s="88" t="s">
        <v>790</v>
      </c>
      <c r="C95" t="s">
        <v>570</v>
      </c>
      <c r="D95" s="37" t="s">
        <v>507</v>
      </c>
      <c r="E95" s="18" t="s">
        <v>2310</v>
      </c>
      <c r="F95" s="36" t="s">
        <v>2363</v>
      </c>
      <c r="G95" s="67">
        <v>3151152</v>
      </c>
      <c r="H95" s="37" t="e">
        <f t="shared" si="4"/>
        <v>#VALUE!</v>
      </c>
      <c r="I95" s="37" t="e">
        <f t="shared" si="3"/>
        <v>#VALUE!</v>
      </c>
      <c r="J95" s="37" t="e">
        <f t="shared" si="5"/>
        <v>#VALUE!</v>
      </c>
      <c r="K95" t="s">
        <v>1730</v>
      </c>
      <c r="M95" s="66"/>
      <c r="N95" t="s">
        <v>2363</v>
      </c>
      <c r="O95" s="66">
        <v>3151152</v>
      </c>
    </row>
    <row r="96" spans="1:15" hidden="1" x14ac:dyDescent="0.35">
      <c r="A96" s="88" t="s">
        <v>1085</v>
      </c>
      <c r="B96" s="88" t="s">
        <v>790</v>
      </c>
      <c r="C96" t="s">
        <v>570</v>
      </c>
      <c r="D96" s="37" t="s">
        <v>507</v>
      </c>
      <c r="E96" s="18" t="s">
        <v>2311</v>
      </c>
      <c r="F96" s="36" t="s">
        <v>2353</v>
      </c>
      <c r="G96" s="67">
        <v>3378912.48</v>
      </c>
      <c r="H96" s="37" t="e">
        <f t="shared" si="4"/>
        <v>#VALUE!</v>
      </c>
      <c r="I96" s="37" t="e">
        <f t="shared" si="3"/>
        <v>#VALUE!</v>
      </c>
      <c r="J96" s="37" t="e">
        <f t="shared" si="5"/>
        <v>#VALUE!</v>
      </c>
      <c r="K96" t="s">
        <v>1730</v>
      </c>
      <c r="M96" s="66"/>
      <c r="N96" t="s">
        <v>2353</v>
      </c>
      <c r="O96" s="66">
        <v>3378912.48</v>
      </c>
    </row>
    <row r="97" spans="1:15" hidden="1" x14ac:dyDescent="0.35">
      <c r="A97" s="88" t="s">
        <v>1085</v>
      </c>
      <c r="B97" s="88" t="s">
        <v>790</v>
      </c>
      <c r="C97" t="s">
        <v>570</v>
      </c>
      <c r="D97" s="37" t="s">
        <v>507</v>
      </c>
      <c r="E97" s="18" t="s">
        <v>2313</v>
      </c>
      <c r="F97" s="36" t="s">
        <v>2364</v>
      </c>
      <c r="G97" s="67">
        <v>3151152</v>
      </c>
      <c r="H97" s="37" t="e">
        <f t="shared" si="4"/>
        <v>#VALUE!</v>
      </c>
      <c r="I97" s="37" t="e">
        <f t="shared" si="3"/>
        <v>#VALUE!</v>
      </c>
      <c r="J97" s="37" t="e">
        <f t="shared" si="5"/>
        <v>#VALUE!</v>
      </c>
      <c r="K97" t="s">
        <v>1730</v>
      </c>
      <c r="M97" s="66"/>
      <c r="N97" t="s">
        <v>2364</v>
      </c>
      <c r="O97" s="66">
        <v>3151152</v>
      </c>
    </row>
    <row r="98" spans="1:15" hidden="1" x14ac:dyDescent="0.35">
      <c r="A98" s="88" t="s">
        <v>1085</v>
      </c>
      <c r="B98" s="88" t="s">
        <v>790</v>
      </c>
      <c r="C98" t="s">
        <v>1086</v>
      </c>
      <c r="D98" s="37" t="s">
        <v>507</v>
      </c>
      <c r="E98" s="18" t="s">
        <v>2314</v>
      </c>
      <c r="F98" s="36" t="s">
        <v>2354</v>
      </c>
      <c r="G98" s="67">
        <v>2778009.73</v>
      </c>
      <c r="H98" s="37" t="e">
        <f t="shared" si="4"/>
        <v>#VALUE!</v>
      </c>
      <c r="I98" s="37" t="e">
        <f t="shared" si="3"/>
        <v>#VALUE!</v>
      </c>
      <c r="J98" s="37" t="e">
        <f t="shared" si="5"/>
        <v>#VALUE!</v>
      </c>
      <c r="K98" t="s">
        <v>1730</v>
      </c>
      <c r="M98" s="66"/>
      <c r="N98" t="s">
        <v>2354</v>
      </c>
      <c r="O98" s="66">
        <v>2778009.73</v>
      </c>
    </row>
    <row r="99" spans="1:15" hidden="1" x14ac:dyDescent="0.35">
      <c r="A99" s="88" t="s">
        <v>1085</v>
      </c>
      <c r="B99" s="88" t="s">
        <v>790</v>
      </c>
      <c r="C99" t="s">
        <v>1086</v>
      </c>
      <c r="D99" s="37" t="s">
        <v>507</v>
      </c>
      <c r="E99" s="18" t="s">
        <v>2315</v>
      </c>
      <c r="F99" s="36" t="s">
        <v>2371</v>
      </c>
      <c r="G99" s="67">
        <v>30597.42</v>
      </c>
      <c r="H99" s="37" t="e">
        <f t="shared" si="4"/>
        <v>#VALUE!</v>
      </c>
      <c r="I99" s="37" t="e">
        <f t="shared" si="3"/>
        <v>#VALUE!</v>
      </c>
      <c r="J99" s="37" t="e">
        <f t="shared" si="5"/>
        <v>#VALUE!</v>
      </c>
      <c r="K99" t="s">
        <v>1730</v>
      </c>
      <c r="M99" s="66"/>
      <c r="N99" t="s">
        <v>2371</v>
      </c>
      <c r="O99" s="66">
        <v>30597.42</v>
      </c>
    </row>
    <row r="100" spans="1:15" hidden="1" x14ac:dyDescent="0.35">
      <c r="A100" s="88" t="s">
        <v>1085</v>
      </c>
      <c r="B100" s="88" t="s">
        <v>790</v>
      </c>
      <c r="C100" t="s">
        <v>1086</v>
      </c>
      <c r="D100" s="37" t="s">
        <v>507</v>
      </c>
      <c r="E100" s="18" t="s">
        <v>2316</v>
      </c>
      <c r="F100" s="36" t="s">
        <v>2371</v>
      </c>
      <c r="G100" s="67">
        <v>53803.1</v>
      </c>
      <c r="H100" s="37" t="e">
        <f t="shared" si="4"/>
        <v>#VALUE!</v>
      </c>
      <c r="I100" s="37" t="e">
        <f t="shared" si="3"/>
        <v>#VALUE!</v>
      </c>
      <c r="J100" s="37" t="e">
        <f t="shared" si="5"/>
        <v>#VALUE!</v>
      </c>
      <c r="K100" t="s">
        <v>1730</v>
      </c>
      <c r="M100" s="66"/>
      <c r="N100" t="s">
        <v>2371</v>
      </c>
      <c r="O100" s="66">
        <v>53803.1</v>
      </c>
    </row>
    <row r="101" spans="1:15" hidden="1" x14ac:dyDescent="0.35">
      <c r="A101" s="88" t="s">
        <v>1085</v>
      </c>
      <c r="B101" s="88" t="s">
        <v>790</v>
      </c>
      <c r="C101" t="s">
        <v>1086</v>
      </c>
      <c r="D101" s="37" t="s">
        <v>507</v>
      </c>
      <c r="E101" s="18" t="s">
        <v>2317</v>
      </c>
      <c r="F101" s="36" t="s">
        <v>2371</v>
      </c>
      <c r="G101" s="67">
        <v>2586163.41</v>
      </c>
      <c r="H101" s="37" t="e">
        <f t="shared" si="4"/>
        <v>#VALUE!</v>
      </c>
      <c r="I101" s="37" t="e">
        <f t="shared" si="3"/>
        <v>#VALUE!</v>
      </c>
      <c r="J101" s="37" t="e">
        <f t="shared" si="5"/>
        <v>#VALUE!</v>
      </c>
      <c r="K101" t="s">
        <v>1730</v>
      </c>
      <c r="M101" s="66"/>
      <c r="N101" t="s">
        <v>2371</v>
      </c>
      <c r="O101" s="66">
        <v>2586163.41</v>
      </c>
    </row>
    <row r="102" spans="1:15" hidden="1" x14ac:dyDescent="0.35">
      <c r="A102" s="88" t="s">
        <v>1085</v>
      </c>
      <c r="B102" s="88" t="s">
        <v>790</v>
      </c>
      <c r="C102" t="s">
        <v>538</v>
      </c>
      <c r="D102" s="37" t="s">
        <v>507</v>
      </c>
      <c r="E102" s="18" t="s">
        <v>776</v>
      </c>
      <c r="F102" s="36" t="s">
        <v>2363</v>
      </c>
      <c r="G102" s="67">
        <v>3317388.78</v>
      </c>
      <c r="H102" s="37" t="e">
        <f t="shared" si="4"/>
        <v>#VALUE!</v>
      </c>
      <c r="I102" s="37" t="e">
        <f t="shared" si="3"/>
        <v>#VALUE!</v>
      </c>
      <c r="J102" s="37" t="e">
        <f t="shared" si="5"/>
        <v>#VALUE!</v>
      </c>
      <c r="K102" t="s">
        <v>1730</v>
      </c>
      <c r="M102" s="66"/>
      <c r="N102" t="s">
        <v>2363</v>
      </c>
      <c r="O102" s="66">
        <v>3317388.78</v>
      </c>
    </row>
    <row r="103" spans="1:15" hidden="1" x14ac:dyDescent="0.35">
      <c r="A103" s="2" t="s">
        <v>477</v>
      </c>
      <c r="B103" s="2" t="s">
        <v>790</v>
      </c>
      <c r="C103" s="18" t="s">
        <v>221</v>
      </c>
      <c r="D103" s="18" t="s">
        <v>222</v>
      </c>
      <c r="E103" s="18" t="s">
        <v>2326</v>
      </c>
      <c r="F103" s="36" t="s">
        <v>2374</v>
      </c>
      <c r="G103" s="67">
        <v>194287.24</v>
      </c>
      <c r="H103" s="37" t="e">
        <f t="shared" si="4"/>
        <v>#VALUE!</v>
      </c>
      <c r="I103" s="37" t="e">
        <f t="shared" ref="I103:I126" si="6">IF(H103&lt;91,"1-90 DAYS",IF(H103&lt;121,"91-120DAYS",IF(H103&lt;181,"121-180 DAYS","More than 180 Days")))</f>
        <v>#VALUE!</v>
      </c>
      <c r="J103" s="37" t="e">
        <f t="shared" si="5"/>
        <v>#VALUE!</v>
      </c>
      <c r="L103" t="s">
        <v>1730</v>
      </c>
      <c r="M103" s="66"/>
      <c r="N103" t="s">
        <v>2374</v>
      </c>
      <c r="O103" s="66">
        <v>194287.24</v>
      </c>
    </row>
    <row r="104" spans="1:15" hidden="1" x14ac:dyDescent="0.35">
      <c r="A104" s="2" t="s">
        <v>477</v>
      </c>
      <c r="B104" s="2" t="s">
        <v>790</v>
      </c>
      <c r="C104" s="18" t="s">
        <v>2033</v>
      </c>
      <c r="D104" s="18" t="s">
        <v>1499</v>
      </c>
      <c r="E104" s="18" t="s">
        <v>2328</v>
      </c>
      <c r="F104" s="36" t="s">
        <v>2359</v>
      </c>
      <c r="G104" s="67">
        <f>26968204.8-10099587</f>
        <v>16868617.800000001</v>
      </c>
      <c r="H104" s="37" t="e">
        <f t="shared" si="4"/>
        <v>#VALUE!</v>
      </c>
      <c r="I104" s="37" t="e">
        <f t="shared" si="6"/>
        <v>#VALUE!</v>
      </c>
      <c r="J104" s="37" t="e">
        <f t="shared" si="5"/>
        <v>#VALUE!</v>
      </c>
      <c r="L104" t="s">
        <v>1730</v>
      </c>
      <c r="M104" s="66"/>
      <c r="N104" t="s">
        <v>2359</v>
      </c>
      <c r="O104" s="66">
        <v>16868617.800000001</v>
      </c>
    </row>
    <row r="105" spans="1:15" hidden="1" x14ac:dyDescent="0.35">
      <c r="A105" s="2" t="s">
        <v>477</v>
      </c>
      <c r="B105" s="2" t="s">
        <v>790</v>
      </c>
      <c r="C105" s="18" t="s">
        <v>2033</v>
      </c>
      <c r="D105" s="18" t="s">
        <v>1499</v>
      </c>
      <c r="E105" s="18" t="s">
        <v>2329</v>
      </c>
      <c r="F105" s="36" t="s">
        <v>2359</v>
      </c>
      <c r="G105" s="67">
        <v>1569174.16</v>
      </c>
      <c r="H105" s="37" t="e">
        <f t="shared" si="4"/>
        <v>#VALUE!</v>
      </c>
      <c r="I105" s="37" t="e">
        <f t="shared" si="6"/>
        <v>#VALUE!</v>
      </c>
      <c r="J105" s="37" t="e">
        <f t="shared" si="5"/>
        <v>#VALUE!</v>
      </c>
      <c r="L105" t="s">
        <v>1730</v>
      </c>
      <c r="M105" s="66"/>
      <c r="N105" t="s">
        <v>2359</v>
      </c>
      <c r="O105" s="66">
        <v>1569174.16</v>
      </c>
    </row>
    <row r="106" spans="1:15" hidden="1" x14ac:dyDescent="0.35">
      <c r="A106" s="2" t="s">
        <v>477</v>
      </c>
      <c r="B106" s="2" t="s">
        <v>790</v>
      </c>
      <c r="C106" s="18" t="s">
        <v>3</v>
      </c>
      <c r="D106" s="18" t="s">
        <v>4</v>
      </c>
      <c r="E106" s="18" t="s">
        <v>2345</v>
      </c>
      <c r="F106" s="36" t="s">
        <v>2361</v>
      </c>
      <c r="G106" s="67">
        <v>1513386.88</v>
      </c>
      <c r="H106" s="37" t="e">
        <f t="shared" si="4"/>
        <v>#VALUE!</v>
      </c>
      <c r="I106" s="37" t="e">
        <f t="shared" si="6"/>
        <v>#VALUE!</v>
      </c>
      <c r="J106" s="37" t="e">
        <f t="shared" si="5"/>
        <v>#VALUE!</v>
      </c>
      <c r="L106" t="s">
        <v>1730</v>
      </c>
      <c r="M106" s="66"/>
      <c r="N106" t="s">
        <v>2361</v>
      </c>
      <c r="O106" s="66">
        <v>1513386.88</v>
      </c>
    </row>
    <row r="107" spans="1:15" hidden="1" x14ac:dyDescent="0.35">
      <c r="A107" s="2" t="s">
        <v>477</v>
      </c>
      <c r="B107" s="2" t="s">
        <v>790</v>
      </c>
      <c r="C107" s="18" t="s">
        <v>5</v>
      </c>
      <c r="D107" s="18" t="s">
        <v>6</v>
      </c>
      <c r="E107" s="18" t="s">
        <v>2346</v>
      </c>
      <c r="F107" s="36" t="s">
        <v>2376</v>
      </c>
      <c r="G107" s="67">
        <v>14691</v>
      </c>
      <c r="H107" s="37" t="e">
        <f t="shared" si="4"/>
        <v>#VALUE!</v>
      </c>
      <c r="I107" s="37" t="e">
        <f t="shared" si="6"/>
        <v>#VALUE!</v>
      </c>
      <c r="J107" s="37" t="e">
        <f t="shared" si="5"/>
        <v>#VALUE!</v>
      </c>
      <c r="L107" t="s">
        <v>1730</v>
      </c>
      <c r="M107" s="66"/>
      <c r="N107" t="s">
        <v>2376</v>
      </c>
      <c r="O107" s="66">
        <v>14691</v>
      </c>
    </row>
    <row r="108" spans="1:15" hidden="1" x14ac:dyDescent="0.35">
      <c r="A108" s="2" t="s">
        <v>1209</v>
      </c>
      <c r="B108" s="2" t="s">
        <v>789</v>
      </c>
      <c r="C108" s="18" t="s">
        <v>506</v>
      </c>
      <c r="D108" s="37" t="s">
        <v>507</v>
      </c>
      <c r="E108" s="18" t="s">
        <v>2349</v>
      </c>
      <c r="F108" s="36" t="s">
        <v>2378</v>
      </c>
      <c r="G108" s="67">
        <v>3950349.63</v>
      </c>
      <c r="H108" s="37" t="e">
        <f t="shared" si="4"/>
        <v>#VALUE!</v>
      </c>
      <c r="I108" s="37" t="e">
        <f t="shared" si="6"/>
        <v>#VALUE!</v>
      </c>
      <c r="J108" s="37" t="e">
        <f t="shared" si="5"/>
        <v>#VALUE!</v>
      </c>
      <c r="M108" s="66"/>
      <c r="N108" t="s">
        <v>2378</v>
      </c>
      <c r="O108" s="66">
        <v>3950349.63</v>
      </c>
    </row>
    <row r="109" spans="1:15" hidden="1" x14ac:dyDescent="0.35">
      <c r="A109" s="2" t="s">
        <v>477</v>
      </c>
      <c r="B109" s="2" t="s">
        <v>790</v>
      </c>
      <c r="C109" s="18" t="s">
        <v>2379</v>
      </c>
      <c r="D109" s="18" t="s">
        <v>2422</v>
      </c>
      <c r="E109" s="18" t="s">
        <v>2386</v>
      </c>
      <c r="F109" s="19" t="s">
        <v>2504</v>
      </c>
      <c r="G109" s="108">
        <v>688974.21</v>
      </c>
      <c r="H109" s="37">
        <f t="shared" si="4"/>
        <v>206</v>
      </c>
      <c r="I109" s="37" t="str">
        <f t="shared" si="6"/>
        <v>More than 180 Days</v>
      </c>
      <c r="J109" s="37" t="str">
        <f t="shared" si="5"/>
        <v>More than 180 Days</v>
      </c>
      <c r="K109" t="s">
        <v>1730</v>
      </c>
      <c r="M109" s="66"/>
      <c r="N109" t="s">
        <v>2504</v>
      </c>
      <c r="O109" s="66">
        <v>688974.21</v>
      </c>
    </row>
    <row r="110" spans="1:15" hidden="1" x14ac:dyDescent="0.35">
      <c r="A110" s="2" t="s">
        <v>477</v>
      </c>
      <c r="B110" s="2" t="s">
        <v>790</v>
      </c>
      <c r="C110" s="18" t="s">
        <v>2033</v>
      </c>
      <c r="D110" s="18" t="s">
        <v>1499</v>
      </c>
      <c r="E110" s="18" t="s">
        <v>2392</v>
      </c>
      <c r="F110" s="19" t="s">
        <v>2645</v>
      </c>
      <c r="G110" s="108">
        <v>16605477.9</v>
      </c>
      <c r="H110" s="37" t="e">
        <f t="shared" si="4"/>
        <v>#VALUE!</v>
      </c>
      <c r="I110" s="37" t="e">
        <f t="shared" si="6"/>
        <v>#VALUE!</v>
      </c>
      <c r="J110" s="37" t="e">
        <f t="shared" si="5"/>
        <v>#VALUE!</v>
      </c>
      <c r="K110" t="s">
        <v>1730</v>
      </c>
      <c r="M110" s="66"/>
      <c r="N110" t="s">
        <v>2645</v>
      </c>
      <c r="O110" s="66">
        <v>16605477.9</v>
      </c>
    </row>
    <row r="111" spans="1:15" hidden="1" x14ac:dyDescent="0.35">
      <c r="A111" s="2" t="s">
        <v>477</v>
      </c>
      <c r="B111" s="2" t="s">
        <v>790</v>
      </c>
      <c r="C111" s="18" t="s">
        <v>2033</v>
      </c>
      <c r="D111" s="18" t="s">
        <v>1499</v>
      </c>
      <c r="E111" s="18" t="s">
        <v>2393</v>
      </c>
      <c r="F111" s="19" t="s">
        <v>2645</v>
      </c>
      <c r="G111" s="108">
        <v>8554936.5</v>
      </c>
      <c r="H111" s="37" t="e">
        <f t="shared" si="4"/>
        <v>#VALUE!</v>
      </c>
      <c r="I111" s="37" t="e">
        <f t="shared" si="6"/>
        <v>#VALUE!</v>
      </c>
      <c r="J111" s="37" t="e">
        <f t="shared" si="5"/>
        <v>#VALUE!</v>
      </c>
      <c r="K111" t="s">
        <v>1730</v>
      </c>
      <c r="M111" s="66"/>
      <c r="N111" t="s">
        <v>2645</v>
      </c>
      <c r="O111" s="66">
        <v>8554936.5</v>
      </c>
    </row>
    <row r="112" spans="1:15" hidden="1" x14ac:dyDescent="0.35">
      <c r="A112" s="2" t="s">
        <v>477</v>
      </c>
      <c r="B112" s="2" t="s">
        <v>790</v>
      </c>
      <c r="C112" s="18" t="s">
        <v>2380</v>
      </c>
      <c r="D112" s="18" t="s">
        <v>1081</v>
      </c>
      <c r="E112" s="18" t="s">
        <v>84</v>
      </c>
      <c r="F112" s="19" t="s">
        <v>2500</v>
      </c>
      <c r="G112" s="108">
        <v>1156929.3999999999</v>
      </c>
      <c r="H112" s="37" t="e">
        <f t="shared" si="4"/>
        <v>#VALUE!</v>
      </c>
      <c r="I112" s="37" t="e">
        <f t="shared" si="6"/>
        <v>#VALUE!</v>
      </c>
      <c r="J112" s="37" t="e">
        <f t="shared" si="5"/>
        <v>#VALUE!</v>
      </c>
      <c r="K112" t="s">
        <v>1730</v>
      </c>
      <c r="M112" s="66"/>
      <c r="N112" t="s">
        <v>2500</v>
      </c>
      <c r="O112" s="66">
        <v>1156929.3999999999</v>
      </c>
    </row>
    <row r="113" spans="1:15" hidden="1" x14ac:dyDescent="0.35">
      <c r="A113" s="2" t="s">
        <v>477</v>
      </c>
      <c r="B113" s="2" t="s">
        <v>790</v>
      </c>
      <c r="C113" s="18" t="s">
        <v>2380</v>
      </c>
      <c r="D113" s="18" t="s">
        <v>1081</v>
      </c>
      <c r="E113" s="18" t="s">
        <v>2401</v>
      </c>
      <c r="F113" s="19" t="s">
        <v>2500</v>
      </c>
      <c r="G113" s="108">
        <v>1156339.3999999999</v>
      </c>
      <c r="H113" s="37" t="e">
        <f t="shared" si="4"/>
        <v>#VALUE!</v>
      </c>
      <c r="I113" s="37" t="e">
        <f t="shared" si="6"/>
        <v>#VALUE!</v>
      </c>
      <c r="J113" s="37" t="e">
        <f t="shared" si="5"/>
        <v>#VALUE!</v>
      </c>
      <c r="K113" t="s">
        <v>1730</v>
      </c>
      <c r="M113" s="66"/>
      <c r="N113" t="s">
        <v>2500</v>
      </c>
      <c r="O113" s="66">
        <v>1156339.3999999999</v>
      </c>
    </row>
    <row r="114" spans="1:15" hidden="1" x14ac:dyDescent="0.35">
      <c r="A114" s="2" t="s">
        <v>477</v>
      </c>
      <c r="B114" s="2" t="s">
        <v>790</v>
      </c>
      <c r="C114" s="18" t="s">
        <v>2380</v>
      </c>
      <c r="D114" s="18" t="s">
        <v>1081</v>
      </c>
      <c r="E114" s="18" t="s">
        <v>2402</v>
      </c>
      <c r="F114" s="19" t="s">
        <v>2500</v>
      </c>
      <c r="G114" s="108">
        <v>871287.38</v>
      </c>
      <c r="H114" s="37" t="e">
        <f t="shared" si="4"/>
        <v>#VALUE!</v>
      </c>
      <c r="I114" s="37" t="e">
        <f t="shared" si="6"/>
        <v>#VALUE!</v>
      </c>
      <c r="J114" s="37" t="e">
        <f t="shared" si="5"/>
        <v>#VALUE!</v>
      </c>
      <c r="K114" t="s">
        <v>1730</v>
      </c>
      <c r="M114" s="66"/>
      <c r="N114" t="s">
        <v>2500</v>
      </c>
      <c r="O114" s="66">
        <v>871287.38</v>
      </c>
    </row>
    <row r="115" spans="1:15" hidden="1" x14ac:dyDescent="0.35">
      <c r="A115" s="2" t="s">
        <v>477</v>
      </c>
      <c r="B115" s="2" t="s">
        <v>790</v>
      </c>
      <c r="C115" s="18" t="s">
        <v>2380</v>
      </c>
      <c r="D115" s="18" t="s">
        <v>1081</v>
      </c>
      <c r="E115" s="18" t="s">
        <v>2403</v>
      </c>
      <c r="F115" s="19" t="s">
        <v>2500</v>
      </c>
      <c r="G115" s="108">
        <v>2364922.7200000002</v>
      </c>
      <c r="H115" s="37" t="e">
        <f t="shared" si="4"/>
        <v>#VALUE!</v>
      </c>
      <c r="I115" s="37" t="e">
        <f t="shared" si="6"/>
        <v>#VALUE!</v>
      </c>
      <c r="J115" s="37" t="e">
        <f t="shared" si="5"/>
        <v>#VALUE!</v>
      </c>
      <c r="K115" t="s">
        <v>1730</v>
      </c>
      <c r="M115" s="66"/>
      <c r="N115" t="s">
        <v>2500</v>
      </c>
      <c r="O115" s="66">
        <v>2364922.7200000002</v>
      </c>
    </row>
    <row r="116" spans="1:15" hidden="1" x14ac:dyDescent="0.35">
      <c r="A116" s="2" t="s">
        <v>477</v>
      </c>
      <c r="B116" s="2" t="s">
        <v>790</v>
      </c>
      <c r="C116" s="18" t="s">
        <v>2322</v>
      </c>
      <c r="D116" s="18" t="s">
        <v>2348</v>
      </c>
      <c r="E116" s="18" t="s">
        <v>53</v>
      </c>
      <c r="F116" s="19" t="s">
        <v>2647</v>
      </c>
      <c r="G116" s="108">
        <v>41117.1</v>
      </c>
      <c r="H116" s="37" t="e">
        <f t="shared" si="4"/>
        <v>#VALUE!</v>
      </c>
      <c r="I116" s="37" t="e">
        <f t="shared" si="6"/>
        <v>#VALUE!</v>
      </c>
      <c r="J116" s="37" t="e">
        <f t="shared" si="5"/>
        <v>#VALUE!</v>
      </c>
      <c r="K116" t="s">
        <v>1730</v>
      </c>
      <c r="M116" s="66"/>
      <c r="N116" t="s">
        <v>2647</v>
      </c>
      <c r="O116" s="66">
        <v>41117.1</v>
      </c>
    </row>
    <row r="117" spans="1:15" hidden="1" x14ac:dyDescent="0.35">
      <c r="A117" s="2" t="s">
        <v>477</v>
      </c>
      <c r="B117" s="2" t="s">
        <v>790</v>
      </c>
      <c r="C117" s="18" t="s">
        <v>259</v>
      </c>
      <c r="D117" s="18" t="s">
        <v>260</v>
      </c>
      <c r="E117" s="18" t="s">
        <v>2406</v>
      </c>
      <c r="F117" s="19" t="s">
        <v>2520</v>
      </c>
      <c r="G117" s="108">
        <v>13217.25</v>
      </c>
      <c r="H117" s="37" t="e">
        <f t="shared" si="4"/>
        <v>#VALUE!</v>
      </c>
      <c r="I117" s="37" t="e">
        <f t="shared" si="6"/>
        <v>#VALUE!</v>
      </c>
      <c r="J117" s="37" t="e">
        <f t="shared" si="5"/>
        <v>#VALUE!</v>
      </c>
      <c r="K117" t="s">
        <v>1730</v>
      </c>
      <c r="M117" s="66"/>
      <c r="N117" t="s">
        <v>2520</v>
      </c>
      <c r="O117" s="66">
        <v>13217.25</v>
      </c>
    </row>
    <row r="118" spans="1:15" hidden="1" x14ac:dyDescent="0.35">
      <c r="A118" s="2" t="s">
        <v>477</v>
      </c>
      <c r="B118" s="2" t="s">
        <v>790</v>
      </c>
      <c r="C118" s="18" t="s">
        <v>2382</v>
      </c>
      <c r="D118" s="18" t="s">
        <v>2424</v>
      </c>
      <c r="E118" s="18" t="s">
        <v>2409</v>
      </c>
      <c r="F118" s="19" t="s">
        <v>2500</v>
      </c>
      <c r="G118" s="108">
        <v>73160</v>
      </c>
      <c r="H118" s="37" t="e">
        <f t="shared" si="4"/>
        <v>#VALUE!</v>
      </c>
      <c r="I118" s="37" t="e">
        <f t="shared" si="6"/>
        <v>#VALUE!</v>
      </c>
      <c r="J118" s="37" t="e">
        <f t="shared" si="5"/>
        <v>#VALUE!</v>
      </c>
      <c r="K118" t="s">
        <v>1730</v>
      </c>
      <c r="M118" s="66"/>
      <c r="N118" t="s">
        <v>2500</v>
      </c>
      <c r="O118" s="66">
        <v>73160</v>
      </c>
    </row>
    <row r="119" spans="1:15" hidden="1" x14ac:dyDescent="0.35">
      <c r="A119" s="2" t="s">
        <v>1209</v>
      </c>
      <c r="B119" s="2" t="s">
        <v>789</v>
      </c>
      <c r="C119" s="18" t="s">
        <v>125</v>
      </c>
      <c r="D119" s="18" t="s">
        <v>57</v>
      </c>
      <c r="E119" s="18" t="s">
        <v>2549</v>
      </c>
      <c r="F119" s="19" t="s">
        <v>2648</v>
      </c>
      <c r="G119" s="18">
        <v>1306031.0900000001</v>
      </c>
      <c r="H119" s="37" t="e">
        <f t="shared" si="4"/>
        <v>#VALUE!</v>
      </c>
      <c r="I119" s="37" t="e">
        <f t="shared" si="6"/>
        <v>#VALUE!</v>
      </c>
      <c r="J119" s="37" t="e">
        <f t="shared" si="5"/>
        <v>#VALUE!</v>
      </c>
      <c r="M119" s="66"/>
      <c r="N119" t="s">
        <v>2648</v>
      </c>
      <c r="O119" s="66">
        <v>1306031.0900000001</v>
      </c>
    </row>
    <row r="120" spans="1:15" hidden="1" x14ac:dyDescent="0.35">
      <c r="A120" s="2" t="s">
        <v>1209</v>
      </c>
      <c r="B120" s="2" t="s">
        <v>789</v>
      </c>
      <c r="C120" s="18" t="s">
        <v>125</v>
      </c>
      <c r="D120" s="18" t="s">
        <v>57</v>
      </c>
      <c r="E120" s="18" t="s">
        <v>2550</v>
      </c>
      <c r="F120" s="19" t="s">
        <v>2648</v>
      </c>
      <c r="G120" s="18">
        <v>1396298.44</v>
      </c>
      <c r="H120" s="37" t="e">
        <f t="shared" si="4"/>
        <v>#VALUE!</v>
      </c>
      <c r="I120" s="37" t="e">
        <f t="shared" si="6"/>
        <v>#VALUE!</v>
      </c>
      <c r="J120" s="37" t="e">
        <f t="shared" si="5"/>
        <v>#VALUE!</v>
      </c>
      <c r="M120" s="66"/>
      <c r="N120" t="s">
        <v>2648</v>
      </c>
      <c r="O120" s="66">
        <v>1396298.44</v>
      </c>
    </row>
    <row r="121" spans="1:15" hidden="1" x14ac:dyDescent="0.35">
      <c r="A121" s="2" t="s">
        <v>1209</v>
      </c>
      <c r="B121" s="2" t="s">
        <v>789</v>
      </c>
      <c r="C121" s="18" t="s">
        <v>125</v>
      </c>
      <c r="D121" s="18" t="s">
        <v>57</v>
      </c>
      <c r="E121" s="18" t="s">
        <v>2551</v>
      </c>
      <c r="F121" s="19" t="s">
        <v>2649</v>
      </c>
      <c r="G121" s="18">
        <v>5220.13</v>
      </c>
      <c r="H121" s="37" t="e">
        <f t="shared" si="4"/>
        <v>#VALUE!</v>
      </c>
      <c r="I121" s="37" t="e">
        <f t="shared" si="6"/>
        <v>#VALUE!</v>
      </c>
      <c r="J121" s="37" t="e">
        <f t="shared" si="5"/>
        <v>#VALUE!</v>
      </c>
      <c r="M121" s="66"/>
      <c r="N121" t="s">
        <v>2649</v>
      </c>
      <c r="O121" s="66">
        <v>5220.13</v>
      </c>
    </row>
    <row r="122" spans="1:15" hidden="1" x14ac:dyDescent="0.35">
      <c r="A122" s="2" t="s">
        <v>1209</v>
      </c>
      <c r="B122" s="2" t="s">
        <v>789</v>
      </c>
      <c r="C122" s="18" t="s">
        <v>125</v>
      </c>
      <c r="D122" s="18" t="s">
        <v>57</v>
      </c>
      <c r="E122" s="18" t="s">
        <v>2552</v>
      </c>
      <c r="F122" s="19" t="s">
        <v>2649</v>
      </c>
      <c r="G122" s="18">
        <v>1030589.43</v>
      </c>
      <c r="H122" s="37" t="e">
        <f t="shared" si="4"/>
        <v>#VALUE!</v>
      </c>
      <c r="I122" s="37" t="e">
        <f t="shared" si="6"/>
        <v>#VALUE!</v>
      </c>
      <c r="J122" s="37" t="e">
        <f t="shared" si="5"/>
        <v>#VALUE!</v>
      </c>
      <c r="M122" s="66"/>
      <c r="N122" t="s">
        <v>2649</v>
      </c>
      <c r="O122" s="66">
        <v>1030589.43</v>
      </c>
    </row>
    <row r="123" spans="1:15" hidden="1" x14ac:dyDescent="0.35">
      <c r="A123" s="2" t="s">
        <v>1209</v>
      </c>
      <c r="B123" s="2" t="s">
        <v>789</v>
      </c>
      <c r="C123" s="18" t="s">
        <v>125</v>
      </c>
      <c r="D123" s="18" t="s">
        <v>57</v>
      </c>
      <c r="E123" s="18" t="s">
        <v>2553</v>
      </c>
      <c r="F123" s="19" t="s">
        <v>2547</v>
      </c>
      <c r="G123" s="18">
        <v>1685052.3</v>
      </c>
      <c r="H123" s="37" t="e">
        <f t="shared" si="4"/>
        <v>#VALUE!</v>
      </c>
      <c r="I123" s="37" t="e">
        <f t="shared" si="6"/>
        <v>#VALUE!</v>
      </c>
      <c r="J123" s="37" t="e">
        <f t="shared" si="5"/>
        <v>#VALUE!</v>
      </c>
      <c r="M123" s="66"/>
      <c r="N123" t="s">
        <v>2547</v>
      </c>
      <c r="O123" s="66">
        <v>1685052.3</v>
      </c>
    </row>
    <row r="124" spans="1:15" hidden="1" x14ac:dyDescent="0.35">
      <c r="A124" s="2" t="s">
        <v>1209</v>
      </c>
      <c r="B124" s="2" t="s">
        <v>789</v>
      </c>
      <c r="C124" s="18" t="s">
        <v>125</v>
      </c>
      <c r="D124" s="18" t="s">
        <v>57</v>
      </c>
      <c r="E124" s="18" t="s">
        <v>2554</v>
      </c>
      <c r="F124" s="19" t="s">
        <v>2650</v>
      </c>
      <c r="G124" s="18">
        <v>113144.88</v>
      </c>
      <c r="H124" s="37" t="e">
        <f t="shared" si="4"/>
        <v>#VALUE!</v>
      </c>
      <c r="I124" s="37" t="e">
        <f t="shared" si="6"/>
        <v>#VALUE!</v>
      </c>
      <c r="J124" s="37" t="e">
        <f t="shared" si="5"/>
        <v>#VALUE!</v>
      </c>
      <c r="M124" s="66"/>
      <c r="N124" t="s">
        <v>2650</v>
      </c>
      <c r="O124" s="66">
        <v>113144.88</v>
      </c>
    </row>
    <row r="125" spans="1:15" hidden="1" x14ac:dyDescent="0.35">
      <c r="A125" s="2" t="s">
        <v>1209</v>
      </c>
      <c r="B125" s="2" t="s">
        <v>789</v>
      </c>
      <c r="C125" s="18" t="s">
        <v>125</v>
      </c>
      <c r="D125" s="18" t="s">
        <v>57</v>
      </c>
      <c r="E125" s="18" t="s">
        <v>2555</v>
      </c>
      <c r="F125" s="19" t="s">
        <v>2651</v>
      </c>
      <c r="G125" s="18">
        <v>1375100.56</v>
      </c>
      <c r="H125" s="37">
        <f t="shared" si="4"/>
        <v>175</v>
      </c>
      <c r="I125" s="37" t="str">
        <f t="shared" si="6"/>
        <v>121-180 DAYS</v>
      </c>
      <c r="J125" s="37" t="str">
        <f t="shared" si="5"/>
        <v>0-180 DAYS</v>
      </c>
      <c r="M125" s="66"/>
      <c r="N125" t="s">
        <v>2651</v>
      </c>
      <c r="O125" s="66">
        <v>1375100.56</v>
      </c>
    </row>
    <row r="126" spans="1:15" hidden="1" x14ac:dyDescent="0.35">
      <c r="A126" s="2" t="s">
        <v>1209</v>
      </c>
      <c r="B126" s="2" t="s">
        <v>789</v>
      </c>
      <c r="C126" s="18" t="s">
        <v>125</v>
      </c>
      <c r="D126" s="18" t="s">
        <v>57</v>
      </c>
      <c r="E126" s="18" t="s">
        <v>2556</v>
      </c>
      <c r="F126" s="19" t="s">
        <v>2652</v>
      </c>
      <c r="G126" s="18">
        <v>19387.96</v>
      </c>
      <c r="H126" s="37" t="e">
        <f t="shared" si="4"/>
        <v>#VALUE!</v>
      </c>
      <c r="I126" s="37" t="e">
        <f t="shared" si="6"/>
        <v>#VALUE!</v>
      </c>
      <c r="J126" s="37" t="e">
        <f t="shared" si="5"/>
        <v>#VALUE!</v>
      </c>
      <c r="M126" s="66"/>
      <c r="N126" t="s">
        <v>2652</v>
      </c>
      <c r="O126" s="66">
        <v>19387.96</v>
      </c>
    </row>
    <row r="127" spans="1:15" hidden="1" x14ac:dyDescent="0.35">
      <c r="A127" s="2" t="s">
        <v>1085</v>
      </c>
      <c r="B127" s="2" t="s">
        <v>790</v>
      </c>
      <c r="C127" s="18" t="s">
        <v>538</v>
      </c>
      <c r="D127" s="37" t="s">
        <v>507</v>
      </c>
      <c r="E127" s="18" t="s">
        <v>2434</v>
      </c>
      <c r="F127" s="19" t="s">
        <v>2503</v>
      </c>
      <c r="G127" s="108">
        <v>3241595.33</v>
      </c>
      <c r="H127" s="37">
        <f t="shared" si="4"/>
        <v>237</v>
      </c>
      <c r="I127" s="37" t="str">
        <f t="shared" ref="I127:I132" si="7">IF(H127&lt;121,"0-120 DAYS",IF(H127&lt;181,"121-180 DAYS","More than 180 Days"))</f>
        <v>More than 180 Days</v>
      </c>
      <c r="J127" s="37" t="str">
        <f t="shared" si="5"/>
        <v>More than 180 Days</v>
      </c>
      <c r="K127" t="s">
        <v>1730</v>
      </c>
      <c r="M127" s="66"/>
      <c r="N127" t="s">
        <v>2503</v>
      </c>
      <c r="O127" s="66">
        <v>3241595.33</v>
      </c>
    </row>
    <row r="128" spans="1:15" hidden="1" x14ac:dyDescent="0.35">
      <c r="A128" s="2" t="s">
        <v>1085</v>
      </c>
      <c r="B128" s="2" t="s">
        <v>790</v>
      </c>
      <c r="C128" s="18" t="s">
        <v>617</v>
      </c>
      <c r="D128" s="37" t="s">
        <v>507</v>
      </c>
      <c r="E128" s="18" t="s">
        <v>2435</v>
      </c>
      <c r="F128" s="19" t="s">
        <v>2523</v>
      </c>
      <c r="G128" s="108">
        <v>4251055.3899999997</v>
      </c>
      <c r="H128" s="37">
        <f t="shared" si="4"/>
        <v>114</v>
      </c>
      <c r="I128" s="37" t="str">
        <f t="shared" si="7"/>
        <v>0-120 DAYS</v>
      </c>
      <c r="J128" s="37" t="str">
        <f t="shared" si="5"/>
        <v>0-180 DAYS</v>
      </c>
      <c r="K128" t="s">
        <v>1730</v>
      </c>
      <c r="M128" s="66"/>
      <c r="N128" t="s">
        <v>2523</v>
      </c>
      <c r="O128" s="66">
        <v>4251055.3899999997</v>
      </c>
    </row>
    <row r="129" spans="1:15" hidden="1" x14ac:dyDescent="0.35">
      <c r="A129" s="2" t="s">
        <v>1085</v>
      </c>
      <c r="B129" s="2" t="s">
        <v>790</v>
      </c>
      <c r="C129" s="18" t="s">
        <v>797</v>
      </c>
      <c r="D129" s="37" t="s">
        <v>507</v>
      </c>
      <c r="E129" s="18" t="s">
        <v>2436</v>
      </c>
      <c r="F129" s="19" t="s">
        <v>2505</v>
      </c>
      <c r="G129" s="108">
        <v>249450</v>
      </c>
      <c r="H129" s="37">
        <f t="shared" si="4"/>
        <v>53</v>
      </c>
      <c r="I129" s="37" t="str">
        <f t="shared" si="7"/>
        <v>0-120 DAYS</v>
      </c>
      <c r="J129" s="37" t="str">
        <f t="shared" si="5"/>
        <v>0-180 DAYS</v>
      </c>
      <c r="K129" t="s">
        <v>1730</v>
      </c>
      <c r="M129" s="66"/>
      <c r="N129" t="s">
        <v>2505</v>
      </c>
      <c r="O129" s="66">
        <v>249450</v>
      </c>
    </row>
    <row r="130" spans="1:15" hidden="1" x14ac:dyDescent="0.35">
      <c r="A130" s="2" t="s">
        <v>1085</v>
      </c>
      <c r="B130" s="2" t="s">
        <v>790</v>
      </c>
      <c r="C130" s="18" t="s">
        <v>647</v>
      </c>
      <c r="D130" s="37" t="s">
        <v>507</v>
      </c>
      <c r="E130" s="18" t="s">
        <v>2437</v>
      </c>
      <c r="F130" s="19" t="s">
        <v>2506</v>
      </c>
      <c r="G130" s="108">
        <v>3671904</v>
      </c>
      <c r="H130" s="37" t="e">
        <f t="shared" si="4"/>
        <v>#VALUE!</v>
      </c>
      <c r="I130" s="37" t="e">
        <f t="shared" si="7"/>
        <v>#VALUE!</v>
      </c>
      <c r="J130" s="37" t="e">
        <f t="shared" si="5"/>
        <v>#VALUE!</v>
      </c>
      <c r="K130" t="s">
        <v>1730</v>
      </c>
      <c r="M130" s="66"/>
      <c r="N130" t="s">
        <v>2506</v>
      </c>
      <c r="O130" s="66">
        <v>3671904</v>
      </c>
    </row>
    <row r="131" spans="1:15" hidden="1" x14ac:dyDescent="0.35">
      <c r="A131" s="2" t="s">
        <v>1085</v>
      </c>
      <c r="B131" s="2" t="s">
        <v>790</v>
      </c>
      <c r="C131" s="18" t="s">
        <v>2425</v>
      </c>
      <c r="D131" s="37" t="s">
        <v>507</v>
      </c>
      <c r="E131" s="18" t="s">
        <v>2440</v>
      </c>
      <c r="F131" s="19" t="s">
        <v>2645</v>
      </c>
      <c r="G131" s="108">
        <v>32028.55</v>
      </c>
      <c r="H131" s="37" t="e">
        <f t="shared" si="4"/>
        <v>#VALUE!</v>
      </c>
      <c r="I131" s="37" t="e">
        <f t="shared" si="7"/>
        <v>#VALUE!</v>
      </c>
      <c r="J131" s="37" t="e">
        <f t="shared" si="5"/>
        <v>#VALUE!</v>
      </c>
      <c r="K131" t="s">
        <v>1730</v>
      </c>
      <c r="M131" s="66"/>
      <c r="N131" t="s">
        <v>2645</v>
      </c>
      <c r="O131" s="66">
        <v>32028.55</v>
      </c>
    </row>
    <row r="132" spans="1:15" hidden="1" x14ac:dyDescent="0.35">
      <c r="A132" s="2" t="s">
        <v>1085</v>
      </c>
      <c r="B132" s="2" t="s">
        <v>790</v>
      </c>
      <c r="C132" s="18" t="s">
        <v>631</v>
      </c>
      <c r="D132" s="37" t="s">
        <v>507</v>
      </c>
      <c r="E132" s="18" t="s">
        <v>2441</v>
      </c>
      <c r="F132" s="19" t="s">
        <v>2516</v>
      </c>
      <c r="G132" s="108">
        <v>3043955.2</v>
      </c>
      <c r="H132" s="37" t="e">
        <f t="shared" si="4"/>
        <v>#VALUE!</v>
      </c>
      <c r="I132" s="37" t="e">
        <f t="shared" si="7"/>
        <v>#VALUE!</v>
      </c>
      <c r="J132" s="37" t="e">
        <f t="shared" si="5"/>
        <v>#VALUE!</v>
      </c>
      <c r="K132" t="s">
        <v>1730</v>
      </c>
      <c r="M132" s="66"/>
      <c r="N132" t="s">
        <v>2516</v>
      </c>
      <c r="O132" s="66">
        <v>3043955.2</v>
      </c>
    </row>
    <row r="133" spans="1:15" hidden="1" x14ac:dyDescent="0.35">
      <c r="A133" s="2" t="s">
        <v>1209</v>
      </c>
      <c r="B133" s="2" t="s">
        <v>789</v>
      </c>
      <c r="C133" s="18" t="s">
        <v>506</v>
      </c>
      <c r="D133" s="37" t="s">
        <v>507</v>
      </c>
      <c r="E133" s="18" t="s">
        <v>2444</v>
      </c>
      <c r="F133" s="19" t="s">
        <v>2517</v>
      </c>
      <c r="G133" s="108">
        <v>3494715.82</v>
      </c>
      <c r="H133" s="37" t="e">
        <f t="shared" ref="H133:H196" si="8">$H$2-F133+1</f>
        <v>#VALUE!</v>
      </c>
      <c r="I133" s="37" t="e">
        <f>IF(H133&lt;91,"1-90 DAYS",IF(H133&lt;121,"91-120DAYS",IF(H133&lt;181,"121-180 DAYS","More than 180 Days")))</f>
        <v>#VALUE!</v>
      </c>
      <c r="J133" s="37" t="e">
        <f t="shared" si="5"/>
        <v>#VALUE!</v>
      </c>
      <c r="M133" s="66"/>
      <c r="N133" t="s">
        <v>2517</v>
      </c>
      <c r="O133" s="66">
        <v>3494715.82</v>
      </c>
    </row>
    <row r="134" spans="1:15" hidden="1" x14ac:dyDescent="0.35">
      <c r="A134" s="2" t="s">
        <v>1209</v>
      </c>
      <c r="B134" s="2" t="s">
        <v>789</v>
      </c>
      <c r="C134" s="18" t="s">
        <v>506</v>
      </c>
      <c r="D134" s="37" t="s">
        <v>507</v>
      </c>
      <c r="E134" s="18" t="s">
        <v>2445</v>
      </c>
      <c r="F134" s="19" t="s">
        <v>2517</v>
      </c>
      <c r="G134" s="108">
        <v>221958.12</v>
      </c>
      <c r="H134" s="37" t="e">
        <f t="shared" si="8"/>
        <v>#VALUE!</v>
      </c>
      <c r="I134" s="37" t="e">
        <f>IF(H134&lt;91,"1-90 DAYS",IF(H134&lt;121,"91-120DAYS",IF(H134&lt;181,"121-180 DAYS","More than 180 Days")))</f>
        <v>#VALUE!</v>
      </c>
      <c r="J134" s="37" t="e">
        <f t="shared" ref="J134:J197" si="9">IF(H134&lt;180,"0-180 DAYS","More than 180 Days")</f>
        <v>#VALUE!</v>
      </c>
      <c r="M134" s="66"/>
      <c r="N134" t="s">
        <v>2517</v>
      </c>
      <c r="O134" s="66">
        <v>221958.12</v>
      </c>
    </row>
    <row r="135" spans="1:15" hidden="1" x14ac:dyDescent="0.35">
      <c r="A135" s="2" t="s">
        <v>1085</v>
      </c>
      <c r="B135" s="2" t="s">
        <v>790</v>
      </c>
      <c r="C135" s="18" t="s">
        <v>600</v>
      </c>
      <c r="D135" s="37" t="s">
        <v>507</v>
      </c>
      <c r="E135" s="18" t="s">
        <v>2446</v>
      </c>
      <c r="F135" s="19" t="s">
        <v>2518</v>
      </c>
      <c r="G135" s="108">
        <v>3793740.27</v>
      </c>
      <c r="H135" s="37" t="e">
        <f t="shared" si="8"/>
        <v>#VALUE!</v>
      </c>
      <c r="I135" s="37" t="e">
        <f t="shared" ref="I135:I180" si="10">IF(H135&lt;121,"0-120 DAYS",IF(H135&lt;181,"121-180 DAYS","More than 180 Days"))</f>
        <v>#VALUE!</v>
      </c>
      <c r="J135" s="37" t="e">
        <f t="shared" si="9"/>
        <v>#VALUE!</v>
      </c>
      <c r="K135" t="s">
        <v>1730</v>
      </c>
      <c r="M135" s="66"/>
      <c r="N135" t="s">
        <v>2518</v>
      </c>
      <c r="O135" s="66">
        <v>3793740.27</v>
      </c>
    </row>
    <row r="136" spans="1:15" hidden="1" x14ac:dyDescent="0.35">
      <c r="A136" s="2" t="s">
        <v>1085</v>
      </c>
      <c r="B136" s="2" t="s">
        <v>790</v>
      </c>
      <c r="C136" s="18" t="s">
        <v>584</v>
      </c>
      <c r="D136" s="37" t="s">
        <v>507</v>
      </c>
      <c r="E136" s="18" t="s">
        <v>2447</v>
      </c>
      <c r="F136" s="19" t="s">
        <v>2518</v>
      </c>
      <c r="G136" s="108">
        <v>3381682.59</v>
      </c>
      <c r="H136" s="37" t="e">
        <f t="shared" si="8"/>
        <v>#VALUE!</v>
      </c>
      <c r="I136" s="37" t="e">
        <f t="shared" si="10"/>
        <v>#VALUE!</v>
      </c>
      <c r="J136" s="37" t="e">
        <f t="shared" si="9"/>
        <v>#VALUE!</v>
      </c>
      <c r="K136" t="s">
        <v>1730</v>
      </c>
      <c r="M136" s="66"/>
      <c r="N136" t="s">
        <v>2518</v>
      </c>
      <c r="O136" s="66">
        <v>3381682.59</v>
      </c>
    </row>
    <row r="137" spans="1:15" hidden="1" x14ac:dyDescent="0.35">
      <c r="A137" s="2" t="s">
        <v>1085</v>
      </c>
      <c r="B137" s="2" t="s">
        <v>790</v>
      </c>
      <c r="C137" s="18" t="s">
        <v>606</v>
      </c>
      <c r="D137" s="37" t="s">
        <v>507</v>
      </c>
      <c r="E137" s="18" t="s">
        <v>2448</v>
      </c>
      <c r="F137" s="19" t="s">
        <v>2508</v>
      </c>
      <c r="G137" s="108">
        <v>3099962.6</v>
      </c>
      <c r="H137" s="37" t="e">
        <f t="shared" si="8"/>
        <v>#VALUE!</v>
      </c>
      <c r="I137" s="37" t="e">
        <f t="shared" si="10"/>
        <v>#VALUE!</v>
      </c>
      <c r="J137" s="37" t="e">
        <f t="shared" si="9"/>
        <v>#VALUE!</v>
      </c>
      <c r="K137" t="s">
        <v>1730</v>
      </c>
      <c r="M137" s="66"/>
      <c r="N137" t="s">
        <v>2508</v>
      </c>
      <c r="O137" s="66">
        <v>3099962.6</v>
      </c>
    </row>
    <row r="138" spans="1:15" hidden="1" x14ac:dyDescent="0.35">
      <c r="A138" s="2" t="s">
        <v>1085</v>
      </c>
      <c r="B138" s="2" t="s">
        <v>790</v>
      </c>
      <c r="C138" s="18" t="s">
        <v>577</v>
      </c>
      <c r="D138" s="37" t="s">
        <v>507</v>
      </c>
      <c r="E138" s="18" t="s">
        <v>2449</v>
      </c>
      <c r="F138" s="19" t="s">
        <v>2508</v>
      </c>
      <c r="G138" s="108">
        <v>4443120</v>
      </c>
      <c r="H138" s="37" t="e">
        <f t="shared" si="8"/>
        <v>#VALUE!</v>
      </c>
      <c r="I138" s="37" t="e">
        <f t="shared" si="10"/>
        <v>#VALUE!</v>
      </c>
      <c r="J138" s="37" t="e">
        <f t="shared" si="9"/>
        <v>#VALUE!</v>
      </c>
      <c r="K138" t="s">
        <v>1730</v>
      </c>
      <c r="M138" s="66"/>
      <c r="N138" t="s">
        <v>2508</v>
      </c>
      <c r="O138" s="66">
        <v>4443120</v>
      </c>
    </row>
    <row r="139" spans="1:15" hidden="1" x14ac:dyDescent="0.35">
      <c r="A139" s="2" t="s">
        <v>1085</v>
      </c>
      <c r="B139" s="2" t="s">
        <v>790</v>
      </c>
      <c r="C139" s="18" t="s">
        <v>1328</v>
      </c>
      <c r="D139" s="37" t="s">
        <v>507</v>
      </c>
      <c r="E139" s="18" t="s">
        <v>2450</v>
      </c>
      <c r="F139" s="19" t="s">
        <v>2520</v>
      </c>
      <c r="G139" s="108">
        <v>3650518.08</v>
      </c>
      <c r="H139" s="37" t="e">
        <f t="shared" si="8"/>
        <v>#VALUE!</v>
      </c>
      <c r="I139" s="37" t="e">
        <f t="shared" si="10"/>
        <v>#VALUE!</v>
      </c>
      <c r="J139" s="37" t="e">
        <f t="shared" si="9"/>
        <v>#VALUE!</v>
      </c>
      <c r="K139" t="s">
        <v>1730</v>
      </c>
      <c r="M139" s="66"/>
      <c r="N139" t="s">
        <v>2520</v>
      </c>
      <c r="O139" s="66">
        <v>3650518.08</v>
      </c>
    </row>
    <row r="140" spans="1:15" hidden="1" x14ac:dyDescent="0.35">
      <c r="A140" s="2" t="s">
        <v>1085</v>
      </c>
      <c r="B140" s="2" t="s">
        <v>790</v>
      </c>
      <c r="C140" s="18" t="s">
        <v>536</v>
      </c>
      <c r="D140" s="37" t="s">
        <v>507</v>
      </c>
      <c r="E140" s="18" t="s">
        <v>2451</v>
      </c>
      <c r="F140" s="19" t="s">
        <v>2509</v>
      </c>
      <c r="G140" s="108">
        <v>3296076.3</v>
      </c>
      <c r="H140" s="37" t="e">
        <f t="shared" si="8"/>
        <v>#VALUE!</v>
      </c>
      <c r="I140" s="37" t="e">
        <f t="shared" si="10"/>
        <v>#VALUE!</v>
      </c>
      <c r="J140" s="37" t="e">
        <f t="shared" si="9"/>
        <v>#VALUE!</v>
      </c>
      <c r="K140" t="s">
        <v>1730</v>
      </c>
      <c r="M140" s="66"/>
      <c r="N140" t="s">
        <v>2509</v>
      </c>
      <c r="O140" s="66">
        <v>3296076.3</v>
      </c>
    </row>
    <row r="141" spans="1:15" hidden="1" x14ac:dyDescent="0.35">
      <c r="A141" s="2" t="s">
        <v>1085</v>
      </c>
      <c r="B141" s="2" t="s">
        <v>790</v>
      </c>
      <c r="C141" s="18" t="s">
        <v>653</v>
      </c>
      <c r="D141" s="37" t="s">
        <v>507</v>
      </c>
      <c r="E141" s="18" t="s">
        <v>2452</v>
      </c>
      <c r="F141" s="19" t="s">
        <v>2510</v>
      </c>
      <c r="G141" s="108">
        <v>4834850.8499999996</v>
      </c>
      <c r="H141" s="37" t="e">
        <f t="shared" si="8"/>
        <v>#VALUE!</v>
      </c>
      <c r="I141" s="37" t="e">
        <f t="shared" si="10"/>
        <v>#VALUE!</v>
      </c>
      <c r="J141" s="37" t="e">
        <f t="shared" si="9"/>
        <v>#VALUE!</v>
      </c>
      <c r="K141" t="s">
        <v>1730</v>
      </c>
      <c r="M141" s="66"/>
      <c r="N141" t="s">
        <v>2510</v>
      </c>
      <c r="O141" s="66">
        <v>4834850.8499999996</v>
      </c>
    </row>
    <row r="142" spans="1:15" hidden="1" x14ac:dyDescent="0.35">
      <c r="A142" s="2" t="s">
        <v>1085</v>
      </c>
      <c r="B142" s="2" t="s">
        <v>790</v>
      </c>
      <c r="C142" s="18" t="s">
        <v>650</v>
      </c>
      <c r="D142" s="37" t="s">
        <v>507</v>
      </c>
      <c r="E142" s="18" t="s">
        <v>1273</v>
      </c>
      <c r="F142" s="19" t="s">
        <v>2501</v>
      </c>
      <c r="G142" s="108">
        <v>2895334.47</v>
      </c>
      <c r="H142" s="37">
        <f t="shared" si="8"/>
        <v>298</v>
      </c>
      <c r="I142" s="37" t="str">
        <f t="shared" si="10"/>
        <v>More than 180 Days</v>
      </c>
      <c r="J142" s="37" t="str">
        <f t="shared" si="9"/>
        <v>More than 180 Days</v>
      </c>
      <c r="K142" t="s">
        <v>1730</v>
      </c>
      <c r="M142" s="66"/>
      <c r="N142" t="s">
        <v>2501</v>
      </c>
      <c r="O142" s="66">
        <v>2895334.47</v>
      </c>
    </row>
    <row r="143" spans="1:15" hidden="1" x14ac:dyDescent="0.35">
      <c r="A143" s="2" t="s">
        <v>1085</v>
      </c>
      <c r="B143" s="2" t="s">
        <v>790</v>
      </c>
      <c r="C143" s="18" t="s">
        <v>1086</v>
      </c>
      <c r="D143" s="37" t="s">
        <v>507</v>
      </c>
      <c r="E143" s="18" t="s">
        <v>2456</v>
      </c>
      <c r="F143" s="19" t="s">
        <v>2502</v>
      </c>
      <c r="G143" s="108">
        <v>3001173.12</v>
      </c>
      <c r="H143" s="37">
        <f t="shared" si="8"/>
        <v>267</v>
      </c>
      <c r="I143" s="37" t="str">
        <f t="shared" si="10"/>
        <v>More than 180 Days</v>
      </c>
      <c r="J143" s="37" t="str">
        <f t="shared" si="9"/>
        <v>More than 180 Days</v>
      </c>
      <c r="K143" t="s">
        <v>1730</v>
      </c>
      <c r="M143" s="66"/>
      <c r="N143" t="s">
        <v>2502</v>
      </c>
      <c r="O143" s="66">
        <v>3001173.12</v>
      </c>
    </row>
    <row r="144" spans="1:15" hidden="1" x14ac:dyDescent="0.35">
      <c r="A144" s="2" t="s">
        <v>1085</v>
      </c>
      <c r="B144" s="2" t="s">
        <v>790</v>
      </c>
      <c r="C144" s="18" t="s">
        <v>1086</v>
      </c>
      <c r="D144" s="37" t="s">
        <v>507</v>
      </c>
      <c r="E144" s="18" t="s">
        <v>2457</v>
      </c>
      <c r="F144" s="19" t="s">
        <v>2502</v>
      </c>
      <c r="G144" s="108">
        <v>29812.13</v>
      </c>
      <c r="H144" s="37">
        <f t="shared" si="8"/>
        <v>267</v>
      </c>
      <c r="I144" s="37" t="str">
        <f t="shared" si="10"/>
        <v>More than 180 Days</v>
      </c>
      <c r="J144" s="37" t="str">
        <f t="shared" si="9"/>
        <v>More than 180 Days</v>
      </c>
      <c r="K144" t="s">
        <v>1730</v>
      </c>
      <c r="M144" s="66"/>
      <c r="N144" t="s">
        <v>2502</v>
      </c>
      <c r="O144" s="66">
        <v>29812.13</v>
      </c>
    </row>
    <row r="145" spans="1:15" hidden="1" x14ac:dyDescent="0.35">
      <c r="A145" s="2" t="s">
        <v>1085</v>
      </c>
      <c r="B145" s="2" t="s">
        <v>790</v>
      </c>
      <c r="C145" s="18" t="s">
        <v>1086</v>
      </c>
      <c r="D145" s="37" t="s">
        <v>507</v>
      </c>
      <c r="E145" s="18" t="s">
        <v>2458</v>
      </c>
      <c r="F145" s="19" t="s">
        <v>2502</v>
      </c>
      <c r="G145" s="108">
        <v>2237221.52</v>
      </c>
      <c r="H145" s="37">
        <f t="shared" si="8"/>
        <v>267</v>
      </c>
      <c r="I145" s="37" t="str">
        <f t="shared" si="10"/>
        <v>More than 180 Days</v>
      </c>
      <c r="J145" s="37" t="str">
        <f t="shared" si="9"/>
        <v>More than 180 Days</v>
      </c>
      <c r="K145" t="s">
        <v>1730</v>
      </c>
      <c r="M145" s="66"/>
      <c r="N145" t="s">
        <v>2502</v>
      </c>
      <c r="O145" s="66">
        <v>2237221.52</v>
      </c>
    </row>
    <row r="146" spans="1:15" hidden="1" x14ac:dyDescent="0.35">
      <c r="A146" s="2" t="s">
        <v>1085</v>
      </c>
      <c r="B146" s="2" t="s">
        <v>790</v>
      </c>
      <c r="C146" s="18" t="s">
        <v>650</v>
      </c>
      <c r="D146" s="37" t="s">
        <v>507</v>
      </c>
      <c r="E146" s="18" t="s">
        <v>1281</v>
      </c>
      <c r="F146" s="19" t="s">
        <v>2502</v>
      </c>
      <c r="G146" s="108">
        <v>3468735.27</v>
      </c>
      <c r="H146" s="37">
        <f t="shared" si="8"/>
        <v>267</v>
      </c>
      <c r="I146" s="37" t="str">
        <f t="shared" si="10"/>
        <v>More than 180 Days</v>
      </c>
      <c r="J146" s="37" t="str">
        <f t="shared" si="9"/>
        <v>More than 180 Days</v>
      </c>
      <c r="K146" t="s">
        <v>1730</v>
      </c>
      <c r="M146" s="66"/>
      <c r="N146" t="s">
        <v>2502</v>
      </c>
      <c r="O146" s="66">
        <v>3468735.27</v>
      </c>
    </row>
    <row r="147" spans="1:15" hidden="1" x14ac:dyDescent="0.35">
      <c r="A147" s="2" t="s">
        <v>1085</v>
      </c>
      <c r="B147" s="2" t="s">
        <v>790</v>
      </c>
      <c r="C147" s="18" t="s">
        <v>1249</v>
      </c>
      <c r="D147" s="37" t="s">
        <v>507</v>
      </c>
      <c r="E147" s="18" t="s">
        <v>2459</v>
      </c>
      <c r="F147" s="19" t="s">
        <v>2524</v>
      </c>
      <c r="G147" s="108">
        <v>3312696</v>
      </c>
      <c r="H147" s="37">
        <f t="shared" si="8"/>
        <v>176</v>
      </c>
      <c r="I147" s="37" t="str">
        <f t="shared" si="10"/>
        <v>121-180 DAYS</v>
      </c>
      <c r="J147" s="37" t="str">
        <f t="shared" si="9"/>
        <v>0-180 DAYS</v>
      </c>
      <c r="K147" t="s">
        <v>1730</v>
      </c>
      <c r="M147" s="66"/>
      <c r="N147" t="s">
        <v>2524</v>
      </c>
      <c r="O147" s="66">
        <v>3312696</v>
      </c>
    </row>
    <row r="148" spans="1:15" hidden="1" x14ac:dyDescent="0.35">
      <c r="A148" s="2" t="s">
        <v>1085</v>
      </c>
      <c r="B148" s="2" t="s">
        <v>790</v>
      </c>
      <c r="C148" s="18" t="s">
        <v>1086</v>
      </c>
      <c r="D148" s="37" t="s">
        <v>507</v>
      </c>
      <c r="E148" s="18" t="s">
        <v>2460</v>
      </c>
      <c r="F148" s="19" t="s">
        <v>2524</v>
      </c>
      <c r="G148" s="108">
        <v>24421.99</v>
      </c>
      <c r="H148" s="37">
        <f t="shared" si="8"/>
        <v>176</v>
      </c>
      <c r="I148" s="37" t="str">
        <f t="shared" si="10"/>
        <v>121-180 DAYS</v>
      </c>
      <c r="J148" s="37" t="str">
        <f t="shared" si="9"/>
        <v>0-180 DAYS</v>
      </c>
      <c r="K148" t="s">
        <v>1730</v>
      </c>
      <c r="M148" s="66"/>
      <c r="N148" t="s">
        <v>2524</v>
      </c>
      <c r="O148" s="66">
        <v>24421.99</v>
      </c>
    </row>
    <row r="149" spans="1:15" hidden="1" x14ac:dyDescent="0.35">
      <c r="A149" s="2" t="s">
        <v>1085</v>
      </c>
      <c r="B149" s="2" t="s">
        <v>790</v>
      </c>
      <c r="C149" s="18" t="s">
        <v>1086</v>
      </c>
      <c r="D149" s="37" t="s">
        <v>507</v>
      </c>
      <c r="E149" s="18" t="s">
        <v>2461</v>
      </c>
      <c r="F149" s="19" t="s">
        <v>2524</v>
      </c>
      <c r="G149" s="108">
        <v>63983.09</v>
      </c>
      <c r="H149" s="37">
        <f t="shared" si="8"/>
        <v>176</v>
      </c>
      <c r="I149" s="37" t="str">
        <f t="shared" si="10"/>
        <v>121-180 DAYS</v>
      </c>
      <c r="J149" s="37" t="str">
        <f t="shared" si="9"/>
        <v>0-180 DAYS</v>
      </c>
      <c r="K149" t="s">
        <v>1730</v>
      </c>
      <c r="M149" s="66"/>
      <c r="N149" t="s">
        <v>2524</v>
      </c>
      <c r="O149" s="66">
        <v>63983.09</v>
      </c>
    </row>
    <row r="150" spans="1:15" hidden="1" x14ac:dyDescent="0.35">
      <c r="A150" s="2" t="s">
        <v>1085</v>
      </c>
      <c r="B150" s="2" t="s">
        <v>790</v>
      </c>
      <c r="C150" s="18" t="s">
        <v>650</v>
      </c>
      <c r="D150" s="37" t="s">
        <v>507</v>
      </c>
      <c r="E150" s="18" t="s">
        <v>2463</v>
      </c>
      <c r="F150" s="19" t="s">
        <v>2524</v>
      </c>
      <c r="G150" s="108">
        <v>2887120.8</v>
      </c>
      <c r="H150" s="37">
        <f t="shared" si="8"/>
        <v>176</v>
      </c>
      <c r="I150" s="37" t="str">
        <f t="shared" si="10"/>
        <v>121-180 DAYS</v>
      </c>
      <c r="J150" s="37" t="str">
        <f t="shared" si="9"/>
        <v>0-180 DAYS</v>
      </c>
      <c r="K150" t="s">
        <v>1730</v>
      </c>
      <c r="M150" s="66"/>
      <c r="N150" t="s">
        <v>2524</v>
      </c>
      <c r="O150" s="66">
        <v>2887120.8</v>
      </c>
    </row>
    <row r="151" spans="1:15" hidden="1" x14ac:dyDescent="0.35">
      <c r="A151" s="2" t="s">
        <v>1085</v>
      </c>
      <c r="B151" s="2" t="s">
        <v>790</v>
      </c>
      <c r="C151" s="18" t="s">
        <v>1086</v>
      </c>
      <c r="D151" s="37" t="s">
        <v>507</v>
      </c>
      <c r="E151" s="18" t="s">
        <v>2464</v>
      </c>
      <c r="F151" s="19" t="s">
        <v>2521</v>
      </c>
      <c r="G151" s="108">
        <v>1028226.25</v>
      </c>
      <c r="H151" s="37">
        <f t="shared" si="8"/>
        <v>145</v>
      </c>
      <c r="I151" s="37" t="str">
        <f t="shared" si="10"/>
        <v>121-180 DAYS</v>
      </c>
      <c r="J151" s="37" t="str">
        <f t="shared" si="9"/>
        <v>0-180 DAYS</v>
      </c>
      <c r="K151" t="s">
        <v>1730</v>
      </c>
      <c r="M151" s="66"/>
      <c r="N151" t="s">
        <v>2521</v>
      </c>
      <c r="O151" s="66">
        <v>1028226.25</v>
      </c>
    </row>
    <row r="152" spans="1:15" hidden="1" x14ac:dyDescent="0.35">
      <c r="A152" s="2" t="s">
        <v>1085</v>
      </c>
      <c r="B152" s="2" t="s">
        <v>790</v>
      </c>
      <c r="C152" s="18" t="s">
        <v>1086</v>
      </c>
      <c r="D152" s="37" t="s">
        <v>507</v>
      </c>
      <c r="E152" s="18" t="s">
        <v>2465</v>
      </c>
      <c r="F152" s="19" t="s">
        <v>2521</v>
      </c>
      <c r="G152" s="108">
        <v>1254493.2</v>
      </c>
      <c r="H152" s="37">
        <f t="shared" si="8"/>
        <v>145</v>
      </c>
      <c r="I152" s="37" t="str">
        <f t="shared" si="10"/>
        <v>121-180 DAYS</v>
      </c>
      <c r="J152" s="37" t="str">
        <f t="shared" si="9"/>
        <v>0-180 DAYS</v>
      </c>
      <c r="K152" t="s">
        <v>1730</v>
      </c>
      <c r="M152" s="66"/>
      <c r="N152" t="s">
        <v>2521</v>
      </c>
      <c r="O152" s="66">
        <v>1254493.2</v>
      </c>
    </row>
    <row r="153" spans="1:15" hidden="1" x14ac:dyDescent="0.35">
      <c r="A153" s="2" t="s">
        <v>1085</v>
      </c>
      <c r="B153" s="2" t="s">
        <v>790</v>
      </c>
      <c r="C153" s="18" t="s">
        <v>664</v>
      </c>
      <c r="D153" s="37" t="s">
        <v>507</v>
      </c>
      <c r="E153" s="18" t="s">
        <v>2467</v>
      </c>
      <c r="F153" s="19" t="s">
        <v>2653</v>
      </c>
      <c r="G153" s="108">
        <v>880027.27</v>
      </c>
      <c r="H153" s="37" t="e">
        <f t="shared" si="8"/>
        <v>#VALUE!</v>
      </c>
      <c r="I153" s="37" t="e">
        <f t="shared" si="10"/>
        <v>#VALUE!</v>
      </c>
      <c r="J153" s="37" t="e">
        <f t="shared" si="9"/>
        <v>#VALUE!</v>
      </c>
      <c r="K153" t="s">
        <v>1730</v>
      </c>
      <c r="M153" s="66"/>
      <c r="N153" t="s">
        <v>2653</v>
      </c>
      <c r="O153" s="66">
        <v>880027.27</v>
      </c>
    </row>
    <row r="154" spans="1:15" hidden="1" x14ac:dyDescent="0.35">
      <c r="A154" s="2" t="s">
        <v>1085</v>
      </c>
      <c r="B154" s="2" t="s">
        <v>790</v>
      </c>
      <c r="C154" s="18" t="s">
        <v>664</v>
      </c>
      <c r="D154" s="37" t="s">
        <v>507</v>
      </c>
      <c r="E154" s="18" t="s">
        <v>2468</v>
      </c>
      <c r="F154" s="19" t="s">
        <v>2653</v>
      </c>
      <c r="G154" s="108">
        <v>405377.04</v>
      </c>
      <c r="H154" s="37" t="e">
        <f t="shared" si="8"/>
        <v>#VALUE!</v>
      </c>
      <c r="I154" s="37" t="e">
        <f t="shared" si="10"/>
        <v>#VALUE!</v>
      </c>
      <c r="J154" s="37" t="e">
        <f t="shared" si="9"/>
        <v>#VALUE!</v>
      </c>
      <c r="K154" t="s">
        <v>1730</v>
      </c>
      <c r="M154" s="66"/>
      <c r="N154" t="s">
        <v>2653</v>
      </c>
      <c r="O154" s="66">
        <v>405377.04</v>
      </c>
    </row>
    <row r="155" spans="1:15" hidden="1" x14ac:dyDescent="0.35">
      <c r="A155" s="2" t="s">
        <v>1085</v>
      </c>
      <c r="B155" s="2" t="s">
        <v>790</v>
      </c>
      <c r="C155" s="18" t="s">
        <v>1086</v>
      </c>
      <c r="D155" s="37" t="s">
        <v>507</v>
      </c>
      <c r="E155" s="18" t="s">
        <v>2469</v>
      </c>
      <c r="F155" s="19" t="s">
        <v>2645</v>
      </c>
      <c r="G155" s="108">
        <v>2152352.7200000002</v>
      </c>
      <c r="H155" s="37" t="e">
        <f t="shared" si="8"/>
        <v>#VALUE!</v>
      </c>
      <c r="I155" s="37" t="e">
        <f t="shared" si="10"/>
        <v>#VALUE!</v>
      </c>
      <c r="J155" s="37" t="e">
        <f t="shared" si="9"/>
        <v>#VALUE!</v>
      </c>
      <c r="K155" t="s">
        <v>1730</v>
      </c>
      <c r="M155" s="66"/>
      <c r="N155" t="s">
        <v>2645</v>
      </c>
      <c r="O155" s="66">
        <v>2152352.7200000002</v>
      </c>
    </row>
    <row r="156" spans="1:15" hidden="1" x14ac:dyDescent="0.35">
      <c r="A156" s="2" t="s">
        <v>1085</v>
      </c>
      <c r="B156" s="2" t="s">
        <v>790</v>
      </c>
      <c r="C156" s="18" t="s">
        <v>650</v>
      </c>
      <c r="D156" s="37" t="s">
        <v>507</v>
      </c>
      <c r="E156" s="18" t="s">
        <v>2470</v>
      </c>
      <c r="F156" s="19" t="s">
        <v>2645</v>
      </c>
      <c r="G156" s="108">
        <v>2922468.26</v>
      </c>
      <c r="H156" s="37" t="e">
        <f t="shared" si="8"/>
        <v>#VALUE!</v>
      </c>
      <c r="I156" s="37" t="e">
        <f t="shared" si="10"/>
        <v>#VALUE!</v>
      </c>
      <c r="J156" s="37" t="e">
        <f t="shared" si="9"/>
        <v>#VALUE!</v>
      </c>
      <c r="K156" t="s">
        <v>1730</v>
      </c>
      <c r="M156" s="66"/>
      <c r="N156" t="s">
        <v>2645</v>
      </c>
      <c r="O156" s="66">
        <v>2922468.26</v>
      </c>
    </row>
    <row r="157" spans="1:15" hidden="1" x14ac:dyDescent="0.35">
      <c r="A157" s="2" t="s">
        <v>1085</v>
      </c>
      <c r="B157" s="2" t="s">
        <v>790</v>
      </c>
      <c r="C157" s="18" t="s">
        <v>1086</v>
      </c>
      <c r="D157" s="37" t="s">
        <v>507</v>
      </c>
      <c r="E157" s="18" t="s">
        <v>2471</v>
      </c>
      <c r="F157" s="19" t="s">
        <v>2515</v>
      </c>
      <c r="G157" s="108">
        <v>2705326.83</v>
      </c>
      <c r="H157" s="37" t="e">
        <f t="shared" si="8"/>
        <v>#VALUE!</v>
      </c>
      <c r="I157" s="37" t="e">
        <f t="shared" si="10"/>
        <v>#VALUE!</v>
      </c>
      <c r="J157" s="37" t="e">
        <f t="shared" si="9"/>
        <v>#VALUE!</v>
      </c>
      <c r="K157" t="s">
        <v>1730</v>
      </c>
      <c r="M157" s="66"/>
      <c r="N157" t="s">
        <v>2515</v>
      </c>
      <c r="O157" s="66">
        <v>2705326.83</v>
      </c>
    </row>
    <row r="158" spans="1:15" hidden="1" x14ac:dyDescent="0.35">
      <c r="A158" s="2" t="s">
        <v>1085</v>
      </c>
      <c r="B158" s="2" t="s">
        <v>790</v>
      </c>
      <c r="C158" s="18" t="s">
        <v>650</v>
      </c>
      <c r="D158" s="37" t="s">
        <v>507</v>
      </c>
      <c r="E158" s="18" t="s">
        <v>2472</v>
      </c>
      <c r="F158" s="19" t="s">
        <v>2515</v>
      </c>
      <c r="G158" s="108">
        <v>5591538.9299999997</v>
      </c>
      <c r="H158" s="37" t="e">
        <f t="shared" si="8"/>
        <v>#VALUE!</v>
      </c>
      <c r="I158" s="37" t="e">
        <f t="shared" si="10"/>
        <v>#VALUE!</v>
      </c>
      <c r="J158" s="37" t="e">
        <f t="shared" si="9"/>
        <v>#VALUE!</v>
      </c>
      <c r="K158" t="s">
        <v>1730</v>
      </c>
      <c r="M158" s="66"/>
      <c r="N158" t="s">
        <v>2515</v>
      </c>
      <c r="O158" s="66">
        <v>5591538.9299999997</v>
      </c>
    </row>
    <row r="159" spans="1:15" hidden="1" x14ac:dyDescent="0.35">
      <c r="A159" s="2" t="s">
        <v>1085</v>
      </c>
      <c r="B159" s="2" t="s">
        <v>790</v>
      </c>
      <c r="C159" s="18" t="s">
        <v>1086</v>
      </c>
      <c r="D159" s="37" t="s">
        <v>507</v>
      </c>
      <c r="E159" s="18" t="s">
        <v>2473</v>
      </c>
      <c r="F159" s="19" t="s">
        <v>2516</v>
      </c>
      <c r="G159" s="108">
        <v>2577757.2599999998</v>
      </c>
      <c r="H159" s="37" t="e">
        <f t="shared" si="8"/>
        <v>#VALUE!</v>
      </c>
      <c r="I159" s="37" t="e">
        <f t="shared" si="10"/>
        <v>#VALUE!</v>
      </c>
      <c r="J159" s="37" t="e">
        <f t="shared" si="9"/>
        <v>#VALUE!</v>
      </c>
      <c r="K159" t="s">
        <v>1730</v>
      </c>
      <c r="M159" s="66"/>
      <c r="N159" t="s">
        <v>2516</v>
      </c>
      <c r="O159" s="66">
        <v>2577757.2599999998</v>
      </c>
    </row>
    <row r="160" spans="1:15" hidden="1" x14ac:dyDescent="0.35">
      <c r="A160" s="2" t="s">
        <v>1085</v>
      </c>
      <c r="B160" s="2" t="s">
        <v>790</v>
      </c>
      <c r="C160" s="18" t="s">
        <v>650</v>
      </c>
      <c r="D160" s="37" t="s">
        <v>507</v>
      </c>
      <c r="E160" s="18" t="s">
        <v>2474</v>
      </c>
      <c r="F160" s="19" t="s">
        <v>2518</v>
      </c>
      <c r="G160" s="108">
        <v>3071304.08</v>
      </c>
      <c r="H160" s="37" t="e">
        <f t="shared" si="8"/>
        <v>#VALUE!</v>
      </c>
      <c r="I160" s="37" t="e">
        <f t="shared" si="10"/>
        <v>#VALUE!</v>
      </c>
      <c r="J160" s="37" t="e">
        <f t="shared" si="9"/>
        <v>#VALUE!</v>
      </c>
      <c r="K160" t="s">
        <v>1730</v>
      </c>
      <c r="M160" s="66"/>
      <c r="N160" t="s">
        <v>2518</v>
      </c>
      <c r="O160" s="66">
        <v>3071304.08</v>
      </c>
    </row>
    <row r="161" spans="1:15" hidden="1" x14ac:dyDescent="0.35">
      <c r="A161" s="2" t="s">
        <v>1085</v>
      </c>
      <c r="B161" s="2" t="s">
        <v>790</v>
      </c>
      <c r="C161" s="18" t="s">
        <v>600</v>
      </c>
      <c r="D161" s="37" t="s">
        <v>507</v>
      </c>
      <c r="E161" s="18" t="s">
        <v>2475</v>
      </c>
      <c r="F161" s="19" t="s">
        <v>2519</v>
      </c>
      <c r="G161" s="108">
        <v>3592090.16</v>
      </c>
      <c r="H161" s="37" t="e">
        <f t="shared" si="8"/>
        <v>#VALUE!</v>
      </c>
      <c r="I161" s="37" t="e">
        <f t="shared" si="10"/>
        <v>#VALUE!</v>
      </c>
      <c r="J161" s="37" t="e">
        <f t="shared" si="9"/>
        <v>#VALUE!</v>
      </c>
      <c r="K161" t="s">
        <v>1730</v>
      </c>
      <c r="M161" s="66"/>
      <c r="N161" t="s">
        <v>2519</v>
      </c>
      <c r="O161" s="66">
        <v>3592090.16</v>
      </c>
    </row>
    <row r="162" spans="1:15" hidden="1" x14ac:dyDescent="0.35">
      <c r="A162" s="2" t="s">
        <v>1085</v>
      </c>
      <c r="B162" s="2" t="s">
        <v>790</v>
      </c>
      <c r="C162" s="18" t="s">
        <v>650</v>
      </c>
      <c r="D162" s="37" t="s">
        <v>507</v>
      </c>
      <c r="E162" s="18" t="s">
        <v>2476</v>
      </c>
      <c r="F162" s="19" t="s">
        <v>2646</v>
      </c>
      <c r="G162" s="108">
        <v>2920872.15</v>
      </c>
      <c r="H162" s="37" t="e">
        <f t="shared" si="8"/>
        <v>#VALUE!</v>
      </c>
      <c r="I162" s="37" t="e">
        <f t="shared" si="10"/>
        <v>#VALUE!</v>
      </c>
      <c r="J162" s="37" t="e">
        <f t="shared" si="9"/>
        <v>#VALUE!</v>
      </c>
      <c r="K162" t="s">
        <v>1730</v>
      </c>
      <c r="M162" s="66"/>
      <c r="N162" t="s">
        <v>2646</v>
      </c>
      <c r="O162" s="66">
        <v>2920872.15</v>
      </c>
    </row>
    <row r="163" spans="1:15" hidden="1" x14ac:dyDescent="0.35">
      <c r="A163" s="2" t="s">
        <v>1085</v>
      </c>
      <c r="B163" s="2" t="s">
        <v>790</v>
      </c>
      <c r="C163" s="18" t="s">
        <v>570</v>
      </c>
      <c r="D163" s="37" t="s">
        <v>507</v>
      </c>
      <c r="E163" s="18" t="s">
        <v>2477</v>
      </c>
      <c r="F163" s="19" t="s">
        <v>2509</v>
      </c>
      <c r="G163" s="108">
        <v>3143568</v>
      </c>
      <c r="H163" s="37" t="e">
        <f t="shared" si="8"/>
        <v>#VALUE!</v>
      </c>
      <c r="I163" s="37" t="e">
        <f t="shared" si="10"/>
        <v>#VALUE!</v>
      </c>
      <c r="J163" s="37" t="e">
        <f t="shared" si="9"/>
        <v>#VALUE!</v>
      </c>
      <c r="K163" t="s">
        <v>1730</v>
      </c>
      <c r="M163" s="66"/>
      <c r="N163" t="s">
        <v>2509</v>
      </c>
      <c r="O163" s="66">
        <v>3143568</v>
      </c>
    </row>
    <row r="164" spans="1:15" hidden="1" x14ac:dyDescent="0.35">
      <c r="A164" s="2" t="s">
        <v>1085</v>
      </c>
      <c r="B164" s="2" t="s">
        <v>790</v>
      </c>
      <c r="C164" s="18" t="s">
        <v>538</v>
      </c>
      <c r="D164" s="37" t="s">
        <v>507</v>
      </c>
      <c r="E164" s="18" t="s">
        <v>2478</v>
      </c>
      <c r="F164" s="19" t="s">
        <v>2509</v>
      </c>
      <c r="G164" s="108">
        <v>3052440</v>
      </c>
      <c r="H164" s="37" t="e">
        <f t="shared" si="8"/>
        <v>#VALUE!</v>
      </c>
      <c r="I164" s="37" t="e">
        <f t="shared" si="10"/>
        <v>#VALUE!</v>
      </c>
      <c r="J164" s="37" t="e">
        <f t="shared" si="9"/>
        <v>#VALUE!</v>
      </c>
      <c r="K164" t="s">
        <v>1730</v>
      </c>
      <c r="M164" s="66"/>
      <c r="N164" t="s">
        <v>2509</v>
      </c>
      <c r="O164" s="66">
        <v>3052440</v>
      </c>
    </row>
    <row r="165" spans="1:15" hidden="1" x14ac:dyDescent="0.35">
      <c r="A165" s="2" t="s">
        <v>1085</v>
      </c>
      <c r="B165" s="2" t="s">
        <v>790</v>
      </c>
      <c r="C165" s="18" t="s">
        <v>1086</v>
      </c>
      <c r="D165" s="37" t="s">
        <v>507</v>
      </c>
      <c r="E165" s="18" t="s">
        <v>2479</v>
      </c>
      <c r="F165" s="19" t="s">
        <v>2510</v>
      </c>
      <c r="G165" s="108">
        <v>2173608.9900000002</v>
      </c>
      <c r="H165" s="37" t="e">
        <f t="shared" si="8"/>
        <v>#VALUE!</v>
      </c>
      <c r="I165" s="37" t="e">
        <f t="shared" si="10"/>
        <v>#VALUE!</v>
      </c>
      <c r="J165" s="37" t="e">
        <f t="shared" si="9"/>
        <v>#VALUE!</v>
      </c>
      <c r="K165" t="s">
        <v>1730</v>
      </c>
      <c r="M165" s="66"/>
      <c r="N165" t="s">
        <v>2510</v>
      </c>
      <c r="O165" s="66">
        <v>2173608.9900000002</v>
      </c>
    </row>
    <row r="166" spans="1:15" hidden="1" x14ac:dyDescent="0.35">
      <c r="A166" s="2" t="s">
        <v>1085</v>
      </c>
      <c r="B166" s="2" t="s">
        <v>790</v>
      </c>
      <c r="C166" s="18" t="s">
        <v>1086</v>
      </c>
      <c r="D166" s="37" t="s">
        <v>507</v>
      </c>
      <c r="E166" s="18" t="s">
        <v>2480</v>
      </c>
      <c r="F166" s="19" t="s">
        <v>2510</v>
      </c>
      <c r="G166" s="108">
        <v>187768.5</v>
      </c>
      <c r="H166" s="37" t="e">
        <f t="shared" si="8"/>
        <v>#VALUE!</v>
      </c>
      <c r="I166" s="37" t="e">
        <f t="shared" si="10"/>
        <v>#VALUE!</v>
      </c>
      <c r="J166" s="37" t="e">
        <f t="shared" si="9"/>
        <v>#VALUE!</v>
      </c>
      <c r="K166" t="s">
        <v>1730</v>
      </c>
      <c r="M166" s="66"/>
      <c r="N166" t="s">
        <v>2510</v>
      </c>
      <c r="O166" s="66">
        <v>187768.5</v>
      </c>
    </row>
    <row r="167" spans="1:15" hidden="1" x14ac:dyDescent="0.35">
      <c r="A167" s="2" t="s">
        <v>1085</v>
      </c>
      <c r="B167" s="2" t="s">
        <v>790</v>
      </c>
      <c r="C167" s="18" t="s">
        <v>1086</v>
      </c>
      <c r="D167" s="37" t="s">
        <v>507</v>
      </c>
      <c r="E167" s="18" t="s">
        <v>2481</v>
      </c>
      <c r="F167" s="19" t="s">
        <v>2510</v>
      </c>
      <c r="G167" s="108">
        <v>128703.91</v>
      </c>
      <c r="H167" s="37" t="e">
        <f t="shared" si="8"/>
        <v>#VALUE!</v>
      </c>
      <c r="I167" s="37" t="e">
        <f t="shared" si="10"/>
        <v>#VALUE!</v>
      </c>
      <c r="J167" s="37" t="e">
        <f t="shared" si="9"/>
        <v>#VALUE!</v>
      </c>
      <c r="K167" t="s">
        <v>1730</v>
      </c>
      <c r="M167" s="66"/>
      <c r="N167" t="s">
        <v>2510</v>
      </c>
      <c r="O167" s="66">
        <v>128703.91</v>
      </c>
    </row>
    <row r="168" spans="1:15" hidden="1" x14ac:dyDescent="0.35">
      <c r="A168" s="2" t="s">
        <v>1085</v>
      </c>
      <c r="B168" s="2" t="s">
        <v>790</v>
      </c>
      <c r="C168" s="18" t="s">
        <v>650</v>
      </c>
      <c r="D168" s="37" t="s">
        <v>507</v>
      </c>
      <c r="E168" s="18" t="s">
        <v>2483</v>
      </c>
      <c r="F168" s="19" t="s">
        <v>2500</v>
      </c>
      <c r="G168" s="108">
        <v>3904488</v>
      </c>
      <c r="H168" s="37" t="e">
        <f t="shared" si="8"/>
        <v>#VALUE!</v>
      </c>
      <c r="I168" s="37" t="e">
        <f t="shared" si="10"/>
        <v>#VALUE!</v>
      </c>
      <c r="J168" s="37" t="e">
        <f t="shared" si="9"/>
        <v>#VALUE!</v>
      </c>
      <c r="K168" t="s">
        <v>1730</v>
      </c>
      <c r="M168" s="66"/>
      <c r="N168" t="s">
        <v>2500</v>
      </c>
      <c r="O168" s="66">
        <v>3904488</v>
      </c>
    </row>
    <row r="169" spans="1:15" hidden="1" x14ac:dyDescent="0.35">
      <c r="A169" s="2" t="s">
        <v>1085</v>
      </c>
      <c r="B169" s="2" t="s">
        <v>790</v>
      </c>
      <c r="C169" s="18" t="s">
        <v>1055</v>
      </c>
      <c r="D169" s="37" t="s">
        <v>507</v>
      </c>
      <c r="E169" s="18" t="s">
        <v>2484</v>
      </c>
      <c r="F169" s="19" t="s">
        <v>2501</v>
      </c>
      <c r="G169" s="108">
        <v>3230928</v>
      </c>
      <c r="H169" s="37">
        <f t="shared" si="8"/>
        <v>298</v>
      </c>
      <c r="I169" s="37" t="str">
        <f t="shared" si="10"/>
        <v>More than 180 Days</v>
      </c>
      <c r="J169" s="37" t="str">
        <f t="shared" si="9"/>
        <v>More than 180 Days</v>
      </c>
      <c r="K169" t="s">
        <v>1730</v>
      </c>
      <c r="M169" s="66"/>
      <c r="N169" t="s">
        <v>2501</v>
      </c>
      <c r="O169" s="66">
        <v>3230928</v>
      </c>
    </row>
    <row r="170" spans="1:15" hidden="1" x14ac:dyDescent="0.35">
      <c r="A170" s="2" t="s">
        <v>1085</v>
      </c>
      <c r="B170" s="2" t="s">
        <v>790</v>
      </c>
      <c r="C170" s="18" t="s">
        <v>540</v>
      </c>
      <c r="D170" s="37" t="s">
        <v>507</v>
      </c>
      <c r="E170" s="18" t="s">
        <v>2486</v>
      </c>
      <c r="F170" s="19" t="s">
        <v>2503</v>
      </c>
      <c r="G170" s="108">
        <v>1903105.34</v>
      </c>
      <c r="H170" s="37">
        <f t="shared" si="8"/>
        <v>237</v>
      </c>
      <c r="I170" s="37" t="str">
        <f t="shared" si="10"/>
        <v>More than 180 Days</v>
      </c>
      <c r="J170" s="37" t="str">
        <f t="shared" si="9"/>
        <v>More than 180 Days</v>
      </c>
      <c r="K170" t="s">
        <v>1730</v>
      </c>
      <c r="M170" s="66"/>
      <c r="N170" t="s">
        <v>2503</v>
      </c>
      <c r="O170" s="66">
        <v>1903105.34</v>
      </c>
    </row>
    <row r="171" spans="1:15" hidden="1" x14ac:dyDescent="0.35">
      <c r="A171" s="2" t="s">
        <v>1085</v>
      </c>
      <c r="B171" s="2" t="s">
        <v>790</v>
      </c>
      <c r="C171" s="18" t="s">
        <v>540</v>
      </c>
      <c r="D171" s="37" t="s">
        <v>507</v>
      </c>
      <c r="E171" s="18" t="s">
        <v>2487</v>
      </c>
      <c r="F171" s="19" t="s">
        <v>2503</v>
      </c>
      <c r="G171" s="108">
        <v>782196.8</v>
      </c>
      <c r="H171" s="37">
        <f t="shared" si="8"/>
        <v>237</v>
      </c>
      <c r="I171" s="37" t="str">
        <f t="shared" si="10"/>
        <v>More than 180 Days</v>
      </c>
      <c r="J171" s="37" t="str">
        <f t="shared" si="9"/>
        <v>More than 180 Days</v>
      </c>
      <c r="K171" t="s">
        <v>1730</v>
      </c>
      <c r="M171" s="66"/>
      <c r="N171" t="s">
        <v>2503</v>
      </c>
      <c r="O171" s="66">
        <v>782196.8</v>
      </c>
    </row>
    <row r="172" spans="1:15" hidden="1" x14ac:dyDescent="0.35">
      <c r="A172" s="2" t="s">
        <v>1085</v>
      </c>
      <c r="B172" s="2" t="s">
        <v>790</v>
      </c>
      <c r="C172" s="18" t="s">
        <v>584</v>
      </c>
      <c r="D172" s="37" t="s">
        <v>507</v>
      </c>
      <c r="E172" s="18" t="s">
        <v>2491</v>
      </c>
      <c r="F172" s="19" t="s">
        <v>2515</v>
      </c>
      <c r="G172" s="108">
        <v>3253795.88</v>
      </c>
      <c r="H172" s="37" t="e">
        <f t="shared" si="8"/>
        <v>#VALUE!</v>
      </c>
      <c r="I172" s="37" t="e">
        <f t="shared" si="10"/>
        <v>#VALUE!</v>
      </c>
      <c r="J172" s="37" t="e">
        <f t="shared" si="9"/>
        <v>#VALUE!</v>
      </c>
      <c r="K172" t="s">
        <v>1730</v>
      </c>
      <c r="M172" s="66"/>
      <c r="N172" t="s">
        <v>2515</v>
      </c>
      <c r="O172" s="66">
        <v>3253795.88</v>
      </c>
    </row>
    <row r="173" spans="1:15" hidden="1" x14ac:dyDescent="0.35">
      <c r="A173" s="2" t="s">
        <v>1085</v>
      </c>
      <c r="B173" s="2" t="s">
        <v>790</v>
      </c>
      <c r="C173" s="18" t="s">
        <v>1055</v>
      </c>
      <c r="D173" s="37" t="s">
        <v>507</v>
      </c>
      <c r="E173" s="18" t="s">
        <v>2492</v>
      </c>
      <c r="F173" s="19" t="s">
        <v>2508</v>
      </c>
      <c r="G173" s="108">
        <v>3223152</v>
      </c>
      <c r="H173" s="37" t="e">
        <f t="shared" si="8"/>
        <v>#VALUE!</v>
      </c>
      <c r="I173" s="37" t="e">
        <f t="shared" si="10"/>
        <v>#VALUE!</v>
      </c>
      <c r="J173" s="37" t="e">
        <f t="shared" si="9"/>
        <v>#VALUE!</v>
      </c>
      <c r="K173" t="s">
        <v>1730</v>
      </c>
      <c r="M173" s="66"/>
      <c r="N173" t="s">
        <v>2508</v>
      </c>
      <c r="O173" s="66">
        <v>3223152</v>
      </c>
    </row>
    <row r="174" spans="1:15" hidden="1" x14ac:dyDescent="0.35">
      <c r="A174" s="2" t="s">
        <v>1085</v>
      </c>
      <c r="B174" s="2" t="s">
        <v>790</v>
      </c>
      <c r="C174" s="18" t="s">
        <v>584</v>
      </c>
      <c r="D174" s="37" t="s">
        <v>507</v>
      </c>
      <c r="E174" s="18" t="s">
        <v>2493</v>
      </c>
      <c r="F174" s="19" t="s">
        <v>2508</v>
      </c>
      <c r="G174" s="108">
        <v>3598780.19</v>
      </c>
      <c r="H174" s="37" t="e">
        <f t="shared" si="8"/>
        <v>#VALUE!</v>
      </c>
      <c r="I174" s="37" t="e">
        <f t="shared" si="10"/>
        <v>#VALUE!</v>
      </c>
      <c r="J174" s="37" t="e">
        <f t="shared" si="9"/>
        <v>#VALUE!</v>
      </c>
      <c r="K174" t="s">
        <v>1730</v>
      </c>
      <c r="M174" s="66"/>
      <c r="N174" t="s">
        <v>2508</v>
      </c>
      <c r="O174" s="66">
        <v>3598780.19</v>
      </c>
    </row>
    <row r="175" spans="1:15" hidden="1" x14ac:dyDescent="0.35">
      <c r="A175" s="2" t="s">
        <v>1085</v>
      </c>
      <c r="B175" s="2" t="s">
        <v>790</v>
      </c>
      <c r="C175" s="18" t="s">
        <v>584</v>
      </c>
      <c r="D175" s="37" t="s">
        <v>507</v>
      </c>
      <c r="E175" s="18" t="s">
        <v>2496</v>
      </c>
      <c r="F175" s="19" t="s">
        <v>2509</v>
      </c>
      <c r="G175" s="108">
        <v>3199329.54</v>
      </c>
      <c r="H175" s="37" t="e">
        <f t="shared" si="8"/>
        <v>#VALUE!</v>
      </c>
      <c r="I175" s="37" t="e">
        <f t="shared" si="10"/>
        <v>#VALUE!</v>
      </c>
      <c r="J175" s="37" t="e">
        <f t="shared" si="9"/>
        <v>#VALUE!</v>
      </c>
      <c r="K175" t="s">
        <v>1730</v>
      </c>
      <c r="M175" s="66"/>
      <c r="N175" t="s">
        <v>2509</v>
      </c>
      <c r="O175" s="66">
        <v>3199329.54</v>
      </c>
    </row>
    <row r="176" spans="1:15" hidden="1" x14ac:dyDescent="0.35">
      <c r="A176" s="2" t="s">
        <v>1085</v>
      </c>
      <c r="B176" s="2" t="s">
        <v>790</v>
      </c>
      <c r="C176" s="18" t="s">
        <v>584</v>
      </c>
      <c r="D176" s="37" t="s">
        <v>507</v>
      </c>
      <c r="E176" s="18" t="s">
        <v>2497</v>
      </c>
      <c r="F176" s="19" t="s">
        <v>2511</v>
      </c>
      <c r="G176" s="108">
        <v>3624104.88</v>
      </c>
      <c r="H176" s="37" t="e">
        <f t="shared" si="8"/>
        <v>#VALUE!</v>
      </c>
      <c r="I176" s="37" t="e">
        <f t="shared" si="10"/>
        <v>#VALUE!</v>
      </c>
      <c r="J176" s="37" t="e">
        <f t="shared" si="9"/>
        <v>#VALUE!</v>
      </c>
      <c r="K176" t="s">
        <v>1730</v>
      </c>
      <c r="M176" s="66"/>
      <c r="N176" t="s">
        <v>2511</v>
      </c>
      <c r="O176" s="66">
        <v>3624104.88</v>
      </c>
    </row>
    <row r="177" spans="1:15" hidden="1" x14ac:dyDescent="0.35">
      <c r="A177" s="2" t="s">
        <v>1085</v>
      </c>
      <c r="B177" s="2" t="s">
        <v>790</v>
      </c>
      <c r="C177" s="18" t="s">
        <v>538</v>
      </c>
      <c r="D177" s="37" t="s">
        <v>507</v>
      </c>
      <c r="E177" s="18" t="s">
        <v>778</v>
      </c>
      <c r="F177" s="19" t="s">
        <v>2514</v>
      </c>
      <c r="G177" s="108">
        <v>3265107.86</v>
      </c>
      <c r="H177" s="37">
        <f t="shared" si="8"/>
        <v>84</v>
      </c>
      <c r="I177" s="37" t="str">
        <f t="shared" si="10"/>
        <v>0-120 DAYS</v>
      </c>
      <c r="J177" s="37" t="str">
        <f t="shared" si="9"/>
        <v>0-180 DAYS</v>
      </c>
      <c r="K177" t="s">
        <v>1730</v>
      </c>
      <c r="M177" s="66"/>
      <c r="N177" t="s">
        <v>2514</v>
      </c>
      <c r="O177" s="66">
        <v>3265107.86</v>
      </c>
    </row>
    <row r="178" spans="1:15" hidden="1" x14ac:dyDescent="0.35">
      <c r="A178" s="2" t="s">
        <v>1085</v>
      </c>
      <c r="B178" s="2" t="s">
        <v>790</v>
      </c>
      <c r="C178" s="18" t="s">
        <v>548</v>
      </c>
      <c r="D178" s="37" t="s">
        <v>507</v>
      </c>
      <c r="E178" s="18" t="s">
        <v>820</v>
      </c>
      <c r="F178" s="19" t="s">
        <v>2505</v>
      </c>
      <c r="G178" s="108">
        <v>4635142.7</v>
      </c>
      <c r="H178" s="37">
        <f t="shared" si="8"/>
        <v>53</v>
      </c>
      <c r="I178" s="37" t="str">
        <f t="shared" si="10"/>
        <v>0-120 DAYS</v>
      </c>
      <c r="J178" s="37" t="str">
        <f t="shared" si="9"/>
        <v>0-180 DAYS</v>
      </c>
      <c r="K178" t="s">
        <v>1730</v>
      </c>
      <c r="M178" s="66"/>
      <c r="N178" t="s">
        <v>2505</v>
      </c>
      <c r="O178" s="66">
        <v>4635142.7</v>
      </c>
    </row>
    <row r="179" spans="1:15" hidden="1" x14ac:dyDescent="0.35">
      <c r="A179" s="2" t="s">
        <v>1085</v>
      </c>
      <c r="B179" s="2" t="s">
        <v>790</v>
      </c>
      <c r="C179" s="18" t="s">
        <v>538</v>
      </c>
      <c r="D179" s="37" t="s">
        <v>507</v>
      </c>
      <c r="E179" s="18" t="s">
        <v>823</v>
      </c>
      <c r="F179" s="19" t="s">
        <v>2518</v>
      </c>
      <c r="G179" s="108">
        <v>3375462.47</v>
      </c>
      <c r="H179" s="37" t="e">
        <f t="shared" si="8"/>
        <v>#VALUE!</v>
      </c>
      <c r="I179" s="37" t="e">
        <f t="shared" si="10"/>
        <v>#VALUE!</v>
      </c>
      <c r="J179" s="37" t="e">
        <f t="shared" si="9"/>
        <v>#VALUE!</v>
      </c>
      <c r="K179" t="s">
        <v>1730</v>
      </c>
      <c r="M179" s="66"/>
      <c r="N179" t="s">
        <v>2518</v>
      </c>
      <c r="O179" s="66">
        <v>3375462.47</v>
      </c>
    </row>
    <row r="180" spans="1:15" hidden="1" x14ac:dyDescent="0.35">
      <c r="A180" s="2" t="s">
        <v>1085</v>
      </c>
      <c r="B180" s="2" t="s">
        <v>790</v>
      </c>
      <c r="C180" s="18" t="s">
        <v>596</v>
      </c>
      <c r="D180" s="37" t="s">
        <v>507</v>
      </c>
      <c r="E180" s="18" t="s">
        <v>2498</v>
      </c>
      <c r="F180" s="19" t="s">
        <v>2509</v>
      </c>
      <c r="G180" s="108">
        <v>4118638.63</v>
      </c>
      <c r="H180" s="37" t="e">
        <f t="shared" si="8"/>
        <v>#VALUE!</v>
      </c>
      <c r="I180" s="37" t="e">
        <f t="shared" si="10"/>
        <v>#VALUE!</v>
      </c>
      <c r="J180" s="37" t="e">
        <f t="shared" si="9"/>
        <v>#VALUE!</v>
      </c>
      <c r="K180" t="s">
        <v>1730</v>
      </c>
      <c r="M180" s="66"/>
      <c r="N180" t="s">
        <v>2509</v>
      </c>
      <c r="O180" s="66">
        <v>4118638.63</v>
      </c>
    </row>
    <row r="181" spans="1:15" hidden="1" x14ac:dyDescent="0.35">
      <c r="A181" s="88" t="s">
        <v>477</v>
      </c>
      <c r="B181" s="2" t="s">
        <v>790</v>
      </c>
      <c r="C181" s="18" t="s">
        <v>2380</v>
      </c>
      <c r="D181" s="18" t="s">
        <v>1081</v>
      </c>
      <c r="E181" s="18" t="s">
        <v>101</v>
      </c>
      <c r="F181" s="19" t="s">
        <v>2655</v>
      </c>
      <c r="G181" s="18">
        <v>596150.38</v>
      </c>
      <c r="H181" s="37">
        <f t="shared" si="8"/>
        <v>236</v>
      </c>
      <c r="I181" s="37" t="str">
        <f t="shared" ref="I181:I200" si="11">IF(H181&lt;91,"1-90 DAYS",IF(H181&lt;121,"91-120DAYS",IF(H181&lt;181,"121-180 DAYS","More than 180 Days")))</f>
        <v>More than 180 Days</v>
      </c>
      <c r="J181" s="37" t="str">
        <f t="shared" si="9"/>
        <v>More than 180 Days</v>
      </c>
      <c r="K181" t="s">
        <v>1730</v>
      </c>
      <c r="M181" s="66"/>
      <c r="N181" t="s">
        <v>2655</v>
      </c>
      <c r="O181" s="66">
        <v>596150.38</v>
      </c>
    </row>
    <row r="182" spans="1:15" hidden="1" x14ac:dyDescent="0.35">
      <c r="A182" s="88" t="s">
        <v>477</v>
      </c>
      <c r="B182" s="2" t="s">
        <v>790</v>
      </c>
      <c r="C182" s="18" t="s">
        <v>1838</v>
      </c>
      <c r="D182" s="18" t="s">
        <v>2001</v>
      </c>
      <c r="E182" s="18" t="s">
        <v>2530</v>
      </c>
      <c r="F182" s="19" t="s">
        <v>2651</v>
      </c>
      <c r="G182" s="18">
        <f>822794.98-600347</f>
        <v>222447.97999999998</v>
      </c>
      <c r="H182" s="37">
        <f t="shared" si="8"/>
        <v>175</v>
      </c>
      <c r="I182" s="37" t="str">
        <f t="shared" si="11"/>
        <v>121-180 DAYS</v>
      </c>
      <c r="J182" s="37" t="str">
        <f t="shared" si="9"/>
        <v>0-180 DAYS</v>
      </c>
      <c r="K182" t="s">
        <v>1730</v>
      </c>
      <c r="M182" s="66"/>
      <c r="N182" t="s">
        <v>2651</v>
      </c>
      <c r="O182" s="66">
        <v>222447.98</v>
      </c>
    </row>
    <row r="183" spans="1:15" hidden="1" x14ac:dyDescent="0.35">
      <c r="A183" s="88" t="s">
        <v>477</v>
      </c>
      <c r="B183" s="2" t="s">
        <v>790</v>
      </c>
      <c r="C183" s="18" t="s">
        <v>2380</v>
      </c>
      <c r="D183" s="18" t="s">
        <v>1081</v>
      </c>
      <c r="E183" s="18" t="s">
        <v>2531</v>
      </c>
      <c r="F183" s="19" t="s">
        <v>2651</v>
      </c>
      <c r="G183" s="18">
        <v>178844.92</v>
      </c>
      <c r="H183" s="37">
        <f t="shared" si="8"/>
        <v>175</v>
      </c>
      <c r="I183" s="37" t="str">
        <f t="shared" si="11"/>
        <v>121-180 DAYS</v>
      </c>
      <c r="J183" s="37" t="str">
        <f t="shared" si="9"/>
        <v>0-180 DAYS</v>
      </c>
      <c r="K183" t="s">
        <v>1730</v>
      </c>
      <c r="M183" s="66"/>
      <c r="N183" t="s">
        <v>2651</v>
      </c>
      <c r="O183" s="66">
        <v>178844.92</v>
      </c>
    </row>
    <row r="184" spans="1:15" hidden="1" x14ac:dyDescent="0.35">
      <c r="A184" s="88" t="s">
        <v>477</v>
      </c>
      <c r="B184" s="2" t="s">
        <v>790</v>
      </c>
      <c r="C184" s="18" t="s">
        <v>2380</v>
      </c>
      <c r="D184" s="18" t="s">
        <v>1081</v>
      </c>
      <c r="E184" s="18" t="s">
        <v>105</v>
      </c>
      <c r="F184" s="19" t="s">
        <v>2651</v>
      </c>
      <c r="G184" s="18">
        <v>1311532.04</v>
      </c>
      <c r="H184" s="37">
        <f t="shared" si="8"/>
        <v>175</v>
      </c>
      <c r="I184" s="37" t="str">
        <f t="shared" si="11"/>
        <v>121-180 DAYS</v>
      </c>
      <c r="J184" s="37" t="str">
        <f t="shared" si="9"/>
        <v>0-180 DAYS</v>
      </c>
      <c r="K184" t="s">
        <v>1730</v>
      </c>
      <c r="M184" s="66"/>
      <c r="N184" t="s">
        <v>2651</v>
      </c>
      <c r="O184" s="66">
        <v>1311532.04</v>
      </c>
    </row>
    <row r="185" spans="1:15" hidden="1" x14ac:dyDescent="0.35">
      <c r="A185" s="88" t="s">
        <v>477</v>
      </c>
      <c r="B185" s="2" t="s">
        <v>790</v>
      </c>
      <c r="C185" s="18" t="s">
        <v>2380</v>
      </c>
      <c r="D185" s="18" t="s">
        <v>1081</v>
      </c>
      <c r="E185" s="18" t="s">
        <v>2532</v>
      </c>
      <c r="F185" s="19" t="s">
        <v>2656</v>
      </c>
      <c r="G185" s="18">
        <v>359135.98</v>
      </c>
      <c r="H185" s="37">
        <f t="shared" si="8"/>
        <v>144</v>
      </c>
      <c r="I185" s="37" t="str">
        <f t="shared" si="11"/>
        <v>121-180 DAYS</v>
      </c>
      <c r="J185" s="37" t="str">
        <f t="shared" si="9"/>
        <v>0-180 DAYS</v>
      </c>
      <c r="K185" t="s">
        <v>1730</v>
      </c>
      <c r="M185" s="66"/>
      <c r="N185" t="s">
        <v>2656</v>
      </c>
      <c r="O185" s="66">
        <v>359135.98</v>
      </c>
    </row>
    <row r="186" spans="1:15" hidden="1" x14ac:dyDescent="0.35">
      <c r="A186" s="88" t="s">
        <v>477</v>
      </c>
      <c r="B186" s="2" t="s">
        <v>790</v>
      </c>
      <c r="C186" s="18" t="s">
        <v>2380</v>
      </c>
      <c r="D186" s="18" t="s">
        <v>1081</v>
      </c>
      <c r="E186" s="18" t="s">
        <v>128</v>
      </c>
      <c r="F186" s="19" t="s">
        <v>2658</v>
      </c>
      <c r="G186" s="18">
        <v>346315.2</v>
      </c>
      <c r="H186" s="37">
        <f t="shared" si="8"/>
        <v>52</v>
      </c>
      <c r="I186" s="37" t="str">
        <f t="shared" si="11"/>
        <v>1-90 DAYS</v>
      </c>
      <c r="J186" s="37" t="str">
        <f t="shared" si="9"/>
        <v>0-180 DAYS</v>
      </c>
      <c r="K186" t="s">
        <v>1730</v>
      </c>
      <c r="M186" s="66"/>
      <c r="N186" t="s">
        <v>2658</v>
      </c>
      <c r="O186" s="66">
        <v>346315.2</v>
      </c>
    </row>
    <row r="187" spans="1:15" hidden="1" x14ac:dyDescent="0.35">
      <c r="A187" s="88" t="s">
        <v>477</v>
      </c>
      <c r="B187" s="2" t="s">
        <v>790</v>
      </c>
      <c r="C187" s="18" t="s">
        <v>2380</v>
      </c>
      <c r="D187" s="18" t="s">
        <v>1081</v>
      </c>
      <c r="E187" s="18" t="s">
        <v>138</v>
      </c>
      <c r="F187" s="19" t="s">
        <v>2546</v>
      </c>
      <c r="G187" s="18">
        <v>230876.79999999999</v>
      </c>
      <c r="H187" s="37" t="e">
        <f t="shared" si="8"/>
        <v>#VALUE!</v>
      </c>
      <c r="I187" s="37" t="e">
        <f t="shared" si="11"/>
        <v>#VALUE!</v>
      </c>
      <c r="J187" s="37" t="e">
        <f t="shared" si="9"/>
        <v>#VALUE!</v>
      </c>
      <c r="K187" t="s">
        <v>1730</v>
      </c>
      <c r="M187" s="66"/>
      <c r="N187" t="s">
        <v>2546</v>
      </c>
      <c r="O187" s="66">
        <v>230876.79999999999</v>
      </c>
    </row>
    <row r="188" spans="1:15" hidden="1" x14ac:dyDescent="0.35">
      <c r="A188" s="88" t="s">
        <v>477</v>
      </c>
      <c r="B188" s="2" t="s">
        <v>790</v>
      </c>
      <c r="C188" s="18" t="s">
        <v>2380</v>
      </c>
      <c r="D188" s="18" t="s">
        <v>1081</v>
      </c>
      <c r="E188" s="18" t="s">
        <v>147</v>
      </c>
      <c r="F188" s="19" t="s">
        <v>2659</v>
      </c>
      <c r="G188" s="18">
        <v>1490376.94</v>
      </c>
      <c r="H188" s="37" t="e">
        <f t="shared" si="8"/>
        <v>#VALUE!</v>
      </c>
      <c r="I188" s="37" t="e">
        <f t="shared" si="11"/>
        <v>#VALUE!</v>
      </c>
      <c r="J188" s="37" t="e">
        <f t="shared" si="9"/>
        <v>#VALUE!</v>
      </c>
      <c r="K188" t="s">
        <v>1730</v>
      </c>
      <c r="M188" s="66"/>
      <c r="N188" t="s">
        <v>2659</v>
      </c>
      <c r="O188" s="66">
        <v>1490376.94</v>
      </c>
    </row>
    <row r="189" spans="1:15" hidden="1" x14ac:dyDescent="0.35">
      <c r="A189" s="88" t="s">
        <v>477</v>
      </c>
      <c r="B189" s="2" t="s">
        <v>790</v>
      </c>
      <c r="C189" s="18" t="s">
        <v>2380</v>
      </c>
      <c r="D189" s="18" t="s">
        <v>1081</v>
      </c>
      <c r="E189" s="18" t="s">
        <v>2533</v>
      </c>
      <c r="F189" s="19" t="s">
        <v>2652</v>
      </c>
      <c r="G189" s="18">
        <v>596150.38</v>
      </c>
      <c r="H189" s="37" t="e">
        <f t="shared" si="8"/>
        <v>#VALUE!</v>
      </c>
      <c r="I189" s="37" t="e">
        <f t="shared" si="11"/>
        <v>#VALUE!</v>
      </c>
      <c r="J189" s="37" t="e">
        <f t="shared" si="9"/>
        <v>#VALUE!</v>
      </c>
      <c r="K189" t="s">
        <v>1730</v>
      </c>
      <c r="M189" s="66"/>
      <c r="N189" t="s">
        <v>2652</v>
      </c>
      <c r="O189" s="66">
        <v>596150.38</v>
      </c>
    </row>
    <row r="190" spans="1:15" hidden="1" x14ac:dyDescent="0.35">
      <c r="A190" s="88" t="s">
        <v>477</v>
      </c>
      <c r="B190" s="2" t="s">
        <v>790</v>
      </c>
      <c r="C190" s="18" t="s">
        <v>2380</v>
      </c>
      <c r="D190" s="18" t="s">
        <v>1081</v>
      </c>
      <c r="E190" s="18" t="s">
        <v>2534</v>
      </c>
      <c r="F190" s="19" t="s">
        <v>2660</v>
      </c>
      <c r="G190" s="18">
        <v>596150.38</v>
      </c>
      <c r="H190" s="37" t="e">
        <f t="shared" si="8"/>
        <v>#VALUE!</v>
      </c>
      <c r="I190" s="37" t="e">
        <f t="shared" si="11"/>
        <v>#VALUE!</v>
      </c>
      <c r="J190" s="37" t="e">
        <f t="shared" si="9"/>
        <v>#VALUE!</v>
      </c>
      <c r="K190" t="s">
        <v>1730</v>
      </c>
      <c r="M190" s="66"/>
      <c r="N190" t="s">
        <v>2660</v>
      </c>
      <c r="O190" s="66">
        <v>596150.38</v>
      </c>
    </row>
    <row r="191" spans="1:15" hidden="1" x14ac:dyDescent="0.35">
      <c r="A191" s="88" t="s">
        <v>477</v>
      </c>
      <c r="B191" s="2" t="s">
        <v>790</v>
      </c>
      <c r="C191" s="18" t="s">
        <v>1206</v>
      </c>
      <c r="D191" s="18" t="s">
        <v>1207</v>
      </c>
      <c r="E191" s="18" t="s">
        <v>2538</v>
      </c>
      <c r="F191" s="19" t="s">
        <v>2662</v>
      </c>
      <c r="G191" s="18">
        <v>5339.9</v>
      </c>
      <c r="H191" s="37" t="e">
        <f t="shared" si="8"/>
        <v>#VALUE!</v>
      </c>
      <c r="I191" s="37" t="e">
        <f t="shared" si="11"/>
        <v>#VALUE!</v>
      </c>
      <c r="J191" s="37" t="e">
        <f t="shared" si="9"/>
        <v>#VALUE!</v>
      </c>
      <c r="K191" t="s">
        <v>1730</v>
      </c>
      <c r="M191" s="66"/>
      <c r="N191" t="s">
        <v>2662</v>
      </c>
      <c r="O191" s="66">
        <v>2389500</v>
      </c>
    </row>
    <row r="192" spans="1:15" hidden="1" x14ac:dyDescent="0.35">
      <c r="A192" s="88" t="s">
        <v>477</v>
      </c>
      <c r="B192" s="2" t="s">
        <v>790</v>
      </c>
      <c r="C192" s="18" t="s">
        <v>2380</v>
      </c>
      <c r="D192" s="18" t="s">
        <v>1081</v>
      </c>
      <c r="E192" s="18" t="s">
        <v>198</v>
      </c>
      <c r="F192" s="19" t="s">
        <v>2648</v>
      </c>
      <c r="G192" s="18">
        <v>1490376.94</v>
      </c>
      <c r="H192" s="37" t="e">
        <f t="shared" si="8"/>
        <v>#VALUE!</v>
      </c>
      <c r="I192" s="37" t="e">
        <f t="shared" si="11"/>
        <v>#VALUE!</v>
      </c>
      <c r="J192" s="37" t="e">
        <f t="shared" si="9"/>
        <v>#VALUE!</v>
      </c>
      <c r="K192" t="s">
        <v>1730</v>
      </c>
      <c r="M192" s="66"/>
      <c r="N192" t="s">
        <v>2648</v>
      </c>
      <c r="O192" s="66">
        <v>1490376.94</v>
      </c>
    </row>
    <row r="193" spans="1:15" hidden="1" x14ac:dyDescent="0.35">
      <c r="A193" s="88" t="s">
        <v>477</v>
      </c>
      <c r="B193" s="2" t="s">
        <v>790</v>
      </c>
      <c r="C193" s="18" t="s">
        <v>2380</v>
      </c>
      <c r="D193" s="18" t="s">
        <v>1081</v>
      </c>
      <c r="E193" s="18" t="s">
        <v>209</v>
      </c>
      <c r="F193" s="19" t="s">
        <v>2664</v>
      </c>
      <c r="G193" s="18">
        <v>1269823.3600000001</v>
      </c>
      <c r="H193" s="37" t="e">
        <f t="shared" si="8"/>
        <v>#VALUE!</v>
      </c>
      <c r="I193" s="37" t="e">
        <f t="shared" si="11"/>
        <v>#VALUE!</v>
      </c>
      <c r="J193" s="37" t="e">
        <f t="shared" si="9"/>
        <v>#VALUE!</v>
      </c>
      <c r="K193" t="s">
        <v>1730</v>
      </c>
      <c r="M193" s="66"/>
      <c r="N193" t="s">
        <v>2664</v>
      </c>
      <c r="O193" s="66">
        <v>1269823.3600000001</v>
      </c>
    </row>
    <row r="194" spans="1:15" hidden="1" x14ac:dyDescent="0.35">
      <c r="A194" s="88" t="s">
        <v>477</v>
      </c>
      <c r="B194" s="2" t="s">
        <v>790</v>
      </c>
      <c r="C194" s="18" t="s">
        <v>2380</v>
      </c>
      <c r="D194" s="18" t="s">
        <v>1081</v>
      </c>
      <c r="E194" s="18" t="s">
        <v>2539</v>
      </c>
      <c r="F194" s="19" t="s">
        <v>2547</v>
      </c>
      <c r="G194" s="18">
        <v>2799832.36</v>
      </c>
      <c r="H194" s="37" t="e">
        <f t="shared" si="8"/>
        <v>#VALUE!</v>
      </c>
      <c r="I194" s="37" t="e">
        <f t="shared" si="11"/>
        <v>#VALUE!</v>
      </c>
      <c r="J194" s="37" t="e">
        <f t="shared" si="9"/>
        <v>#VALUE!</v>
      </c>
      <c r="K194" t="s">
        <v>1730</v>
      </c>
      <c r="M194" s="66"/>
      <c r="N194" t="s">
        <v>2547</v>
      </c>
      <c r="O194" s="66">
        <v>2799832.36</v>
      </c>
    </row>
    <row r="195" spans="1:15" hidden="1" x14ac:dyDescent="0.35">
      <c r="A195" s="88" t="s">
        <v>477</v>
      </c>
      <c r="B195" s="2" t="s">
        <v>790</v>
      </c>
      <c r="C195" s="18" t="s">
        <v>2380</v>
      </c>
      <c r="D195" s="18" t="s">
        <v>1081</v>
      </c>
      <c r="E195" s="18" t="s">
        <v>224</v>
      </c>
      <c r="F195" s="19" t="s">
        <v>2650</v>
      </c>
      <c r="G195" s="18">
        <v>536535.74</v>
      </c>
      <c r="H195" s="37" t="e">
        <f t="shared" si="8"/>
        <v>#VALUE!</v>
      </c>
      <c r="I195" s="37" t="e">
        <f t="shared" si="11"/>
        <v>#VALUE!</v>
      </c>
      <c r="J195" s="37" t="e">
        <f t="shared" si="9"/>
        <v>#VALUE!</v>
      </c>
      <c r="K195" t="s">
        <v>1730</v>
      </c>
      <c r="M195" s="66"/>
      <c r="N195" t="s">
        <v>2650</v>
      </c>
      <c r="O195" s="66">
        <v>536535.74</v>
      </c>
    </row>
    <row r="196" spans="1:15" hidden="1" x14ac:dyDescent="0.35">
      <c r="A196" s="88" t="s">
        <v>477</v>
      </c>
      <c r="B196" s="2" t="s">
        <v>790</v>
      </c>
      <c r="C196" s="18" t="s">
        <v>2380</v>
      </c>
      <c r="D196" s="18" t="s">
        <v>1081</v>
      </c>
      <c r="E196" s="18" t="s">
        <v>2540</v>
      </c>
      <c r="F196" s="19" t="s">
        <v>2650</v>
      </c>
      <c r="G196" s="18">
        <v>298075.18</v>
      </c>
      <c r="H196" s="37" t="e">
        <f t="shared" si="8"/>
        <v>#VALUE!</v>
      </c>
      <c r="I196" s="37" t="e">
        <f t="shared" si="11"/>
        <v>#VALUE!</v>
      </c>
      <c r="J196" s="37" t="e">
        <f t="shared" si="9"/>
        <v>#VALUE!</v>
      </c>
      <c r="K196" t="s">
        <v>1730</v>
      </c>
      <c r="M196" s="66"/>
      <c r="N196" t="s">
        <v>2650</v>
      </c>
      <c r="O196" s="66">
        <v>298075.18</v>
      </c>
    </row>
    <row r="197" spans="1:15" hidden="1" x14ac:dyDescent="0.35">
      <c r="A197" s="88" t="s">
        <v>477</v>
      </c>
      <c r="B197" s="2" t="s">
        <v>790</v>
      </c>
      <c r="C197" s="18" t="s">
        <v>51</v>
      </c>
      <c r="D197" s="18" t="s">
        <v>52</v>
      </c>
      <c r="E197" s="18" t="s">
        <v>2541</v>
      </c>
      <c r="F197" s="19" t="s">
        <v>2665</v>
      </c>
      <c r="G197" s="18">
        <v>2043</v>
      </c>
      <c r="H197" s="37">
        <f t="shared" ref="H197:H260" si="12">$H$2-F197+1</f>
        <v>266</v>
      </c>
      <c r="I197" s="37" t="str">
        <f t="shared" si="11"/>
        <v>More than 180 Days</v>
      </c>
      <c r="J197" s="37" t="str">
        <f t="shared" si="9"/>
        <v>More than 180 Days</v>
      </c>
      <c r="K197" t="s">
        <v>1730</v>
      </c>
      <c r="M197" s="66"/>
      <c r="N197" t="s">
        <v>2665</v>
      </c>
      <c r="O197" s="66">
        <v>2043</v>
      </c>
    </row>
    <row r="198" spans="1:15" hidden="1" x14ac:dyDescent="0.35">
      <c r="A198" s="88" t="s">
        <v>477</v>
      </c>
      <c r="B198" s="2" t="s">
        <v>790</v>
      </c>
      <c r="C198" s="18" t="s">
        <v>2322</v>
      </c>
      <c r="D198" s="18" t="s">
        <v>2348</v>
      </c>
      <c r="E198" s="18" t="s">
        <v>2542</v>
      </c>
      <c r="F198" s="19" t="s">
        <v>2656</v>
      </c>
      <c r="G198" s="18">
        <v>41117.1</v>
      </c>
      <c r="H198" s="37">
        <f t="shared" si="12"/>
        <v>144</v>
      </c>
      <c r="I198" s="37" t="str">
        <f t="shared" si="11"/>
        <v>121-180 DAYS</v>
      </c>
      <c r="J198" s="37" t="str">
        <f t="shared" ref="J198:J261" si="13">IF(H198&lt;180,"0-180 DAYS","More than 180 Days")</f>
        <v>0-180 DAYS</v>
      </c>
      <c r="K198" t="s">
        <v>1730</v>
      </c>
      <c r="M198" s="66"/>
      <c r="N198" t="s">
        <v>2656</v>
      </c>
      <c r="O198" s="66">
        <v>41117.1</v>
      </c>
    </row>
    <row r="199" spans="1:15" hidden="1" x14ac:dyDescent="0.35">
      <c r="A199" s="88" t="s">
        <v>477</v>
      </c>
      <c r="B199" s="2" t="s">
        <v>790</v>
      </c>
      <c r="C199" s="18" t="s">
        <v>1082</v>
      </c>
      <c r="D199" s="18" t="s">
        <v>1083</v>
      </c>
      <c r="E199" s="18" t="s">
        <v>2543</v>
      </c>
      <c r="F199" s="19" t="s">
        <v>2659</v>
      </c>
      <c r="G199" s="18">
        <v>3709</v>
      </c>
      <c r="H199" s="37" t="e">
        <f t="shared" si="12"/>
        <v>#VALUE!</v>
      </c>
      <c r="I199" s="37" t="e">
        <f t="shared" si="11"/>
        <v>#VALUE!</v>
      </c>
      <c r="J199" s="37" t="e">
        <f t="shared" si="13"/>
        <v>#VALUE!</v>
      </c>
      <c r="K199" t="s">
        <v>1730</v>
      </c>
      <c r="M199" s="66"/>
      <c r="N199" t="s">
        <v>2659</v>
      </c>
      <c r="O199" s="66">
        <v>3709</v>
      </c>
    </row>
    <row r="200" spans="1:15" hidden="1" x14ac:dyDescent="0.35">
      <c r="A200" s="88" t="s">
        <v>477</v>
      </c>
      <c r="B200" s="2" t="s">
        <v>790</v>
      </c>
      <c r="C200" s="18" t="s">
        <v>263</v>
      </c>
      <c r="D200" s="18" t="s">
        <v>264</v>
      </c>
      <c r="E200" s="18" t="s">
        <v>2544</v>
      </c>
      <c r="F200" s="19" t="s">
        <v>2660</v>
      </c>
      <c r="G200" s="18">
        <v>890576.65</v>
      </c>
      <c r="H200" s="37" t="e">
        <f t="shared" si="12"/>
        <v>#VALUE!</v>
      </c>
      <c r="I200" s="37" t="e">
        <f t="shared" si="11"/>
        <v>#VALUE!</v>
      </c>
      <c r="J200" s="37" t="e">
        <f t="shared" si="13"/>
        <v>#VALUE!</v>
      </c>
      <c r="K200" t="s">
        <v>1730</v>
      </c>
      <c r="M200" s="66"/>
      <c r="N200" t="s">
        <v>2660</v>
      </c>
      <c r="O200" s="66">
        <v>890576.65</v>
      </c>
    </row>
    <row r="201" spans="1:15" hidden="1" x14ac:dyDescent="0.35">
      <c r="A201" s="88" t="s">
        <v>1085</v>
      </c>
      <c r="B201" s="2" t="s">
        <v>790</v>
      </c>
      <c r="C201" s="18" t="s">
        <v>600</v>
      </c>
      <c r="D201" s="2" t="s">
        <v>507</v>
      </c>
      <c r="E201" s="18" t="s">
        <v>2570</v>
      </c>
      <c r="F201" s="19" t="s">
        <v>2667</v>
      </c>
      <c r="G201" s="18">
        <v>3774623.53</v>
      </c>
      <c r="H201" s="37">
        <f t="shared" si="12"/>
        <v>326</v>
      </c>
      <c r="I201" s="37" t="str">
        <f t="shared" ref="I201:I264" si="14">IF(H201&lt;121,"0-120 DAYS",IF(H201&lt;181,"121-180 DAYS","More than 180 Days"))</f>
        <v>More than 180 Days</v>
      </c>
      <c r="J201" s="37" t="str">
        <f t="shared" si="13"/>
        <v>More than 180 Days</v>
      </c>
      <c r="K201" t="s">
        <v>1730</v>
      </c>
      <c r="M201" s="66"/>
      <c r="N201" t="s">
        <v>2667</v>
      </c>
      <c r="O201" s="66">
        <v>3774623.53</v>
      </c>
    </row>
    <row r="202" spans="1:15" hidden="1" x14ac:dyDescent="0.35">
      <c r="A202" s="88" t="s">
        <v>1085</v>
      </c>
      <c r="B202" s="2" t="s">
        <v>790</v>
      </c>
      <c r="C202" s="18" t="s">
        <v>631</v>
      </c>
      <c r="D202" s="2" t="s">
        <v>507</v>
      </c>
      <c r="E202" s="18" t="s">
        <v>2571</v>
      </c>
      <c r="F202" s="19" t="s">
        <v>2667</v>
      </c>
      <c r="G202" s="18">
        <v>3034803.2</v>
      </c>
      <c r="H202" s="37">
        <f t="shared" si="12"/>
        <v>326</v>
      </c>
      <c r="I202" s="37" t="str">
        <f t="shared" si="14"/>
        <v>More than 180 Days</v>
      </c>
      <c r="J202" s="37" t="str">
        <f t="shared" si="13"/>
        <v>More than 180 Days</v>
      </c>
      <c r="K202" t="s">
        <v>1730</v>
      </c>
      <c r="M202" s="66"/>
      <c r="N202" t="s">
        <v>2667</v>
      </c>
      <c r="O202" s="66">
        <v>3034803.2</v>
      </c>
    </row>
    <row r="203" spans="1:15" hidden="1" x14ac:dyDescent="0.35">
      <c r="A203" s="88" t="s">
        <v>1085</v>
      </c>
      <c r="B203" s="2" t="s">
        <v>790</v>
      </c>
      <c r="C203" s="18" t="s">
        <v>617</v>
      </c>
      <c r="D203" s="2" t="s">
        <v>507</v>
      </c>
      <c r="E203" s="18" t="s">
        <v>2572</v>
      </c>
      <c r="F203" s="19" t="s">
        <v>2668</v>
      </c>
      <c r="G203" s="18">
        <v>4386569.7699999996</v>
      </c>
      <c r="H203" s="37">
        <f t="shared" si="12"/>
        <v>297</v>
      </c>
      <c r="I203" s="37" t="str">
        <f t="shared" si="14"/>
        <v>More than 180 Days</v>
      </c>
      <c r="J203" s="37" t="str">
        <f t="shared" si="13"/>
        <v>More than 180 Days</v>
      </c>
      <c r="K203" t="s">
        <v>1730</v>
      </c>
      <c r="M203" s="66"/>
      <c r="N203" t="s">
        <v>2668</v>
      </c>
      <c r="O203" s="66">
        <v>4386569.7699999996</v>
      </c>
    </row>
    <row r="204" spans="1:15" hidden="1" x14ac:dyDescent="0.35">
      <c r="A204" s="88" t="s">
        <v>1085</v>
      </c>
      <c r="B204" s="2" t="s">
        <v>790</v>
      </c>
      <c r="C204" s="18" t="s">
        <v>538</v>
      </c>
      <c r="D204" s="2" t="s">
        <v>507</v>
      </c>
      <c r="E204" s="18" t="s">
        <v>2573</v>
      </c>
      <c r="F204" s="19" t="s">
        <v>2668</v>
      </c>
      <c r="G204" s="18">
        <v>2918484</v>
      </c>
      <c r="H204" s="37">
        <f t="shared" si="12"/>
        <v>297</v>
      </c>
      <c r="I204" s="37" t="str">
        <f t="shared" si="14"/>
        <v>More than 180 Days</v>
      </c>
      <c r="J204" s="37" t="str">
        <f t="shared" si="13"/>
        <v>More than 180 Days</v>
      </c>
      <c r="K204" t="s">
        <v>1730</v>
      </c>
      <c r="M204" s="66"/>
      <c r="N204" t="s">
        <v>2668</v>
      </c>
      <c r="O204" s="66">
        <v>2918484</v>
      </c>
    </row>
    <row r="205" spans="1:15" hidden="1" x14ac:dyDescent="0.35">
      <c r="A205" s="88" t="s">
        <v>1085</v>
      </c>
      <c r="B205" s="2" t="s">
        <v>790</v>
      </c>
      <c r="C205" s="18" t="s">
        <v>1328</v>
      </c>
      <c r="D205" s="2" t="s">
        <v>507</v>
      </c>
      <c r="E205" s="18" t="s">
        <v>2574</v>
      </c>
      <c r="F205" s="19" t="s">
        <v>2651</v>
      </c>
      <c r="G205" s="18">
        <v>3659325.12</v>
      </c>
      <c r="H205" s="37">
        <f t="shared" si="12"/>
        <v>175</v>
      </c>
      <c r="I205" s="37" t="str">
        <f t="shared" si="14"/>
        <v>121-180 DAYS</v>
      </c>
      <c r="J205" s="37" t="str">
        <f t="shared" si="13"/>
        <v>0-180 DAYS</v>
      </c>
      <c r="K205" t="s">
        <v>1730</v>
      </c>
      <c r="M205" s="66"/>
      <c r="N205" t="s">
        <v>2651</v>
      </c>
      <c r="O205" s="66">
        <v>3659325.12</v>
      </c>
    </row>
    <row r="206" spans="1:15" hidden="1" x14ac:dyDescent="0.35">
      <c r="A206" s="88" t="s">
        <v>1085</v>
      </c>
      <c r="B206" s="2" t="s">
        <v>790</v>
      </c>
      <c r="C206" s="18" t="s">
        <v>573</v>
      </c>
      <c r="D206" s="2" t="s">
        <v>507</v>
      </c>
      <c r="E206" s="18" t="s">
        <v>2575</v>
      </c>
      <c r="F206" s="19" t="s">
        <v>2656</v>
      </c>
      <c r="G206" s="18">
        <v>41633.1</v>
      </c>
      <c r="H206" s="37">
        <f t="shared" si="12"/>
        <v>144</v>
      </c>
      <c r="I206" s="37" t="str">
        <f t="shared" si="14"/>
        <v>121-180 DAYS</v>
      </c>
      <c r="J206" s="37" t="str">
        <f t="shared" si="13"/>
        <v>0-180 DAYS</v>
      </c>
      <c r="K206" t="s">
        <v>1730</v>
      </c>
      <c r="M206" s="66"/>
      <c r="N206" t="s">
        <v>2656</v>
      </c>
      <c r="O206" s="66">
        <v>41633.1</v>
      </c>
    </row>
    <row r="207" spans="1:15" hidden="1" x14ac:dyDescent="0.35">
      <c r="A207" s="88" t="s">
        <v>1085</v>
      </c>
      <c r="B207" s="2" t="s">
        <v>790</v>
      </c>
      <c r="C207" s="18" t="s">
        <v>1244</v>
      </c>
      <c r="D207" s="2" t="s">
        <v>507</v>
      </c>
      <c r="E207" s="18" t="s">
        <v>2562</v>
      </c>
      <c r="F207" s="19" t="s">
        <v>2669</v>
      </c>
      <c r="G207" s="18">
        <v>1931857.03</v>
      </c>
      <c r="H207" s="37" t="e">
        <f t="shared" si="12"/>
        <v>#VALUE!</v>
      </c>
      <c r="I207" s="37" t="e">
        <f t="shared" si="14"/>
        <v>#VALUE!</v>
      </c>
      <c r="J207" s="37" t="e">
        <f t="shared" si="13"/>
        <v>#VALUE!</v>
      </c>
      <c r="K207" t="s">
        <v>1730</v>
      </c>
      <c r="M207" s="66"/>
      <c r="N207" t="s">
        <v>2669</v>
      </c>
      <c r="O207" s="66">
        <v>1931857.03</v>
      </c>
    </row>
    <row r="208" spans="1:15" hidden="1" x14ac:dyDescent="0.35">
      <c r="A208" s="88" t="s">
        <v>1085</v>
      </c>
      <c r="B208" s="2" t="s">
        <v>790</v>
      </c>
      <c r="C208" s="18" t="s">
        <v>1244</v>
      </c>
      <c r="D208" s="2" t="s">
        <v>507</v>
      </c>
      <c r="E208" s="18" t="s">
        <v>2563</v>
      </c>
      <c r="F208" s="19" t="s">
        <v>2669</v>
      </c>
      <c r="G208" s="18">
        <v>3239687.57</v>
      </c>
      <c r="H208" s="37" t="e">
        <f t="shared" si="12"/>
        <v>#VALUE!</v>
      </c>
      <c r="I208" s="37" t="e">
        <f t="shared" si="14"/>
        <v>#VALUE!</v>
      </c>
      <c r="J208" s="37" t="e">
        <f t="shared" si="13"/>
        <v>#VALUE!</v>
      </c>
      <c r="K208" t="s">
        <v>1730</v>
      </c>
      <c r="M208" s="66"/>
      <c r="N208" t="s">
        <v>2669</v>
      </c>
      <c r="O208" s="66">
        <v>3239687.57</v>
      </c>
    </row>
    <row r="209" spans="1:15" hidden="1" x14ac:dyDescent="0.35">
      <c r="A209" s="88" t="s">
        <v>1085</v>
      </c>
      <c r="B209" s="2" t="s">
        <v>790</v>
      </c>
      <c r="C209" s="18" t="s">
        <v>538</v>
      </c>
      <c r="D209" s="2" t="s">
        <v>507</v>
      </c>
      <c r="E209" s="18" t="s">
        <v>2576</v>
      </c>
      <c r="F209" s="19" t="s">
        <v>2546</v>
      </c>
      <c r="G209" s="18">
        <v>2904130.8</v>
      </c>
      <c r="H209" s="37" t="e">
        <f t="shared" si="12"/>
        <v>#VALUE!</v>
      </c>
      <c r="I209" s="37" t="e">
        <f t="shared" si="14"/>
        <v>#VALUE!</v>
      </c>
      <c r="J209" s="37" t="e">
        <f t="shared" si="13"/>
        <v>#VALUE!</v>
      </c>
      <c r="K209" t="s">
        <v>1730</v>
      </c>
      <c r="M209" s="66"/>
      <c r="N209" t="s">
        <v>2546</v>
      </c>
      <c r="O209" s="66">
        <v>2904130.8</v>
      </c>
    </row>
    <row r="210" spans="1:15" hidden="1" x14ac:dyDescent="0.35">
      <c r="A210" s="88" t="s">
        <v>1085</v>
      </c>
      <c r="B210" s="2" t="s">
        <v>790</v>
      </c>
      <c r="C210" s="18" t="s">
        <v>538</v>
      </c>
      <c r="D210" s="2" t="s">
        <v>507</v>
      </c>
      <c r="E210" s="18" t="s">
        <v>2577</v>
      </c>
      <c r="F210" s="19" t="s">
        <v>2546</v>
      </c>
      <c r="G210" s="18">
        <v>75389.399999999994</v>
      </c>
      <c r="H210" s="37" t="e">
        <f t="shared" si="12"/>
        <v>#VALUE!</v>
      </c>
      <c r="I210" s="37" t="e">
        <f t="shared" si="14"/>
        <v>#VALUE!</v>
      </c>
      <c r="J210" s="37" t="e">
        <f t="shared" si="13"/>
        <v>#VALUE!</v>
      </c>
      <c r="K210" t="s">
        <v>1730</v>
      </c>
      <c r="M210" s="66"/>
      <c r="N210" t="s">
        <v>2546</v>
      </c>
      <c r="O210" s="66">
        <v>75389.399999999994</v>
      </c>
    </row>
    <row r="211" spans="1:15" hidden="1" x14ac:dyDescent="0.35">
      <c r="A211" s="88" t="s">
        <v>1085</v>
      </c>
      <c r="B211" s="2" t="s">
        <v>790</v>
      </c>
      <c r="C211" s="18" t="s">
        <v>548</v>
      </c>
      <c r="D211" s="2" t="s">
        <v>507</v>
      </c>
      <c r="E211" s="18" t="s">
        <v>2578</v>
      </c>
      <c r="F211" s="19" t="s">
        <v>2670</v>
      </c>
      <c r="G211" s="18">
        <v>3391028.46</v>
      </c>
      <c r="H211" s="37" t="e">
        <f t="shared" si="12"/>
        <v>#VALUE!</v>
      </c>
      <c r="I211" s="37" t="e">
        <f t="shared" si="14"/>
        <v>#VALUE!</v>
      </c>
      <c r="J211" s="37" t="e">
        <f t="shared" si="13"/>
        <v>#VALUE!</v>
      </c>
      <c r="K211" t="s">
        <v>1730</v>
      </c>
      <c r="M211" s="66"/>
      <c r="N211" t="s">
        <v>2670</v>
      </c>
      <c r="O211" s="66">
        <v>3391028.46</v>
      </c>
    </row>
    <row r="212" spans="1:15" hidden="1" x14ac:dyDescent="0.35">
      <c r="A212" s="88" t="s">
        <v>1085</v>
      </c>
      <c r="B212" s="2" t="s">
        <v>790</v>
      </c>
      <c r="C212" s="18" t="s">
        <v>1243</v>
      </c>
      <c r="D212" s="2" t="s">
        <v>507</v>
      </c>
      <c r="E212" s="18" t="s">
        <v>2579</v>
      </c>
      <c r="F212" s="19" t="s">
        <v>2659</v>
      </c>
      <c r="G212" s="18">
        <f>4072421.58-916581</f>
        <v>3155840.58</v>
      </c>
      <c r="H212" s="37" t="e">
        <f t="shared" si="12"/>
        <v>#VALUE!</v>
      </c>
      <c r="I212" s="37" t="e">
        <f t="shared" si="14"/>
        <v>#VALUE!</v>
      </c>
      <c r="J212" s="37" t="e">
        <f t="shared" si="13"/>
        <v>#VALUE!</v>
      </c>
      <c r="K212" t="s">
        <v>1730</v>
      </c>
      <c r="M212" s="66"/>
      <c r="N212" t="s">
        <v>2659</v>
      </c>
      <c r="O212" s="66">
        <v>3155840.58</v>
      </c>
    </row>
    <row r="213" spans="1:15" hidden="1" x14ac:dyDescent="0.35">
      <c r="A213" s="88" t="s">
        <v>1085</v>
      </c>
      <c r="B213" s="2" t="s">
        <v>790</v>
      </c>
      <c r="C213" s="18" t="s">
        <v>667</v>
      </c>
      <c r="D213" s="2" t="s">
        <v>507</v>
      </c>
      <c r="E213" s="18" t="s">
        <v>2581</v>
      </c>
      <c r="F213" s="19" t="s">
        <v>2652</v>
      </c>
      <c r="G213" s="18">
        <v>2810899.05</v>
      </c>
      <c r="H213" s="37" t="e">
        <f t="shared" si="12"/>
        <v>#VALUE!</v>
      </c>
      <c r="I213" s="37" t="e">
        <f t="shared" si="14"/>
        <v>#VALUE!</v>
      </c>
      <c r="J213" s="37" t="e">
        <f t="shared" si="13"/>
        <v>#VALUE!</v>
      </c>
      <c r="K213" t="s">
        <v>1730</v>
      </c>
      <c r="M213" s="66"/>
      <c r="N213" t="s">
        <v>2652</v>
      </c>
      <c r="O213" s="66">
        <v>2810899.05</v>
      </c>
    </row>
    <row r="214" spans="1:15" hidden="1" x14ac:dyDescent="0.35">
      <c r="A214" s="88" t="s">
        <v>1085</v>
      </c>
      <c r="B214" s="2" t="s">
        <v>790</v>
      </c>
      <c r="C214" s="18" t="s">
        <v>548</v>
      </c>
      <c r="D214" s="2" t="s">
        <v>507</v>
      </c>
      <c r="E214" s="18" t="s">
        <v>2582</v>
      </c>
      <c r="F214" s="19" t="s">
        <v>2652</v>
      </c>
      <c r="G214" s="18">
        <v>3248611.68</v>
      </c>
      <c r="H214" s="37" t="e">
        <f t="shared" si="12"/>
        <v>#VALUE!</v>
      </c>
      <c r="I214" s="37" t="e">
        <f t="shared" si="14"/>
        <v>#VALUE!</v>
      </c>
      <c r="J214" s="37" t="e">
        <f t="shared" si="13"/>
        <v>#VALUE!</v>
      </c>
      <c r="K214" t="s">
        <v>1730</v>
      </c>
      <c r="M214" s="66"/>
      <c r="N214" t="s">
        <v>2652</v>
      </c>
      <c r="O214" s="66">
        <v>3248611.68</v>
      </c>
    </row>
    <row r="215" spans="1:15" hidden="1" x14ac:dyDescent="0.35">
      <c r="A215" s="88" t="s">
        <v>1085</v>
      </c>
      <c r="B215" s="2" t="s">
        <v>790</v>
      </c>
      <c r="C215" s="18" t="s">
        <v>598</v>
      </c>
      <c r="D215" s="2" t="s">
        <v>507</v>
      </c>
      <c r="E215" s="18" t="s">
        <v>537</v>
      </c>
      <c r="F215" s="19" t="s">
        <v>2671</v>
      </c>
      <c r="G215" s="18">
        <f>4354176.32-3620742</f>
        <v>733434.3200000003</v>
      </c>
      <c r="H215" s="37" t="e">
        <f t="shared" si="12"/>
        <v>#VALUE!</v>
      </c>
      <c r="I215" s="37" t="e">
        <f t="shared" si="14"/>
        <v>#VALUE!</v>
      </c>
      <c r="J215" s="37" t="e">
        <f t="shared" si="13"/>
        <v>#VALUE!</v>
      </c>
      <c r="K215" t="s">
        <v>1730</v>
      </c>
      <c r="M215" s="66"/>
      <c r="N215" t="s">
        <v>2671</v>
      </c>
      <c r="O215" s="66">
        <v>733434.32</v>
      </c>
    </row>
    <row r="216" spans="1:15" hidden="1" x14ac:dyDescent="0.35">
      <c r="A216" s="88" t="s">
        <v>1085</v>
      </c>
      <c r="B216" s="2" t="s">
        <v>790</v>
      </c>
      <c r="C216" s="18" t="s">
        <v>548</v>
      </c>
      <c r="D216" s="2" t="s">
        <v>507</v>
      </c>
      <c r="E216" s="18" t="s">
        <v>2583</v>
      </c>
      <c r="F216" s="19" t="s">
        <v>2661</v>
      </c>
      <c r="G216" s="18">
        <v>78349.440000000002</v>
      </c>
      <c r="H216" s="37" t="e">
        <f t="shared" si="12"/>
        <v>#VALUE!</v>
      </c>
      <c r="I216" s="37" t="e">
        <f t="shared" si="14"/>
        <v>#VALUE!</v>
      </c>
      <c r="J216" s="37" t="e">
        <f t="shared" si="13"/>
        <v>#VALUE!</v>
      </c>
      <c r="K216" t="s">
        <v>1730</v>
      </c>
      <c r="M216" s="66"/>
      <c r="N216" t="s">
        <v>2661</v>
      </c>
      <c r="O216" s="66">
        <v>78349.440000000002</v>
      </c>
    </row>
    <row r="217" spans="1:15" hidden="1" x14ac:dyDescent="0.35">
      <c r="A217" s="88" t="s">
        <v>1085</v>
      </c>
      <c r="B217" s="2" t="s">
        <v>790</v>
      </c>
      <c r="C217" s="18" t="s">
        <v>2427</v>
      </c>
      <c r="D217" s="2" t="s">
        <v>507</v>
      </c>
      <c r="E217" s="18" t="s">
        <v>2584</v>
      </c>
      <c r="F217" s="19" t="s">
        <v>2661</v>
      </c>
      <c r="G217" s="18">
        <v>3663728.6400000001</v>
      </c>
      <c r="H217" s="37" t="e">
        <f t="shared" si="12"/>
        <v>#VALUE!</v>
      </c>
      <c r="I217" s="37" t="e">
        <f t="shared" si="14"/>
        <v>#VALUE!</v>
      </c>
      <c r="J217" s="37" t="e">
        <f t="shared" si="13"/>
        <v>#VALUE!</v>
      </c>
      <c r="K217" t="s">
        <v>1730</v>
      </c>
      <c r="M217" s="66"/>
      <c r="N217" t="s">
        <v>2661</v>
      </c>
      <c r="O217" s="66">
        <v>3663728.6400000001</v>
      </c>
    </row>
    <row r="218" spans="1:15" hidden="1" x14ac:dyDescent="0.35">
      <c r="A218" s="88" t="s">
        <v>1085</v>
      </c>
      <c r="B218" s="2" t="s">
        <v>790</v>
      </c>
      <c r="C218" s="18" t="s">
        <v>600</v>
      </c>
      <c r="D218" s="2" t="s">
        <v>507</v>
      </c>
      <c r="E218" s="18" t="s">
        <v>2585</v>
      </c>
      <c r="F218" s="19" t="s">
        <v>2663</v>
      </c>
      <c r="G218" s="18">
        <v>3773997.76</v>
      </c>
      <c r="H218" s="37" t="e">
        <f t="shared" si="12"/>
        <v>#VALUE!</v>
      </c>
      <c r="I218" s="37" t="e">
        <f t="shared" si="14"/>
        <v>#VALUE!</v>
      </c>
      <c r="J218" s="37" t="e">
        <f t="shared" si="13"/>
        <v>#VALUE!</v>
      </c>
      <c r="K218" t="s">
        <v>1730</v>
      </c>
      <c r="M218" s="66"/>
      <c r="N218" t="s">
        <v>2663</v>
      </c>
      <c r="O218" s="66">
        <v>3773997.76</v>
      </c>
    </row>
    <row r="219" spans="1:15" hidden="1" x14ac:dyDescent="0.35">
      <c r="A219" s="88" t="s">
        <v>1085</v>
      </c>
      <c r="B219" s="2" t="s">
        <v>790</v>
      </c>
      <c r="C219" s="18" t="s">
        <v>2064</v>
      </c>
      <c r="D219" s="2" t="s">
        <v>507</v>
      </c>
      <c r="E219" s="18" t="s">
        <v>2564</v>
      </c>
      <c r="F219" s="19" t="s">
        <v>2648</v>
      </c>
      <c r="G219" s="18">
        <v>1357352.33</v>
      </c>
      <c r="H219" s="37" t="e">
        <f t="shared" si="12"/>
        <v>#VALUE!</v>
      </c>
      <c r="I219" s="37" t="e">
        <f t="shared" si="14"/>
        <v>#VALUE!</v>
      </c>
      <c r="J219" s="37" t="e">
        <f t="shared" si="13"/>
        <v>#VALUE!</v>
      </c>
      <c r="K219" t="s">
        <v>1730</v>
      </c>
      <c r="M219" s="66"/>
      <c r="N219" t="s">
        <v>2648</v>
      </c>
      <c r="O219" s="66">
        <v>1357352.33</v>
      </c>
    </row>
    <row r="220" spans="1:15" hidden="1" x14ac:dyDescent="0.35">
      <c r="A220" s="88" t="s">
        <v>1085</v>
      </c>
      <c r="B220" s="2" t="s">
        <v>790</v>
      </c>
      <c r="C220" s="18" t="s">
        <v>814</v>
      </c>
      <c r="D220" s="2" t="s">
        <v>507</v>
      </c>
      <c r="E220" s="18" t="s">
        <v>2557</v>
      </c>
      <c r="F220" s="19" t="s">
        <v>2648</v>
      </c>
      <c r="G220" s="108">
        <v>748384</v>
      </c>
      <c r="H220" s="37" t="e">
        <f t="shared" si="12"/>
        <v>#VALUE!</v>
      </c>
      <c r="I220" s="37" t="e">
        <f t="shared" si="14"/>
        <v>#VALUE!</v>
      </c>
      <c r="J220" s="37" t="e">
        <f t="shared" si="13"/>
        <v>#VALUE!</v>
      </c>
      <c r="K220" t="s">
        <v>1730</v>
      </c>
      <c r="M220" s="66"/>
      <c r="N220" t="s">
        <v>2648</v>
      </c>
      <c r="O220" s="66">
        <v>748384</v>
      </c>
    </row>
    <row r="221" spans="1:15" hidden="1" x14ac:dyDescent="0.35">
      <c r="A221" s="88" t="s">
        <v>1085</v>
      </c>
      <c r="B221" s="2" t="s">
        <v>790</v>
      </c>
      <c r="C221" s="18" t="s">
        <v>598</v>
      </c>
      <c r="D221" s="2" t="s">
        <v>507</v>
      </c>
      <c r="E221" s="18" t="s">
        <v>2586</v>
      </c>
      <c r="F221" s="19" t="s">
        <v>2649</v>
      </c>
      <c r="G221" s="18">
        <v>2039232</v>
      </c>
      <c r="H221" s="37" t="e">
        <f t="shared" si="12"/>
        <v>#VALUE!</v>
      </c>
      <c r="I221" s="37" t="e">
        <f t="shared" si="14"/>
        <v>#VALUE!</v>
      </c>
      <c r="J221" s="37" t="e">
        <f t="shared" si="13"/>
        <v>#VALUE!</v>
      </c>
      <c r="K221" t="s">
        <v>1730</v>
      </c>
      <c r="M221" s="66"/>
      <c r="N221" t="s">
        <v>2649</v>
      </c>
      <c r="O221" s="66">
        <v>2039232</v>
      </c>
    </row>
    <row r="222" spans="1:15" hidden="1" x14ac:dyDescent="0.35">
      <c r="A222" s="88" t="s">
        <v>1085</v>
      </c>
      <c r="B222" s="2" t="s">
        <v>790</v>
      </c>
      <c r="C222" s="18" t="s">
        <v>538</v>
      </c>
      <c r="D222" s="2" t="s">
        <v>507</v>
      </c>
      <c r="E222" s="18" t="s">
        <v>2587</v>
      </c>
      <c r="F222" s="19" t="s">
        <v>2666</v>
      </c>
      <c r="G222" s="18">
        <v>3035248.89</v>
      </c>
      <c r="H222" s="37" t="e">
        <f t="shared" si="12"/>
        <v>#VALUE!</v>
      </c>
      <c r="I222" s="37" t="e">
        <f t="shared" si="14"/>
        <v>#VALUE!</v>
      </c>
      <c r="J222" s="37" t="e">
        <f t="shared" si="13"/>
        <v>#VALUE!</v>
      </c>
      <c r="K222" t="s">
        <v>1730</v>
      </c>
      <c r="M222" s="66"/>
      <c r="N222" t="s">
        <v>2666</v>
      </c>
      <c r="O222" s="66">
        <v>3035248.89</v>
      </c>
    </row>
    <row r="223" spans="1:15" hidden="1" x14ac:dyDescent="0.35">
      <c r="A223" s="88" t="s">
        <v>1085</v>
      </c>
      <c r="B223" s="2" t="s">
        <v>790</v>
      </c>
      <c r="C223" s="18" t="s">
        <v>536</v>
      </c>
      <c r="D223" s="2" t="s">
        <v>507</v>
      </c>
      <c r="E223" s="18" t="s">
        <v>2588</v>
      </c>
      <c r="F223" s="19" t="s">
        <v>2547</v>
      </c>
      <c r="G223" s="18">
        <v>3366738.38</v>
      </c>
      <c r="H223" s="37" t="e">
        <f t="shared" si="12"/>
        <v>#VALUE!</v>
      </c>
      <c r="I223" s="37" t="e">
        <f t="shared" si="14"/>
        <v>#VALUE!</v>
      </c>
      <c r="J223" s="37" t="e">
        <f t="shared" si="13"/>
        <v>#VALUE!</v>
      </c>
      <c r="K223" t="s">
        <v>1730</v>
      </c>
      <c r="M223" s="66"/>
      <c r="N223" t="s">
        <v>2547</v>
      </c>
      <c r="O223" s="66">
        <v>3366738.38</v>
      </c>
    </row>
    <row r="224" spans="1:15" hidden="1" x14ac:dyDescent="0.35">
      <c r="A224" s="88" t="s">
        <v>1085</v>
      </c>
      <c r="B224" s="2" t="s">
        <v>790</v>
      </c>
      <c r="C224" s="18" t="s">
        <v>1052</v>
      </c>
      <c r="D224" s="2" t="s">
        <v>507</v>
      </c>
      <c r="E224" s="18" t="s">
        <v>2589</v>
      </c>
      <c r="F224" s="19" t="s">
        <v>2650</v>
      </c>
      <c r="G224" s="18">
        <v>3020430.4</v>
      </c>
      <c r="H224" s="37" t="e">
        <f t="shared" si="12"/>
        <v>#VALUE!</v>
      </c>
      <c r="I224" s="37" t="e">
        <f t="shared" si="14"/>
        <v>#VALUE!</v>
      </c>
      <c r="J224" s="37" t="e">
        <f t="shared" si="13"/>
        <v>#VALUE!</v>
      </c>
      <c r="K224" t="s">
        <v>1730</v>
      </c>
      <c r="M224" s="66"/>
      <c r="N224" t="s">
        <v>2650</v>
      </c>
      <c r="O224" s="66">
        <v>3020430.4</v>
      </c>
    </row>
    <row r="225" spans="1:15" hidden="1" x14ac:dyDescent="0.35">
      <c r="A225" s="88" t="s">
        <v>1085</v>
      </c>
      <c r="B225" s="2" t="s">
        <v>790</v>
      </c>
      <c r="C225" s="18" t="s">
        <v>1086</v>
      </c>
      <c r="D225" s="2" t="s">
        <v>507</v>
      </c>
      <c r="E225" s="18" t="s">
        <v>2590</v>
      </c>
      <c r="F225" s="19" t="s">
        <v>2654</v>
      </c>
      <c r="G225" s="18">
        <v>3153794.55</v>
      </c>
      <c r="H225" s="37">
        <f t="shared" si="12"/>
        <v>357</v>
      </c>
      <c r="I225" s="37" t="str">
        <f t="shared" si="14"/>
        <v>More than 180 Days</v>
      </c>
      <c r="J225" s="37" t="str">
        <f t="shared" si="13"/>
        <v>More than 180 Days</v>
      </c>
      <c r="K225" t="s">
        <v>1730</v>
      </c>
      <c r="M225" s="66"/>
      <c r="N225" t="s">
        <v>2654</v>
      </c>
      <c r="O225" s="66">
        <v>3153794.55</v>
      </c>
    </row>
    <row r="226" spans="1:15" hidden="1" x14ac:dyDescent="0.35">
      <c r="A226" s="88" t="s">
        <v>1085</v>
      </c>
      <c r="B226" s="2" t="s">
        <v>790</v>
      </c>
      <c r="C226" s="18" t="s">
        <v>1086</v>
      </c>
      <c r="D226" s="2" t="s">
        <v>507</v>
      </c>
      <c r="E226" s="18" t="s">
        <v>2591</v>
      </c>
      <c r="F226" s="19" t="s">
        <v>2654</v>
      </c>
      <c r="G226" s="18">
        <v>2816726.46</v>
      </c>
      <c r="H226" s="37">
        <f t="shared" si="12"/>
        <v>357</v>
      </c>
      <c r="I226" s="37" t="str">
        <f t="shared" si="14"/>
        <v>More than 180 Days</v>
      </c>
      <c r="J226" s="37" t="str">
        <f t="shared" si="13"/>
        <v>More than 180 Days</v>
      </c>
      <c r="K226" t="s">
        <v>1730</v>
      </c>
      <c r="M226" s="66"/>
      <c r="N226" t="s">
        <v>2654</v>
      </c>
      <c r="O226" s="66">
        <v>2816726.46</v>
      </c>
    </row>
    <row r="227" spans="1:15" hidden="1" x14ac:dyDescent="0.35">
      <c r="A227" s="88" t="s">
        <v>1085</v>
      </c>
      <c r="B227" s="2" t="s">
        <v>790</v>
      </c>
      <c r="C227" s="18" t="s">
        <v>2559</v>
      </c>
      <c r="D227" s="2" t="s">
        <v>507</v>
      </c>
      <c r="E227" s="18" t="s">
        <v>2565</v>
      </c>
      <c r="F227" s="19" t="s">
        <v>2654</v>
      </c>
      <c r="G227" s="18">
        <v>3380728.32</v>
      </c>
      <c r="H227" s="37">
        <f t="shared" si="12"/>
        <v>357</v>
      </c>
      <c r="I227" s="37" t="str">
        <f t="shared" si="14"/>
        <v>More than 180 Days</v>
      </c>
      <c r="J227" s="37" t="str">
        <f t="shared" si="13"/>
        <v>More than 180 Days</v>
      </c>
      <c r="K227" t="s">
        <v>1730</v>
      </c>
      <c r="M227" s="66"/>
      <c r="N227" t="s">
        <v>2654</v>
      </c>
      <c r="O227" s="66">
        <v>3380728.32</v>
      </c>
    </row>
    <row r="228" spans="1:15" hidden="1" x14ac:dyDescent="0.35">
      <c r="A228" s="88" t="s">
        <v>1085</v>
      </c>
      <c r="B228" s="2" t="s">
        <v>790</v>
      </c>
      <c r="C228" s="18" t="s">
        <v>600</v>
      </c>
      <c r="D228" s="2" t="s">
        <v>507</v>
      </c>
      <c r="E228" s="18" t="s">
        <v>2592</v>
      </c>
      <c r="F228" s="19" t="s">
        <v>2667</v>
      </c>
      <c r="G228" s="18">
        <v>3747581.55</v>
      </c>
      <c r="H228" s="37">
        <f t="shared" si="12"/>
        <v>326</v>
      </c>
      <c r="I228" s="37" t="str">
        <f t="shared" si="14"/>
        <v>More than 180 Days</v>
      </c>
      <c r="J228" s="37" t="str">
        <f t="shared" si="13"/>
        <v>More than 180 Days</v>
      </c>
      <c r="K228" t="s">
        <v>1730</v>
      </c>
      <c r="M228" s="66"/>
      <c r="N228" t="s">
        <v>2667</v>
      </c>
      <c r="O228" s="66">
        <v>3747581.55</v>
      </c>
    </row>
    <row r="229" spans="1:15" hidden="1" x14ac:dyDescent="0.35">
      <c r="A229" s="88" t="s">
        <v>1085</v>
      </c>
      <c r="B229" s="2" t="s">
        <v>790</v>
      </c>
      <c r="C229" s="18" t="s">
        <v>600</v>
      </c>
      <c r="D229" s="2" t="s">
        <v>507</v>
      </c>
      <c r="E229" s="18" t="s">
        <v>2593</v>
      </c>
      <c r="F229" s="19" t="s">
        <v>2668</v>
      </c>
      <c r="G229" s="18">
        <v>3710106.6</v>
      </c>
      <c r="H229" s="37">
        <f t="shared" si="12"/>
        <v>297</v>
      </c>
      <c r="I229" s="37" t="str">
        <f t="shared" si="14"/>
        <v>More than 180 Days</v>
      </c>
      <c r="J229" s="37" t="str">
        <f t="shared" si="13"/>
        <v>More than 180 Days</v>
      </c>
      <c r="K229" t="s">
        <v>1730</v>
      </c>
      <c r="M229" s="66"/>
      <c r="N229" t="s">
        <v>2668</v>
      </c>
      <c r="O229" s="66">
        <v>3710106.6</v>
      </c>
    </row>
    <row r="230" spans="1:15" hidden="1" x14ac:dyDescent="0.35">
      <c r="A230" s="88" t="s">
        <v>1085</v>
      </c>
      <c r="B230" s="2" t="s">
        <v>790</v>
      </c>
      <c r="C230" s="18" t="s">
        <v>650</v>
      </c>
      <c r="D230" s="2" t="s">
        <v>507</v>
      </c>
      <c r="E230" s="18" t="s">
        <v>2594</v>
      </c>
      <c r="F230" s="19" t="s">
        <v>2668</v>
      </c>
      <c r="G230" s="18">
        <v>3904488</v>
      </c>
      <c r="H230" s="37">
        <f t="shared" si="12"/>
        <v>297</v>
      </c>
      <c r="I230" s="37" t="str">
        <f t="shared" si="14"/>
        <v>More than 180 Days</v>
      </c>
      <c r="J230" s="37" t="str">
        <f t="shared" si="13"/>
        <v>More than 180 Days</v>
      </c>
      <c r="K230" t="s">
        <v>1730</v>
      </c>
      <c r="M230" s="66"/>
      <c r="N230" t="s">
        <v>2668</v>
      </c>
      <c r="O230" s="66">
        <v>3904488</v>
      </c>
    </row>
    <row r="231" spans="1:15" hidden="1" x14ac:dyDescent="0.35">
      <c r="A231" s="88" t="s">
        <v>1085</v>
      </c>
      <c r="B231" s="2" t="s">
        <v>790</v>
      </c>
      <c r="C231" s="18" t="s">
        <v>1086</v>
      </c>
      <c r="D231" s="2" t="s">
        <v>507</v>
      </c>
      <c r="E231" s="18" t="s">
        <v>2595</v>
      </c>
      <c r="F231" s="19" t="s">
        <v>2665</v>
      </c>
      <c r="G231" s="18">
        <v>44670.41</v>
      </c>
      <c r="H231" s="37">
        <f t="shared" si="12"/>
        <v>266</v>
      </c>
      <c r="I231" s="37" t="str">
        <f t="shared" si="14"/>
        <v>More than 180 Days</v>
      </c>
      <c r="J231" s="37" t="str">
        <f t="shared" si="13"/>
        <v>More than 180 Days</v>
      </c>
      <c r="K231" t="s">
        <v>1730</v>
      </c>
      <c r="M231" s="66"/>
      <c r="N231" t="s">
        <v>2665</v>
      </c>
      <c r="O231" s="66">
        <v>44670.41</v>
      </c>
    </row>
    <row r="232" spans="1:15" hidden="1" x14ac:dyDescent="0.35">
      <c r="A232" s="88" t="s">
        <v>1085</v>
      </c>
      <c r="B232" s="2" t="s">
        <v>790</v>
      </c>
      <c r="C232" s="18" t="s">
        <v>1086</v>
      </c>
      <c r="D232" s="2" t="s">
        <v>507</v>
      </c>
      <c r="E232" s="18" t="s">
        <v>2596</v>
      </c>
      <c r="F232" s="19" t="s">
        <v>2665</v>
      </c>
      <c r="G232" s="18">
        <v>33028.93</v>
      </c>
      <c r="H232" s="37">
        <f t="shared" si="12"/>
        <v>266</v>
      </c>
      <c r="I232" s="37" t="str">
        <f t="shared" si="14"/>
        <v>More than 180 Days</v>
      </c>
      <c r="J232" s="37" t="str">
        <f t="shared" si="13"/>
        <v>More than 180 Days</v>
      </c>
      <c r="K232" t="s">
        <v>1730</v>
      </c>
      <c r="M232" s="66"/>
      <c r="N232" t="s">
        <v>2665</v>
      </c>
      <c r="O232" s="66">
        <v>33028.93</v>
      </c>
    </row>
    <row r="233" spans="1:15" hidden="1" x14ac:dyDescent="0.35">
      <c r="A233" s="88" t="s">
        <v>1085</v>
      </c>
      <c r="B233" s="2" t="s">
        <v>790</v>
      </c>
      <c r="C233" s="18" t="s">
        <v>1086</v>
      </c>
      <c r="D233" s="2" t="s">
        <v>507</v>
      </c>
      <c r="E233" s="18" t="s">
        <v>2597</v>
      </c>
      <c r="F233" s="19" t="s">
        <v>2655</v>
      </c>
      <c r="G233" s="18">
        <v>2069937.9</v>
      </c>
      <c r="H233" s="37">
        <f t="shared" si="12"/>
        <v>236</v>
      </c>
      <c r="I233" s="37" t="str">
        <f t="shared" si="14"/>
        <v>More than 180 Days</v>
      </c>
      <c r="J233" s="37" t="str">
        <f t="shared" si="13"/>
        <v>More than 180 Days</v>
      </c>
      <c r="K233" t="s">
        <v>1730</v>
      </c>
      <c r="M233" s="66"/>
      <c r="N233" t="s">
        <v>2655</v>
      </c>
      <c r="O233" s="66">
        <v>2069937.9</v>
      </c>
    </row>
    <row r="234" spans="1:15" hidden="1" x14ac:dyDescent="0.35">
      <c r="A234" s="88" t="s">
        <v>1085</v>
      </c>
      <c r="B234" s="2" t="s">
        <v>790</v>
      </c>
      <c r="C234" s="18" t="s">
        <v>1086</v>
      </c>
      <c r="D234" s="2" t="s">
        <v>507</v>
      </c>
      <c r="E234" s="18" t="s">
        <v>2598</v>
      </c>
      <c r="F234" s="19" t="s">
        <v>2655</v>
      </c>
      <c r="G234" s="18">
        <v>27764.54</v>
      </c>
      <c r="H234" s="37">
        <f t="shared" si="12"/>
        <v>236</v>
      </c>
      <c r="I234" s="37" t="str">
        <f t="shared" si="14"/>
        <v>More than 180 Days</v>
      </c>
      <c r="J234" s="37" t="str">
        <f t="shared" si="13"/>
        <v>More than 180 Days</v>
      </c>
      <c r="K234" t="s">
        <v>1730</v>
      </c>
      <c r="M234" s="66"/>
      <c r="N234" t="s">
        <v>2655</v>
      </c>
      <c r="O234" s="66">
        <v>27764.54</v>
      </c>
    </row>
    <row r="235" spans="1:15" hidden="1" x14ac:dyDescent="0.35">
      <c r="A235" s="88" t="s">
        <v>1085</v>
      </c>
      <c r="B235" s="2" t="s">
        <v>790</v>
      </c>
      <c r="C235" s="18" t="s">
        <v>1086</v>
      </c>
      <c r="D235" s="2" t="s">
        <v>507</v>
      </c>
      <c r="E235" s="18" t="s">
        <v>2599</v>
      </c>
      <c r="F235" s="19" t="s">
        <v>2655</v>
      </c>
      <c r="G235" s="18">
        <v>31656.95</v>
      </c>
      <c r="H235" s="37">
        <f t="shared" si="12"/>
        <v>236</v>
      </c>
      <c r="I235" s="37" t="str">
        <f t="shared" si="14"/>
        <v>More than 180 Days</v>
      </c>
      <c r="J235" s="37" t="str">
        <f t="shared" si="13"/>
        <v>More than 180 Days</v>
      </c>
      <c r="K235" t="s">
        <v>1730</v>
      </c>
      <c r="M235" s="66"/>
      <c r="N235" t="s">
        <v>2655</v>
      </c>
      <c r="O235" s="66">
        <v>31656.95</v>
      </c>
    </row>
    <row r="236" spans="1:15" hidden="1" x14ac:dyDescent="0.35">
      <c r="A236" s="88" t="s">
        <v>1085</v>
      </c>
      <c r="B236" s="2" t="s">
        <v>790</v>
      </c>
      <c r="C236" s="18" t="s">
        <v>1086</v>
      </c>
      <c r="D236" s="2" t="s">
        <v>507</v>
      </c>
      <c r="E236" s="18" t="s">
        <v>2600</v>
      </c>
      <c r="F236" s="19" t="s">
        <v>2655</v>
      </c>
      <c r="G236" s="18">
        <v>42881.26</v>
      </c>
      <c r="H236" s="37">
        <f t="shared" si="12"/>
        <v>236</v>
      </c>
      <c r="I236" s="37" t="str">
        <f t="shared" si="14"/>
        <v>More than 180 Days</v>
      </c>
      <c r="J236" s="37" t="str">
        <f t="shared" si="13"/>
        <v>More than 180 Days</v>
      </c>
      <c r="K236" t="s">
        <v>1730</v>
      </c>
      <c r="M236" s="66"/>
      <c r="N236" t="s">
        <v>2655</v>
      </c>
      <c r="O236" s="66">
        <v>42881.26</v>
      </c>
    </row>
    <row r="237" spans="1:15" hidden="1" x14ac:dyDescent="0.35">
      <c r="A237" s="88" t="s">
        <v>1085</v>
      </c>
      <c r="B237" s="2" t="s">
        <v>790</v>
      </c>
      <c r="C237" s="18" t="s">
        <v>1086</v>
      </c>
      <c r="D237" s="2" t="s">
        <v>507</v>
      </c>
      <c r="E237" s="18" t="s">
        <v>2601</v>
      </c>
      <c r="F237" s="19" t="s">
        <v>2655</v>
      </c>
      <c r="G237" s="18">
        <v>113930.1</v>
      </c>
      <c r="H237" s="37">
        <f t="shared" si="12"/>
        <v>236</v>
      </c>
      <c r="I237" s="37" t="str">
        <f t="shared" si="14"/>
        <v>More than 180 Days</v>
      </c>
      <c r="J237" s="37" t="str">
        <f t="shared" si="13"/>
        <v>More than 180 Days</v>
      </c>
      <c r="K237" t="s">
        <v>1730</v>
      </c>
      <c r="M237" s="66"/>
      <c r="N237" t="s">
        <v>2655</v>
      </c>
      <c r="O237" s="66">
        <v>113930.1</v>
      </c>
    </row>
    <row r="238" spans="1:15" hidden="1" x14ac:dyDescent="0.35">
      <c r="A238" s="88" t="s">
        <v>1085</v>
      </c>
      <c r="B238" s="2" t="s">
        <v>790</v>
      </c>
      <c r="C238" s="18" t="s">
        <v>650</v>
      </c>
      <c r="D238" s="2" t="s">
        <v>507</v>
      </c>
      <c r="E238" s="18" t="s">
        <v>2602</v>
      </c>
      <c r="F238" s="19" t="s">
        <v>2655</v>
      </c>
      <c r="G238" s="18">
        <v>2949777.81</v>
      </c>
      <c r="H238" s="37">
        <f t="shared" si="12"/>
        <v>236</v>
      </c>
      <c r="I238" s="37" t="str">
        <f t="shared" si="14"/>
        <v>More than 180 Days</v>
      </c>
      <c r="J238" s="37" t="str">
        <f t="shared" si="13"/>
        <v>More than 180 Days</v>
      </c>
      <c r="K238" t="s">
        <v>1730</v>
      </c>
      <c r="M238" s="66"/>
      <c r="N238" t="s">
        <v>2655</v>
      </c>
      <c r="O238" s="66">
        <v>2949777.81</v>
      </c>
    </row>
    <row r="239" spans="1:15" hidden="1" x14ac:dyDescent="0.35">
      <c r="A239" s="88" t="s">
        <v>1085</v>
      </c>
      <c r="B239" s="2" t="s">
        <v>790</v>
      </c>
      <c r="C239" s="18" t="s">
        <v>1086</v>
      </c>
      <c r="D239" s="2" t="s">
        <v>507</v>
      </c>
      <c r="E239" s="18" t="s">
        <v>2603</v>
      </c>
      <c r="F239" s="19" t="s">
        <v>2672</v>
      </c>
      <c r="G239" s="18">
        <v>1842840.56</v>
      </c>
      <c r="H239" s="37">
        <f t="shared" si="12"/>
        <v>205</v>
      </c>
      <c r="I239" s="37" t="str">
        <f t="shared" si="14"/>
        <v>More than 180 Days</v>
      </c>
      <c r="J239" s="37" t="str">
        <f t="shared" si="13"/>
        <v>More than 180 Days</v>
      </c>
      <c r="K239" t="s">
        <v>1730</v>
      </c>
      <c r="M239" s="66"/>
      <c r="N239" t="s">
        <v>2672</v>
      </c>
      <c r="O239" s="66">
        <v>1842840.56</v>
      </c>
    </row>
    <row r="240" spans="1:15" hidden="1" x14ac:dyDescent="0.35">
      <c r="A240" s="88" t="s">
        <v>1085</v>
      </c>
      <c r="B240" s="2" t="s">
        <v>790</v>
      </c>
      <c r="C240" s="18" t="s">
        <v>1086</v>
      </c>
      <c r="D240" s="2" t="s">
        <v>507</v>
      </c>
      <c r="E240" s="18" t="s">
        <v>2604</v>
      </c>
      <c r="F240" s="19" t="s">
        <v>2672</v>
      </c>
      <c r="G240" s="18">
        <v>533049.93999999994</v>
      </c>
      <c r="H240" s="37">
        <f t="shared" si="12"/>
        <v>205</v>
      </c>
      <c r="I240" s="37" t="str">
        <f t="shared" si="14"/>
        <v>More than 180 Days</v>
      </c>
      <c r="J240" s="37" t="str">
        <f t="shared" si="13"/>
        <v>More than 180 Days</v>
      </c>
      <c r="K240" t="s">
        <v>1730</v>
      </c>
      <c r="M240" s="66"/>
      <c r="N240" t="s">
        <v>2672</v>
      </c>
      <c r="O240" s="66">
        <v>533049.93999999994</v>
      </c>
    </row>
    <row r="241" spans="1:15" hidden="1" x14ac:dyDescent="0.35">
      <c r="A241" s="88" t="s">
        <v>1085</v>
      </c>
      <c r="B241" s="2" t="s">
        <v>790</v>
      </c>
      <c r="C241" s="18" t="s">
        <v>635</v>
      </c>
      <c r="D241" s="2" t="s">
        <v>507</v>
      </c>
      <c r="E241" s="18" t="s">
        <v>2605</v>
      </c>
      <c r="F241" s="19" t="s">
        <v>2669</v>
      </c>
      <c r="G241" s="18">
        <v>3160314.61</v>
      </c>
      <c r="H241" s="37" t="e">
        <f t="shared" si="12"/>
        <v>#VALUE!</v>
      </c>
      <c r="I241" s="37" t="e">
        <f t="shared" si="14"/>
        <v>#VALUE!</v>
      </c>
      <c r="J241" s="37" t="e">
        <f t="shared" si="13"/>
        <v>#VALUE!</v>
      </c>
      <c r="K241" t="s">
        <v>1730</v>
      </c>
      <c r="M241" s="66"/>
      <c r="N241" t="s">
        <v>2669</v>
      </c>
      <c r="O241" s="66">
        <v>3160314.61</v>
      </c>
    </row>
    <row r="242" spans="1:15" hidden="1" x14ac:dyDescent="0.35">
      <c r="A242" s="88" t="s">
        <v>1085</v>
      </c>
      <c r="B242" s="2" t="s">
        <v>790</v>
      </c>
      <c r="C242" s="18" t="s">
        <v>635</v>
      </c>
      <c r="D242" s="2" t="s">
        <v>507</v>
      </c>
      <c r="E242" s="18" t="s">
        <v>2606</v>
      </c>
      <c r="F242" s="19" t="s">
        <v>2669</v>
      </c>
      <c r="G242" s="18">
        <v>3405257.67</v>
      </c>
      <c r="H242" s="37" t="e">
        <f t="shared" si="12"/>
        <v>#VALUE!</v>
      </c>
      <c r="I242" s="37" t="e">
        <f t="shared" si="14"/>
        <v>#VALUE!</v>
      </c>
      <c r="J242" s="37" t="e">
        <f t="shared" si="13"/>
        <v>#VALUE!</v>
      </c>
      <c r="K242" t="s">
        <v>1730</v>
      </c>
      <c r="M242" s="66"/>
      <c r="N242" t="s">
        <v>2669</v>
      </c>
      <c r="O242" s="66">
        <v>3405257.67</v>
      </c>
    </row>
    <row r="243" spans="1:15" hidden="1" x14ac:dyDescent="0.35">
      <c r="A243" s="88" t="s">
        <v>1085</v>
      </c>
      <c r="B243" s="2" t="s">
        <v>790</v>
      </c>
      <c r="C243" s="18" t="s">
        <v>650</v>
      </c>
      <c r="D243" s="2" t="s">
        <v>507</v>
      </c>
      <c r="E243" s="18" t="s">
        <v>2607</v>
      </c>
      <c r="F243" s="19" t="s">
        <v>2670</v>
      </c>
      <c r="G243" s="18">
        <v>2906507.31</v>
      </c>
      <c r="H243" s="37" t="e">
        <f t="shared" si="12"/>
        <v>#VALUE!</v>
      </c>
      <c r="I243" s="37" t="e">
        <f t="shared" si="14"/>
        <v>#VALUE!</v>
      </c>
      <c r="J243" s="37" t="e">
        <f t="shared" si="13"/>
        <v>#VALUE!</v>
      </c>
      <c r="K243" t="s">
        <v>1730</v>
      </c>
      <c r="M243" s="66"/>
      <c r="N243" t="s">
        <v>2670</v>
      </c>
      <c r="O243" s="66">
        <v>2906507.31</v>
      </c>
    </row>
    <row r="244" spans="1:15" hidden="1" x14ac:dyDescent="0.35">
      <c r="A244" s="88" t="s">
        <v>1085</v>
      </c>
      <c r="B244" s="2" t="s">
        <v>790</v>
      </c>
      <c r="C244" s="18" t="s">
        <v>650</v>
      </c>
      <c r="D244" s="2" t="s">
        <v>507</v>
      </c>
      <c r="E244" s="18" t="s">
        <v>2608</v>
      </c>
      <c r="F244" s="19" t="s">
        <v>2670</v>
      </c>
      <c r="G244" s="18">
        <v>3160791.64</v>
      </c>
      <c r="H244" s="37" t="e">
        <f t="shared" si="12"/>
        <v>#VALUE!</v>
      </c>
      <c r="I244" s="37" t="e">
        <f t="shared" si="14"/>
        <v>#VALUE!</v>
      </c>
      <c r="J244" s="37" t="e">
        <f t="shared" si="13"/>
        <v>#VALUE!</v>
      </c>
      <c r="K244" t="s">
        <v>1730</v>
      </c>
      <c r="M244" s="66"/>
      <c r="N244" t="s">
        <v>2670</v>
      </c>
      <c r="O244" s="66">
        <v>3160791.64</v>
      </c>
    </row>
    <row r="245" spans="1:15" hidden="1" x14ac:dyDescent="0.35">
      <c r="A245" s="88" t="s">
        <v>1085</v>
      </c>
      <c r="B245" s="2" t="s">
        <v>790</v>
      </c>
      <c r="C245" s="18" t="s">
        <v>596</v>
      </c>
      <c r="D245" s="2" t="s">
        <v>507</v>
      </c>
      <c r="E245" s="18" t="s">
        <v>2609</v>
      </c>
      <c r="F245" s="19" t="s">
        <v>2652</v>
      </c>
      <c r="G245" s="18">
        <v>3931103.67</v>
      </c>
      <c r="H245" s="37" t="e">
        <f t="shared" si="12"/>
        <v>#VALUE!</v>
      </c>
      <c r="I245" s="37" t="e">
        <f t="shared" si="14"/>
        <v>#VALUE!</v>
      </c>
      <c r="J245" s="37" t="e">
        <f t="shared" si="13"/>
        <v>#VALUE!</v>
      </c>
      <c r="K245" t="s">
        <v>1730</v>
      </c>
      <c r="M245" s="66"/>
      <c r="N245" t="s">
        <v>2652</v>
      </c>
      <c r="O245" s="66">
        <v>3931103.67</v>
      </c>
    </row>
    <row r="246" spans="1:15" hidden="1" x14ac:dyDescent="0.35">
      <c r="A246" s="88" t="s">
        <v>1085</v>
      </c>
      <c r="B246" s="2" t="s">
        <v>790</v>
      </c>
      <c r="C246" s="18" t="s">
        <v>650</v>
      </c>
      <c r="D246" s="2" t="s">
        <v>507</v>
      </c>
      <c r="E246" s="18" t="s">
        <v>2610</v>
      </c>
      <c r="F246" s="19" t="s">
        <v>2652</v>
      </c>
      <c r="G246" s="18">
        <v>3114124.03</v>
      </c>
      <c r="H246" s="37" t="e">
        <f t="shared" si="12"/>
        <v>#VALUE!</v>
      </c>
      <c r="I246" s="37" t="e">
        <f t="shared" si="14"/>
        <v>#VALUE!</v>
      </c>
      <c r="J246" s="37" t="e">
        <f t="shared" si="13"/>
        <v>#VALUE!</v>
      </c>
      <c r="K246" t="s">
        <v>1730</v>
      </c>
      <c r="M246" s="66"/>
      <c r="N246" t="s">
        <v>2652</v>
      </c>
      <c r="O246" s="66">
        <v>3114124.03</v>
      </c>
    </row>
    <row r="247" spans="1:15" hidden="1" x14ac:dyDescent="0.35">
      <c r="A247" s="88" t="s">
        <v>1085</v>
      </c>
      <c r="B247" s="2" t="s">
        <v>790</v>
      </c>
      <c r="C247" s="18" t="s">
        <v>538</v>
      </c>
      <c r="D247" s="2" t="s">
        <v>507</v>
      </c>
      <c r="E247" s="18" t="s">
        <v>2611</v>
      </c>
      <c r="F247" s="19" t="s">
        <v>2660</v>
      </c>
      <c r="G247" s="18">
        <v>3134106.72</v>
      </c>
      <c r="H247" s="37" t="e">
        <f t="shared" si="12"/>
        <v>#VALUE!</v>
      </c>
      <c r="I247" s="37" t="e">
        <f t="shared" si="14"/>
        <v>#VALUE!</v>
      </c>
      <c r="J247" s="37" t="e">
        <f t="shared" si="13"/>
        <v>#VALUE!</v>
      </c>
      <c r="K247" t="s">
        <v>1730</v>
      </c>
      <c r="M247" s="66"/>
      <c r="N247" t="s">
        <v>2660</v>
      </c>
      <c r="O247" s="66">
        <v>3134106.72</v>
      </c>
    </row>
    <row r="248" spans="1:15" hidden="1" x14ac:dyDescent="0.35">
      <c r="A248" s="88" t="s">
        <v>1085</v>
      </c>
      <c r="B248" s="2" t="s">
        <v>790</v>
      </c>
      <c r="C248" s="18" t="s">
        <v>814</v>
      </c>
      <c r="D248" s="2" t="s">
        <v>507</v>
      </c>
      <c r="E248" s="18" t="s">
        <v>2558</v>
      </c>
      <c r="F248" s="19" t="s">
        <v>2673</v>
      </c>
      <c r="G248" s="108">
        <v>116822.15</v>
      </c>
      <c r="H248" s="37" t="e">
        <f t="shared" si="12"/>
        <v>#VALUE!</v>
      </c>
      <c r="I248" s="37" t="e">
        <f t="shared" si="14"/>
        <v>#VALUE!</v>
      </c>
      <c r="J248" s="37" t="e">
        <f t="shared" si="13"/>
        <v>#VALUE!</v>
      </c>
      <c r="K248" t="s">
        <v>1730</v>
      </c>
      <c r="M248" s="66"/>
      <c r="N248" t="s">
        <v>2673</v>
      </c>
      <c r="O248" s="66">
        <v>116822.15</v>
      </c>
    </row>
    <row r="249" spans="1:15" hidden="1" x14ac:dyDescent="0.35">
      <c r="A249" s="88" t="s">
        <v>1085</v>
      </c>
      <c r="B249" s="2" t="s">
        <v>790</v>
      </c>
      <c r="C249" s="18" t="s">
        <v>1330</v>
      </c>
      <c r="D249" s="2" t="s">
        <v>507</v>
      </c>
      <c r="E249" s="18" t="s">
        <v>2612</v>
      </c>
      <c r="F249" s="19" t="s">
        <v>2661</v>
      </c>
      <c r="G249" s="18">
        <f>4064567.04-16124</f>
        <v>4048443.04</v>
      </c>
      <c r="H249" s="37" t="e">
        <f t="shared" si="12"/>
        <v>#VALUE!</v>
      </c>
      <c r="I249" s="37" t="e">
        <f t="shared" si="14"/>
        <v>#VALUE!</v>
      </c>
      <c r="J249" s="37" t="e">
        <f t="shared" si="13"/>
        <v>#VALUE!</v>
      </c>
      <c r="K249" t="s">
        <v>1730</v>
      </c>
      <c r="M249" s="66"/>
      <c r="N249" t="s">
        <v>2661</v>
      </c>
      <c r="O249" s="66">
        <v>4064567.04</v>
      </c>
    </row>
    <row r="250" spans="1:15" hidden="1" x14ac:dyDescent="0.35">
      <c r="A250" s="88" t="s">
        <v>1085</v>
      </c>
      <c r="B250" s="2" t="s">
        <v>790</v>
      </c>
      <c r="C250" s="18" t="s">
        <v>1086</v>
      </c>
      <c r="D250" s="2" t="s">
        <v>507</v>
      </c>
      <c r="E250" s="18" t="s">
        <v>2613</v>
      </c>
      <c r="F250" s="19" t="s">
        <v>2661</v>
      </c>
      <c r="G250" s="18">
        <v>23459.9</v>
      </c>
      <c r="H250" s="37" t="e">
        <f t="shared" si="12"/>
        <v>#VALUE!</v>
      </c>
      <c r="I250" s="37" t="e">
        <f t="shared" si="14"/>
        <v>#VALUE!</v>
      </c>
      <c r="J250" s="37" t="e">
        <f t="shared" si="13"/>
        <v>#VALUE!</v>
      </c>
      <c r="K250" t="s">
        <v>1730</v>
      </c>
      <c r="M250" s="66"/>
      <c r="N250" t="s">
        <v>2661</v>
      </c>
      <c r="O250" s="66">
        <v>23459.9</v>
      </c>
    </row>
    <row r="251" spans="1:15" hidden="1" x14ac:dyDescent="0.35">
      <c r="A251" s="88" t="s">
        <v>1085</v>
      </c>
      <c r="B251" s="2" t="s">
        <v>790</v>
      </c>
      <c r="C251" s="18" t="s">
        <v>1086</v>
      </c>
      <c r="D251" s="2" t="s">
        <v>507</v>
      </c>
      <c r="E251" s="18" t="s">
        <v>2614</v>
      </c>
      <c r="F251" s="19" t="s">
        <v>2661</v>
      </c>
      <c r="G251" s="18">
        <v>139033.01999999999</v>
      </c>
      <c r="H251" s="37" t="e">
        <f t="shared" si="12"/>
        <v>#VALUE!</v>
      </c>
      <c r="I251" s="37" t="e">
        <f t="shared" si="14"/>
        <v>#VALUE!</v>
      </c>
      <c r="J251" s="37" t="e">
        <f t="shared" si="13"/>
        <v>#VALUE!</v>
      </c>
      <c r="K251" t="s">
        <v>1730</v>
      </c>
      <c r="M251" s="66"/>
      <c r="N251" t="s">
        <v>2661</v>
      </c>
      <c r="O251" s="66">
        <v>139033.01999999999</v>
      </c>
    </row>
    <row r="252" spans="1:15" hidden="1" x14ac:dyDescent="0.35">
      <c r="A252" s="88" t="s">
        <v>1085</v>
      </c>
      <c r="B252" s="2" t="s">
        <v>790</v>
      </c>
      <c r="C252" s="18" t="s">
        <v>1086</v>
      </c>
      <c r="D252" s="2" t="s">
        <v>507</v>
      </c>
      <c r="E252" s="18" t="s">
        <v>2615</v>
      </c>
      <c r="F252" s="19" t="s">
        <v>2661</v>
      </c>
      <c r="G252" s="18">
        <v>502038.78</v>
      </c>
      <c r="H252" s="37" t="e">
        <f t="shared" si="12"/>
        <v>#VALUE!</v>
      </c>
      <c r="I252" s="37" t="e">
        <f t="shared" si="14"/>
        <v>#VALUE!</v>
      </c>
      <c r="J252" s="37" t="e">
        <f t="shared" si="13"/>
        <v>#VALUE!</v>
      </c>
      <c r="K252" t="s">
        <v>1730</v>
      </c>
      <c r="M252" s="66"/>
      <c r="N252" t="s">
        <v>2661</v>
      </c>
      <c r="O252" s="66">
        <v>502038.78</v>
      </c>
    </row>
    <row r="253" spans="1:15" hidden="1" x14ac:dyDescent="0.35">
      <c r="A253" s="88" t="s">
        <v>1085</v>
      </c>
      <c r="B253" s="2" t="s">
        <v>790</v>
      </c>
      <c r="C253" s="18" t="s">
        <v>1086</v>
      </c>
      <c r="D253" s="2" t="s">
        <v>507</v>
      </c>
      <c r="E253" s="18" t="s">
        <v>2616</v>
      </c>
      <c r="F253" s="19" t="s">
        <v>2661</v>
      </c>
      <c r="G253" s="18">
        <v>365582.46</v>
      </c>
      <c r="H253" s="37" t="e">
        <f t="shared" si="12"/>
        <v>#VALUE!</v>
      </c>
      <c r="I253" s="37" t="e">
        <f t="shared" si="14"/>
        <v>#VALUE!</v>
      </c>
      <c r="J253" s="37" t="e">
        <f t="shared" si="13"/>
        <v>#VALUE!</v>
      </c>
      <c r="K253" t="s">
        <v>1730</v>
      </c>
      <c r="M253" s="66"/>
      <c r="N253" t="s">
        <v>2661</v>
      </c>
      <c r="O253" s="66">
        <v>365582.46</v>
      </c>
    </row>
    <row r="254" spans="1:15" hidden="1" x14ac:dyDescent="0.35">
      <c r="A254" s="88" t="s">
        <v>1085</v>
      </c>
      <c r="B254" s="2" t="s">
        <v>790</v>
      </c>
      <c r="C254" s="18" t="s">
        <v>1086</v>
      </c>
      <c r="D254" s="2" t="s">
        <v>507</v>
      </c>
      <c r="E254" s="18" t="s">
        <v>2617</v>
      </c>
      <c r="F254" s="19" t="s">
        <v>2661</v>
      </c>
      <c r="G254" s="18">
        <v>1070581.82</v>
      </c>
      <c r="H254" s="37" t="e">
        <f t="shared" si="12"/>
        <v>#VALUE!</v>
      </c>
      <c r="I254" s="37" t="e">
        <f t="shared" si="14"/>
        <v>#VALUE!</v>
      </c>
      <c r="J254" s="37" t="e">
        <f t="shared" si="13"/>
        <v>#VALUE!</v>
      </c>
      <c r="K254" t="s">
        <v>1730</v>
      </c>
      <c r="M254" s="66"/>
      <c r="N254" t="s">
        <v>2661</v>
      </c>
      <c r="O254" s="66">
        <v>1070581.82</v>
      </c>
    </row>
    <row r="255" spans="1:15" hidden="1" x14ac:dyDescent="0.35">
      <c r="A255" s="88" t="s">
        <v>1085</v>
      </c>
      <c r="B255" s="2" t="s">
        <v>790</v>
      </c>
      <c r="C255" s="18" t="s">
        <v>650</v>
      </c>
      <c r="D255" s="2" t="s">
        <v>507</v>
      </c>
      <c r="E255" s="18" t="s">
        <v>2618</v>
      </c>
      <c r="F255" s="19" t="s">
        <v>2661</v>
      </c>
      <c r="G255" s="18">
        <v>2780648.39</v>
      </c>
      <c r="H255" s="37" t="e">
        <f t="shared" si="12"/>
        <v>#VALUE!</v>
      </c>
      <c r="I255" s="37" t="e">
        <f t="shared" si="14"/>
        <v>#VALUE!</v>
      </c>
      <c r="J255" s="37" t="e">
        <f t="shared" si="13"/>
        <v>#VALUE!</v>
      </c>
      <c r="K255" t="s">
        <v>1730</v>
      </c>
      <c r="M255" s="66"/>
      <c r="N255" t="s">
        <v>2661</v>
      </c>
      <c r="O255" s="66">
        <v>2780648.39</v>
      </c>
    </row>
    <row r="256" spans="1:15" hidden="1" x14ac:dyDescent="0.35">
      <c r="A256" s="88" t="s">
        <v>1085</v>
      </c>
      <c r="B256" s="2" t="s">
        <v>790</v>
      </c>
      <c r="C256" s="18" t="s">
        <v>650</v>
      </c>
      <c r="D256" s="2" t="s">
        <v>507</v>
      </c>
      <c r="E256" s="18" t="s">
        <v>2619</v>
      </c>
      <c r="F256" s="19" t="s">
        <v>2662</v>
      </c>
      <c r="G256" s="18">
        <v>3901836.78</v>
      </c>
      <c r="H256" s="37" t="e">
        <f t="shared" si="12"/>
        <v>#VALUE!</v>
      </c>
      <c r="I256" s="37" t="e">
        <f t="shared" si="14"/>
        <v>#VALUE!</v>
      </c>
      <c r="J256" s="37" t="e">
        <f t="shared" si="13"/>
        <v>#VALUE!</v>
      </c>
      <c r="K256" t="s">
        <v>1730</v>
      </c>
      <c r="M256" s="66"/>
      <c r="N256" t="s">
        <v>2662</v>
      </c>
      <c r="O256" s="66">
        <v>3901836.78</v>
      </c>
    </row>
    <row r="257" spans="1:15" hidden="1" x14ac:dyDescent="0.35">
      <c r="A257" s="88" t="s">
        <v>1085</v>
      </c>
      <c r="B257" s="2" t="s">
        <v>790</v>
      </c>
      <c r="C257" s="18" t="s">
        <v>650</v>
      </c>
      <c r="D257" s="2" t="s">
        <v>507</v>
      </c>
      <c r="E257" s="18" t="s">
        <v>2620</v>
      </c>
      <c r="F257" s="19" t="s">
        <v>2674</v>
      </c>
      <c r="G257" s="18">
        <v>3148076.6</v>
      </c>
      <c r="H257" s="37" t="e">
        <f t="shared" si="12"/>
        <v>#VALUE!</v>
      </c>
      <c r="I257" s="37" t="e">
        <f t="shared" si="14"/>
        <v>#VALUE!</v>
      </c>
      <c r="J257" s="37" t="e">
        <f t="shared" si="13"/>
        <v>#VALUE!</v>
      </c>
      <c r="K257" t="s">
        <v>1730</v>
      </c>
      <c r="M257" s="66"/>
      <c r="N257" t="s">
        <v>2674</v>
      </c>
      <c r="O257" s="66">
        <v>3148076.6</v>
      </c>
    </row>
    <row r="258" spans="1:15" hidden="1" x14ac:dyDescent="0.35">
      <c r="A258" s="88" t="s">
        <v>1085</v>
      </c>
      <c r="B258" s="2" t="s">
        <v>790</v>
      </c>
      <c r="C258" s="18" t="s">
        <v>650</v>
      </c>
      <c r="D258" s="2" t="s">
        <v>507</v>
      </c>
      <c r="E258" s="18" t="s">
        <v>2621</v>
      </c>
      <c r="F258" s="19" t="s">
        <v>2674</v>
      </c>
      <c r="G258" s="18">
        <v>1014307.84</v>
      </c>
      <c r="H258" s="37" t="e">
        <f t="shared" si="12"/>
        <v>#VALUE!</v>
      </c>
      <c r="I258" s="37" t="e">
        <f t="shared" si="14"/>
        <v>#VALUE!</v>
      </c>
      <c r="J258" s="37" t="e">
        <f t="shared" si="13"/>
        <v>#VALUE!</v>
      </c>
      <c r="K258" t="s">
        <v>1730</v>
      </c>
      <c r="M258" s="66"/>
      <c r="N258" t="s">
        <v>2674</v>
      </c>
      <c r="O258" s="66">
        <v>1014307.84</v>
      </c>
    </row>
    <row r="259" spans="1:15" hidden="1" x14ac:dyDescent="0.35">
      <c r="A259" s="88" t="s">
        <v>1085</v>
      </c>
      <c r="B259" s="2" t="s">
        <v>790</v>
      </c>
      <c r="C259" s="18" t="s">
        <v>538</v>
      </c>
      <c r="D259" s="2" t="s">
        <v>507</v>
      </c>
      <c r="E259" s="18" t="s">
        <v>2622</v>
      </c>
      <c r="F259" s="19" t="s">
        <v>2663</v>
      </c>
      <c r="G259" s="18">
        <v>3293649</v>
      </c>
      <c r="H259" s="37" t="e">
        <f t="shared" si="12"/>
        <v>#VALUE!</v>
      </c>
      <c r="I259" s="37" t="e">
        <f t="shared" si="14"/>
        <v>#VALUE!</v>
      </c>
      <c r="J259" s="37" t="e">
        <f t="shared" si="13"/>
        <v>#VALUE!</v>
      </c>
      <c r="K259" t="s">
        <v>1730</v>
      </c>
      <c r="M259" s="66"/>
      <c r="N259" t="s">
        <v>2663</v>
      </c>
      <c r="O259" s="66">
        <v>3293649</v>
      </c>
    </row>
    <row r="260" spans="1:15" hidden="1" x14ac:dyDescent="0.35">
      <c r="A260" s="88" t="s">
        <v>1085</v>
      </c>
      <c r="B260" s="2" t="s">
        <v>790</v>
      </c>
      <c r="C260" s="18" t="s">
        <v>2273</v>
      </c>
      <c r="D260" s="2" t="s">
        <v>507</v>
      </c>
      <c r="E260" s="18" t="s">
        <v>2623</v>
      </c>
      <c r="F260" s="19" t="s">
        <v>2648</v>
      </c>
      <c r="G260" s="18">
        <f>3937922.56-1174784</f>
        <v>2763138.56</v>
      </c>
      <c r="H260" s="37" t="e">
        <f t="shared" si="12"/>
        <v>#VALUE!</v>
      </c>
      <c r="I260" s="37" t="e">
        <f t="shared" si="14"/>
        <v>#VALUE!</v>
      </c>
      <c r="J260" s="37" t="e">
        <f t="shared" si="13"/>
        <v>#VALUE!</v>
      </c>
      <c r="K260" t="s">
        <v>1730</v>
      </c>
      <c r="M260" s="66"/>
      <c r="N260" t="s">
        <v>2648</v>
      </c>
      <c r="O260" s="66">
        <v>2763138.56</v>
      </c>
    </row>
    <row r="261" spans="1:15" hidden="1" x14ac:dyDescent="0.35">
      <c r="A261" s="88" t="s">
        <v>1085</v>
      </c>
      <c r="B261" s="2" t="s">
        <v>790</v>
      </c>
      <c r="C261" s="18" t="s">
        <v>538</v>
      </c>
      <c r="D261" s="2" t="s">
        <v>507</v>
      </c>
      <c r="E261" s="18" t="s">
        <v>2624</v>
      </c>
      <c r="F261" s="19" t="s">
        <v>2649</v>
      </c>
      <c r="G261" s="18">
        <v>3300938.37</v>
      </c>
      <c r="H261" s="37" t="e">
        <f t="shared" ref="H261:H324" si="15">$H$2-F261+1</f>
        <v>#VALUE!</v>
      </c>
      <c r="I261" s="37" t="e">
        <f t="shared" si="14"/>
        <v>#VALUE!</v>
      </c>
      <c r="J261" s="37" t="e">
        <f t="shared" si="13"/>
        <v>#VALUE!</v>
      </c>
      <c r="K261" t="s">
        <v>1730</v>
      </c>
      <c r="M261" s="66"/>
      <c r="N261" t="s">
        <v>2649</v>
      </c>
      <c r="O261" s="66">
        <v>3300938.37</v>
      </c>
    </row>
    <row r="262" spans="1:15" hidden="1" x14ac:dyDescent="0.35">
      <c r="A262" s="88" t="s">
        <v>1085</v>
      </c>
      <c r="B262" s="2" t="s">
        <v>790</v>
      </c>
      <c r="C262" s="18" t="s">
        <v>570</v>
      </c>
      <c r="D262" s="2" t="s">
        <v>507</v>
      </c>
      <c r="E262" s="18" t="s">
        <v>2625</v>
      </c>
      <c r="F262" s="19" t="s">
        <v>2664</v>
      </c>
      <c r="G262" s="18">
        <v>3245448.96</v>
      </c>
      <c r="H262" s="37" t="e">
        <f t="shared" si="15"/>
        <v>#VALUE!</v>
      </c>
      <c r="I262" s="37" t="e">
        <f t="shared" si="14"/>
        <v>#VALUE!</v>
      </c>
      <c r="J262" s="37" t="e">
        <f t="shared" ref="J262:J325" si="16">IF(H262&lt;180,"0-180 DAYS","More than 180 Days")</f>
        <v>#VALUE!</v>
      </c>
      <c r="K262" t="s">
        <v>1730</v>
      </c>
      <c r="M262" s="66"/>
      <c r="N262" t="s">
        <v>2664</v>
      </c>
      <c r="O262" s="66">
        <v>3245448.96</v>
      </c>
    </row>
    <row r="263" spans="1:15" hidden="1" x14ac:dyDescent="0.35">
      <c r="A263" s="88" t="s">
        <v>1085</v>
      </c>
      <c r="B263" s="2" t="s">
        <v>790</v>
      </c>
      <c r="C263" s="18" t="s">
        <v>650</v>
      </c>
      <c r="D263" s="2" t="s">
        <v>507</v>
      </c>
      <c r="E263" s="18" t="s">
        <v>2626</v>
      </c>
      <c r="F263" s="19" t="s">
        <v>2664</v>
      </c>
      <c r="G263" s="18">
        <v>3821277.6</v>
      </c>
      <c r="H263" s="37" t="e">
        <f t="shared" si="15"/>
        <v>#VALUE!</v>
      </c>
      <c r="I263" s="37" t="e">
        <f t="shared" si="14"/>
        <v>#VALUE!</v>
      </c>
      <c r="J263" s="37" t="e">
        <f t="shared" si="16"/>
        <v>#VALUE!</v>
      </c>
      <c r="K263" t="s">
        <v>1730</v>
      </c>
      <c r="M263" s="66"/>
      <c r="N263" t="s">
        <v>2664</v>
      </c>
      <c r="O263" s="66">
        <v>3821277.6</v>
      </c>
    </row>
    <row r="264" spans="1:15" hidden="1" x14ac:dyDescent="0.35">
      <c r="A264" s="88" t="s">
        <v>1085</v>
      </c>
      <c r="B264" s="2" t="s">
        <v>790</v>
      </c>
      <c r="C264" s="18" t="s">
        <v>1086</v>
      </c>
      <c r="D264" s="2" t="s">
        <v>507</v>
      </c>
      <c r="E264" s="18" t="s">
        <v>2627</v>
      </c>
      <c r="F264" s="19" t="s">
        <v>2666</v>
      </c>
      <c r="G264" s="18">
        <v>4142749.31</v>
      </c>
      <c r="H264" s="37" t="e">
        <f t="shared" si="15"/>
        <v>#VALUE!</v>
      </c>
      <c r="I264" s="37" t="e">
        <f t="shared" si="14"/>
        <v>#VALUE!</v>
      </c>
      <c r="J264" s="37" t="e">
        <f t="shared" si="16"/>
        <v>#VALUE!</v>
      </c>
      <c r="K264" t="s">
        <v>1730</v>
      </c>
      <c r="M264" s="66"/>
      <c r="N264" t="s">
        <v>2666</v>
      </c>
      <c r="O264" s="66">
        <v>4142749.31</v>
      </c>
    </row>
    <row r="265" spans="1:15" hidden="1" x14ac:dyDescent="0.35">
      <c r="A265" s="88" t="s">
        <v>1085</v>
      </c>
      <c r="B265" s="2" t="s">
        <v>790</v>
      </c>
      <c r="C265" s="18" t="s">
        <v>2560</v>
      </c>
      <c r="D265" s="2" t="s">
        <v>507</v>
      </c>
      <c r="E265" s="18" t="s">
        <v>2567</v>
      </c>
      <c r="F265" s="19" t="s">
        <v>2547</v>
      </c>
      <c r="G265" s="18">
        <v>2962377.6</v>
      </c>
      <c r="H265" s="37" t="e">
        <f t="shared" si="15"/>
        <v>#VALUE!</v>
      </c>
      <c r="I265" s="37" t="e">
        <f t="shared" ref="I265:I328" si="17">IF(H265&lt;121,"0-120 DAYS",IF(H265&lt;181,"121-180 DAYS","More than 180 Days"))</f>
        <v>#VALUE!</v>
      </c>
      <c r="J265" s="37" t="e">
        <f t="shared" si="16"/>
        <v>#VALUE!</v>
      </c>
      <c r="K265" t="s">
        <v>1730</v>
      </c>
      <c r="M265" s="66"/>
      <c r="N265" t="s">
        <v>2547</v>
      </c>
      <c r="O265" s="66">
        <v>2962377.6</v>
      </c>
    </row>
    <row r="266" spans="1:15" hidden="1" x14ac:dyDescent="0.35">
      <c r="A266" s="88" t="s">
        <v>1085</v>
      </c>
      <c r="B266" s="2" t="s">
        <v>790</v>
      </c>
      <c r="C266" s="18" t="s">
        <v>1086</v>
      </c>
      <c r="D266" s="2" t="s">
        <v>507</v>
      </c>
      <c r="E266" s="18" t="s">
        <v>2628</v>
      </c>
      <c r="F266" s="19" t="s">
        <v>2650</v>
      </c>
      <c r="G266" s="18">
        <v>2913664</v>
      </c>
      <c r="H266" s="37" t="e">
        <f t="shared" si="15"/>
        <v>#VALUE!</v>
      </c>
      <c r="I266" s="37" t="e">
        <f t="shared" si="17"/>
        <v>#VALUE!</v>
      </c>
      <c r="J266" s="37" t="e">
        <f t="shared" si="16"/>
        <v>#VALUE!</v>
      </c>
      <c r="K266" t="s">
        <v>1730</v>
      </c>
      <c r="M266" s="66"/>
      <c r="N266" t="s">
        <v>2650</v>
      </c>
      <c r="O266" s="66">
        <v>2913664</v>
      </c>
    </row>
    <row r="267" spans="1:15" hidden="1" x14ac:dyDescent="0.35">
      <c r="A267" s="88" t="s">
        <v>1085</v>
      </c>
      <c r="B267" s="2" t="s">
        <v>790</v>
      </c>
      <c r="C267" s="18" t="s">
        <v>1086</v>
      </c>
      <c r="D267" s="2" t="s">
        <v>507</v>
      </c>
      <c r="E267" s="18" t="s">
        <v>2629</v>
      </c>
      <c r="F267" s="19" t="s">
        <v>2650</v>
      </c>
      <c r="G267" s="18">
        <v>306356.55</v>
      </c>
      <c r="H267" s="37" t="e">
        <f t="shared" si="15"/>
        <v>#VALUE!</v>
      </c>
      <c r="I267" s="37" t="e">
        <f t="shared" si="17"/>
        <v>#VALUE!</v>
      </c>
      <c r="J267" s="37" t="e">
        <f t="shared" si="16"/>
        <v>#VALUE!</v>
      </c>
      <c r="K267" t="s">
        <v>1730</v>
      </c>
      <c r="M267" s="66"/>
      <c r="N267" t="s">
        <v>2650</v>
      </c>
      <c r="O267" s="66">
        <v>306356.55</v>
      </c>
    </row>
    <row r="268" spans="1:15" hidden="1" x14ac:dyDescent="0.35">
      <c r="A268" s="88" t="s">
        <v>1085</v>
      </c>
      <c r="B268" s="2" t="s">
        <v>790</v>
      </c>
      <c r="C268" s="18" t="s">
        <v>1086</v>
      </c>
      <c r="D268" s="2" t="s">
        <v>507</v>
      </c>
      <c r="E268" s="18" t="s">
        <v>2630</v>
      </c>
      <c r="F268" s="19" t="s">
        <v>2650</v>
      </c>
      <c r="G268" s="18">
        <v>90366.02</v>
      </c>
      <c r="H268" s="37" t="e">
        <f t="shared" si="15"/>
        <v>#VALUE!</v>
      </c>
      <c r="I268" s="37" t="e">
        <f t="shared" si="17"/>
        <v>#VALUE!</v>
      </c>
      <c r="J268" s="37" t="e">
        <f t="shared" si="16"/>
        <v>#VALUE!</v>
      </c>
      <c r="K268" t="s">
        <v>1730</v>
      </c>
      <c r="M268" s="66"/>
      <c r="N268" t="s">
        <v>2650</v>
      </c>
      <c r="O268" s="66">
        <v>90366.02</v>
      </c>
    </row>
    <row r="269" spans="1:15" hidden="1" x14ac:dyDescent="0.35">
      <c r="A269" s="88" t="s">
        <v>1085</v>
      </c>
      <c r="B269" s="2" t="s">
        <v>790</v>
      </c>
      <c r="C269" s="18" t="s">
        <v>1086</v>
      </c>
      <c r="D269" s="2" t="s">
        <v>507</v>
      </c>
      <c r="E269" s="18" t="s">
        <v>2631</v>
      </c>
      <c r="F269" s="19" t="s">
        <v>2650</v>
      </c>
      <c r="G269" s="18">
        <v>33825.79</v>
      </c>
      <c r="H269" s="37" t="e">
        <f t="shared" si="15"/>
        <v>#VALUE!</v>
      </c>
      <c r="I269" s="37" t="e">
        <f t="shared" si="17"/>
        <v>#VALUE!</v>
      </c>
      <c r="J269" s="37" t="e">
        <f t="shared" si="16"/>
        <v>#VALUE!</v>
      </c>
      <c r="K269" t="s">
        <v>1730</v>
      </c>
      <c r="M269" s="66"/>
      <c r="N269" t="s">
        <v>2650</v>
      </c>
      <c r="O269" s="66">
        <v>33825.79</v>
      </c>
    </row>
    <row r="270" spans="1:15" hidden="1" x14ac:dyDescent="0.35">
      <c r="A270" s="88" t="s">
        <v>1085</v>
      </c>
      <c r="B270" s="2" t="s">
        <v>790</v>
      </c>
      <c r="C270" s="18" t="s">
        <v>1086</v>
      </c>
      <c r="D270" s="2" t="s">
        <v>507</v>
      </c>
      <c r="E270" s="18" t="s">
        <v>2632</v>
      </c>
      <c r="F270" s="19" t="s">
        <v>2650</v>
      </c>
      <c r="G270" s="18">
        <v>2042893.63</v>
      </c>
      <c r="H270" s="37" t="e">
        <f t="shared" si="15"/>
        <v>#VALUE!</v>
      </c>
      <c r="I270" s="37" t="e">
        <f t="shared" si="17"/>
        <v>#VALUE!</v>
      </c>
      <c r="J270" s="37" t="e">
        <f t="shared" si="16"/>
        <v>#VALUE!</v>
      </c>
      <c r="K270" t="s">
        <v>1730</v>
      </c>
      <c r="M270" s="66"/>
      <c r="N270" t="s">
        <v>2650</v>
      </c>
      <c r="O270" s="66">
        <v>2042893.63</v>
      </c>
    </row>
    <row r="271" spans="1:15" hidden="1" x14ac:dyDescent="0.35">
      <c r="A271" s="88" t="s">
        <v>1085</v>
      </c>
      <c r="B271" s="2" t="s">
        <v>790</v>
      </c>
      <c r="C271" s="18" t="s">
        <v>581</v>
      </c>
      <c r="D271" s="2" t="s">
        <v>507</v>
      </c>
      <c r="E271" s="18" t="s">
        <v>2633</v>
      </c>
      <c r="F271" s="19" t="s">
        <v>2654</v>
      </c>
      <c r="G271" s="18">
        <f>461098.7-457689</f>
        <v>3409.7000000000116</v>
      </c>
      <c r="H271" s="37">
        <f t="shared" si="15"/>
        <v>357</v>
      </c>
      <c r="I271" s="37" t="str">
        <f t="shared" si="17"/>
        <v>More than 180 Days</v>
      </c>
      <c r="J271" s="37" t="str">
        <f t="shared" si="16"/>
        <v>More than 180 Days</v>
      </c>
      <c r="K271" t="s">
        <v>1730</v>
      </c>
      <c r="M271" s="66"/>
      <c r="N271" t="s">
        <v>2654</v>
      </c>
      <c r="O271" s="66">
        <v>461098.7</v>
      </c>
    </row>
    <row r="272" spans="1:15" hidden="1" x14ac:dyDescent="0.35">
      <c r="A272" s="88" t="s">
        <v>1085</v>
      </c>
      <c r="B272" s="2" t="s">
        <v>790</v>
      </c>
      <c r="C272" s="18" t="s">
        <v>678</v>
      </c>
      <c r="D272" s="2" t="s">
        <v>507</v>
      </c>
      <c r="E272" s="18" t="s">
        <v>2634</v>
      </c>
      <c r="F272" s="19" t="s">
        <v>2668</v>
      </c>
      <c r="G272" s="18">
        <v>1957695.31</v>
      </c>
      <c r="H272" s="37">
        <f t="shared" si="15"/>
        <v>297</v>
      </c>
      <c r="I272" s="37" t="str">
        <f t="shared" si="17"/>
        <v>More than 180 Days</v>
      </c>
      <c r="J272" s="37" t="str">
        <f t="shared" si="16"/>
        <v>More than 180 Days</v>
      </c>
      <c r="K272" t="s">
        <v>1730</v>
      </c>
      <c r="M272" s="66"/>
      <c r="N272" t="s">
        <v>2668</v>
      </c>
      <c r="O272" s="66">
        <v>1957695.31</v>
      </c>
    </row>
    <row r="273" spans="1:15" hidden="1" x14ac:dyDescent="0.35">
      <c r="A273" s="88" t="s">
        <v>1085</v>
      </c>
      <c r="B273" s="2" t="s">
        <v>790</v>
      </c>
      <c r="C273" s="18" t="s">
        <v>577</v>
      </c>
      <c r="D273" s="2" t="s">
        <v>507</v>
      </c>
      <c r="E273" s="18" t="s">
        <v>2635</v>
      </c>
      <c r="F273" s="19" t="s">
        <v>2651</v>
      </c>
      <c r="G273" s="18">
        <v>3620108.01</v>
      </c>
      <c r="H273" s="37">
        <f t="shared" si="15"/>
        <v>175</v>
      </c>
      <c r="I273" s="37" t="str">
        <f t="shared" si="17"/>
        <v>121-180 DAYS</v>
      </c>
      <c r="J273" s="37" t="str">
        <f t="shared" si="16"/>
        <v>0-180 DAYS</v>
      </c>
      <c r="K273" t="s">
        <v>1730</v>
      </c>
      <c r="M273" s="66"/>
      <c r="N273" t="s">
        <v>2651</v>
      </c>
      <c r="O273" s="66">
        <v>3620108.01</v>
      </c>
    </row>
    <row r="274" spans="1:15" hidden="1" x14ac:dyDescent="0.35">
      <c r="A274" s="88" t="s">
        <v>1085</v>
      </c>
      <c r="B274" s="2" t="s">
        <v>790</v>
      </c>
      <c r="C274" s="18" t="s">
        <v>584</v>
      </c>
      <c r="D274" s="2" t="s">
        <v>507</v>
      </c>
      <c r="E274" s="18" t="s">
        <v>2636</v>
      </c>
      <c r="F274" s="19" t="s">
        <v>2657</v>
      </c>
      <c r="G274" s="18">
        <v>3571616.18</v>
      </c>
      <c r="H274" s="37">
        <f t="shared" si="15"/>
        <v>83</v>
      </c>
      <c r="I274" s="37" t="str">
        <f t="shared" si="17"/>
        <v>0-120 DAYS</v>
      </c>
      <c r="J274" s="37" t="str">
        <f t="shared" si="16"/>
        <v>0-180 DAYS</v>
      </c>
      <c r="K274" t="s">
        <v>1730</v>
      </c>
      <c r="M274" s="66"/>
      <c r="N274" t="s">
        <v>2657</v>
      </c>
      <c r="O274" s="66">
        <v>3571616.18</v>
      </c>
    </row>
    <row r="275" spans="1:15" hidden="1" x14ac:dyDescent="0.35">
      <c r="A275" s="88" t="s">
        <v>1085</v>
      </c>
      <c r="B275" s="2" t="s">
        <v>790</v>
      </c>
      <c r="C275" s="18" t="s">
        <v>588</v>
      </c>
      <c r="D275" s="2" t="s">
        <v>507</v>
      </c>
      <c r="E275" s="18" t="s">
        <v>2637</v>
      </c>
      <c r="F275" s="19" t="s">
        <v>2659</v>
      </c>
      <c r="G275" s="18">
        <v>3717806.75</v>
      </c>
      <c r="H275" s="37" t="e">
        <f t="shared" si="15"/>
        <v>#VALUE!</v>
      </c>
      <c r="I275" s="37" t="e">
        <f t="shared" si="17"/>
        <v>#VALUE!</v>
      </c>
      <c r="J275" s="37" t="e">
        <f t="shared" si="16"/>
        <v>#VALUE!</v>
      </c>
      <c r="K275" t="s">
        <v>1730</v>
      </c>
      <c r="M275" s="66"/>
      <c r="N275" t="s">
        <v>2659</v>
      </c>
      <c r="O275" s="66">
        <v>3717806.75</v>
      </c>
    </row>
    <row r="276" spans="1:15" hidden="1" x14ac:dyDescent="0.35">
      <c r="A276" s="88" t="s">
        <v>1085</v>
      </c>
      <c r="B276" s="2" t="s">
        <v>790</v>
      </c>
      <c r="C276" s="18" t="s">
        <v>588</v>
      </c>
      <c r="D276" s="2" t="s">
        <v>507</v>
      </c>
      <c r="E276" s="18" t="s">
        <v>2638</v>
      </c>
      <c r="F276" s="19" t="s">
        <v>2659</v>
      </c>
      <c r="G276" s="18">
        <v>3387313.89</v>
      </c>
      <c r="H276" s="37" t="e">
        <f t="shared" si="15"/>
        <v>#VALUE!</v>
      </c>
      <c r="I276" s="37" t="e">
        <f t="shared" si="17"/>
        <v>#VALUE!</v>
      </c>
      <c r="J276" s="37" t="e">
        <f t="shared" si="16"/>
        <v>#VALUE!</v>
      </c>
      <c r="K276" t="s">
        <v>1730</v>
      </c>
      <c r="M276" s="66"/>
      <c r="N276" t="s">
        <v>2659</v>
      </c>
      <c r="O276" s="66">
        <v>3387313.89</v>
      </c>
    </row>
    <row r="277" spans="1:15" hidden="1" x14ac:dyDescent="0.35">
      <c r="A277" s="88" t="s">
        <v>1085</v>
      </c>
      <c r="B277" s="2" t="s">
        <v>790</v>
      </c>
      <c r="C277" s="18" t="s">
        <v>2561</v>
      </c>
      <c r="D277" s="2" t="s">
        <v>507</v>
      </c>
      <c r="E277" s="18" t="s">
        <v>2568</v>
      </c>
      <c r="F277" s="19" t="s">
        <v>2660</v>
      </c>
      <c r="G277" s="18">
        <v>3198686.4</v>
      </c>
      <c r="H277" s="37" t="e">
        <f t="shared" si="15"/>
        <v>#VALUE!</v>
      </c>
      <c r="I277" s="37" t="e">
        <f t="shared" si="17"/>
        <v>#VALUE!</v>
      </c>
      <c r="J277" s="37" t="e">
        <f t="shared" si="16"/>
        <v>#VALUE!</v>
      </c>
      <c r="K277" t="s">
        <v>1730</v>
      </c>
      <c r="M277" s="66"/>
      <c r="N277" t="s">
        <v>2660</v>
      </c>
      <c r="O277" s="66">
        <v>3198686.4</v>
      </c>
    </row>
    <row r="278" spans="1:15" hidden="1" x14ac:dyDescent="0.35">
      <c r="A278" s="88" t="s">
        <v>1085</v>
      </c>
      <c r="B278" s="2" t="s">
        <v>790</v>
      </c>
      <c r="C278" s="18" t="s">
        <v>1055</v>
      </c>
      <c r="D278" s="2" t="s">
        <v>507</v>
      </c>
      <c r="E278" s="18" t="s">
        <v>2639</v>
      </c>
      <c r="F278" s="19" t="s">
        <v>2661</v>
      </c>
      <c r="G278" s="18">
        <v>3234816</v>
      </c>
      <c r="H278" s="37" t="e">
        <f t="shared" si="15"/>
        <v>#VALUE!</v>
      </c>
      <c r="I278" s="37" t="e">
        <f t="shared" si="17"/>
        <v>#VALUE!</v>
      </c>
      <c r="J278" s="37" t="e">
        <f t="shared" si="16"/>
        <v>#VALUE!</v>
      </c>
      <c r="K278" t="s">
        <v>1730</v>
      </c>
      <c r="M278" s="66"/>
      <c r="N278" t="s">
        <v>2661</v>
      </c>
      <c r="O278" s="66">
        <v>3234816</v>
      </c>
    </row>
    <row r="279" spans="1:15" hidden="1" x14ac:dyDescent="0.35">
      <c r="A279" s="88" t="s">
        <v>1085</v>
      </c>
      <c r="B279" s="2" t="s">
        <v>790</v>
      </c>
      <c r="C279" s="18" t="s">
        <v>678</v>
      </c>
      <c r="D279" s="2" t="s">
        <v>507</v>
      </c>
      <c r="E279" s="18" t="s">
        <v>2640</v>
      </c>
      <c r="F279" s="19" t="s">
        <v>2661</v>
      </c>
      <c r="G279" s="18">
        <v>3886182.3</v>
      </c>
      <c r="H279" s="37" t="e">
        <f t="shared" si="15"/>
        <v>#VALUE!</v>
      </c>
      <c r="I279" s="37" t="e">
        <f t="shared" si="17"/>
        <v>#VALUE!</v>
      </c>
      <c r="J279" s="37" t="e">
        <f t="shared" si="16"/>
        <v>#VALUE!</v>
      </c>
      <c r="K279" t="s">
        <v>1730</v>
      </c>
      <c r="M279" s="66"/>
      <c r="N279" t="s">
        <v>2661</v>
      </c>
      <c r="O279" s="66">
        <v>3886182.3</v>
      </c>
    </row>
    <row r="280" spans="1:15" hidden="1" x14ac:dyDescent="0.35">
      <c r="A280" s="88" t="s">
        <v>1085</v>
      </c>
      <c r="B280" s="2" t="s">
        <v>790</v>
      </c>
      <c r="C280" s="18" t="s">
        <v>707</v>
      </c>
      <c r="D280" s="2" t="s">
        <v>507</v>
      </c>
      <c r="E280" s="18" t="s">
        <v>2641</v>
      </c>
      <c r="F280" s="19" t="s">
        <v>2674</v>
      </c>
      <c r="G280" s="18">
        <v>1476034.5600000001</v>
      </c>
      <c r="H280" s="37" t="e">
        <f t="shared" si="15"/>
        <v>#VALUE!</v>
      </c>
      <c r="I280" s="37" t="e">
        <f t="shared" si="17"/>
        <v>#VALUE!</v>
      </c>
      <c r="J280" s="37" t="e">
        <f t="shared" si="16"/>
        <v>#VALUE!</v>
      </c>
      <c r="K280" t="s">
        <v>1730</v>
      </c>
      <c r="M280" s="66"/>
      <c r="N280" t="s">
        <v>2674</v>
      </c>
      <c r="O280" s="66">
        <v>1476034.5600000001</v>
      </c>
    </row>
    <row r="281" spans="1:15" hidden="1" x14ac:dyDescent="0.35">
      <c r="A281" s="88" t="s">
        <v>1085</v>
      </c>
      <c r="B281" s="2" t="s">
        <v>790</v>
      </c>
      <c r="C281" s="18" t="s">
        <v>581</v>
      </c>
      <c r="D281" s="2" t="s">
        <v>507</v>
      </c>
      <c r="E281" s="18" t="s">
        <v>2642</v>
      </c>
      <c r="F281" s="19" t="s">
        <v>2648</v>
      </c>
      <c r="G281" s="18">
        <v>3697092.34</v>
      </c>
      <c r="H281" s="37" t="e">
        <f t="shared" si="15"/>
        <v>#VALUE!</v>
      </c>
      <c r="I281" s="37" t="e">
        <f t="shared" si="17"/>
        <v>#VALUE!</v>
      </c>
      <c r="J281" s="37" t="e">
        <f t="shared" si="16"/>
        <v>#VALUE!</v>
      </c>
      <c r="K281" t="s">
        <v>1730</v>
      </c>
      <c r="M281" s="66"/>
      <c r="N281" t="s">
        <v>2648</v>
      </c>
      <c r="O281" s="66">
        <v>3697092.34</v>
      </c>
    </row>
    <row r="282" spans="1:15" hidden="1" x14ac:dyDescent="0.35">
      <c r="A282" s="88" t="s">
        <v>1085</v>
      </c>
      <c r="B282" s="2" t="s">
        <v>790</v>
      </c>
      <c r="C282" s="18" t="s">
        <v>522</v>
      </c>
      <c r="D282" s="2" t="s">
        <v>507</v>
      </c>
      <c r="E282" s="18" t="s">
        <v>2643</v>
      </c>
      <c r="F282" s="19" t="s">
        <v>2650</v>
      </c>
      <c r="G282" s="18">
        <v>1863410.13</v>
      </c>
      <c r="H282" s="37" t="e">
        <f t="shared" si="15"/>
        <v>#VALUE!</v>
      </c>
      <c r="I282" s="37" t="e">
        <f t="shared" si="17"/>
        <v>#VALUE!</v>
      </c>
      <c r="J282" s="37" t="e">
        <f t="shared" si="16"/>
        <v>#VALUE!</v>
      </c>
      <c r="K282" t="s">
        <v>1730</v>
      </c>
      <c r="M282" s="66"/>
      <c r="N282" t="s">
        <v>2650</v>
      </c>
      <c r="O282" s="66">
        <v>1863410.13</v>
      </c>
    </row>
    <row r="283" spans="1:15" hidden="1" x14ac:dyDescent="0.35">
      <c r="A283" s="88" t="s">
        <v>1085</v>
      </c>
      <c r="B283" s="2" t="s">
        <v>790</v>
      </c>
      <c r="C283" s="18" t="s">
        <v>573</v>
      </c>
      <c r="D283" s="2" t="s">
        <v>507</v>
      </c>
      <c r="E283" s="18" t="s">
        <v>828</v>
      </c>
      <c r="F283" s="19" t="s">
        <v>2662</v>
      </c>
      <c r="G283" s="18">
        <v>3474074.25</v>
      </c>
      <c r="H283" s="37" t="e">
        <f t="shared" si="15"/>
        <v>#VALUE!</v>
      </c>
      <c r="I283" s="37" t="e">
        <f t="shared" si="17"/>
        <v>#VALUE!</v>
      </c>
      <c r="J283" s="37" t="e">
        <f t="shared" si="16"/>
        <v>#VALUE!</v>
      </c>
      <c r="K283" t="s">
        <v>1730</v>
      </c>
      <c r="M283" s="66"/>
      <c r="N283" t="s">
        <v>2662</v>
      </c>
      <c r="O283" s="66">
        <v>3474074.25</v>
      </c>
    </row>
    <row r="284" spans="1:15" hidden="1" x14ac:dyDescent="0.35">
      <c r="A284" s="88" t="s">
        <v>1085</v>
      </c>
      <c r="B284" s="2" t="s">
        <v>790</v>
      </c>
      <c r="C284" s="18" t="s">
        <v>522</v>
      </c>
      <c r="D284" s="2" t="s">
        <v>507</v>
      </c>
      <c r="E284" s="18" t="s">
        <v>841</v>
      </c>
      <c r="F284" s="19" t="s">
        <v>2663</v>
      </c>
      <c r="G284" s="18">
        <v>3779789.08</v>
      </c>
      <c r="H284" s="37" t="e">
        <f t="shared" si="15"/>
        <v>#VALUE!</v>
      </c>
      <c r="I284" s="37" t="e">
        <f t="shared" si="17"/>
        <v>#VALUE!</v>
      </c>
      <c r="J284" s="37" t="e">
        <f t="shared" si="16"/>
        <v>#VALUE!</v>
      </c>
      <c r="K284" t="s">
        <v>1730</v>
      </c>
      <c r="M284" s="66"/>
      <c r="N284" t="s">
        <v>2663</v>
      </c>
      <c r="O284" s="66">
        <v>3779789.08</v>
      </c>
    </row>
    <row r="285" spans="1:15" hidden="1" x14ac:dyDescent="0.35">
      <c r="A285" s="88" t="s">
        <v>1085</v>
      </c>
      <c r="B285" s="2" t="s">
        <v>790</v>
      </c>
      <c r="C285" s="18" t="s">
        <v>573</v>
      </c>
      <c r="D285" s="2" t="s">
        <v>507</v>
      </c>
      <c r="E285" s="18" t="s">
        <v>844</v>
      </c>
      <c r="F285" s="19" t="s">
        <v>2648</v>
      </c>
      <c r="G285" s="18">
        <v>3149619.2000000002</v>
      </c>
      <c r="H285" s="37" t="e">
        <f t="shared" si="15"/>
        <v>#VALUE!</v>
      </c>
      <c r="I285" s="37" t="e">
        <f t="shared" si="17"/>
        <v>#VALUE!</v>
      </c>
      <c r="J285" s="37" t="e">
        <f t="shared" si="16"/>
        <v>#VALUE!</v>
      </c>
      <c r="K285" t="s">
        <v>1730</v>
      </c>
      <c r="M285" s="66"/>
      <c r="N285" t="s">
        <v>2648</v>
      </c>
      <c r="O285" s="66">
        <v>3149619.2000000002</v>
      </c>
    </row>
    <row r="286" spans="1:15" hidden="1" x14ac:dyDescent="0.35">
      <c r="A286" s="88" t="s">
        <v>1085</v>
      </c>
      <c r="B286" s="2" t="s">
        <v>790</v>
      </c>
      <c r="C286" s="18" t="s">
        <v>573</v>
      </c>
      <c r="D286" s="2" t="s">
        <v>507</v>
      </c>
      <c r="E286" s="18" t="s">
        <v>845</v>
      </c>
      <c r="F286" s="19" t="s">
        <v>2666</v>
      </c>
      <c r="G286" s="18">
        <v>4057276.3</v>
      </c>
      <c r="H286" s="37" t="e">
        <f t="shared" si="15"/>
        <v>#VALUE!</v>
      </c>
      <c r="I286" s="37" t="e">
        <f t="shared" si="17"/>
        <v>#VALUE!</v>
      </c>
      <c r="J286" s="37" t="e">
        <f t="shared" si="16"/>
        <v>#VALUE!</v>
      </c>
      <c r="K286" t="s">
        <v>1730</v>
      </c>
      <c r="M286" s="66"/>
      <c r="N286" t="s">
        <v>2666</v>
      </c>
      <c r="O286" s="66">
        <v>4057276.3</v>
      </c>
    </row>
    <row r="287" spans="1:15" hidden="1" x14ac:dyDescent="0.35">
      <c r="A287" s="88" t="s">
        <v>1085</v>
      </c>
      <c r="B287" s="2" t="s">
        <v>790</v>
      </c>
      <c r="C287" s="18" t="s">
        <v>573</v>
      </c>
      <c r="D287" s="2" t="s">
        <v>507</v>
      </c>
      <c r="E287" s="18" t="s">
        <v>847</v>
      </c>
      <c r="F287" s="19" t="s">
        <v>2547</v>
      </c>
      <c r="G287" s="18">
        <v>3851552.65</v>
      </c>
      <c r="H287" s="37" t="e">
        <f t="shared" si="15"/>
        <v>#VALUE!</v>
      </c>
      <c r="I287" s="37" t="e">
        <f t="shared" si="17"/>
        <v>#VALUE!</v>
      </c>
      <c r="J287" s="37" t="e">
        <f t="shared" si="16"/>
        <v>#VALUE!</v>
      </c>
      <c r="K287" t="s">
        <v>1730</v>
      </c>
      <c r="M287" s="66"/>
      <c r="N287" t="s">
        <v>2547</v>
      </c>
      <c r="O287" s="66">
        <v>3851552.65</v>
      </c>
    </row>
    <row r="288" spans="1:15" hidden="1" x14ac:dyDescent="0.35">
      <c r="A288" s="88" t="s">
        <v>1085</v>
      </c>
      <c r="B288" s="2" t="s">
        <v>790</v>
      </c>
      <c r="C288" s="18" t="s">
        <v>573</v>
      </c>
      <c r="D288" s="2" t="s">
        <v>507</v>
      </c>
      <c r="E288" s="18" t="s">
        <v>848</v>
      </c>
      <c r="F288" s="19" t="s">
        <v>2547</v>
      </c>
      <c r="G288" s="18">
        <v>3972234.25</v>
      </c>
      <c r="H288" s="37" t="e">
        <f t="shared" si="15"/>
        <v>#VALUE!</v>
      </c>
      <c r="I288" s="37" t="e">
        <f t="shared" si="17"/>
        <v>#VALUE!</v>
      </c>
      <c r="J288" s="37" t="e">
        <f t="shared" si="16"/>
        <v>#VALUE!</v>
      </c>
      <c r="K288" t="s">
        <v>1730</v>
      </c>
      <c r="M288" s="66"/>
      <c r="N288" t="s">
        <v>2547</v>
      </c>
      <c r="O288" s="66">
        <v>3972234.25</v>
      </c>
    </row>
    <row r="289" spans="1:15" hidden="1" x14ac:dyDescent="0.35">
      <c r="A289" s="88" t="s">
        <v>1085</v>
      </c>
      <c r="B289" s="2" t="s">
        <v>790</v>
      </c>
      <c r="C289" s="18" t="s">
        <v>573</v>
      </c>
      <c r="D289" s="2" t="s">
        <v>507</v>
      </c>
      <c r="E289" s="18" t="s">
        <v>849</v>
      </c>
      <c r="F289" s="19" t="s">
        <v>2650</v>
      </c>
      <c r="G289" s="18">
        <v>3035935.44</v>
      </c>
      <c r="H289" s="37" t="e">
        <f t="shared" si="15"/>
        <v>#VALUE!</v>
      </c>
      <c r="I289" s="37" t="e">
        <f t="shared" si="17"/>
        <v>#VALUE!</v>
      </c>
      <c r="J289" s="37" t="e">
        <f t="shared" si="16"/>
        <v>#VALUE!</v>
      </c>
      <c r="K289" t="s">
        <v>1730</v>
      </c>
      <c r="M289" s="66"/>
      <c r="N289" t="s">
        <v>2650</v>
      </c>
      <c r="O289" s="66">
        <v>3035935.44</v>
      </c>
    </row>
    <row r="290" spans="1:15" hidden="1" x14ac:dyDescent="0.35">
      <c r="A290" s="88" t="s">
        <v>1085</v>
      </c>
      <c r="B290" s="2" t="s">
        <v>790</v>
      </c>
      <c r="C290" s="18" t="s">
        <v>1086</v>
      </c>
      <c r="D290" s="2" t="s">
        <v>507</v>
      </c>
      <c r="E290" s="18" t="s">
        <v>2679</v>
      </c>
      <c r="F290" s="19">
        <v>45601</v>
      </c>
      <c r="G290" s="18">
        <v>666430.34</v>
      </c>
      <c r="H290" s="37">
        <f t="shared" si="15"/>
        <v>57</v>
      </c>
      <c r="I290" s="37" t="str">
        <f t="shared" si="17"/>
        <v>0-120 DAYS</v>
      </c>
      <c r="J290" s="37" t="str">
        <f t="shared" si="16"/>
        <v>0-180 DAYS</v>
      </c>
      <c r="K290" t="s">
        <v>1730</v>
      </c>
      <c r="N290" t="s">
        <v>2861</v>
      </c>
      <c r="O290" s="66">
        <v>666430.34</v>
      </c>
    </row>
    <row r="291" spans="1:15" hidden="1" x14ac:dyDescent="0.35">
      <c r="A291" s="88" t="s">
        <v>1085</v>
      </c>
      <c r="B291" s="2" t="s">
        <v>790</v>
      </c>
      <c r="C291" s="18" t="s">
        <v>1086</v>
      </c>
      <c r="D291" s="2" t="s">
        <v>507</v>
      </c>
      <c r="E291" s="18" t="s">
        <v>2680</v>
      </c>
      <c r="F291" s="19">
        <v>45601</v>
      </c>
      <c r="G291" s="18">
        <v>1177377.3400000001</v>
      </c>
      <c r="H291" s="37">
        <f t="shared" si="15"/>
        <v>57</v>
      </c>
      <c r="I291" s="37" t="str">
        <f t="shared" si="17"/>
        <v>0-120 DAYS</v>
      </c>
      <c r="J291" s="37" t="str">
        <f t="shared" si="16"/>
        <v>0-180 DAYS</v>
      </c>
      <c r="K291" t="s">
        <v>1730</v>
      </c>
      <c r="N291" t="s">
        <v>2861</v>
      </c>
      <c r="O291" s="66">
        <v>1177377.3400000001</v>
      </c>
    </row>
    <row r="292" spans="1:15" hidden="1" x14ac:dyDescent="0.35">
      <c r="A292" s="88" t="s">
        <v>1085</v>
      </c>
      <c r="B292" s="2" t="s">
        <v>790</v>
      </c>
      <c r="C292" s="18" t="s">
        <v>548</v>
      </c>
      <c r="D292" s="2" t="s">
        <v>507</v>
      </c>
      <c r="E292" s="18" t="s">
        <v>2681</v>
      </c>
      <c r="F292" s="19">
        <v>45601</v>
      </c>
      <c r="G292" s="18">
        <v>3354594.88</v>
      </c>
      <c r="H292" s="37">
        <f t="shared" si="15"/>
        <v>57</v>
      </c>
      <c r="I292" s="37" t="str">
        <f t="shared" si="17"/>
        <v>0-120 DAYS</v>
      </c>
      <c r="J292" s="37" t="str">
        <f t="shared" si="16"/>
        <v>0-180 DAYS</v>
      </c>
      <c r="K292" t="s">
        <v>1730</v>
      </c>
      <c r="N292" t="s">
        <v>2861</v>
      </c>
      <c r="O292" s="66">
        <v>3354594.88</v>
      </c>
    </row>
    <row r="293" spans="1:15" hidden="1" x14ac:dyDescent="0.35">
      <c r="A293" s="88" t="s">
        <v>1085</v>
      </c>
      <c r="B293" s="2" t="s">
        <v>790</v>
      </c>
      <c r="C293" s="18" t="s">
        <v>548</v>
      </c>
      <c r="D293" s="2" t="s">
        <v>507</v>
      </c>
      <c r="E293" s="18" t="s">
        <v>2682</v>
      </c>
      <c r="F293" s="19">
        <v>45601</v>
      </c>
      <c r="G293" s="18">
        <v>3335670.21</v>
      </c>
      <c r="H293" s="37">
        <f t="shared" si="15"/>
        <v>57</v>
      </c>
      <c r="I293" s="37" t="str">
        <f t="shared" si="17"/>
        <v>0-120 DAYS</v>
      </c>
      <c r="J293" s="37" t="str">
        <f t="shared" si="16"/>
        <v>0-180 DAYS</v>
      </c>
      <c r="K293" t="s">
        <v>1730</v>
      </c>
      <c r="N293" t="s">
        <v>2861</v>
      </c>
      <c r="O293" s="66">
        <v>3335670.21</v>
      </c>
    </row>
    <row r="294" spans="1:15" hidden="1" x14ac:dyDescent="0.35">
      <c r="A294" s="88" t="s">
        <v>1085</v>
      </c>
      <c r="B294" s="2" t="s">
        <v>790</v>
      </c>
      <c r="C294" s="18" t="s">
        <v>548</v>
      </c>
      <c r="D294" s="2" t="s">
        <v>507</v>
      </c>
      <c r="E294" s="18" t="s">
        <v>2683</v>
      </c>
      <c r="F294" s="19">
        <v>45601</v>
      </c>
      <c r="G294" s="18">
        <v>134650.88</v>
      </c>
      <c r="H294" s="37">
        <f t="shared" si="15"/>
        <v>57</v>
      </c>
      <c r="I294" s="37" t="str">
        <f t="shared" si="17"/>
        <v>0-120 DAYS</v>
      </c>
      <c r="J294" s="37" t="str">
        <f t="shared" si="16"/>
        <v>0-180 DAYS</v>
      </c>
      <c r="K294" t="s">
        <v>1730</v>
      </c>
      <c r="N294" t="s">
        <v>2861</v>
      </c>
      <c r="O294" s="66">
        <v>134650.88</v>
      </c>
    </row>
    <row r="295" spans="1:15" hidden="1" x14ac:dyDescent="0.35">
      <c r="A295" s="88" t="s">
        <v>1085</v>
      </c>
      <c r="B295" s="2" t="s">
        <v>790</v>
      </c>
      <c r="C295" s="18" t="s">
        <v>814</v>
      </c>
      <c r="D295" s="2" t="s">
        <v>507</v>
      </c>
      <c r="E295" s="18" t="s">
        <v>2684</v>
      </c>
      <c r="F295" s="19">
        <v>45602</v>
      </c>
      <c r="G295" s="18">
        <v>3999</v>
      </c>
      <c r="H295" s="37">
        <f t="shared" si="15"/>
        <v>56</v>
      </c>
      <c r="I295" s="37" t="str">
        <f t="shared" si="17"/>
        <v>0-120 DAYS</v>
      </c>
      <c r="J295" s="37" t="str">
        <f t="shared" si="16"/>
        <v>0-180 DAYS</v>
      </c>
      <c r="K295" t="s">
        <v>1730</v>
      </c>
      <c r="N295" t="s">
        <v>2862</v>
      </c>
      <c r="O295" s="66">
        <v>3999</v>
      </c>
    </row>
    <row r="296" spans="1:15" hidden="1" x14ac:dyDescent="0.35">
      <c r="A296" s="88" t="s">
        <v>1085</v>
      </c>
      <c r="B296" s="2" t="s">
        <v>790</v>
      </c>
      <c r="C296" s="18" t="s">
        <v>1052</v>
      </c>
      <c r="D296" s="2" t="s">
        <v>507</v>
      </c>
      <c r="E296" s="18" t="s">
        <v>2685</v>
      </c>
      <c r="F296" s="19">
        <v>45604</v>
      </c>
      <c r="G296" s="18">
        <v>2940051.99</v>
      </c>
      <c r="H296" s="37">
        <f t="shared" si="15"/>
        <v>54</v>
      </c>
      <c r="I296" s="37" t="str">
        <f t="shared" si="17"/>
        <v>0-120 DAYS</v>
      </c>
      <c r="J296" s="37" t="str">
        <f t="shared" si="16"/>
        <v>0-180 DAYS</v>
      </c>
      <c r="K296" t="s">
        <v>1730</v>
      </c>
      <c r="N296" t="s">
        <v>2863</v>
      </c>
      <c r="O296" s="66">
        <v>2940051.99</v>
      </c>
    </row>
    <row r="297" spans="1:15" hidden="1" x14ac:dyDescent="0.35">
      <c r="A297" s="88" t="s">
        <v>1085</v>
      </c>
      <c r="B297" s="2" t="s">
        <v>790</v>
      </c>
      <c r="C297" s="18" t="s">
        <v>573</v>
      </c>
      <c r="D297" s="2" t="s">
        <v>507</v>
      </c>
      <c r="E297" s="18" t="s">
        <v>550</v>
      </c>
      <c r="F297" s="19">
        <v>45604</v>
      </c>
      <c r="G297" s="18">
        <v>3606144.05</v>
      </c>
      <c r="H297" s="37">
        <f t="shared" si="15"/>
        <v>54</v>
      </c>
      <c r="I297" s="37" t="str">
        <f t="shared" si="17"/>
        <v>0-120 DAYS</v>
      </c>
      <c r="J297" s="37" t="str">
        <f t="shared" si="16"/>
        <v>0-180 DAYS</v>
      </c>
      <c r="K297" t="s">
        <v>1730</v>
      </c>
      <c r="N297" t="s">
        <v>2863</v>
      </c>
      <c r="O297" s="66">
        <v>3606144.05</v>
      </c>
    </row>
    <row r="298" spans="1:15" hidden="1" x14ac:dyDescent="0.35">
      <c r="A298" s="88" t="s">
        <v>1085</v>
      </c>
      <c r="B298" s="2" t="s">
        <v>790</v>
      </c>
      <c r="C298" s="18" t="s">
        <v>647</v>
      </c>
      <c r="D298" s="2" t="s">
        <v>507</v>
      </c>
      <c r="E298" s="18" t="s">
        <v>599</v>
      </c>
      <c r="F298" s="19">
        <v>45605</v>
      </c>
      <c r="G298" s="18">
        <v>3690159</v>
      </c>
      <c r="H298" s="37">
        <f t="shared" si="15"/>
        <v>53</v>
      </c>
      <c r="I298" s="37" t="str">
        <f t="shared" si="17"/>
        <v>0-120 DAYS</v>
      </c>
      <c r="J298" s="37" t="str">
        <f t="shared" si="16"/>
        <v>0-180 DAYS</v>
      </c>
      <c r="K298" t="s">
        <v>1730</v>
      </c>
      <c r="N298" t="s">
        <v>2864</v>
      </c>
      <c r="O298" s="66">
        <v>3690159</v>
      </c>
    </row>
    <row r="299" spans="1:15" hidden="1" x14ac:dyDescent="0.35">
      <c r="A299" s="88" t="s">
        <v>1085</v>
      </c>
      <c r="B299" s="2" t="s">
        <v>790</v>
      </c>
      <c r="C299" s="18" t="s">
        <v>647</v>
      </c>
      <c r="D299" s="2" t="s">
        <v>507</v>
      </c>
      <c r="E299" s="18" t="s">
        <v>594</v>
      </c>
      <c r="F299" s="19">
        <v>45605</v>
      </c>
      <c r="G299" s="18">
        <v>3799311.61</v>
      </c>
      <c r="H299" s="37">
        <f t="shared" si="15"/>
        <v>53</v>
      </c>
      <c r="I299" s="37" t="str">
        <f t="shared" si="17"/>
        <v>0-120 DAYS</v>
      </c>
      <c r="J299" s="37" t="str">
        <f t="shared" si="16"/>
        <v>0-180 DAYS</v>
      </c>
      <c r="K299" t="s">
        <v>1730</v>
      </c>
      <c r="N299" t="s">
        <v>2864</v>
      </c>
      <c r="O299" s="66">
        <v>3799311.61</v>
      </c>
    </row>
    <row r="300" spans="1:15" hidden="1" x14ac:dyDescent="0.35">
      <c r="A300" s="88" t="s">
        <v>1085</v>
      </c>
      <c r="B300" s="2" t="s">
        <v>790</v>
      </c>
      <c r="C300" s="18" t="s">
        <v>647</v>
      </c>
      <c r="D300" s="2" t="s">
        <v>507</v>
      </c>
      <c r="E300" s="18" t="s">
        <v>597</v>
      </c>
      <c r="F300" s="19">
        <v>45605</v>
      </c>
      <c r="G300" s="18">
        <v>3690159.01</v>
      </c>
      <c r="H300" s="37">
        <f t="shared" si="15"/>
        <v>53</v>
      </c>
      <c r="I300" s="37" t="str">
        <f t="shared" si="17"/>
        <v>0-120 DAYS</v>
      </c>
      <c r="J300" s="37" t="str">
        <f t="shared" si="16"/>
        <v>0-180 DAYS</v>
      </c>
      <c r="K300" t="s">
        <v>1730</v>
      </c>
      <c r="N300" t="s">
        <v>2864</v>
      </c>
      <c r="O300" s="66">
        <v>3690159.01</v>
      </c>
    </row>
    <row r="301" spans="1:15" hidden="1" x14ac:dyDescent="0.35">
      <c r="A301" s="88" t="s">
        <v>1085</v>
      </c>
      <c r="B301" s="2" t="s">
        <v>790</v>
      </c>
      <c r="C301" s="18" t="s">
        <v>573</v>
      </c>
      <c r="D301" s="2" t="s">
        <v>507</v>
      </c>
      <c r="E301" s="18" t="s">
        <v>574</v>
      </c>
      <c r="F301" s="19">
        <v>45605</v>
      </c>
      <c r="G301" s="18">
        <v>4197384.79</v>
      </c>
      <c r="H301" s="37">
        <f t="shared" si="15"/>
        <v>53</v>
      </c>
      <c r="I301" s="37" t="str">
        <f t="shared" si="17"/>
        <v>0-120 DAYS</v>
      </c>
      <c r="J301" s="37" t="str">
        <f t="shared" si="16"/>
        <v>0-180 DAYS</v>
      </c>
      <c r="K301" t="s">
        <v>1730</v>
      </c>
      <c r="N301" t="s">
        <v>2864</v>
      </c>
      <c r="O301" s="66">
        <v>4197384.79</v>
      </c>
    </row>
    <row r="302" spans="1:15" hidden="1" x14ac:dyDescent="0.35">
      <c r="A302" s="88" t="s">
        <v>1085</v>
      </c>
      <c r="B302" s="2" t="s">
        <v>790</v>
      </c>
      <c r="C302" s="18" t="s">
        <v>573</v>
      </c>
      <c r="D302" s="2" t="s">
        <v>507</v>
      </c>
      <c r="E302" s="18" t="s">
        <v>589</v>
      </c>
      <c r="F302" s="19">
        <v>45605</v>
      </c>
      <c r="G302" s="18">
        <v>3455276.46</v>
      </c>
      <c r="H302" s="37">
        <f t="shared" si="15"/>
        <v>53</v>
      </c>
      <c r="I302" s="37" t="str">
        <f t="shared" si="17"/>
        <v>0-120 DAYS</v>
      </c>
      <c r="J302" s="37" t="str">
        <f t="shared" si="16"/>
        <v>0-180 DAYS</v>
      </c>
      <c r="K302" t="s">
        <v>1730</v>
      </c>
      <c r="N302" t="s">
        <v>2864</v>
      </c>
      <c r="O302" s="66">
        <v>3455276.46</v>
      </c>
    </row>
    <row r="303" spans="1:15" hidden="1" x14ac:dyDescent="0.35">
      <c r="A303" s="88" t="s">
        <v>1085</v>
      </c>
      <c r="B303" s="2" t="s">
        <v>790</v>
      </c>
      <c r="C303" s="18" t="s">
        <v>1086</v>
      </c>
      <c r="D303" s="2" t="s">
        <v>507</v>
      </c>
      <c r="E303" s="18" t="s">
        <v>2686</v>
      </c>
      <c r="F303" s="19">
        <v>45609</v>
      </c>
      <c r="G303" s="18">
        <v>1231955.6599999999</v>
      </c>
      <c r="H303" s="37">
        <f t="shared" si="15"/>
        <v>49</v>
      </c>
      <c r="I303" s="37" t="str">
        <f t="shared" si="17"/>
        <v>0-120 DAYS</v>
      </c>
      <c r="J303" s="37" t="str">
        <f t="shared" si="16"/>
        <v>0-180 DAYS</v>
      </c>
      <c r="K303" t="s">
        <v>1730</v>
      </c>
      <c r="N303" t="s">
        <v>2865</v>
      </c>
      <c r="O303" s="66">
        <v>1231955.6599999999</v>
      </c>
    </row>
    <row r="304" spans="1:15" hidden="1" x14ac:dyDescent="0.35">
      <c r="A304" s="88" t="s">
        <v>1085</v>
      </c>
      <c r="B304" s="2" t="s">
        <v>790</v>
      </c>
      <c r="C304" s="18" t="s">
        <v>1086</v>
      </c>
      <c r="D304" s="2" t="s">
        <v>507</v>
      </c>
      <c r="E304" s="18" t="s">
        <v>2687</v>
      </c>
      <c r="F304" s="19">
        <v>45609</v>
      </c>
      <c r="G304" s="18">
        <v>1297437.21</v>
      </c>
      <c r="H304" s="37">
        <f t="shared" si="15"/>
        <v>49</v>
      </c>
      <c r="I304" s="37" t="str">
        <f t="shared" si="17"/>
        <v>0-120 DAYS</v>
      </c>
      <c r="J304" s="37" t="str">
        <f t="shared" si="16"/>
        <v>0-180 DAYS</v>
      </c>
      <c r="K304" t="s">
        <v>1730</v>
      </c>
      <c r="N304" t="s">
        <v>2865</v>
      </c>
      <c r="O304" s="66">
        <v>1297437.21</v>
      </c>
    </row>
    <row r="305" spans="1:15" hidden="1" x14ac:dyDescent="0.35">
      <c r="A305" s="88" t="s">
        <v>1085</v>
      </c>
      <c r="B305" s="2" t="s">
        <v>790</v>
      </c>
      <c r="C305" s="18" t="s">
        <v>814</v>
      </c>
      <c r="D305" s="2" t="s">
        <v>507</v>
      </c>
      <c r="E305" s="18" t="s">
        <v>2688</v>
      </c>
      <c r="F305" s="19">
        <v>45609</v>
      </c>
      <c r="G305" s="18">
        <v>155165</v>
      </c>
      <c r="H305" s="37">
        <f t="shared" si="15"/>
        <v>49</v>
      </c>
      <c r="I305" s="37" t="str">
        <f t="shared" si="17"/>
        <v>0-120 DAYS</v>
      </c>
      <c r="J305" s="37" t="str">
        <f t="shared" si="16"/>
        <v>0-180 DAYS</v>
      </c>
      <c r="K305" t="s">
        <v>1730</v>
      </c>
      <c r="N305" t="s">
        <v>2865</v>
      </c>
      <c r="O305" s="66">
        <v>155165</v>
      </c>
    </row>
    <row r="306" spans="1:15" hidden="1" x14ac:dyDescent="0.35">
      <c r="A306" s="88" t="s">
        <v>1085</v>
      </c>
      <c r="B306" s="2" t="s">
        <v>790</v>
      </c>
      <c r="C306" s="18" t="s">
        <v>814</v>
      </c>
      <c r="D306" s="2" t="s">
        <v>507</v>
      </c>
      <c r="E306" s="18" t="s">
        <v>2689</v>
      </c>
      <c r="F306" s="19">
        <v>45610</v>
      </c>
      <c r="G306" s="18">
        <v>8367024.5999999996</v>
      </c>
      <c r="H306" s="37">
        <f t="shared" si="15"/>
        <v>48</v>
      </c>
      <c r="I306" s="37" t="str">
        <f t="shared" si="17"/>
        <v>0-120 DAYS</v>
      </c>
      <c r="J306" s="37" t="str">
        <f t="shared" si="16"/>
        <v>0-180 DAYS</v>
      </c>
      <c r="K306" t="s">
        <v>1730</v>
      </c>
      <c r="N306" t="s">
        <v>2866</v>
      </c>
      <c r="O306" s="66">
        <v>8367024.5999999996</v>
      </c>
    </row>
    <row r="307" spans="1:15" hidden="1" x14ac:dyDescent="0.35">
      <c r="A307" s="88" t="s">
        <v>1085</v>
      </c>
      <c r="B307" s="2" t="s">
        <v>790</v>
      </c>
      <c r="C307" s="18" t="s">
        <v>1086</v>
      </c>
      <c r="D307" s="2" t="s">
        <v>507</v>
      </c>
      <c r="E307" s="18" t="s">
        <v>2690</v>
      </c>
      <c r="F307" s="19">
        <v>45611</v>
      </c>
      <c r="G307" s="18">
        <v>1191413.7</v>
      </c>
      <c r="H307" s="37">
        <f t="shared" si="15"/>
        <v>47</v>
      </c>
      <c r="I307" s="37" t="str">
        <f t="shared" si="17"/>
        <v>0-120 DAYS</v>
      </c>
      <c r="J307" s="37" t="str">
        <f t="shared" si="16"/>
        <v>0-180 DAYS</v>
      </c>
      <c r="K307" t="s">
        <v>1730</v>
      </c>
      <c r="N307" t="s">
        <v>2867</v>
      </c>
      <c r="O307" s="66">
        <v>1191413.7</v>
      </c>
    </row>
    <row r="308" spans="1:15" hidden="1" x14ac:dyDescent="0.35">
      <c r="A308" s="88" t="s">
        <v>1085</v>
      </c>
      <c r="B308" s="2" t="s">
        <v>790</v>
      </c>
      <c r="C308" s="18" t="s">
        <v>1086</v>
      </c>
      <c r="D308" s="2" t="s">
        <v>507</v>
      </c>
      <c r="E308" s="18" t="s">
        <v>2691</v>
      </c>
      <c r="F308" s="19">
        <v>45611</v>
      </c>
      <c r="G308" s="18">
        <v>262817.5</v>
      </c>
      <c r="H308" s="37">
        <f t="shared" si="15"/>
        <v>47</v>
      </c>
      <c r="I308" s="37" t="str">
        <f t="shared" si="17"/>
        <v>0-120 DAYS</v>
      </c>
      <c r="J308" s="37" t="str">
        <f t="shared" si="16"/>
        <v>0-180 DAYS</v>
      </c>
      <c r="K308" t="s">
        <v>1730</v>
      </c>
      <c r="N308" t="s">
        <v>2867</v>
      </c>
      <c r="O308" s="66">
        <v>262817.5</v>
      </c>
    </row>
    <row r="309" spans="1:15" hidden="1" x14ac:dyDescent="0.35">
      <c r="A309" s="88" t="s">
        <v>1085</v>
      </c>
      <c r="B309" s="2" t="s">
        <v>790</v>
      </c>
      <c r="C309" s="18" t="s">
        <v>1086</v>
      </c>
      <c r="D309" s="2" t="s">
        <v>507</v>
      </c>
      <c r="E309" s="18" t="s">
        <v>2692</v>
      </c>
      <c r="F309" s="19">
        <v>45611</v>
      </c>
      <c r="G309" s="18">
        <v>454616.8</v>
      </c>
      <c r="H309" s="37">
        <f t="shared" si="15"/>
        <v>47</v>
      </c>
      <c r="I309" s="37" t="str">
        <f t="shared" si="17"/>
        <v>0-120 DAYS</v>
      </c>
      <c r="J309" s="37" t="str">
        <f t="shared" si="16"/>
        <v>0-180 DAYS</v>
      </c>
      <c r="K309" t="s">
        <v>1730</v>
      </c>
      <c r="N309" t="s">
        <v>2867</v>
      </c>
      <c r="O309" s="66">
        <v>454616.8</v>
      </c>
    </row>
    <row r="310" spans="1:15" hidden="1" x14ac:dyDescent="0.35">
      <c r="A310" s="88" t="s">
        <v>1085</v>
      </c>
      <c r="B310" s="2" t="s">
        <v>790</v>
      </c>
      <c r="C310" s="18" t="s">
        <v>1086</v>
      </c>
      <c r="D310" s="2" t="s">
        <v>507</v>
      </c>
      <c r="E310" s="18" t="s">
        <v>2693</v>
      </c>
      <c r="F310" s="19">
        <v>45611</v>
      </c>
      <c r="G310" s="18">
        <v>306465.06</v>
      </c>
      <c r="H310" s="37">
        <f t="shared" si="15"/>
        <v>47</v>
      </c>
      <c r="I310" s="37" t="str">
        <f t="shared" si="17"/>
        <v>0-120 DAYS</v>
      </c>
      <c r="J310" s="37" t="str">
        <f t="shared" si="16"/>
        <v>0-180 DAYS</v>
      </c>
      <c r="K310" t="s">
        <v>1730</v>
      </c>
      <c r="N310" t="s">
        <v>2867</v>
      </c>
      <c r="O310" s="66">
        <v>306465.06</v>
      </c>
    </row>
    <row r="311" spans="1:15" hidden="1" x14ac:dyDescent="0.35">
      <c r="A311" s="88" t="s">
        <v>1085</v>
      </c>
      <c r="B311" s="2" t="s">
        <v>790</v>
      </c>
      <c r="C311" s="18" t="s">
        <v>1086</v>
      </c>
      <c r="D311" s="2" t="s">
        <v>507</v>
      </c>
      <c r="E311" s="18" t="s">
        <v>2694</v>
      </c>
      <c r="F311" s="19">
        <v>45611</v>
      </c>
      <c r="G311" s="18">
        <v>37096.660000000003</v>
      </c>
      <c r="H311" s="37">
        <f t="shared" si="15"/>
        <v>47</v>
      </c>
      <c r="I311" s="37" t="str">
        <f t="shared" si="17"/>
        <v>0-120 DAYS</v>
      </c>
      <c r="J311" s="37" t="str">
        <f t="shared" si="16"/>
        <v>0-180 DAYS</v>
      </c>
      <c r="K311" t="s">
        <v>1730</v>
      </c>
      <c r="N311" t="s">
        <v>2867</v>
      </c>
      <c r="O311" s="66">
        <v>37096.660000000003</v>
      </c>
    </row>
    <row r="312" spans="1:15" hidden="1" x14ac:dyDescent="0.35">
      <c r="A312" s="88" t="s">
        <v>1085</v>
      </c>
      <c r="B312" s="2" t="s">
        <v>790</v>
      </c>
      <c r="C312" s="18" t="s">
        <v>1052</v>
      </c>
      <c r="D312" s="2" t="s">
        <v>507</v>
      </c>
      <c r="E312" s="18" t="s">
        <v>2695</v>
      </c>
      <c r="F312" s="19">
        <v>45612</v>
      </c>
      <c r="G312" s="18">
        <v>2692405.72</v>
      </c>
      <c r="H312" s="37">
        <f t="shared" si="15"/>
        <v>46</v>
      </c>
      <c r="I312" s="37" t="str">
        <f t="shared" si="17"/>
        <v>0-120 DAYS</v>
      </c>
      <c r="J312" s="37" t="str">
        <f t="shared" si="16"/>
        <v>0-180 DAYS</v>
      </c>
      <c r="K312" t="s">
        <v>1730</v>
      </c>
      <c r="N312" t="s">
        <v>2868</v>
      </c>
      <c r="O312" s="66">
        <v>2692405.72</v>
      </c>
    </row>
    <row r="313" spans="1:15" hidden="1" x14ac:dyDescent="0.35">
      <c r="A313" s="88" t="s">
        <v>1085</v>
      </c>
      <c r="B313" s="2" t="s">
        <v>790</v>
      </c>
      <c r="C313" s="18" t="s">
        <v>617</v>
      </c>
      <c r="D313" s="2" t="s">
        <v>507</v>
      </c>
      <c r="E313" s="18" t="s">
        <v>2696</v>
      </c>
      <c r="F313" s="19">
        <v>45612</v>
      </c>
      <c r="G313" s="18">
        <v>4175881.87</v>
      </c>
      <c r="H313" s="37">
        <f t="shared" si="15"/>
        <v>46</v>
      </c>
      <c r="I313" s="37" t="str">
        <f t="shared" si="17"/>
        <v>0-120 DAYS</v>
      </c>
      <c r="J313" s="37" t="str">
        <f t="shared" si="16"/>
        <v>0-180 DAYS</v>
      </c>
      <c r="K313" t="s">
        <v>1730</v>
      </c>
      <c r="N313" t="s">
        <v>2868</v>
      </c>
      <c r="O313" s="66">
        <v>4175881.87</v>
      </c>
    </row>
    <row r="314" spans="1:15" hidden="1" x14ac:dyDescent="0.35">
      <c r="A314" s="88" t="s">
        <v>1085</v>
      </c>
      <c r="B314" s="2" t="s">
        <v>790</v>
      </c>
      <c r="C314" s="18" t="s">
        <v>617</v>
      </c>
      <c r="D314" s="2" t="s">
        <v>507</v>
      </c>
      <c r="E314" s="18" t="s">
        <v>2697</v>
      </c>
      <c r="F314" s="19">
        <v>45612</v>
      </c>
      <c r="G314" s="18">
        <v>195547.92</v>
      </c>
      <c r="H314" s="37">
        <f t="shared" si="15"/>
        <v>46</v>
      </c>
      <c r="I314" s="37" t="str">
        <f t="shared" si="17"/>
        <v>0-120 DAYS</v>
      </c>
      <c r="J314" s="37" t="str">
        <f t="shared" si="16"/>
        <v>0-180 DAYS</v>
      </c>
      <c r="K314" t="s">
        <v>1730</v>
      </c>
      <c r="N314" t="s">
        <v>2868</v>
      </c>
      <c r="O314" s="66">
        <v>195547.92</v>
      </c>
    </row>
    <row r="315" spans="1:15" hidden="1" x14ac:dyDescent="0.35">
      <c r="A315" s="88" t="s">
        <v>1085</v>
      </c>
      <c r="B315" s="2" t="s">
        <v>790</v>
      </c>
      <c r="C315" s="18" t="s">
        <v>573</v>
      </c>
      <c r="D315" s="2" t="s">
        <v>507</v>
      </c>
      <c r="E315" s="18" t="s">
        <v>2698</v>
      </c>
      <c r="F315" s="19">
        <v>45613</v>
      </c>
      <c r="G315" s="18">
        <v>1652074.78</v>
      </c>
      <c r="H315" s="37">
        <f t="shared" si="15"/>
        <v>45</v>
      </c>
      <c r="I315" s="37" t="str">
        <f t="shared" si="17"/>
        <v>0-120 DAYS</v>
      </c>
      <c r="J315" s="37" t="str">
        <f t="shared" si="16"/>
        <v>0-180 DAYS</v>
      </c>
      <c r="K315" t="s">
        <v>1730</v>
      </c>
      <c r="N315" t="s">
        <v>2869</v>
      </c>
      <c r="O315" s="66">
        <v>1652074.78</v>
      </c>
    </row>
    <row r="316" spans="1:15" hidden="1" x14ac:dyDescent="0.35">
      <c r="A316" s="88" t="s">
        <v>1085</v>
      </c>
      <c r="B316" s="2" t="s">
        <v>790</v>
      </c>
      <c r="C316" s="18" t="s">
        <v>1086</v>
      </c>
      <c r="D316" s="2" t="s">
        <v>507</v>
      </c>
      <c r="E316" s="18" t="s">
        <v>2699</v>
      </c>
      <c r="F316" s="19">
        <v>45614</v>
      </c>
      <c r="G316" s="18">
        <v>2412696</v>
      </c>
      <c r="H316" s="37">
        <f t="shared" si="15"/>
        <v>44</v>
      </c>
      <c r="I316" s="37" t="str">
        <f t="shared" si="17"/>
        <v>0-120 DAYS</v>
      </c>
      <c r="J316" s="37" t="str">
        <f t="shared" si="16"/>
        <v>0-180 DAYS</v>
      </c>
      <c r="K316" t="s">
        <v>1730</v>
      </c>
      <c r="N316" t="s">
        <v>2870</v>
      </c>
      <c r="O316" s="66">
        <v>2412696</v>
      </c>
    </row>
    <row r="317" spans="1:15" hidden="1" x14ac:dyDescent="0.35">
      <c r="A317" s="88" t="s">
        <v>1085</v>
      </c>
      <c r="B317" s="2" t="s">
        <v>790</v>
      </c>
      <c r="C317" s="18" t="s">
        <v>600</v>
      </c>
      <c r="D317" s="2" t="s">
        <v>507</v>
      </c>
      <c r="E317" s="18" t="s">
        <v>2700</v>
      </c>
      <c r="F317" s="19">
        <v>45614</v>
      </c>
      <c r="G317" s="18">
        <v>3657282.64</v>
      </c>
      <c r="H317" s="37">
        <f t="shared" si="15"/>
        <v>44</v>
      </c>
      <c r="I317" s="37" t="str">
        <f t="shared" si="17"/>
        <v>0-120 DAYS</v>
      </c>
      <c r="J317" s="37" t="str">
        <f t="shared" si="16"/>
        <v>0-180 DAYS</v>
      </c>
      <c r="K317" t="s">
        <v>1730</v>
      </c>
      <c r="N317" t="s">
        <v>2870</v>
      </c>
      <c r="O317" s="66">
        <v>3657282.64</v>
      </c>
    </row>
    <row r="318" spans="1:15" hidden="1" x14ac:dyDescent="0.35">
      <c r="A318" s="88" t="s">
        <v>1085</v>
      </c>
      <c r="B318" s="2" t="s">
        <v>790</v>
      </c>
      <c r="C318" s="18" t="s">
        <v>548</v>
      </c>
      <c r="D318" s="2" t="s">
        <v>507</v>
      </c>
      <c r="E318" s="18" t="s">
        <v>2701</v>
      </c>
      <c r="F318" s="19">
        <v>45614</v>
      </c>
      <c r="G318" s="18">
        <v>3039871.56</v>
      </c>
      <c r="H318" s="37">
        <f t="shared" si="15"/>
        <v>44</v>
      </c>
      <c r="I318" s="37" t="str">
        <f t="shared" si="17"/>
        <v>0-120 DAYS</v>
      </c>
      <c r="J318" s="37" t="str">
        <f t="shared" si="16"/>
        <v>0-180 DAYS</v>
      </c>
      <c r="K318" t="s">
        <v>1730</v>
      </c>
      <c r="N318" t="s">
        <v>2870</v>
      </c>
      <c r="O318" s="66">
        <v>3039871.56</v>
      </c>
    </row>
    <row r="319" spans="1:15" hidden="1" x14ac:dyDescent="0.35">
      <c r="A319" s="88" t="s">
        <v>1085</v>
      </c>
      <c r="B319" s="2" t="s">
        <v>790</v>
      </c>
      <c r="C319" s="18" t="s">
        <v>548</v>
      </c>
      <c r="D319" s="2" t="s">
        <v>507</v>
      </c>
      <c r="E319" s="18" t="s">
        <v>2702</v>
      </c>
      <c r="F319" s="19">
        <v>45614</v>
      </c>
      <c r="G319" s="18">
        <v>334400</v>
      </c>
      <c r="H319" s="37">
        <f t="shared" si="15"/>
        <v>44</v>
      </c>
      <c r="I319" s="37" t="str">
        <f t="shared" si="17"/>
        <v>0-120 DAYS</v>
      </c>
      <c r="J319" s="37" t="str">
        <f t="shared" si="16"/>
        <v>0-180 DAYS</v>
      </c>
      <c r="K319" t="s">
        <v>1730</v>
      </c>
      <c r="N319" t="s">
        <v>2870</v>
      </c>
      <c r="O319" s="66">
        <v>334400</v>
      </c>
    </row>
    <row r="320" spans="1:15" hidden="1" x14ac:dyDescent="0.35">
      <c r="A320" s="88" t="s">
        <v>1085</v>
      </c>
      <c r="B320" s="2" t="s">
        <v>790</v>
      </c>
      <c r="C320" s="18" t="s">
        <v>1329</v>
      </c>
      <c r="D320" s="2" t="s">
        <v>507</v>
      </c>
      <c r="E320" s="18" t="s">
        <v>2703</v>
      </c>
      <c r="F320" s="19">
        <v>45617</v>
      </c>
      <c r="G320" s="18">
        <v>3206629.72</v>
      </c>
      <c r="H320" s="37">
        <f t="shared" si="15"/>
        <v>41</v>
      </c>
      <c r="I320" s="37" t="str">
        <f t="shared" si="17"/>
        <v>0-120 DAYS</v>
      </c>
      <c r="J320" s="37" t="str">
        <f t="shared" si="16"/>
        <v>0-180 DAYS</v>
      </c>
      <c r="K320" t="s">
        <v>1730</v>
      </c>
      <c r="N320" t="s">
        <v>2871</v>
      </c>
      <c r="O320" s="66">
        <v>3206629.72</v>
      </c>
    </row>
    <row r="321" spans="1:15" hidden="1" x14ac:dyDescent="0.35">
      <c r="A321" s="88" t="s">
        <v>1085</v>
      </c>
      <c r="B321" s="2" t="s">
        <v>790</v>
      </c>
      <c r="C321" s="18" t="s">
        <v>573</v>
      </c>
      <c r="D321" s="2" t="s">
        <v>507</v>
      </c>
      <c r="E321" s="18" t="s">
        <v>2704</v>
      </c>
      <c r="F321" s="19">
        <v>45617</v>
      </c>
      <c r="G321" s="18">
        <v>579055.4</v>
      </c>
      <c r="H321" s="37">
        <f t="shared" si="15"/>
        <v>41</v>
      </c>
      <c r="I321" s="37" t="str">
        <f t="shared" si="17"/>
        <v>0-120 DAYS</v>
      </c>
      <c r="J321" s="37" t="str">
        <f t="shared" si="16"/>
        <v>0-180 DAYS</v>
      </c>
      <c r="K321" t="s">
        <v>1730</v>
      </c>
      <c r="N321" t="s">
        <v>2871</v>
      </c>
      <c r="O321" s="66">
        <v>579055.4</v>
      </c>
    </row>
    <row r="322" spans="1:15" hidden="1" x14ac:dyDescent="0.35">
      <c r="A322" s="88" t="s">
        <v>1085</v>
      </c>
      <c r="B322" s="2" t="s">
        <v>790</v>
      </c>
      <c r="C322" s="18" t="s">
        <v>1052</v>
      </c>
      <c r="D322" s="2" t="s">
        <v>507</v>
      </c>
      <c r="E322" s="18" t="s">
        <v>2705</v>
      </c>
      <c r="F322" s="19">
        <v>45619</v>
      </c>
      <c r="G322" s="18">
        <v>2980657.68</v>
      </c>
      <c r="H322" s="37">
        <f t="shared" si="15"/>
        <v>39</v>
      </c>
      <c r="I322" s="37" t="str">
        <f t="shared" si="17"/>
        <v>0-120 DAYS</v>
      </c>
      <c r="J322" s="37" t="str">
        <f t="shared" si="16"/>
        <v>0-180 DAYS</v>
      </c>
      <c r="K322" t="s">
        <v>1730</v>
      </c>
      <c r="N322" t="s">
        <v>2872</v>
      </c>
      <c r="O322" s="66">
        <v>2980657.68</v>
      </c>
    </row>
    <row r="323" spans="1:15" hidden="1" x14ac:dyDescent="0.35">
      <c r="A323" s="88" t="s">
        <v>1085</v>
      </c>
      <c r="B323" s="2" t="s">
        <v>790</v>
      </c>
      <c r="C323" s="18" t="s">
        <v>548</v>
      </c>
      <c r="D323" s="2" t="s">
        <v>507</v>
      </c>
      <c r="E323" s="18" t="s">
        <v>2706</v>
      </c>
      <c r="F323" s="19">
        <v>45619</v>
      </c>
      <c r="G323" s="18">
        <v>3253373.42</v>
      </c>
      <c r="H323" s="37">
        <f t="shared" si="15"/>
        <v>39</v>
      </c>
      <c r="I323" s="37" t="str">
        <f t="shared" si="17"/>
        <v>0-120 DAYS</v>
      </c>
      <c r="J323" s="37" t="str">
        <f t="shared" si="16"/>
        <v>0-180 DAYS</v>
      </c>
      <c r="K323" t="s">
        <v>1730</v>
      </c>
      <c r="N323" t="s">
        <v>2872</v>
      </c>
      <c r="O323" s="66">
        <v>3253373.42</v>
      </c>
    </row>
    <row r="324" spans="1:15" hidden="1" x14ac:dyDescent="0.35">
      <c r="A324" s="88" t="s">
        <v>1085</v>
      </c>
      <c r="B324" s="2" t="s">
        <v>790</v>
      </c>
      <c r="C324" s="18" t="s">
        <v>1243</v>
      </c>
      <c r="D324" s="2" t="s">
        <v>507</v>
      </c>
      <c r="E324" s="18" t="s">
        <v>2707</v>
      </c>
      <c r="F324" s="19">
        <v>45620</v>
      </c>
      <c r="G324" s="18">
        <v>3357598.15</v>
      </c>
      <c r="H324" s="37">
        <f t="shared" si="15"/>
        <v>38</v>
      </c>
      <c r="I324" s="37" t="str">
        <f t="shared" si="17"/>
        <v>0-120 DAYS</v>
      </c>
      <c r="J324" s="37" t="str">
        <f t="shared" si="16"/>
        <v>0-180 DAYS</v>
      </c>
      <c r="K324" t="s">
        <v>1730</v>
      </c>
      <c r="N324" t="s">
        <v>2873</v>
      </c>
      <c r="O324" s="66">
        <v>3357598.15</v>
      </c>
    </row>
    <row r="325" spans="1:15" hidden="1" x14ac:dyDescent="0.35">
      <c r="A325" s="88" t="s">
        <v>1085</v>
      </c>
      <c r="B325" s="2" t="s">
        <v>790</v>
      </c>
      <c r="C325" s="18" t="s">
        <v>1243</v>
      </c>
      <c r="D325" s="2" t="s">
        <v>507</v>
      </c>
      <c r="E325" s="18" t="s">
        <v>2708</v>
      </c>
      <c r="F325" s="19">
        <v>45620</v>
      </c>
      <c r="G325" s="18">
        <v>636062.31999999995</v>
      </c>
      <c r="H325" s="37">
        <f t="shared" ref="H325:H388" si="18">$H$2-F325+1</f>
        <v>38</v>
      </c>
      <c r="I325" s="37" t="str">
        <f t="shared" si="17"/>
        <v>0-120 DAYS</v>
      </c>
      <c r="J325" s="37" t="str">
        <f t="shared" si="16"/>
        <v>0-180 DAYS</v>
      </c>
      <c r="K325" t="s">
        <v>1730</v>
      </c>
      <c r="N325" t="s">
        <v>2873</v>
      </c>
      <c r="O325" s="66">
        <v>636062.31999999995</v>
      </c>
    </row>
    <row r="326" spans="1:15" hidden="1" x14ac:dyDescent="0.35">
      <c r="A326" s="88" t="s">
        <v>1085</v>
      </c>
      <c r="B326" s="2" t="s">
        <v>790</v>
      </c>
      <c r="C326" s="18" t="s">
        <v>575</v>
      </c>
      <c r="D326" s="2" t="s">
        <v>507</v>
      </c>
      <c r="E326" s="18" t="s">
        <v>2709</v>
      </c>
      <c r="F326" s="19">
        <v>45621</v>
      </c>
      <c r="G326" s="18">
        <v>3120784.43</v>
      </c>
      <c r="H326" s="37">
        <f t="shared" si="18"/>
        <v>37</v>
      </c>
      <c r="I326" s="37" t="str">
        <f t="shared" si="17"/>
        <v>0-120 DAYS</v>
      </c>
      <c r="J326" s="37" t="str">
        <f t="shared" ref="J326:J389" si="19">IF(H326&lt;180,"0-180 DAYS","More than 180 Days")</f>
        <v>0-180 DAYS</v>
      </c>
      <c r="K326" t="s">
        <v>1730</v>
      </c>
      <c r="N326" t="s">
        <v>2874</v>
      </c>
      <c r="O326" s="66">
        <v>3120784.43</v>
      </c>
    </row>
    <row r="327" spans="1:15" hidden="1" x14ac:dyDescent="0.35">
      <c r="A327" s="88" t="s">
        <v>1085</v>
      </c>
      <c r="B327" s="2" t="s">
        <v>790</v>
      </c>
      <c r="C327" s="18" t="s">
        <v>600</v>
      </c>
      <c r="D327" s="2" t="s">
        <v>507</v>
      </c>
      <c r="E327" s="18" t="s">
        <v>2710</v>
      </c>
      <c r="F327" s="19">
        <v>45622</v>
      </c>
      <c r="G327" s="18">
        <v>3822463.7</v>
      </c>
      <c r="H327" s="37">
        <f t="shared" si="18"/>
        <v>36</v>
      </c>
      <c r="I327" s="37" t="str">
        <f t="shared" si="17"/>
        <v>0-120 DAYS</v>
      </c>
      <c r="J327" s="37" t="str">
        <f t="shared" si="19"/>
        <v>0-180 DAYS</v>
      </c>
      <c r="K327" t="s">
        <v>1730</v>
      </c>
      <c r="N327" t="s">
        <v>2875</v>
      </c>
      <c r="O327" s="66">
        <v>3822463.7</v>
      </c>
    </row>
    <row r="328" spans="1:15" hidden="1" x14ac:dyDescent="0.35">
      <c r="A328" s="88" t="s">
        <v>1085</v>
      </c>
      <c r="B328" s="2" t="s">
        <v>790</v>
      </c>
      <c r="C328" s="18" t="s">
        <v>2675</v>
      </c>
      <c r="D328" s="2" t="s">
        <v>507</v>
      </c>
      <c r="E328" s="18" t="s">
        <v>2711</v>
      </c>
      <c r="F328" s="19">
        <v>45623</v>
      </c>
      <c r="G328" s="18">
        <f>3244348.8-648870</f>
        <v>2595478.7999999998</v>
      </c>
      <c r="H328" s="37">
        <f t="shared" si="18"/>
        <v>35</v>
      </c>
      <c r="I328" s="37" t="str">
        <f t="shared" si="17"/>
        <v>0-120 DAYS</v>
      </c>
      <c r="J328" s="37" t="str">
        <f t="shared" si="19"/>
        <v>0-180 DAYS</v>
      </c>
      <c r="K328" t="s">
        <v>1730</v>
      </c>
      <c r="N328" t="s">
        <v>2876</v>
      </c>
      <c r="O328" s="66">
        <v>3244348.8</v>
      </c>
    </row>
    <row r="329" spans="1:15" hidden="1" x14ac:dyDescent="0.35">
      <c r="A329" s="88" t="s">
        <v>1085</v>
      </c>
      <c r="B329" s="2" t="s">
        <v>790</v>
      </c>
      <c r="C329" s="18" t="s">
        <v>1052</v>
      </c>
      <c r="D329" s="2" t="s">
        <v>507</v>
      </c>
      <c r="E329" s="18" t="s">
        <v>2712</v>
      </c>
      <c r="F329" s="19">
        <v>45625</v>
      </c>
      <c r="G329" s="18">
        <v>2792376.27</v>
      </c>
      <c r="H329" s="37">
        <f t="shared" si="18"/>
        <v>33</v>
      </c>
      <c r="I329" s="37" t="str">
        <f>IF(H329&lt;121,"0-120 DAYS",IF(H329&lt;181,"121-180 DAYS","More than 180 Days"))</f>
        <v>0-120 DAYS</v>
      </c>
      <c r="J329" s="37" t="str">
        <f t="shared" si="19"/>
        <v>0-180 DAYS</v>
      </c>
      <c r="K329" t="s">
        <v>1730</v>
      </c>
      <c r="N329" t="s">
        <v>2877</v>
      </c>
      <c r="O329" s="66">
        <v>2792376.27</v>
      </c>
    </row>
    <row r="330" spans="1:15" hidden="1" x14ac:dyDescent="0.35">
      <c r="A330" s="2" t="s">
        <v>1209</v>
      </c>
      <c r="B330" s="2" t="s">
        <v>789</v>
      </c>
      <c r="C330" s="18" t="s">
        <v>506</v>
      </c>
      <c r="D330" s="2" t="s">
        <v>507</v>
      </c>
      <c r="E330" s="18" t="s">
        <v>2713</v>
      </c>
      <c r="F330" s="19">
        <v>45625</v>
      </c>
      <c r="G330" s="18">
        <v>2177815.11</v>
      </c>
      <c r="H330" s="37">
        <f t="shared" si="18"/>
        <v>33</v>
      </c>
      <c r="I330" s="37" t="str">
        <f>IF(H330&lt;91,"1-90 DAYS",IF(H330&lt;121,"91-120DAYS",IF(H330&lt;181,"121-180 DAYS","More than 180 Days")))</f>
        <v>1-90 DAYS</v>
      </c>
      <c r="J330" s="37" t="str">
        <f t="shared" si="19"/>
        <v>0-180 DAYS</v>
      </c>
      <c r="N330" t="s">
        <v>2877</v>
      </c>
      <c r="O330" s="66">
        <v>2177815.11</v>
      </c>
    </row>
    <row r="331" spans="1:15" hidden="1" x14ac:dyDescent="0.35">
      <c r="A331" s="2" t="s">
        <v>1209</v>
      </c>
      <c r="B331" s="2" t="s">
        <v>789</v>
      </c>
      <c r="C331" s="18" t="s">
        <v>506</v>
      </c>
      <c r="D331" s="2" t="s">
        <v>507</v>
      </c>
      <c r="E331" s="18" t="s">
        <v>2714</v>
      </c>
      <c r="F331" s="19">
        <v>45625</v>
      </c>
      <c r="G331" s="18">
        <v>1187994.46</v>
      </c>
      <c r="H331" s="37">
        <f t="shared" si="18"/>
        <v>33</v>
      </c>
      <c r="I331" s="37" t="str">
        <f>IF(H331&lt;91,"1-90 DAYS",IF(H331&lt;121,"91-120DAYS",IF(H331&lt;181,"121-180 DAYS","More than 180 Days")))</f>
        <v>1-90 DAYS</v>
      </c>
      <c r="J331" s="37" t="str">
        <f t="shared" si="19"/>
        <v>0-180 DAYS</v>
      </c>
      <c r="N331" t="s">
        <v>2877</v>
      </c>
      <c r="O331" s="66">
        <v>1187994.46</v>
      </c>
    </row>
    <row r="332" spans="1:15" hidden="1" x14ac:dyDescent="0.35">
      <c r="A332" s="2" t="s">
        <v>1209</v>
      </c>
      <c r="B332" s="2" t="s">
        <v>789</v>
      </c>
      <c r="C332" s="18" t="s">
        <v>506</v>
      </c>
      <c r="D332" s="2" t="s">
        <v>507</v>
      </c>
      <c r="E332" s="18" t="s">
        <v>2715</v>
      </c>
      <c r="F332" s="19">
        <v>45625</v>
      </c>
      <c r="G332" s="18">
        <v>58179.75</v>
      </c>
      <c r="H332" s="37">
        <f t="shared" si="18"/>
        <v>33</v>
      </c>
      <c r="I332" s="37" t="str">
        <f>IF(H332&lt;91,"1-90 DAYS",IF(H332&lt;121,"91-120DAYS",IF(H332&lt;181,"121-180 DAYS","More than 180 Days")))</f>
        <v>1-90 DAYS</v>
      </c>
      <c r="J332" s="37" t="str">
        <f t="shared" si="19"/>
        <v>0-180 DAYS</v>
      </c>
      <c r="N332" t="s">
        <v>2877</v>
      </c>
      <c r="O332" s="66">
        <v>58179.75</v>
      </c>
    </row>
    <row r="333" spans="1:15" hidden="1" x14ac:dyDescent="0.35">
      <c r="A333" s="88" t="s">
        <v>1085</v>
      </c>
      <c r="B333" s="2" t="s">
        <v>790</v>
      </c>
      <c r="C333" s="18" t="s">
        <v>631</v>
      </c>
      <c r="D333" s="2" t="s">
        <v>507</v>
      </c>
      <c r="E333" s="18" t="s">
        <v>2716</v>
      </c>
      <c r="F333" s="19">
        <v>45626</v>
      </c>
      <c r="G333" s="18">
        <v>3097212.8</v>
      </c>
      <c r="H333" s="37">
        <f t="shared" si="18"/>
        <v>32</v>
      </c>
      <c r="I333" s="37" t="str">
        <f t="shared" ref="I333:I345" si="20">IF(H333&lt;121,"0-120 DAYS",IF(H333&lt;181,"121-180 DAYS","More than 180 Days"))</f>
        <v>0-120 DAYS</v>
      </c>
      <c r="J333" s="37" t="str">
        <f t="shared" si="19"/>
        <v>0-180 DAYS</v>
      </c>
      <c r="K333" t="s">
        <v>1730</v>
      </c>
      <c r="N333" t="s">
        <v>2860</v>
      </c>
      <c r="O333" s="66">
        <v>3097212.8</v>
      </c>
    </row>
    <row r="334" spans="1:15" hidden="1" x14ac:dyDescent="0.35">
      <c r="A334" s="88" t="s">
        <v>1085</v>
      </c>
      <c r="B334" s="2" t="s">
        <v>790</v>
      </c>
      <c r="C334" s="18" t="s">
        <v>715</v>
      </c>
      <c r="D334" s="2" t="s">
        <v>507</v>
      </c>
      <c r="E334" s="18" t="s">
        <v>2717</v>
      </c>
      <c r="F334" s="19">
        <v>45601</v>
      </c>
      <c r="G334" s="18">
        <v>3453898.24</v>
      </c>
      <c r="H334" s="37">
        <f t="shared" si="18"/>
        <v>57</v>
      </c>
      <c r="I334" s="37" t="str">
        <f t="shared" si="20"/>
        <v>0-120 DAYS</v>
      </c>
      <c r="J334" s="37" t="str">
        <f t="shared" si="19"/>
        <v>0-180 DAYS</v>
      </c>
      <c r="K334" t="s">
        <v>1730</v>
      </c>
      <c r="N334" t="s">
        <v>2861</v>
      </c>
      <c r="O334" s="66">
        <v>3453898.24</v>
      </c>
    </row>
    <row r="335" spans="1:15" hidden="1" x14ac:dyDescent="0.35">
      <c r="A335" s="88" t="s">
        <v>1085</v>
      </c>
      <c r="B335" s="2" t="s">
        <v>790</v>
      </c>
      <c r="C335" s="18" t="s">
        <v>653</v>
      </c>
      <c r="D335" s="2" t="s">
        <v>507</v>
      </c>
      <c r="E335" s="18" t="s">
        <v>2718</v>
      </c>
      <c r="F335" s="19">
        <v>45601</v>
      </c>
      <c r="G335" s="18">
        <v>2743849.76</v>
      </c>
      <c r="H335" s="37">
        <f t="shared" si="18"/>
        <v>57</v>
      </c>
      <c r="I335" s="37" t="str">
        <f t="shared" si="20"/>
        <v>0-120 DAYS</v>
      </c>
      <c r="J335" s="37" t="str">
        <f t="shared" si="19"/>
        <v>0-180 DAYS</v>
      </c>
      <c r="K335" t="s">
        <v>1730</v>
      </c>
      <c r="N335" t="s">
        <v>2861</v>
      </c>
      <c r="O335" s="66">
        <v>2743849.76</v>
      </c>
    </row>
    <row r="336" spans="1:15" hidden="1" x14ac:dyDescent="0.35">
      <c r="A336" s="88" t="s">
        <v>1085</v>
      </c>
      <c r="B336" s="2" t="s">
        <v>790</v>
      </c>
      <c r="C336" s="18" t="s">
        <v>600</v>
      </c>
      <c r="D336" s="2" t="s">
        <v>507</v>
      </c>
      <c r="E336" s="18" t="s">
        <v>2719</v>
      </c>
      <c r="F336" s="19">
        <v>45602</v>
      </c>
      <c r="G336" s="18">
        <v>1760012.8</v>
      </c>
      <c r="H336" s="37">
        <f t="shared" si="18"/>
        <v>56</v>
      </c>
      <c r="I336" s="37" t="str">
        <f t="shared" si="20"/>
        <v>0-120 DAYS</v>
      </c>
      <c r="J336" s="37" t="str">
        <f t="shared" si="19"/>
        <v>0-180 DAYS</v>
      </c>
      <c r="K336" t="s">
        <v>1730</v>
      </c>
      <c r="N336" t="s">
        <v>2862</v>
      </c>
      <c r="O336" s="66">
        <v>1760012.8</v>
      </c>
    </row>
    <row r="337" spans="1:15" hidden="1" x14ac:dyDescent="0.35">
      <c r="A337" s="88" t="s">
        <v>1085</v>
      </c>
      <c r="B337" s="2" t="s">
        <v>790</v>
      </c>
      <c r="C337" s="18" t="s">
        <v>538</v>
      </c>
      <c r="D337" s="2" t="s">
        <v>507</v>
      </c>
      <c r="E337" s="18" t="s">
        <v>2720</v>
      </c>
      <c r="F337" s="19">
        <v>45603</v>
      </c>
      <c r="G337" s="18">
        <v>3495620.07</v>
      </c>
      <c r="H337" s="37">
        <f t="shared" si="18"/>
        <v>55</v>
      </c>
      <c r="I337" s="37" t="str">
        <f t="shared" si="20"/>
        <v>0-120 DAYS</v>
      </c>
      <c r="J337" s="37" t="str">
        <f t="shared" si="19"/>
        <v>0-180 DAYS</v>
      </c>
      <c r="K337" t="s">
        <v>1730</v>
      </c>
      <c r="N337" t="s">
        <v>2878</v>
      </c>
      <c r="O337" s="66">
        <v>3495620.07</v>
      </c>
    </row>
    <row r="338" spans="1:15" hidden="1" x14ac:dyDescent="0.35">
      <c r="A338" s="88" t="s">
        <v>1085</v>
      </c>
      <c r="B338" s="2" t="s">
        <v>790</v>
      </c>
      <c r="C338" s="18" t="s">
        <v>2559</v>
      </c>
      <c r="D338" s="2" t="s">
        <v>507</v>
      </c>
      <c r="E338" s="18" t="s">
        <v>2721</v>
      </c>
      <c r="F338" s="19">
        <v>45603</v>
      </c>
      <c r="G338" s="18">
        <v>3222535.68</v>
      </c>
      <c r="H338" s="37">
        <f t="shared" si="18"/>
        <v>55</v>
      </c>
      <c r="I338" s="37" t="str">
        <f t="shared" si="20"/>
        <v>0-120 DAYS</v>
      </c>
      <c r="J338" s="37" t="str">
        <f t="shared" si="19"/>
        <v>0-180 DAYS</v>
      </c>
      <c r="K338" t="s">
        <v>1730</v>
      </c>
      <c r="N338" t="s">
        <v>2878</v>
      </c>
      <c r="O338" s="66">
        <v>3222535.68</v>
      </c>
    </row>
    <row r="339" spans="1:15" hidden="1" x14ac:dyDescent="0.35">
      <c r="A339" s="88" t="s">
        <v>1085</v>
      </c>
      <c r="B339" s="2" t="s">
        <v>790</v>
      </c>
      <c r="C339" s="18" t="s">
        <v>814</v>
      </c>
      <c r="D339" s="2" t="s">
        <v>507</v>
      </c>
      <c r="E339" s="18" t="s">
        <v>2722</v>
      </c>
      <c r="F339" s="19">
        <v>45603</v>
      </c>
      <c r="G339" s="18">
        <v>61053.98</v>
      </c>
      <c r="H339" s="37">
        <f t="shared" si="18"/>
        <v>55</v>
      </c>
      <c r="I339" s="37" t="str">
        <f t="shared" si="20"/>
        <v>0-120 DAYS</v>
      </c>
      <c r="J339" s="37" t="str">
        <f t="shared" si="19"/>
        <v>0-180 DAYS</v>
      </c>
      <c r="K339" t="s">
        <v>1730</v>
      </c>
      <c r="N339" t="s">
        <v>2878</v>
      </c>
      <c r="O339" s="66">
        <v>61053.98</v>
      </c>
    </row>
    <row r="340" spans="1:15" hidden="1" x14ac:dyDescent="0.35">
      <c r="A340" s="88" t="s">
        <v>1085</v>
      </c>
      <c r="B340" s="2" t="s">
        <v>790</v>
      </c>
      <c r="C340" s="18" t="s">
        <v>814</v>
      </c>
      <c r="D340" s="2" t="s">
        <v>507</v>
      </c>
      <c r="E340" s="18" t="s">
        <v>2723</v>
      </c>
      <c r="F340" s="19">
        <v>45603</v>
      </c>
      <c r="G340" s="18">
        <v>1242.76</v>
      </c>
      <c r="H340" s="37">
        <f t="shared" si="18"/>
        <v>55</v>
      </c>
      <c r="I340" s="37" t="str">
        <f t="shared" si="20"/>
        <v>0-120 DAYS</v>
      </c>
      <c r="J340" s="37" t="str">
        <f t="shared" si="19"/>
        <v>0-180 DAYS</v>
      </c>
      <c r="K340" t="s">
        <v>1730</v>
      </c>
      <c r="N340" t="s">
        <v>2878</v>
      </c>
      <c r="O340" s="66">
        <v>1242.76</v>
      </c>
    </row>
    <row r="341" spans="1:15" hidden="1" x14ac:dyDescent="0.35">
      <c r="A341" s="88" t="s">
        <v>1085</v>
      </c>
      <c r="B341" s="2" t="s">
        <v>790</v>
      </c>
      <c r="C341" s="18" t="s">
        <v>570</v>
      </c>
      <c r="D341" s="2" t="s">
        <v>507</v>
      </c>
      <c r="E341" s="18" t="s">
        <v>2724</v>
      </c>
      <c r="F341" s="19">
        <v>45604</v>
      </c>
      <c r="G341" s="18">
        <v>3164424</v>
      </c>
      <c r="H341" s="37">
        <f t="shared" si="18"/>
        <v>54</v>
      </c>
      <c r="I341" s="37" t="str">
        <f t="shared" si="20"/>
        <v>0-120 DAYS</v>
      </c>
      <c r="J341" s="37" t="str">
        <f t="shared" si="19"/>
        <v>0-180 DAYS</v>
      </c>
      <c r="K341" t="s">
        <v>1730</v>
      </c>
      <c r="N341" t="s">
        <v>2863</v>
      </c>
      <c r="O341" s="66">
        <v>3164424</v>
      </c>
    </row>
    <row r="342" spans="1:15" hidden="1" x14ac:dyDescent="0.35">
      <c r="A342" s="88" t="s">
        <v>1085</v>
      </c>
      <c r="B342" s="2" t="s">
        <v>790</v>
      </c>
      <c r="C342" s="18" t="s">
        <v>570</v>
      </c>
      <c r="D342" s="2" t="s">
        <v>507</v>
      </c>
      <c r="E342" s="18" t="s">
        <v>2725</v>
      </c>
      <c r="F342" s="19">
        <v>45604</v>
      </c>
      <c r="G342" s="18">
        <v>3051265.89</v>
      </c>
      <c r="H342" s="37">
        <f t="shared" si="18"/>
        <v>54</v>
      </c>
      <c r="I342" s="37" t="str">
        <f t="shared" si="20"/>
        <v>0-120 DAYS</v>
      </c>
      <c r="J342" s="37" t="str">
        <f t="shared" si="19"/>
        <v>0-180 DAYS</v>
      </c>
      <c r="K342" t="s">
        <v>1730</v>
      </c>
      <c r="N342" t="s">
        <v>2863</v>
      </c>
      <c r="O342" s="66">
        <v>3051265.89</v>
      </c>
    </row>
    <row r="343" spans="1:15" hidden="1" x14ac:dyDescent="0.35">
      <c r="A343" s="88" t="s">
        <v>1085</v>
      </c>
      <c r="B343" s="2" t="s">
        <v>790</v>
      </c>
      <c r="C343" s="18" t="s">
        <v>600</v>
      </c>
      <c r="D343" s="2" t="s">
        <v>507</v>
      </c>
      <c r="E343" s="18" t="s">
        <v>2726</v>
      </c>
      <c r="F343" s="19">
        <v>45604</v>
      </c>
      <c r="G343" s="18">
        <v>3753205.48</v>
      </c>
      <c r="H343" s="37">
        <f t="shared" si="18"/>
        <v>54</v>
      </c>
      <c r="I343" s="37" t="str">
        <f t="shared" si="20"/>
        <v>0-120 DAYS</v>
      </c>
      <c r="J343" s="37" t="str">
        <f t="shared" si="19"/>
        <v>0-180 DAYS</v>
      </c>
      <c r="K343" t="s">
        <v>1730</v>
      </c>
      <c r="N343" t="s">
        <v>2863</v>
      </c>
      <c r="O343" s="66">
        <v>3753205.48</v>
      </c>
    </row>
    <row r="344" spans="1:15" hidden="1" x14ac:dyDescent="0.35">
      <c r="A344" s="88" t="s">
        <v>1085</v>
      </c>
      <c r="B344" s="2" t="s">
        <v>790</v>
      </c>
      <c r="C344" s="18" t="s">
        <v>650</v>
      </c>
      <c r="D344" s="2" t="s">
        <v>507</v>
      </c>
      <c r="E344" s="18" t="s">
        <v>2727</v>
      </c>
      <c r="F344" s="19">
        <v>45604</v>
      </c>
      <c r="G344" s="18">
        <v>3791407.2</v>
      </c>
      <c r="H344" s="37">
        <f t="shared" si="18"/>
        <v>54</v>
      </c>
      <c r="I344" s="37" t="str">
        <f t="shared" si="20"/>
        <v>0-120 DAYS</v>
      </c>
      <c r="J344" s="37" t="str">
        <f t="shared" si="19"/>
        <v>0-180 DAYS</v>
      </c>
      <c r="K344" t="s">
        <v>1730</v>
      </c>
      <c r="N344" t="s">
        <v>2863</v>
      </c>
      <c r="O344" s="66">
        <v>3791407.2</v>
      </c>
    </row>
    <row r="345" spans="1:15" hidden="1" x14ac:dyDescent="0.35">
      <c r="A345" s="88" t="s">
        <v>1085</v>
      </c>
      <c r="B345" s="2" t="s">
        <v>790</v>
      </c>
      <c r="C345" s="18" t="s">
        <v>728</v>
      </c>
      <c r="D345" s="2" t="s">
        <v>507</v>
      </c>
      <c r="E345" s="18" t="s">
        <v>2728</v>
      </c>
      <c r="F345" s="19">
        <v>45605</v>
      </c>
      <c r="G345" s="18">
        <v>3208485.6</v>
      </c>
      <c r="H345" s="37">
        <f t="shared" si="18"/>
        <v>53</v>
      </c>
      <c r="I345" s="37" t="str">
        <f t="shared" si="20"/>
        <v>0-120 DAYS</v>
      </c>
      <c r="J345" s="37" t="str">
        <f t="shared" si="19"/>
        <v>0-180 DAYS</v>
      </c>
      <c r="K345" t="s">
        <v>1730</v>
      </c>
      <c r="N345" t="s">
        <v>2864</v>
      </c>
      <c r="O345" s="66">
        <v>3208485.6</v>
      </c>
    </row>
    <row r="346" spans="1:15" hidden="1" x14ac:dyDescent="0.35">
      <c r="A346" s="2" t="s">
        <v>1209</v>
      </c>
      <c r="B346" s="2" t="s">
        <v>789</v>
      </c>
      <c r="C346" s="18" t="s">
        <v>506</v>
      </c>
      <c r="D346" s="2" t="s">
        <v>507</v>
      </c>
      <c r="E346" s="18" t="s">
        <v>2729</v>
      </c>
      <c r="F346" s="19">
        <v>45605</v>
      </c>
      <c r="G346" s="18">
        <v>79677.23</v>
      </c>
      <c r="H346" s="37">
        <f t="shared" si="18"/>
        <v>53</v>
      </c>
      <c r="I346" s="37" t="str">
        <f>IF(H346&lt;91,"1-90 DAYS",IF(H346&lt;121,"91-120DAYS",IF(H346&lt;181,"121-180 DAYS","More than 180 Days")))</f>
        <v>1-90 DAYS</v>
      </c>
      <c r="J346" s="37" t="str">
        <f t="shared" si="19"/>
        <v>0-180 DAYS</v>
      </c>
      <c r="N346" t="s">
        <v>2864</v>
      </c>
      <c r="O346" s="66">
        <v>79677.23</v>
      </c>
    </row>
    <row r="347" spans="1:15" hidden="1" x14ac:dyDescent="0.35">
      <c r="A347" s="2" t="s">
        <v>1209</v>
      </c>
      <c r="B347" s="2" t="s">
        <v>789</v>
      </c>
      <c r="C347" s="18" t="s">
        <v>506</v>
      </c>
      <c r="D347" s="2" t="s">
        <v>507</v>
      </c>
      <c r="E347" s="18" t="s">
        <v>2730</v>
      </c>
      <c r="F347" s="19">
        <v>45605</v>
      </c>
      <c r="G347" s="18">
        <v>474113.67</v>
      </c>
      <c r="H347" s="37">
        <f t="shared" si="18"/>
        <v>53</v>
      </c>
      <c r="I347" s="37" t="str">
        <f>IF(H347&lt;91,"1-90 DAYS",IF(H347&lt;121,"91-120DAYS",IF(H347&lt;181,"121-180 DAYS","More than 180 Days")))</f>
        <v>1-90 DAYS</v>
      </c>
      <c r="J347" s="37" t="str">
        <f t="shared" si="19"/>
        <v>0-180 DAYS</v>
      </c>
      <c r="N347" t="s">
        <v>2864</v>
      </c>
      <c r="O347" s="66">
        <v>474113.67</v>
      </c>
    </row>
    <row r="348" spans="1:15" hidden="1" x14ac:dyDescent="0.35">
      <c r="A348" s="2" t="s">
        <v>1209</v>
      </c>
      <c r="B348" s="2" t="s">
        <v>789</v>
      </c>
      <c r="C348" s="18" t="s">
        <v>506</v>
      </c>
      <c r="D348" s="2" t="s">
        <v>507</v>
      </c>
      <c r="E348" s="18" t="s">
        <v>2731</v>
      </c>
      <c r="F348" s="19">
        <v>45605</v>
      </c>
      <c r="G348" s="18">
        <v>2359370.16</v>
      </c>
      <c r="H348" s="37">
        <f t="shared" si="18"/>
        <v>53</v>
      </c>
      <c r="I348" s="37" t="str">
        <f>IF(H348&lt;91,"1-90 DAYS",IF(H348&lt;121,"91-120DAYS",IF(H348&lt;181,"121-180 DAYS","More than 180 Days")))</f>
        <v>1-90 DAYS</v>
      </c>
      <c r="J348" s="37" t="str">
        <f t="shared" si="19"/>
        <v>0-180 DAYS</v>
      </c>
      <c r="N348" t="s">
        <v>2864</v>
      </c>
      <c r="O348" s="66">
        <v>2359370.16</v>
      </c>
    </row>
    <row r="349" spans="1:15" hidden="1" x14ac:dyDescent="0.35">
      <c r="A349" s="88" t="s">
        <v>1085</v>
      </c>
      <c r="B349" s="2" t="s">
        <v>790</v>
      </c>
      <c r="C349" s="18" t="s">
        <v>2676</v>
      </c>
      <c r="D349" s="2" t="s">
        <v>507</v>
      </c>
      <c r="E349" s="18" t="s">
        <v>2732</v>
      </c>
      <c r="F349" s="19">
        <v>45607</v>
      </c>
      <c r="G349" s="18">
        <v>1802322.25</v>
      </c>
      <c r="H349" s="37">
        <f t="shared" si="18"/>
        <v>51</v>
      </c>
      <c r="I349" s="37" t="str">
        <f t="shared" ref="I349:I355" si="21">IF(H349&lt;121,"0-120 DAYS",IF(H349&lt;181,"121-180 DAYS","More than 180 Days"))</f>
        <v>0-120 DAYS</v>
      </c>
      <c r="J349" s="37" t="str">
        <f t="shared" si="19"/>
        <v>0-180 DAYS</v>
      </c>
      <c r="K349" t="s">
        <v>1730</v>
      </c>
      <c r="N349" t="s">
        <v>2879</v>
      </c>
      <c r="O349" s="66">
        <v>1802322.25</v>
      </c>
    </row>
    <row r="350" spans="1:15" hidden="1" x14ac:dyDescent="0.35">
      <c r="A350" s="88" t="s">
        <v>1085</v>
      </c>
      <c r="B350" s="2" t="s">
        <v>790</v>
      </c>
      <c r="C350" s="18" t="s">
        <v>650</v>
      </c>
      <c r="D350" s="2" t="s">
        <v>507</v>
      </c>
      <c r="E350" s="18" t="s">
        <v>2733</v>
      </c>
      <c r="F350" s="19">
        <v>45607</v>
      </c>
      <c r="G350" s="18">
        <v>3791407.2</v>
      </c>
      <c r="H350" s="37">
        <f t="shared" si="18"/>
        <v>51</v>
      </c>
      <c r="I350" s="37" t="str">
        <f t="shared" si="21"/>
        <v>0-120 DAYS</v>
      </c>
      <c r="J350" s="37" t="str">
        <f t="shared" si="19"/>
        <v>0-180 DAYS</v>
      </c>
      <c r="K350" t="s">
        <v>1730</v>
      </c>
      <c r="N350" t="s">
        <v>2879</v>
      </c>
      <c r="O350" s="66">
        <v>3791407.2</v>
      </c>
    </row>
    <row r="351" spans="1:15" hidden="1" x14ac:dyDescent="0.35">
      <c r="A351" s="88" t="s">
        <v>1085</v>
      </c>
      <c r="B351" s="2" t="s">
        <v>790</v>
      </c>
      <c r="C351" s="18" t="s">
        <v>1249</v>
      </c>
      <c r="D351" s="2" t="s">
        <v>507</v>
      </c>
      <c r="E351" s="18" t="s">
        <v>2734</v>
      </c>
      <c r="F351" s="19">
        <v>45609</v>
      </c>
      <c r="G351" s="18">
        <v>3324648</v>
      </c>
      <c r="H351" s="37">
        <f t="shared" si="18"/>
        <v>49</v>
      </c>
      <c r="I351" s="37" t="str">
        <f t="shared" si="21"/>
        <v>0-120 DAYS</v>
      </c>
      <c r="J351" s="37" t="str">
        <f t="shared" si="19"/>
        <v>0-180 DAYS</v>
      </c>
      <c r="K351" t="s">
        <v>1730</v>
      </c>
      <c r="N351" t="s">
        <v>2865</v>
      </c>
      <c r="O351" s="66">
        <v>3324648</v>
      </c>
    </row>
    <row r="352" spans="1:15" hidden="1" x14ac:dyDescent="0.35">
      <c r="A352" s="88" t="s">
        <v>1085</v>
      </c>
      <c r="B352" s="2" t="s">
        <v>790</v>
      </c>
      <c r="C352" s="18" t="s">
        <v>1249</v>
      </c>
      <c r="D352" s="2" t="s">
        <v>507</v>
      </c>
      <c r="E352" s="18" t="s">
        <v>2735</v>
      </c>
      <c r="F352" s="19">
        <v>45609</v>
      </c>
      <c r="G352" s="18">
        <v>1810531.2</v>
      </c>
      <c r="H352" s="37">
        <f t="shared" si="18"/>
        <v>49</v>
      </c>
      <c r="I352" s="37" t="str">
        <f t="shared" si="21"/>
        <v>0-120 DAYS</v>
      </c>
      <c r="J352" s="37" t="str">
        <f t="shared" si="19"/>
        <v>0-180 DAYS</v>
      </c>
      <c r="K352" t="s">
        <v>1730</v>
      </c>
      <c r="N352" t="s">
        <v>2865</v>
      </c>
      <c r="O352" s="66">
        <v>1810531.2</v>
      </c>
    </row>
    <row r="353" spans="1:15" hidden="1" x14ac:dyDescent="0.35">
      <c r="A353" s="88" t="s">
        <v>1085</v>
      </c>
      <c r="B353" s="2" t="s">
        <v>790</v>
      </c>
      <c r="C353" s="18" t="s">
        <v>1086</v>
      </c>
      <c r="D353" s="2" t="s">
        <v>507</v>
      </c>
      <c r="E353" s="18" t="s">
        <v>2736</v>
      </c>
      <c r="F353" s="19">
        <v>45609</v>
      </c>
      <c r="G353" s="18">
        <v>247182.24</v>
      </c>
      <c r="H353" s="37">
        <f t="shared" si="18"/>
        <v>49</v>
      </c>
      <c r="I353" s="37" t="str">
        <f t="shared" si="21"/>
        <v>0-120 DAYS</v>
      </c>
      <c r="J353" s="37" t="str">
        <f t="shared" si="19"/>
        <v>0-180 DAYS</v>
      </c>
      <c r="K353" t="s">
        <v>1730</v>
      </c>
      <c r="N353" t="s">
        <v>2865</v>
      </c>
      <c r="O353" s="66">
        <v>247182.24</v>
      </c>
    </row>
    <row r="354" spans="1:15" hidden="1" x14ac:dyDescent="0.35">
      <c r="A354" s="88" t="s">
        <v>1085</v>
      </c>
      <c r="B354" s="2" t="s">
        <v>790</v>
      </c>
      <c r="C354" s="18" t="s">
        <v>1086</v>
      </c>
      <c r="D354" s="2" t="s">
        <v>507</v>
      </c>
      <c r="E354" s="18" t="s">
        <v>2737</v>
      </c>
      <c r="F354" s="19">
        <v>45609</v>
      </c>
      <c r="G354" s="18">
        <v>1857690.46</v>
      </c>
      <c r="H354" s="37">
        <f t="shared" si="18"/>
        <v>49</v>
      </c>
      <c r="I354" s="37" t="str">
        <f t="shared" si="21"/>
        <v>0-120 DAYS</v>
      </c>
      <c r="J354" s="37" t="str">
        <f t="shared" si="19"/>
        <v>0-180 DAYS</v>
      </c>
      <c r="K354" t="s">
        <v>1730</v>
      </c>
      <c r="N354" t="s">
        <v>2865</v>
      </c>
      <c r="O354" s="66">
        <v>1857690.46</v>
      </c>
    </row>
    <row r="355" spans="1:15" hidden="1" x14ac:dyDescent="0.35">
      <c r="A355" s="88" t="s">
        <v>1085</v>
      </c>
      <c r="B355" s="2" t="s">
        <v>790</v>
      </c>
      <c r="C355" s="18" t="s">
        <v>635</v>
      </c>
      <c r="D355" s="2" t="s">
        <v>507</v>
      </c>
      <c r="E355" s="18" t="s">
        <v>2738</v>
      </c>
      <c r="F355" s="19">
        <v>45609</v>
      </c>
      <c r="G355" s="18">
        <v>3271119.83</v>
      </c>
      <c r="H355" s="37">
        <f t="shared" si="18"/>
        <v>49</v>
      </c>
      <c r="I355" s="37" t="str">
        <f t="shared" si="21"/>
        <v>0-120 DAYS</v>
      </c>
      <c r="J355" s="37" t="str">
        <f t="shared" si="19"/>
        <v>0-180 DAYS</v>
      </c>
      <c r="K355" t="s">
        <v>1730</v>
      </c>
      <c r="N355" t="s">
        <v>2865</v>
      </c>
      <c r="O355" s="66">
        <v>3271119.83</v>
      </c>
    </row>
    <row r="356" spans="1:15" hidden="1" x14ac:dyDescent="0.35">
      <c r="A356" s="2" t="s">
        <v>1209</v>
      </c>
      <c r="B356" s="2" t="s">
        <v>789</v>
      </c>
      <c r="C356" s="18" t="s">
        <v>506</v>
      </c>
      <c r="D356" s="2" t="s">
        <v>507</v>
      </c>
      <c r="E356" s="18" t="s">
        <v>2739</v>
      </c>
      <c r="F356" s="19">
        <v>45609</v>
      </c>
      <c r="G356" s="18">
        <v>2512074.4900000002</v>
      </c>
      <c r="H356" s="37">
        <f t="shared" si="18"/>
        <v>49</v>
      </c>
      <c r="I356" s="37" t="str">
        <f>IF(H356&lt;91,"1-90 DAYS",IF(H356&lt;121,"91-120DAYS",IF(H356&lt;181,"121-180 DAYS","More than 180 Days")))</f>
        <v>1-90 DAYS</v>
      </c>
      <c r="J356" s="37" t="str">
        <f t="shared" si="19"/>
        <v>0-180 DAYS</v>
      </c>
      <c r="N356" t="s">
        <v>2865</v>
      </c>
      <c r="O356" s="66">
        <v>2512074.4900000002</v>
      </c>
    </row>
    <row r="357" spans="1:15" hidden="1" x14ac:dyDescent="0.35">
      <c r="A357" s="2" t="s">
        <v>1209</v>
      </c>
      <c r="B357" s="2" t="s">
        <v>789</v>
      </c>
      <c r="C357" s="18" t="s">
        <v>506</v>
      </c>
      <c r="D357" s="2" t="s">
        <v>507</v>
      </c>
      <c r="E357" s="18" t="s">
        <v>2740</v>
      </c>
      <c r="F357" s="19">
        <v>45609</v>
      </c>
      <c r="G357" s="18">
        <v>1178974.93</v>
      </c>
      <c r="H357" s="37">
        <f t="shared" si="18"/>
        <v>49</v>
      </c>
      <c r="I357" s="37" t="str">
        <f>IF(H357&lt;91,"1-90 DAYS",IF(H357&lt;121,"91-120DAYS",IF(H357&lt;181,"121-180 DAYS","More than 180 Days")))</f>
        <v>1-90 DAYS</v>
      </c>
      <c r="J357" s="37" t="str">
        <f t="shared" si="19"/>
        <v>0-180 DAYS</v>
      </c>
      <c r="N357" t="s">
        <v>2865</v>
      </c>
      <c r="O357" s="66">
        <v>1178974.93</v>
      </c>
    </row>
    <row r="358" spans="1:15" hidden="1" x14ac:dyDescent="0.35">
      <c r="A358" s="88" t="s">
        <v>1085</v>
      </c>
      <c r="B358" s="2" t="s">
        <v>790</v>
      </c>
      <c r="C358" s="18" t="s">
        <v>653</v>
      </c>
      <c r="D358" s="2" t="s">
        <v>507</v>
      </c>
      <c r="E358" s="18" t="s">
        <v>2741</v>
      </c>
      <c r="F358" s="19">
        <v>45609</v>
      </c>
      <c r="G358" s="18">
        <v>2446564.7200000002</v>
      </c>
      <c r="H358" s="37">
        <f t="shared" si="18"/>
        <v>49</v>
      </c>
      <c r="I358" s="37" t="str">
        <f t="shared" ref="I358:I405" si="22">IF(H358&lt;121,"0-120 DAYS",IF(H358&lt;181,"121-180 DAYS","More than 180 Days"))</f>
        <v>0-120 DAYS</v>
      </c>
      <c r="J358" s="37" t="str">
        <f t="shared" si="19"/>
        <v>0-180 DAYS</v>
      </c>
      <c r="K358" t="s">
        <v>1730</v>
      </c>
      <c r="N358" t="s">
        <v>2865</v>
      </c>
      <c r="O358" s="66">
        <v>2446564.7200000002</v>
      </c>
    </row>
    <row r="359" spans="1:15" hidden="1" x14ac:dyDescent="0.35">
      <c r="A359" s="88" t="s">
        <v>1085</v>
      </c>
      <c r="B359" s="2" t="s">
        <v>790</v>
      </c>
      <c r="C359" s="18" t="s">
        <v>1086</v>
      </c>
      <c r="D359" s="2" t="s">
        <v>507</v>
      </c>
      <c r="E359" s="18" t="s">
        <v>2742</v>
      </c>
      <c r="F359" s="19">
        <v>45613</v>
      </c>
      <c r="G359" s="18">
        <v>75211.58</v>
      </c>
      <c r="H359" s="37">
        <f t="shared" si="18"/>
        <v>45</v>
      </c>
      <c r="I359" s="37" t="str">
        <f t="shared" si="22"/>
        <v>0-120 DAYS</v>
      </c>
      <c r="J359" s="37" t="str">
        <f t="shared" si="19"/>
        <v>0-180 DAYS</v>
      </c>
      <c r="K359" t="s">
        <v>1730</v>
      </c>
      <c r="N359" t="s">
        <v>2869</v>
      </c>
      <c r="O359" s="66">
        <v>75211.58</v>
      </c>
    </row>
    <row r="360" spans="1:15" hidden="1" x14ac:dyDescent="0.35">
      <c r="A360" s="88" t="s">
        <v>1085</v>
      </c>
      <c r="B360" s="2" t="s">
        <v>790</v>
      </c>
      <c r="C360" s="18" t="s">
        <v>1086</v>
      </c>
      <c r="D360" s="2" t="s">
        <v>507</v>
      </c>
      <c r="E360" s="18" t="s">
        <v>2743</v>
      </c>
      <c r="F360" s="19">
        <v>45613</v>
      </c>
      <c r="G360" s="18">
        <v>1874754.24</v>
      </c>
      <c r="H360" s="37">
        <f t="shared" si="18"/>
        <v>45</v>
      </c>
      <c r="I360" s="37" t="str">
        <f t="shared" si="22"/>
        <v>0-120 DAYS</v>
      </c>
      <c r="J360" s="37" t="str">
        <f t="shared" si="19"/>
        <v>0-180 DAYS</v>
      </c>
      <c r="K360" t="s">
        <v>1730</v>
      </c>
      <c r="N360" t="s">
        <v>2869</v>
      </c>
      <c r="O360" s="66">
        <v>1874754.24</v>
      </c>
    </row>
    <row r="361" spans="1:15" hidden="1" x14ac:dyDescent="0.35">
      <c r="A361" s="88" t="s">
        <v>1085</v>
      </c>
      <c r="B361" s="2" t="s">
        <v>790</v>
      </c>
      <c r="C361" s="18" t="s">
        <v>1086</v>
      </c>
      <c r="D361" s="2" t="s">
        <v>507</v>
      </c>
      <c r="E361" s="18" t="s">
        <v>2744</v>
      </c>
      <c r="F361" s="19">
        <v>45613</v>
      </c>
      <c r="G361" s="18">
        <v>249748.31</v>
      </c>
      <c r="H361" s="37">
        <f t="shared" si="18"/>
        <v>45</v>
      </c>
      <c r="I361" s="37" t="str">
        <f t="shared" si="22"/>
        <v>0-120 DAYS</v>
      </c>
      <c r="J361" s="37" t="str">
        <f t="shared" si="19"/>
        <v>0-180 DAYS</v>
      </c>
      <c r="K361" t="s">
        <v>1730</v>
      </c>
      <c r="N361" t="s">
        <v>2869</v>
      </c>
      <c r="O361" s="66">
        <v>249748.31</v>
      </c>
    </row>
    <row r="362" spans="1:15" hidden="1" x14ac:dyDescent="0.35">
      <c r="A362" s="88" t="s">
        <v>1085</v>
      </c>
      <c r="B362" s="2" t="s">
        <v>790</v>
      </c>
      <c r="C362" s="18" t="s">
        <v>650</v>
      </c>
      <c r="D362" s="2" t="s">
        <v>507</v>
      </c>
      <c r="E362" s="18" t="s">
        <v>2745</v>
      </c>
      <c r="F362" s="19">
        <v>45617</v>
      </c>
      <c r="G362" s="18">
        <v>3841853.4</v>
      </c>
      <c r="H362" s="37">
        <f t="shared" si="18"/>
        <v>41</v>
      </c>
      <c r="I362" s="37" t="str">
        <f t="shared" si="22"/>
        <v>0-120 DAYS</v>
      </c>
      <c r="J362" s="37" t="str">
        <f t="shared" si="19"/>
        <v>0-180 DAYS</v>
      </c>
      <c r="K362" t="s">
        <v>1730</v>
      </c>
      <c r="N362" t="s">
        <v>2871</v>
      </c>
      <c r="O362" s="66">
        <v>3841853.4</v>
      </c>
    </row>
    <row r="363" spans="1:15" hidden="1" x14ac:dyDescent="0.35">
      <c r="A363" s="88" t="s">
        <v>1085</v>
      </c>
      <c r="B363" s="2" t="s">
        <v>790</v>
      </c>
      <c r="C363" s="18" t="s">
        <v>570</v>
      </c>
      <c r="D363" s="2" t="s">
        <v>507</v>
      </c>
      <c r="E363" s="18" t="s">
        <v>2746</v>
      </c>
      <c r="F363" s="19">
        <v>45618</v>
      </c>
      <c r="G363" s="18">
        <v>3170112</v>
      </c>
      <c r="H363" s="37">
        <f t="shared" si="18"/>
        <v>40</v>
      </c>
      <c r="I363" s="37" t="str">
        <f t="shared" si="22"/>
        <v>0-120 DAYS</v>
      </c>
      <c r="J363" s="37" t="str">
        <f t="shared" si="19"/>
        <v>0-180 DAYS</v>
      </c>
      <c r="K363" t="s">
        <v>1730</v>
      </c>
      <c r="N363" t="s">
        <v>2880</v>
      </c>
      <c r="O363" s="66">
        <v>3170112</v>
      </c>
    </row>
    <row r="364" spans="1:15" hidden="1" x14ac:dyDescent="0.35">
      <c r="A364" s="88" t="s">
        <v>1085</v>
      </c>
      <c r="B364" s="2" t="s">
        <v>790</v>
      </c>
      <c r="C364" s="18" t="s">
        <v>573</v>
      </c>
      <c r="D364" s="2" t="s">
        <v>507</v>
      </c>
      <c r="E364" s="18" t="s">
        <v>2747</v>
      </c>
      <c r="F364" s="19">
        <v>45618</v>
      </c>
      <c r="G364" s="18">
        <v>3580086.4</v>
      </c>
      <c r="H364" s="37">
        <f t="shared" si="18"/>
        <v>40</v>
      </c>
      <c r="I364" s="37" t="str">
        <f t="shared" si="22"/>
        <v>0-120 DAYS</v>
      </c>
      <c r="J364" s="37" t="str">
        <f t="shared" si="19"/>
        <v>0-180 DAYS</v>
      </c>
      <c r="K364" t="s">
        <v>1730</v>
      </c>
      <c r="N364" t="s">
        <v>2880</v>
      </c>
      <c r="O364" s="66">
        <v>3580086.4</v>
      </c>
    </row>
    <row r="365" spans="1:15" hidden="1" x14ac:dyDescent="0.35">
      <c r="A365" s="88" t="s">
        <v>1085</v>
      </c>
      <c r="B365" s="2" t="s">
        <v>790</v>
      </c>
      <c r="C365" s="18" t="s">
        <v>650</v>
      </c>
      <c r="D365" s="2" t="s">
        <v>507</v>
      </c>
      <c r="E365" s="18" t="s">
        <v>2748</v>
      </c>
      <c r="F365" s="19">
        <v>45618</v>
      </c>
      <c r="G365" s="18">
        <v>2644488</v>
      </c>
      <c r="H365" s="37">
        <f t="shared" si="18"/>
        <v>40</v>
      </c>
      <c r="I365" s="37" t="str">
        <f t="shared" si="22"/>
        <v>0-120 DAYS</v>
      </c>
      <c r="J365" s="37" t="str">
        <f t="shared" si="19"/>
        <v>0-180 DAYS</v>
      </c>
      <c r="K365" t="s">
        <v>1730</v>
      </c>
      <c r="N365" t="s">
        <v>2880</v>
      </c>
      <c r="O365" s="66">
        <v>2644488</v>
      </c>
    </row>
    <row r="366" spans="1:15" hidden="1" x14ac:dyDescent="0.35">
      <c r="A366" s="88" t="s">
        <v>1085</v>
      </c>
      <c r="B366" s="2" t="s">
        <v>790</v>
      </c>
      <c r="C366" s="18" t="s">
        <v>538</v>
      </c>
      <c r="D366" s="2" t="s">
        <v>507</v>
      </c>
      <c r="E366" s="18" t="s">
        <v>2749</v>
      </c>
      <c r="F366" s="19">
        <v>45619</v>
      </c>
      <c r="G366" s="18">
        <v>3169188</v>
      </c>
      <c r="H366" s="37">
        <f t="shared" si="18"/>
        <v>39</v>
      </c>
      <c r="I366" s="37" t="str">
        <f t="shared" si="22"/>
        <v>0-120 DAYS</v>
      </c>
      <c r="J366" s="37" t="str">
        <f t="shared" si="19"/>
        <v>0-180 DAYS</v>
      </c>
      <c r="K366" t="s">
        <v>1730</v>
      </c>
      <c r="N366" t="s">
        <v>2872</v>
      </c>
      <c r="O366" s="66">
        <v>3169188</v>
      </c>
    </row>
    <row r="367" spans="1:15" hidden="1" x14ac:dyDescent="0.35">
      <c r="A367" s="88" t="s">
        <v>1085</v>
      </c>
      <c r="B367" s="2" t="s">
        <v>790</v>
      </c>
      <c r="C367" s="18" t="s">
        <v>2677</v>
      </c>
      <c r="D367" s="2" t="s">
        <v>507</v>
      </c>
      <c r="E367" s="18" t="s">
        <v>2750</v>
      </c>
      <c r="F367" s="19">
        <v>45619</v>
      </c>
      <c r="G367" s="18">
        <v>3367508.32</v>
      </c>
      <c r="H367" s="37">
        <f t="shared" si="18"/>
        <v>39</v>
      </c>
      <c r="I367" s="37" t="str">
        <f t="shared" si="22"/>
        <v>0-120 DAYS</v>
      </c>
      <c r="J367" s="37" t="str">
        <f t="shared" si="19"/>
        <v>0-180 DAYS</v>
      </c>
      <c r="K367" t="s">
        <v>1730</v>
      </c>
      <c r="N367" t="s">
        <v>2872</v>
      </c>
      <c r="O367" s="66">
        <v>3367508.32</v>
      </c>
    </row>
    <row r="368" spans="1:15" hidden="1" x14ac:dyDescent="0.35">
      <c r="A368" s="88" t="s">
        <v>1085</v>
      </c>
      <c r="B368" s="2" t="s">
        <v>790</v>
      </c>
      <c r="C368" s="18" t="s">
        <v>551</v>
      </c>
      <c r="D368" s="2" t="s">
        <v>507</v>
      </c>
      <c r="E368" s="18" t="s">
        <v>2751</v>
      </c>
      <c r="F368" s="19">
        <v>45620</v>
      </c>
      <c r="G368" s="18">
        <f>3659673.6-728565</f>
        <v>2931108.6</v>
      </c>
      <c r="H368" s="37">
        <f t="shared" si="18"/>
        <v>38</v>
      </c>
      <c r="I368" s="37" t="str">
        <f t="shared" si="22"/>
        <v>0-120 DAYS</v>
      </c>
      <c r="J368" s="37" t="str">
        <f t="shared" si="19"/>
        <v>0-180 DAYS</v>
      </c>
      <c r="K368" t="s">
        <v>1730</v>
      </c>
      <c r="N368" t="s">
        <v>2873</v>
      </c>
      <c r="O368" s="66">
        <v>2931108.6</v>
      </c>
    </row>
    <row r="369" spans="1:15" hidden="1" x14ac:dyDescent="0.35">
      <c r="A369" s="88" t="s">
        <v>1085</v>
      </c>
      <c r="B369" s="2" t="s">
        <v>790</v>
      </c>
      <c r="C369" s="18" t="s">
        <v>551</v>
      </c>
      <c r="D369" s="2" t="s">
        <v>507</v>
      </c>
      <c r="E369" s="18" t="s">
        <v>2752</v>
      </c>
      <c r="F369" s="19">
        <v>45620</v>
      </c>
      <c r="G369" s="18">
        <v>3659673.6000000001</v>
      </c>
      <c r="H369" s="37">
        <f t="shared" si="18"/>
        <v>38</v>
      </c>
      <c r="I369" s="37" t="str">
        <f t="shared" si="22"/>
        <v>0-120 DAYS</v>
      </c>
      <c r="J369" s="37" t="str">
        <f t="shared" si="19"/>
        <v>0-180 DAYS</v>
      </c>
      <c r="K369" t="s">
        <v>1730</v>
      </c>
      <c r="N369" t="s">
        <v>2873</v>
      </c>
      <c r="O369" s="66">
        <v>3659673.6000000001</v>
      </c>
    </row>
    <row r="370" spans="1:15" hidden="1" x14ac:dyDescent="0.35">
      <c r="A370" s="88" t="s">
        <v>1085</v>
      </c>
      <c r="B370" s="2" t="s">
        <v>790</v>
      </c>
      <c r="C370" s="18" t="s">
        <v>1086</v>
      </c>
      <c r="D370" s="2" t="s">
        <v>507</v>
      </c>
      <c r="E370" s="18" t="s">
        <v>2753</v>
      </c>
      <c r="F370" s="19">
        <v>45621</v>
      </c>
      <c r="G370" s="18">
        <v>784808.38</v>
      </c>
      <c r="H370" s="37">
        <f t="shared" si="18"/>
        <v>37</v>
      </c>
      <c r="I370" s="37" t="str">
        <f t="shared" si="22"/>
        <v>0-120 DAYS</v>
      </c>
      <c r="J370" s="37" t="str">
        <f t="shared" si="19"/>
        <v>0-180 DAYS</v>
      </c>
      <c r="K370" t="s">
        <v>1730</v>
      </c>
      <c r="N370" t="s">
        <v>2874</v>
      </c>
      <c r="O370" s="66">
        <v>784808.38</v>
      </c>
    </row>
    <row r="371" spans="1:15" hidden="1" x14ac:dyDescent="0.35">
      <c r="A371" s="88" t="s">
        <v>1085</v>
      </c>
      <c r="B371" s="2" t="s">
        <v>790</v>
      </c>
      <c r="C371" s="18" t="s">
        <v>1086</v>
      </c>
      <c r="D371" s="2" t="s">
        <v>507</v>
      </c>
      <c r="E371" s="18" t="s">
        <v>2754</v>
      </c>
      <c r="F371" s="19">
        <v>45621</v>
      </c>
      <c r="G371" s="18">
        <v>2118424</v>
      </c>
      <c r="H371" s="37">
        <f t="shared" si="18"/>
        <v>37</v>
      </c>
      <c r="I371" s="37" t="str">
        <f t="shared" si="22"/>
        <v>0-120 DAYS</v>
      </c>
      <c r="J371" s="37" t="str">
        <f t="shared" si="19"/>
        <v>0-180 DAYS</v>
      </c>
      <c r="K371" t="s">
        <v>1730</v>
      </c>
      <c r="N371" t="s">
        <v>2874</v>
      </c>
      <c r="O371" s="66">
        <v>2118424</v>
      </c>
    </row>
    <row r="372" spans="1:15" hidden="1" x14ac:dyDescent="0.35">
      <c r="A372" s="88" t="s">
        <v>1085</v>
      </c>
      <c r="B372" s="2" t="s">
        <v>790</v>
      </c>
      <c r="C372" s="18" t="s">
        <v>650</v>
      </c>
      <c r="D372" s="2" t="s">
        <v>507</v>
      </c>
      <c r="E372" s="18" t="s">
        <v>2755</v>
      </c>
      <c r="F372" s="19">
        <v>45621</v>
      </c>
      <c r="G372" s="18">
        <v>2735095.07</v>
      </c>
      <c r="H372" s="37">
        <f t="shared" si="18"/>
        <v>37</v>
      </c>
      <c r="I372" s="37" t="str">
        <f t="shared" si="22"/>
        <v>0-120 DAYS</v>
      </c>
      <c r="J372" s="37" t="str">
        <f t="shared" si="19"/>
        <v>0-180 DAYS</v>
      </c>
      <c r="K372" t="s">
        <v>1730</v>
      </c>
      <c r="N372" t="s">
        <v>2874</v>
      </c>
      <c r="O372" s="66">
        <v>2735095.07</v>
      </c>
    </row>
    <row r="373" spans="1:15" hidden="1" x14ac:dyDescent="0.35">
      <c r="A373" s="88" t="s">
        <v>1085</v>
      </c>
      <c r="B373" s="2" t="s">
        <v>790</v>
      </c>
      <c r="C373" s="18" t="s">
        <v>1086</v>
      </c>
      <c r="D373" s="2" t="s">
        <v>507</v>
      </c>
      <c r="E373" s="18" t="s">
        <v>2756</v>
      </c>
      <c r="F373" s="19">
        <v>45622</v>
      </c>
      <c r="G373" s="18">
        <v>3151679.87</v>
      </c>
      <c r="H373" s="37">
        <f t="shared" si="18"/>
        <v>36</v>
      </c>
      <c r="I373" s="37" t="str">
        <f t="shared" si="22"/>
        <v>0-120 DAYS</v>
      </c>
      <c r="J373" s="37" t="str">
        <f t="shared" si="19"/>
        <v>0-180 DAYS</v>
      </c>
      <c r="K373" t="s">
        <v>1730</v>
      </c>
      <c r="N373" t="s">
        <v>2875</v>
      </c>
      <c r="O373" s="66">
        <v>3151679.87</v>
      </c>
    </row>
    <row r="374" spans="1:15" hidden="1" x14ac:dyDescent="0.35">
      <c r="A374" s="88" t="s">
        <v>1085</v>
      </c>
      <c r="B374" s="2" t="s">
        <v>790</v>
      </c>
      <c r="C374" s="18" t="s">
        <v>650</v>
      </c>
      <c r="D374" s="2" t="s">
        <v>507</v>
      </c>
      <c r="E374" s="18" t="s">
        <v>2757</v>
      </c>
      <c r="F374" s="19">
        <v>45622</v>
      </c>
      <c r="G374" s="18">
        <v>2921809.47</v>
      </c>
      <c r="H374" s="37">
        <f t="shared" si="18"/>
        <v>36</v>
      </c>
      <c r="I374" s="37" t="str">
        <f t="shared" si="22"/>
        <v>0-120 DAYS</v>
      </c>
      <c r="J374" s="37" t="str">
        <f t="shared" si="19"/>
        <v>0-180 DAYS</v>
      </c>
      <c r="K374" t="s">
        <v>1730</v>
      </c>
      <c r="N374" t="s">
        <v>2875</v>
      </c>
      <c r="O374" s="66">
        <v>2921809.47</v>
      </c>
    </row>
    <row r="375" spans="1:15" hidden="1" x14ac:dyDescent="0.35">
      <c r="A375" s="88" t="s">
        <v>1085</v>
      </c>
      <c r="B375" s="2" t="s">
        <v>790</v>
      </c>
      <c r="C375" s="18" t="s">
        <v>573</v>
      </c>
      <c r="D375" s="2" t="s">
        <v>507</v>
      </c>
      <c r="E375" s="18" t="s">
        <v>2758</v>
      </c>
      <c r="F375" s="19">
        <v>45623</v>
      </c>
      <c r="G375" s="18">
        <v>3359131.6</v>
      </c>
      <c r="H375" s="37">
        <f t="shared" si="18"/>
        <v>35</v>
      </c>
      <c r="I375" s="37" t="str">
        <f t="shared" si="22"/>
        <v>0-120 DAYS</v>
      </c>
      <c r="J375" s="37" t="str">
        <f t="shared" si="19"/>
        <v>0-180 DAYS</v>
      </c>
      <c r="K375" t="s">
        <v>1730</v>
      </c>
      <c r="N375" t="s">
        <v>2876</v>
      </c>
      <c r="O375" s="66">
        <v>3359131.6</v>
      </c>
    </row>
    <row r="376" spans="1:15" hidden="1" x14ac:dyDescent="0.35">
      <c r="A376" s="88" t="s">
        <v>1085</v>
      </c>
      <c r="B376" s="2" t="s">
        <v>790</v>
      </c>
      <c r="C376" s="18" t="s">
        <v>1086</v>
      </c>
      <c r="D376" s="2" t="s">
        <v>507</v>
      </c>
      <c r="E376" s="18" t="s">
        <v>2759</v>
      </c>
      <c r="F376" s="19">
        <v>45624</v>
      </c>
      <c r="G376" s="18">
        <v>3676794.8799999999</v>
      </c>
      <c r="H376" s="37">
        <f t="shared" si="18"/>
        <v>34</v>
      </c>
      <c r="I376" s="37" t="str">
        <f t="shared" si="22"/>
        <v>0-120 DAYS</v>
      </c>
      <c r="J376" s="37" t="str">
        <f t="shared" si="19"/>
        <v>0-180 DAYS</v>
      </c>
      <c r="K376" t="s">
        <v>1730</v>
      </c>
      <c r="N376" t="s">
        <v>2881</v>
      </c>
      <c r="O376" s="66">
        <v>3676794.8799999999</v>
      </c>
    </row>
    <row r="377" spans="1:15" hidden="1" x14ac:dyDescent="0.35">
      <c r="A377" s="88" t="s">
        <v>1085</v>
      </c>
      <c r="B377" s="2" t="s">
        <v>790</v>
      </c>
      <c r="C377" s="18" t="s">
        <v>635</v>
      </c>
      <c r="D377" s="2" t="s">
        <v>507</v>
      </c>
      <c r="E377" s="18" t="s">
        <v>2760</v>
      </c>
      <c r="F377" s="19">
        <v>45624</v>
      </c>
      <c r="G377" s="18">
        <v>3399506.22</v>
      </c>
      <c r="H377" s="37">
        <f t="shared" si="18"/>
        <v>34</v>
      </c>
      <c r="I377" s="37" t="str">
        <f t="shared" si="22"/>
        <v>0-120 DAYS</v>
      </c>
      <c r="J377" s="37" t="str">
        <f t="shared" si="19"/>
        <v>0-180 DAYS</v>
      </c>
      <c r="K377" t="s">
        <v>1730</v>
      </c>
      <c r="N377" t="s">
        <v>2881</v>
      </c>
      <c r="O377" s="66">
        <v>3399506.22</v>
      </c>
    </row>
    <row r="378" spans="1:15" hidden="1" x14ac:dyDescent="0.35">
      <c r="A378" s="88" t="s">
        <v>1085</v>
      </c>
      <c r="B378" s="2" t="s">
        <v>790</v>
      </c>
      <c r="C378" s="18" t="s">
        <v>650</v>
      </c>
      <c r="D378" s="2" t="s">
        <v>507</v>
      </c>
      <c r="E378" s="18" t="s">
        <v>2761</v>
      </c>
      <c r="F378" s="19">
        <v>45626</v>
      </c>
      <c r="G378" s="18">
        <v>3789444.62</v>
      </c>
      <c r="H378" s="37">
        <f t="shared" si="18"/>
        <v>32</v>
      </c>
      <c r="I378" s="37" t="str">
        <f t="shared" si="22"/>
        <v>0-120 DAYS</v>
      </c>
      <c r="J378" s="37" t="str">
        <f t="shared" si="19"/>
        <v>0-180 DAYS</v>
      </c>
      <c r="K378" t="s">
        <v>1730</v>
      </c>
      <c r="N378" t="s">
        <v>2860</v>
      </c>
      <c r="O378" s="66">
        <v>3789444.62</v>
      </c>
    </row>
    <row r="379" spans="1:15" hidden="1" x14ac:dyDescent="0.35">
      <c r="A379" s="88" t="s">
        <v>1085</v>
      </c>
      <c r="B379" s="2" t="s">
        <v>790</v>
      </c>
      <c r="C379" s="18" t="s">
        <v>581</v>
      </c>
      <c r="D379" s="2" t="s">
        <v>507</v>
      </c>
      <c r="E379" s="18" t="s">
        <v>2762</v>
      </c>
      <c r="F379" s="19">
        <v>45602</v>
      </c>
      <c r="G379" s="18">
        <v>3799532.17</v>
      </c>
      <c r="H379" s="37">
        <f t="shared" si="18"/>
        <v>56</v>
      </c>
      <c r="I379" s="37" t="str">
        <f t="shared" si="22"/>
        <v>0-120 DAYS</v>
      </c>
      <c r="J379" s="37" t="str">
        <f t="shared" si="19"/>
        <v>0-180 DAYS</v>
      </c>
      <c r="K379" t="s">
        <v>1730</v>
      </c>
      <c r="N379" t="s">
        <v>2862</v>
      </c>
      <c r="O379" s="66">
        <v>3799532.17</v>
      </c>
    </row>
    <row r="380" spans="1:15" hidden="1" x14ac:dyDescent="0.35">
      <c r="A380" s="88" t="s">
        <v>1085</v>
      </c>
      <c r="B380" s="2" t="s">
        <v>790</v>
      </c>
      <c r="C380" s="18" t="s">
        <v>2066</v>
      </c>
      <c r="D380" s="2" t="s">
        <v>507</v>
      </c>
      <c r="E380" s="18" t="s">
        <v>2763</v>
      </c>
      <c r="F380" s="19">
        <v>45605</v>
      </c>
      <c r="G380" s="18">
        <v>4142366.48</v>
      </c>
      <c r="H380" s="37">
        <f t="shared" si="18"/>
        <v>53</v>
      </c>
      <c r="I380" s="37" t="str">
        <f t="shared" si="22"/>
        <v>0-120 DAYS</v>
      </c>
      <c r="J380" s="37" t="str">
        <f t="shared" si="19"/>
        <v>0-180 DAYS</v>
      </c>
      <c r="K380" t="s">
        <v>1730</v>
      </c>
      <c r="N380" t="s">
        <v>2864</v>
      </c>
      <c r="O380" s="66">
        <v>4142366.48</v>
      </c>
    </row>
    <row r="381" spans="1:15" hidden="1" x14ac:dyDescent="0.35">
      <c r="A381" s="88" t="s">
        <v>1085</v>
      </c>
      <c r="B381" s="2" t="s">
        <v>790</v>
      </c>
      <c r="C381" s="18" t="s">
        <v>584</v>
      </c>
      <c r="D381" s="2" t="s">
        <v>507</v>
      </c>
      <c r="E381" s="18" t="s">
        <v>2764</v>
      </c>
      <c r="F381" s="19">
        <v>45609</v>
      </c>
      <c r="G381" s="18">
        <v>3135528</v>
      </c>
      <c r="H381" s="37">
        <f t="shared" si="18"/>
        <v>49</v>
      </c>
      <c r="I381" s="37" t="str">
        <f t="shared" si="22"/>
        <v>0-120 DAYS</v>
      </c>
      <c r="J381" s="37" t="str">
        <f t="shared" si="19"/>
        <v>0-180 DAYS</v>
      </c>
      <c r="K381" t="s">
        <v>1730</v>
      </c>
      <c r="N381" t="s">
        <v>2865</v>
      </c>
      <c r="O381" s="66">
        <v>3135528</v>
      </c>
    </row>
    <row r="382" spans="1:15" hidden="1" x14ac:dyDescent="0.35">
      <c r="A382" s="88" t="s">
        <v>1085</v>
      </c>
      <c r="B382" s="2" t="s">
        <v>790</v>
      </c>
      <c r="C382" s="18" t="s">
        <v>588</v>
      </c>
      <c r="D382" s="2" t="s">
        <v>507</v>
      </c>
      <c r="E382" s="18" t="s">
        <v>2765</v>
      </c>
      <c r="F382" s="19">
        <v>45610</v>
      </c>
      <c r="G382" s="18">
        <v>3215495.4</v>
      </c>
      <c r="H382" s="37">
        <f t="shared" si="18"/>
        <v>48</v>
      </c>
      <c r="I382" s="37" t="str">
        <f t="shared" si="22"/>
        <v>0-120 DAYS</v>
      </c>
      <c r="J382" s="37" t="str">
        <f t="shared" si="19"/>
        <v>0-180 DAYS</v>
      </c>
      <c r="K382" t="s">
        <v>1730</v>
      </c>
      <c r="N382" t="s">
        <v>2866</v>
      </c>
      <c r="O382" s="66">
        <v>3215495.4</v>
      </c>
    </row>
    <row r="383" spans="1:15" hidden="1" x14ac:dyDescent="0.35">
      <c r="A383" s="88" t="s">
        <v>1085</v>
      </c>
      <c r="B383" s="2" t="s">
        <v>790</v>
      </c>
      <c r="C383" s="18" t="s">
        <v>540</v>
      </c>
      <c r="D383" s="2" t="s">
        <v>507</v>
      </c>
      <c r="E383" s="18" t="s">
        <v>2766</v>
      </c>
      <c r="F383" s="19">
        <v>45611</v>
      </c>
      <c r="G383" s="18">
        <v>3157041.2</v>
      </c>
      <c r="H383" s="37">
        <f t="shared" si="18"/>
        <v>47</v>
      </c>
      <c r="I383" s="37" t="str">
        <f t="shared" si="22"/>
        <v>0-120 DAYS</v>
      </c>
      <c r="J383" s="37" t="str">
        <f t="shared" si="19"/>
        <v>0-180 DAYS</v>
      </c>
      <c r="K383" t="s">
        <v>1730</v>
      </c>
      <c r="N383" t="s">
        <v>2867</v>
      </c>
      <c r="O383" s="66">
        <v>3157041.2</v>
      </c>
    </row>
    <row r="384" spans="1:15" hidden="1" x14ac:dyDescent="0.35">
      <c r="A384" s="88" t="s">
        <v>1085</v>
      </c>
      <c r="B384" s="2" t="s">
        <v>790</v>
      </c>
      <c r="C384" s="18" t="s">
        <v>581</v>
      </c>
      <c r="D384" s="2" t="s">
        <v>507</v>
      </c>
      <c r="E384" s="18" t="s">
        <v>2767</v>
      </c>
      <c r="F384" s="19">
        <v>45614</v>
      </c>
      <c r="G384" s="18">
        <v>4204041.57</v>
      </c>
      <c r="H384" s="37">
        <f t="shared" si="18"/>
        <v>44</v>
      </c>
      <c r="I384" s="37" t="str">
        <f t="shared" si="22"/>
        <v>0-120 DAYS</v>
      </c>
      <c r="J384" s="37" t="str">
        <f t="shared" si="19"/>
        <v>0-180 DAYS</v>
      </c>
      <c r="K384" t="s">
        <v>1730</v>
      </c>
      <c r="N384" t="s">
        <v>2870</v>
      </c>
      <c r="O384" s="66">
        <v>4204041.57</v>
      </c>
    </row>
    <row r="385" spans="1:15" hidden="1" x14ac:dyDescent="0.35">
      <c r="A385" s="88" t="s">
        <v>1085</v>
      </c>
      <c r="B385" s="2" t="s">
        <v>790</v>
      </c>
      <c r="C385" s="18" t="s">
        <v>2559</v>
      </c>
      <c r="D385" s="2" t="s">
        <v>507</v>
      </c>
      <c r="E385" s="18" t="s">
        <v>2768</v>
      </c>
      <c r="F385" s="19">
        <v>45614</v>
      </c>
      <c r="G385" s="18">
        <v>3004734.48</v>
      </c>
      <c r="H385" s="37">
        <f t="shared" si="18"/>
        <v>44</v>
      </c>
      <c r="I385" s="37" t="str">
        <f t="shared" si="22"/>
        <v>0-120 DAYS</v>
      </c>
      <c r="J385" s="37" t="str">
        <f t="shared" si="19"/>
        <v>0-180 DAYS</v>
      </c>
      <c r="K385" t="s">
        <v>1730</v>
      </c>
      <c r="N385" t="s">
        <v>2870</v>
      </c>
      <c r="O385" s="66">
        <v>3004734.48</v>
      </c>
    </row>
    <row r="386" spans="1:15" hidden="1" x14ac:dyDescent="0.35">
      <c r="A386" s="88" t="s">
        <v>1085</v>
      </c>
      <c r="B386" s="2" t="s">
        <v>790</v>
      </c>
      <c r="C386" s="18" t="s">
        <v>540</v>
      </c>
      <c r="D386" s="2" t="s">
        <v>507</v>
      </c>
      <c r="E386" s="18" t="s">
        <v>2769</v>
      </c>
      <c r="F386" s="19">
        <v>45614</v>
      </c>
      <c r="G386" s="18">
        <v>2848071.6</v>
      </c>
      <c r="H386" s="37">
        <f t="shared" si="18"/>
        <v>44</v>
      </c>
      <c r="I386" s="37" t="str">
        <f t="shared" si="22"/>
        <v>0-120 DAYS</v>
      </c>
      <c r="J386" s="37" t="str">
        <f t="shared" si="19"/>
        <v>0-180 DAYS</v>
      </c>
      <c r="K386" t="s">
        <v>1730</v>
      </c>
      <c r="N386" t="s">
        <v>2870</v>
      </c>
      <c r="O386" s="66">
        <v>2848071.6</v>
      </c>
    </row>
    <row r="387" spans="1:15" hidden="1" x14ac:dyDescent="0.35">
      <c r="A387" s="88" t="s">
        <v>1085</v>
      </c>
      <c r="B387" s="2" t="s">
        <v>790</v>
      </c>
      <c r="C387" s="18" t="s">
        <v>588</v>
      </c>
      <c r="D387" s="2" t="s">
        <v>507</v>
      </c>
      <c r="E387" s="18" t="s">
        <v>2770</v>
      </c>
      <c r="F387" s="19">
        <v>45615</v>
      </c>
      <c r="G387" s="18">
        <v>3545308.8</v>
      </c>
      <c r="H387" s="37">
        <f t="shared" si="18"/>
        <v>43</v>
      </c>
      <c r="I387" s="37" t="str">
        <f t="shared" si="22"/>
        <v>0-120 DAYS</v>
      </c>
      <c r="J387" s="37" t="str">
        <f t="shared" si="19"/>
        <v>0-180 DAYS</v>
      </c>
      <c r="K387" t="s">
        <v>1730</v>
      </c>
      <c r="N387" t="s">
        <v>2882</v>
      </c>
      <c r="O387" s="66">
        <v>3545308.8</v>
      </c>
    </row>
    <row r="388" spans="1:15" hidden="1" x14ac:dyDescent="0.35">
      <c r="A388" s="88" t="s">
        <v>1085</v>
      </c>
      <c r="B388" s="2" t="s">
        <v>790</v>
      </c>
      <c r="C388" s="18" t="s">
        <v>678</v>
      </c>
      <c r="D388" s="2" t="s">
        <v>507</v>
      </c>
      <c r="E388" s="18" t="s">
        <v>2771</v>
      </c>
      <c r="F388" s="19">
        <v>45615</v>
      </c>
      <c r="G388" s="18">
        <v>3767423.75</v>
      </c>
      <c r="H388" s="37">
        <f t="shared" si="18"/>
        <v>43</v>
      </c>
      <c r="I388" s="37" t="str">
        <f t="shared" si="22"/>
        <v>0-120 DAYS</v>
      </c>
      <c r="J388" s="37" t="str">
        <f t="shared" si="19"/>
        <v>0-180 DAYS</v>
      </c>
      <c r="K388" t="s">
        <v>1730</v>
      </c>
      <c r="N388" t="s">
        <v>2882</v>
      </c>
      <c r="O388" s="66">
        <v>3767423.75</v>
      </c>
    </row>
    <row r="389" spans="1:15" hidden="1" x14ac:dyDescent="0.35">
      <c r="A389" s="88" t="s">
        <v>1085</v>
      </c>
      <c r="B389" s="2" t="s">
        <v>790</v>
      </c>
      <c r="C389" s="18" t="s">
        <v>588</v>
      </c>
      <c r="D389" s="2" t="s">
        <v>507</v>
      </c>
      <c r="E389" s="18" t="s">
        <v>2772</v>
      </c>
      <c r="F389" s="19">
        <v>45616</v>
      </c>
      <c r="G389" s="18">
        <v>3474315.68</v>
      </c>
      <c r="H389" s="37">
        <f t="shared" ref="H389:H452" si="23">$H$2-F389+1</f>
        <v>42</v>
      </c>
      <c r="I389" s="37" t="str">
        <f t="shared" si="22"/>
        <v>0-120 DAYS</v>
      </c>
      <c r="J389" s="37" t="str">
        <f t="shared" si="19"/>
        <v>0-180 DAYS</v>
      </c>
      <c r="K389" t="s">
        <v>1730</v>
      </c>
      <c r="N389" t="s">
        <v>2883</v>
      </c>
      <c r="O389" s="66">
        <v>3474315.68</v>
      </c>
    </row>
    <row r="390" spans="1:15" hidden="1" x14ac:dyDescent="0.35">
      <c r="A390" s="88" t="s">
        <v>1085</v>
      </c>
      <c r="B390" s="2" t="s">
        <v>790</v>
      </c>
      <c r="C390" s="18" t="s">
        <v>584</v>
      </c>
      <c r="D390" s="2" t="s">
        <v>507</v>
      </c>
      <c r="E390" s="18" t="s">
        <v>2773</v>
      </c>
      <c r="F390" s="19">
        <v>45618</v>
      </c>
      <c r="G390" s="18">
        <v>2911177.11</v>
      </c>
      <c r="H390" s="37">
        <f t="shared" si="23"/>
        <v>40</v>
      </c>
      <c r="I390" s="37" t="str">
        <f t="shared" si="22"/>
        <v>0-120 DAYS</v>
      </c>
      <c r="J390" s="37" t="str">
        <f t="shared" ref="J390:J453" si="24">IF(H390&lt;180,"0-180 DAYS","More than 180 Days")</f>
        <v>0-180 DAYS</v>
      </c>
      <c r="K390" t="s">
        <v>1730</v>
      </c>
      <c r="N390" t="s">
        <v>2880</v>
      </c>
      <c r="O390" s="66">
        <v>2911177.11</v>
      </c>
    </row>
    <row r="391" spans="1:15" hidden="1" x14ac:dyDescent="0.35">
      <c r="A391" s="88" t="s">
        <v>1085</v>
      </c>
      <c r="B391" s="2" t="s">
        <v>790</v>
      </c>
      <c r="C391" s="18" t="s">
        <v>588</v>
      </c>
      <c r="D391" s="2" t="s">
        <v>507</v>
      </c>
      <c r="E391" s="18" t="s">
        <v>2774</v>
      </c>
      <c r="F391" s="19">
        <v>45619</v>
      </c>
      <c r="G391" s="18">
        <v>3383592.96</v>
      </c>
      <c r="H391" s="37">
        <f t="shared" si="23"/>
        <v>39</v>
      </c>
      <c r="I391" s="37" t="str">
        <f t="shared" si="22"/>
        <v>0-120 DAYS</v>
      </c>
      <c r="J391" s="37" t="str">
        <f t="shared" si="24"/>
        <v>0-180 DAYS</v>
      </c>
      <c r="K391" t="s">
        <v>1730</v>
      </c>
      <c r="N391" t="s">
        <v>2872</v>
      </c>
      <c r="O391" s="66">
        <v>3383592.96</v>
      </c>
    </row>
    <row r="392" spans="1:15" hidden="1" x14ac:dyDescent="0.35">
      <c r="A392" s="88" t="s">
        <v>1085</v>
      </c>
      <c r="B392" s="2" t="s">
        <v>790</v>
      </c>
      <c r="C392" s="18" t="s">
        <v>584</v>
      </c>
      <c r="D392" s="2" t="s">
        <v>507</v>
      </c>
      <c r="E392" s="18" t="s">
        <v>2775</v>
      </c>
      <c r="F392" s="19">
        <v>45624</v>
      </c>
      <c r="G392" s="18">
        <v>2882582.5</v>
      </c>
      <c r="H392" s="37">
        <f t="shared" si="23"/>
        <v>34</v>
      </c>
      <c r="I392" s="37" t="str">
        <f t="shared" si="22"/>
        <v>0-120 DAYS</v>
      </c>
      <c r="J392" s="37" t="str">
        <f t="shared" si="24"/>
        <v>0-180 DAYS</v>
      </c>
      <c r="K392" t="s">
        <v>1730</v>
      </c>
      <c r="N392" t="s">
        <v>2881</v>
      </c>
      <c r="O392" s="66">
        <v>2882582.5</v>
      </c>
    </row>
    <row r="393" spans="1:15" hidden="1" x14ac:dyDescent="0.35">
      <c r="A393" s="88" t="s">
        <v>1085</v>
      </c>
      <c r="B393" s="2" t="s">
        <v>790</v>
      </c>
      <c r="C393" s="18" t="s">
        <v>588</v>
      </c>
      <c r="D393" s="2" t="s">
        <v>507</v>
      </c>
      <c r="E393" s="18" t="s">
        <v>2776</v>
      </c>
      <c r="F393" s="19">
        <v>45624</v>
      </c>
      <c r="G393" s="18">
        <v>3443835.12</v>
      </c>
      <c r="H393" s="37">
        <f t="shared" si="23"/>
        <v>34</v>
      </c>
      <c r="I393" s="37" t="str">
        <f t="shared" si="22"/>
        <v>0-120 DAYS</v>
      </c>
      <c r="J393" s="37" t="str">
        <f t="shared" si="24"/>
        <v>0-180 DAYS</v>
      </c>
      <c r="K393" t="s">
        <v>1730</v>
      </c>
      <c r="N393" t="s">
        <v>2881</v>
      </c>
      <c r="O393" s="66">
        <v>3443835.12</v>
      </c>
    </row>
    <row r="394" spans="1:15" hidden="1" x14ac:dyDescent="0.35">
      <c r="A394" s="88" t="s">
        <v>1085</v>
      </c>
      <c r="B394" s="2" t="s">
        <v>790</v>
      </c>
      <c r="C394" s="18" t="s">
        <v>2678</v>
      </c>
      <c r="D394" s="2" t="s">
        <v>507</v>
      </c>
      <c r="E394" s="18" t="s">
        <v>2777</v>
      </c>
      <c r="F394" s="19">
        <v>45625</v>
      </c>
      <c r="G394" s="18">
        <v>1524663.36</v>
      </c>
      <c r="H394" s="37">
        <f t="shared" si="23"/>
        <v>33</v>
      </c>
      <c r="I394" s="37" t="str">
        <f t="shared" si="22"/>
        <v>0-120 DAYS</v>
      </c>
      <c r="J394" s="37" t="str">
        <f t="shared" si="24"/>
        <v>0-180 DAYS</v>
      </c>
      <c r="K394" t="s">
        <v>1730</v>
      </c>
      <c r="N394" t="s">
        <v>2877</v>
      </c>
      <c r="O394" s="66">
        <v>1524663.36</v>
      </c>
    </row>
    <row r="395" spans="1:15" hidden="1" x14ac:dyDescent="0.35">
      <c r="A395" s="88" t="s">
        <v>1085</v>
      </c>
      <c r="B395" s="2" t="s">
        <v>790</v>
      </c>
      <c r="C395" s="18" t="s">
        <v>678</v>
      </c>
      <c r="D395" s="2" t="s">
        <v>507</v>
      </c>
      <c r="E395" s="18" t="s">
        <v>2778</v>
      </c>
      <c r="F395" s="19">
        <v>45626</v>
      </c>
      <c r="G395" s="18">
        <v>3730745.7</v>
      </c>
      <c r="H395" s="37">
        <f t="shared" si="23"/>
        <v>32</v>
      </c>
      <c r="I395" s="37" t="str">
        <f t="shared" si="22"/>
        <v>0-120 DAYS</v>
      </c>
      <c r="J395" s="37" t="str">
        <f t="shared" si="24"/>
        <v>0-180 DAYS</v>
      </c>
      <c r="K395" t="s">
        <v>1730</v>
      </c>
      <c r="N395" t="s">
        <v>2860</v>
      </c>
      <c r="O395" s="66">
        <v>3730745.7</v>
      </c>
    </row>
    <row r="396" spans="1:15" hidden="1" x14ac:dyDescent="0.35">
      <c r="A396" s="88" t="s">
        <v>1085</v>
      </c>
      <c r="B396" s="2" t="s">
        <v>790</v>
      </c>
      <c r="C396" s="18" t="s">
        <v>681</v>
      </c>
      <c r="D396" s="2" t="s">
        <v>507</v>
      </c>
      <c r="E396" s="18" t="s">
        <v>2779</v>
      </c>
      <c r="F396" s="19">
        <v>45601</v>
      </c>
      <c r="G396" s="18">
        <v>3585225.28</v>
      </c>
      <c r="H396" s="37">
        <f t="shared" si="23"/>
        <v>57</v>
      </c>
      <c r="I396" s="37" t="str">
        <f t="shared" si="22"/>
        <v>0-120 DAYS</v>
      </c>
      <c r="J396" s="37" t="str">
        <f t="shared" si="24"/>
        <v>0-180 DAYS</v>
      </c>
      <c r="K396" t="s">
        <v>1730</v>
      </c>
      <c r="N396" t="s">
        <v>2861</v>
      </c>
      <c r="O396" s="66">
        <v>3585225.28</v>
      </c>
    </row>
    <row r="397" spans="1:15" hidden="1" x14ac:dyDescent="0.35">
      <c r="A397" s="88" t="s">
        <v>1085</v>
      </c>
      <c r="B397" s="2" t="s">
        <v>790</v>
      </c>
      <c r="C397" s="18" t="s">
        <v>538</v>
      </c>
      <c r="D397" s="2" t="s">
        <v>507</v>
      </c>
      <c r="E397" s="18" t="s">
        <v>2780</v>
      </c>
      <c r="F397" s="19">
        <v>45607</v>
      </c>
      <c r="G397" s="18">
        <v>3504386.16</v>
      </c>
      <c r="H397" s="37">
        <f t="shared" si="23"/>
        <v>51</v>
      </c>
      <c r="I397" s="37" t="str">
        <f t="shared" si="22"/>
        <v>0-120 DAYS</v>
      </c>
      <c r="J397" s="37" t="str">
        <f t="shared" si="24"/>
        <v>0-180 DAYS</v>
      </c>
      <c r="K397" t="s">
        <v>1730</v>
      </c>
      <c r="N397" t="s">
        <v>2879</v>
      </c>
      <c r="O397" s="66">
        <v>3504386.16</v>
      </c>
    </row>
    <row r="398" spans="1:15" hidden="1" x14ac:dyDescent="0.35">
      <c r="A398" s="88" t="s">
        <v>1085</v>
      </c>
      <c r="B398" s="2" t="s">
        <v>790</v>
      </c>
      <c r="C398" s="18" t="s">
        <v>573</v>
      </c>
      <c r="D398" s="2" t="s">
        <v>507</v>
      </c>
      <c r="E398" s="18" t="s">
        <v>2781</v>
      </c>
      <c r="F398" s="19">
        <v>45607</v>
      </c>
      <c r="G398" s="18">
        <v>3426966.17</v>
      </c>
      <c r="H398" s="37">
        <f t="shared" si="23"/>
        <v>51</v>
      </c>
      <c r="I398" s="37" t="str">
        <f t="shared" si="22"/>
        <v>0-120 DAYS</v>
      </c>
      <c r="J398" s="37" t="str">
        <f t="shared" si="24"/>
        <v>0-180 DAYS</v>
      </c>
      <c r="K398" t="s">
        <v>1730</v>
      </c>
      <c r="N398" t="s">
        <v>2879</v>
      </c>
      <c r="O398" s="66">
        <v>3426966.17</v>
      </c>
    </row>
    <row r="399" spans="1:15" hidden="1" x14ac:dyDescent="0.35">
      <c r="A399" s="88" t="s">
        <v>1085</v>
      </c>
      <c r="B399" s="2" t="s">
        <v>790</v>
      </c>
      <c r="C399" s="18" t="s">
        <v>538</v>
      </c>
      <c r="D399" s="2" t="s">
        <v>507</v>
      </c>
      <c r="E399" s="18" t="s">
        <v>2782</v>
      </c>
      <c r="F399" s="19">
        <v>45611</v>
      </c>
      <c r="G399" s="18">
        <v>3170106.22</v>
      </c>
      <c r="H399" s="37">
        <f t="shared" si="23"/>
        <v>47</v>
      </c>
      <c r="I399" s="37" t="str">
        <f t="shared" si="22"/>
        <v>0-120 DAYS</v>
      </c>
      <c r="J399" s="37" t="str">
        <f t="shared" si="24"/>
        <v>0-180 DAYS</v>
      </c>
      <c r="K399" t="s">
        <v>1730</v>
      </c>
      <c r="N399" t="s">
        <v>2867</v>
      </c>
      <c r="O399" s="66">
        <v>3170106.22</v>
      </c>
    </row>
    <row r="400" spans="1:15" hidden="1" x14ac:dyDescent="0.35">
      <c r="A400" s="88" t="s">
        <v>1085</v>
      </c>
      <c r="B400" s="2" t="s">
        <v>790</v>
      </c>
      <c r="C400" s="18" t="s">
        <v>647</v>
      </c>
      <c r="D400" s="2" t="s">
        <v>507</v>
      </c>
      <c r="E400" s="18" t="s">
        <v>2783</v>
      </c>
      <c r="F400" s="19">
        <v>45619</v>
      </c>
      <c r="G400" s="18">
        <v>3696792.4</v>
      </c>
      <c r="H400" s="37">
        <f t="shared" si="23"/>
        <v>39</v>
      </c>
      <c r="I400" s="37" t="str">
        <f t="shared" si="22"/>
        <v>0-120 DAYS</v>
      </c>
      <c r="J400" s="37" t="str">
        <f t="shared" si="24"/>
        <v>0-180 DAYS</v>
      </c>
      <c r="K400" t="s">
        <v>1730</v>
      </c>
      <c r="N400" t="s">
        <v>2872</v>
      </c>
      <c r="O400" s="66">
        <v>3696792.4</v>
      </c>
    </row>
    <row r="401" spans="1:15" hidden="1" x14ac:dyDescent="0.35">
      <c r="A401" s="88" t="s">
        <v>1085</v>
      </c>
      <c r="B401" s="2" t="s">
        <v>790</v>
      </c>
      <c r="C401" s="18" t="s">
        <v>647</v>
      </c>
      <c r="D401" s="2" t="s">
        <v>507</v>
      </c>
      <c r="E401" s="18" t="s">
        <v>2784</v>
      </c>
      <c r="F401" s="19">
        <v>45619</v>
      </c>
      <c r="G401" s="18">
        <v>3696792.01</v>
      </c>
      <c r="H401" s="37">
        <f t="shared" si="23"/>
        <v>39</v>
      </c>
      <c r="I401" s="37" t="str">
        <f t="shared" si="22"/>
        <v>0-120 DAYS</v>
      </c>
      <c r="J401" s="37" t="str">
        <f t="shared" si="24"/>
        <v>0-180 DAYS</v>
      </c>
      <c r="K401" t="s">
        <v>1730</v>
      </c>
      <c r="N401" t="s">
        <v>2872</v>
      </c>
      <c r="O401" s="66">
        <v>3696792.01</v>
      </c>
    </row>
    <row r="402" spans="1:15" hidden="1" x14ac:dyDescent="0.35">
      <c r="A402" s="88" t="s">
        <v>1085</v>
      </c>
      <c r="B402" s="2" t="s">
        <v>790</v>
      </c>
      <c r="C402" s="18" t="s">
        <v>573</v>
      </c>
      <c r="D402" s="2" t="s">
        <v>507</v>
      </c>
      <c r="E402" s="18" t="s">
        <v>2785</v>
      </c>
      <c r="F402" s="19">
        <v>45622</v>
      </c>
      <c r="G402" s="18">
        <v>3890175.98</v>
      </c>
      <c r="H402" s="37">
        <f t="shared" si="23"/>
        <v>36</v>
      </c>
      <c r="I402" s="37" t="str">
        <f t="shared" si="22"/>
        <v>0-120 DAYS</v>
      </c>
      <c r="J402" s="37" t="str">
        <f t="shared" si="24"/>
        <v>0-180 DAYS</v>
      </c>
      <c r="K402" t="s">
        <v>1730</v>
      </c>
      <c r="N402" t="s">
        <v>2875</v>
      </c>
      <c r="O402" s="66">
        <v>3890175.98</v>
      </c>
    </row>
    <row r="403" spans="1:15" hidden="1" x14ac:dyDescent="0.35">
      <c r="A403" s="88" t="s">
        <v>1085</v>
      </c>
      <c r="B403" s="2" t="s">
        <v>790</v>
      </c>
      <c r="C403" s="18" t="s">
        <v>573</v>
      </c>
      <c r="D403" s="2" t="s">
        <v>507</v>
      </c>
      <c r="E403" s="18" t="s">
        <v>2786</v>
      </c>
      <c r="F403" s="19">
        <v>45623</v>
      </c>
      <c r="G403" s="18">
        <v>3161660.04</v>
      </c>
      <c r="H403" s="37">
        <f t="shared" si="23"/>
        <v>35</v>
      </c>
      <c r="I403" s="37" t="str">
        <f t="shared" si="22"/>
        <v>0-120 DAYS</v>
      </c>
      <c r="J403" s="37" t="str">
        <f t="shared" si="24"/>
        <v>0-180 DAYS</v>
      </c>
      <c r="K403" t="s">
        <v>1730</v>
      </c>
      <c r="N403" t="s">
        <v>2876</v>
      </c>
      <c r="O403" s="66">
        <v>3161660.04</v>
      </c>
    </row>
    <row r="404" spans="1:15" hidden="1" x14ac:dyDescent="0.35">
      <c r="A404" s="88" t="s">
        <v>1085</v>
      </c>
      <c r="B404" s="2" t="s">
        <v>790</v>
      </c>
      <c r="C404" s="18" t="s">
        <v>647</v>
      </c>
      <c r="D404" s="2" t="s">
        <v>507</v>
      </c>
      <c r="E404" s="18" t="s">
        <v>2787</v>
      </c>
      <c r="F404" s="19">
        <v>45625</v>
      </c>
      <c r="G404" s="18">
        <v>3696792.09</v>
      </c>
      <c r="H404" s="37">
        <f t="shared" si="23"/>
        <v>33</v>
      </c>
      <c r="I404" s="37" t="str">
        <f t="shared" si="22"/>
        <v>0-120 DAYS</v>
      </c>
      <c r="J404" s="37" t="str">
        <f t="shared" si="24"/>
        <v>0-180 DAYS</v>
      </c>
      <c r="K404" t="s">
        <v>1730</v>
      </c>
      <c r="N404" t="s">
        <v>2877</v>
      </c>
      <c r="O404" s="66">
        <v>3696792.09</v>
      </c>
    </row>
    <row r="405" spans="1:15" hidden="1" x14ac:dyDescent="0.35">
      <c r="A405" s="88" t="s">
        <v>1085</v>
      </c>
      <c r="B405" s="2" t="s">
        <v>790</v>
      </c>
      <c r="C405" s="18" t="s">
        <v>588</v>
      </c>
      <c r="D405" s="2" t="s">
        <v>507</v>
      </c>
      <c r="E405" s="18" t="s">
        <v>2788</v>
      </c>
      <c r="F405" s="19">
        <v>45625</v>
      </c>
      <c r="G405" s="18">
        <v>3344112.86</v>
      </c>
      <c r="H405" s="37">
        <f t="shared" si="23"/>
        <v>33</v>
      </c>
      <c r="I405" s="37" t="str">
        <f t="shared" si="22"/>
        <v>0-120 DAYS</v>
      </c>
      <c r="J405" s="37" t="str">
        <f t="shared" si="24"/>
        <v>0-180 DAYS</v>
      </c>
      <c r="K405" t="s">
        <v>1730</v>
      </c>
      <c r="N405" t="s">
        <v>2877</v>
      </c>
      <c r="O405" s="66">
        <v>3344112.86</v>
      </c>
    </row>
    <row r="406" spans="1:15" x14ac:dyDescent="0.35">
      <c r="A406" s="2" t="s">
        <v>477</v>
      </c>
      <c r="B406" s="2" t="s">
        <v>790</v>
      </c>
      <c r="C406" s="18" t="s">
        <v>1080</v>
      </c>
      <c r="D406" s="18" t="s">
        <v>1081</v>
      </c>
      <c r="E406" s="18" t="s">
        <v>2790</v>
      </c>
      <c r="F406" s="19">
        <v>45607</v>
      </c>
      <c r="G406" s="18">
        <v>1490376.96</v>
      </c>
      <c r="H406" s="37">
        <f t="shared" si="23"/>
        <v>51</v>
      </c>
      <c r="I406" s="37" t="str">
        <f t="shared" ref="I406:I469" si="25">IF(H406&lt;91,"1-90 DAYS",IF(H406&lt;121,"91-120DAYS",IF(H406&lt;181,"121-180 DAYS","More than 180 Days")))</f>
        <v>1-90 DAYS</v>
      </c>
      <c r="J406" s="37" t="str">
        <f t="shared" si="24"/>
        <v>0-180 DAYS</v>
      </c>
      <c r="K406" t="s">
        <v>1730</v>
      </c>
      <c r="N406" t="s">
        <v>2879</v>
      </c>
      <c r="O406" s="66">
        <v>1490376.96</v>
      </c>
    </row>
    <row r="407" spans="1:15" hidden="1" x14ac:dyDescent="0.35">
      <c r="A407" s="2" t="s">
        <v>477</v>
      </c>
      <c r="B407" s="2" t="s">
        <v>790</v>
      </c>
      <c r="C407" s="18" t="s">
        <v>2789</v>
      </c>
      <c r="D407" s="18" t="s">
        <v>2801</v>
      </c>
      <c r="E407" s="18" t="s">
        <v>2791</v>
      </c>
      <c r="F407" s="19">
        <v>45607</v>
      </c>
      <c r="G407" s="18">
        <v>27803049.120000001</v>
      </c>
      <c r="H407" s="37">
        <f t="shared" si="23"/>
        <v>51</v>
      </c>
      <c r="I407" s="37" t="str">
        <f t="shared" si="25"/>
        <v>1-90 DAYS</v>
      </c>
      <c r="J407" s="37" t="str">
        <f t="shared" si="24"/>
        <v>0-180 DAYS</v>
      </c>
      <c r="K407" t="s">
        <v>1730</v>
      </c>
      <c r="N407" t="s">
        <v>2879</v>
      </c>
      <c r="O407" s="66">
        <v>27803049.120000001</v>
      </c>
    </row>
    <row r="408" spans="1:15" hidden="1" x14ac:dyDescent="0.35">
      <c r="A408" s="2" t="s">
        <v>477</v>
      </c>
      <c r="B408" s="2" t="s">
        <v>790</v>
      </c>
      <c r="C408" s="18" t="s">
        <v>2321</v>
      </c>
      <c r="D408" s="18" t="s">
        <v>2347</v>
      </c>
      <c r="E408" s="18" t="s">
        <v>315</v>
      </c>
      <c r="F408" s="19">
        <v>45609</v>
      </c>
      <c r="G408" s="18">
        <v>40000</v>
      </c>
      <c r="H408" s="37">
        <f t="shared" si="23"/>
        <v>49</v>
      </c>
      <c r="I408" s="37" t="str">
        <f t="shared" si="25"/>
        <v>1-90 DAYS</v>
      </c>
      <c r="J408" s="37" t="str">
        <f t="shared" si="24"/>
        <v>0-180 DAYS</v>
      </c>
      <c r="K408" t="s">
        <v>1730</v>
      </c>
      <c r="N408" t="s">
        <v>2865</v>
      </c>
      <c r="O408" s="66">
        <v>40000</v>
      </c>
    </row>
    <row r="409" spans="1:15" hidden="1" x14ac:dyDescent="0.35">
      <c r="A409" s="2" t="s">
        <v>477</v>
      </c>
      <c r="B409" s="2" t="s">
        <v>790</v>
      </c>
      <c r="C409" s="18" t="s">
        <v>2380</v>
      </c>
      <c r="D409" s="18" t="s">
        <v>1081</v>
      </c>
      <c r="E409" s="18" t="s">
        <v>321</v>
      </c>
      <c r="F409" s="19">
        <v>45610</v>
      </c>
      <c r="G409" s="18">
        <v>1490376.94</v>
      </c>
      <c r="H409" s="37">
        <f t="shared" si="23"/>
        <v>48</v>
      </c>
      <c r="I409" s="37" t="str">
        <f t="shared" si="25"/>
        <v>1-90 DAYS</v>
      </c>
      <c r="J409" s="37" t="str">
        <f t="shared" si="24"/>
        <v>0-180 DAYS</v>
      </c>
      <c r="K409" t="s">
        <v>1730</v>
      </c>
      <c r="N409" t="s">
        <v>2866</v>
      </c>
      <c r="O409" s="66">
        <v>1490376.94</v>
      </c>
    </row>
    <row r="410" spans="1:15" hidden="1" x14ac:dyDescent="0.35">
      <c r="A410" s="2" t="s">
        <v>477</v>
      </c>
      <c r="B410" s="2" t="s">
        <v>790</v>
      </c>
      <c r="C410" s="18" t="s">
        <v>2380</v>
      </c>
      <c r="D410" s="18" t="s">
        <v>1081</v>
      </c>
      <c r="E410" s="18" t="s">
        <v>2792</v>
      </c>
      <c r="F410" s="19">
        <v>45610</v>
      </c>
      <c r="G410" s="18">
        <v>465526.58</v>
      </c>
      <c r="H410" s="37">
        <f t="shared" si="23"/>
        <v>48</v>
      </c>
      <c r="I410" s="37" t="str">
        <f t="shared" si="25"/>
        <v>1-90 DAYS</v>
      </c>
      <c r="J410" s="37" t="str">
        <f t="shared" si="24"/>
        <v>0-180 DAYS</v>
      </c>
      <c r="K410" t="s">
        <v>1730</v>
      </c>
      <c r="N410" t="s">
        <v>2866</v>
      </c>
      <c r="O410" s="66">
        <v>465526.58</v>
      </c>
    </row>
    <row r="411" spans="1:15" hidden="1" x14ac:dyDescent="0.35">
      <c r="A411" s="2" t="s">
        <v>477</v>
      </c>
      <c r="B411" s="2" t="s">
        <v>790</v>
      </c>
      <c r="C411" s="18" t="s">
        <v>2380</v>
      </c>
      <c r="D411" s="18" t="s">
        <v>1081</v>
      </c>
      <c r="E411" s="18" t="s">
        <v>327</v>
      </c>
      <c r="F411" s="19">
        <v>45611</v>
      </c>
      <c r="G411" s="18">
        <v>698290.38</v>
      </c>
      <c r="H411" s="37">
        <f t="shared" si="23"/>
        <v>47</v>
      </c>
      <c r="I411" s="37" t="str">
        <f t="shared" si="25"/>
        <v>1-90 DAYS</v>
      </c>
      <c r="J411" s="37" t="str">
        <f t="shared" si="24"/>
        <v>0-180 DAYS</v>
      </c>
      <c r="K411" t="s">
        <v>1730</v>
      </c>
      <c r="N411" t="s">
        <v>2867</v>
      </c>
      <c r="O411" s="66">
        <v>698290.38</v>
      </c>
    </row>
    <row r="412" spans="1:15" hidden="1" x14ac:dyDescent="0.35">
      <c r="A412" s="2" t="s">
        <v>477</v>
      </c>
      <c r="B412" s="2" t="s">
        <v>790</v>
      </c>
      <c r="C412" s="18" t="s">
        <v>1087</v>
      </c>
      <c r="D412" s="18" t="s">
        <v>1088</v>
      </c>
      <c r="E412" s="18" t="s">
        <v>338</v>
      </c>
      <c r="F412" s="19">
        <v>45614</v>
      </c>
      <c r="G412" s="18">
        <f>163548</f>
        <v>163548</v>
      </c>
      <c r="H412" s="37">
        <f t="shared" si="23"/>
        <v>44</v>
      </c>
      <c r="I412" s="37" t="str">
        <f t="shared" si="25"/>
        <v>1-90 DAYS</v>
      </c>
      <c r="J412" s="37" t="str">
        <f t="shared" si="24"/>
        <v>0-180 DAYS</v>
      </c>
      <c r="K412" t="s">
        <v>1730</v>
      </c>
      <c r="N412" t="s">
        <v>2870</v>
      </c>
      <c r="O412" s="66">
        <v>163548</v>
      </c>
    </row>
    <row r="413" spans="1:15" hidden="1" x14ac:dyDescent="0.35">
      <c r="A413" s="2" t="s">
        <v>477</v>
      </c>
      <c r="B413" s="2" t="s">
        <v>790</v>
      </c>
      <c r="C413" s="18" t="s">
        <v>2380</v>
      </c>
      <c r="D413" s="18" t="s">
        <v>1081</v>
      </c>
      <c r="E413" s="18" t="s">
        <v>2793</v>
      </c>
      <c r="F413" s="19">
        <v>45614</v>
      </c>
      <c r="G413" s="18">
        <v>1156339.3999999999</v>
      </c>
      <c r="H413" s="37">
        <f t="shared" si="23"/>
        <v>44</v>
      </c>
      <c r="I413" s="37" t="str">
        <f t="shared" si="25"/>
        <v>1-90 DAYS</v>
      </c>
      <c r="J413" s="37" t="str">
        <f t="shared" si="24"/>
        <v>0-180 DAYS</v>
      </c>
      <c r="K413" t="s">
        <v>1730</v>
      </c>
      <c r="N413" t="s">
        <v>2870</v>
      </c>
      <c r="O413" s="66">
        <v>1156339.3999999999</v>
      </c>
    </row>
    <row r="414" spans="1:15" hidden="1" x14ac:dyDescent="0.35">
      <c r="A414" s="2" t="s">
        <v>477</v>
      </c>
      <c r="B414" s="2" t="s">
        <v>790</v>
      </c>
      <c r="C414" s="18" t="s">
        <v>2380</v>
      </c>
      <c r="D414" s="18" t="s">
        <v>1081</v>
      </c>
      <c r="E414" s="18" t="s">
        <v>369</v>
      </c>
      <c r="F414" s="19">
        <v>45621</v>
      </c>
      <c r="G414" s="18">
        <v>1490376.94</v>
      </c>
      <c r="H414" s="37">
        <f t="shared" si="23"/>
        <v>37</v>
      </c>
      <c r="I414" s="37" t="str">
        <f t="shared" si="25"/>
        <v>1-90 DAYS</v>
      </c>
      <c r="J414" s="37" t="str">
        <f t="shared" si="24"/>
        <v>0-180 DAYS</v>
      </c>
      <c r="K414" t="s">
        <v>1730</v>
      </c>
      <c r="N414" t="s">
        <v>2874</v>
      </c>
      <c r="O414" s="66">
        <v>1490376.94</v>
      </c>
    </row>
    <row r="415" spans="1:15" hidden="1" x14ac:dyDescent="0.35">
      <c r="A415" s="2" t="s">
        <v>477</v>
      </c>
      <c r="B415" s="2" t="s">
        <v>790</v>
      </c>
      <c r="C415" s="18" t="s">
        <v>2380</v>
      </c>
      <c r="D415" s="18" t="s">
        <v>1081</v>
      </c>
      <c r="E415" s="18" t="s">
        <v>376</v>
      </c>
      <c r="F415" s="19">
        <v>45622</v>
      </c>
      <c r="G415" s="18">
        <v>1387607.48</v>
      </c>
      <c r="H415" s="37">
        <f t="shared" si="23"/>
        <v>36</v>
      </c>
      <c r="I415" s="37" t="str">
        <f t="shared" si="25"/>
        <v>1-90 DAYS</v>
      </c>
      <c r="J415" s="37" t="str">
        <f t="shared" si="24"/>
        <v>0-180 DAYS</v>
      </c>
      <c r="K415" t="s">
        <v>1730</v>
      </c>
      <c r="N415" t="s">
        <v>2875</v>
      </c>
      <c r="O415" s="66">
        <v>1387607.48</v>
      </c>
    </row>
    <row r="416" spans="1:15" hidden="1" x14ac:dyDescent="0.35">
      <c r="A416" s="2" t="s">
        <v>477</v>
      </c>
      <c r="B416" s="2" t="s">
        <v>790</v>
      </c>
      <c r="C416" s="18" t="s">
        <v>2380</v>
      </c>
      <c r="D416" s="18" t="s">
        <v>1081</v>
      </c>
      <c r="E416" s="18" t="s">
        <v>377</v>
      </c>
      <c r="F416" s="19">
        <v>45622</v>
      </c>
      <c r="G416" s="18">
        <v>1248065.3999999999</v>
      </c>
      <c r="H416" s="37">
        <f t="shared" si="23"/>
        <v>36</v>
      </c>
      <c r="I416" s="37" t="str">
        <f t="shared" si="25"/>
        <v>1-90 DAYS</v>
      </c>
      <c r="J416" s="37" t="str">
        <f t="shared" si="24"/>
        <v>0-180 DAYS</v>
      </c>
      <c r="K416" t="s">
        <v>1730</v>
      </c>
      <c r="N416" t="s">
        <v>2875</v>
      </c>
      <c r="O416" s="66">
        <v>1248065.3999999999</v>
      </c>
    </row>
    <row r="417" spans="1:15" hidden="1" x14ac:dyDescent="0.35">
      <c r="A417" s="2" t="s">
        <v>477</v>
      </c>
      <c r="B417" s="2" t="s">
        <v>790</v>
      </c>
      <c r="C417" s="18" t="s">
        <v>2380</v>
      </c>
      <c r="D417" s="18" t="s">
        <v>1081</v>
      </c>
      <c r="E417" s="18" t="s">
        <v>387</v>
      </c>
      <c r="F417" s="19">
        <v>45623</v>
      </c>
      <c r="G417" s="18">
        <v>230876.79999999999</v>
      </c>
      <c r="H417" s="37">
        <f t="shared" si="23"/>
        <v>35</v>
      </c>
      <c r="I417" s="37" t="str">
        <f t="shared" si="25"/>
        <v>1-90 DAYS</v>
      </c>
      <c r="J417" s="37" t="str">
        <f t="shared" si="24"/>
        <v>0-180 DAYS</v>
      </c>
      <c r="K417" t="s">
        <v>1730</v>
      </c>
      <c r="N417" t="s">
        <v>2876</v>
      </c>
      <c r="O417" s="66">
        <v>230876.79999999999</v>
      </c>
    </row>
    <row r="418" spans="1:15" hidden="1" x14ac:dyDescent="0.35">
      <c r="A418" s="2" t="s">
        <v>477</v>
      </c>
      <c r="B418" s="2" t="s">
        <v>790</v>
      </c>
      <c r="C418" s="18" t="s">
        <v>2380</v>
      </c>
      <c r="D418" s="18" t="s">
        <v>1081</v>
      </c>
      <c r="E418" s="18" t="s">
        <v>388</v>
      </c>
      <c r="F418" s="19">
        <v>45623</v>
      </c>
      <c r="G418" s="18">
        <v>57719.199999999997</v>
      </c>
      <c r="H418" s="37">
        <f t="shared" si="23"/>
        <v>35</v>
      </c>
      <c r="I418" s="37" t="str">
        <f t="shared" si="25"/>
        <v>1-90 DAYS</v>
      </c>
      <c r="J418" s="37" t="str">
        <f t="shared" si="24"/>
        <v>0-180 DAYS</v>
      </c>
      <c r="K418" t="s">
        <v>1730</v>
      </c>
      <c r="N418" t="s">
        <v>2876</v>
      </c>
      <c r="O418" s="66">
        <v>57719.199999999997</v>
      </c>
    </row>
    <row r="419" spans="1:15" hidden="1" x14ac:dyDescent="0.35">
      <c r="A419" s="2" t="s">
        <v>477</v>
      </c>
      <c r="B419" s="2" t="s">
        <v>790</v>
      </c>
      <c r="C419" s="18" t="s">
        <v>2380</v>
      </c>
      <c r="D419" s="18" t="s">
        <v>1081</v>
      </c>
      <c r="E419" s="18" t="s">
        <v>389</v>
      </c>
      <c r="F419" s="19">
        <v>45623</v>
      </c>
      <c r="G419" s="18">
        <v>1156929.3999999999</v>
      </c>
      <c r="H419" s="37">
        <f t="shared" si="23"/>
        <v>35</v>
      </c>
      <c r="I419" s="37" t="str">
        <f t="shared" si="25"/>
        <v>1-90 DAYS</v>
      </c>
      <c r="J419" s="37" t="str">
        <f t="shared" si="24"/>
        <v>0-180 DAYS</v>
      </c>
      <c r="K419" t="s">
        <v>1730</v>
      </c>
      <c r="N419" t="s">
        <v>2876</v>
      </c>
      <c r="O419" s="66">
        <v>1156929.3999999999</v>
      </c>
    </row>
    <row r="420" spans="1:15" hidden="1" x14ac:dyDescent="0.35">
      <c r="A420" s="2" t="s">
        <v>477</v>
      </c>
      <c r="B420" s="2" t="s">
        <v>790</v>
      </c>
      <c r="C420" s="18" t="s">
        <v>2526</v>
      </c>
      <c r="D420" s="18" t="s">
        <v>2528</v>
      </c>
      <c r="E420" s="18" t="s">
        <v>381</v>
      </c>
      <c r="F420" s="19">
        <v>45623</v>
      </c>
      <c r="G420" s="18">
        <v>102256.44</v>
      </c>
      <c r="H420" s="37">
        <f t="shared" si="23"/>
        <v>35</v>
      </c>
      <c r="I420" s="37" t="str">
        <f t="shared" si="25"/>
        <v>1-90 DAYS</v>
      </c>
      <c r="J420" s="37" t="str">
        <f t="shared" si="24"/>
        <v>0-180 DAYS</v>
      </c>
      <c r="K420" t="s">
        <v>1730</v>
      </c>
      <c r="N420" t="s">
        <v>2876</v>
      </c>
      <c r="O420" s="66">
        <v>102256.44</v>
      </c>
    </row>
    <row r="421" spans="1:15" hidden="1" x14ac:dyDescent="0.35">
      <c r="A421" s="2" t="s">
        <v>477</v>
      </c>
      <c r="B421" s="2" t="s">
        <v>790</v>
      </c>
      <c r="C421" s="18" t="s">
        <v>2380</v>
      </c>
      <c r="D421" s="18" t="s">
        <v>1081</v>
      </c>
      <c r="E421" s="18" t="s">
        <v>396</v>
      </c>
      <c r="F421" s="19">
        <v>45624</v>
      </c>
      <c r="G421" s="18">
        <v>115693.04</v>
      </c>
      <c r="H421" s="37">
        <f t="shared" si="23"/>
        <v>34</v>
      </c>
      <c r="I421" s="37" t="str">
        <f t="shared" si="25"/>
        <v>1-90 DAYS</v>
      </c>
      <c r="J421" s="37" t="str">
        <f t="shared" si="24"/>
        <v>0-180 DAYS</v>
      </c>
      <c r="K421" t="s">
        <v>1730</v>
      </c>
      <c r="N421" t="s">
        <v>2881</v>
      </c>
      <c r="O421" s="66">
        <v>115693.04</v>
      </c>
    </row>
    <row r="422" spans="1:15" hidden="1" x14ac:dyDescent="0.35">
      <c r="A422" s="2" t="s">
        <v>477</v>
      </c>
      <c r="B422" s="2" t="s">
        <v>790</v>
      </c>
      <c r="C422" s="18" t="s">
        <v>2380</v>
      </c>
      <c r="D422" s="18" t="s">
        <v>1081</v>
      </c>
      <c r="E422" s="18" t="s">
        <v>398</v>
      </c>
      <c r="F422" s="19">
        <v>45625</v>
      </c>
      <c r="G422" s="18">
        <v>1041236.36</v>
      </c>
      <c r="H422" s="37">
        <f t="shared" si="23"/>
        <v>33</v>
      </c>
      <c r="I422" s="37" t="str">
        <f t="shared" si="25"/>
        <v>1-90 DAYS</v>
      </c>
      <c r="J422" s="37" t="str">
        <f t="shared" si="24"/>
        <v>0-180 DAYS</v>
      </c>
      <c r="K422" t="s">
        <v>1730</v>
      </c>
      <c r="N422" t="s">
        <v>2877</v>
      </c>
      <c r="O422" s="66">
        <v>1041236.36</v>
      </c>
    </row>
    <row r="423" spans="1:15" hidden="1" x14ac:dyDescent="0.35">
      <c r="A423" s="2" t="s">
        <v>477</v>
      </c>
      <c r="B423" s="2" t="s">
        <v>790</v>
      </c>
      <c r="C423" s="18" t="s">
        <v>2380</v>
      </c>
      <c r="D423" s="18" t="s">
        <v>1081</v>
      </c>
      <c r="E423" s="18" t="s">
        <v>399</v>
      </c>
      <c r="F423" s="19">
        <v>45625</v>
      </c>
      <c r="G423" s="18">
        <v>349145.18</v>
      </c>
      <c r="H423" s="37">
        <f t="shared" si="23"/>
        <v>33</v>
      </c>
      <c r="I423" s="37" t="str">
        <f t="shared" si="25"/>
        <v>1-90 DAYS</v>
      </c>
      <c r="J423" s="37" t="str">
        <f t="shared" si="24"/>
        <v>0-180 DAYS</v>
      </c>
      <c r="K423" t="s">
        <v>1730</v>
      </c>
      <c r="N423" t="s">
        <v>2877</v>
      </c>
      <c r="O423" s="66">
        <v>349145.18</v>
      </c>
    </row>
    <row r="424" spans="1:15" hidden="1" x14ac:dyDescent="0.35">
      <c r="A424" s="2" t="s">
        <v>477</v>
      </c>
      <c r="B424" s="2" t="s">
        <v>790</v>
      </c>
      <c r="C424" s="18" t="s">
        <v>2380</v>
      </c>
      <c r="D424" s="18" t="s">
        <v>1081</v>
      </c>
      <c r="E424" s="18" t="s">
        <v>400</v>
      </c>
      <c r="F424" s="19">
        <v>45625</v>
      </c>
      <c r="G424" s="18">
        <v>2892323</v>
      </c>
      <c r="H424" s="37">
        <f t="shared" si="23"/>
        <v>33</v>
      </c>
      <c r="I424" s="37" t="str">
        <f t="shared" si="25"/>
        <v>1-90 DAYS</v>
      </c>
      <c r="J424" s="37" t="str">
        <f t="shared" si="24"/>
        <v>0-180 DAYS</v>
      </c>
      <c r="K424" t="s">
        <v>1730</v>
      </c>
      <c r="N424" t="s">
        <v>2877</v>
      </c>
      <c r="O424" s="66">
        <v>2892323</v>
      </c>
    </row>
    <row r="425" spans="1:15" hidden="1" x14ac:dyDescent="0.35">
      <c r="A425" s="2" t="s">
        <v>477</v>
      </c>
      <c r="B425" s="2" t="s">
        <v>790</v>
      </c>
      <c r="C425" s="18" t="s">
        <v>2380</v>
      </c>
      <c r="D425" s="18" t="s">
        <v>1081</v>
      </c>
      <c r="E425" s="18" t="s">
        <v>2795</v>
      </c>
      <c r="F425" s="19">
        <v>45626</v>
      </c>
      <c r="G425" s="18">
        <v>465526.58</v>
      </c>
      <c r="H425" s="37">
        <f t="shared" si="23"/>
        <v>32</v>
      </c>
      <c r="I425" s="37" t="str">
        <f t="shared" si="25"/>
        <v>1-90 DAYS</v>
      </c>
      <c r="J425" s="37" t="str">
        <f t="shared" si="24"/>
        <v>0-180 DAYS</v>
      </c>
      <c r="K425" t="s">
        <v>1730</v>
      </c>
      <c r="N425" t="s">
        <v>2860</v>
      </c>
      <c r="O425" s="66">
        <v>465526.58</v>
      </c>
    </row>
    <row r="426" spans="1:15" hidden="1" x14ac:dyDescent="0.35">
      <c r="A426" s="2" t="s">
        <v>477</v>
      </c>
      <c r="B426" s="2" t="s">
        <v>790</v>
      </c>
      <c r="C426" s="18" t="s">
        <v>2380</v>
      </c>
      <c r="D426" s="18" t="s">
        <v>1081</v>
      </c>
      <c r="E426" s="18" t="s">
        <v>408</v>
      </c>
      <c r="F426" s="19">
        <v>45626</v>
      </c>
      <c r="G426" s="18">
        <v>349145.18</v>
      </c>
      <c r="H426" s="37">
        <f t="shared" si="23"/>
        <v>32</v>
      </c>
      <c r="I426" s="37" t="str">
        <f t="shared" si="25"/>
        <v>1-90 DAYS</v>
      </c>
      <c r="J426" s="37" t="str">
        <f t="shared" si="24"/>
        <v>0-180 DAYS</v>
      </c>
      <c r="K426" t="s">
        <v>1730</v>
      </c>
      <c r="N426" t="s">
        <v>2860</v>
      </c>
      <c r="O426" s="66">
        <v>349145.18</v>
      </c>
    </row>
    <row r="427" spans="1:15" hidden="1" x14ac:dyDescent="0.35">
      <c r="A427" s="2" t="s">
        <v>477</v>
      </c>
      <c r="B427" s="2" t="s">
        <v>790</v>
      </c>
      <c r="C427" s="18" t="s">
        <v>2380</v>
      </c>
      <c r="D427" s="18" t="s">
        <v>1081</v>
      </c>
      <c r="E427" s="18" t="s">
        <v>409</v>
      </c>
      <c r="F427" s="19">
        <v>45626</v>
      </c>
      <c r="G427" s="18">
        <v>1039644.36</v>
      </c>
      <c r="H427" s="37">
        <f t="shared" si="23"/>
        <v>32</v>
      </c>
      <c r="I427" s="37" t="str">
        <f t="shared" si="25"/>
        <v>1-90 DAYS</v>
      </c>
      <c r="J427" s="37" t="str">
        <f t="shared" si="24"/>
        <v>0-180 DAYS</v>
      </c>
      <c r="K427" t="s">
        <v>1730</v>
      </c>
      <c r="N427" t="s">
        <v>2860</v>
      </c>
      <c r="O427" s="66">
        <v>1039644.36</v>
      </c>
    </row>
    <row r="428" spans="1:15" hidden="1" x14ac:dyDescent="0.35">
      <c r="A428" s="2" t="s">
        <v>477</v>
      </c>
      <c r="B428" s="2" t="s">
        <v>790</v>
      </c>
      <c r="C428" s="18" t="s">
        <v>2382</v>
      </c>
      <c r="D428" s="18" t="s">
        <v>2424</v>
      </c>
      <c r="E428" s="18" t="s">
        <v>2797</v>
      </c>
      <c r="F428" s="19">
        <v>45611</v>
      </c>
      <c r="G428" s="18">
        <v>80240</v>
      </c>
      <c r="H428" s="37">
        <f t="shared" si="23"/>
        <v>47</v>
      </c>
      <c r="I428" s="37" t="str">
        <f t="shared" si="25"/>
        <v>1-90 DAYS</v>
      </c>
      <c r="J428" s="37" t="str">
        <f t="shared" si="24"/>
        <v>0-180 DAYS</v>
      </c>
      <c r="K428" t="s">
        <v>1730</v>
      </c>
      <c r="N428" t="s">
        <v>2867</v>
      </c>
      <c r="O428" s="66">
        <v>80240</v>
      </c>
    </row>
    <row r="429" spans="1:15" hidden="1" x14ac:dyDescent="0.35">
      <c r="A429" s="2" t="s">
        <v>477</v>
      </c>
      <c r="B429" s="2" t="s">
        <v>790</v>
      </c>
      <c r="C429" s="18" t="s">
        <v>3</v>
      </c>
      <c r="D429" s="18" t="s">
        <v>4</v>
      </c>
      <c r="E429" s="18" t="s">
        <v>2799</v>
      </c>
      <c r="F429" s="19">
        <v>45623</v>
      </c>
      <c r="G429" s="18">
        <v>1495149.46</v>
      </c>
      <c r="H429" s="37">
        <f t="shared" si="23"/>
        <v>35</v>
      </c>
      <c r="I429" s="37" t="str">
        <f t="shared" si="25"/>
        <v>1-90 DAYS</v>
      </c>
      <c r="J429" s="37" t="str">
        <f t="shared" si="24"/>
        <v>0-180 DAYS</v>
      </c>
      <c r="K429" t="s">
        <v>1730</v>
      </c>
      <c r="N429" t="s">
        <v>2876</v>
      </c>
      <c r="O429" s="66">
        <v>1495149.46</v>
      </c>
    </row>
    <row r="430" spans="1:15" hidden="1" x14ac:dyDescent="0.35">
      <c r="A430" s="2" t="s">
        <v>477</v>
      </c>
      <c r="B430" s="2" t="s">
        <v>790</v>
      </c>
      <c r="C430" s="18" t="s">
        <v>26</v>
      </c>
      <c r="D430" s="18" t="s">
        <v>27</v>
      </c>
      <c r="E430" s="18" t="s">
        <v>2800</v>
      </c>
      <c r="F430" s="19">
        <v>45625</v>
      </c>
      <c r="G430" s="18">
        <v>509925.2</v>
      </c>
      <c r="H430" s="37">
        <f t="shared" si="23"/>
        <v>33</v>
      </c>
      <c r="I430" s="37" t="str">
        <f t="shared" si="25"/>
        <v>1-90 DAYS</v>
      </c>
      <c r="J430" s="37" t="str">
        <f t="shared" si="24"/>
        <v>0-180 DAYS</v>
      </c>
      <c r="K430" t="s">
        <v>1730</v>
      </c>
      <c r="N430" t="s">
        <v>2877</v>
      </c>
      <c r="O430" s="66">
        <v>509925.2</v>
      </c>
    </row>
    <row r="431" spans="1:15" hidden="1" x14ac:dyDescent="0.35">
      <c r="A431" s="88" t="s">
        <v>1209</v>
      </c>
      <c r="B431" s="88" t="s">
        <v>789</v>
      </c>
      <c r="C431" s="18" t="s">
        <v>125</v>
      </c>
      <c r="D431" s="18" t="s">
        <v>57</v>
      </c>
      <c r="E431" s="18" t="s">
        <v>2802</v>
      </c>
      <c r="F431" s="19">
        <v>45599</v>
      </c>
      <c r="G431" s="18">
        <v>423482.71</v>
      </c>
      <c r="H431" s="37">
        <f t="shared" si="23"/>
        <v>59</v>
      </c>
      <c r="I431" s="37" t="str">
        <f t="shared" si="25"/>
        <v>1-90 DAYS</v>
      </c>
      <c r="J431" s="37" t="str">
        <f t="shared" si="24"/>
        <v>0-180 DAYS</v>
      </c>
      <c r="N431" t="s">
        <v>2884</v>
      </c>
      <c r="O431" s="66">
        <v>423482.71</v>
      </c>
    </row>
    <row r="432" spans="1:15" hidden="1" x14ac:dyDescent="0.35">
      <c r="A432" s="88" t="s">
        <v>1209</v>
      </c>
      <c r="B432" s="88" t="s">
        <v>789</v>
      </c>
      <c r="C432" s="18" t="s">
        <v>125</v>
      </c>
      <c r="D432" s="18" t="s">
        <v>57</v>
      </c>
      <c r="E432" s="18" t="s">
        <v>2803</v>
      </c>
      <c r="F432" s="19">
        <v>45599</v>
      </c>
      <c r="G432" s="18">
        <v>2433.52</v>
      </c>
      <c r="H432" s="37">
        <f t="shared" si="23"/>
        <v>59</v>
      </c>
      <c r="I432" s="37" t="str">
        <f t="shared" si="25"/>
        <v>1-90 DAYS</v>
      </c>
      <c r="J432" s="37" t="str">
        <f t="shared" si="24"/>
        <v>0-180 DAYS</v>
      </c>
      <c r="N432" t="s">
        <v>2884</v>
      </c>
      <c r="O432" s="66">
        <v>2433.52</v>
      </c>
    </row>
    <row r="433" spans="1:15" hidden="1" x14ac:dyDescent="0.35">
      <c r="A433" s="88" t="s">
        <v>1209</v>
      </c>
      <c r="B433" s="88" t="s">
        <v>789</v>
      </c>
      <c r="C433" s="18" t="s">
        <v>125</v>
      </c>
      <c r="D433" s="18" t="s">
        <v>57</v>
      </c>
      <c r="E433" s="18" t="s">
        <v>2804</v>
      </c>
      <c r="F433" s="19">
        <v>45600</v>
      </c>
      <c r="G433" s="18">
        <v>179208</v>
      </c>
      <c r="H433" s="37">
        <f t="shared" si="23"/>
        <v>58</v>
      </c>
      <c r="I433" s="37" t="str">
        <f t="shared" si="25"/>
        <v>1-90 DAYS</v>
      </c>
      <c r="J433" s="37" t="str">
        <f t="shared" si="24"/>
        <v>0-180 DAYS</v>
      </c>
      <c r="N433" t="s">
        <v>2885</v>
      </c>
      <c r="O433" s="66">
        <v>179208</v>
      </c>
    </row>
    <row r="434" spans="1:15" hidden="1" x14ac:dyDescent="0.35">
      <c r="A434" s="88" t="s">
        <v>1209</v>
      </c>
      <c r="B434" s="88" t="s">
        <v>789</v>
      </c>
      <c r="C434" s="18" t="s">
        <v>125</v>
      </c>
      <c r="D434" s="18" t="s">
        <v>57</v>
      </c>
      <c r="E434" s="18" t="s">
        <v>2805</v>
      </c>
      <c r="F434" s="19">
        <v>45600</v>
      </c>
      <c r="G434" s="18">
        <v>530903.63</v>
      </c>
      <c r="H434" s="37">
        <f t="shared" si="23"/>
        <v>58</v>
      </c>
      <c r="I434" s="37" t="str">
        <f t="shared" si="25"/>
        <v>1-90 DAYS</v>
      </c>
      <c r="J434" s="37" t="str">
        <f t="shared" si="24"/>
        <v>0-180 DAYS</v>
      </c>
      <c r="N434" t="s">
        <v>2885</v>
      </c>
      <c r="O434" s="66">
        <v>530903.63</v>
      </c>
    </row>
    <row r="435" spans="1:15" hidden="1" x14ac:dyDescent="0.35">
      <c r="A435" s="88" t="s">
        <v>1209</v>
      </c>
      <c r="B435" s="88" t="s">
        <v>789</v>
      </c>
      <c r="C435" s="18" t="s">
        <v>125</v>
      </c>
      <c r="D435" s="18" t="s">
        <v>57</v>
      </c>
      <c r="E435" s="18" t="s">
        <v>2806</v>
      </c>
      <c r="F435" s="19">
        <v>45600</v>
      </c>
      <c r="G435" s="18">
        <v>3395.4</v>
      </c>
      <c r="H435" s="37">
        <f t="shared" si="23"/>
        <v>58</v>
      </c>
      <c r="I435" s="37" t="str">
        <f t="shared" si="25"/>
        <v>1-90 DAYS</v>
      </c>
      <c r="J435" s="37" t="str">
        <f t="shared" si="24"/>
        <v>0-180 DAYS</v>
      </c>
      <c r="N435" t="s">
        <v>2885</v>
      </c>
      <c r="O435" s="66">
        <v>3395.4</v>
      </c>
    </row>
    <row r="436" spans="1:15" hidden="1" x14ac:dyDescent="0.35">
      <c r="A436" s="88" t="s">
        <v>1209</v>
      </c>
      <c r="B436" s="88" t="s">
        <v>789</v>
      </c>
      <c r="C436" s="18" t="s">
        <v>125</v>
      </c>
      <c r="D436" s="18" t="s">
        <v>57</v>
      </c>
      <c r="E436" s="18" t="s">
        <v>2807</v>
      </c>
      <c r="F436" s="19">
        <v>45600</v>
      </c>
      <c r="G436" s="18">
        <v>33275</v>
      </c>
      <c r="H436" s="37">
        <f t="shared" si="23"/>
        <v>58</v>
      </c>
      <c r="I436" s="37" t="str">
        <f t="shared" si="25"/>
        <v>1-90 DAYS</v>
      </c>
      <c r="J436" s="37" t="str">
        <f t="shared" si="24"/>
        <v>0-180 DAYS</v>
      </c>
      <c r="N436" t="s">
        <v>2885</v>
      </c>
      <c r="O436" s="66">
        <v>33275</v>
      </c>
    </row>
    <row r="437" spans="1:15" hidden="1" x14ac:dyDescent="0.35">
      <c r="A437" s="88" t="s">
        <v>1209</v>
      </c>
      <c r="B437" s="88" t="s">
        <v>789</v>
      </c>
      <c r="C437" s="18" t="s">
        <v>125</v>
      </c>
      <c r="D437" s="18" t="s">
        <v>57</v>
      </c>
      <c r="E437" s="18" t="s">
        <v>2808</v>
      </c>
      <c r="F437" s="19">
        <v>45601</v>
      </c>
      <c r="G437" s="18">
        <v>11092.44</v>
      </c>
      <c r="H437" s="37">
        <f t="shared" si="23"/>
        <v>57</v>
      </c>
      <c r="I437" s="37" t="str">
        <f t="shared" si="25"/>
        <v>1-90 DAYS</v>
      </c>
      <c r="J437" s="37" t="str">
        <f t="shared" si="24"/>
        <v>0-180 DAYS</v>
      </c>
      <c r="N437" t="s">
        <v>2861</v>
      </c>
      <c r="O437" s="66">
        <v>11092.44</v>
      </c>
    </row>
    <row r="438" spans="1:15" hidden="1" x14ac:dyDescent="0.35">
      <c r="A438" s="88" t="s">
        <v>1209</v>
      </c>
      <c r="B438" s="88" t="s">
        <v>789</v>
      </c>
      <c r="C438" s="18" t="s">
        <v>125</v>
      </c>
      <c r="D438" s="18" t="s">
        <v>57</v>
      </c>
      <c r="E438" s="18" t="s">
        <v>229</v>
      </c>
      <c r="F438" s="19">
        <v>45601</v>
      </c>
      <c r="G438" s="18">
        <v>1184051.96</v>
      </c>
      <c r="H438" s="37">
        <f t="shared" si="23"/>
        <v>57</v>
      </c>
      <c r="I438" s="37" t="str">
        <f t="shared" si="25"/>
        <v>1-90 DAYS</v>
      </c>
      <c r="J438" s="37" t="str">
        <f t="shared" si="24"/>
        <v>0-180 DAYS</v>
      </c>
      <c r="N438" t="s">
        <v>2861</v>
      </c>
      <c r="O438" s="66">
        <v>1184051.96</v>
      </c>
    </row>
    <row r="439" spans="1:15" hidden="1" x14ac:dyDescent="0.35">
      <c r="A439" s="88" t="s">
        <v>1209</v>
      </c>
      <c r="B439" s="88" t="s">
        <v>789</v>
      </c>
      <c r="C439" s="18" t="s">
        <v>125</v>
      </c>
      <c r="D439" s="18" t="s">
        <v>57</v>
      </c>
      <c r="E439" s="18" t="s">
        <v>230</v>
      </c>
      <c r="F439" s="19">
        <v>45602</v>
      </c>
      <c r="G439" s="18">
        <v>896676.03</v>
      </c>
      <c r="H439" s="37">
        <f t="shared" si="23"/>
        <v>56</v>
      </c>
      <c r="I439" s="37" t="str">
        <f t="shared" si="25"/>
        <v>1-90 DAYS</v>
      </c>
      <c r="J439" s="37" t="str">
        <f t="shared" si="24"/>
        <v>0-180 DAYS</v>
      </c>
      <c r="N439" t="s">
        <v>2862</v>
      </c>
      <c r="O439" s="66">
        <v>896676.03</v>
      </c>
    </row>
    <row r="440" spans="1:15" hidden="1" x14ac:dyDescent="0.35">
      <c r="A440" s="88" t="s">
        <v>1209</v>
      </c>
      <c r="B440" s="88" t="s">
        <v>789</v>
      </c>
      <c r="C440" s="18" t="s">
        <v>125</v>
      </c>
      <c r="D440" s="18" t="s">
        <v>57</v>
      </c>
      <c r="E440" s="18" t="s">
        <v>2809</v>
      </c>
      <c r="F440" s="19">
        <v>45602</v>
      </c>
      <c r="G440" s="18">
        <v>9960.64</v>
      </c>
      <c r="H440" s="37">
        <f t="shared" si="23"/>
        <v>56</v>
      </c>
      <c r="I440" s="37" t="str">
        <f t="shared" si="25"/>
        <v>1-90 DAYS</v>
      </c>
      <c r="J440" s="37" t="str">
        <f t="shared" si="24"/>
        <v>0-180 DAYS</v>
      </c>
      <c r="N440" t="s">
        <v>2862</v>
      </c>
      <c r="O440" s="66">
        <v>9960.64</v>
      </c>
    </row>
    <row r="441" spans="1:15" hidden="1" x14ac:dyDescent="0.35">
      <c r="A441" s="88" t="s">
        <v>1209</v>
      </c>
      <c r="B441" s="88" t="s">
        <v>789</v>
      </c>
      <c r="C441" s="18" t="s">
        <v>125</v>
      </c>
      <c r="D441" s="18" t="s">
        <v>57</v>
      </c>
      <c r="E441" s="18" t="s">
        <v>2810</v>
      </c>
      <c r="F441" s="19">
        <v>45602</v>
      </c>
      <c r="G441" s="18">
        <v>3345367.72</v>
      </c>
      <c r="H441" s="37">
        <f t="shared" si="23"/>
        <v>56</v>
      </c>
      <c r="I441" s="37" t="str">
        <f t="shared" si="25"/>
        <v>1-90 DAYS</v>
      </c>
      <c r="J441" s="37" t="str">
        <f t="shared" si="24"/>
        <v>0-180 DAYS</v>
      </c>
      <c r="N441" t="s">
        <v>2862</v>
      </c>
      <c r="O441" s="66">
        <v>3345367.72</v>
      </c>
    </row>
    <row r="442" spans="1:15" hidden="1" x14ac:dyDescent="0.35">
      <c r="A442" s="88" t="s">
        <v>1209</v>
      </c>
      <c r="B442" s="88" t="s">
        <v>789</v>
      </c>
      <c r="C442" s="18" t="s">
        <v>125</v>
      </c>
      <c r="D442" s="18" t="s">
        <v>57</v>
      </c>
      <c r="E442" s="18" t="s">
        <v>233</v>
      </c>
      <c r="F442" s="19">
        <v>45602</v>
      </c>
      <c r="G442" s="18">
        <v>179208</v>
      </c>
      <c r="H442" s="37">
        <f t="shared" si="23"/>
        <v>56</v>
      </c>
      <c r="I442" s="37" t="str">
        <f t="shared" si="25"/>
        <v>1-90 DAYS</v>
      </c>
      <c r="J442" s="37" t="str">
        <f t="shared" si="24"/>
        <v>0-180 DAYS</v>
      </c>
      <c r="N442" t="s">
        <v>2862</v>
      </c>
      <c r="O442" s="66">
        <v>179208</v>
      </c>
    </row>
    <row r="443" spans="1:15" hidden="1" x14ac:dyDescent="0.35">
      <c r="A443" s="88" t="s">
        <v>1209</v>
      </c>
      <c r="B443" s="88" t="s">
        <v>789</v>
      </c>
      <c r="C443" s="18" t="s">
        <v>125</v>
      </c>
      <c r="D443" s="18" t="s">
        <v>57</v>
      </c>
      <c r="E443" s="18" t="s">
        <v>2811</v>
      </c>
      <c r="F443" s="19">
        <v>45603</v>
      </c>
      <c r="G443" s="18">
        <v>358964.51</v>
      </c>
      <c r="H443" s="37">
        <f t="shared" si="23"/>
        <v>55</v>
      </c>
      <c r="I443" s="37" t="str">
        <f t="shared" si="25"/>
        <v>1-90 DAYS</v>
      </c>
      <c r="J443" s="37" t="str">
        <f t="shared" si="24"/>
        <v>0-180 DAYS</v>
      </c>
      <c r="N443" t="s">
        <v>2878</v>
      </c>
      <c r="O443" s="66">
        <v>358964.51</v>
      </c>
    </row>
    <row r="444" spans="1:15" hidden="1" x14ac:dyDescent="0.35">
      <c r="A444" s="88" t="s">
        <v>1209</v>
      </c>
      <c r="B444" s="88" t="s">
        <v>789</v>
      </c>
      <c r="C444" s="18" t="s">
        <v>125</v>
      </c>
      <c r="D444" s="18" t="s">
        <v>57</v>
      </c>
      <c r="E444" s="18" t="s">
        <v>237</v>
      </c>
      <c r="F444" s="19">
        <v>45603</v>
      </c>
      <c r="G444" s="18">
        <v>679458</v>
      </c>
      <c r="H444" s="37">
        <f t="shared" si="23"/>
        <v>55</v>
      </c>
      <c r="I444" s="37" t="str">
        <f t="shared" si="25"/>
        <v>1-90 DAYS</v>
      </c>
      <c r="J444" s="37" t="str">
        <f t="shared" si="24"/>
        <v>0-180 DAYS</v>
      </c>
      <c r="N444" t="s">
        <v>2878</v>
      </c>
      <c r="O444" s="66">
        <v>679458</v>
      </c>
    </row>
    <row r="445" spans="1:15" hidden="1" x14ac:dyDescent="0.35">
      <c r="A445" s="88" t="s">
        <v>1209</v>
      </c>
      <c r="B445" s="88" t="s">
        <v>789</v>
      </c>
      <c r="C445" s="18" t="s">
        <v>125</v>
      </c>
      <c r="D445" s="18" t="s">
        <v>57</v>
      </c>
      <c r="E445" s="18" t="s">
        <v>238</v>
      </c>
      <c r="F445" s="19">
        <v>45603</v>
      </c>
      <c r="G445" s="18">
        <v>49225</v>
      </c>
      <c r="H445" s="37">
        <f t="shared" si="23"/>
        <v>55</v>
      </c>
      <c r="I445" s="37" t="str">
        <f t="shared" si="25"/>
        <v>1-90 DAYS</v>
      </c>
      <c r="J445" s="37" t="str">
        <f t="shared" si="24"/>
        <v>0-180 DAYS</v>
      </c>
      <c r="N445" t="s">
        <v>2878</v>
      </c>
      <c r="O445" s="66">
        <v>49225</v>
      </c>
    </row>
    <row r="446" spans="1:15" hidden="1" x14ac:dyDescent="0.35">
      <c r="A446" s="88" t="s">
        <v>1209</v>
      </c>
      <c r="B446" s="88" t="s">
        <v>789</v>
      </c>
      <c r="C446" s="18" t="s">
        <v>125</v>
      </c>
      <c r="D446" s="18" t="s">
        <v>57</v>
      </c>
      <c r="E446" s="18" t="s">
        <v>2812</v>
      </c>
      <c r="F446" s="19">
        <v>45604</v>
      </c>
      <c r="G446" s="18">
        <v>614055.15</v>
      </c>
      <c r="H446" s="37">
        <f t="shared" si="23"/>
        <v>54</v>
      </c>
      <c r="I446" s="37" t="str">
        <f t="shared" si="25"/>
        <v>1-90 DAYS</v>
      </c>
      <c r="J446" s="37" t="str">
        <f t="shared" si="24"/>
        <v>0-180 DAYS</v>
      </c>
      <c r="N446" t="s">
        <v>2863</v>
      </c>
      <c r="O446" s="66">
        <v>614055.15</v>
      </c>
    </row>
    <row r="447" spans="1:15" hidden="1" x14ac:dyDescent="0.35">
      <c r="A447" s="88" t="s">
        <v>1209</v>
      </c>
      <c r="B447" s="88" t="s">
        <v>789</v>
      </c>
      <c r="C447" s="18" t="s">
        <v>125</v>
      </c>
      <c r="D447" s="18" t="s">
        <v>57</v>
      </c>
      <c r="E447" s="18" t="s">
        <v>242</v>
      </c>
      <c r="F447" s="19">
        <v>45604</v>
      </c>
      <c r="G447" s="18">
        <v>6677.52</v>
      </c>
      <c r="H447" s="37">
        <f t="shared" si="23"/>
        <v>54</v>
      </c>
      <c r="I447" s="37" t="str">
        <f t="shared" si="25"/>
        <v>1-90 DAYS</v>
      </c>
      <c r="J447" s="37" t="str">
        <f t="shared" si="24"/>
        <v>0-180 DAYS</v>
      </c>
      <c r="N447" t="s">
        <v>2863</v>
      </c>
      <c r="O447" s="66">
        <v>6677.52</v>
      </c>
    </row>
    <row r="448" spans="1:15" hidden="1" x14ac:dyDescent="0.35">
      <c r="A448" s="88" t="s">
        <v>1209</v>
      </c>
      <c r="B448" s="88" t="s">
        <v>789</v>
      </c>
      <c r="C448" s="18" t="s">
        <v>125</v>
      </c>
      <c r="D448" s="18" t="s">
        <v>57</v>
      </c>
      <c r="E448" s="18" t="s">
        <v>243</v>
      </c>
      <c r="F448" s="19">
        <v>45604</v>
      </c>
      <c r="G448" s="18">
        <v>47396</v>
      </c>
      <c r="H448" s="37">
        <f t="shared" si="23"/>
        <v>54</v>
      </c>
      <c r="I448" s="37" t="str">
        <f t="shared" si="25"/>
        <v>1-90 DAYS</v>
      </c>
      <c r="J448" s="37" t="str">
        <f t="shared" si="24"/>
        <v>0-180 DAYS</v>
      </c>
      <c r="N448" t="s">
        <v>2863</v>
      </c>
      <c r="O448" s="66">
        <v>47396</v>
      </c>
    </row>
    <row r="449" spans="1:15" hidden="1" x14ac:dyDescent="0.35">
      <c r="A449" s="88" t="s">
        <v>1209</v>
      </c>
      <c r="B449" s="88" t="s">
        <v>789</v>
      </c>
      <c r="C449" s="18" t="s">
        <v>125</v>
      </c>
      <c r="D449" s="18" t="s">
        <v>57</v>
      </c>
      <c r="E449" s="18" t="s">
        <v>2813</v>
      </c>
      <c r="F449" s="19">
        <v>45605</v>
      </c>
      <c r="G449" s="18">
        <v>1018785.8</v>
      </c>
      <c r="H449" s="37">
        <f t="shared" si="23"/>
        <v>53</v>
      </c>
      <c r="I449" s="37" t="str">
        <f t="shared" si="25"/>
        <v>1-90 DAYS</v>
      </c>
      <c r="J449" s="37" t="str">
        <f t="shared" si="24"/>
        <v>0-180 DAYS</v>
      </c>
      <c r="N449" t="s">
        <v>2864</v>
      </c>
      <c r="O449" s="66">
        <v>1018785.8</v>
      </c>
    </row>
    <row r="450" spans="1:15" hidden="1" x14ac:dyDescent="0.35">
      <c r="A450" s="88" t="s">
        <v>1209</v>
      </c>
      <c r="B450" s="88" t="s">
        <v>789</v>
      </c>
      <c r="C450" s="18" t="s">
        <v>125</v>
      </c>
      <c r="D450" s="18" t="s">
        <v>57</v>
      </c>
      <c r="E450" s="18" t="s">
        <v>2814</v>
      </c>
      <c r="F450" s="19">
        <v>45605</v>
      </c>
      <c r="G450" s="18">
        <v>6282.04</v>
      </c>
      <c r="H450" s="37">
        <f t="shared" si="23"/>
        <v>53</v>
      </c>
      <c r="I450" s="37" t="str">
        <f t="shared" si="25"/>
        <v>1-90 DAYS</v>
      </c>
      <c r="J450" s="37" t="str">
        <f t="shared" si="24"/>
        <v>0-180 DAYS</v>
      </c>
      <c r="N450" t="s">
        <v>2864</v>
      </c>
      <c r="O450" s="66">
        <v>6282.04</v>
      </c>
    </row>
    <row r="451" spans="1:15" hidden="1" x14ac:dyDescent="0.35">
      <c r="A451" s="88" t="s">
        <v>1209</v>
      </c>
      <c r="B451" s="88" t="s">
        <v>789</v>
      </c>
      <c r="C451" s="18" t="s">
        <v>125</v>
      </c>
      <c r="D451" s="18" t="s">
        <v>57</v>
      </c>
      <c r="E451" s="18" t="s">
        <v>2815</v>
      </c>
      <c r="F451" s="19">
        <v>45605</v>
      </c>
      <c r="G451" s="18">
        <v>621653.61</v>
      </c>
      <c r="H451" s="37">
        <f t="shared" si="23"/>
        <v>53</v>
      </c>
      <c r="I451" s="37" t="str">
        <f t="shared" si="25"/>
        <v>1-90 DAYS</v>
      </c>
      <c r="J451" s="37" t="str">
        <f t="shared" si="24"/>
        <v>0-180 DAYS</v>
      </c>
      <c r="N451" t="s">
        <v>2864</v>
      </c>
      <c r="O451" s="66">
        <v>621653.61</v>
      </c>
    </row>
    <row r="452" spans="1:15" hidden="1" x14ac:dyDescent="0.35">
      <c r="A452" s="88" t="s">
        <v>1209</v>
      </c>
      <c r="B452" s="88" t="s">
        <v>789</v>
      </c>
      <c r="C452" s="18" t="s">
        <v>125</v>
      </c>
      <c r="D452" s="18" t="s">
        <v>57</v>
      </c>
      <c r="E452" s="18" t="s">
        <v>247</v>
      </c>
      <c r="F452" s="19">
        <v>45606</v>
      </c>
      <c r="G452" s="18">
        <v>9782.84</v>
      </c>
      <c r="H452" s="37">
        <f t="shared" si="23"/>
        <v>52</v>
      </c>
      <c r="I452" s="37" t="str">
        <f t="shared" si="25"/>
        <v>1-90 DAYS</v>
      </c>
      <c r="J452" s="37" t="str">
        <f t="shared" si="24"/>
        <v>0-180 DAYS</v>
      </c>
      <c r="N452" t="s">
        <v>2886</v>
      </c>
      <c r="O452" s="66">
        <v>9782.84</v>
      </c>
    </row>
    <row r="453" spans="1:15" hidden="1" x14ac:dyDescent="0.35">
      <c r="A453" s="88" t="s">
        <v>1209</v>
      </c>
      <c r="B453" s="88" t="s">
        <v>789</v>
      </c>
      <c r="C453" s="18" t="s">
        <v>125</v>
      </c>
      <c r="D453" s="18" t="s">
        <v>57</v>
      </c>
      <c r="E453" s="18" t="s">
        <v>248</v>
      </c>
      <c r="F453" s="19">
        <v>45606</v>
      </c>
      <c r="G453" s="18">
        <v>735.32</v>
      </c>
      <c r="H453" s="37">
        <f t="shared" ref="H453:H516" si="26">$H$2-F453+1</f>
        <v>52</v>
      </c>
      <c r="I453" s="37" t="str">
        <f t="shared" si="25"/>
        <v>1-90 DAYS</v>
      </c>
      <c r="J453" s="37" t="str">
        <f t="shared" si="24"/>
        <v>0-180 DAYS</v>
      </c>
      <c r="N453" t="s">
        <v>2886</v>
      </c>
      <c r="O453" s="66">
        <v>735.32</v>
      </c>
    </row>
    <row r="454" spans="1:15" hidden="1" x14ac:dyDescent="0.35">
      <c r="A454" s="88" t="s">
        <v>1209</v>
      </c>
      <c r="B454" s="88" t="s">
        <v>789</v>
      </c>
      <c r="C454" s="18" t="s">
        <v>125</v>
      </c>
      <c r="D454" s="18" t="s">
        <v>57</v>
      </c>
      <c r="E454" s="18" t="s">
        <v>251</v>
      </c>
      <c r="F454" s="19">
        <v>45606</v>
      </c>
      <c r="G454" s="18">
        <v>249195.12</v>
      </c>
      <c r="H454" s="37">
        <f t="shared" si="26"/>
        <v>52</v>
      </c>
      <c r="I454" s="37" t="str">
        <f t="shared" si="25"/>
        <v>1-90 DAYS</v>
      </c>
      <c r="J454" s="37" t="str">
        <f t="shared" ref="J454:J517" si="27">IF(H454&lt;180,"0-180 DAYS","More than 180 Days")</f>
        <v>0-180 DAYS</v>
      </c>
      <c r="N454" t="s">
        <v>2886</v>
      </c>
      <c r="O454" s="66">
        <v>249195.12</v>
      </c>
    </row>
    <row r="455" spans="1:15" hidden="1" x14ac:dyDescent="0.35">
      <c r="A455" s="88" t="s">
        <v>1209</v>
      </c>
      <c r="B455" s="88" t="s">
        <v>789</v>
      </c>
      <c r="C455" s="18" t="s">
        <v>125</v>
      </c>
      <c r="D455" s="18" t="s">
        <v>57</v>
      </c>
      <c r="E455" s="18" t="s">
        <v>249</v>
      </c>
      <c r="F455" s="19">
        <v>45607</v>
      </c>
      <c r="G455" s="18">
        <v>9826.5499999999993</v>
      </c>
      <c r="H455" s="37">
        <f t="shared" si="26"/>
        <v>51</v>
      </c>
      <c r="I455" s="37" t="str">
        <f t="shared" si="25"/>
        <v>1-90 DAYS</v>
      </c>
      <c r="J455" s="37" t="str">
        <f t="shared" si="27"/>
        <v>0-180 DAYS</v>
      </c>
      <c r="N455" t="s">
        <v>2879</v>
      </c>
      <c r="O455" s="66">
        <v>9826.5499999999993</v>
      </c>
    </row>
    <row r="456" spans="1:15" hidden="1" x14ac:dyDescent="0.35">
      <c r="A456" s="88" t="s">
        <v>1209</v>
      </c>
      <c r="B456" s="88" t="s">
        <v>789</v>
      </c>
      <c r="C456" s="18" t="s">
        <v>125</v>
      </c>
      <c r="D456" s="18" t="s">
        <v>57</v>
      </c>
      <c r="E456" s="18" t="s">
        <v>2816</v>
      </c>
      <c r="F456" s="19">
        <v>45607</v>
      </c>
      <c r="G456" s="18">
        <v>4527.2</v>
      </c>
      <c r="H456" s="37">
        <f t="shared" si="26"/>
        <v>51</v>
      </c>
      <c r="I456" s="37" t="str">
        <f t="shared" si="25"/>
        <v>1-90 DAYS</v>
      </c>
      <c r="J456" s="37" t="str">
        <f t="shared" si="27"/>
        <v>0-180 DAYS</v>
      </c>
      <c r="N456" t="s">
        <v>2879</v>
      </c>
      <c r="O456" s="66">
        <v>4527.2</v>
      </c>
    </row>
    <row r="457" spans="1:15" hidden="1" x14ac:dyDescent="0.35">
      <c r="A457" s="88" t="s">
        <v>1209</v>
      </c>
      <c r="B457" s="88" t="s">
        <v>789</v>
      </c>
      <c r="C457" s="18" t="s">
        <v>125</v>
      </c>
      <c r="D457" s="18" t="s">
        <v>57</v>
      </c>
      <c r="E457" s="18" t="s">
        <v>311</v>
      </c>
      <c r="F457" s="19">
        <v>45607</v>
      </c>
      <c r="G457" s="18">
        <v>548109.06000000006</v>
      </c>
      <c r="H457" s="37">
        <f t="shared" si="26"/>
        <v>51</v>
      </c>
      <c r="I457" s="37" t="str">
        <f t="shared" si="25"/>
        <v>1-90 DAYS</v>
      </c>
      <c r="J457" s="37" t="str">
        <f t="shared" si="27"/>
        <v>0-180 DAYS</v>
      </c>
      <c r="N457" t="s">
        <v>2879</v>
      </c>
      <c r="O457" s="66">
        <v>548109.06000000006</v>
      </c>
    </row>
    <row r="458" spans="1:15" hidden="1" x14ac:dyDescent="0.35">
      <c r="A458" s="88" t="s">
        <v>1209</v>
      </c>
      <c r="B458" s="88" t="s">
        <v>789</v>
      </c>
      <c r="C458" s="18" t="s">
        <v>125</v>
      </c>
      <c r="D458" s="18" t="s">
        <v>57</v>
      </c>
      <c r="E458" s="18" t="s">
        <v>2817</v>
      </c>
      <c r="F458" s="19">
        <v>45607</v>
      </c>
      <c r="G458" s="18">
        <v>566166.77</v>
      </c>
      <c r="H458" s="37">
        <f t="shared" si="26"/>
        <v>51</v>
      </c>
      <c r="I458" s="37" t="str">
        <f t="shared" si="25"/>
        <v>1-90 DAYS</v>
      </c>
      <c r="J458" s="37" t="str">
        <f t="shared" si="27"/>
        <v>0-180 DAYS</v>
      </c>
      <c r="N458" t="s">
        <v>2879</v>
      </c>
      <c r="O458" s="66">
        <v>566166.77</v>
      </c>
    </row>
    <row r="459" spans="1:15" hidden="1" x14ac:dyDescent="0.35">
      <c r="A459" s="88" t="s">
        <v>1209</v>
      </c>
      <c r="B459" s="88" t="s">
        <v>789</v>
      </c>
      <c r="C459" s="18" t="s">
        <v>125</v>
      </c>
      <c r="D459" s="18" t="s">
        <v>57</v>
      </c>
      <c r="E459" s="18" t="s">
        <v>2818</v>
      </c>
      <c r="F459" s="19">
        <v>45607</v>
      </c>
      <c r="G459" s="18">
        <v>31900</v>
      </c>
      <c r="H459" s="37">
        <f t="shared" si="26"/>
        <v>51</v>
      </c>
      <c r="I459" s="37" t="str">
        <f t="shared" si="25"/>
        <v>1-90 DAYS</v>
      </c>
      <c r="J459" s="37" t="str">
        <f t="shared" si="27"/>
        <v>0-180 DAYS</v>
      </c>
      <c r="N459" t="s">
        <v>2879</v>
      </c>
      <c r="O459" s="66">
        <v>31900</v>
      </c>
    </row>
    <row r="460" spans="1:15" hidden="1" x14ac:dyDescent="0.35">
      <c r="A460" s="88" t="s">
        <v>1209</v>
      </c>
      <c r="B460" s="88" t="s">
        <v>789</v>
      </c>
      <c r="C460" s="18" t="s">
        <v>125</v>
      </c>
      <c r="D460" s="18" t="s">
        <v>57</v>
      </c>
      <c r="E460" s="18" t="s">
        <v>2819</v>
      </c>
      <c r="F460" s="19">
        <v>45608</v>
      </c>
      <c r="G460" s="18">
        <v>9913.99</v>
      </c>
      <c r="H460" s="37">
        <f t="shared" si="26"/>
        <v>50</v>
      </c>
      <c r="I460" s="37" t="str">
        <f t="shared" si="25"/>
        <v>1-90 DAYS</v>
      </c>
      <c r="J460" s="37" t="str">
        <f t="shared" si="27"/>
        <v>0-180 DAYS</v>
      </c>
      <c r="N460" t="s">
        <v>2887</v>
      </c>
      <c r="O460" s="66">
        <v>9913.99</v>
      </c>
    </row>
    <row r="461" spans="1:15" hidden="1" x14ac:dyDescent="0.35">
      <c r="A461" s="88" t="s">
        <v>1209</v>
      </c>
      <c r="B461" s="88" t="s">
        <v>789</v>
      </c>
      <c r="C461" s="18" t="s">
        <v>125</v>
      </c>
      <c r="D461" s="18" t="s">
        <v>57</v>
      </c>
      <c r="E461" s="18" t="s">
        <v>313</v>
      </c>
      <c r="F461" s="19">
        <v>45608</v>
      </c>
      <c r="G461" s="18">
        <v>3158.95</v>
      </c>
      <c r="H461" s="37">
        <f t="shared" si="26"/>
        <v>50</v>
      </c>
      <c r="I461" s="37" t="str">
        <f t="shared" si="25"/>
        <v>1-90 DAYS</v>
      </c>
      <c r="J461" s="37" t="str">
        <f t="shared" si="27"/>
        <v>0-180 DAYS</v>
      </c>
      <c r="N461" t="s">
        <v>2887</v>
      </c>
      <c r="O461" s="66">
        <v>3158.95</v>
      </c>
    </row>
    <row r="462" spans="1:15" hidden="1" x14ac:dyDescent="0.35">
      <c r="A462" s="88" t="s">
        <v>1209</v>
      </c>
      <c r="B462" s="88" t="s">
        <v>789</v>
      </c>
      <c r="C462" s="18" t="s">
        <v>125</v>
      </c>
      <c r="D462" s="18" t="s">
        <v>57</v>
      </c>
      <c r="E462" s="18" t="s">
        <v>2820</v>
      </c>
      <c r="F462" s="19">
        <v>45608</v>
      </c>
      <c r="G462" s="18">
        <v>239863.45</v>
      </c>
      <c r="H462" s="37">
        <f t="shared" si="26"/>
        <v>50</v>
      </c>
      <c r="I462" s="37" t="str">
        <f t="shared" si="25"/>
        <v>1-90 DAYS</v>
      </c>
      <c r="J462" s="37" t="str">
        <f t="shared" si="27"/>
        <v>0-180 DAYS</v>
      </c>
      <c r="N462" t="s">
        <v>2887</v>
      </c>
      <c r="O462" s="66">
        <v>239863.45</v>
      </c>
    </row>
    <row r="463" spans="1:15" hidden="1" x14ac:dyDescent="0.35">
      <c r="A463" s="88" t="s">
        <v>1209</v>
      </c>
      <c r="B463" s="88" t="s">
        <v>789</v>
      </c>
      <c r="C463" s="18" t="s">
        <v>125</v>
      </c>
      <c r="D463" s="18" t="s">
        <v>57</v>
      </c>
      <c r="E463" s="18" t="s">
        <v>316</v>
      </c>
      <c r="F463" s="19">
        <v>45609</v>
      </c>
      <c r="G463" s="18">
        <v>6367</v>
      </c>
      <c r="H463" s="37">
        <f t="shared" si="26"/>
        <v>49</v>
      </c>
      <c r="I463" s="37" t="str">
        <f t="shared" si="25"/>
        <v>1-90 DAYS</v>
      </c>
      <c r="J463" s="37" t="str">
        <f t="shared" si="27"/>
        <v>0-180 DAYS</v>
      </c>
      <c r="N463" t="s">
        <v>2865</v>
      </c>
      <c r="O463" s="66">
        <v>6367</v>
      </c>
    </row>
    <row r="464" spans="1:15" hidden="1" x14ac:dyDescent="0.35">
      <c r="A464" s="88" t="s">
        <v>1209</v>
      </c>
      <c r="B464" s="88" t="s">
        <v>789</v>
      </c>
      <c r="C464" s="18" t="s">
        <v>125</v>
      </c>
      <c r="D464" s="18" t="s">
        <v>57</v>
      </c>
      <c r="E464" s="18" t="s">
        <v>318</v>
      </c>
      <c r="F464" s="19">
        <v>45609</v>
      </c>
      <c r="G464" s="18">
        <v>2830</v>
      </c>
      <c r="H464" s="37">
        <f t="shared" si="26"/>
        <v>49</v>
      </c>
      <c r="I464" s="37" t="str">
        <f t="shared" si="25"/>
        <v>1-90 DAYS</v>
      </c>
      <c r="J464" s="37" t="str">
        <f t="shared" si="27"/>
        <v>0-180 DAYS</v>
      </c>
      <c r="N464" t="s">
        <v>2865</v>
      </c>
      <c r="O464" s="66">
        <v>2830</v>
      </c>
    </row>
    <row r="465" spans="1:15" hidden="1" x14ac:dyDescent="0.35">
      <c r="A465" s="88" t="s">
        <v>1209</v>
      </c>
      <c r="B465" s="88" t="s">
        <v>789</v>
      </c>
      <c r="C465" s="18" t="s">
        <v>125</v>
      </c>
      <c r="D465" s="18" t="s">
        <v>57</v>
      </c>
      <c r="E465" s="18" t="s">
        <v>319</v>
      </c>
      <c r="F465" s="19">
        <v>45609</v>
      </c>
      <c r="G465" s="18">
        <v>746933.64</v>
      </c>
      <c r="H465" s="37">
        <f t="shared" si="26"/>
        <v>49</v>
      </c>
      <c r="I465" s="37" t="str">
        <f t="shared" si="25"/>
        <v>1-90 DAYS</v>
      </c>
      <c r="J465" s="37" t="str">
        <f t="shared" si="27"/>
        <v>0-180 DAYS</v>
      </c>
      <c r="N465" t="s">
        <v>2865</v>
      </c>
      <c r="O465" s="66">
        <v>746933.64</v>
      </c>
    </row>
    <row r="466" spans="1:15" hidden="1" x14ac:dyDescent="0.35">
      <c r="A466" s="88" t="s">
        <v>1209</v>
      </c>
      <c r="B466" s="88" t="s">
        <v>789</v>
      </c>
      <c r="C466" s="18" t="s">
        <v>125</v>
      </c>
      <c r="D466" s="18" t="s">
        <v>57</v>
      </c>
      <c r="E466" s="18" t="s">
        <v>317</v>
      </c>
      <c r="F466" s="19">
        <v>45610</v>
      </c>
      <c r="G466" s="18">
        <v>36859.39</v>
      </c>
      <c r="H466" s="37">
        <f t="shared" si="26"/>
        <v>48</v>
      </c>
      <c r="I466" s="37" t="str">
        <f t="shared" si="25"/>
        <v>1-90 DAYS</v>
      </c>
      <c r="J466" s="37" t="str">
        <f t="shared" si="27"/>
        <v>0-180 DAYS</v>
      </c>
      <c r="N466" t="s">
        <v>2866</v>
      </c>
      <c r="O466" s="66">
        <v>36859.39</v>
      </c>
    </row>
    <row r="467" spans="1:15" hidden="1" x14ac:dyDescent="0.35">
      <c r="A467" s="88" t="s">
        <v>1209</v>
      </c>
      <c r="B467" s="88" t="s">
        <v>789</v>
      </c>
      <c r="C467" s="18" t="s">
        <v>125</v>
      </c>
      <c r="D467" s="18" t="s">
        <v>57</v>
      </c>
      <c r="E467" s="18" t="s">
        <v>320</v>
      </c>
      <c r="F467" s="19">
        <v>45610</v>
      </c>
      <c r="G467" s="18">
        <v>810984.6</v>
      </c>
      <c r="H467" s="37">
        <f t="shared" si="26"/>
        <v>48</v>
      </c>
      <c r="I467" s="37" t="str">
        <f t="shared" si="25"/>
        <v>1-90 DAYS</v>
      </c>
      <c r="J467" s="37" t="str">
        <f t="shared" si="27"/>
        <v>0-180 DAYS</v>
      </c>
      <c r="N467" t="s">
        <v>2866</v>
      </c>
      <c r="O467" s="66">
        <v>810984.6</v>
      </c>
    </row>
    <row r="468" spans="1:15" hidden="1" x14ac:dyDescent="0.35">
      <c r="A468" s="88" t="s">
        <v>1209</v>
      </c>
      <c r="B468" s="88" t="s">
        <v>789</v>
      </c>
      <c r="C468" s="18" t="s">
        <v>125</v>
      </c>
      <c r="D468" s="18" t="s">
        <v>57</v>
      </c>
      <c r="E468" s="18" t="s">
        <v>323</v>
      </c>
      <c r="F468" s="19">
        <v>45610</v>
      </c>
      <c r="G468" s="18">
        <v>1226.2</v>
      </c>
      <c r="H468" s="37">
        <f t="shared" si="26"/>
        <v>48</v>
      </c>
      <c r="I468" s="37" t="str">
        <f t="shared" si="25"/>
        <v>1-90 DAYS</v>
      </c>
      <c r="J468" s="37" t="str">
        <f t="shared" si="27"/>
        <v>0-180 DAYS</v>
      </c>
      <c r="N468" t="s">
        <v>2866</v>
      </c>
      <c r="O468" s="66">
        <v>1226.2</v>
      </c>
    </row>
    <row r="469" spans="1:15" hidden="1" x14ac:dyDescent="0.35">
      <c r="A469" s="88" t="s">
        <v>1209</v>
      </c>
      <c r="B469" s="88" t="s">
        <v>789</v>
      </c>
      <c r="C469" s="18" t="s">
        <v>125</v>
      </c>
      <c r="D469" s="18" t="s">
        <v>57</v>
      </c>
      <c r="E469" s="18" t="s">
        <v>2821</v>
      </c>
      <c r="F469" s="19">
        <v>45610</v>
      </c>
      <c r="G469" s="18">
        <v>87677.34</v>
      </c>
      <c r="H469" s="37">
        <f t="shared" si="26"/>
        <v>48</v>
      </c>
      <c r="I469" s="37" t="str">
        <f t="shared" si="25"/>
        <v>1-90 DAYS</v>
      </c>
      <c r="J469" s="37" t="str">
        <f t="shared" si="27"/>
        <v>0-180 DAYS</v>
      </c>
      <c r="N469" t="s">
        <v>2866</v>
      </c>
      <c r="O469" s="66">
        <v>87677.34</v>
      </c>
    </row>
    <row r="470" spans="1:15" hidden="1" x14ac:dyDescent="0.35">
      <c r="A470" s="88" t="s">
        <v>1209</v>
      </c>
      <c r="B470" s="88" t="s">
        <v>789</v>
      </c>
      <c r="C470" s="18" t="s">
        <v>125</v>
      </c>
      <c r="D470" s="18" t="s">
        <v>57</v>
      </c>
      <c r="E470" s="18" t="s">
        <v>322</v>
      </c>
      <c r="F470" s="19">
        <v>45610</v>
      </c>
      <c r="G470" s="18">
        <v>31075</v>
      </c>
      <c r="H470" s="37">
        <f t="shared" si="26"/>
        <v>48</v>
      </c>
      <c r="I470" s="37" t="str">
        <f t="shared" ref="I470:I533" si="28">IF(H470&lt;91,"1-90 DAYS",IF(H470&lt;121,"91-120DAYS",IF(H470&lt;181,"121-180 DAYS","More than 180 Days")))</f>
        <v>1-90 DAYS</v>
      </c>
      <c r="J470" s="37" t="str">
        <f t="shared" si="27"/>
        <v>0-180 DAYS</v>
      </c>
      <c r="N470" t="s">
        <v>2866</v>
      </c>
      <c r="O470" s="66">
        <v>31075</v>
      </c>
    </row>
    <row r="471" spans="1:15" hidden="1" x14ac:dyDescent="0.35">
      <c r="A471" s="88" t="s">
        <v>1209</v>
      </c>
      <c r="B471" s="88" t="s">
        <v>789</v>
      </c>
      <c r="C471" s="18" t="s">
        <v>125</v>
      </c>
      <c r="D471" s="18" t="s">
        <v>57</v>
      </c>
      <c r="E471" s="18" t="s">
        <v>325</v>
      </c>
      <c r="F471" s="19">
        <v>45611</v>
      </c>
      <c r="G471" s="18">
        <v>3395.4</v>
      </c>
      <c r="H471" s="37">
        <f t="shared" si="26"/>
        <v>47</v>
      </c>
      <c r="I471" s="37" t="str">
        <f t="shared" si="28"/>
        <v>1-90 DAYS</v>
      </c>
      <c r="J471" s="37" t="str">
        <f t="shared" si="27"/>
        <v>0-180 DAYS</v>
      </c>
      <c r="N471" t="s">
        <v>2867</v>
      </c>
      <c r="O471" s="66">
        <v>3395.4</v>
      </c>
    </row>
    <row r="472" spans="1:15" hidden="1" x14ac:dyDescent="0.35">
      <c r="A472" s="88" t="s">
        <v>1209</v>
      </c>
      <c r="B472" s="88" t="s">
        <v>789</v>
      </c>
      <c r="C472" s="18" t="s">
        <v>125</v>
      </c>
      <c r="D472" s="18" t="s">
        <v>57</v>
      </c>
      <c r="E472" s="18" t="s">
        <v>2822</v>
      </c>
      <c r="F472" s="19">
        <v>45611</v>
      </c>
      <c r="G472" s="18">
        <v>459198.78</v>
      </c>
      <c r="H472" s="37">
        <f t="shared" si="26"/>
        <v>47</v>
      </c>
      <c r="I472" s="37" t="str">
        <f t="shared" si="28"/>
        <v>1-90 DAYS</v>
      </c>
      <c r="J472" s="37" t="str">
        <f t="shared" si="27"/>
        <v>0-180 DAYS</v>
      </c>
      <c r="N472" t="s">
        <v>2867</v>
      </c>
      <c r="O472" s="66">
        <v>459198.78</v>
      </c>
    </row>
    <row r="473" spans="1:15" hidden="1" x14ac:dyDescent="0.35">
      <c r="A473" s="88" t="s">
        <v>1209</v>
      </c>
      <c r="B473" s="88" t="s">
        <v>789</v>
      </c>
      <c r="C473" s="18" t="s">
        <v>125</v>
      </c>
      <c r="D473" s="18" t="s">
        <v>57</v>
      </c>
      <c r="E473" s="18" t="s">
        <v>329</v>
      </c>
      <c r="F473" s="19">
        <v>45612</v>
      </c>
      <c r="G473" s="18">
        <v>71793.960000000006</v>
      </c>
      <c r="H473" s="37">
        <f t="shared" si="26"/>
        <v>46</v>
      </c>
      <c r="I473" s="37" t="str">
        <f t="shared" si="28"/>
        <v>1-90 DAYS</v>
      </c>
      <c r="J473" s="37" t="str">
        <f t="shared" si="27"/>
        <v>0-180 DAYS</v>
      </c>
      <c r="N473" t="s">
        <v>2868</v>
      </c>
      <c r="O473" s="66">
        <v>71793.960000000006</v>
      </c>
    </row>
    <row r="474" spans="1:15" hidden="1" x14ac:dyDescent="0.35">
      <c r="A474" s="88" t="s">
        <v>1209</v>
      </c>
      <c r="B474" s="88" t="s">
        <v>789</v>
      </c>
      <c r="C474" s="18" t="s">
        <v>125</v>
      </c>
      <c r="D474" s="18" t="s">
        <v>57</v>
      </c>
      <c r="E474" s="18" t="s">
        <v>330</v>
      </c>
      <c r="F474" s="19">
        <v>45612</v>
      </c>
      <c r="G474" s="18">
        <v>7187.28</v>
      </c>
      <c r="H474" s="37">
        <f t="shared" si="26"/>
        <v>46</v>
      </c>
      <c r="I474" s="37" t="str">
        <f t="shared" si="28"/>
        <v>1-90 DAYS</v>
      </c>
      <c r="J474" s="37" t="str">
        <f t="shared" si="27"/>
        <v>0-180 DAYS</v>
      </c>
      <c r="N474" t="s">
        <v>2868</v>
      </c>
      <c r="O474" s="66">
        <v>7187.28</v>
      </c>
    </row>
    <row r="475" spans="1:15" hidden="1" x14ac:dyDescent="0.35">
      <c r="A475" s="88" t="s">
        <v>1209</v>
      </c>
      <c r="B475" s="88" t="s">
        <v>789</v>
      </c>
      <c r="C475" s="18" t="s">
        <v>125</v>
      </c>
      <c r="D475" s="18" t="s">
        <v>57</v>
      </c>
      <c r="E475" s="18" t="s">
        <v>332</v>
      </c>
      <c r="F475" s="19">
        <v>45612</v>
      </c>
      <c r="G475" s="18">
        <v>772072.12</v>
      </c>
      <c r="H475" s="37">
        <f t="shared" si="26"/>
        <v>46</v>
      </c>
      <c r="I475" s="37" t="str">
        <f t="shared" si="28"/>
        <v>1-90 DAYS</v>
      </c>
      <c r="J475" s="37" t="str">
        <f t="shared" si="27"/>
        <v>0-180 DAYS</v>
      </c>
      <c r="N475" t="s">
        <v>2868</v>
      </c>
      <c r="O475" s="66">
        <v>772072.12</v>
      </c>
    </row>
    <row r="476" spans="1:15" hidden="1" x14ac:dyDescent="0.35">
      <c r="A476" s="88" t="s">
        <v>1209</v>
      </c>
      <c r="B476" s="88" t="s">
        <v>789</v>
      </c>
      <c r="C476" s="18" t="s">
        <v>125</v>
      </c>
      <c r="D476" s="18" t="s">
        <v>57</v>
      </c>
      <c r="E476" s="18" t="s">
        <v>2823</v>
      </c>
      <c r="F476" s="19">
        <v>45612</v>
      </c>
      <c r="G476" s="18">
        <v>3944.79</v>
      </c>
      <c r="H476" s="37">
        <f t="shared" si="26"/>
        <v>46</v>
      </c>
      <c r="I476" s="37" t="str">
        <f t="shared" si="28"/>
        <v>1-90 DAYS</v>
      </c>
      <c r="J476" s="37" t="str">
        <f t="shared" si="27"/>
        <v>0-180 DAYS</v>
      </c>
      <c r="N476" t="s">
        <v>2868</v>
      </c>
      <c r="O476" s="66">
        <v>3944.79</v>
      </c>
    </row>
    <row r="477" spans="1:15" hidden="1" x14ac:dyDescent="0.35">
      <c r="A477" s="88" t="s">
        <v>1209</v>
      </c>
      <c r="B477" s="88" t="s">
        <v>789</v>
      </c>
      <c r="C477" s="18" t="s">
        <v>125</v>
      </c>
      <c r="D477" s="18" t="s">
        <v>57</v>
      </c>
      <c r="E477" s="18" t="s">
        <v>2824</v>
      </c>
      <c r="F477" s="19">
        <v>45613</v>
      </c>
      <c r="G477" s="18">
        <v>5983.77</v>
      </c>
      <c r="H477" s="37">
        <f t="shared" si="26"/>
        <v>45</v>
      </c>
      <c r="I477" s="37" t="str">
        <f t="shared" si="28"/>
        <v>1-90 DAYS</v>
      </c>
      <c r="J477" s="37" t="str">
        <f t="shared" si="27"/>
        <v>0-180 DAYS</v>
      </c>
      <c r="N477" t="s">
        <v>2869</v>
      </c>
      <c r="O477" s="66">
        <v>5983.77</v>
      </c>
    </row>
    <row r="478" spans="1:15" hidden="1" x14ac:dyDescent="0.35">
      <c r="A478" s="88" t="s">
        <v>1209</v>
      </c>
      <c r="B478" s="88" t="s">
        <v>789</v>
      </c>
      <c r="C478" s="18" t="s">
        <v>125</v>
      </c>
      <c r="D478" s="18" t="s">
        <v>57</v>
      </c>
      <c r="E478" s="18" t="s">
        <v>2825</v>
      </c>
      <c r="F478" s="19">
        <v>45613</v>
      </c>
      <c r="G478" s="18">
        <v>1107239.6000000001</v>
      </c>
      <c r="H478" s="37">
        <f t="shared" si="26"/>
        <v>45</v>
      </c>
      <c r="I478" s="37" t="str">
        <f t="shared" si="28"/>
        <v>1-90 DAYS</v>
      </c>
      <c r="J478" s="37" t="str">
        <f t="shared" si="27"/>
        <v>0-180 DAYS</v>
      </c>
      <c r="N478" t="s">
        <v>2869</v>
      </c>
      <c r="O478" s="66">
        <v>1107239.6000000001</v>
      </c>
    </row>
    <row r="479" spans="1:15" hidden="1" x14ac:dyDescent="0.35">
      <c r="A479" s="88" t="s">
        <v>1209</v>
      </c>
      <c r="B479" s="88" t="s">
        <v>789</v>
      </c>
      <c r="C479" s="18" t="s">
        <v>125</v>
      </c>
      <c r="D479" s="18" t="s">
        <v>57</v>
      </c>
      <c r="E479" s="18" t="s">
        <v>336</v>
      </c>
      <c r="F479" s="19">
        <v>45613</v>
      </c>
      <c r="G479" s="18">
        <v>85674.28</v>
      </c>
      <c r="H479" s="37">
        <f t="shared" si="26"/>
        <v>45</v>
      </c>
      <c r="I479" s="37" t="str">
        <f t="shared" si="28"/>
        <v>1-90 DAYS</v>
      </c>
      <c r="J479" s="37" t="str">
        <f t="shared" si="27"/>
        <v>0-180 DAYS</v>
      </c>
      <c r="N479" t="s">
        <v>2869</v>
      </c>
      <c r="O479" s="66">
        <v>85674.28</v>
      </c>
    </row>
    <row r="480" spans="1:15" hidden="1" x14ac:dyDescent="0.35">
      <c r="A480" s="88" t="s">
        <v>1209</v>
      </c>
      <c r="B480" s="88" t="s">
        <v>789</v>
      </c>
      <c r="C480" s="18" t="s">
        <v>125</v>
      </c>
      <c r="D480" s="18" t="s">
        <v>57</v>
      </c>
      <c r="E480" s="18" t="s">
        <v>2826</v>
      </c>
      <c r="F480" s="19">
        <v>45613</v>
      </c>
      <c r="G480" s="18">
        <v>4046.8</v>
      </c>
      <c r="H480" s="37">
        <f t="shared" si="26"/>
        <v>45</v>
      </c>
      <c r="I480" s="37" t="str">
        <f t="shared" si="28"/>
        <v>1-90 DAYS</v>
      </c>
      <c r="J480" s="37" t="str">
        <f t="shared" si="27"/>
        <v>0-180 DAYS</v>
      </c>
      <c r="N480" t="s">
        <v>2869</v>
      </c>
      <c r="O480" s="66">
        <v>4046.8</v>
      </c>
    </row>
    <row r="481" spans="1:15" hidden="1" x14ac:dyDescent="0.35">
      <c r="A481" s="88" t="s">
        <v>1209</v>
      </c>
      <c r="B481" s="88" t="s">
        <v>789</v>
      </c>
      <c r="C481" s="18" t="s">
        <v>125</v>
      </c>
      <c r="D481" s="18" t="s">
        <v>57</v>
      </c>
      <c r="E481" s="18" t="s">
        <v>2827</v>
      </c>
      <c r="F481" s="19">
        <v>45613</v>
      </c>
      <c r="G481" s="18">
        <v>22550</v>
      </c>
      <c r="H481" s="37">
        <f t="shared" si="26"/>
        <v>45</v>
      </c>
      <c r="I481" s="37" t="str">
        <f t="shared" si="28"/>
        <v>1-90 DAYS</v>
      </c>
      <c r="J481" s="37" t="str">
        <f t="shared" si="27"/>
        <v>0-180 DAYS</v>
      </c>
      <c r="N481" t="s">
        <v>2869</v>
      </c>
      <c r="O481" s="66">
        <v>22550</v>
      </c>
    </row>
    <row r="482" spans="1:15" hidden="1" x14ac:dyDescent="0.35">
      <c r="A482" s="88" t="s">
        <v>1209</v>
      </c>
      <c r="B482" s="88" t="s">
        <v>789</v>
      </c>
      <c r="C482" s="18" t="s">
        <v>125</v>
      </c>
      <c r="D482" s="18" t="s">
        <v>57</v>
      </c>
      <c r="E482" s="18" t="s">
        <v>339</v>
      </c>
      <c r="F482" s="19">
        <v>45614</v>
      </c>
      <c r="G482" s="18">
        <v>1349577.74</v>
      </c>
      <c r="H482" s="37">
        <f t="shared" si="26"/>
        <v>44</v>
      </c>
      <c r="I482" s="37" t="str">
        <f t="shared" si="28"/>
        <v>1-90 DAYS</v>
      </c>
      <c r="J482" s="37" t="str">
        <f t="shared" si="27"/>
        <v>0-180 DAYS</v>
      </c>
      <c r="N482" t="s">
        <v>2870</v>
      </c>
      <c r="O482" s="66">
        <v>1349577.74</v>
      </c>
    </row>
    <row r="483" spans="1:15" hidden="1" x14ac:dyDescent="0.35">
      <c r="A483" s="88" t="s">
        <v>1209</v>
      </c>
      <c r="B483" s="88" t="s">
        <v>789</v>
      </c>
      <c r="C483" s="18" t="s">
        <v>125</v>
      </c>
      <c r="D483" s="18" t="s">
        <v>57</v>
      </c>
      <c r="E483" s="18" t="s">
        <v>340</v>
      </c>
      <c r="F483" s="19">
        <v>45614</v>
      </c>
      <c r="G483" s="18">
        <v>374232.19</v>
      </c>
      <c r="H483" s="37">
        <f t="shared" si="26"/>
        <v>44</v>
      </c>
      <c r="I483" s="37" t="str">
        <f t="shared" si="28"/>
        <v>1-90 DAYS</v>
      </c>
      <c r="J483" s="37" t="str">
        <f t="shared" si="27"/>
        <v>0-180 DAYS</v>
      </c>
      <c r="N483" t="s">
        <v>2870</v>
      </c>
      <c r="O483" s="66">
        <v>374232.19</v>
      </c>
    </row>
    <row r="484" spans="1:15" hidden="1" x14ac:dyDescent="0.35">
      <c r="A484" s="88" t="s">
        <v>1209</v>
      </c>
      <c r="B484" s="88" t="s">
        <v>789</v>
      </c>
      <c r="C484" s="18" t="s">
        <v>125</v>
      </c>
      <c r="D484" s="18" t="s">
        <v>57</v>
      </c>
      <c r="E484" s="18" t="s">
        <v>2828</v>
      </c>
      <c r="F484" s="19">
        <v>45614</v>
      </c>
      <c r="G484" s="18">
        <v>3398.8</v>
      </c>
      <c r="H484" s="37">
        <f t="shared" si="26"/>
        <v>44</v>
      </c>
      <c r="I484" s="37" t="str">
        <f t="shared" si="28"/>
        <v>1-90 DAYS</v>
      </c>
      <c r="J484" s="37" t="str">
        <f t="shared" si="27"/>
        <v>0-180 DAYS</v>
      </c>
      <c r="N484" t="s">
        <v>2870</v>
      </c>
      <c r="O484" s="66">
        <v>3398.8</v>
      </c>
    </row>
    <row r="485" spans="1:15" hidden="1" x14ac:dyDescent="0.35">
      <c r="A485" s="88" t="s">
        <v>1209</v>
      </c>
      <c r="B485" s="88" t="s">
        <v>789</v>
      </c>
      <c r="C485" s="18" t="s">
        <v>125</v>
      </c>
      <c r="D485" s="18" t="s">
        <v>57</v>
      </c>
      <c r="E485" s="18" t="s">
        <v>2829</v>
      </c>
      <c r="F485" s="19">
        <v>45614</v>
      </c>
      <c r="G485" s="18">
        <v>25850</v>
      </c>
      <c r="H485" s="37">
        <f t="shared" si="26"/>
        <v>44</v>
      </c>
      <c r="I485" s="37" t="str">
        <f t="shared" si="28"/>
        <v>1-90 DAYS</v>
      </c>
      <c r="J485" s="37" t="str">
        <f t="shared" si="27"/>
        <v>0-180 DAYS</v>
      </c>
      <c r="N485" t="s">
        <v>2870</v>
      </c>
      <c r="O485" s="66">
        <v>25850</v>
      </c>
    </row>
    <row r="486" spans="1:15" hidden="1" x14ac:dyDescent="0.35">
      <c r="A486" s="88" t="s">
        <v>1209</v>
      </c>
      <c r="B486" s="88" t="s">
        <v>789</v>
      </c>
      <c r="C486" s="18" t="s">
        <v>125</v>
      </c>
      <c r="D486" s="18" t="s">
        <v>57</v>
      </c>
      <c r="E486" s="18" t="s">
        <v>346</v>
      </c>
      <c r="F486" s="19">
        <v>45615</v>
      </c>
      <c r="G486" s="18">
        <v>468801.81</v>
      </c>
      <c r="H486" s="37">
        <f t="shared" si="26"/>
        <v>43</v>
      </c>
      <c r="I486" s="37" t="str">
        <f t="shared" si="28"/>
        <v>1-90 DAYS</v>
      </c>
      <c r="J486" s="37" t="str">
        <f t="shared" si="27"/>
        <v>0-180 DAYS</v>
      </c>
      <c r="N486" t="s">
        <v>2882</v>
      </c>
      <c r="O486" s="66">
        <v>468801.81</v>
      </c>
    </row>
    <row r="487" spans="1:15" hidden="1" x14ac:dyDescent="0.35">
      <c r="A487" s="88" t="s">
        <v>1209</v>
      </c>
      <c r="B487" s="88" t="s">
        <v>789</v>
      </c>
      <c r="C487" s="18" t="s">
        <v>125</v>
      </c>
      <c r="D487" s="18" t="s">
        <v>57</v>
      </c>
      <c r="E487" s="18" t="s">
        <v>2830</v>
      </c>
      <c r="F487" s="19">
        <v>45615</v>
      </c>
      <c r="G487" s="18">
        <v>4753.76</v>
      </c>
      <c r="H487" s="37">
        <f t="shared" si="26"/>
        <v>43</v>
      </c>
      <c r="I487" s="37" t="str">
        <f t="shared" si="28"/>
        <v>1-90 DAYS</v>
      </c>
      <c r="J487" s="37" t="str">
        <f t="shared" si="27"/>
        <v>0-180 DAYS</v>
      </c>
      <c r="N487" t="s">
        <v>2882</v>
      </c>
      <c r="O487" s="66">
        <v>4753.76</v>
      </c>
    </row>
    <row r="488" spans="1:15" hidden="1" x14ac:dyDescent="0.35">
      <c r="A488" s="88" t="s">
        <v>1209</v>
      </c>
      <c r="B488" s="88" t="s">
        <v>789</v>
      </c>
      <c r="C488" s="18" t="s">
        <v>125</v>
      </c>
      <c r="D488" s="18" t="s">
        <v>57</v>
      </c>
      <c r="E488" s="18" t="s">
        <v>348</v>
      </c>
      <c r="F488" s="19">
        <v>45616</v>
      </c>
      <c r="G488" s="18">
        <v>26565.11</v>
      </c>
      <c r="H488" s="37">
        <f t="shared" si="26"/>
        <v>42</v>
      </c>
      <c r="I488" s="37" t="str">
        <f t="shared" si="28"/>
        <v>1-90 DAYS</v>
      </c>
      <c r="J488" s="37" t="str">
        <f t="shared" si="27"/>
        <v>0-180 DAYS</v>
      </c>
      <c r="N488" t="s">
        <v>2883</v>
      </c>
      <c r="O488" s="66">
        <v>26565.11</v>
      </c>
    </row>
    <row r="489" spans="1:15" hidden="1" x14ac:dyDescent="0.35">
      <c r="A489" s="88" t="s">
        <v>1209</v>
      </c>
      <c r="B489" s="88" t="s">
        <v>789</v>
      </c>
      <c r="C489" s="18" t="s">
        <v>125</v>
      </c>
      <c r="D489" s="18" t="s">
        <v>57</v>
      </c>
      <c r="E489" s="18" t="s">
        <v>349</v>
      </c>
      <c r="F489" s="19">
        <v>45616</v>
      </c>
      <c r="G489" s="18">
        <v>403062.78</v>
      </c>
      <c r="H489" s="37">
        <f t="shared" si="26"/>
        <v>42</v>
      </c>
      <c r="I489" s="37" t="str">
        <f t="shared" si="28"/>
        <v>1-90 DAYS</v>
      </c>
      <c r="J489" s="37" t="str">
        <f t="shared" si="27"/>
        <v>0-180 DAYS</v>
      </c>
      <c r="N489" t="s">
        <v>2883</v>
      </c>
      <c r="O489" s="66">
        <v>403062.78</v>
      </c>
    </row>
    <row r="490" spans="1:15" hidden="1" x14ac:dyDescent="0.35">
      <c r="A490" s="88" t="s">
        <v>1209</v>
      </c>
      <c r="B490" s="88" t="s">
        <v>789</v>
      </c>
      <c r="C490" s="18" t="s">
        <v>125</v>
      </c>
      <c r="D490" s="18" t="s">
        <v>57</v>
      </c>
      <c r="E490" s="18" t="s">
        <v>350</v>
      </c>
      <c r="F490" s="19">
        <v>45616</v>
      </c>
      <c r="G490" s="18">
        <v>46571.6</v>
      </c>
      <c r="H490" s="37">
        <f t="shared" si="26"/>
        <v>42</v>
      </c>
      <c r="I490" s="37" t="str">
        <f t="shared" si="28"/>
        <v>1-90 DAYS</v>
      </c>
      <c r="J490" s="37" t="str">
        <f t="shared" si="27"/>
        <v>0-180 DAYS</v>
      </c>
      <c r="N490" t="s">
        <v>2883</v>
      </c>
      <c r="O490" s="66">
        <v>46571.6</v>
      </c>
    </row>
    <row r="491" spans="1:15" hidden="1" x14ac:dyDescent="0.35">
      <c r="A491" s="88" t="s">
        <v>1209</v>
      </c>
      <c r="B491" s="88" t="s">
        <v>789</v>
      </c>
      <c r="C491" s="18" t="s">
        <v>125</v>
      </c>
      <c r="D491" s="18" t="s">
        <v>57</v>
      </c>
      <c r="E491" s="18" t="s">
        <v>351</v>
      </c>
      <c r="F491" s="19">
        <v>45616</v>
      </c>
      <c r="G491" s="18">
        <v>268812</v>
      </c>
      <c r="H491" s="37">
        <f t="shared" si="26"/>
        <v>42</v>
      </c>
      <c r="I491" s="37" t="str">
        <f t="shared" si="28"/>
        <v>1-90 DAYS</v>
      </c>
      <c r="J491" s="37" t="str">
        <f t="shared" si="27"/>
        <v>0-180 DAYS</v>
      </c>
      <c r="N491" t="s">
        <v>2883</v>
      </c>
      <c r="O491" s="66">
        <v>268812</v>
      </c>
    </row>
    <row r="492" spans="1:15" hidden="1" x14ac:dyDescent="0.35">
      <c r="A492" s="88" t="s">
        <v>1209</v>
      </c>
      <c r="B492" s="88" t="s">
        <v>789</v>
      </c>
      <c r="C492" s="18" t="s">
        <v>125</v>
      </c>
      <c r="D492" s="18" t="s">
        <v>57</v>
      </c>
      <c r="E492" s="18" t="s">
        <v>353</v>
      </c>
      <c r="F492" s="19">
        <v>45617</v>
      </c>
      <c r="G492" s="18">
        <v>52269.52</v>
      </c>
      <c r="H492" s="37">
        <f t="shared" si="26"/>
        <v>41</v>
      </c>
      <c r="I492" s="37" t="str">
        <f t="shared" si="28"/>
        <v>1-90 DAYS</v>
      </c>
      <c r="J492" s="37" t="str">
        <f t="shared" si="27"/>
        <v>0-180 DAYS</v>
      </c>
      <c r="N492" t="s">
        <v>2871</v>
      </c>
      <c r="O492" s="66">
        <v>52269.52</v>
      </c>
    </row>
    <row r="493" spans="1:15" hidden="1" x14ac:dyDescent="0.35">
      <c r="A493" s="88" t="s">
        <v>1209</v>
      </c>
      <c r="B493" s="88" t="s">
        <v>789</v>
      </c>
      <c r="C493" s="18" t="s">
        <v>125</v>
      </c>
      <c r="D493" s="18" t="s">
        <v>57</v>
      </c>
      <c r="E493" s="18" t="s">
        <v>2831</v>
      </c>
      <c r="F493" s="19">
        <v>45617</v>
      </c>
      <c r="G493" s="18">
        <v>37184.160000000003</v>
      </c>
      <c r="H493" s="37">
        <f t="shared" si="26"/>
        <v>41</v>
      </c>
      <c r="I493" s="37" t="str">
        <f t="shared" si="28"/>
        <v>1-90 DAYS</v>
      </c>
      <c r="J493" s="37" t="str">
        <f t="shared" si="27"/>
        <v>0-180 DAYS</v>
      </c>
      <c r="N493" t="s">
        <v>2871</v>
      </c>
      <c r="O493" s="66">
        <v>37184.160000000003</v>
      </c>
    </row>
    <row r="494" spans="1:15" hidden="1" x14ac:dyDescent="0.35">
      <c r="A494" s="88" t="s">
        <v>1209</v>
      </c>
      <c r="B494" s="88" t="s">
        <v>789</v>
      </c>
      <c r="C494" s="18" t="s">
        <v>125</v>
      </c>
      <c r="D494" s="18" t="s">
        <v>57</v>
      </c>
      <c r="E494" s="18" t="s">
        <v>357</v>
      </c>
      <c r="F494" s="19">
        <v>45617</v>
      </c>
      <c r="G494" s="18">
        <v>5150.24</v>
      </c>
      <c r="H494" s="37">
        <f t="shared" si="26"/>
        <v>41</v>
      </c>
      <c r="I494" s="37" t="str">
        <f t="shared" si="28"/>
        <v>1-90 DAYS</v>
      </c>
      <c r="J494" s="37" t="str">
        <f t="shared" si="27"/>
        <v>0-180 DAYS</v>
      </c>
      <c r="N494" t="s">
        <v>2871</v>
      </c>
      <c r="O494" s="66">
        <v>5150.24</v>
      </c>
    </row>
    <row r="495" spans="1:15" hidden="1" x14ac:dyDescent="0.35">
      <c r="A495" s="88" t="s">
        <v>1209</v>
      </c>
      <c r="B495" s="88" t="s">
        <v>789</v>
      </c>
      <c r="C495" s="18" t="s">
        <v>125</v>
      </c>
      <c r="D495" s="18" t="s">
        <v>57</v>
      </c>
      <c r="E495" s="18" t="s">
        <v>2832</v>
      </c>
      <c r="F495" s="19">
        <v>45617</v>
      </c>
      <c r="G495" s="18">
        <v>444939.3</v>
      </c>
      <c r="H495" s="37">
        <f t="shared" si="26"/>
        <v>41</v>
      </c>
      <c r="I495" s="37" t="str">
        <f t="shared" si="28"/>
        <v>1-90 DAYS</v>
      </c>
      <c r="J495" s="37" t="str">
        <f t="shared" si="27"/>
        <v>0-180 DAYS</v>
      </c>
      <c r="N495" t="s">
        <v>2871</v>
      </c>
      <c r="O495" s="66">
        <v>444939.3</v>
      </c>
    </row>
    <row r="496" spans="1:15" hidden="1" x14ac:dyDescent="0.35">
      <c r="A496" s="88" t="s">
        <v>1209</v>
      </c>
      <c r="B496" s="88" t="s">
        <v>789</v>
      </c>
      <c r="C496" s="18" t="s">
        <v>125</v>
      </c>
      <c r="D496" s="18" t="s">
        <v>57</v>
      </c>
      <c r="E496" s="18" t="s">
        <v>358</v>
      </c>
      <c r="F496" s="19">
        <v>45618</v>
      </c>
      <c r="G496" s="18">
        <v>166.17</v>
      </c>
      <c r="H496" s="37">
        <f t="shared" si="26"/>
        <v>40</v>
      </c>
      <c r="I496" s="37" t="str">
        <f t="shared" si="28"/>
        <v>1-90 DAYS</v>
      </c>
      <c r="J496" s="37" t="str">
        <f t="shared" si="27"/>
        <v>0-180 DAYS</v>
      </c>
      <c r="N496" t="s">
        <v>2880</v>
      </c>
      <c r="O496" s="66">
        <v>166.17</v>
      </c>
    </row>
    <row r="497" spans="1:15" hidden="1" x14ac:dyDescent="0.35">
      <c r="A497" s="88" t="s">
        <v>1209</v>
      </c>
      <c r="B497" s="88" t="s">
        <v>789</v>
      </c>
      <c r="C497" s="18" t="s">
        <v>125</v>
      </c>
      <c r="D497" s="18" t="s">
        <v>57</v>
      </c>
      <c r="E497" s="18" t="s">
        <v>359</v>
      </c>
      <c r="F497" s="19">
        <v>45618</v>
      </c>
      <c r="G497" s="18">
        <v>48984.71</v>
      </c>
      <c r="H497" s="37">
        <f t="shared" si="26"/>
        <v>40</v>
      </c>
      <c r="I497" s="37" t="str">
        <f t="shared" si="28"/>
        <v>1-90 DAYS</v>
      </c>
      <c r="J497" s="37" t="str">
        <f t="shared" si="27"/>
        <v>0-180 DAYS</v>
      </c>
      <c r="N497" t="s">
        <v>2880</v>
      </c>
      <c r="O497" s="66">
        <v>48984.71</v>
      </c>
    </row>
    <row r="498" spans="1:15" hidden="1" x14ac:dyDescent="0.35">
      <c r="A498" s="88" t="s">
        <v>1209</v>
      </c>
      <c r="B498" s="88" t="s">
        <v>789</v>
      </c>
      <c r="C498" s="18" t="s">
        <v>125</v>
      </c>
      <c r="D498" s="18" t="s">
        <v>57</v>
      </c>
      <c r="E498" s="18" t="s">
        <v>2833</v>
      </c>
      <c r="F498" s="19">
        <v>45618</v>
      </c>
      <c r="G498" s="18">
        <v>439273.86</v>
      </c>
      <c r="H498" s="37">
        <f t="shared" si="26"/>
        <v>40</v>
      </c>
      <c r="I498" s="37" t="str">
        <f t="shared" si="28"/>
        <v>1-90 DAYS</v>
      </c>
      <c r="J498" s="37" t="str">
        <f t="shared" si="27"/>
        <v>0-180 DAYS</v>
      </c>
      <c r="N498" t="s">
        <v>2880</v>
      </c>
      <c r="O498" s="66">
        <v>439273.86</v>
      </c>
    </row>
    <row r="499" spans="1:15" hidden="1" x14ac:dyDescent="0.35">
      <c r="A499" s="88" t="s">
        <v>1209</v>
      </c>
      <c r="B499" s="88" t="s">
        <v>789</v>
      </c>
      <c r="C499" s="18" t="s">
        <v>125</v>
      </c>
      <c r="D499" s="18" t="s">
        <v>57</v>
      </c>
      <c r="E499" s="18" t="s">
        <v>2834</v>
      </c>
      <c r="F499" s="19">
        <v>45618</v>
      </c>
      <c r="G499" s="18">
        <v>3621.96</v>
      </c>
      <c r="H499" s="37">
        <f t="shared" si="26"/>
        <v>40</v>
      </c>
      <c r="I499" s="37" t="str">
        <f t="shared" si="28"/>
        <v>1-90 DAYS</v>
      </c>
      <c r="J499" s="37" t="str">
        <f t="shared" si="27"/>
        <v>0-180 DAYS</v>
      </c>
      <c r="N499" t="s">
        <v>2880</v>
      </c>
      <c r="O499" s="66">
        <v>3621.96</v>
      </c>
    </row>
    <row r="500" spans="1:15" hidden="1" x14ac:dyDescent="0.35">
      <c r="A500" s="88" t="s">
        <v>1209</v>
      </c>
      <c r="B500" s="88" t="s">
        <v>789</v>
      </c>
      <c r="C500" s="18" t="s">
        <v>125</v>
      </c>
      <c r="D500" s="18" t="s">
        <v>57</v>
      </c>
      <c r="E500" s="18" t="s">
        <v>364</v>
      </c>
      <c r="F500" s="19">
        <v>45618</v>
      </c>
      <c r="G500" s="18">
        <v>22000</v>
      </c>
      <c r="H500" s="37">
        <f t="shared" si="26"/>
        <v>40</v>
      </c>
      <c r="I500" s="37" t="str">
        <f t="shared" si="28"/>
        <v>1-90 DAYS</v>
      </c>
      <c r="J500" s="37" t="str">
        <f t="shared" si="27"/>
        <v>0-180 DAYS</v>
      </c>
      <c r="N500" t="s">
        <v>2880</v>
      </c>
      <c r="O500" s="66">
        <v>22000</v>
      </c>
    </row>
    <row r="501" spans="1:15" hidden="1" x14ac:dyDescent="0.35">
      <c r="A501" s="88" t="s">
        <v>1209</v>
      </c>
      <c r="B501" s="88" t="s">
        <v>789</v>
      </c>
      <c r="C501" s="18" t="s">
        <v>125</v>
      </c>
      <c r="D501" s="18" t="s">
        <v>57</v>
      </c>
      <c r="E501" s="18" t="s">
        <v>2835</v>
      </c>
      <c r="F501" s="19">
        <v>45619</v>
      </c>
      <c r="G501" s="18">
        <v>624236.29</v>
      </c>
      <c r="H501" s="37">
        <f t="shared" si="26"/>
        <v>39</v>
      </c>
      <c r="I501" s="37" t="str">
        <f t="shared" si="28"/>
        <v>1-90 DAYS</v>
      </c>
      <c r="J501" s="37" t="str">
        <f t="shared" si="27"/>
        <v>0-180 DAYS</v>
      </c>
      <c r="N501" t="s">
        <v>2872</v>
      </c>
      <c r="O501" s="66">
        <v>624236.29</v>
      </c>
    </row>
    <row r="502" spans="1:15" hidden="1" x14ac:dyDescent="0.35">
      <c r="A502" s="88" t="s">
        <v>1209</v>
      </c>
      <c r="B502" s="88" t="s">
        <v>789</v>
      </c>
      <c r="C502" s="18" t="s">
        <v>125</v>
      </c>
      <c r="D502" s="18" t="s">
        <v>57</v>
      </c>
      <c r="E502" s="18" t="s">
        <v>363</v>
      </c>
      <c r="F502" s="19">
        <v>45619</v>
      </c>
      <c r="G502" s="18">
        <v>111337.34</v>
      </c>
      <c r="H502" s="37">
        <f t="shared" si="26"/>
        <v>39</v>
      </c>
      <c r="I502" s="37" t="str">
        <f t="shared" si="28"/>
        <v>1-90 DAYS</v>
      </c>
      <c r="J502" s="37" t="str">
        <f t="shared" si="27"/>
        <v>0-180 DAYS</v>
      </c>
      <c r="N502" t="s">
        <v>2872</v>
      </c>
      <c r="O502" s="66">
        <v>111337.34</v>
      </c>
    </row>
    <row r="503" spans="1:15" hidden="1" x14ac:dyDescent="0.35">
      <c r="A503" s="88" t="s">
        <v>1209</v>
      </c>
      <c r="B503" s="88" t="s">
        <v>789</v>
      </c>
      <c r="C503" s="18" t="s">
        <v>125</v>
      </c>
      <c r="D503" s="18" t="s">
        <v>57</v>
      </c>
      <c r="E503" s="18" t="s">
        <v>366</v>
      </c>
      <c r="F503" s="19">
        <v>45620</v>
      </c>
      <c r="G503" s="18">
        <v>495414.57</v>
      </c>
      <c r="H503" s="37">
        <f t="shared" si="26"/>
        <v>38</v>
      </c>
      <c r="I503" s="37" t="str">
        <f t="shared" si="28"/>
        <v>1-90 DAYS</v>
      </c>
      <c r="J503" s="37" t="str">
        <f t="shared" si="27"/>
        <v>0-180 DAYS</v>
      </c>
      <c r="N503" t="s">
        <v>2873</v>
      </c>
      <c r="O503" s="66">
        <v>495414.57</v>
      </c>
    </row>
    <row r="504" spans="1:15" hidden="1" x14ac:dyDescent="0.35">
      <c r="A504" s="88" t="s">
        <v>1209</v>
      </c>
      <c r="B504" s="88" t="s">
        <v>789</v>
      </c>
      <c r="C504" s="18" t="s">
        <v>125</v>
      </c>
      <c r="D504" s="18" t="s">
        <v>57</v>
      </c>
      <c r="E504" s="18" t="s">
        <v>365</v>
      </c>
      <c r="F504" s="19">
        <v>45620</v>
      </c>
      <c r="G504" s="18">
        <v>47575</v>
      </c>
      <c r="H504" s="37">
        <f t="shared" si="26"/>
        <v>38</v>
      </c>
      <c r="I504" s="37" t="str">
        <f t="shared" si="28"/>
        <v>1-90 DAYS</v>
      </c>
      <c r="J504" s="37" t="str">
        <f t="shared" si="27"/>
        <v>0-180 DAYS</v>
      </c>
      <c r="N504" t="s">
        <v>2873</v>
      </c>
      <c r="O504" s="66">
        <v>47575</v>
      </c>
    </row>
    <row r="505" spans="1:15" hidden="1" x14ac:dyDescent="0.35">
      <c r="A505" s="88" t="s">
        <v>1209</v>
      </c>
      <c r="B505" s="88" t="s">
        <v>789</v>
      </c>
      <c r="C505" s="18" t="s">
        <v>125</v>
      </c>
      <c r="D505" s="18" t="s">
        <v>57</v>
      </c>
      <c r="E505" s="18" t="s">
        <v>371</v>
      </c>
      <c r="F505" s="19">
        <v>45621</v>
      </c>
      <c r="G505" s="18">
        <v>655839.30000000005</v>
      </c>
      <c r="H505" s="37">
        <f t="shared" si="26"/>
        <v>37</v>
      </c>
      <c r="I505" s="37" t="str">
        <f t="shared" si="28"/>
        <v>1-90 DAYS</v>
      </c>
      <c r="J505" s="37" t="str">
        <f t="shared" si="27"/>
        <v>0-180 DAYS</v>
      </c>
      <c r="N505" t="s">
        <v>2874</v>
      </c>
      <c r="O505" s="66">
        <v>655839.30000000005</v>
      </c>
    </row>
    <row r="506" spans="1:15" hidden="1" x14ac:dyDescent="0.35">
      <c r="A506" s="88" t="s">
        <v>1209</v>
      </c>
      <c r="B506" s="88" t="s">
        <v>789</v>
      </c>
      <c r="C506" s="18" t="s">
        <v>125</v>
      </c>
      <c r="D506" s="18" t="s">
        <v>57</v>
      </c>
      <c r="E506" s="18" t="s">
        <v>370</v>
      </c>
      <c r="F506" s="19">
        <v>45621</v>
      </c>
      <c r="G506" s="18">
        <v>469907.22</v>
      </c>
      <c r="H506" s="37">
        <f t="shared" si="26"/>
        <v>37</v>
      </c>
      <c r="I506" s="37" t="str">
        <f t="shared" si="28"/>
        <v>1-90 DAYS</v>
      </c>
      <c r="J506" s="37" t="str">
        <f t="shared" si="27"/>
        <v>0-180 DAYS</v>
      </c>
      <c r="N506" t="s">
        <v>2874</v>
      </c>
      <c r="O506" s="66">
        <v>469907.22</v>
      </c>
    </row>
    <row r="507" spans="1:15" hidden="1" x14ac:dyDescent="0.35">
      <c r="A507" s="88" t="s">
        <v>1209</v>
      </c>
      <c r="B507" s="88" t="s">
        <v>789</v>
      </c>
      <c r="C507" s="18" t="s">
        <v>125</v>
      </c>
      <c r="D507" s="18" t="s">
        <v>57</v>
      </c>
      <c r="E507" s="18" t="s">
        <v>372</v>
      </c>
      <c r="F507" s="19">
        <v>45621</v>
      </c>
      <c r="G507" s="18">
        <v>2660.08</v>
      </c>
      <c r="H507" s="37">
        <f t="shared" si="26"/>
        <v>37</v>
      </c>
      <c r="I507" s="37" t="str">
        <f t="shared" si="28"/>
        <v>1-90 DAYS</v>
      </c>
      <c r="J507" s="37" t="str">
        <f t="shared" si="27"/>
        <v>0-180 DAYS</v>
      </c>
      <c r="N507" t="s">
        <v>2874</v>
      </c>
      <c r="O507" s="66">
        <v>2660.08</v>
      </c>
    </row>
    <row r="508" spans="1:15" hidden="1" x14ac:dyDescent="0.35">
      <c r="A508" s="88" t="s">
        <v>1209</v>
      </c>
      <c r="B508" s="88" t="s">
        <v>789</v>
      </c>
      <c r="C508" s="18" t="s">
        <v>125</v>
      </c>
      <c r="D508" s="18" t="s">
        <v>57</v>
      </c>
      <c r="E508" s="18" t="s">
        <v>374</v>
      </c>
      <c r="F508" s="19">
        <v>45622</v>
      </c>
      <c r="G508" s="18">
        <v>100735.07</v>
      </c>
      <c r="H508" s="37">
        <f t="shared" si="26"/>
        <v>36</v>
      </c>
      <c r="I508" s="37" t="str">
        <f t="shared" si="28"/>
        <v>1-90 DAYS</v>
      </c>
      <c r="J508" s="37" t="str">
        <f t="shared" si="27"/>
        <v>0-180 DAYS</v>
      </c>
      <c r="N508" t="s">
        <v>2875</v>
      </c>
      <c r="O508" s="66">
        <v>100735.07</v>
      </c>
    </row>
    <row r="509" spans="1:15" hidden="1" x14ac:dyDescent="0.35">
      <c r="A509" s="88" t="s">
        <v>1209</v>
      </c>
      <c r="B509" s="88" t="s">
        <v>789</v>
      </c>
      <c r="C509" s="18" t="s">
        <v>125</v>
      </c>
      <c r="D509" s="18" t="s">
        <v>57</v>
      </c>
      <c r="E509" s="18" t="s">
        <v>375</v>
      </c>
      <c r="F509" s="19">
        <v>45622</v>
      </c>
      <c r="G509" s="18">
        <v>105756</v>
      </c>
      <c r="H509" s="37">
        <f t="shared" si="26"/>
        <v>36</v>
      </c>
      <c r="I509" s="37" t="str">
        <f t="shared" si="28"/>
        <v>1-90 DAYS</v>
      </c>
      <c r="J509" s="37" t="str">
        <f t="shared" si="27"/>
        <v>0-180 DAYS</v>
      </c>
      <c r="N509" t="s">
        <v>2875</v>
      </c>
      <c r="O509" s="66">
        <v>105756</v>
      </c>
    </row>
    <row r="510" spans="1:15" hidden="1" x14ac:dyDescent="0.35">
      <c r="A510" s="88" t="s">
        <v>1209</v>
      </c>
      <c r="B510" s="88" t="s">
        <v>789</v>
      </c>
      <c r="C510" s="18" t="s">
        <v>125</v>
      </c>
      <c r="D510" s="18" t="s">
        <v>57</v>
      </c>
      <c r="E510" s="18" t="s">
        <v>2836</v>
      </c>
      <c r="F510" s="19">
        <v>45622</v>
      </c>
      <c r="G510" s="18">
        <v>194171.46</v>
      </c>
      <c r="H510" s="37">
        <f t="shared" si="26"/>
        <v>36</v>
      </c>
      <c r="I510" s="37" t="str">
        <f t="shared" si="28"/>
        <v>1-90 DAYS</v>
      </c>
      <c r="J510" s="37" t="str">
        <f t="shared" si="27"/>
        <v>0-180 DAYS</v>
      </c>
      <c r="N510" t="s">
        <v>2875</v>
      </c>
      <c r="O510" s="66">
        <v>194171.46</v>
      </c>
    </row>
    <row r="511" spans="1:15" hidden="1" x14ac:dyDescent="0.35">
      <c r="A511" s="88" t="s">
        <v>1209</v>
      </c>
      <c r="B511" s="88" t="s">
        <v>789</v>
      </c>
      <c r="C511" s="18" t="s">
        <v>125</v>
      </c>
      <c r="D511" s="18" t="s">
        <v>57</v>
      </c>
      <c r="E511" s="18" t="s">
        <v>382</v>
      </c>
      <c r="F511" s="19">
        <v>45623</v>
      </c>
      <c r="G511" s="18">
        <v>42414.36</v>
      </c>
      <c r="H511" s="37">
        <f t="shared" si="26"/>
        <v>35</v>
      </c>
      <c r="I511" s="37" t="str">
        <f t="shared" si="28"/>
        <v>1-90 DAYS</v>
      </c>
      <c r="J511" s="37" t="str">
        <f t="shared" si="27"/>
        <v>0-180 DAYS</v>
      </c>
      <c r="N511" t="s">
        <v>2876</v>
      </c>
      <c r="O511" s="66">
        <v>42414.36</v>
      </c>
    </row>
    <row r="512" spans="1:15" hidden="1" x14ac:dyDescent="0.35">
      <c r="A512" s="88" t="s">
        <v>1209</v>
      </c>
      <c r="B512" s="88" t="s">
        <v>789</v>
      </c>
      <c r="C512" s="18" t="s">
        <v>125</v>
      </c>
      <c r="D512" s="18" t="s">
        <v>57</v>
      </c>
      <c r="E512" s="18" t="s">
        <v>384</v>
      </c>
      <c r="F512" s="19">
        <v>45623</v>
      </c>
      <c r="G512" s="18">
        <v>1330387.1200000001</v>
      </c>
      <c r="H512" s="37">
        <f t="shared" si="26"/>
        <v>35</v>
      </c>
      <c r="I512" s="37" t="str">
        <f t="shared" si="28"/>
        <v>1-90 DAYS</v>
      </c>
      <c r="J512" s="37" t="str">
        <f t="shared" si="27"/>
        <v>0-180 DAYS</v>
      </c>
      <c r="N512" t="s">
        <v>2876</v>
      </c>
      <c r="O512" s="66">
        <v>1330387.1200000001</v>
      </c>
    </row>
    <row r="513" spans="1:15" hidden="1" x14ac:dyDescent="0.35">
      <c r="A513" s="88" t="s">
        <v>1209</v>
      </c>
      <c r="B513" s="88" t="s">
        <v>789</v>
      </c>
      <c r="C513" s="18" t="s">
        <v>125</v>
      </c>
      <c r="D513" s="18" t="s">
        <v>57</v>
      </c>
      <c r="E513" s="18" t="s">
        <v>385</v>
      </c>
      <c r="F513" s="19">
        <v>45623</v>
      </c>
      <c r="G513" s="18">
        <v>5885.56</v>
      </c>
      <c r="H513" s="37">
        <f t="shared" si="26"/>
        <v>35</v>
      </c>
      <c r="I513" s="37" t="str">
        <f t="shared" si="28"/>
        <v>1-90 DAYS</v>
      </c>
      <c r="J513" s="37" t="str">
        <f t="shared" si="27"/>
        <v>0-180 DAYS</v>
      </c>
      <c r="N513" t="s">
        <v>2876</v>
      </c>
      <c r="O513" s="66">
        <v>5885.56</v>
      </c>
    </row>
    <row r="514" spans="1:15" hidden="1" x14ac:dyDescent="0.35">
      <c r="A514" s="88" t="s">
        <v>1209</v>
      </c>
      <c r="B514" s="88" t="s">
        <v>789</v>
      </c>
      <c r="C514" s="18" t="s">
        <v>125</v>
      </c>
      <c r="D514" s="18" t="s">
        <v>57</v>
      </c>
      <c r="E514" s="18" t="s">
        <v>390</v>
      </c>
      <c r="F514" s="19">
        <v>45623</v>
      </c>
      <c r="G514" s="18">
        <v>89604</v>
      </c>
      <c r="H514" s="37">
        <f t="shared" si="26"/>
        <v>35</v>
      </c>
      <c r="I514" s="37" t="str">
        <f t="shared" si="28"/>
        <v>1-90 DAYS</v>
      </c>
      <c r="J514" s="37" t="str">
        <f t="shared" si="27"/>
        <v>0-180 DAYS</v>
      </c>
      <c r="N514" t="s">
        <v>2876</v>
      </c>
      <c r="O514" s="66">
        <v>89604</v>
      </c>
    </row>
    <row r="515" spans="1:15" hidden="1" x14ac:dyDescent="0.35">
      <c r="A515" s="88" t="s">
        <v>1209</v>
      </c>
      <c r="B515" s="88" t="s">
        <v>789</v>
      </c>
      <c r="C515" s="18" t="s">
        <v>125</v>
      </c>
      <c r="D515" s="18" t="s">
        <v>57</v>
      </c>
      <c r="E515" s="18" t="s">
        <v>392</v>
      </c>
      <c r="F515" s="19">
        <v>45624</v>
      </c>
      <c r="G515" s="18">
        <v>51706.1</v>
      </c>
      <c r="H515" s="37">
        <f t="shared" si="26"/>
        <v>34</v>
      </c>
      <c r="I515" s="37" t="str">
        <f t="shared" si="28"/>
        <v>1-90 DAYS</v>
      </c>
      <c r="J515" s="37" t="str">
        <f t="shared" si="27"/>
        <v>0-180 DAYS</v>
      </c>
      <c r="N515" t="s">
        <v>2881</v>
      </c>
      <c r="O515" s="66">
        <v>51706.1</v>
      </c>
    </row>
    <row r="516" spans="1:15" hidden="1" x14ac:dyDescent="0.35">
      <c r="A516" s="88" t="s">
        <v>1209</v>
      </c>
      <c r="B516" s="88" t="s">
        <v>789</v>
      </c>
      <c r="C516" s="18" t="s">
        <v>125</v>
      </c>
      <c r="D516" s="18" t="s">
        <v>57</v>
      </c>
      <c r="E516" s="18" t="s">
        <v>491</v>
      </c>
      <c r="F516" s="19">
        <v>45624</v>
      </c>
      <c r="G516" s="18">
        <v>334694.75</v>
      </c>
      <c r="H516" s="37">
        <f t="shared" si="26"/>
        <v>34</v>
      </c>
      <c r="I516" s="37" t="str">
        <f t="shared" si="28"/>
        <v>1-90 DAYS</v>
      </c>
      <c r="J516" s="37" t="str">
        <f t="shared" si="27"/>
        <v>0-180 DAYS</v>
      </c>
      <c r="N516" t="s">
        <v>2881</v>
      </c>
      <c r="O516" s="66">
        <v>334694.75</v>
      </c>
    </row>
    <row r="517" spans="1:15" hidden="1" x14ac:dyDescent="0.35">
      <c r="A517" s="88" t="s">
        <v>1209</v>
      </c>
      <c r="B517" s="88" t="s">
        <v>789</v>
      </c>
      <c r="C517" s="18" t="s">
        <v>125</v>
      </c>
      <c r="D517" s="18" t="s">
        <v>57</v>
      </c>
      <c r="E517" s="18" t="s">
        <v>393</v>
      </c>
      <c r="F517" s="19">
        <v>45624</v>
      </c>
      <c r="G517" s="18">
        <v>1131.8</v>
      </c>
      <c r="H517" s="37">
        <f t="shared" ref="H517:H580" si="29">$H$2-F517+1</f>
        <v>34</v>
      </c>
      <c r="I517" s="37" t="str">
        <f t="shared" si="28"/>
        <v>1-90 DAYS</v>
      </c>
      <c r="J517" s="37" t="str">
        <f t="shared" si="27"/>
        <v>0-180 DAYS</v>
      </c>
      <c r="N517" t="s">
        <v>2881</v>
      </c>
      <c r="O517" s="66">
        <v>1131.8</v>
      </c>
    </row>
    <row r="518" spans="1:15" hidden="1" x14ac:dyDescent="0.35">
      <c r="A518" s="88" t="s">
        <v>1209</v>
      </c>
      <c r="B518" s="88" t="s">
        <v>789</v>
      </c>
      <c r="C518" s="18" t="s">
        <v>125</v>
      </c>
      <c r="D518" s="18" t="s">
        <v>57</v>
      </c>
      <c r="E518" s="18" t="s">
        <v>394</v>
      </c>
      <c r="F518" s="19">
        <v>45624</v>
      </c>
      <c r="G518" s="18">
        <v>26950</v>
      </c>
      <c r="H518" s="37">
        <f t="shared" si="29"/>
        <v>34</v>
      </c>
      <c r="I518" s="37" t="str">
        <f t="shared" si="28"/>
        <v>1-90 DAYS</v>
      </c>
      <c r="J518" s="37" t="str">
        <f t="shared" ref="J518:J581" si="30">IF(H518&lt;180,"0-180 DAYS","More than 180 Days")</f>
        <v>0-180 DAYS</v>
      </c>
      <c r="N518" t="s">
        <v>2881</v>
      </c>
      <c r="O518" s="66">
        <v>26950</v>
      </c>
    </row>
    <row r="519" spans="1:15" hidden="1" x14ac:dyDescent="0.35">
      <c r="A519" s="88" t="s">
        <v>1209</v>
      </c>
      <c r="B519" s="88" t="s">
        <v>789</v>
      </c>
      <c r="C519" s="18" t="s">
        <v>125</v>
      </c>
      <c r="D519" s="18" t="s">
        <v>57</v>
      </c>
      <c r="E519" s="18" t="s">
        <v>401</v>
      </c>
      <c r="F519" s="19">
        <v>45625</v>
      </c>
      <c r="G519" s="18">
        <v>23068.84</v>
      </c>
      <c r="H519" s="37">
        <f t="shared" si="29"/>
        <v>33</v>
      </c>
      <c r="I519" s="37" t="str">
        <f t="shared" si="28"/>
        <v>1-90 DAYS</v>
      </c>
      <c r="J519" s="37" t="str">
        <f t="shared" si="30"/>
        <v>0-180 DAYS</v>
      </c>
      <c r="N519" t="s">
        <v>2877</v>
      </c>
      <c r="O519" s="66">
        <v>23068.84</v>
      </c>
    </row>
    <row r="520" spans="1:15" hidden="1" x14ac:dyDescent="0.35">
      <c r="A520" s="88" t="s">
        <v>1209</v>
      </c>
      <c r="B520" s="88" t="s">
        <v>789</v>
      </c>
      <c r="C520" s="18" t="s">
        <v>125</v>
      </c>
      <c r="D520" s="18" t="s">
        <v>57</v>
      </c>
      <c r="E520" s="18" t="s">
        <v>402</v>
      </c>
      <c r="F520" s="19">
        <v>45625</v>
      </c>
      <c r="G520" s="18">
        <v>444630.23</v>
      </c>
      <c r="H520" s="37">
        <f t="shared" si="29"/>
        <v>33</v>
      </c>
      <c r="I520" s="37" t="str">
        <f t="shared" si="28"/>
        <v>1-90 DAYS</v>
      </c>
      <c r="J520" s="37" t="str">
        <f t="shared" si="30"/>
        <v>0-180 DAYS</v>
      </c>
      <c r="N520" t="s">
        <v>2877</v>
      </c>
      <c r="O520" s="66">
        <v>444630.23</v>
      </c>
    </row>
    <row r="521" spans="1:15" hidden="1" x14ac:dyDescent="0.35">
      <c r="A521" s="88" t="s">
        <v>1209</v>
      </c>
      <c r="B521" s="88" t="s">
        <v>789</v>
      </c>
      <c r="C521" s="18" t="s">
        <v>125</v>
      </c>
      <c r="D521" s="18" t="s">
        <v>57</v>
      </c>
      <c r="E521" s="18" t="s">
        <v>2837</v>
      </c>
      <c r="F521" s="19">
        <v>45626</v>
      </c>
      <c r="G521" s="18">
        <v>726264</v>
      </c>
      <c r="H521" s="37">
        <f t="shared" si="29"/>
        <v>32</v>
      </c>
      <c r="I521" s="37" t="str">
        <f t="shared" si="28"/>
        <v>1-90 DAYS</v>
      </c>
      <c r="J521" s="37" t="str">
        <f t="shared" si="30"/>
        <v>0-180 DAYS</v>
      </c>
      <c r="N521" t="s">
        <v>2860</v>
      </c>
      <c r="O521" s="66">
        <v>726264</v>
      </c>
    </row>
    <row r="522" spans="1:15" hidden="1" x14ac:dyDescent="0.35">
      <c r="A522" s="88" t="s">
        <v>1209</v>
      </c>
      <c r="B522" s="88" t="s">
        <v>789</v>
      </c>
      <c r="C522" s="18" t="s">
        <v>125</v>
      </c>
      <c r="D522" s="18" t="s">
        <v>57</v>
      </c>
      <c r="E522" s="18" t="s">
        <v>2838</v>
      </c>
      <c r="F522" s="19">
        <v>45626</v>
      </c>
      <c r="G522" s="18">
        <v>24176</v>
      </c>
      <c r="H522" s="37">
        <f t="shared" si="29"/>
        <v>32</v>
      </c>
      <c r="I522" s="37" t="str">
        <f t="shared" si="28"/>
        <v>1-90 DAYS</v>
      </c>
      <c r="J522" s="37" t="str">
        <f t="shared" si="30"/>
        <v>0-180 DAYS</v>
      </c>
      <c r="N522" t="s">
        <v>2860</v>
      </c>
      <c r="O522" s="66">
        <v>24176</v>
      </c>
    </row>
    <row r="523" spans="1:15" hidden="1" x14ac:dyDescent="0.35">
      <c r="A523" s="88" t="s">
        <v>1209</v>
      </c>
      <c r="B523" s="88" t="s">
        <v>789</v>
      </c>
      <c r="C523" s="18" t="s">
        <v>125</v>
      </c>
      <c r="D523" s="18" t="s">
        <v>57</v>
      </c>
      <c r="E523" s="18" t="s">
        <v>405</v>
      </c>
      <c r="F523" s="19">
        <v>45626</v>
      </c>
      <c r="G523" s="18">
        <v>179208</v>
      </c>
      <c r="H523" s="37">
        <f t="shared" si="29"/>
        <v>32</v>
      </c>
      <c r="I523" s="37" t="str">
        <f t="shared" si="28"/>
        <v>1-90 DAYS</v>
      </c>
      <c r="J523" s="37" t="str">
        <f t="shared" si="30"/>
        <v>0-180 DAYS</v>
      </c>
      <c r="N523" t="s">
        <v>2860</v>
      </c>
      <c r="O523" s="66">
        <v>179208</v>
      </c>
    </row>
    <row r="524" spans="1:15" hidden="1" x14ac:dyDescent="0.35">
      <c r="A524" s="88" t="s">
        <v>1209</v>
      </c>
      <c r="B524" s="88" t="s">
        <v>789</v>
      </c>
      <c r="C524" s="18" t="s">
        <v>125</v>
      </c>
      <c r="D524" s="18" t="s">
        <v>57</v>
      </c>
      <c r="E524" s="18" t="s">
        <v>403</v>
      </c>
      <c r="F524" s="19">
        <v>45626</v>
      </c>
      <c r="G524" s="18">
        <v>613292.56999999995</v>
      </c>
      <c r="H524" s="37">
        <f t="shared" si="29"/>
        <v>32</v>
      </c>
      <c r="I524" s="37" t="str">
        <f t="shared" si="28"/>
        <v>1-90 DAYS</v>
      </c>
      <c r="J524" s="37" t="str">
        <f t="shared" si="30"/>
        <v>0-180 DAYS</v>
      </c>
      <c r="N524" t="s">
        <v>2860</v>
      </c>
      <c r="O524" s="66">
        <v>613292.56999999995</v>
      </c>
    </row>
    <row r="525" spans="1:15" hidden="1" x14ac:dyDescent="0.35">
      <c r="A525" s="88" t="s">
        <v>1209</v>
      </c>
      <c r="B525" s="88" t="s">
        <v>789</v>
      </c>
      <c r="C525" s="18" t="s">
        <v>125</v>
      </c>
      <c r="D525" s="18" t="s">
        <v>57</v>
      </c>
      <c r="E525" s="18" t="s">
        <v>404</v>
      </c>
      <c r="F525" s="19">
        <v>45626</v>
      </c>
      <c r="G525" s="18">
        <v>3905.16</v>
      </c>
      <c r="H525" s="37">
        <f t="shared" si="29"/>
        <v>32</v>
      </c>
      <c r="I525" s="37" t="str">
        <f t="shared" si="28"/>
        <v>1-90 DAYS</v>
      </c>
      <c r="J525" s="37" t="str">
        <f t="shared" si="30"/>
        <v>0-180 DAYS</v>
      </c>
      <c r="N525" t="s">
        <v>2860</v>
      </c>
      <c r="O525" s="66">
        <v>3905.16</v>
      </c>
    </row>
    <row r="526" spans="1:15" hidden="1" x14ac:dyDescent="0.35">
      <c r="A526" s="88" t="s">
        <v>1209</v>
      </c>
      <c r="B526" s="88" t="s">
        <v>789</v>
      </c>
      <c r="C526" s="18" t="s">
        <v>125</v>
      </c>
      <c r="D526" s="18" t="s">
        <v>57</v>
      </c>
      <c r="E526" s="18" t="s">
        <v>2839</v>
      </c>
      <c r="F526" s="19">
        <v>45626</v>
      </c>
      <c r="G526" s="18">
        <v>891833.89</v>
      </c>
      <c r="H526" s="37">
        <f t="shared" si="29"/>
        <v>32</v>
      </c>
      <c r="I526" s="37" t="str">
        <f t="shared" si="28"/>
        <v>1-90 DAYS</v>
      </c>
      <c r="J526" s="37" t="str">
        <f t="shared" si="30"/>
        <v>0-180 DAYS</v>
      </c>
      <c r="N526" t="s">
        <v>2860</v>
      </c>
      <c r="O526" s="66">
        <v>891833.89</v>
      </c>
    </row>
    <row r="527" spans="1:15" hidden="1" x14ac:dyDescent="0.35">
      <c r="A527" s="88" t="s">
        <v>1209</v>
      </c>
      <c r="B527" s="88" t="s">
        <v>789</v>
      </c>
      <c r="C527" s="18" t="s">
        <v>125</v>
      </c>
      <c r="D527" s="18" t="s">
        <v>57</v>
      </c>
      <c r="E527" s="18" t="s">
        <v>2840</v>
      </c>
      <c r="F527" s="19">
        <v>45603</v>
      </c>
      <c r="G527" s="18">
        <v>405336.3</v>
      </c>
      <c r="H527" s="37">
        <f t="shared" si="29"/>
        <v>55</v>
      </c>
      <c r="I527" s="37" t="str">
        <f t="shared" si="28"/>
        <v>1-90 DAYS</v>
      </c>
      <c r="J527" s="37" t="str">
        <f t="shared" si="30"/>
        <v>0-180 DAYS</v>
      </c>
      <c r="N527" t="s">
        <v>2878</v>
      </c>
      <c r="O527" s="66">
        <v>405336.3</v>
      </c>
    </row>
    <row r="528" spans="1:15" hidden="1" x14ac:dyDescent="0.35">
      <c r="A528" s="88" t="s">
        <v>1209</v>
      </c>
      <c r="B528" s="88" t="s">
        <v>789</v>
      </c>
      <c r="C528" s="18" t="s">
        <v>125</v>
      </c>
      <c r="D528" s="18" t="s">
        <v>57</v>
      </c>
      <c r="E528" s="18" t="s">
        <v>2841</v>
      </c>
      <c r="F528" s="19">
        <v>45603</v>
      </c>
      <c r="G528" s="18">
        <v>1031044.84</v>
      </c>
      <c r="H528" s="37">
        <f t="shared" si="29"/>
        <v>55</v>
      </c>
      <c r="I528" s="37" t="str">
        <f t="shared" si="28"/>
        <v>1-90 DAYS</v>
      </c>
      <c r="J528" s="37" t="str">
        <f t="shared" si="30"/>
        <v>0-180 DAYS</v>
      </c>
      <c r="N528" t="s">
        <v>2878</v>
      </c>
      <c r="O528" s="66">
        <v>1031044.84</v>
      </c>
    </row>
    <row r="529" spans="1:15" hidden="1" x14ac:dyDescent="0.35">
      <c r="A529" s="88" t="s">
        <v>1209</v>
      </c>
      <c r="B529" s="88" t="s">
        <v>789</v>
      </c>
      <c r="C529" s="18" t="s">
        <v>125</v>
      </c>
      <c r="D529" s="18" t="s">
        <v>57</v>
      </c>
      <c r="E529" s="18" t="s">
        <v>2842</v>
      </c>
      <c r="F529" s="19">
        <v>45603</v>
      </c>
      <c r="G529" s="18">
        <v>5772.38</v>
      </c>
      <c r="H529" s="37">
        <f t="shared" si="29"/>
        <v>55</v>
      </c>
      <c r="I529" s="37" t="str">
        <f t="shared" si="28"/>
        <v>1-90 DAYS</v>
      </c>
      <c r="J529" s="37" t="str">
        <f t="shared" si="30"/>
        <v>0-180 DAYS</v>
      </c>
      <c r="N529" t="s">
        <v>2878</v>
      </c>
      <c r="O529" s="66">
        <v>5772.38</v>
      </c>
    </row>
    <row r="530" spans="1:15" hidden="1" x14ac:dyDescent="0.35">
      <c r="A530" s="88" t="s">
        <v>1209</v>
      </c>
      <c r="B530" s="88" t="s">
        <v>789</v>
      </c>
      <c r="C530" s="18" t="s">
        <v>125</v>
      </c>
      <c r="D530" s="18" t="s">
        <v>57</v>
      </c>
      <c r="E530" s="18" t="s">
        <v>2843</v>
      </c>
      <c r="F530" s="19">
        <v>45605</v>
      </c>
      <c r="G530" s="18">
        <v>3839423.63</v>
      </c>
      <c r="H530" s="37">
        <f t="shared" si="29"/>
        <v>53</v>
      </c>
      <c r="I530" s="37" t="str">
        <f t="shared" si="28"/>
        <v>1-90 DAYS</v>
      </c>
      <c r="J530" s="37" t="str">
        <f t="shared" si="30"/>
        <v>0-180 DAYS</v>
      </c>
      <c r="N530" t="s">
        <v>2864</v>
      </c>
      <c r="O530" s="66">
        <v>3839423.63</v>
      </c>
    </row>
    <row r="531" spans="1:15" hidden="1" x14ac:dyDescent="0.35">
      <c r="A531" s="88" t="s">
        <v>1209</v>
      </c>
      <c r="B531" s="88" t="s">
        <v>789</v>
      </c>
      <c r="C531" s="18" t="s">
        <v>125</v>
      </c>
      <c r="D531" s="18" t="s">
        <v>57</v>
      </c>
      <c r="E531" s="18" t="s">
        <v>2844</v>
      </c>
      <c r="F531" s="19">
        <v>45609</v>
      </c>
      <c r="G531" s="18">
        <v>3792575.96</v>
      </c>
      <c r="H531" s="37">
        <f t="shared" si="29"/>
        <v>49</v>
      </c>
      <c r="I531" s="37" t="str">
        <f t="shared" si="28"/>
        <v>1-90 DAYS</v>
      </c>
      <c r="J531" s="37" t="str">
        <f t="shared" si="30"/>
        <v>0-180 DAYS</v>
      </c>
      <c r="N531" t="s">
        <v>2865</v>
      </c>
      <c r="O531" s="66">
        <v>3792575.96</v>
      </c>
    </row>
    <row r="532" spans="1:15" hidden="1" x14ac:dyDescent="0.35">
      <c r="A532" s="88" t="s">
        <v>1209</v>
      </c>
      <c r="B532" s="88" t="s">
        <v>789</v>
      </c>
      <c r="C532" s="18" t="s">
        <v>125</v>
      </c>
      <c r="D532" s="18" t="s">
        <v>57</v>
      </c>
      <c r="E532" s="18" t="s">
        <v>2845</v>
      </c>
      <c r="F532" s="19">
        <v>45612</v>
      </c>
      <c r="G532" s="18">
        <v>3666.69</v>
      </c>
      <c r="H532" s="37">
        <f t="shared" si="29"/>
        <v>46</v>
      </c>
      <c r="I532" s="37" t="str">
        <f t="shared" si="28"/>
        <v>1-90 DAYS</v>
      </c>
      <c r="J532" s="37" t="str">
        <f t="shared" si="30"/>
        <v>0-180 DAYS</v>
      </c>
      <c r="N532" t="s">
        <v>2868</v>
      </c>
      <c r="O532" s="66">
        <v>3666.69</v>
      </c>
    </row>
    <row r="533" spans="1:15" hidden="1" x14ac:dyDescent="0.35">
      <c r="A533" s="88" t="s">
        <v>1209</v>
      </c>
      <c r="B533" s="88" t="s">
        <v>789</v>
      </c>
      <c r="C533" s="18" t="s">
        <v>125</v>
      </c>
      <c r="D533" s="18" t="s">
        <v>57</v>
      </c>
      <c r="E533" s="18" t="s">
        <v>2846</v>
      </c>
      <c r="F533" s="19">
        <v>45613</v>
      </c>
      <c r="G533" s="18">
        <v>738287.45</v>
      </c>
      <c r="H533" s="37">
        <f t="shared" si="29"/>
        <v>45</v>
      </c>
      <c r="I533" s="37" t="str">
        <f t="shared" si="28"/>
        <v>1-90 DAYS</v>
      </c>
      <c r="J533" s="37" t="str">
        <f t="shared" si="30"/>
        <v>0-180 DAYS</v>
      </c>
      <c r="N533" t="s">
        <v>2869</v>
      </c>
      <c r="O533" s="66">
        <v>738287.45</v>
      </c>
    </row>
    <row r="534" spans="1:15" hidden="1" x14ac:dyDescent="0.35">
      <c r="A534" s="88" t="s">
        <v>1209</v>
      </c>
      <c r="B534" s="88" t="s">
        <v>789</v>
      </c>
      <c r="C534" s="18" t="s">
        <v>125</v>
      </c>
      <c r="D534" s="18" t="s">
        <v>57</v>
      </c>
      <c r="E534" s="18" t="s">
        <v>2847</v>
      </c>
      <c r="F534" s="19">
        <v>45614</v>
      </c>
      <c r="G534" s="18">
        <v>73099.83</v>
      </c>
      <c r="H534" s="37">
        <f t="shared" si="29"/>
        <v>44</v>
      </c>
      <c r="I534" s="37" t="str">
        <f t="shared" ref="I534:I597" si="31">IF(H534&lt;91,"1-90 DAYS",IF(H534&lt;121,"91-120DAYS",IF(H534&lt;181,"121-180 DAYS","More than 180 Days")))</f>
        <v>1-90 DAYS</v>
      </c>
      <c r="J534" s="37" t="str">
        <f t="shared" si="30"/>
        <v>0-180 DAYS</v>
      </c>
      <c r="N534" t="s">
        <v>2870</v>
      </c>
      <c r="O534" s="66">
        <v>73099.83</v>
      </c>
    </row>
    <row r="535" spans="1:15" hidden="1" x14ac:dyDescent="0.35">
      <c r="A535" s="88" t="s">
        <v>1209</v>
      </c>
      <c r="B535" s="88" t="s">
        <v>789</v>
      </c>
      <c r="C535" s="18" t="s">
        <v>125</v>
      </c>
      <c r="D535" s="18" t="s">
        <v>57</v>
      </c>
      <c r="E535" s="18" t="s">
        <v>2848</v>
      </c>
      <c r="F535" s="19">
        <v>45616</v>
      </c>
      <c r="G535" s="18">
        <v>744280.86</v>
      </c>
      <c r="H535" s="37">
        <f t="shared" si="29"/>
        <v>42</v>
      </c>
      <c r="I535" s="37" t="str">
        <f t="shared" si="31"/>
        <v>1-90 DAYS</v>
      </c>
      <c r="J535" s="37" t="str">
        <f t="shared" si="30"/>
        <v>0-180 DAYS</v>
      </c>
      <c r="N535" t="s">
        <v>2883</v>
      </c>
      <c r="O535" s="66">
        <v>744280.86</v>
      </c>
    </row>
    <row r="536" spans="1:15" hidden="1" x14ac:dyDescent="0.35">
      <c r="A536" s="88" t="s">
        <v>1209</v>
      </c>
      <c r="B536" s="88" t="s">
        <v>789</v>
      </c>
      <c r="C536" s="18" t="s">
        <v>125</v>
      </c>
      <c r="D536" s="18" t="s">
        <v>57</v>
      </c>
      <c r="E536" s="18" t="s">
        <v>2849</v>
      </c>
      <c r="F536" s="19">
        <v>45616</v>
      </c>
      <c r="G536" s="18">
        <v>6847.63</v>
      </c>
      <c r="H536" s="37">
        <f t="shared" si="29"/>
        <v>42</v>
      </c>
      <c r="I536" s="37" t="str">
        <f t="shared" si="31"/>
        <v>1-90 DAYS</v>
      </c>
      <c r="J536" s="37" t="str">
        <f t="shared" si="30"/>
        <v>0-180 DAYS</v>
      </c>
      <c r="N536" t="s">
        <v>2883</v>
      </c>
      <c r="O536" s="66">
        <v>6847.63</v>
      </c>
    </row>
    <row r="537" spans="1:15" hidden="1" x14ac:dyDescent="0.35">
      <c r="A537" s="88" t="s">
        <v>1209</v>
      </c>
      <c r="B537" s="88" t="s">
        <v>789</v>
      </c>
      <c r="C537" s="18" t="s">
        <v>125</v>
      </c>
      <c r="D537" s="18" t="s">
        <v>57</v>
      </c>
      <c r="E537" s="18" t="s">
        <v>2850</v>
      </c>
      <c r="F537" s="19">
        <v>45616</v>
      </c>
      <c r="G537" s="18">
        <v>3875664.09</v>
      </c>
      <c r="H537" s="37">
        <f t="shared" si="29"/>
        <v>42</v>
      </c>
      <c r="I537" s="37" t="str">
        <f t="shared" si="31"/>
        <v>1-90 DAYS</v>
      </c>
      <c r="J537" s="37" t="str">
        <f t="shared" si="30"/>
        <v>0-180 DAYS</v>
      </c>
      <c r="N537" t="s">
        <v>2883</v>
      </c>
      <c r="O537" s="66">
        <v>3875664.09</v>
      </c>
    </row>
    <row r="538" spans="1:15" hidden="1" x14ac:dyDescent="0.35">
      <c r="A538" s="88" t="s">
        <v>1209</v>
      </c>
      <c r="B538" s="88" t="s">
        <v>789</v>
      </c>
      <c r="C538" s="18" t="s">
        <v>125</v>
      </c>
      <c r="D538" s="18" t="s">
        <v>57</v>
      </c>
      <c r="E538" s="18" t="s">
        <v>2851</v>
      </c>
      <c r="F538" s="19">
        <v>45617</v>
      </c>
      <c r="G538" s="18">
        <v>3857587.61</v>
      </c>
      <c r="H538" s="37">
        <f t="shared" si="29"/>
        <v>41</v>
      </c>
      <c r="I538" s="37" t="str">
        <f t="shared" si="31"/>
        <v>1-90 DAYS</v>
      </c>
      <c r="J538" s="37" t="str">
        <f t="shared" si="30"/>
        <v>0-180 DAYS</v>
      </c>
      <c r="N538" t="s">
        <v>2871</v>
      </c>
      <c r="O538" s="66">
        <v>3857587.61</v>
      </c>
    </row>
    <row r="539" spans="1:15" hidden="1" x14ac:dyDescent="0.35">
      <c r="A539" s="88" t="s">
        <v>1209</v>
      </c>
      <c r="B539" s="88" t="s">
        <v>789</v>
      </c>
      <c r="C539" s="18" t="s">
        <v>125</v>
      </c>
      <c r="D539" s="18" t="s">
        <v>57</v>
      </c>
      <c r="E539" s="18" t="s">
        <v>2852</v>
      </c>
      <c r="F539" s="19">
        <v>45622</v>
      </c>
      <c r="G539" s="18">
        <v>286382.42</v>
      </c>
      <c r="H539" s="37">
        <f t="shared" si="29"/>
        <v>36</v>
      </c>
      <c r="I539" s="37" t="str">
        <f t="shared" si="31"/>
        <v>1-90 DAYS</v>
      </c>
      <c r="J539" s="37" t="str">
        <f t="shared" si="30"/>
        <v>0-180 DAYS</v>
      </c>
      <c r="N539" t="s">
        <v>2875</v>
      </c>
      <c r="O539" s="66">
        <v>286382.42</v>
      </c>
    </row>
    <row r="540" spans="1:15" hidden="1" x14ac:dyDescent="0.35">
      <c r="A540" s="88" t="s">
        <v>1209</v>
      </c>
      <c r="B540" s="88" t="s">
        <v>789</v>
      </c>
      <c r="C540" s="18" t="s">
        <v>125</v>
      </c>
      <c r="D540" s="18" t="s">
        <v>57</v>
      </c>
      <c r="E540" s="18" t="s">
        <v>2853</v>
      </c>
      <c r="F540" s="19">
        <v>45622</v>
      </c>
      <c r="G540" s="18">
        <v>6400.63</v>
      </c>
      <c r="H540" s="37">
        <f t="shared" si="29"/>
        <v>36</v>
      </c>
      <c r="I540" s="37" t="str">
        <f t="shared" si="31"/>
        <v>1-90 DAYS</v>
      </c>
      <c r="J540" s="37" t="str">
        <f t="shared" si="30"/>
        <v>0-180 DAYS</v>
      </c>
      <c r="N540" t="s">
        <v>2875</v>
      </c>
      <c r="O540" s="66">
        <v>6400.63</v>
      </c>
    </row>
    <row r="541" spans="1:15" hidden="1" x14ac:dyDescent="0.35">
      <c r="A541" s="88" t="s">
        <v>1209</v>
      </c>
      <c r="B541" s="88" t="s">
        <v>789</v>
      </c>
      <c r="C541" s="18" t="s">
        <v>125</v>
      </c>
      <c r="D541" s="18" t="s">
        <v>57</v>
      </c>
      <c r="E541" s="18" t="s">
        <v>2854</v>
      </c>
      <c r="F541" s="19">
        <v>45624</v>
      </c>
      <c r="G541" s="18">
        <v>361751.31</v>
      </c>
      <c r="H541" s="37">
        <f t="shared" si="29"/>
        <v>34</v>
      </c>
      <c r="I541" s="37" t="str">
        <f t="shared" si="31"/>
        <v>1-90 DAYS</v>
      </c>
      <c r="J541" s="37" t="str">
        <f t="shared" si="30"/>
        <v>0-180 DAYS</v>
      </c>
      <c r="N541" t="s">
        <v>2881</v>
      </c>
      <c r="O541" s="66">
        <v>361751.31</v>
      </c>
    </row>
    <row r="542" spans="1:15" hidden="1" x14ac:dyDescent="0.35">
      <c r="A542" s="88" t="s">
        <v>1209</v>
      </c>
      <c r="B542" s="88" t="s">
        <v>789</v>
      </c>
      <c r="C542" s="18" t="s">
        <v>125</v>
      </c>
      <c r="D542" s="18" t="s">
        <v>57</v>
      </c>
      <c r="E542" s="18" t="s">
        <v>2855</v>
      </c>
      <c r="F542" s="19">
        <v>45625</v>
      </c>
      <c r="G542" s="18">
        <v>391642.71</v>
      </c>
      <c r="H542" s="37">
        <f t="shared" si="29"/>
        <v>33</v>
      </c>
      <c r="I542" s="37" t="str">
        <f t="shared" si="31"/>
        <v>1-90 DAYS</v>
      </c>
      <c r="J542" s="37" t="str">
        <f t="shared" si="30"/>
        <v>0-180 DAYS</v>
      </c>
      <c r="N542" t="s">
        <v>2877</v>
      </c>
      <c r="O542" s="66">
        <v>391642.71</v>
      </c>
    </row>
    <row r="543" spans="1:15" hidden="1" x14ac:dyDescent="0.35">
      <c r="A543" s="88" t="s">
        <v>1209</v>
      </c>
      <c r="B543" s="88" t="s">
        <v>789</v>
      </c>
      <c r="C543" s="18" t="s">
        <v>125</v>
      </c>
      <c r="D543" s="18" t="s">
        <v>57</v>
      </c>
      <c r="E543" s="18" t="s">
        <v>2856</v>
      </c>
      <c r="F543" s="19">
        <v>45625</v>
      </c>
      <c r="G543" s="18">
        <v>3452.11</v>
      </c>
      <c r="H543" s="37">
        <f t="shared" si="29"/>
        <v>33</v>
      </c>
      <c r="I543" s="37" t="str">
        <f t="shared" si="31"/>
        <v>1-90 DAYS</v>
      </c>
      <c r="J543" s="37" t="str">
        <f t="shared" si="30"/>
        <v>0-180 DAYS</v>
      </c>
      <c r="N543" t="s">
        <v>2877</v>
      </c>
      <c r="O543" s="66">
        <v>3452.11</v>
      </c>
    </row>
    <row r="544" spans="1:15" hidden="1" x14ac:dyDescent="0.35">
      <c r="A544" s="88" t="s">
        <v>1209</v>
      </c>
      <c r="B544" s="88" t="s">
        <v>789</v>
      </c>
      <c r="C544" s="18" t="s">
        <v>125</v>
      </c>
      <c r="D544" s="18" t="s">
        <v>57</v>
      </c>
      <c r="E544" s="18" t="s">
        <v>77</v>
      </c>
      <c r="F544" s="19">
        <v>45602</v>
      </c>
      <c r="G544" s="18">
        <v>11301.9</v>
      </c>
      <c r="H544" s="37">
        <f t="shared" si="29"/>
        <v>56</v>
      </c>
      <c r="I544" s="37" t="str">
        <f t="shared" si="31"/>
        <v>1-90 DAYS</v>
      </c>
      <c r="J544" s="37" t="str">
        <f t="shared" si="30"/>
        <v>0-180 DAYS</v>
      </c>
      <c r="N544" t="s">
        <v>2862</v>
      </c>
      <c r="O544" s="66">
        <v>11301.9</v>
      </c>
    </row>
    <row r="545" spans="1:15" hidden="1" x14ac:dyDescent="0.35">
      <c r="A545" s="88" t="s">
        <v>1209</v>
      </c>
      <c r="B545" s="88" t="s">
        <v>789</v>
      </c>
      <c r="C545" s="18" t="s">
        <v>125</v>
      </c>
      <c r="D545" s="18" t="s">
        <v>57</v>
      </c>
      <c r="E545" s="18" t="s">
        <v>303</v>
      </c>
      <c r="F545" s="19">
        <v>45609</v>
      </c>
      <c r="G545" s="18">
        <v>153431.47</v>
      </c>
      <c r="H545" s="37">
        <f t="shared" si="29"/>
        <v>49</v>
      </c>
      <c r="I545" s="37" t="str">
        <f t="shared" si="31"/>
        <v>1-90 DAYS</v>
      </c>
      <c r="J545" s="37" t="str">
        <f t="shared" si="30"/>
        <v>0-180 DAYS</v>
      </c>
      <c r="N545" t="s">
        <v>2865</v>
      </c>
      <c r="O545" s="66">
        <v>153431.47</v>
      </c>
    </row>
    <row r="546" spans="1:15" hidden="1" x14ac:dyDescent="0.35">
      <c r="A546" s="88" t="s">
        <v>1209</v>
      </c>
      <c r="B546" s="88" t="s">
        <v>789</v>
      </c>
      <c r="C546" s="18" t="s">
        <v>125</v>
      </c>
      <c r="D546" s="18" t="s">
        <v>57</v>
      </c>
      <c r="E546" s="18" t="s">
        <v>309</v>
      </c>
      <c r="F546" s="19">
        <v>45618</v>
      </c>
      <c r="G546" s="18">
        <v>382353.05</v>
      </c>
      <c r="H546" s="37">
        <f t="shared" si="29"/>
        <v>40</v>
      </c>
      <c r="I546" s="37" t="str">
        <f t="shared" si="31"/>
        <v>1-90 DAYS</v>
      </c>
      <c r="J546" s="37" t="str">
        <f t="shared" si="30"/>
        <v>0-180 DAYS</v>
      </c>
      <c r="N546" t="s">
        <v>2880</v>
      </c>
      <c r="O546" s="66">
        <v>382353.05</v>
      </c>
    </row>
    <row r="547" spans="1:15" hidden="1" x14ac:dyDescent="0.35">
      <c r="A547" s="88" t="s">
        <v>1209</v>
      </c>
      <c r="B547" s="88" t="s">
        <v>789</v>
      </c>
      <c r="C547" s="18" t="s">
        <v>125</v>
      </c>
      <c r="D547" s="18" t="s">
        <v>57</v>
      </c>
      <c r="E547" s="18" t="s">
        <v>463</v>
      </c>
      <c r="F547" s="19">
        <v>45625</v>
      </c>
      <c r="G547" s="18">
        <v>3300.26</v>
      </c>
      <c r="H547" s="37">
        <f t="shared" si="29"/>
        <v>33</v>
      </c>
      <c r="I547" s="37" t="str">
        <f t="shared" si="31"/>
        <v>1-90 DAYS</v>
      </c>
      <c r="J547" s="37" t="str">
        <f t="shared" si="30"/>
        <v>0-180 DAYS</v>
      </c>
      <c r="N547" t="s">
        <v>2877</v>
      </c>
      <c r="O547" s="66">
        <v>3300.26</v>
      </c>
    </row>
    <row r="548" spans="1:15" hidden="1" x14ac:dyDescent="0.35">
      <c r="A548" s="88" t="s">
        <v>1209</v>
      </c>
      <c r="B548" s="88" t="s">
        <v>789</v>
      </c>
      <c r="C548" s="18" t="s">
        <v>125</v>
      </c>
      <c r="D548" s="18" t="s">
        <v>57</v>
      </c>
      <c r="E548" s="18" t="s">
        <v>2857</v>
      </c>
      <c r="F548" s="19">
        <v>45626</v>
      </c>
      <c r="G548" s="18">
        <v>778.14</v>
      </c>
      <c r="H548" s="37">
        <f t="shared" si="29"/>
        <v>32</v>
      </c>
      <c r="I548" s="37" t="str">
        <f t="shared" si="31"/>
        <v>1-90 DAYS</v>
      </c>
      <c r="J548" s="37" t="str">
        <f t="shared" si="30"/>
        <v>0-180 DAYS</v>
      </c>
      <c r="N548" t="s">
        <v>2860</v>
      </c>
      <c r="O548" s="66">
        <v>778.14</v>
      </c>
    </row>
    <row r="549" spans="1:15" hidden="1" x14ac:dyDescent="0.35">
      <c r="A549" s="88" t="s">
        <v>1209</v>
      </c>
      <c r="B549" s="88" t="s">
        <v>789</v>
      </c>
      <c r="C549" s="18" t="s">
        <v>125</v>
      </c>
      <c r="D549" s="18" t="s">
        <v>57</v>
      </c>
      <c r="E549" s="18" t="s">
        <v>406</v>
      </c>
      <c r="F549" s="19">
        <v>45627</v>
      </c>
      <c r="G549" s="18">
        <v>167791.14</v>
      </c>
      <c r="H549" s="37">
        <f t="shared" si="29"/>
        <v>31</v>
      </c>
      <c r="I549" s="37" t="str">
        <f t="shared" si="31"/>
        <v>1-90 DAYS</v>
      </c>
      <c r="J549" s="37" t="str">
        <f t="shared" si="30"/>
        <v>0-180 DAYS</v>
      </c>
    </row>
    <row r="550" spans="1:15" hidden="1" x14ac:dyDescent="0.35">
      <c r="A550" s="88" t="s">
        <v>1209</v>
      </c>
      <c r="B550" s="88" t="s">
        <v>789</v>
      </c>
      <c r="C550" s="18" t="s">
        <v>125</v>
      </c>
      <c r="D550" s="18" t="s">
        <v>57</v>
      </c>
      <c r="E550" s="18" t="s">
        <v>407</v>
      </c>
      <c r="F550" s="19">
        <v>45627</v>
      </c>
      <c r="G550" s="18">
        <v>55275</v>
      </c>
      <c r="H550" s="37">
        <f t="shared" si="29"/>
        <v>31</v>
      </c>
      <c r="I550" s="37" t="str">
        <f t="shared" si="31"/>
        <v>1-90 DAYS</v>
      </c>
      <c r="J550" s="37" t="str">
        <f t="shared" si="30"/>
        <v>0-180 DAYS</v>
      </c>
    </row>
    <row r="551" spans="1:15" hidden="1" x14ac:dyDescent="0.35">
      <c r="A551" s="88" t="s">
        <v>477</v>
      </c>
      <c r="B551" s="88" t="s">
        <v>790</v>
      </c>
      <c r="C551" s="18" t="s">
        <v>2888</v>
      </c>
      <c r="D551" s="18" t="s">
        <v>1088</v>
      </c>
      <c r="E551" s="18" t="s">
        <v>414</v>
      </c>
      <c r="F551" s="19">
        <v>45628</v>
      </c>
      <c r="G551" s="18">
        <f>46338.6+128</f>
        <v>46466.6</v>
      </c>
      <c r="H551" s="37">
        <f t="shared" si="29"/>
        <v>30</v>
      </c>
      <c r="I551" s="37" t="str">
        <f t="shared" si="31"/>
        <v>1-90 DAYS</v>
      </c>
      <c r="J551" s="37" t="str">
        <f t="shared" si="30"/>
        <v>0-180 DAYS</v>
      </c>
    </row>
    <row r="552" spans="1:15" hidden="1" x14ac:dyDescent="0.35">
      <c r="A552" s="88" t="s">
        <v>1209</v>
      </c>
      <c r="B552" s="88" t="s">
        <v>789</v>
      </c>
      <c r="C552" s="18" t="s">
        <v>125</v>
      </c>
      <c r="D552" s="18" t="s">
        <v>57</v>
      </c>
      <c r="E552" s="18" t="s">
        <v>410</v>
      </c>
      <c r="F552" s="19">
        <v>45628</v>
      </c>
      <c r="G552" s="18">
        <v>1379.6</v>
      </c>
      <c r="H552" s="37">
        <f t="shared" si="29"/>
        <v>30</v>
      </c>
      <c r="I552" s="37" t="str">
        <f t="shared" si="31"/>
        <v>1-90 DAYS</v>
      </c>
      <c r="J552" s="37" t="str">
        <f t="shared" si="30"/>
        <v>0-180 DAYS</v>
      </c>
    </row>
    <row r="553" spans="1:15" hidden="1" x14ac:dyDescent="0.35">
      <c r="A553" s="88" t="s">
        <v>1209</v>
      </c>
      <c r="B553" s="88" t="s">
        <v>789</v>
      </c>
      <c r="C553" s="18" t="s">
        <v>125</v>
      </c>
      <c r="D553" s="18" t="s">
        <v>57</v>
      </c>
      <c r="E553" s="18" t="s">
        <v>413</v>
      </c>
      <c r="F553" s="19">
        <v>45628</v>
      </c>
      <c r="G553" s="18">
        <v>385534.11</v>
      </c>
      <c r="H553" s="37">
        <f t="shared" si="29"/>
        <v>30</v>
      </c>
      <c r="I553" s="37" t="str">
        <f t="shared" si="31"/>
        <v>1-90 DAYS</v>
      </c>
      <c r="J553" s="37" t="str">
        <f t="shared" si="30"/>
        <v>0-180 DAYS</v>
      </c>
    </row>
    <row r="554" spans="1:15" hidden="1" x14ac:dyDescent="0.35">
      <c r="A554" s="88" t="s">
        <v>1209</v>
      </c>
      <c r="B554" s="88" t="s">
        <v>789</v>
      </c>
      <c r="C554" s="18" t="s">
        <v>125</v>
      </c>
      <c r="D554" s="18" t="s">
        <v>57</v>
      </c>
      <c r="E554" s="18" t="s">
        <v>411</v>
      </c>
      <c r="F554" s="19">
        <v>45628</v>
      </c>
      <c r="G554" s="18">
        <v>4413.92</v>
      </c>
      <c r="H554" s="37">
        <f t="shared" si="29"/>
        <v>30</v>
      </c>
      <c r="I554" s="37" t="str">
        <f t="shared" si="31"/>
        <v>1-90 DAYS</v>
      </c>
      <c r="J554" s="37" t="str">
        <f t="shared" si="30"/>
        <v>0-180 DAYS</v>
      </c>
    </row>
    <row r="555" spans="1:15" hidden="1" x14ac:dyDescent="0.35">
      <c r="A555" s="88" t="s">
        <v>477</v>
      </c>
      <c r="B555" s="88" t="s">
        <v>790</v>
      </c>
      <c r="C555" s="18" t="s">
        <v>1838</v>
      </c>
      <c r="D555" s="18" t="s">
        <v>2001</v>
      </c>
      <c r="E555" s="18" t="s">
        <v>422</v>
      </c>
      <c r="F555" s="19">
        <v>45629</v>
      </c>
      <c r="G555" s="18">
        <v>1097931.7</v>
      </c>
      <c r="H555" s="37">
        <f t="shared" si="29"/>
        <v>29</v>
      </c>
      <c r="I555" s="37" t="str">
        <f t="shared" si="31"/>
        <v>1-90 DAYS</v>
      </c>
      <c r="J555" s="37" t="str">
        <f t="shared" si="30"/>
        <v>0-180 DAYS</v>
      </c>
    </row>
    <row r="556" spans="1:15" hidden="1" x14ac:dyDescent="0.35">
      <c r="A556" s="88" t="s">
        <v>1209</v>
      </c>
      <c r="B556" s="88" t="s">
        <v>789</v>
      </c>
      <c r="C556" s="18" t="s">
        <v>125</v>
      </c>
      <c r="D556" s="18" t="s">
        <v>57</v>
      </c>
      <c r="E556" s="18" t="s">
        <v>502</v>
      </c>
      <c r="F556" s="19">
        <v>45629</v>
      </c>
      <c r="G556" s="18">
        <v>344156.34</v>
      </c>
      <c r="H556" s="37">
        <f t="shared" si="29"/>
        <v>29</v>
      </c>
      <c r="I556" s="37" t="str">
        <f t="shared" si="31"/>
        <v>1-90 DAYS</v>
      </c>
      <c r="J556" s="37" t="str">
        <f t="shared" si="30"/>
        <v>0-180 DAYS</v>
      </c>
    </row>
    <row r="557" spans="1:15" hidden="1" x14ac:dyDescent="0.35">
      <c r="A557" s="88" t="s">
        <v>1209</v>
      </c>
      <c r="B557" s="88" t="s">
        <v>789</v>
      </c>
      <c r="C557" s="18" t="s">
        <v>125</v>
      </c>
      <c r="D557" s="18" t="s">
        <v>57</v>
      </c>
      <c r="E557" s="18" t="s">
        <v>503</v>
      </c>
      <c r="F557" s="19">
        <v>45629</v>
      </c>
      <c r="G557" s="18">
        <v>1698.2</v>
      </c>
      <c r="H557" s="37">
        <f t="shared" si="29"/>
        <v>29</v>
      </c>
      <c r="I557" s="37" t="str">
        <f t="shared" si="31"/>
        <v>1-90 DAYS</v>
      </c>
      <c r="J557" s="37" t="str">
        <f t="shared" si="30"/>
        <v>0-180 DAYS</v>
      </c>
    </row>
    <row r="558" spans="1:15" hidden="1" x14ac:dyDescent="0.35">
      <c r="A558" s="88" t="s">
        <v>477</v>
      </c>
      <c r="B558" s="88" t="s">
        <v>790</v>
      </c>
      <c r="C558" s="18" t="s">
        <v>2380</v>
      </c>
      <c r="D558" s="18" t="s">
        <v>1081</v>
      </c>
      <c r="E558" s="18" t="s">
        <v>420</v>
      </c>
      <c r="F558" s="19">
        <v>45630</v>
      </c>
      <c r="G558" s="18">
        <v>1085391.72</v>
      </c>
      <c r="H558" s="37">
        <f t="shared" si="29"/>
        <v>28</v>
      </c>
      <c r="I558" s="37" t="str">
        <f t="shared" si="31"/>
        <v>1-90 DAYS</v>
      </c>
      <c r="J558" s="37" t="str">
        <f t="shared" si="30"/>
        <v>0-180 DAYS</v>
      </c>
    </row>
    <row r="559" spans="1:15" hidden="1" x14ac:dyDescent="0.35">
      <c r="A559" s="88" t="s">
        <v>1209</v>
      </c>
      <c r="B559" s="88" t="s">
        <v>789</v>
      </c>
      <c r="C559" s="18" t="s">
        <v>125</v>
      </c>
      <c r="D559" s="18" t="s">
        <v>57</v>
      </c>
      <c r="E559" s="18" t="s">
        <v>419</v>
      </c>
      <c r="F559" s="19">
        <v>45630</v>
      </c>
      <c r="G559" s="18">
        <v>203351.04000000001</v>
      </c>
      <c r="H559" s="37">
        <f t="shared" si="29"/>
        <v>28</v>
      </c>
      <c r="I559" s="37" t="str">
        <f t="shared" si="31"/>
        <v>1-90 DAYS</v>
      </c>
      <c r="J559" s="37" t="str">
        <f t="shared" si="30"/>
        <v>0-180 DAYS</v>
      </c>
    </row>
    <row r="560" spans="1:15" hidden="1" x14ac:dyDescent="0.35">
      <c r="A560" s="88" t="s">
        <v>1209</v>
      </c>
      <c r="B560" s="88" t="s">
        <v>789</v>
      </c>
      <c r="C560" s="18" t="s">
        <v>125</v>
      </c>
      <c r="D560" s="18" t="s">
        <v>57</v>
      </c>
      <c r="E560" s="18" t="s">
        <v>423</v>
      </c>
      <c r="F560" s="19">
        <v>45630</v>
      </c>
      <c r="G560" s="18">
        <v>1188.44</v>
      </c>
      <c r="H560" s="37">
        <f t="shared" si="29"/>
        <v>28</v>
      </c>
      <c r="I560" s="37" t="str">
        <f t="shared" si="31"/>
        <v>1-90 DAYS</v>
      </c>
      <c r="J560" s="37" t="str">
        <f t="shared" si="30"/>
        <v>0-180 DAYS</v>
      </c>
    </row>
    <row r="561" spans="1:10" hidden="1" x14ac:dyDescent="0.35">
      <c r="A561" s="88" t="s">
        <v>1209</v>
      </c>
      <c r="B561" s="88" t="s">
        <v>789</v>
      </c>
      <c r="C561" s="18" t="s">
        <v>125</v>
      </c>
      <c r="D561" s="18" t="s">
        <v>57</v>
      </c>
      <c r="E561" s="18" t="s">
        <v>421</v>
      </c>
      <c r="F561" s="19">
        <v>45630</v>
      </c>
      <c r="G561" s="18">
        <v>21938.84</v>
      </c>
      <c r="H561" s="37">
        <f t="shared" si="29"/>
        <v>28</v>
      </c>
      <c r="I561" s="37" t="str">
        <f t="shared" si="31"/>
        <v>1-90 DAYS</v>
      </c>
      <c r="J561" s="37" t="str">
        <f t="shared" si="30"/>
        <v>0-180 DAYS</v>
      </c>
    </row>
    <row r="562" spans="1:10" hidden="1" x14ac:dyDescent="0.35">
      <c r="A562" s="88" t="s">
        <v>1209</v>
      </c>
      <c r="B562" s="88" t="s">
        <v>789</v>
      </c>
      <c r="C562" s="18" t="s">
        <v>125</v>
      </c>
      <c r="D562" s="18" t="s">
        <v>57</v>
      </c>
      <c r="E562" s="18" t="s">
        <v>418</v>
      </c>
      <c r="F562" s="19">
        <v>45630</v>
      </c>
      <c r="G562" s="18">
        <v>33550</v>
      </c>
      <c r="H562" s="37">
        <f t="shared" si="29"/>
        <v>28</v>
      </c>
      <c r="I562" s="37" t="str">
        <f t="shared" si="31"/>
        <v>1-90 DAYS</v>
      </c>
      <c r="J562" s="37" t="str">
        <f t="shared" si="30"/>
        <v>0-180 DAYS</v>
      </c>
    </row>
    <row r="563" spans="1:10" hidden="1" x14ac:dyDescent="0.35">
      <c r="A563" s="88" t="s">
        <v>477</v>
      </c>
      <c r="B563" s="88" t="s">
        <v>790</v>
      </c>
      <c r="C563" s="18" t="s">
        <v>2380</v>
      </c>
      <c r="D563" s="18" t="s">
        <v>1081</v>
      </c>
      <c r="E563" s="18" t="s">
        <v>880</v>
      </c>
      <c r="F563" s="19">
        <v>45631</v>
      </c>
      <c r="G563" s="18">
        <v>581414.56000000006</v>
      </c>
      <c r="H563" s="37">
        <f t="shared" si="29"/>
        <v>27</v>
      </c>
      <c r="I563" s="37" t="str">
        <f t="shared" si="31"/>
        <v>1-90 DAYS</v>
      </c>
      <c r="J563" s="37" t="str">
        <f t="shared" si="30"/>
        <v>0-180 DAYS</v>
      </c>
    </row>
    <row r="564" spans="1:10" hidden="1" x14ac:dyDescent="0.35">
      <c r="A564" s="88" t="s">
        <v>477</v>
      </c>
      <c r="B564" s="88" t="s">
        <v>790</v>
      </c>
      <c r="C564" s="18" t="s">
        <v>2380</v>
      </c>
      <c r="D564" s="18" t="s">
        <v>1081</v>
      </c>
      <c r="E564" s="18" t="s">
        <v>881</v>
      </c>
      <c r="F564" s="19">
        <v>45631</v>
      </c>
      <c r="G564" s="18">
        <v>162808.9</v>
      </c>
      <c r="H564" s="37">
        <f t="shared" si="29"/>
        <v>27</v>
      </c>
      <c r="I564" s="37" t="str">
        <f t="shared" si="31"/>
        <v>1-90 DAYS</v>
      </c>
      <c r="J564" s="37" t="str">
        <f t="shared" si="30"/>
        <v>0-180 DAYS</v>
      </c>
    </row>
    <row r="565" spans="1:10" hidden="1" x14ac:dyDescent="0.35">
      <c r="A565" s="88" t="s">
        <v>477</v>
      </c>
      <c r="B565" s="88" t="s">
        <v>790</v>
      </c>
      <c r="C565" s="18" t="s">
        <v>2380</v>
      </c>
      <c r="D565" s="18" t="s">
        <v>1081</v>
      </c>
      <c r="E565" s="18" t="s">
        <v>886</v>
      </c>
      <c r="F565" s="19">
        <v>45631</v>
      </c>
      <c r="G565" s="18">
        <v>707120.1</v>
      </c>
      <c r="H565" s="37">
        <f t="shared" si="29"/>
        <v>27</v>
      </c>
      <c r="I565" s="37" t="str">
        <f t="shared" si="31"/>
        <v>1-90 DAYS</v>
      </c>
      <c r="J565" s="37" t="str">
        <f t="shared" si="30"/>
        <v>0-180 DAYS</v>
      </c>
    </row>
    <row r="566" spans="1:10" hidden="1" x14ac:dyDescent="0.35">
      <c r="A566" s="88" t="s">
        <v>1209</v>
      </c>
      <c r="B566" s="88" t="s">
        <v>789</v>
      </c>
      <c r="C566" s="18" t="s">
        <v>125</v>
      </c>
      <c r="D566" s="18" t="s">
        <v>57</v>
      </c>
      <c r="E566" s="18" t="s">
        <v>882</v>
      </c>
      <c r="F566" s="19">
        <v>45631</v>
      </c>
      <c r="G566" s="18">
        <v>21743.919999999998</v>
      </c>
      <c r="H566" s="37">
        <f t="shared" si="29"/>
        <v>27</v>
      </c>
      <c r="I566" s="37" t="str">
        <f t="shared" si="31"/>
        <v>1-90 DAYS</v>
      </c>
      <c r="J566" s="37" t="str">
        <f t="shared" si="30"/>
        <v>0-180 DAYS</v>
      </c>
    </row>
    <row r="567" spans="1:10" hidden="1" x14ac:dyDescent="0.35">
      <c r="A567" s="88" t="s">
        <v>1209</v>
      </c>
      <c r="B567" s="88" t="s">
        <v>789</v>
      </c>
      <c r="C567" s="18" t="s">
        <v>125</v>
      </c>
      <c r="D567" s="18" t="s">
        <v>57</v>
      </c>
      <c r="E567" s="18" t="s">
        <v>2893</v>
      </c>
      <c r="F567" s="19">
        <v>45631</v>
      </c>
      <c r="G567" s="18">
        <v>196107</v>
      </c>
      <c r="H567" s="37">
        <f t="shared" si="29"/>
        <v>27</v>
      </c>
      <c r="I567" s="37" t="str">
        <f t="shared" si="31"/>
        <v>1-90 DAYS</v>
      </c>
      <c r="J567" s="37" t="str">
        <f t="shared" si="30"/>
        <v>0-180 DAYS</v>
      </c>
    </row>
    <row r="568" spans="1:10" hidden="1" x14ac:dyDescent="0.35">
      <c r="A568" s="88" t="s">
        <v>1209</v>
      </c>
      <c r="B568" s="88" t="s">
        <v>789</v>
      </c>
      <c r="C568" s="18" t="s">
        <v>125</v>
      </c>
      <c r="D568" s="18" t="s">
        <v>57</v>
      </c>
      <c r="E568" s="18" t="s">
        <v>884</v>
      </c>
      <c r="F568" s="19">
        <v>45631</v>
      </c>
      <c r="G568" s="18">
        <v>266316.27</v>
      </c>
      <c r="H568" s="37">
        <f t="shared" si="29"/>
        <v>27</v>
      </c>
      <c r="I568" s="37" t="str">
        <f t="shared" si="31"/>
        <v>1-90 DAYS</v>
      </c>
      <c r="J568" s="37" t="str">
        <f t="shared" si="30"/>
        <v>0-180 DAYS</v>
      </c>
    </row>
    <row r="569" spans="1:10" hidden="1" x14ac:dyDescent="0.35">
      <c r="A569" s="88" t="s">
        <v>1209</v>
      </c>
      <c r="B569" s="88" t="s">
        <v>789</v>
      </c>
      <c r="C569" s="18" t="s">
        <v>125</v>
      </c>
      <c r="D569" s="18" t="s">
        <v>57</v>
      </c>
      <c r="E569" s="18" t="s">
        <v>885</v>
      </c>
      <c r="F569" s="19">
        <v>45631</v>
      </c>
      <c r="G569" s="18">
        <v>3905.16</v>
      </c>
      <c r="H569" s="37">
        <f t="shared" si="29"/>
        <v>27</v>
      </c>
      <c r="I569" s="37" t="str">
        <f t="shared" si="31"/>
        <v>1-90 DAYS</v>
      </c>
      <c r="J569" s="37" t="str">
        <f t="shared" si="30"/>
        <v>0-180 DAYS</v>
      </c>
    </row>
    <row r="570" spans="1:10" hidden="1" x14ac:dyDescent="0.35">
      <c r="A570" s="88" t="s">
        <v>1209</v>
      </c>
      <c r="B570" s="88" t="s">
        <v>789</v>
      </c>
      <c r="C570" s="18" t="s">
        <v>125</v>
      </c>
      <c r="D570" s="18" t="s">
        <v>57</v>
      </c>
      <c r="E570" s="18" t="s">
        <v>2894</v>
      </c>
      <c r="F570" s="19">
        <v>45632</v>
      </c>
      <c r="G570" s="18">
        <v>25520.66</v>
      </c>
      <c r="H570" s="37">
        <f t="shared" si="29"/>
        <v>26</v>
      </c>
      <c r="I570" s="37" t="str">
        <f t="shared" si="31"/>
        <v>1-90 DAYS</v>
      </c>
      <c r="J570" s="37" t="str">
        <f t="shared" si="30"/>
        <v>0-180 DAYS</v>
      </c>
    </row>
    <row r="571" spans="1:10" hidden="1" x14ac:dyDescent="0.35">
      <c r="A571" s="88" t="s">
        <v>1209</v>
      </c>
      <c r="B571" s="88" t="s">
        <v>789</v>
      </c>
      <c r="C571" s="18" t="s">
        <v>125</v>
      </c>
      <c r="D571" s="18" t="s">
        <v>57</v>
      </c>
      <c r="E571" s="18" t="s">
        <v>888</v>
      </c>
      <c r="F571" s="19">
        <v>45632</v>
      </c>
      <c r="G571" s="18">
        <v>144538.51999999999</v>
      </c>
      <c r="H571" s="37">
        <f t="shared" si="29"/>
        <v>26</v>
      </c>
      <c r="I571" s="37" t="str">
        <f t="shared" si="31"/>
        <v>1-90 DAYS</v>
      </c>
      <c r="J571" s="37" t="str">
        <f t="shared" si="30"/>
        <v>0-180 DAYS</v>
      </c>
    </row>
    <row r="572" spans="1:10" hidden="1" x14ac:dyDescent="0.35">
      <c r="A572" s="88" t="s">
        <v>1209</v>
      </c>
      <c r="B572" s="88" t="s">
        <v>789</v>
      </c>
      <c r="C572" s="18" t="s">
        <v>125</v>
      </c>
      <c r="D572" s="18" t="s">
        <v>57</v>
      </c>
      <c r="E572" s="18" t="s">
        <v>889</v>
      </c>
      <c r="F572" s="19">
        <v>45632</v>
      </c>
      <c r="G572" s="18">
        <v>1998405</v>
      </c>
      <c r="H572" s="37">
        <f t="shared" si="29"/>
        <v>26</v>
      </c>
      <c r="I572" s="37" t="str">
        <f t="shared" si="31"/>
        <v>1-90 DAYS</v>
      </c>
      <c r="J572" s="37" t="str">
        <f t="shared" si="30"/>
        <v>0-180 DAYS</v>
      </c>
    </row>
    <row r="573" spans="1:10" hidden="1" x14ac:dyDescent="0.35">
      <c r="A573" s="88" t="s">
        <v>1209</v>
      </c>
      <c r="B573" s="88" t="s">
        <v>789</v>
      </c>
      <c r="C573" s="18" t="s">
        <v>125</v>
      </c>
      <c r="D573" s="18" t="s">
        <v>57</v>
      </c>
      <c r="E573" s="18" t="s">
        <v>892</v>
      </c>
      <c r="F573" s="19">
        <v>45632</v>
      </c>
      <c r="G573" s="18">
        <v>22000</v>
      </c>
      <c r="H573" s="37">
        <f t="shared" si="29"/>
        <v>26</v>
      </c>
      <c r="I573" s="37" t="str">
        <f t="shared" si="31"/>
        <v>1-90 DAYS</v>
      </c>
      <c r="J573" s="37" t="str">
        <f t="shared" si="30"/>
        <v>0-180 DAYS</v>
      </c>
    </row>
    <row r="574" spans="1:10" hidden="1" x14ac:dyDescent="0.35">
      <c r="A574" s="88" t="s">
        <v>1209</v>
      </c>
      <c r="B574" s="88" t="s">
        <v>789</v>
      </c>
      <c r="C574" s="18" t="s">
        <v>125</v>
      </c>
      <c r="D574" s="18" t="s">
        <v>57</v>
      </c>
      <c r="E574" s="18" t="s">
        <v>891</v>
      </c>
      <c r="F574" s="19">
        <v>45633</v>
      </c>
      <c r="G574" s="18">
        <v>14836.74</v>
      </c>
      <c r="H574" s="37">
        <f t="shared" si="29"/>
        <v>25</v>
      </c>
      <c r="I574" s="37" t="str">
        <f t="shared" si="31"/>
        <v>1-90 DAYS</v>
      </c>
      <c r="J574" s="37" t="str">
        <f t="shared" si="30"/>
        <v>0-180 DAYS</v>
      </c>
    </row>
    <row r="575" spans="1:10" hidden="1" x14ac:dyDescent="0.35">
      <c r="A575" s="88" t="s">
        <v>1209</v>
      </c>
      <c r="B575" s="88" t="s">
        <v>789</v>
      </c>
      <c r="C575" s="18" t="s">
        <v>125</v>
      </c>
      <c r="D575" s="18" t="s">
        <v>57</v>
      </c>
      <c r="E575" s="18" t="s">
        <v>896</v>
      </c>
      <c r="F575" s="19">
        <v>45633</v>
      </c>
      <c r="G575" s="18">
        <v>1031440.54</v>
      </c>
      <c r="H575" s="37">
        <f t="shared" si="29"/>
        <v>25</v>
      </c>
      <c r="I575" s="37" t="str">
        <f t="shared" si="31"/>
        <v>1-90 DAYS</v>
      </c>
      <c r="J575" s="37" t="str">
        <f t="shared" si="30"/>
        <v>0-180 DAYS</v>
      </c>
    </row>
    <row r="576" spans="1:10" hidden="1" x14ac:dyDescent="0.35">
      <c r="A576" s="88" t="s">
        <v>1209</v>
      </c>
      <c r="B576" s="88" t="s">
        <v>789</v>
      </c>
      <c r="C576" s="18" t="s">
        <v>125</v>
      </c>
      <c r="D576" s="18" t="s">
        <v>57</v>
      </c>
      <c r="E576" s="18" t="s">
        <v>894</v>
      </c>
      <c r="F576" s="19">
        <v>45633</v>
      </c>
      <c r="G576" s="18">
        <v>7640.4</v>
      </c>
      <c r="H576" s="37">
        <f t="shared" si="29"/>
        <v>25</v>
      </c>
      <c r="I576" s="37" t="str">
        <f t="shared" si="31"/>
        <v>1-90 DAYS</v>
      </c>
      <c r="J576" s="37" t="str">
        <f t="shared" si="30"/>
        <v>0-180 DAYS</v>
      </c>
    </row>
    <row r="577" spans="1:10" hidden="1" x14ac:dyDescent="0.35">
      <c r="A577" s="88" t="s">
        <v>1209</v>
      </c>
      <c r="B577" s="88" t="s">
        <v>789</v>
      </c>
      <c r="C577" s="18" t="s">
        <v>125</v>
      </c>
      <c r="D577" s="18" t="s">
        <v>57</v>
      </c>
      <c r="E577" s="18" t="s">
        <v>899</v>
      </c>
      <c r="F577" s="19">
        <v>45634</v>
      </c>
      <c r="G577" s="18">
        <v>31282.02</v>
      </c>
      <c r="H577" s="37">
        <f t="shared" si="29"/>
        <v>24</v>
      </c>
      <c r="I577" s="37" t="str">
        <f t="shared" si="31"/>
        <v>1-90 DAYS</v>
      </c>
      <c r="J577" s="37" t="str">
        <f t="shared" si="30"/>
        <v>0-180 DAYS</v>
      </c>
    </row>
    <row r="578" spans="1:10" hidden="1" x14ac:dyDescent="0.35">
      <c r="A578" s="88" t="s">
        <v>1209</v>
      </c>
      <c r="B578" s="88" t="s">
        <v>789</v>
      </c>
      <c r="C578" s="18" t="s">
        <v>125</v>
      </c>
      <c r="D578" s="18" t="s">
        <v>57</v>
      </c>
      <c r="E578" s="18" t="s">
        <v>904</v>
      </c>
      <c r="F578" s="19">
        <v>45634</v>
      </c>
      <c r="G578" s="18">
        <v>678380.08</v>
      </c>
      <c r="H578" s="37">
        <f t="shared" si="29"/>
        <v>24</v>
      </c>
      <c r="I578" s="37" t="str">
        <f t="shared" si="31"/>
        <v>1-90 DAYS</v>
      </c>
      <c r="J578" s="37" t="str">
        <f t="shared" si="30"/>
        <v>0-180 DAYS</v>
      </c>
    </row>
    <row r="579" spans="1:10" hidden="1" x14ac:dyDescent="0.35">
      <c r="A579" s="88" t="s">
        <v>1209</v>
      </c>
      <c r="B579" s="88" t="s">
        <v>789</v>
      </c>
      <c r="C579" s="18" t="s">
        <v>125</v>
      </c>
      <c r="D579" s="18" t="s">
        <v>57</v>
      </c>
      <c r="E579" s="18" t="s">
        <v>901</v>
      </c>
      <c r="F579" s="19">
        <v>45634</v>
      </c>
      <c r="G579" s="18">
        <v>7187.28</v>
      </c>
      <c r="H579" s="37">
        <f t="shared" si="29"/>
        <v>24</v>
      </c>
      <c r="I579" s="37" t="str">
        <f t="shared" si="31"/>
        <v>1-90 DAYS</v>
      </c>
      <c r="J579" s="37" t="str">
        <f t="shared" si="30"/>
        <v>0-180 DAYS</v>
      </c>
    </row>
    <row r="580" spans="1:10" hidden="1" x14ac:dyDescent="0.35">
      <c r="A580" s="88" t="s">
        <v>1209</v>
      </c>
      <c r="B580" s="88" t="s">
        <v>789</v>
      </c>
      <c r="C580" s="18" t="s">
        <v>125</v>
      </c>
      <c r="D580" s="18" t="s">
        <v>57</v>
      </c>
      <c r="E580" s="18" t="s">
        <v>900</v>
      </c>
      <c r="F580" s="19">
        <v>45634</v>
      </c>
      <c r="G580" s="18">
        <v>14850</v>
      </c>
      <c r="H580" s="37">
        <f t="shared" si="29"/>
        <v>24</v>
      </c>
      <c r="I580" s="37" t="str">
        <f t="shared" si="31"/>
        <v>1-90 DAYS</v>
      </c>
      <c r="J580" s="37" t="str">
        <f t="shared" si="30"/>
        <v>0-180 DAYS</v>
      </c>
    </row>
    <row r="581" spans="1:10" hidden="1" x14ac:dyDescent="0.35">
      <c r="A581" s="88" t="s">
        <v>477</v>
      </c>
      <c r="B581" s="88" t="s">
        <v>790</v>
      </c>
      <c r="C581" s="18" t="s">
        <v>1838</v>
      </c>
      <c r="D581" s="18" t="s">
        <v>2001</v>
      </c>
      <c r="E581" s="18" t="s">
        <v>907</v>
      </c>
      <c r="F581" s="19">
        <v>45635</v>
      </c>
      <c r="G581" s="18">
        <v>639885.68000000005</v>
      </c>
      <c r="H581" s="37">
        <f t="shared" ref="H581:H644" si="32">$H$2-F581+1</f>
        <v>23</v>
      </c>
      <c r="I581" s="37" t="str">
        <f t="shared" si="31"/>
        <v>1-90 DAYS</v>
      </c>
      <c r="J581" s="37" t="str">
        <f t="shared" si="30"/>
        <v>0-180 DAYS</v>
      </c>
    </row>
    <row r="582" spans="1:10" hidden="1" x14ac:dyDescent="0.35">
      <c r="A582" s="88" t="s">
        <v>1209</v>
      </c>
      <c r="B582" s="88" t="s">
        <v>789</v>
      </c>
      <c r="C582" s="18" t="s">
        <v>125</v>
      </c>
      <c r="D582" s="18" t="s">
        <v>57</v>
      </c>
      <c r="E582" s="18" t="s">
        <v>2895</v>
      </c>
      <c r="F582" s="19">
        <v>45635</v>
      </c>
      <c r="G582" s="18">
        <v>519895.43</v>
      </c>
      <c r="H582" s="37">
        <f t="shared" si="32"/>
        <v>23</v>
      </c>
      <c r="I582" s="37" t="str">
        <f t="shared" si="31"/>
        <v>1-90 DAYS</v>
      </c>
      <c r="J582" s="37" t="str">
        <f t="shared" ref="J582:J645" si="33">IF(H582&lt;180,"0-180 DAYS","More than 180 Days")</f>
        <v>0-180 DAYS</v>
      </c>
    </row>
    <row r="583" spans="1:10" hidden="1" x14ac:dyDescent="0.35">
      <c r="A583" s="88" t="s">
        <v>1209</v>
      </c>
      <c r="B583" s="88" t="s">
        <v>789</v>
      </c>
      <c r="C583" s="18" t="s">
        <v>125</v>
      </c>
      <c r="D583" s="18" t="s">
        <v>57</v>
      </c>
      <c r="E583" s="18" t="s">
        <v>2896</v>
      </c>
      <c r="F583" s="19">
        <v>45635</v>
      </c>
      <c r="G583" s="18">
        <v>5715.64</v>
      </c>
      <c r="H583" s="37">
        <f t="shared" si="32"/>
        <v>23</v>
      </c>
      <c r="I583" s="37" t="str">
        <f t="shared" si="31"/>
        <v>1-90 DAYS</v>
      </c>
      <c r="J583" s="37" t="str">
        <f t="shared" si="33"/>
        <v>0-180 DAYS</v>
      </c>
    </row>
    <row r="584" spans="1:10" hidden="1" x14ac:dyDescent="0.35">
      <c r="A584" s="88" t="s">
        <v>1209</v>
      </c>
      <c r="B584" s="88" t="s">
        <v>789</v>
      </c>
      <c r="C584" s="18" t="s">
        <v>125</v>
      </c>
      <c r="D584" s="18" t="s">
        <v>57</v>
      </c>
      <c r="E584" s="18" t="s">
        <v>2897</v>
      </c>
      <c r="F584" s="19">
        <v>45635</v>
      </c>
      <c r="G584" s="18">
        <v>39875</v>
      </c>
      <c r="H584" s="37">
        <f t="shared" si="32"/>
        <v>23</v>
      </c>
      <c r="I584" s="37" t="str">
        <f t="shared" si="31"/>
        <v>1-90 DAYS</v>
      </c>
      <c r="J584" s="37" t="str">
        <f t="shared" si="33"/>
        <v>0-180 DAYS</v>
      </c>
    </row>
    <row r="585" spans="1:10" hidden="1" x14ac:dyDescent="0.35">
      <c r="A585" s="88" t="s">
        <v>1209</v>
      </c>
      <c r="B585" s="88" t="s">
        <v>789</v>
      </c>
      <c r="C585" s="18" t="s">
        <v>125</v>
      </c>
      <c r="D585" s="18" t="s">
        <v>57</v>
      </c>
      <c r="E585" s="18" t="s">
        <v>909</v>
      </c>
      <c r="F585" s="19">
        <v>45636</v>
      </c>
      <c r="G585" s="18">
        <v>36313</v>
      </c>
      <c r="H585" s="37">
        <f t="shared" si="32"/>
        <v>22</v>
      </c>
      <c r="I585" s="37" t="str">
        <f t="shared" si="31"/>
        <v>1-90 DAYS</v>
      </c>
      <c r="J585" s="37" t="str">
        <f t="shared" si="33"/>
        <v>0-180 DAYS</v>
      </c>
    </row>
    <row r="586" spans="1:10" hidden="1" x14ac:dyDescent="0.35">
      <c r="A586" s="88" t="s">
        <v>1209</v>
      </c>
      <c r="B586" s="88" t="s">
        <v>789</v>
      </c>
      <c r="C586" s="18" t="s">
        <v>125</v>
      </c>
      <c r="D586" s="18" t="s">
        <v>57</v>
      </c>
      <c r="E586" s="18" t="s">
        <v>2898</v>
      </c>
      <c r="F586" s="19">
        <v>45636</v>
      </c>
      <c r="G586" s="18">
        <v>328655.03000000003</v>
      </c>
      <c r="H586" s="37">
        <f t="shared" si="32"/>
        <v>22</v>
      </c>
      <c r="I586" s="37" t="str">
        <f t="shared" si="31"/>
        <v>1-90 DAYS</v>
      </c>
      <c r="J586" s="37" t="str">
        <f t="shared" si="33"/>
        <v>0-180 DAYS</v>
      </c>
    </row>
    <row r="587" spans="1:10" hidden="1" x14ac:dyDescent="0.35">
      <c r="A587" s="88" t="s">
        <v>1209</v>
      </c>
      <c r="B587" s="88" t="s">
        <v>789</v>
      </c>
      <c r="C587" s="18" t="s">
        <v>125</v>
      </c>
      <c r="D587" s="18" t="s">
        <v>57</v>
      </c>
      <c r="E587" s="18" t="s">
        <v>910</v>
      </c>
      <c r="F587" s="19">
        <v>45636</v>
      </c>
      <c r="G587" s="18">
        <v>2603.44</v>
      </c>
      <c r="H587" s="37">
        <f t="shared" si="32"/>
        <v>22</v>
      </c>
      <c r="I587" s="37" t="str">
        <f t="shared" si="31"/>
        <v>1-90 DAYS</v>
      </c>
      <c r="J587" s="37" t="str">
        <f t="shared" si="33"/>
        <v>0-180 DAYS</v>
      </c>
    </row>
    <row r="588" spans="1:10" hidden="1" x14ac:dyDescent="0.35">
      <c r="A588" s="88" t="s">
        <v>477</v>
      </c>
      <c r="B588" s="88" t="s">
        <v>790</v>
      </c>
      <c r="C588" s="18" t="s">
        <v>1196</v>
      </c>
      <c r="D588" s="18" t="s">
        <v>1208</v>
      </c>
      <c r="E588" s="18" t="s">
        <v>908</v>
      </c>
      <c r="F588" s="19">
        <v>45636</v>
      </c>
      <c r="G588" s="18">
        <v>2030731.9</v>
      </c>
      <c r="H588" s="37">
        <f t="shared" si="32"/>
        <v>22</v>
      </c>
      <c r="I588" s="37" t="str">
        <f t="shared" si="31"/>
        <v>1-90 DAYS</v>
      </c>
      <c r="J588" s="37" t="str">
        <f t="shared" si="33"/>
        <v>0-180 DAYS</v>
      </c>
    </row>
    <row r="589" spans="1:10" hidden="1" x14ac:dyDescent="0.35">
      <c r="A589" s="88" t="s">
        <v>1209</v>
      </c>
      <c r="B589" s="88" t="s">
        <v>789</v>
      </c>
      <c r="C589" s="18" t="s">
        <v>125</v>
      </c>
      <c r="D589" s="18" t="s">
        <v>57</v>
      </c>
      <c r="E589" s="18" t="s">
        <v>915</v>
      </c>
      <c r="F589" s="19">
        <v>45637</v>
      </c>
      <c r="G589" s="18">
        <v>547286.28</v>
      </c>
      <c r="H589" s="37">
        <f t="shared" si="32"/>
        <v>21</v>
      </c>
      <c r="I589" s="37" t="str">
        <f t="shared" si="31"/>
        <v>1-90 DAYS</v>
      </c>
      <c r="J589" s="37" t="str">
        <f t="shared" si="33"/>
        <v>0-180 DAYS</v>
      </c>
    </row>
    <row r="590" spans="1:10" hidden="1" x14ac:dyDescent="0.35">
      <c r="A590" s="88" t="s">
        <v>1209</v>
      </c>
      <c r="B590" s="88" t="s">
        <v>789</v>
      </c>
      <c r="C590" s="18" t="s">
        <v>125</v>
      </c>
      <c r="D590" s="18" t="s">
        <v>57</v>
      </c>
      <c r="E590" s="18" t="s">
        <v>2899</v>
      </c>
      <c r="F590" s="19">
        <v>45637</v>
      </c>
      <c r="G590" s="18">
        <v>2320.2399999999998</v>
      </c>
      <c r="H590" s="37">
        <f t="shared" si="32"/>
        <v>21</v>
      </c>
      <c r="I590" s="37" t="str">
        <f t="shared" si="31"/>
        <v>1-90 DAYS</v>
      </c>
      <c r="J590" s="37" t="str">
        <f t="shared" si="33"/>
        <v>0-180 DAYS</v>
      </c>
    </row>
    <row r="591" spans="1:10" hidden="1" x14ac:dyDescent="0.35">
      <c r="A591" s="88" t="s">
        <v>477</v>
      </c>
      <c r="B591" s="88" t="s">
        <v>790</v>
      </c>
      <c r="C591" s="18" t="s">
        <v>2380</v>
      </c>
      <c r="D591" s="18" t="s">
        <v>1081</v>
      </c>
      <c r="E591" s="18" t="s">
        <v>2900</v>
      </c>
      <c r="F591" s="19">
        <v>45638</v>
      </c>
      <c r="G591" s="18">
        <v>232565.08</v>
      </c>
      <c r="H591" s="37">
        <f t="shared" si="32"/>
        <v>20</v>
      </c>
      <c r="I591" s="37" t="str">
        <f t="shared" si="31"/>
        <v>1-90 DAYS</v>
      </c>
      <c r="J591" s="37" t="str">
        <f t="shared" si="33"/>
        <v>0-180 DAYS</v>
      </c>
    </row>
    <row r="592" spans="1:10" hidden="1" x14ac:dyDescent="0.35">
      <c r="A592" s="88" t="s">
        <v>1209</v>
      </c>
      <c r="B592" s="88" t="s">
        <v>789</v>
      </c>
      <c r="C592" s="18" t="s">
        <v>125</v>
      </c>
      <c r="D592" s="18" t="s">
        <v>57</v>
      </c>
      <c r="E592" s="18" t="s">
        <v>916</v>
      </c>
      <c r="F592" s="19">
        <v>45638</v>
      </c>
      <c r="G592" s="18">
        <v>949903.59</v>
      </c>
      <c r="H592" s="37">
        <f t="shared" si="32"/>
        <v>20</v>
      </c>
      <c r="I592" s="37" t="str">
        <f t="shared" si="31"/>
        <v>1-90 DAYS</v>
      </c>
      <c r="J592" s="37" t="str">
        <f t="shared" si="33"/>
        <v>0-180 DAYS</v>
      </c>
    </row>
    <row r="593" spans="1:10" hidden="1" x14ac:dyDescent="0.35">
      <c r="A593" s="88" t="s">
        <v>1209</v>
      </c>
      <c r="B593" s="88" t="s">
        <v>789</v>
      </c>
      <c r="C593" s="18" t="s">
        <v>125</v>
      </c>
      <c r="D593" s="18" t="s">
        <v>57</v>
      </c>
      <c r="E593" s="18" t="s">
        <v>917</v>
      </c>
      <c r="F593" s="19">
        <v>45638</v>
      </c>
      <c r="G593" s="18">
        <v>112169.13</v>
      </c>
      <c r="H593" s="37">
        <f t="shared" si="32"/>
        <v>20</v>
      </c>
      <c r="I593" s="37" t="str">
        <f t="shared" si="31"/>
        <v>1-90 DAYS</v>
      </c>
      <c r="J593" s="37" t="str">
        <f t="shared" si="33"/>
        <v>0-180 DAYS</v>
      </c>
    </row>
    <row r="594" spans="1:10" hidden="1" x14ac:dyDescent="0.35">
      <c r="A594" s="88" t="s">
        <v>1209</v>
      </c>
      <c r="B594" s="88" t="s">
        <v>789</v>
      </c>
      <c r="C594" s="18" t="s">
        <v>125</v>
      </c>
      <c r="D594" s="18" t="s">
        <v>57</v>
      </c>
      <c r="E594" s="18" t="s">
        <v>2901</v>
      </c>
      <c r="F594" s="19">
        <v>45638</v>
      </c>
      <c r="G594" s="18">
        <v>295425.59999999998</v>
      </c>
      <c r="H594" s="37">
        <f t="shared" si="32"/>
        <v>20</v>
      </c>
      <c r="I594" s="37" t="str">
        <f t="shared" si="31"/>
        <v>1-90 DAYS</v>
      </c>
      <c r="J594" s="37" t="str">
        <f t="shared" si="33"/>
        <v>0-180 DAYS</v>
      </c>
    </row>
    <row r="595" spans="1:10" hidden="1" x14ac:dyDescent="0.35">
      <c r="A595" s="88" t="s">
        <v>1209</v>
      </c>
      <c r="B595" s="88" t="s">
        <v>789</v>
      </c>
      <c r="C595" s="18" t="s">
        <v>125</v>
      </c>
      <c r="D595" s="18" t="s">
        <v>57</v>
      </c>
      <c r="E595" s="18" t="s">
        <v>919</v>
      </c>
      <c r="F595" s="19">
        <v>45638</v>
      </c>
      <c r="G595" s="18">
        <v>3961.8</v>
      </c>
      <c r="H595" s="37">
        <f t="shared" si="32"/>
        <v>20</v>
      </c>
      <c r="I595" s="37" t="str">
        <f t="shared" si="31"/>
        <v>1-90 DAYS</v>
      </c>
      <c r="J595" s="37" t="str">
        <f t="shared" si="33"/>
        <v>0-180 DAYS</v>
      </c>
    </row>
    <row r="596" spans="1:10" hidden="1" x14ac:dyDescent="0.35">
      <c r="A596" s="88" t="s">
        <v>1209</v>
      </c>
      <c r="B596" s="88" t="s">
        <v>789</v>
      </c>
      <c r="C596" s="18" t="s">
        <v>125</v>
      </c>
      <c r="D596" s="18" t="s">
        <v>57</v>
      </c>
      <c r="E596" s="18" t="s">
        <v>920</v>
      </c>
      <c r="F596" s="19">
        <v>45638</v>
      </c>
      <c r="G596" s="18">
        <v>359273.47</v>
      </c>
      <c r="H596" s="37">
        <f t="shared" si="32"/>
        <v>20</v>
      </c>
      <c r="I596" s="37" t="str">
        <f t="shared" si="31"/>
        <v>1-90 DAYS</v>
      </c>
      <c r="J596" s="37" t="str">
        <f t="shared" si="33"/>
        <v>0-180 DAYS</v>
      </c>
    </row>
    <row r="597" spans="1:10" hidden="1" x14ac:dyDescent="0.35">
      <c r="A597" s="88" t="s">
        <v>1209</v>
      </c>
      <c r="B597" s="88" t="s">
        <v>789</v>
      </c>
      <c r="C597" s="18" t="s">
        <v>125</v>
      </c>
      <c r="D597" s="18" t="s">
        <v>57</v>
      </c>
      <c r="E597" s="18" t="s">
        <v>918</v>
      </c>
      <c r="F597" s="19">
        <v>45638</v>
      </c>
      <c r="G597" s="18">
        <v>25025</v>
      </c>
      <c r="H597" s="37">
        <f t="shared" si="32"/>
        <v>20</v>
      </c>
      <c r="I597" s="37" t="str">
        <f t="shared" si="31"/>
        <v>1-90 DAYS</v>
      </c>
      <c r="J597" s="37" t="str">
        <f t="shared" si="33"/>
        <v>0-180 DAYS</v>
      </c>
    </row>
    <row r="598" spans="1:10" hidden="1" x14ac:dyDescent="0.35">
      <c r="A598" s="88" t="s">
        <v>477</v>
      </c>
      <c r="B598" s="88" t="s">
        <v>790</v>
      </c>
      <c r="C598" s="18" t="s">
        <v>2380</v>
      </c>
      <c r="D598" s="18" t="s">
        <v>1081</v>
      </c>
      <c r="E598" s="18" t="s">
        <v>923</v>
      </c>
      <c r="F598" s="19">
        <v>45639</v>
      </c>
      <c r="G598" s="18">
        <v>465131.04</v>
      </c>
      <c r="H598" s="37">
        <f t="shared" si="32"/>
        <v>19</v>
      </c>
      <c r="I598" s="37" t="str">
        <f t="shared" ref="I598:I661" si="34">IF(H598&lt;91,"1-90 DAYS",IF(H598&lt;121,"91-120DAYS",IF(H598&lt;181,"121-180 DAYS","More than 180 Days")))</f>
        <v>1-90 DAYS</v>
      </c>
      <c r="J598" s="37" t="str">
        <f t="shared" si="33"/>
        <v>0-180 DAYS</v>
      </c>
    </row>
    <row r="599" spans="1:10" hidden="1" x14ac:dyDescent="0.35">
      <c r="A599" s="88" t="s">
        <v>1209</v>
      </c>
      <c r="B599" s="88" t="s">
        <v>789</v>
      </c>
      <c r="C599" s="18" t="s">
        <v>125</v>
      </c>
      <c r="D599" s="18" t="s">
        <v>57</v>
      </c>
      <c r="E599" s="18" t="s">
        <v>924</v>
      </c>
      <c r="F599" s="19">
        <v>45639</v>
      </c>
      <c r="G599" s="18">
        <v>332430.48</v>
      </c>
      <c r="H599" s="37">
        <f t="shared" si="32"/>
        <v>19</v>
      </c>
      <c r="I599" s="37" t="str">
        <f t="shared" si="34"/>
        <v>1-90 DAYS</v>
      </c>
      <c r="J599" s="37" t="str">
        <f t="shared" si="33"/>
        <v>0-180 DAYS</v>
      </c>
    </row>
    <row r="600" spans="1:10" hidden="1" x14ac:dyDescent="0.35">
      <c r="A600" s="88" t="s">
        <v>1209</v>
      </c>
      <c r="B600" s="88" t="s">
        <v>789</v>
      </c>
      <c r="C600" s="18" t="s">
        <v>125</v>
      </c>
      <c r="D600" s="18" t="s">
        <v>57</v>
      </c>
      <c r="E600" s="18" t="s">
        <v>922</v>
      </c>
      <c r="F600" s="19">
        <v>45639</v>
      </c>
      <c r="G600" s="18">
        <v>2263.6</v>
      </c>
      <c r="H600" s="37">
        <f t="shared" si="32"/>
        <v>19</v>
      </c>
      <c r="I600" s="37" t="str">
        <f t="shared" si="34"/>
        <v>1-90 DAYS</v>
      </c>
      <c r="J600" s="37" t="str">
        <f t="shared" si="33"/>
        <v>0-180 DAYS</v>
      </c>
    </row>
    <row r="601" spans="1:10" hidden="1" x14ac:dyDescent="0.35">
      <c r="A601" s="88" t="s">
        <v>1209</v>
      </c>
      <c r="B601" s="88" t="s">
        <v>789</v>
      </c>
      <c r="C601" s="18" t="s">
        <v>125</v>
      </c>
      <c r="D601" s="18" t="s">
        <v>57</v>
      </c>
      <c r="E601" s="18" t="s">
        <v>2902</v>
      </c>
      <c r="F601" s="19">
        <v>45640</v>
      </c>
      <c r="G601" s="18">
        <v>411928.51</v>
      </c>
      <c r="H601" s="37">
        <f t="shared" si="32"/>
        <v>18</v>
      </c>
      <c r="I601" s="37" t="str">
        <f t="shared" si="34"/>
        <v>1-90 DAYS</v>
      </c>
      <c r="J601" s="37" t="str">
        <f t="shared" si="33"/>
        <v>0-180 DAYS</v>
      </c>
    </row>
    <row r="602" spans="1:10" hidden="1" x14ac:dyDescent="0.35">
      <c r="A602" s="88" t="s">
        <v>1209</v>
      </c>
      <c r="B602" s="88" t="s">
        <v>789</v>
      </c>
      <c r="C602" s="18" t="s">
        <v>125</v>
      </c>
      <c r="D602" s="18" t="s">
        <v>57</v>
      </c>
      <c r="E602" s="18" t="s">
        <v>2903</v>
      </c>
      <c r="F602" s="19">
        <v>45640</v>
      </c>
      <c r="G602" s="18">
        <v>3338.76</v>
      </c>
      <c r="H602" s="37">
        <f t="shared" si="32"/>
        <v>18</v>
      </c>
      <c r="I602" s="37" t="str">
        <f t="shared" si="34"/>
        <v>1-90 DAYS</v>
      </c>
      <c r="J602" s="37" t="str">
        <f t="shared" si="33"/>
        <v>0-180 DAYS</v>
      </c>
    </row>
    <row r="603" spans="1:10" hidden="1" x14ac:dyDescent="0.35">
      <c r="A603" s="88" t="s">
        <v>1209</v>
      </c>
      <c r="B603" s="88" t="s">
        <v>789</v>
      </c>
      <c r="C603" s="18" t="s">
        <v>125</v>
      </c>
      <c r="D603" s="18" t="s">
        <v>57</v>
      </c>
      <c r="E603" s="18" t="s">
        <v>928</v>
      </c>
      <c r="F603" s="19">
        <v>45640</v>
      </c>
      <c r="G603" s="18">
        <v>33000</v>
      </c>
      <c r="H603" s="37">
        <f t="shared" si="32"/>
        <v>18</v>
      </c>
      <c r="I603" s="37" t="str">
        <f t="shared" si="34"/>
        <v>1-90 DAYS</v>
      </c>
      <c r="J603" s="37" t="str">
        <f t="shared" si="33"/>
        <v>0-180 DAYS</v>
      </c>
    </row>
    <row r="604" spans="1:10" hidden="1" x14ac:dyDescent="0.35">
      <c r="A604" s="88" t="s">
        <v>1209</v>
      </c>
      <c r="B604" s="88" t="s">
        <v>789</v>
      </c>
      <c r="C604" s="18" t="s">
        <v>125</v>
      </c>
      <c r="D604" s="18" t="s">
        <v>57</v>
      </c>
      <c r="E604" s="18" t="s">
        <v>932</v>
      </c>
      <c r="F604" s="19">
        <v>45641</v>
      </c>
      <c r="G604" s="18">
        <v>272444.34000000003</v>
      </c>
      <c r="H604" s="37">
        <f t="shared" si="32"/>
        <v>17</v>
      </c>
      <c r="I604" s="37" t="str">
        <f t="shared" si="34"/>
        <v>1-90 DAYS</v>
      </c>
      <c r="J604" s="37" t="str">
        <f t="shared" si="33"/>
        <v>0-180 DAYS</v>
      </c>
    </row>
    <row r="605" spans="1:10" hidden="1" x14ac:dyDescent="0.35">
      <c r="A605" s="88" t="s">
        <v>477</v>
      </c>
      <c r="B605" s="88" t="s">
        <v>790</v>
      </c>
      <c r="C605" s="18" t="s">
        <v>2380</v>
      </c>
      <c r="D605" s="18" t="s">
        <v>1081</v>
      </c>
      <c r="E605" s="18" t="s">
        <v>2904</v>
      </c>
      <c r="F605" s="19">
        <v>45642</v>
      </c>
      <c r="G605" s="18">
        <v>1453535.9</v>
      </c>
      <c r="H605" s="37">
        <f t="shared" si="32"/>
        <v>16</v>
      </c>
      <c r="I605" s="37" t="str">
        <f t="shared" si="34"/>
        <v>1-90 DAYS</v>
      </c>
      <c r="J605" s="37" t="str">
        <f t="shared" si="33"/>
        <v>0-180 DAYS</v>
      </c>
    </row>
    <row r="606" spans="1:10" hidden="1" x14ac:dyDescent="0.35">
      <c r="A606" s="88" t="s">
        <v>1209</v>
      </c>
      <c r="B606" s="88" t="s">
        <v>789</v>
      </c>
      <c r="C606" s="18" t="s">
        <v>125</v>
      </c>
      <c r="D606" s="18" t="s">
        <v>57</v>
      </c>
      <c r="E606" s="18" t="s">
        <v>939</v>
      </c>
      <c r="F606" s="19">
        <v>45642</v>
      </c>
      <c r="G606" s="18">
        <v>521227.32</v>
      </c>
      <c r="H606" s="37">
        <f t="shared" si="32"/>
        <v>16</v>
      </c>
      <c r="I606" s="37" t="str">
        <f t="shared" si="34"/>
        <v>1-90 DAYS</v>
      </c>
      <c r="J606" s="37" t="str">
        <f t="shared" si="33"/>
        <v>0-180 DAYS</v>
      </c>
    </row>
    <row r="607" spans="1:10" hidden="1" x14ac:dyDescent="0.35">
      <c r="A607" s="88" t="s">
        <v>1209</v>
      </c>
      <c r="B607" s="88" t="s">
        <v>789</v>
      </c>
      <c r="C607" s="18" t="s">
        <v>125</v>
      </c>
      <c r="D607" s="18" t="s">
        <v>57</v>
      </c>
      <c r="E607" s="18" t="s">
        <v>2905</v>
      </c>
      <c r="F607" s="19">
        <v>45642</v>
      </c>
      <c r="G607" s="18">
        <v>396112.99</v>
      </c>
      <c r="H607" s="37">
        <f t="shared" si="32"/>
        <v>16</v>
      </c>
      <c r="I607" s="37" t="str">
        <f t="shared" si="34"/>
        <v>1-90 DAYS</v>
      </c>
      <c r="J607" s="37" t="str">
        <f t="shared" si="33"/>
        <v>0-180 DAYS</v>
      </c>
    </row>
    <row r="608" spans="1:10" hidden="1" x14ac:dyDescent="0.35">
      <c r="A608" s="88" t="s">
        <v>1209</v>
      </c>
      <c r="B608" s="88" t="s">
        <v>789</v>
      </c>
      <c r="C608" s="18" t="s">
        <v>125</v>
      </c>
      <c r="D608" s="18" t="s">
        <v>57</v>
      </c>
      <c r="E608" s="18" t="s">
        <v>938</v>
      </c>
      <c r="F608" s="19">
        <v>45642</v>
      </c>
      <c r="G608" s="18">
        <v>4867.04</v>
      </c>
      <c r="H608" s="37">
        <f t="shared" si="32"/>
        <v>16</v>
      </c>
      <c r="I608" s="37" t="str">
        <f t="shared" si="34"/>
        <v>1-90 DAYS</v>
      </c>
      <c r="J608" s="37" t="str">
        <f t="shared" si="33"/>
        <v>0-180 DAYS</v>
      </c>
    </row>
    <row r="609" spans="1:10" hidden="1" x14ac:dyDescent="0.35">
      <c r="A609" s="88" t="s">
        <v>1209</v>
      </c>
      <c r="B609" s="88" t="s">
        <v>789</v>
      </c>
      <c r="C609" s="18" t="s">
        <v>125</v>
      </c>
      <c r="D609" s="18" t="s">
        <v>57</v>
      </c>
      <c r="E609" s="18" t="s">
        <v>942</v>
      </c>
      <c r="F609" s="19">
        <v>45643</v>
      </c>
      <c r="G609" s="18">
        <v>358416</v>
      </c>
      <c r="H609" s="37">
        <f t="shared" si="32"/>
        <v>15</v>
      </c>
      <c r="I609" s="37" t="str">
        <f t="shared" si="34"/>
        <v>1-90 DAYS</v>
      </c>
      <c r="J609" s="37" t="str">
        <f t="shared" si="33"/>
        <v>0-180 DAYS</v>
      </c>
    </row>
    <row r="610" spans="1:10" hidden="1" x14ac:dyDescent="0.35">
      <c r="A610" s="88" t="s">
        <v>1209</v>
      </c>
      <c r="B610" s="88" t="s">
        <v>789</v>
      </c>
      <c r="C610" s="18" t="s">
        <v>125</v>
      </c>
      <c r="D610" s="18" t="s">
        <v>57</v>
      </c>
      <c r="E610" s="18" t="s">
        <v>2906</v>
      </c>
      <c r="F610" s="19">
        <v>45643</v>
      </c>
      <c r="G610" s="18">
        <v>181122.98</v>
      </c>
      <c r="H610" s="37">
        <f t="shared" si="32"/>
        <v>15</v>
      </c>
      <c r="I610" s="37" t="str">
        <f t="shared" si="34"/>
        <v>1-90 DAYS</v>
      </c>
      <c r="J610" s="37" t="str">
        <f t="shared" si="33"/>
        <v>0-180 DAYS</v>
      </c>
    </row>
    <row r="611" spans="1:10" hidden="1" x14ac:dyDescent="0.35">
      <c r="A611" s="88" t="s">
        <v>1209</v>
      </c>
      <c r="B611" s="88" t="s">
        <v>789</v>
      </c>
      <c r="C611" s="18" t="s">
        <v>125</v>
      </c>
      <c r="D611" s="18" t="s">
        <v>57</v>
      </c>
      <c r="E611" s="18" t="s">
        <v>944</v>
      </c>
      <c r="F611" s="19">
        <v>45643</v>
      </c>
      <c r="G611" s="18">
        <v>1358.36</v>
      </c>
      <c r="H611" s="37">
        <f t="shared" si="32"/>
        <v>15</v>
      </c>
      <c r="I611" s="37" t="str">
        <f t="shared" si="34"/>
        <v>1-90 DAYS</v>
      </c>
      <c r="J611" s="37" t="str">
        <f t="shared" si="33"/>
        <v>0-180 DAYS</v>
      </c>
    </row>
    <row r="612" spans="1:10" hidden="1" x14ac:dyDescent="0.35">
      <c r="A612" s="88" t="s">
        <v>1209</v>
      </c>
      <c r="B612" s="88" t="s">
        <v>789</v>
      </c>
      <c r="C612" s="18" t="s">
        <v>125</v>
      </c>
      <c r="D612" s="18" t="s">
        <v>57</v>
      </c>
      <c r="E612" s="18" t="s">
        <v>945</v>
      </c>
      <c r="F612" s="19">
        <v>45644</v>
      </c>
      <c r="G612" s="18">
        <v>403194.73</v>
      </c>
      <c r="H612" s="37">
        <f t="shared" si="32"/>
        <v>14</v>
      </c>
      <c r="I612" s="37" t="str">
        <f t="shared" si="34"/>
        <v>1-90 DAYS</v>
      </c>
      <c r="J612" s="37" t="str">
        <f t="shared" si="33"/>
        <v>0-180 DAYS</v>
      </c>
    </row>
    <row r="613" spans="1:10" hidden="1" x14ac:dyDescent="0.35">
      <c r="A613" s="88" t="s">
        <v>1209</v>
      </c>
      <c r="B613" s="88" t="s">
        <v>789</v>
      </c>
      <c r="C613" s="18" t="s">
        <v>125</v>
      </c>
      <c r="D613" s="18" t="s">
        <v>57</v>
      </c>
      <c r="E613" s="18" t="s">
        <v>2907</v>
      </c>
      <c r="F613" s="19">
        <v>45644</v>
      </c>
      <c r="G613" s="18">
        <v>848.6</v>
      </c>
      <c r="H613" s="37">
        <f t="shared" si="32"/>
        <v>14</v>
      </c>
      <c r="I613" s="37" t="str">
        <f t="shared" si="34"/>
        <v>1-90 DAYS</v>
      </c>
      <c r="J613" s="37" t="str">
        <f t="shared" si="33"/>
        <v>0-180 DAYS</v>
      </c>
    </row>
    <row r="614" spans="1:10" hidden="1" x14ac:dyDescent="0.35">
      <c r="A614" s="88" t="s">
        <v>477</v>
      </c>
      <c r="B614" s="88" t="s">
        <v>790</v>
      </c>
      <c r="C614" s="18" t="s">
        <v>2380</v>
      </c>
      <c r="D614" s="18" t="s">
        <v>1081</v>
      </c>
      <c r="E614" s="18" t="s">
        <v>948</v>
      </c>
      <c r="F614" s="19">
        <v>45645</v>
      </c>
      <c r="G614" s="18">
        <v>581414.56000000006</v>
      </c>
      <c r="H614" s="37">
        <f t="shared" si="32"/>
        <v>13</v>
      </c>
      <c r="I614" s="37" t="str">
        <f t="shared" si="34"/>
        <v>1-90 DAYS</v>
      </c>
      <c r="J614" s="37" t="str">
        <f t="shared" si="33"/>
        <v>0-180 DAYS</v>
      </c>
    </row>
    <row r="615" spans="1:10" hidden="1" x14ac:dyDescent="0.35">
      <c r="A615" s="88" t="s">
        <v>477</v>
      </c>
      <c r="B615" s="88" t="s">
        <v>790</v>
      </c>
      <c r="C615" s="18" t="s">
        <v>2380</v>
      </c>
      <c r="D615" s="18" t="s">
        <v>1081</v>
      </c>
      <c r="E615" s="18" t="s">
        <v>2908</v>
      </c>
      <c r="F615" s="19">
        <v>45645</v>
      </c>
      <c r="G615" s="18">
        <v>228048.26</v>
      </c>
      <c r="H615" s="37">
        <f t="shared" si="32"/>
        <v>13</v>
      </c>
      <c r="I615" s="37" t="str">
        <f t="shared" si="34"/>
        <v>1-90 DAYS</v>
      </c>
      <c r="J615" s="37" t="str">
        <f t="shared" si="33"/>
        <v>0-180 DAYS</v>
      </c>
    </row>
    <row r="616" spans="1:10" hidden="1" x14ac:dyDescent="0.35">
      <c r="A616" s="88" t="s">
        <v>1209</v>
      </c>
      <c r="B616" s="88" t="s">
        <v>789</v>
      </c>
      <c r="C616" s="18" t="s">
        <v>125</v>
      </c>
      <c r="D616" s="18" t="s">
        <v>57</v>
      </c>
      <c r="E616" s="18" t="s">
        <v>2909</v>
      </c>
      <c r="F616" s="19">
        <v>45645</v>
      </c>
      <c r="G616" s="18">
        <v>901994.12</v>
      </c>
      <c r="H616" s="37">
        <f t="shared" si="32"/>
        <v>13</v>
      </c>
      <c r="I616" s="37" t="str">
        <f t="shared" si="34"/>
        <v>1-90 DAYS</v>
      </c>
      <c r="J616" s="37" t="str">
        <f t="shared" si="33"/>
        <v>0-180 DAYS</v>
      </c>
    </row>
    <row r="617" spans="1:10" hidden="1" x14ac:dyDescent="0.35">
      <c r="A617" s="88" t="s">
        <v>1209</v>
      </c>
      <c r="B617" s="88" t="s">
        <v>789</v>
      </c>
      <c r="C617" s="18" t="s">
        <v>125</v>
      </c>
      <c r="D617" s="18" t="s">
        <v>57</v>
      </c>
      <c r="E617" s="18" t="s">
        <v>2910</v>
      </c>
      <c r="F617" s="19">
        <v>45645</v>
      </c>
      <c r="G617" s="18">
        <v>740594.11</v>
      </c>
      <c r="H617" s="37">
        <f t="shared" si="32"/>
        <v>13</v>
      </c>
      <c r="I617" s="37" t="str">
        <f t="shared" si="34"/>
        <v>1-90 DAYS</v>
      </c>
      <c r="J617" s="37" t="str">
        <f t="shared" si="33"/>
        <v>0-180 DAYS</v>
      </c>
    </row>
    <row r="618" spans="1:10" hidden="1" x14ac:dyDescent="0.35">
      <c r="A618" s="88" t="s">
        <v>1209</v>
      </c>
      <c r="B618" s="88" t="s">
        <v>789</v>
      </c>
      <c r="C618" s="18" t="s">
        <v>125</v>
      </c>
      <c r="D618" s="18" t="s">
        <v>57</v>
      </c>
      <c r="E618" s="18" t="s">
        <v>947</v>
      </c>
      <c r="F618" s="19">
        <v>45645</v>
      </c>
      <c r="G618" s="18">
        <v>3621.96</v>
      </c>
      <c r="H618" s="37">
        <f t="shared" si="32"/>
        <v>13</v>
      </c>
      <c r="I618" s="37" t="str">
        <f t="shared" si="34"/>
        <v>1-90 DAYS</v>
      </c>
      <c r="J618" s="37" t="str">
        <f t="shared" si="33"/>
        <v>0-180 DAYS</v>
      </c>
    </row>
    <row r="619" spans="1:10" hidden="1" x14ac:dyDescent="0.35">
      <c r="A619" s="88" t="s">
        <v>477</v>
      </c>
      <c r="B619" s="88" t="s">
        <v>790</v>
      </c>
      <c r="C619" s="18" t="s">
        <v>2380</v>
      </c>
      <c r="D619" s="18" t="s">
        <v>1081</v>
      </c>
      <c r="E619" s="18" t="s">
        <v>959</v>
      </c>
      <c r="F619" s="19">
        <v>45646</v>
      </c>
      <c r="G619" s="18">
        <v>1140239.32</v>
      </c>
      <c r="H619" s="37">
        <f t="shared" si="32"/>
        <v>12</v>
      </c>
      <c r="I619" s="37" t="str">
        <f t="shared" si="34"/>
        <v>1-90 DAYS</v>
      </c>
      <c r="J619" s="37" t="str">
        <f t="shared" si="33"/>
        <v>0-180 DAYS</v>
      </c>
    </row>
    <row r="620" spans="1:10" hidden="1" x14ac:dyDescent="0.35">
      <c r="A620" s="88" t="s">
        <v>1209</v>
      </c>
      <c r="B620" s="88" t="s">
        <v>789</v>
      </c>
      <c r="C620" s="18" t="s">
        <v>125</v>
      </c>
      <c r="D620" s="18" t="s">
        <v>57</v>
      </c>
      <c r="E620" s="18" t="s">
        <v>952</v>
      </c>
      <c r="F620" s="19">
        <v>45646</v>
      </c>
      <c r="G620" s="18">
        <v>882456.6</v>
      </c>
      <c r="H620" s="37">
        <f t="shared" si="32"/>
        <v>12</v>
      </c>
      <c r="I620" s="37" t="str">
        <f t="shared" si="34"/>
        <v>1-90 DAYS</v>
      </c>
      <c r="J620" s="37" t="str">
        <f t="shared" si="33"/>
        <v>0-180 DAYS</v>
      </c>
    </row>
    <row r="621" spans="1:10" hidden="1" x14ac:dyDescent="0.35">
      <c r="A621" s="88" t="s">
        <v>1209</v>
      </c>
      <c r="B621" s="88" t="s">
        <v>789</v>
      </c>
      <c r="C621" s="18" t="s">
        <v>125</v>
      </c>
      <c r="D621" s="18" t="s">
        <v>57</v>
      </c>
      <c r="E621" s="18" t="s">
        <v>2911</v>
      </c>
      <c r="F621" s="19">
        <v>45646</v>
      </c>
      <c r="G621" s="18">
        <v>10356.120000000001</v>
      </c>
      <c r="H621" s="37">
        <f t="shared" si="32"/>
        <v>12</v>
      </c>
      <c r="I621" s="37" t="str">
        <f t="shared" si="34"/>
        <v>1-90 DAYS</v>
      </c>
      <c r="J621" s="37" t="str">
        <f t="shared" si="33"/>
        <v>0-180 DAYS</v>
      </c>
    </row>
    <row r="622" spans="1:10" hidden="1" x14ac:dyDescent="0.35">
      <c r="A622" s="88" t="s">
        <v>1209</v>
      </c>
      <c r="B622" s="88" t="s">
        <v>789</v>
      </c>
      <c r="C622" s="18" t="s">
        <v>125</v>
      </c>
      <c r="D622" s="18" t="s">
        <v>57</v>
      </c>
      <c r="E622" s="18" t="s">
        <v>951</v>
      </c>
      <c r="F622" s="19">
        <v>45646</v>
      </c>
      <c r="G622" s="18">
        <v>73150</v>
      </c>
      <c r="H622" s="37">
        <f t="shared" si="32"/>
        <v>12</v>
      </c>
      <c r="I622" s="37" t="str">
        <f t="shared" si="34"/>
        <v>1-90 DAYS</v>
      </c>
      <c r="J622" s="37" t="str">
        <f t="shared" si="33"/>
        <v>0-180 DAYS</v>
      </c>
    </row>
    <row r="623" spans="1:10" hidden="1" x14ac:dyDescent="0.35">
      <c r="A623" s="88" t="s">
        <v>477</v>
      </c>
      <c r="B623" s="88" t="s">
        <v>790</v>
      </c>
      <c r="C623" s="18" t="s">
        <v>2380</v>
      </c>
      <c r="D623" s="18" t="s">
        <v>1081</v>
      </c>
      <c r="E623" s="18" t="s">
        <v>962</v>
      </c>
      <c r="F623" s="19">
        <v>45647</v>
      </c>
      <c r="G623" s="18">
        <v>1453535.9</v>
      </c>
      <c r="H623" s="37">
        <f t="shared" si="32"/>
        <v>11</v>
      </c>
      <c r="I623" s="37" t="str">
        <f t="shared" si="34"/>
        <v>1-90 DAYS</v>
      </c>
      <c r="J623" s="37" t="str">
        <f t="shared" si="33"/>
        <v>0-180 DAYS</v>
      </c>
    </row>
    <row r="624" spans="1:10" hidden="1" x14ac:dyDescent="0.35">
      <c r="A624" s="88" t="s">
        <v>1209</v>
      </c>
      <c r="B624" s="88" t="s">
        <v>789</v>
      </c>
      <c r="C624" s="18" t="s">
        <v>125</v>
      </c>
      <c r="D624" s="18" t="s">
        <v>57</v>
      </c>
      <c r="E624" s="18" t="s">
        <v>2912</v>
      </c>
      <c r="F624" s="19">
        <v>45647</v>
      </c>
      <c r="G624" s="18">
        <v>56892.41</v>
      </c>
      <c r="H624" s="37">
        <f t="shared" si="32"/>
        <v>11</v>
      </c>
      <c r="I624" s="37" t="str">
        <f t="shared" si="34"/>
        <v>1-90 DAYS</v>
      </c>
      <c r="J624" s="37" t="str">
        <f t="shared" si="33"/>
        <v>0-180 DAYS</v>
      </c>
    </row>
    <row r="625" spans="1:10" hidden="1" x14ac:dyDescent="0.35">
      <c r="A625" s="88" t="s">
        <v>1209</v>
      </c>
      <c r="B625" s="88" t="s">
        <v>789</v>
      </c>
      <c r="C625" s="18" t="s">
        <v>125</v>
      </c>
      <c r="D625" s="18" t="s">
        <v>57</v>
      </c>
      <c r="E625" s="18" t="s">
        <v>963</v>
      </c>
      <c r="F625" s="19">
        <v>45648</v>
      </c>
      <c r="G625" s="18">
        <v>28198.49</v>
      </c>
      <c r="H625" s="37">
        <f t="shared" si="32"/>
        <v>10</v>
      </c>
      <c r="I625" s="37" t="str">
        <f t="shared" si="34"/>
        <v>1-90 DAYS</v>
      </c>
      <c r="J625" s="37" t="str">
        <f t="shared" si="33"/>
        <v>0-180 DAYS</v>
      </c>
    </row>
    <row r="626" spans="1:10" hidden="1" x14ac:dyDescent="0.35">
      <c r="A626" s="88" t="s">
        <v>1209</v>
      </c>
      <c r="B626" s="88" t="s">
        <v>789</v>
      </c>
      <c r="C626" s="18" t="s">
        <v>125</v>
      </c>
      <c r="D626" s="18" t="s">
        <v>57</v>
      </c>
      <c r="E626" s="18" t="s">
        <v>2913</v>
      </c>
      <c r="F626" s="19">
        <v>45648</v>
      </c>
      <c r="G626" s="18">
        <v>472051.63</v>
      </c>
      <c r="H626" s="37">
        <f t="shared" si="32"/>
        <v>10</v>
      </c>
      <c r="I626" s="37" t="str">
        <f t="shared" si="34"/>
        <v>1-90 DAYS</v>
      </c>
      <c r="J626" s="37" t="str">
        <f t="shared" si="33"/>
        <v>0-180 DAYS</v>
      </c>
    </row>
    <row r="627" spans="1:10" hidden="1" x14ac:dyDescent="0.35">
      <c r="A627" s="88" t="s">
        <v>1209</v>
      </c>
      <c r="B627" s="88" t="s">
        <v>789</v>
      </c>
      <c r="C627" s="18" t="s">
        <v>125</v>
      </c>
      <c r="D627" s="18" t="s">
        <v>57</v>
      </c>
      <c r="E627" s="18" t="s">
        <v>2914</v>
      </c>
      <c r="F627" s="19">
        <v>45648</v>
      </c>
      <c r="G627" s="18">
        <v>5602.36</v>
      </c>
      <c r="H627" s="37">
        <f t="shared" si="32"/>
        <v>10</v>
      </c>
      <c r="I627" s="37" t="str">
        <f t="shared" si="34"/>
        <v>1-90 DAYS</v>
      </c>
      <c r="J627" s="37" t="str">
        <f t="shared" si="33"/>
        <v>0-180 DAYS</v>
      </c>
    </row>
    <row r="628" spans="1:10" hidden="1" x14ac:dyDescent="0.35">
      <c r="A628" s="88" t="s">
        <v>1209</v>
      </c>
      <c r="B628" s="88" t="s">
        <v>789</v>
      </c>
      <c r="C628" s="18" t="s">
        <v>125</v>
      </c>
      <c r="D628" s="18" t="s">
        <v>57</v>
      </c>
      <c r="E628" s="18" t="s">
        <v>966</v>
      </c>
      <c r="F628" s="19">
        <v>45649</v>
      </c>
      <c r="G628" s="18">
        <v>359540.46</v>
      </c>
      <c r="H628" s="37">
        <f t="shared" si="32"/>
        <v>9</v>
      </c>
      <c r="I628" s="37" t="str">
        <f t="shared" si="34"/>
        <v>1-90 DAYS</v>
      </c>
      <c r="J628" s="37" t="str">
        <f t="shared" si="33"/>
        <v>0-180 DAYS</v>
      </c>
    </row>
    <row r="629" spans="1:10" hidden="1" x14ac:dyDescent="0.35">
      <c r="A629" s="88" t="s">
        <v>1209</v>
      </c>
      <c r="B629" s="88" t="s">
        <v>789</v>
      </c>
      <c r="C629" s="18" t="s">
        <v>125</v>
      </c>
      <c r="D629" s="18" t="s">
        <v>57</v>
      </c>
      <c r="E629" s="18" t="s">
        <v>967</v>
      </c>
      <c r="F629" s="19">
        <v>45649</v>
      </c>
      <c r="G629" s="18">
        <v>3905.16</v>
      </c>
      <c r="H629" s="37">
        <f t="shared" si="32"/>
        <v>9</v>
      </c>
      <c r="I629" s="37" t="str">
        <f t="shared" si="34"/>
        <v>1-90 DAYS</v>
      </c>
      <c r="J629" s="37" t="str">
        <f t="shared" si="33"/>
        <v>0-180 DAYS</v>
      </c>
    </row>
    <row r="630" spans="1:10" hidden="1" x14ac:dyDescent="0.35">
      <c r="A630" s="88" t="s">
        <v>1209</v>
      </c>
      <c r="B630" s="88" t="s">
        <v>789</v>
      </c>
      <c r="C630" s="18" t="s">
        <v>125</v>
      </c>
      <c r="D630" s="18" t="s">
        <v>57</v>
      </c>
      <c r="E630" s="18" t="s">
        <v>968</v>
      </c>
      <c r="F630" s="19">
        <v>45649</v>
      </c>
      <c r="G630" s="18">
        <v>612437.54</v>
      </c>
      <c r="H630" s="37">
        <f t="shared" si="32"/>
        <v>9</v>
      </c>
      <c r="I630" s="37" t="str">
        <f t="shared" si="34"/>
        <v>1-90 DAYS</v>
      </c>
      <c r="J630" s="37" t="str">
        <f t="shared" si="33"/>
        <v>0-180 DAYS</v>
      </c>
    </row>
    <row r="631" spans="1:10" hidden="1" x14ac:dyDescent="0.35">
      <c r="A631" s="88" t="s">
        <v>1209</v>
      </c>
      <c r="B631" s="88" t="s">
        <v>789</v>
      </c>
      <c r="C631" s="18" t="s">
        <v>125</v>
      </c>
      <c r="D631" s="18" t="s">
        <v>57</v>
      </c>
      <c r="E631" s="18" t="s">
        <v>969</v>
      </c>
      <c r="F631" s="19">
        <v>45649</v>
      </c>
      <c r="G631" s="18">
        <v>33000</v>
      </c>
      <c r="H631" s="37">
        <f t="shared" si="32"/>
        <v>9</v>
      </c>
      <c r="I631" s="37" t="str">
        <f t="shared" si="34"/>
        <v>1-90 DAYS</v>
      </c>
      <c r="J631" s="37" t="str">
        <f t="shared" si="33"/>
        <v>0-180 DAYS</v>
      </c>
    </row>
    <row r="632" spans="1:10" hidden="1" x14ac:dyDescent="0.35">
      <c r="A632" s="88" t="s">
        <v>1209</v>
      </c>
      <c r="B632" s="88" t="s">
        <v>789</v>
      </c>
      <c r="C632" s="18" t="s">
        <v>125</v>
      </c>
      <c r="D632" s="18" t="s">
        <v>57</v>
      </c>
      <c r="E632" s="18" t="s">
        <v>2915</v>
      </c>
      <c r="F632" s="19">
        <v>45650</v>
      </c>
      <c r="G632" s="18">
        <v>733335.4</v>
      </c>
      <c r="H632" s="37">
        <f t="shared" si="32"/>
        <v>8</v>
      </c>
      <c r="I632" s="37" t="str">
        <f t="shared" si="34"/>
        <v>1-90 DAYS</v>
      </c>
      <c r="J632" s="37" t="str">
        <f t="shared" si="33"/>
        <v>0-180 DAYS</v>
      </c>
    </row>
    <row r="633" spans="1:10" hidden="1" x14ac:dyDescent="0.35">
      <c r="A633" s="88" t="s">
        <v>1209</v>
      </c>
      <c r="B633" s="88" t="s">
        <v>789</v>
      </c>
      <c r="C633" s="18" t="s">
        <v>125</v>
      </c>
      <c r="D633" s="18" t="s">
        <v>57</v>
      </c>
      <c r="E633" s="18" t="s">
        <v>2916</v>
      </c>
      <c r="F633" s="19">
        <v>45650</v>
      </c>
      <c r="G633" s="18">
        <v>848.6</v>
      </c>
      <c r="H633" s="37">
        <f t="shared" si="32"/>
        <v>8</v>
      </c>
      <c r="I633" s="37" t="str">
        <f t="shared" si="34"/>
        <v>1-90 DAYS</v>
      </c>
      <c r="J633" s="37" t="str">
        <f t="shared" si="33"/>
        <v>0-180 DAYS</v>
      </c>
    </row>
    <row r="634" spans="1:10" hidden="1" x14ac:dyDescent="0.35">
      <c r="A634" s="88" t="s">
        <v>1209</v>
      </c>
      <c r="B634" s="88" t="s">
        <v>789</v>
      </c>
      <c r="C634" s="18" t="s">
        <v>125</v>
      </c>
      <c r="D634" s="18" t="s">
        <v>57</v>
      </c>
      <c r="E634" s="18" t="s">
        <v>973</v>
      </c>
      <c r="F634" s="19">
        <v>45650</v>
      </c>
      <c r="G634" s="18">
        <v>104352.9</v>
      </c>
      <c r="H634" s="37">
        <f t="shared" si="32"/>
        <v>8</v>
      </c>
      <c r="I634" s="37" t="str">
        <f t="shared" si="34"/>
        <v>1-90 DAYS</v>
      </c>
      <c r="J634" s="37" t="str">
        <f t="shared" si="33"/>
        <v>0-180 DAYS</v>
      </c>
    </row>
    <row r="635" spans="1:10" hidden="1" x14ac:dyDescent="0.35">
      <c r="A635" s="88" t="s">
        <v>1209</v>
      </c>
      <c r="B635" s="88" t="s">
        <v>789</v>
      </c>
      <c r="C635" s="18" t="s">
        <v>125</v>
      </c>
      <c r="D635" s="18" t="s">
        <v>57</v>
      </c>
      <c r="E635" s="18" t="s">
        <v>974</v>
      </c>
      <c r="F635" s="19">
        <v>45650</v>
      </c>
      <c r="G635" s="18">
        <v>1301.72</v>
      </c>
      <c r="H635" s="37">
        <f t="shared" si="32"/>
        <v>8</v>
      </c>
      <c r="I635" s="37" t="str">
        <f t="shared" si="34"/>
        <v>1-90 DAYS</v>
      </c>
      <c r="J635" s="37" t="str">
        <f t="shared" si="33"/>
        <v>0-180 DAYS</v>
      </c>
    </row>
    <row r="636" spans="1:10" hidden="1" x14ac:dyDescent="0.35">
      <c r="A636" s="88" t="s">
        <v>477</v>
      </c>
      <c r="B636" s="88" t="s">
        <v>790</v>
      </c>
      <c r="C636" s="18" t="s">
        <v>2889</v>
      </c>
      <c r="D636" s="18" t="s">
        <v>2965</v>
      </c>
      <c r="E636" s="18" t="s">
        <v>972</v>
      </c>
      <c r="F636" s="19">
        <v>45650</v>
      </c>
      <c r="G636" s="18">
        <v>104180.08</v>
      </c>
      <c r="H636" s="37">
        <f t="shared" si="32"/>
        <v>8</v>
      </c>
      <c r="I636" s="37" t="str">
        <f t="shared" si="34"/>
        <v>1-90 DAYS</v>
      </c>
      <c r="J636" s="37" t="str">
        <f t="shared" si="33"/>
        <v>0-180 DAYS</v>
      </c>
    </row>
    <row r="637" spans="1:10" hidden="1" x14ac:dyDescent="0.35">
      <c r="A637" s="88" t="s">
        <v>1209</v>
      </c>
      <c r="B637" s="88" t="s">
        <v>789</v>
      </c>
      <c r="C637" s="18" t="s">
        <v>125</v>
      </c>
      <c r="D637" s="18" t="s">
        <v>57</v>
      </c>
      <c r="E637" s="18" t="s">
        <v>977</v>
      </c>
      <c r="F637" s="19">
        <v>45651</v>
      </c>
      <c r="G637" s="18">
        <v>87108.46</v>
      </c>
      <c r="H637" s="37">
        <f t="shared" si="32"/>
        <v>7</v>
      </c>
      <c r="I637" s="37" t="str">
        <f t="shared" si="34"/>
        <v>1-90 DAYS</v>
      </c>
      <c r="J637" s="37" t="str">
        <f t="shared" si="33"/>
        <v>0-180 DAYS</v>
      </c>
    </row>
    <row r="638" spans="1:10" hidden="1" x14ac:dyDescent="0.35">
      <c r="A638" s="88" t="s">
        <v>1209</v>
      </c>
      <c r="B638" s="88" t="s">
        <v>789</v>
      </c>
      <c r="C638" s="18" t="s">
        <v>125</v>
      </c>
      <c r="D638" s="18" t="s">
        <v>57</v>
      </c>
      <c r="E638" s="18" t="s">
        <v>2917</v>
      </c>
      <c r="F638" s="19">
        <v>45651</v>
      </c>
      <c r="G638" s="18">
        <v>445143.22</v>
      </c>
      <c r="H638" s="37">
        <f t="shared" si="32"/>
        <v>7</v>
      </c>
      <c r="I638" s="37" t="str">
        <f t="shared" si="34"/>
        <v>1-90 DAYS</v>
      </c>
      <c r="J638" s="37" t="str">
        <f t="shared" si="33"/>
        <v>0-180 DAYS</v>
      </c>
    </row>
    <row r="639" spans="1:10" hidden="1" x14ac:dyDescent="0.35">
      <c r="A639" s="88" t="s">
        <v>1209</v>
      </c>
      <c r="B639" s="88" t="s">
        <v>789</v>
      </c>
      <c r="C639" s="18" t="s">
        <v>125</v>
      </c>
      <c r="D639" s="18" t="s">
        <v>57</v>
      </c>
      <c r="E639" s="18" t="s">
        <v>979</v>
      </c>
      <c r="F639" s="19">
        <v>45651</v>
      </c>
      <c r="G639" s="18">
        <v>848.6</v>
      </c>
      <c r="H639" s="37">
        <f t="shared" si="32"/>
        <v>7</v>
      </c>
      <c r="I639" s="37" t="str">
        <f t="shared" si="34"/>
        <v>1-90 DAYS</v>
      </c>
      <c r="J639" s="37" t="str">
        <f t="shared" si="33"/>
        <v>0-180 DAYS</v>
      </c>
    </row>
    <row r="640" spans="1:10" hidden="1" x14ac:dyDescent="0.35">
      <c r="A640" s="88" t="s">
        <v>1209</v>
      </c>
      <c r="B640" s="88" t="s">
        <v>789</v>
      </c>
      <c r="C640" s="18" t="s">
        <v>125</v>
      </c>
      <c r="D640" s="18" t="s">
        <v>57</v>
      </c>
      <c r="E640" s="18" t="s">
        <v>980</v>
      </c>
      <c r="F640" s="19">
        <v>45651</v>
      </c>
      <c r="G640" s="18">
        <v>21347.85</v>
      </c>
      <c r="H640" s="37">
        <f t="shared" si="32"/>
        <v>7</v>
      </c>
      <c r="I640" s="37" t="str">
        <f t="shared" si="34"/>
        <v>1-90 DAYS</v>
      </c>
      <c r="J640" s="37" t="str">
        <f t="shared" si="33"/>
        <v>0-180 DAYS</v>
      </c>
    </row>
    <row r="641" spans="1:10" hidden="1" x14ac:dyDescent="0.35">
      <c r="A641" s="88" t="s">
        <v>477</v>
      </c>
      <c r="B641" s="88" t="s">
        <v>790</v>
      </c>
      <c r="C641" s="18" t="s">
        <v>2380</v>
      </c>
      <c r="D641" s="18" t="s">
        <v>1081</v>
      </c>
      <c r="E641" s="18" t="s">
        <v>987</v>
      </c>
      <c r="F641" s="19">
        <v>45652</v>
      </c>
      <c r="G641" s="18">
        <v>57012.32</v>
      </c>
      <c r="H641" s="37">
        <f t="shared" si="32"/>
        <v>6</v>
      </c>
      <c r="I641" s="37" t="str">
        <f t="shared" si="34"/>
        <v>1-90 DAYS</v>
      </c>
      <c r="J641" s="37" t="str">
        <f t="shared" si="33"/>
        <v>0-180 DAYS</v>
      </c>
    </row>
    <row r="642" spans="1:10" hidden="1" x14ac:dyDescent="0.35">
      <c r="A642" s="88" t="s">
        <v>1209</v>
      </c>
      <c r="B642" s="88" t="s">
        <v>789</v>
      </c>
      <c r="C642" s="18" t="s">
        <v>125</v>
      </c>
      <c r="D642" s="18" t="s">
        <v>57</v>
      </c>
      <c r="E642" s="18" t="s">
        <v>984</v>
      </c>
      <c r="F642" s="19">
        <v>45652</v>
      </c>
      <c r="G642" s="18">
        <v>398913.32</v>
      </c>
      <c r="H642" s="37">
        <f t="shared" si="32"/>
        <v>6</v>
      </c>
      <c r="I642" s="37" t="str">
        <f t="shared" si="34"/>
        <v>1-90 DAYS</v>
      </c>
      <c r="J642" s="37" t="str">
        <f t="shared" si="33"/>
        <v>0-180 DAYS</v>
      </c>
    </row>
    <row r="643" spans="1:10" hidden="1" x14ac:dyDescent="0.35">
      <c r="A643" s="88" t="s">
        <v>1209</v>
      </c>
      <c r="B643" s="88" t="s">
        <v>789</v>
      </c>
      <c r="C643" s="18" t="s">
        <v>125</v>
      </c>
      <c r="D643" s="18" t="s">
        <v>57</v>
      </c>
      <c r="E643" s="18" t="s">
        <v>985</v>
      </c>
      <c r="F643" s="19">
        <v>45652</v>
      </c>
      <c r="G643" s="18">
        <v>399316.08</v>
      </c>
      <c r="H643" s="37">
        <f t="shared" si="32"/>
        <v>6</v>
      </c>
      <c r="I643" s="37" t="str">
        <f t="shared" si="34"/>
        <v>1-90 DAYS</v>
      </c>
      <c r="J643" s="37" t="str">
        <f t="shared" si="33"/>
        <v>0-180 DAYS</v>
      </c>
    </row>
    <row r="644" spans="1:10" hidden="1" x14ac:dyDescent="0.35">
      <c r="A644" s="88" t="s">
        <v>1209</v>
      </c>
      <c r="B644" s="88" t="s">
        <v>789</v>
      </c>
      <c r="C644" s="18" t="s">
        <v>125</v>
      </c>
      <c r="D644" s="18" t="s">
        <v>57</v>
      </c>
      <c r="E644" s="18" t="s">
        <v>986</v>
      </c>
      <c r="F644" s="19">
        <v>45652</v>
      </c>
      <c r="G644" s="18">
        <v>4075.08</v>
      </c>
      <c r="H644" s="37">
        <f t="shared" si="32"/>
        <v>6</v>
      </c>
      <c r="I644" s="37" t="str">
        <f t="shared" si="34"/>
        <v>1-90 DAYS</v>
      </c>
      <c r="J644" s="37" t="str">
        <f t="shared" si="33"/>
        <v>0-180 DAYS</v>
      </c>
    </row>
    <row r="645" spans="1:10" hidden="1" x14ac:dyDescent="0.35">
      <c r="A645" s="88" t="s">
        <v>1209</v>
      </c>
      <c r="B645" s="88" t="s">
        <v>789</v>
      </c>
      <c r="C645" s="18" t="s">
        <v>125</v>
      </c>
      <c r="D645" s="18" t="s">
        <v>57</v>
      </c>
      <c r="E645" s="18" t="s">
        <v>988</v>
      </c>
      <c r="F645" s="19">
        <v>45652</v>
      </c>
      <c r="G645" s="18">
        <v>710783.76</v>
      </c>
      <c r="H645" s="37">
        <f t="shared" ref="H645:H708" si="35">$H$2-F645+1</f>
        <v>6</v>
      </c>
      <c r="I645" s="37" t="str">
        <f t="shared" si="34"/>
        <v>1-90 DAYS</v>
      </c>
      <c r="J645" s="37" t="str">
        <f t="shared" si="33"/>
        <v>0-180 DAYS</v>
      </c>
    </row>
    <row r="646" spans="1:10" hidden="1" x14ac:dyDescent="0.35">
      <c r="A646" s="88" t="s">
        <v>1209</v>
      </c>
      <c r="B646" s="88" t="s">
        <v>789</v>
      </c>
      <c r="C646" s="18" t="s">
        <v>125</v>
      </c>
      <c r="D646" s="18" t="s">
        <v>57</v>
      </c>
      <c r="E646" s="18" t="s">
        <v>990</v>
      </c>
      <c r="F646" s="19">
        <v>45652</v>
      </c>
      <c r="G646" s="18">
        <v>57200</v>
      </c>
      <c r="H646" s="37">
        <f t="shared" si="35"/>
        <v>6</v>
      </c>
      <c r="I646" s="37" t="str">
        <f t="shared" si="34"/>
        <v>1-90 DAYS</v>
      </c>
      <c r="J646" s="37" t="str">
        <f t="shared" ref="J646:J709" si="36">IF(H646&lt;180,"0-180 DAYS","More than 180 Days")</f>
        <v>0-180 DAYS</v>
      </c>
    </row>
    <row r="647" spans="1:10" hidden="1" x14ac:dyDescent="0.35">
      <c r="A647" s="88" t="s">
        <v>477</v>
      </c>
      <c r="B647" s="88" t="s">
        <v>790</v>
      </c>
      <c r="C647" s="18" t="s">
        <v>1838</v>
      </c>
      <c r="D647" s="18" t="s">
        <v>2001</v>
      </c>
      <c r="E647" s="18" t="s">
        <v>992</v>
      </c>
      <c r="F647" s="19">
        <v>45653</v>
      </c>
      <c r="G647" s="18">
        <v>935637.1</v>
      </c>
      <c r="H647" s="37">
        <f t="shared" si="35"/>
        <v>5</v>
      </c>
      <c r="I647" s="37" t="str">
        <f t="shared" si="34"/>
        <v>1-90 DAYS</v>
      </c>
      <c r="J647" s="37" t="str">
        <f t="shared" si="36"/>
        <v>0-180 DAYS</v>
      </c>
    </row>
    <row r="648" spans="1:10" hidden="1" x14ac:dyDescent="0.35">
      <c r="A648" s="88" t="s">
        <v>477</v>
      </c>
      <c r="B648" s="88" t="s">
        <v>790</v>
      </c>
      <c r="C648" s="18" t="s">
        <v>2380</v>
      </c>
      <c r="D648" s="18" t="s">
        <v>1081</v>
      </c>
      <c r="E648" s="18" t="s">
        <v>2918</v>
      </c>
      <c r="F648" s="19">
        <v>45653</v>
      </c>
      <c r="G648" s="18">
        <v>452322.52</v>
      </c>
      <c r="H648" s="37">
        <f t="shared" si="35"/>
        <v>5</v>
      </c>
      <c r="I648" s="37" t="str">
        <f t="shared" si="34"/>
        <v>1-90 DAYS</v>
      </c>
      <c r="J648" s="37" t="str">
        <f t="shared" si="36"/>
        <v>0-180 DAYS</v>
      </c>
    </row>
    <row r="649" spans="1:10" hidden="1" x14ac:dyDescent="0.35">
      <c r="A649" s="88" t="s">
        <v>477</v>
      </c>
      <c r="B649" s="88" t="s">
        <v>790</v>
      </c>
      <c r="C649" s="18" t="s">
        <v>2380</v>
      </c>
      <c r="D649" s="18" t="s">
        <v>1081</v>
      </c>
      <c r="E649" s="18" t="s">
        <v>2919</v>
      </c>
      <c r="F649" s="19">
        <v>45653</v>
      </c>
      <c r="G649" s="18">
        <v>565403.16</v>
      </c>
      <c r="H649" s="37">
        <f t="shared" si="35"/>
        <v>5</v>
      </c>
      <c r="I649" s="37" t="str">
        <f t="shared" si="34"/>
        <v>1-90 DAYS</v>
      </c>
      <c r="J649" s="37" t="str">
        <f t="shared" si="36"/>
        <v>0-180 DAYS</v>
      </c>
    </row>
    <row r="650" spans="1:10" hidden="1" x14ac:dyDescent="0.35">
      <c r="A650" s="88" t="s">
        <v>477</v>
      </c>
      <c r="B650" s="88" t="s">
        <v>790</v>
      </c>
      <c r="C650" s="18" t="s">
        <v>2380</v>
      </c>
      <c r="D650" s="18" t="s">
        <v>1081</v>
      </c>
      <c r="E650" s="18" t="s">
        <v>994</v>
      </c>
      <c r="F650" s="19">
        <v>45653</v>
      </c>
      <c r="G650" s="18">
        <v>610559.16</v>
      </c>
      <c r="H650" s="37">
        <f t="shared" si="35"/>
        <v>5</v>
      </c>
      <c r="I650" s="37" t="str">
        <f t="shared" si="34"/>
        <v>1-90 DAYS</v>
      </c>
      <c r="J650" s="37" t="str">
        <f t="shared" si="36"/>
        <v>0-180 DAYS</v>
      </c>
    </row>
    <row r="651" spans="1:10" hidden="1" x14ac:dyDescent="0.35">
      <c r="A651" s="88" t="s">
        <v>1209</v>
      </c>
      <c r="B651" s="88" t="s">
        <v>789</v>
      </c>
      <c r="C651" s="18" t="s">
        <v>125</v>
      </c>
      <c r="D651" s="18" t="s">
        <v>57</v>
      </c>
      <c r="E651" s="18" t="s">
        <v>993</v>
      </c>
      <c r="F651" s="19">
        <v>45653</v>
      </c>
      <c r="G651" s="18">
        <v>537624</v>
      </c>
      <c r="H651" s="37">
        <f t="shared" si="35"/>
        <v>5</v>
      </c>
      <c r="I651" s="37" t="str">
        <f t="shared" si="34"/>
        <v>1-90 DAYS</v>
      </c>
      <c r="J651" s="37" t="str">
        <f t="shared" si="36"/>
        <v>0-180 DAYS</v>
      </c>
    </row>
    <row r="652" spans="1:10" hidden="1" x14ac:dyDescent="0.35">
      <c r="A652" s="88" t="s">
        <v>1209</v>
      </c>
      <c r="B652" s="88" t="s">
        <v>789</v>
      </c>
      <c r="C652" s="18" t="s">
        <v>125</v>
      </c>
      <c r="D652" s="18" t="s">
        <v>57</v>
      </c>
      <c r="E652" s="18" t="s">
        <v>995</v>
      </c>
      <c r="F652" s="19">
        <v>45653</v>
      </c>
      <c r="G652" s="18">
        <v>685882.83</v>
      </c>
      <c r="H652" s="37">
        <f t="shared" si="35"/>
        <v>5</v>
      </c>
      <c r="I652" s="37" t="str">
        <f t="shared" si="34"/>
        <v>1-90 DAYS</v>
      </c>
      <c r="J652" s="37" t="str">
        <f t="shared" si="36"/>
        <v>0-180 DAYS</v>
      </c>
    </row>
    <row r="653" spans="1:10" hidden="1" x14ac:dyDescent="0.35">
      <c r="A653" s="88" t="s">
        <v>1209</v>
      </c>
      <c r="B653" s="88" t="s">
        <v>789</v>
      </c>
      <c r="C653" s="18" t="s">
        <v>125</v>
      </c>
      <c r="D653" s="18" t="s">
        <v>57</v>
      </c>
      <c r="E653" s="18" t="s">
        <v>999</v>
      </c>
      <c r="F653" s="19">
        <v>45653</v>
      </c>
      <c r="G653" s="18">
        <v>7130.64</v>
      </c>
      <c r="H653" s="37">
        <f t="shared" si="35"/>
        <v>5</v>
      </c>
      <c r="I653" s="37" t="str">
        <f t="shared" si="34"/>
        <v>1-90 DAYS</v>
      </c>
      <c r="J653" s="37" t="str">
        <f t="shared" si="36"/>
        <v>0-180 DAYS</v>
      </c>
    </row>
    <row r="654" spans="1:10" hidden="1" x14ac:dyDescent="0.35">
      <c r="A654" s="88" t="s">
        <v>477</v>
      </c>
      <c r="B654" s="88" t="s">
        <v>790</v>
      </c>
      <c r="C654" s="18" t="s">
        <v>2380</v>
      </c>
      <c r="D654" s="18" t="s">
        <v>1081</v>
      </c>
      <c r="E654" s="18" t="s">
        <v>2920</v>
      </c>
      <c r="F654" s="19">
        <v>45654</v>
      </c>
      <c r="G654" s="18">
        <v>232566.04</v>
      </c>
      <c r="H654" s="37">
        <f t="shared" si="35"/>
        <v>4</v>
      </c>
      <c r="I654" s="37" t="str">
        <f t="shared" si="34"/>
        <v>1-90 DAYS</v>
      </c>
      <c r="J654" s="37" t="str">
        <f t="shared" si="36"/>
        <v>0-180 DAYS</v>
      </c>
    </row>
    <row r="655" spans="1:10" hidden="1" x14ac:dyDescent="0.35">
      <c r="A655" s="88" t="s">
        <v>477</v>
      </c>
      <c r="B655" s="88" t="s">
        <v>790</v>
      </c>
      <c r="C655" s="18" t="s">
        <v>2380</v>
      </c>
      <c r="D655" s="18" t="s">
        <v>1081</v>
      </c>
      <c r="E655" s="18" t="s">
        <v>2921</v>
      </c>
      <c r="F655" s="19">
        <v>45654</v>
      </c>
      <c r="G655" s="18">
        <v>1221118.32</v>
      </c>
      <c r="H655" s="37">
        <f t="shared" si="35"/>
        <v>4</v>
      </c>
      <c r="I655" s="37" t="str">
        <f t="shared" si="34"/>
        <v>1-90 DAYS</v>
      </c>
      <c r="J655" s="37" t="str">
        <f t="shared" si="36"/>
        <v>0-180 DAYS</v>
      </c>
    </row>
    <row r="656" spans="1:10" hidden="1" x14ac:dyDescent="0.35">
      <c r="A656" s="88" t="s">
        <v>477</v>
      </c>
      <c r="B656" s="88" t="s">
        <v>790</v>
      </c>
      <c r="C656" s="18" t="s">
        <v>2380</v>
      </c>
      <c r="D656" s="18" t="s">
        <v>1081</v>
      </c>
      <c r="E656" s="18" t="s">
        <v>2922</v>
      </c>
      <c r="F656" s="19">
        <v>45654</v>
      </c>
      <c r="G656" s="18">
        <v>1221118.32</v>
      </c>
      <c r="H656" s="37">
        <f t="shared" si="35"/>
        <v>4</v>
      </c>
      <c r="I656" s="37" t="str">
        <f t="shared" si="34"/>
        <v>1-90 DAYS</v>
      </c>
      <c r="J656" s="37" t="str">
        <f t="shared" si="36"/>
        <v>0-180 DAYS</v>
      </c>
    </row>
    <row r="657" spans="1:10" hidden="1" x14ac:dyDescent="0.35">
      <c r="A657" s="88" t="s">
        <v>1209</v>
      </c>
      <c r="B657" s="88" t="s">
        <v>789</v>
      </c>
      <c r="C657" s="18" t="s">
        <v>125</v>
      </c>
      <c r="D657" s="18" t="s">
        <v>57</v>
      </c>
      <c r="E657" s="18" t="s">
        <v>2923</v>
      </c>
      <c r="F657" s="19">
        <v>45654</v>
      </c>
      <c r="G657" s="18">
        <v>480343.56</v>
      </c>
      <c r="H657" s="37">
        <f t="shared" si="35"/>
        <v>4</v>
      </c>
      <c r="I657" s="37" t="str">
        <f t="shared" si="34"/>
        <v>1-90 DAYS</v>
      </c>
      <c r="J657" s="37" t="str">
        <f t="shared" si="36"/>
        <v>0-180 DAYS</v>
      </c>
    </row>
    <row r="658" spans="1:10" hidden="1" x14ac:dyDescent="0.35">
      <c r="A658" s="88" t="s">
        <v>1209</v>
      </c>
      <c r="B658" s="88" t="s">
        <v>789</v>
      </c>
      <c r="C658" s="18" t="s">
        <v>125</v>
      </c>
      <c r="D658" s="18" t="s">
        <v>57</v>
      </c>
      <c r="E658" s="18" t="s">
        <v>2924</v>
      </c>
      <c r="F658" s="19">
        <v>45654</v>
      </c>
      <c r="G658" s="18">
        <v>21111.86</v>
      </c>
      <c r="H658" s="37">
        <f t="shared" si="35"/>
        <v>4</v>
      </c>
      <c r="I658" s="37" t="str">
        <f t="shared" si="34"/>
        <v>1-90 DAYS</v>
      </c>
      <c r="J658" s="37" t="str">
        <f t="shared" si="36"/>
        <v>0-180 DAYS</v>
      </c>
    </row>
    <row r="659" spans="1:10" hidden="1" x14ac:dyDescent="0.35">
      <c r="A659" s="88" t="s">
        <v>1209</v>
      </c>
      <c r="B659" s="88" t="s">
        <v>789</v>
      </c>
      <c r="C659" s="18" t="s">
        <v>125</v>
      </c>
      <c r="D659" s="18" t="s">
        <v>57</v>
      </c>
      <c r="E659" s="18" t="s">
        <v>2925</v>
      </c>
      <c r="F659" s="19">
        <v>45654</v>
      </c>
      <c r="G659" s="18">
        <v>38082</v>
      </c>
      <c r="H659" s="37">
        <f t="shared" si="35"/>
        <v>4</v>
      </c>
      <c r="I659" s="37" t="str">
        <f t="shared" si="34"/>
        <v>1-90 DAYS</v>
      </c>
      <c r="J659" s="37" t="str">
        <f t="shared" si="36"/>
        <v>0-180 DAYS</v>
      </c>
    </row>
    <row r="660" spans="1:10" hidden="1" x14ac:dyDescent="0.35">
      <c r="A660" s="88" t="s">
        <v>1209</v>
      </c>
      <c r="B660" s="88" t="s">
        <v>789</v>
      </c>
      <c r="C660" s="18" t="s">
        <v>125</v>
      </c>
      <c r="D660" s="18" t="s">
        <v>57</v>
      </c>
      <c r="E660" s="18" t="s">
        <v>2926</v>
      </c>
      <c r="F660" s="19">
        <v>45654</v>
      </c>
      <c r="G660" s="18">
        <v>179208</v>
      </c>
      <c r="H660" s="37">
        <f t="shared" si="35"/>
        <v>4</v>
      </c>
      <c r="I660" s="37" t="str">
        <f t="shared" si="34"/>
        <v>1-90 DAYS</v>
      </c>
      <c r="J660" s="37" t="str">
        <f t="shared" si="36"/>
        <v>0-180 DAYS</v>
      </c>
    </row>
    <row r="661" spans="1:10" hidden="1" x14ac:dyDescent="0.35">
      <c r="A661" s="88" t="s">
        <v>1209</v>
      </c>
      <c r="B661" s="88" t="s">
        <v>789</v>
      </c>
      <c r="C661" s="18" t="s">
        <v>125</v>
      </c>
      <c r="D661" s="18" t="s">
        <v>57</v>
      </c>
      <c r="E661" s="18" t="s">
        <v>2927</v>
      </c>
      <c r="F661" s="19">
        <v>45654</v>
      </c>
      <c r="G661" s="18">
        <v>179070.87</v>
      </c>
      <c r="H661" s="37">
        <f t="shared" si="35"/>
        <v>4</v>
      </c>
      <c r="I661" s="37" t="str">
        <f t="shared" si="34"/>
        <v>1-90 DAYS</v>
      </c>
      <c r="J661" s="37" t="str">
        <f t="shared" si="36"/>
        <v>0-180 DAYS</v>
      </c>
    </row>
    <row r="662" spans="1:10" hidden="1" x14ac:dyDescent="0.35">
      <c r="A662" s="88" t="s">
        <v>477</v>
      </c>
      <c r="B662" s="88" t="s">
        <v>790</v>
      </c>
      <c r="C662" s="18" t="s">
        <v>2380</v>
      </c>
      <c r="D662" s="18" t="s">
        <v>1081</v>
      </c>
      <c r="E662" s="18" t="s">
        <v>2928</v>
      </c>
      <c r="F662" s="19">
        <v>45655</v>
      </c>
      <c r="G662" s="18">
        <v>2320125.2000000002</v>
      </c>
      <c r="H662" s="37">
        <f t="shared" si="35"/>
        <v>3</v>
      </c>
      <c r="I662" s="37" t="str">
        <f t="shared" ref="I662:I704" si="37">IF(H662&lt;91,"1-90 DAYS",IF(H662&lt;121,"91-120DAYS",IF(H662&lt;181,"121-180 DAYS","More than 180 Days")))</f>
        <v>1-90 DAYS</v>
      </c>
      <c r="J662" s="37" t="str">
        <f t="shared" si="36"/>
        <v>0-180 DAYS</v>
      </c>
    </row>
    <row r="663" spans="1:10" hidden="1" x14ac:dyDescent="0.35">
      <c r="A663" s="88" t="s">
        <v>1209</v>
      </c>
      <c r="B663" s="88" t="s">
        <v>789</v>
      </c>
      <c r="C663" s="18" t="s">
        <v>125</v>
      </c>
      <c r="D663" s="18" t="s">
        <v>57</v>
      </c>
      <c r="E663" s="18" t="s">
        <v>1313</v>
      </c>
      <c r="F663" s="19">
        <v>45655</v>
      </c>
      <c r="G663" s="18">
        <v>183556.56</v>
      </c>
      <c r="H663" s="37">
        <f t="shared" si="35"/>
        <v>3</v>
      </c>
      <c r="I663" s="37" t="str">
        <f t="shared" si="37"/>
        <v>1-90 DAYS</v>
      </c>
      <c r="J663" s="37" t="str">
        <f t="shared" si="36"/>
        <v>0-180 DAYS</v>
      </c>
    </row>
    <row r="664" spans="1:10" hidden="1" x14ac:dyDescent="0.35">
      <c r="A664" s="88" t="s">
        <v>1209</v>
      </c>
      <c r="B664" s="88" t="s">
        <v>789</v>
      </c>
      <c r="C664" s="18" t="s">
        <v>125</v>
      </c>
      <c r="D664" s="18" t="s">
        <v>57</v>
      </c>
      <c r="E664" s="18" t="s">
        <v>1314</v>
      </c>
      <c r="F664" s="19">
        <v>45655</v>
      </c>
      <c r="G664" s="18">
        <v>11651.19</v>
      </c>
      <c r="H664" s="37">
        <f t="shared" si="35"/>
        <v>3</v>
      </c>
      <c r="I664" s="37" t="str">
        <f t="shared" si="37"/>
        <v>1-90 DAYS</v>
      </c>
      <c r="J664" s="37" t="str">
        <f t="shared" si="36"/>
        <v>0-180 DAYS</v>
      </c>
    </row>
    <row r="665" spans="1:10" hidden="1" x14ac:dyDescent="0.35">
      <c r="A665" s="88" t="s">
        <v>1209</v>
      </c>
      <c r="B665" s="88" t="s">
        <v>789</v>
      </c>
      <c r="C665" s="18" t="s">
        <v>125</v>
      </c>
      <c r="D665" s="18" t="s">
        <v>57</v>
      </c>
      <c r="E665" s="18" t="s">
        <v>2929</v>
      </c>
      <c r="F665" s="19">
        <v>45655</v>
      </c>
      <c r="G665" s="18">
        <v>9734.08</v>
      </c>
      <c r="H665" s="37">
        <f t="shared" si="35"/>
        <v>3</v>
      </c>
      <c r="I665" s="37" t="str">
        <f t="shared" si="37"/>
        <v>1-90 DAYS</v>
      </c>
      <c r="J665" s="37" t="str">
        <f t="shared" si="36"/>
        <v>0-180 DAYS</v>
      </c>
    </row>
    <row r="666" spans="1:10" hidden="1" x14ac:dyDescent="0.35">
      <c r="A666" s="88" t="s">
        <v>1209</v>
      </c>
      <c r="B666" s="88" t="s">
        <v>789</v>
      </c>
      <c r="C666" s="18" t="s">
        <v>125</v>
      </c>
      <c r="D666" s="18" t="s">
        <v>57</v>
      </c>
      <c r="E666" s="18" t="s">
        <v>2930</v>
      </c>
      <c r="F666" s="19">
        <v>45655</v>
      </c>
      <c r="G666" s="18">
        <v>970939.16</v>
      </c>
      <c r="H666" s="37">
        <f t="shared" si="35"/>
        <v>3</v>
      </c>
      <c r="I666" s="37" t="str">
        <f t="shared" si="37"/>
        <v>1-90 DAYS</v>
      </c>
      <c r="J666" s="37" t="str">
        <f t="shared" si="36"/>
        <v>0-180 DAYS</v>
      </c>
    </row>
    <row r="667" spans="1:10" hidden="1" x14ac:dyDescent="0.35">
      <c r="A667" s="88" t="s">
        <v>1209</v>
      </c>
      <c r="B667" s="88" t="s">
        <v>789</v>
      </c>
      <c r="C667" s="18" t="s">
        <v>125</v>
      </c>
      <c r="D667" s="18" t="s">
        <v>57</v>
      </c>
      <c r="E667" s="18" t="s">
        <v>2931</v>
      </c>
      <c r="F667" s="19">
        <v>45655</v>
      </c>
      <c r="G667" s="18">
        <v>44275</v>
      </c>
      <c r="H667" s="37">
        <f t="shared" si="35"/>
        <v>3</v>
      </c>
      <c r="I667" s="37" t="str">
        <f t="shared" si="37"/>
        <v>1-90 DAYS</v>
      </c>
      <c r="J667" s="37" t="str">
        <f t="shared" si="36"/>
        <v>0-180 DAYS</v>
      </c>
    </row>
    <row r="668" spans="1:10" hidden="1" x14ac:dyDescent="0.35">
      <c r="A668" s="88" t="s">
        <v>477</v>
      </c>
      <c r="B668" s="88" t="s">
        <v>790</v>
      </c>
      <c r="C668" s="18" t="s">
        <v>2380</v>
      </c>
      <c r="D668" s="18" t="s">
        <v>1081</v>
      </c>
      <c r="E668" s="18" t="s">
        <v>2932</v>
      </c>
      <c r="F668" s="19">
        <v>45656</v>
      </c>
      <c r="G668" s="18">
        <v>2198013.7799999998</v>
      </c>
      <c r="H668" s="37">
        <f t="shared" si="35"/>
        <v>2</v>
      </c>
      <c r="I668" s="37" t="str">
        <f t="shared" si="37"/>
        <v>1-90 DAYS</v>
      </c>
      <c r="J668" s="37" t="str">
        <f t="shared" si="36"/>
        <v>0-180 DAYS</v>
      </c>
    </row>
    <row r="669" spans="1:10" hidden="1" x14ac:dyDescent="0.35">
      <c r="A669" s="88" t="s">
        <v>477</v>
      </c>
      <c r="B669" s="88" t="s">
        <v>790</v>
      </c>
      <c r="C669" s="18" t="s">
        <v>2380</v>
      </c>
      <c r="D669" s="18" t="s">
        <v>1081</v>
      </c>
      <c r="E669" s="18" t="s">
        <v>2933</v>
      </c>
      <c r="F669" s="19">
        <v>45656</v>
      </c>
      <c r="G669" s="18">
        <v>1465342.18</v>
      </c>
      <c r="H669" s="37">
        <f t="shared" si="35"/>
        <v>2</v>
      </c>
      <c r="I669" s="37" t="str">
        <f t="shared" si="37"/>
        <v>1-90 DAYS</v>
      </c>
      <c r="J669" s="37" t="str">
        <f t="shared" si="36"/>
        <v>0-180 DAYS</v>
      </c>
    </row>
    <row r="670" spans="1:10" hidden="1" x14ac:dyDescent="0.35">
      <c r="A670" s="88" t="s">
        <v>477</v>
      </c>
      <c r="B670" s="88" t="s">
        <v>790</v>
      </c>
      <c r="C670" s="18" t="s">
        <v>2380</v>
      </c>
      <c r="D670" s="18" t="s">
        <v>1081</v>
      </c>
      <c r="E670" s="18" t="s">
        <v>2934</v>
      </c>
      <c r="F670" s="19">
        <v>45656</v>
      </c>
      <c r="G670" s="18">
        <v>581414.56000000006</v>
      </c>
      <c r="H670" s="37">
        <f t="shared" si="35"/>
        <v>2</v>
      </c>
      <c r="I670" s="37" t="str">
        <f t="shared" si="37"/>
        <v>1-90 DAYS</v>
      </c>
      <c r="J670" s="37" t="str">
        <f t="shared" si="36"/>
        <v>0-180 DAYS</v>
      </c>
    </row>
    <row r="671" spans="1:10" hidden="1" x14ac:dyDescent="0.35">
      <c r="A671" s="88" t="s">
        <v>1209</v>
      </c>
      <c r="B671" s="88" t="s">
        <v>789</v>
      </c>
      <c r="C671" s="18" t="s">
        <v>125</v>
      </c>
      <c r="D671" s="18" t="s">
        <v>57</v>
      </c>
      <c r="E671" s="18" t="s">
        <v>2935</v>
      </c>
      <c r="F671" s="19">
        <v>45656</v>
      </c>
      <c r="G671" s="18">
        <v>732451.23</v>
      </c>
      <c r="H671" s="37">
        <f t="shared" si="35"/>
        <v>2</v>
      </c>
      <c r="I671" s="37" t="str">
        <f t="shared" si="37"/>
        <v>1-90 DAYS</v>
      </c>
      <c r="J671" s="37" t="str">
        <f t="shared" si="36"/>
        <v>0-180 DAYS</v>
      </c>
    </row>
    <row r="672" spans="1:10" hidden="1" x14ac:dyDescent="0.35">
      <c r="A672" s="88" t="s">
        <v>1209</v>
      </c>
      <c r="B672" s="88" t="s">
        <v>789</v>
      </c>
      <c r="C672" s="18" t="s">
        <v>125</v>
      </c>
      <c r="D672" s="18" t="s">
        <v>57</v>
      </c>
      <c r="E672" s="18" t="s">
        <v>2936</v>
      </c>
      <c r="F672" s="19">
        <v>45656</v>
      </c>
      <c r="G672" s="18">
        <v>4583.84</v>
      </c>
      <c r="H672" s="37">
        <f t="shared" si="35"/>
        <v>2</v>
      </c>
      <c r="I672" s="37" t="str">
        <f t="shared" si="37"/>
        <v>1-90 DAYS</v>
      </c>
      <c r="J672" s="37" t="str">
        <f t="shared" si="36"/>
        <v>0-180 DAYS</v>
      </c>
    </row>
    <row r="673" spans="1:10" hidden="1" x14ac:dyDescent="0.35">
      <c r="A673" s="88" t="s">
        <v>477</v>
      </c>
      <c r="B673" s="88" t="s">
        <v>790</v>
      </c>
      <c r="C673" s="18" t="s">
        <v>2380</v>
      </c>
      <c r="D673" s="18" t="s">
        <v>1081</v>
      </c>
      <c r="E673" s="18" t="s">
        <v>1315</v>
      </c>
      <c r="F673" s="19">
        <v>45657</v>
      </c>
      <c r="G673" s="18">
        <v>1142781.3999999999</v>
      </c>
      <c r="H673" s="37">
        <f t="shared" si="35"/>
        <v>1</v>
      </c>
      <c r="I673" s="37" t="str">
        <f t="shared" si="37"/>
        <v>1-90 DAYS</v>
      </c>
      <c r="J673" s="37" t="str">
        <f t="shared" si="36"/>
        <v>0-180 DAYS</v>
      </c>
    </row>
    <row r="674" spans="1:10" hidden="1" x14ac:dyDescent="0.35">
      <c r="A674" s="88" t="s">
        <v>1209</v>
      </c>
      <c r="B674" s="88" t="s">
        <v>789</v>
      </c>
      <c r="C674" s="18" t="s">
        <v>125</v>
      </c>
      <c r="D674" s="18" t="s">
        <v>57</v>
      </c>
      <c r="E674" s="18" t="s">
        <v>2937</v>
      </c>
      <c r="F674" s="19">
        <v>45657</v>
      </c>
      <c r="G674" s="18">
        <v>108677.36</v>
      </c>
      <c r="H674" s="37">
        <f t="shared" si="35"/>
        <v>1</v>
      </c>
      <c r="I674" s="37" t="str">
        <f t="shared" si="37"/>
        <v>1-90 DAYS</v>
      </c>
      <c r="J674" s="37" t="str">
        <f t="shared" si="36"/>
        <v>0-180 DAYS</v>
      </c>
    </row>
    <row r="675" spans="1:10" hidden="1" x14ac:dyDescent="0.35">
      <c r="A675" s="88" t="s">
        <v>1209</v>
      </c>
      <c r="B675" s="88" t="s">
        <v>789</v>
      </c>
      <c r="C675" s="18" t="s">
        <v>125</v>
      </c>
      <c r="D675" s="18" t="s">
        <v>57</v>
      </c>
      <c r="E675" s="18" t="s">
        <v>2938</v>
      </c>
      <c r="F675" s="19">
        <v>45657</v>
      </c>
      <c r="G675" s="18">
        <v>18513.38</v>
      </c>
      <c r="H675" s="37">
        <f t="shared" si="35"/>
        <v>1</v>
      </c>
      <c r="I675" s="37" t="str">
        <f t="shared" si="37"/>
        <v>1-90 DAYS</v>
      </c>
      <c r="J675" s="37" t="str">
        <f t="shared" si="36"/>
        <v>0-180 DAYS</v>
      </c>
    </row>
    <row r="676" spans="1:10" hidden="1" x14ac:dyDescent="0.35">
      <c r="A676" s="88" t="s">
        <v>1209</v>
      </c>
      <c r="B676" s="88" t="s">
        <v>789</v>
      </c>
      <c r="C676" s="18" t="s">
        <v>125</v>
      </c>
      <c r="D676" s="18" t="s">
        <v>57</v>
      </c>
      <c r="E676" s="18" t="s">
        <v>2939</v>
      </c>
      <c r="F676" s="19">
        <v>45657</v>
      </c>
      <c r="G676" s="18">
        <v>1021277.11</v>
      </c>
      <c r="H676" s="37">
        <f t="shared" si="35"/>
        <v>1</v>
      </c>
      <c r="I676" s="37" t="str">
        <f t="shared" si="37"/>
        <v>1-90 DAYS</v>
      </c>
      <c r="J676" s="37" t="str">
        <f t="shared" si="36"/>
        <v>0-180 DAYS</v>
      </c>
    </row>
    <row r="677" spans="1:10" hidden="1" x14ac:dyDescent="0.35">
      <c r="A677" s="88" t="s">
        <v>1209</v>
      </c>
      <c r="B677" s="88" t="s">
        <v>789</v>
      </c>
      <c r="C677" s="18" t="s">
        <v>125</v>
      </c>
      <c r="D677" s="18" t="s">
        <v>57</v>
      </c>
      <c r="E677" s="18" t="s">
        <v>2940</v>
      </c>
      <c r="F677" s="19">
        <v>45657</v>
      </c>
      <c r="G677" s="18">
        <v>5432.44</v>
      </c>
      <c r="H677" s="37">
        <f t="shared" si="35"/>
        <v>1</v>
      </c>
      <c r="I677" s="37" t="str">
        <f t="shared" si="37"/>
        <v>1-90 DAYS</v>
      </c>
      <c r="J677" s="37" t="str">
        <f t="shared" si="36"/>
        <v>0-180 DAYS</v>
      </c>
    </row>
    <row r="678" spans="1:10" hidden="1" x14ac:dyDescent="0.35">
      <c r="A678" s="88" t="s">
        <v>477</v>
      </c>
      <c r="B678" s="88" t="s">
        <v>790</v>
      </c>
      <c r="C678" s="18" t="s">
        <v>263</v>
      </c>
      <c r="D678" s="18" t="s">
        <v>264</v>
      </c>
      <c r="E678" s="18" t="s">
        <v>2941</v>
      </c>
      <c r="F678" s="19">
        <v>45629</v>
      </c>
      <c r="G678" s="18">
        <v>854786.89</v>
      </c>
      <c r="H678" s="37">
        <f t="shared" si="35"/>
        <v>29</v>
      </c>
      <c r="I678" s="37" t="str">
        <f t="shared" si="37"/>
        <v>1-90 DAYS</v>
      </c>
      <c r="J678" s="37" t="str">
        <f t="shared" si="36"/>
        <v>0-180 DAYS</v>
      </c>
    </row>
    <row r="679" spans="1:10" hidden="1" x14ac:dyDescent="0.35">
      <c r="A679" s="88" t="s">
        <v>1209</v>
      </c>
      <c r="B679" s="88" t="s">
        <v>789</v>
      </c>
      <c r="C679" s="18" t="s">
        <v>125</v>
      </c>
      <c r="D679" s="18" t="s">
        <v>57</v>
      </c>
      <c r="E679" s="18" t="s">
        <v>2942</v>
      </c>
      <c r="F679" s="19">
        <v>45630</v>
      </c>
      <c r="G679" s="18">
        <v>899839.63</v>
      </c>
      <c r="H679" s="37">
        <f t="shared" si="35"/>
        <v>28</v>
      </c>
      <c r="I679" s="37" t="str">
        <f t="shared" si="37"/>
        <v>1-90 DAYS</v>
      </c>
      <c r="J679" s="37" t="str">
        <f t="shared" si="36"/>
        <v>0-180 DAYS</v>
      </c>
    </row>
    <row r="680" spans="1:10" hidden="1" x14ac:dyDescent="0.35">
      <c r="A680" s="88" t="s">
        <v>1209</v>
      </c>
      <c r="B680" s="88" t="s">
        <v>789</v>
      </c>
      <c r="C680" s="18" t="s">
        <v>125</v>
      </c>
      <c r="D680" s="18" t="s">
        <v>57</v>
      </c>
      <c r="E680" s="18" t="s">
        <v>2943</v>
      </c>
      <c r="F680" s="19">
        <v>45631</v>
      </c>
      <c r="G680" s="18">
        <v>407130.24</v>
      </c>
      <c r="H680" s="37">
        <f t="shared" si="35"/>
        <v>27</v>
      </c>
      <c r="I680" s="37" t="str">
        <f t="shared" si="37"/>
        <v>1-90 DAYS</v>
      </c>
      <c r="J680" s="37" t="str">
        <f t="shared" si="36"/>
        <v>0-180 DAYS</v>
      </c>
    </row>
    <row r="681" spans="1:10" hidden="1" x14ac:dyDescent="0.35">
      <c r="A681" s="88" t="s">
        <v>1209</v>
      </c>
      <c r="B681" s="88" t="s">
        <v>789</v>
      </c>
      <c r="C681" s="18" t="s">
        <v>125</v>
      </c>
      <c r="D681" s="18" t="s">
        <v>57</v>
      </c>
      <c r="E681" s="18" t="s">
        <v>2944</v>
      </c>
      <c r="F681" s="19">
        <v>45631</v>
      </c>
      <c r="G681" s="18">
        <v>1641.17</v>
      </c>
      <c r="H681" s="37">
        <f t="shared" si="35"/>
        <v>27</v>
      </c>
      <c r="I681" s="37" t="str">
        <f t="shared" si="37"/>
        <v>1-90 DAYS</v>
      </c>
      <c r="J681" s="37" t="str">
        <f t="shared" si="36"/>
        <v>0-180 DAYS</v>
      </c>
    </row>
    <row r="682" spans="1:10" hidden="1" x14ac:dyDescent="0.35">
      <c r="A682" s="88" t="s">
        <v>477</v>
      </c>
      <c r="B682" s="88" t="s">
        <v>790</v>
      </c>
      <c r="C682" s="18" t="s">
        <v>26</v>
      </c>
      <c r="D682" s="18" t="s">
        <v>27</v>
      </c>
      <c r="E682" s="18" t="s">
        <v>2945</v>
      </c>
      <c r="F682" s="19">
        <v>45636</v>
      </c>
      <c r="G682" s="18">
        <v>780639.26</v>
      </c>
      <c r="H682" s="37">
        <f t="shared" si="35"/>
        <v>22</v>
      </c>
      <c r="I682" s="37" t="str">
        <f t="shared" si="37"/>
        <v>1-90 DAYS</v>
      </c>
      <c r="J682" s="37" t="str">
        <f t="shared" si="36"/>
        <v>0-180 DAYS</v>
      </c>
    </row>
    <row r="683" spans="1:10" hidden="1" x14ac:dyDescent="0.35">
      <c r="A683" s="88" t="s">
        <v>1209</v>
      </c>
      <c r="B683" s="88" t="s">
        <v>789</v>
      </c>
      <c r="C683" s="18" t="s">
        <v>125</v>
      </c>
      <c r="D683" s="18" t="s">
        <v>57</v>
      </c>
      <c r="E683" s="18" t="s">
        <v>2946</v>
      </c>
      <c r="F683" s="19">
        <v>45637</v>
      </c>
      <c r="G683" s="18">
        <v>388749.31</v>
      </c>
      <c r="H683" s="37">
        <f t="shared" si="35"/>
        <v>21</v>
      </c>
      <c r="I683" s="37" t="str">
        <f t="shared" si="37"/>
        <v>1-90 DAYS</v>
      </c>
      <c r="J683" s="37" t="str">
        <f t="shared" si="36"/>
        <v>0-180 DAYS</v>
      </c>
    </row>
    <row r="684" spans="1:10" hidden="1" x14ac:dyDescent="0.35">
      <c r="A684" s="88" t="s">
        <v>1209</v>
      </c>
      <c r="B684" s="88" t="s">
        <v>789</v>
      </c>
      <c r="C684" s="18" t="s">
        <v>125</v>
      </c>
      <c r="D684" s="18" t="s">
        <v>57</v>
      </c>
      <c r="E684" s="18" t="s">
        <v>2947</v>
      </c>
      <c r="F684" s="19">
        <v>45637</v>
      </c>
      <c r="G684" s="18">
        <v>4527.3599999999997</v>
      </c>
      <c r="H684" s="37">
        <f t="shared" si="35"/>
        <v>21</v>
      </c>
      <c r="I684" s="37" t="str">
        <f t="shared" si="37"/>
        <v>1-90 DAYS</v>
      </c>
      <c r="J684" s="37" t="str">
        <f t="shared" si="36"/>
        <v>0-180 DAYS</v>
      </c>
    </row>
    <row r="685" spans="1:10" hidden="1" x14ac:dyDescent="0.35">
      <c r="A685" s="88" t="s">
        <v>477</v>
      </c>
      <c r="B685" s="88" t="s">
        <v>790</v>
      </c>
      <c r="C685" s="18" t="s">
        <v>2322</v>
      </c>
      <c r="D685" s="18" t="s">
        <v>2348</v>
      </c>
      <c r="E685" s="18" t="s">
        <v>2948</v>
      </c>
      <c r="F685" s="19">
        <v>45638</v>
      </c>
      <c r="G685" s="18">
        <v>41117.1</v>
      </c>
      <c r="H685" s="37">
        <f t="shared" si="35"/>
        <v>20</v>
      </c>
      <c r="I685" s="37" t="str">
        <f t="shared" si="37"/>
        <v>1-90 DAYS</v>
      </c>
      <c r="J685" s="37" t="str">
        <f t="shared" si="36"/>
        <v>0-180 DAYS</v>
      </c>
    </row>
    <row r="686" spans="1:10" hidden="1" x14ac:dyDescent="0.35">
      <c r="A686" s="88" t="s">
        <v>477</v>
      </c>
      <c r="B686" s="88" t="s">
        <v>790</v>
      </c>
      <c r="C686" s="18" t="s">
        <v>259</v>
      </c>
      <c r="D686" s="18" t="s">
        <v>260</v>
      </c>
      <c r="E686" s="18" t="s">
        <v>2949</v>
      </c>
      <c r="F686" s="19">
        <v>45643</v>
      </c>
      <c r="G686" s="18">
        <v>1628754</v>
      </c>
      <c r="H686" s="37">
        <f t="shared" si="35"/>
        <v>15</v>
      </c>
      <c r="I686" s="37" t="str">
        <f t="shared" si="37"/>
        <v>1-90 DAYS</v>
      </c>
      <c r="J686" s="37" t="str">
        <f t="shared" si="36"/>
        <v>0-180 DAYS</v>
      </c>
    </row>
    <row r="687" spans="1:10" hidden="1" x14ac:dyDescent="0.35">
      <c r="A687" s="88" t="s">
        <v>477</v>
      </c>
      <c r="B687" s="88" t="s">
        <v>790</v>
      </c>
      <c r="C687" s="18" t="s">
        <v>5</v>
      </c>
      <c r="D687" s="18" t="s">
        <v>6</v>
      </c>
      <c r="E687" s="18" t="s">
        <v>2950</v>
      </c>
      <c r="F687" s="19">
        <v>45644</v>
      </c>
      <c r="G687" s="18">
        <v>92040</v>
      </c>
      <c r="H687" s="37">
        <f t="shared" si="35"/>
        <v>14</v>
      </c>
      <c r="I687" s="37" t="str">
        <f t="shared" si="37"/>
        <v>1-90 DAYS</v>
      </c>
      <c r="J687" s="37" t="str">
        <f t="shared" si="36"/>
        <v>0-180 DAYS</v>
      </c>
    </row>
    <row r="688" spans="1:10" hidden="1" x14ac:dyDescent="0.35">
      <c r="A688" s="88" t="s">
        <v>477</v>
      </c>
      <c r="B688" s="88" t="s">
        <v>790</v>
      </c>
      <c r="C688" s="18" t="s">
        <v>259</v>
      </c>
      <c r="D688" s="18" t="s">
        <v>260</v>
      </c>
      <c r="E688" s="18" t="s">
        <v>2951</v>
      </c>
      <c r="F688" s="19">
        <v>45645</v>
      </c>
      <c r="G688" s="18">
        <v>1551328.2</v>
      </c>
      <c r="H688" s="37">
        <f t="shared" si="35"/>
        <v>13</v>
      </c>
      <c r="I688" s="37" t="str">
        <f t="shared" si="37"/>
        <v>1-90 DAYS</v>
      </c>
      <c r="J688" s="37" t="str">
        <f t="shared" si="36"/>
        <v>0-180 DAYS</v>
      </c>
    </row>
    <row r="689" spans="1:10" hidden="1" x14ac:dyDescent="0.35">
      <c r="A689" s="88" t="s">
        <v>1209</v>
      </c>
      <c r="B689" s="88" t="s">
        <v>789</v>
      </c>
      <c r="C689" s="18" t="s">
        <v>125</v>
      </c>
      <c r="D689" s="18" t="s">
        <v>57</v>
      </c>
      <c r="E689" s="18" t="s">
        <v>2952</v>
      </c>
      <c r="F689" s="19">
        <v>45645</v>
      </c>
      <c r="G689" s="18">
        <v>521951.48</v>
      </c>
      <c r="H689" s="37">
        <f t="shared" si="35"/>
        <v>13</v>
      </c>
      <c r="I689" s="37" t="str">
        <f t="shared" si="37"/>
        <v>1-90 DAYS</v>
      </c>
      <c r="J689" s="37" t="str">
        <f t="shared" si="36"/>
        <v>0-180 DAYS</v>
      </c>
    </row>
    <row r="690" spans="1:10" hidden="1" x14ac:dyDescent="0.35">
      <c r="A690" s="88" t="s">
        <v>1209</v>
      </c>
      <c r="B690" s="88" t="s">
        <v>789</v>
      </c>
      <c r="C690" s="18" t="s">
        <v>125</v>
      </c>
      <c r="D690" s="18" t="s">
        <v>57</v>
      </c>
      <c r="E690" s="18" t="s">
        <v>2953</v>
      </c>
      <c r="F690" s="19">
        <v>45645</v>
      </c>
      <c r="G690" s="18">
        <v>4527.3599999999997</v>
      </c>
      <c r="H690" s="37">
        <f t="shared" si="35"/>
        <v>13</v>
      </c>
      <c r="I690" s="37" t="str">
        <f t="shared" si="37"/>
        <v>1-90 DAYS</v>
      </c>
      <c r="J690" s="37" t="str">
        <f t="shared" si="36"/>
        <v>0-180 DAYS</v>
      </c>
    </row>
    <row r="691" spans="1:10" hidden="1" x14ac:dyDescent="0.35">
      <c r="A691" s="88" t="s">
        <v>477</v>
      </c>
      <c r="B691" s="88" t="s">
        <v>790</v>
      </c>
      <c r="C691" s="18" t="s">
        <v>2890</v>
      </c>
      <c r="D691" s="18" t="s">
        <v>2966</v>
      </c>
      <c r="E691" s="18" t="s">
        <v>2954</v>
      </c>
      <c r="F691" s="19">
        <v>45646</v>
      </c>
      <c r="G691" s="18">
        <v>291342</v>
      </c>
      <c r="H691" s="37">
        <f t="shared" si="35"/>
        <v>12</v>
      </c>
      <c r="I691" s="37" t="str">
        <f t="shared" si="37"/>
        <v>1-90 DAYS</v>
      </c>
      <c r="J691" s="37" t="str">
        <f t="shared" si="36"/>
        <v>0-180 DAYS</v>
      </c>
    </row>
    <row r="692" spans="1:10" hidden="1" x14ac:dyDescent="0.35">
      <c r="A692" s="88" t="s">
        <v>1209</v>
      </c>
      <c r="B692" s="88" t="s">
        <v>789</v>
      </c>
      <c r="C692" s="18" t="s">
        <v>125</v>
      </c>
      <c r="D692" s="18" t="s">
        <v>57</v>
      </c>
      <c r="E692" s="18" t="s">
        <v>2955</v>
      </c>
      <c r="F692" s="19">
        <v>45648</v>
      </c>
      <c r="G692" s="18">
        <v>597753</v>
      </c>
      <c r="H692" s="37">
        <f t="shared" si="35"/>
        <v>10</v>
      </c>
      <c r="I692" s="37" t="str">
        <f t="shared" si="37"/>
        <v>1-90 DAYS</v>
      </c>
      <c r="J692" s="37" t="str">
        <f t="shared" si="36"/>
        <v>0-180 DAYS</v>
      </c>
    </row>
    <row r="693" spans="1:10" hidden="1" x14ac:dyDescent="0.35">
      <c r="A693" s="88" t="s">
        <v>477</v>
      </c>
      <c r="B693" s="88" t="s">
        <v>790</v>
      </c>
      <c r="C693" s="18" t="s">
        <v>3</v>
      </c>
      <c r="D693" s="18" t="s">
        <v>4</v>
      </c>
      <c r="E693" s="18" t="s">
        <v>2956</v>
      </c>
      <c r="F693" s="19">
        <v>45649</v>
      </c>
      <c r="G693" s="18">
        <v>612276.46</v>
      </c>
      <c r="H693" s="37">
        <f t="shared" si="35"/>
        <v>9</v>
      </c>
      <c r="I693" s="37" t="str">
        <f t="shared" si="37"/>
        <v>1-90 DAYS</v>
      </c>
      <c r="J693" s="37" t="str">
        <f t="shared" si="36"/>
        <v>0-180 DAYS</v>
      </c>
    </row>
    <row r="694" spans="1:10" hidden="1" x14ac:dyDescent="0.35">
      <c r="A694" s="88" t="s">
        <v>477</v>
      </c>
      <c r="B694" s="88" t="s">
        <v>790</v>
      </c>
      <c r="C694" s="18" t="s">
        <v>2891</v>
      </c>
      <c r="D694" s="18" t="s">
        <v>2967</v>
      </c>
      <c r="E694" s="18" t="s">
        <v>2957</v>
      </c>
      <c r="F694" s="19">
        <v>45651</v>
      </c>
      <c r="G694" s="18">
        <v>680124.68</v>
      </c>
      <c r="H694" s="37">
        <f t="shared" si="35"/>
        <v>7</v>
      </c>
      <c r="I694" s="37" t="str">
        <f t="shared" si="37"/>
        <v>1-90 DAYS</v>
      </c>
      <c r="J694" s="37" t="str">
        <f t="shared" si="36"/>
        <v>0-180 DAYS</v>
      </c>
    </row>
    <row r="695" spans="1:10" hidden="1" x14ac:dyDescent="0.35">
      <c r="A695" s="88" t="s">
        <v>1209</v>
      </c>
      <c r="B695" s="88" t="s">
        <v>789</v>
      </c>
      <c r="C695" s="18" t="s">
        <v>125</v>
      </c>
      <c r="D695" s="18" t="s">
        <v>57</v>
      </c>
      <c r="E695" s="18" t="s">
        <v>2958</v>
      </c>
      <c r="F695" s="19">
        <v>45651</v>
      </c>
      <c r="G695" s="18">
        <v>935145.07</v>
      </c>
      <c r="H695" s="37">
        <f t="shared" si="35"/>
        <v>7</v>
      </c>
      <c r="I695" s="37" t="str">
        <f t="shared" si="37"/>
        <v>1-90 DAYS</v>
      </c>
      <c r="J695" s="37" t="str">
        <f t="shared" si="36"/>
        <v>0-180 DAYS</v>
      </c>
    </row>
    <row r="696" spans="1:10" hidden="1" x14ac:dyDescent="0.35">
      <c r="A696" s="88" t="s">
        <v>1209</v>
      </c>
      <c r="B696" s="88" t="s">
        <v>789</v>
      </c>
      <c r="C696" s="18" t="s">
        <v>125</v>
      </c>
      <c r="D696" s="18" t="s">
        <v>57</v>
      </c>
      <c r="E696" s="18" t="s">
        <v>44</v>
      </c>
      <c r="F696" s="19">
        <v>45651</v>
      </c>
      <c r="G696" s="18">
        <v>5885.57</v>
      </c>
      <c r="H696" s="37">
        <f t="shared" si="35"/>
        <v>7</v>
      </c>
      <c r="I696" s="37" t="str">
        <f t="shared" si="37"/>
        <v>1-90 DAYS</v>
      </c>
      <c r="J696" s="37" t="str">
        <f t="shared" si="36"/>
        <v>0-180 DAYS</v>
      </c>
    </row>
    <row r="697" spans="1:10" hidden="1" x14ac:dyDescent="0.35">
      <c r="A697" s="88" t="s">
        <v>1209</v>
      </c>
      <c r="B697" s="88" t="s">
        <v>789</v>
      </c>
      <c r="C697" s="18" t="s">
        <v>125</v>
      </c>
      <c r="D697" s="18" t="s">
        <v>57</v>
      </c>
      <c r="E697" s="18" t="s">
        <v>2959</v>
      </c>
      <c r="F697" s="19">
        <v>45652</v>
      </c>
      <c r="G697" s="18">
        <v>1490577.09</v>
      </c>
      <c r="H697" s="37">
        <f t="shared" si="35"/>
        <v>6</v>
      </c>
      <c r="I697" s="37" t="str">
        <f t="shared" si="37"/>
        <v>1-90 DAYS</v>
      </c>
      <c r="J697" s="37" t="str">
        <f t="shared" si="36"/>
        <v>0-180 DAYS</v>
      </c>
    </row>
    <row r="698" spans="1:10" hidden="1" x14ac:dyDescent="0.35">
      <c r="A698" s="88" t="s">
        <v>477</v>
      </c>
      <c r="B698" s="88" t="s">
        <v>790</v>
      </c>
      <c r="C698" s="18" t="s">
        <v>2890</v>
      </c>
      <c r="D698" s="18" t="s">
        <v>2966</v>
      </c>
      <c r="E698" s="18" t="s">
        <v>2960</v>
      </c>
      <c r="F698" s="19">
        <v>45652</v>
      </c>
      <c r="G698" s="18">
        <v>1068254</v>
      </c>
      <c r="H698" s="37">
        <f t="shared" si="35"/>
        <v>6</v>
      </c>
      <c r="I698" s="37" t="str">
        <f t="shared" si="37"/>
        <v>1-90 DAYS</v>
      </c>
      <c r="J698" s="37" t="str">
        <f t="shared" si="36"/>
        <v>0-180 DAYS</v>
      </c>
    </row>
    <row r="699" spans="1:10" hidden="1" x14ac:dyDescent="0.35">
      <c r="A699" s="88" t="s">
        <v>1209</v>
      </c>
      <c r="B699" s="88" t="s">
        <v>789</v>
      </c>
      <c r="C699" s="18" t="s">
        <v>125</v>
      </c>
      <c r="D699" s="18" t="s">
        <v>57</v>
      </c>
      <c r="E699" s="18" t="s">
        <v>2961</v>
      </c>
      <c r="F699" s="19">
        <v>45654</v>
      </c>
      <c r="G699" s="18">
        <v>2480072.4700000002</v>
      </c>
      <c r="H699" s="37">
        <f t="shared" si="35"/>
        <v>4</v>
      </c>
      <c r="I699" s="37" t="str">
        <f t="shared" si="37"/>
        <v>1-90 DAYS</v>
      </c>
      <c r="J699" s="37" t="str">
        <f t="shared" si="36"/>
        <v>0-180 DAYS</v>
      </c>
    </row>
    <row r="700" spans="1:10" hidden="1" x14ac:dyDescent="0.35">
      <c r="A700" s="88" t="s">
        <v>477</v>
      </c>
      <c r="B700" s="88" t="s">
        <v>790</v>
      </c>
      <c r="C700" s="18" t="s">
        <v>2892</v>
      </c>
      <c r="D700" s="18" t="s">
        <v>2968</v>
      </c>
      <c r="E700" s="18" t="s">
        <v>2962</v>
      </c>
      <c r="F700" s="19">
        <v>45656</v>
      </c>
      <c r="G700" s="18">
        <v>11918</v>
      </c>
      <c r="H700" s="37">
        <f t="shared" si="35"/>
        <v>2</v>
      </c>
      <c r="I700" s="37" t="str">
        <f t="shared" si="37"/>
        <v>1-90 DAYS</v>
      </c>
      <c r="J700" s="37" t="str">
        <f t="shared" si="36"/>
        <v>0-180 DAYS</v>
      </c>
    </row>
    <row r="701" spans="1:10" hidden="1" x14ac:dyDescent="0.35">
      <c r="A701" s="88" t="s">
        <v>1209</v>
      </c>
      <c r="B701" s="88" t="s">
        <v>789</v>
      </c>
      <c r="C701" s="18" t="s">
        <v>125</v>
      </c>
      <c r="D701" s="18" t="s">
        <v>57</v>
      </c>
      <c r="E701" s="18" t="s">
        <v>2963</v>
      </c>
      <c r="F701" s="19">
        <v>45657</v>
      </c>
      <c r="G701" s="18">
        <v>507252.37</v>
      </c>
      <c r="H701" s="37">
        <f t="shared" si="35"/>
        <v>1</v>
      </c>
      <c r="I701" s="37" t="str">
        <f t="shared" si="37"/>
        <v>1-90 DAYS</v>
      </c>
      <c r="J701" s="37" t="str">
        <f t="shared" si="36"/>
        <v>0-180 DAYS</v>
      </c>
    </row>
    <row r="702" spans="1:10" hidden="1" x14ac:dyDescent="0.35">
      <c r="A702" s="88" t="s">
        <v>1209</v>
      </c>
      <c r="B702" s="88" t="s">
        <v>789</v>
      </c>
      <c r="C702" s="18" t="s">
        <v>125</v>
      </c>
      <c r="D702" s="18" t="s">
        <v>57</v>
      </c>
      <c r="E702" s="18" t="s">
        <v>2964</v>
      </c>
      <c r="F702" s="19">
        <v>45657</v>
      </c>
      <c r="G702" s="18">
        <v>4527.3599999999997</v>
      </c>
      <c r="H702" s="37">
        <f t="shared" si="35"/>
        <v>1</v>
      </c>
      <c r="I702" s="37" t="str">
        <f t="shared" si="37"/>
        <v>1-90 DAYS</v>
      </c>
      <c r="J702" s="37" t="str">
        <f t="shared" si="36"/>
        <v>0-180 DAYS</v>
      </c>
    </row>
    <row r="703" spans="1:10" hidden="1" x14ac:dyDescent="0.35">
      <c r="A703" s="88" t="s">
        <v>1209</v>
      </c>
      <c r="B703" s="88" t="s">
        <v>789</v>
      </c>
      <c r="C703" s="18" t="s">
        <v>125</v>
      </c>
      <c r="D703" s="18" t="s">
        <v>57</v>
      </c>
      <c r="E703" s="18" t="s">
        <v>470</v>
      </c>
      <c r="F703" s="19">
        <v>45636</v>
      </c>
      <c r="G703" s="18">
        <v>668279.74</v>
      </c>
      <c r="H703" s="37">
        <f t="shared" si="35"/>
        <v>22</v>
      </c>
      <c r="I703" s="37" t="str">
        <f t="shared" si="37"/>
        <v>1-90 DAYS</v>
      </c>
      <c r="J703" s="37" t="str">
        <f t="shared" si="36"/>
        <v>0-180 DAYS</v>
      </c>
    </row>
    <row r="704" spans="1:10" hidden="1" x14ac:dyDescent="0.35">
      <c r="A704" s="88" t="s">
        <v>1209</v>
      </c>
      <c r="B704" s="88" t="s">
        <v>789</v>
      </c>
      <c r="C704" s="18" t="s">
        <v>125</v>
      </c>
      <c r="D704" s="18" t="s">
        <v>57</v>
      </c>
      <c r="E704" s="18" t="s">
        <v>1038</v>
      </c>
      <c r="F704" s="19">
        <v>45653</v>
      </c>
      <c r="G704" s="18">
        <v>1590777.38</v>
      </c>
      <c r="H704" s="37">
        <f t="shared" si="35"/>
        <v>5</v>
      </c>
      <c r="I704" s="37" t="str">
        <f t="shared" si="37"/>
        <v>1-90 DAYS</v>
      </c>
      <c r="J704" s="37" t="str">
        <f t="shared" si="36"/>
        <v>0-180 DAYS</v>
      </c>
    </row>
    <row r="705" spans="1:10" hidden="1" x14ac:dyDescent="0.35">
      <c r="A705" s="88" t="s">
        <v>3058</v>
      </c>
      <c r="B705" s="88" t="s">
        <v>790</v>
      </c>
      <c r="C705" s="18" t="s">
        <v>1086</v>
      </c>
      <c r="E705" s="18" t="s">
        <v>2971</v>
      </c>
      <c r="F705" s="19">
        <v>45628</v>
      </c>
      <c r="G705" s="18">
        <v>1785361.6</v>
      </c>
      <c r="H705" s="37">
        <f t="shared" si="35"/>
        <v>30</v>
      </c>
      <c r="I705" s="37" t="str">
        <f t="shared" ref="I705:I768" si="38">IF(H705&lt;121,"0-120 DAYS",IF(H705&lt;181,"121-180 DAYS","More than 180 Days"))</f>
        <v>0-120 DAYS</v>
      </c>
      <c r="J705" s="37" t="str">
        <f t="shared" si="36"/>
        <v>0-180 DAYS</v>
      </c>
    </row>
    <row r="706" spans="1:10" hidden="1" x14ac:dyDescent="0.35">
      <c r="A706" s="88" t="s">
        <v>3058</v>
      </c>
      <c r="B706" s="88" t="s">
        <v>790</v>
      </c>
      <c r="C706" s="18" t="s">
        <v>1086</v>
      </c>
      <c r="E706" s="18" t="s">
        <v>2972</v>
      </c>
      <c r="F706" s="19">
        <v>45628</v>
      </c>
      <c r="G706" s="18">
        <v>718920.71</v>
      </c>
      <c r="H706" s="37">
        <f t="shared" si="35"/>
        <v>30</v>
      </c>
      <c r="I706" s="37" t="str">
        <f t="shared" si="38"/>
        <v>0-120 DAYS</v>
      </c>
      <c r="J706" s="37" t="str">
        <f t="shared" si="36"/>
        <v>0-180 DAYS</v>
      </c>
    </row>
    <row r="707" spans="1:10" hidden="1" x14ac:dyDescent="0.35">
      <c r="A707" s="88" t="s">
        <v>3058</v>
      </c>
      <c r="B707" s="88" t="s">
        <v>790</v>
      </c>
      <c r="C707" s="18" t="s">
        <v>647</v>
      </c>
      <c r="E707" s="18" t="s">
        <v>595</v>
      </c>
      <c r="F707" s="19">
        <v>45629</v>
      </c>
      <c r="G707" s="18">
        <v>3696792</v>
      </c>
      <c r="H707" s="37">
        <f t="shared" si="35"/>
        <v>29</v>
      </c>
      <c r="I707" s="37" t="str">
        <f t="shared" si="38"/>
        <v>0-120 DAYS</v>
      </c>
      <c r="J707" s="37" t="str">
        <f t="shared" si="36"/>
        <v>0-180 DAYS</v>
      </c>
    </row>
    <row r="708" spans="1:10" hidden="1" x14ac:dyDescent="0.35">
      <c r="A708" s="88" t="s">
        <v>3058</v>
      </c>
      <c r="B708" s="88" t="s">
        <v>790</v>
      </c>
      <c r="C708" s="18" t="s">
        <v>573</v>
      </c>
      <c r="E708" s="18" t="s">
        <v>2973</v>
      </c>
      <c r="F708" s="19">
        <v>45629</v>
      </c>
      <c r="G708" s="18">
        <v>2442374</v>
      </c>
      <c r="H708" s="37">
        <f t="shared" si="35"/>
        <v>29</v>
      </c>
      <c r="I708" s="37" t="str">
        <f t="shared" si="38"/>
        <v>0-120 DAYS</v>
      </c>
      <c r="J708" s="37" t="str">
        <f t="shared" si="36"/>
        <v>0-180 DAYS</v>
      </c>
    </row>
    <row r="709" spans="1:10" hidden="1" x14ac:dyDescent="0.35">
      <c r="A709" s="88" t="s">
        <v>3058</v>
      </c>
      <c r="B709" s="88" t="s">
        <v>790</v>
      </c>
      <c r="C709" s="18" t="s">
        <v>573</v>
      </c>
      <c r="E709" s="18" t="s">
        <v>2974</v>
      </c>
      <c r="F709" s="19">
        <v>45629</v>
      </c>
      <c r="G709" s="18">
        <v>214910.52</v>
      </c>
      <c r="H709" s="37">
        <f t="shared" ref="H709:H772" si="39">$H$2-F709+1</f>
        <v>29</v>
      </c>
      <c r="I709" s="37" t="str">
        <f t="shared" si="38"/>
        <v>0-120 DAYS</v>
      </c>
      <c r="J709" s="37" t="str">
        <f t="shared" si="36"/>
        <v>0-180 DAYS</v>
      </c>
    </row>
    <row r="710" spans="1:10" hidden="1" x14ac:dyDescent="0.35">
      <c r="A710" s="88" t="s">
        <v>3058</v>
      </c>
      <c r="B710" s="88" t="s">
        <v>790</v>
      </c>
      <c r="C710" s="18" t="s">
        <v>814</v>
      </c>
      <c r="E710" s="18" t="s">
        <v>2975</v>
      </c>
      <c r="F710" s="19">
        <v>45630</v>
      </c>
      <c r="G710" s="18">
        <v>25391</v>
      </c>
      <c r="H710" s="37">
        <f t="shared" si="39"/>
        <v>28</v>
      </c>
      <c r="I710" s="37" t="str">
        <f t="shared" si="38"/>
        <v>0-120 DAYS</v>
      </c>
      <c r="J710" s="37" t="str">
        <f t="shared" ref="J710:J773" si="40">IF(H710&lt;180,"0-180 DAYS","More than 180 Days")</f>
        <v>0-180 DAYS</v>
      </c>
    </row>
    <row r="711" spans="1:10" hidden="1" x14ac:dyDescent="0.35">
      <c r="A711" s="88" t="s">
        <v>3058</v>
      </c>
      <c r="B711" s="88" t="s">
        <v>790</v>
      </c>
      <c r="C711" s="18" t="s">
        <v>1052</v>
      </c>
      <c r="E711" s="18" t="s">
        <v>2976</v>
      </c>
      <c r="F711" s="19">
        <v>45631</v>
      </c>
      <c r="G711" s="18">
        <v>2961638.68</v>
      </c>
      <c r="H711" s="37">
        <f t="shared" si="39"/>
        <v>27</v>
      </c>
      <c r="I711" s="37" t="str">
        <f t="shared" si="38"/>
        <v>0-120 DAYS</v>
      </c>
      <c r="J711" s="37" t="str">
        <f t="shared" si="40"/>
        <v>0-180 DAYS</v>
      </c>
    </row>
    <row r="712" spans="1:10" hidden="1" x14ac:dyDescent="0.35">
      <c r="A712" s="88" t="s">
        <v>3058</v>
      </c>
      <c r="B712" s="88" t="s">
        <v>790</v>
      </c>
      <c r="C712" s="18" t="s">
        <v>1086</v>
      </c>
      <c r="E712" s="18" t="s">
        <v>2977</v>
      </c>
      <c r="F712" s="19">
        <v>45632</v>
      </c>
      <c r="G712" s="18">
        <v>1727039.55</v>
      </c>
      <c r="H712" s="37">
        <f t="shared" si="39"/>
        <v>26</v>
      </c>
      <c r="I712" s="37" t="str">
        <f t="shared" si="38"/>
        <v>0-120 DAYS</v>
      </c>
      <c r="J712" s="37" t="str">
        <f t="shared" si="40"/>
        <v>0-180 DAYS</v>
      </c>
    </row>
    <row r="713" spans="1:10" hidden="1" x14ac:dyDescent="0.35">
      <c r="A713" s="88" t="s">
        <v>3058</v>
      </c>
      <c r="B713" s="88" t="s">
        <v>790</v>
      </c>
      <c r="C713" s="18" t="s">
        <v>1086</v>
      </c>
      <c r="E713" s="18" t="s">
        <v>2978</v>
      </c>
      <c r="F713" s="19">
        <v>45632</v>
      </c>
      <c r="G713" s="18">
        <v>388496.43</v>
      </c>
      <c r="H713" s="37">
        <f t="shared" si="39"/>
        <v>26</v>
      </c>
      <c r="I713" s="37" t="str">
        <f t="shared" si="38"/>
        <v>0-120 DAYS</v>
      </c>
      <c r="J713" s="37" t="str">
        <f t="shared" si="40"/>
        <v>0-180 DAYS</v>
      </c>
    </row>
    <row r="714" spans="1:10" hidden="1" x14ac:dyDescent="0.35">
      <c r="A714" s="88" t="s">
        <v>3058</v>
      </c>
      <c r="B714" s="88" t="s">
        <v>790</v>
      </c>
      <c r="C714" s="18" t="s">
        <v>1086</v>
      </c>
      <c r="E714" s="18" t="s">
        <v>2979</v>
      </c>
      <c r="F714" s="19">
        <v>45632</v>
      </c>
      <c r="G714" s="18">
        <v>122888.33</v>
      </c>
      <c r="H714" s="37">
        <f t="shared" si="39"/>
        <v>26</v>
      </c>
      <c r="I714" s="37" t="str">
        <f t="shared" si="38"/>
        <v>0-120 DAYS</v>
      </c>
      <c r="J714" s="37" t="str">
        <f t="shared" si="40"/>
        <v>0-180 DAYS</v>
      </c>
    </row>
    <row r="715" spans="1:10" hidden="1" x14ac:dyDescent="0.35">
      <c r="A715" s="88" t="s">
        <v>3058</v>
      </c>
      <c r="B715" s="88" t="s">
        <v>790</v>
      </c>
      <c r="C715" s="18" t="s">
        <v>1052</v>
      </c>
      <c r="E715" s="18" t="s">
        <v>2980</v>
      </c>
      <c r="F715" s="19">
        <v>45633</v>
      </c>
      <c r="G715" s="18">
        <v>2987209.16</v>
      </c>
      <c r="H715" s="37">
        <f t="shared" si="39"/>
        <v>25</v>
      </c>
      <c r="I715" s="37" t="str">
        <f t="shared" si="38"/>
        <v>0-120 DAYS</v>
      </c>
      <c r="J715" s="37" t="str">
        <f t="shared" si="40"/>
        <v>0-180 DAYS</v>
      </c>
    </row>
    <row r="716" spans="1:10" hidden="1" x14ac:dyDescent="0.35">
      <c r="A716" s="88" t="s">
        <v>3058</v>
      </c>
      <c r="B716" s="88" t="s">
        <v>790</v>
      </c>
      <c r="C716" s="18" t="s">
        <v>548</v>
      </c>
      <c r="E716" s="18" t="s">
        <v>2981</v>
      </c>
      <c r="F716" s="19">
        <v>45635</v>
      </c>
      <c r="G716" s="18">
        <v>3213495.85</v>
      </c>
      <c r="H716" s="37">
        <f t="shared" si="39"/>
        <v>23</v>
      </c>
      <c r="I716" s="37" t="str">
        <f t="shared" si="38"/>
        <v>0-120 DAYS</v>
      </c>
      <c r="J716" s="37" t="str">
        <f t="shared" si="40"/>
        <v>0-180 DAYS</v>
      </c>
    </row>
    <row r="717" spans="1:10" hidden="1" x14ac:dyDescent="0.35">
      <c r="A717" s="88" t="s">
        <v>3058</v>
      </c>
      <c r="B717" s="88" t="s">
        <v>790</v>
      </c>
      <c r="C717" s="18" t="s">
        <v>647</v>
      </c>
      <c r="E717" s="18" t="s">
        <v>605</v>
      </c>
      <c r="F717" s="19">
        <v>45637</v>
      </c>
      <c r="G717" s="18">
        <v>3710058.01</v>
      </c>
      <c r="H717" s="37">
        <f t="shared" si="39"/>
        <v>21</v>
      </c>
      <c r="I717" s="37" t="str">
        <f t="shared" si="38"/>
        <v>0-120 DAYS</v>
      </c>
      <c r="J717" s="37" t="str">
        <f t="shared" si="40"/>
        <v>0-180 DAYS</v>
      </c>
    </row>
    <row r="718" spans="1:10" hidden="1" x14ac:dyDescent="0.35">
      <c r="A718" s="88" t="s">
        <v>3058</v>
      </c>
      <c r="B718" s="88" t="s">
        <v>790</v>
      </c>
      <c r="C718" s="18" t="s">
        <v>548</v>
      </c>
      <c r="E718" s="18" t="s">
        <v>604</v>
      </c>
      <c r="F718" s="19">
        <v>45637</v>
      </c>
      <c r="G718" s="18">
        <v>3042037.93</v>
      </c>
      <c r="H718" s="37">
        <f t="shared" si="39"/>
        <v>21</v>
      </c>
      <c r="I718" s="37" t="str">
        <f t="shared" si="38"/>
        <v>0-120 DAYS</v>
      </c>
      <c r="J718" s="37" t="str">
        <f t="shared" si="40"/>
        <v>0-180 DAYS</v>
      </c>
    </row>
    <row r="719" spans="1:10" hidden="1" x14ac:dyDescent="0.35">
      <c r="A719" s="2" t="s">
        <v>1209</v>
      </c>
      <c r="B719" s="2" t="s">
        <v>789</v>
      </c>
      <c r="C719" s="18" t="s">
        <v>506</v>
      </c>
      <c r="E719" s="18" t="s">
        <v>2982</v>
      </c>
      <c r="F719" s="19">
        <v>45637</v>
      </c>
      <c r="G719" s="18">
        <v>2912928.29</v>
      </c>
      <c r="H719" s="37">
        <f t="shared" si="39"/>
        <v>21</v>
      </c>
      <c r="I719" s="37" t="str">
        <f>IF(H719&lt;91,"1-90 DAYS",IF(H719&lt;121,"91-120DAYS",IF(H719&lt;181,"121-180 DAYS","More than 180 Days")))</f>
        <v>1-90 DAYS</v>
      </c>
      <c r="J719" s="37" t="str">
        <f t="shared" si="40"/>
        <v>0-180 DAYS</v>
      </c>
    </row>
    <row r="720" spans="1:10" hidden="1" x14ac:dyDescent="0.35">
      <c r="A720" s="2" t="s">
        <v>1209</v>
      </c>
      <c r="B720" s="2" t="s">
        <v>789</v>
      </c>
      <c r="C720" s="18" t="s">
        <v>506</v>
      </c>
      <c r="E720" s="18" t="s">
        <v>2983</v>
      </c>
      <c r="F720" s="19">
        <v>45637</v>
      </c>
      <c r="G720" s="18">
        <v>316593.28999999998</v>
      </c>
      <c r="H720" s="37">
        <f t="shared" si="39"/>
        <v>21</v>
      </c>
      <c r="I720" s="37" t="str">
        <f>IF(H720&lt;91,"1-90 DAYS",IF(H720&lt;121,"91-120DAYS",IF(H720&lt;181,"121-180 DAYS","More than 180 Days")))</f>
        <v>1-90 DAYS</v>
      </c>
      <c r="J720" s="37" t="str">
        <f t="shared" si="40"/>
        <v>0-180 DAYS</v>
      </c>
    </row>
    <row r="721" spans="1:10" hidden="1" x14ac:dyDescent="0.35">
      <c r="A721" s="88" t="s">
        <v>3058</v>
      </c>
      <c r="B721" s="88" t="s">
        <v>790</v>
      </c>
      <c r="C721" s="18" t="s">
        <v>1052</v>
      </c>
      <c r="E721" s="18" t="s">
        <v>2984</v>
      </c>
      <c r="F721" s="19">
        <v>45638</v>
      </c>
      <c r="G721" s="18">
        <v>2781024.91</v>
      </c>
      <c r="H721" s="37">
        <f t="shared" si="39"/>
        <v>20</v>
      </c>
      <c r="I721" s="37" t="str">
        <f t="shared" si="38"/>
        <v>0-120 DAYS</v>
      </c>
      <c r="J721" s="37" t="str">
        <f t="shared" si="40"/>
        <v>0-180 DAYS</v>
      </c>
    </row>
    <row r="722" spans="1:10" hidden="1" x14ac:dyDescent="0.35">
      <c r="A722" s="88" t="s">
        <v>3058</v>
      </c>
      <c r="B722" s="88" t="s">
        <v>790</v>
      </c>
      <c r="C722" s="18" t="s">
        <v>2969</v>
      </c>
      <c r="E722" s="18" t="s">
        <v>2985</v>
      </c>
      <c r="F722" s="19">
        <v>45639</v>
      </c>
      <c r="G722" s="18">
        <v>3349804.82</v>
      </c>
      <c r="H722" s="37">
        <f t="shared" si="39"/>
        <v>19</v>
      </c>
      <c r="I722" s="37" t="str">
        <f t="shared" si="38"/>
        <v>0-120 DAYS</v>
      </c>
      <c r="J722" s="37" t="str">
        <f t="shared" si="40"/>
        <v>0-180 DAYS</v>
      </c>
    </row>
    <row r="723" spans="1:10" hidden="1" x14ac:dyDescent="0.35">
      <c r="A723" s="88" t="s">
        <v>3058</v>
      </c>
      <c r="B723" s="88" t="s">
        <v>790</v>
      </c>
      <c r="C723" s="18" t="s">
        <v>575</v>
      </c>
      <c r="E723" s="18" t="s">
        <v>2986</v>
      </c>
      <c r="F723" s="19">
        <v>45642</v>
      </c>
      <c r="G723" s="18">
        <v>3241004.38</v>
      </c>
      <c r="H723" s="37">
        <f t="shared" si="39"/>
        <v>16</v>
      </c>
      <c r="I723" s="37" t="str">
        <f t="shared" si="38"/>
        <v>0-120 DAYS</v>
      </c>
      <c r="J723" s="37" t="str">
        <f t="shared" si="40"/>
        <v>0-180 DAYS</v>
      </c>
    </row>
    <row r="724" spans="1:10" hidden="1" x14ac:dyDescent="0.35">
      <c r="A724" s="88" t="s">
        <v>3058</v>
      </c>
      <c r="B724" s="88" t="s">
        <v>790</v>
      </c>
      <c r="C724" s="18" t="s">
        <v>1052</v>
      </c>
      <c r="E724" s="18" t="s">
        <v>2987</v>
      </c>
      <c r="F724" s="19">
        <v>45644</v>
      </c>
      <c r="G724" s="18">
        <v>2994643.54</v>
      </c>
      <c r="H724" s="37">
        <f t="shared" si="39"/>
        <v>14</v>
      </c>
      <c r="I724" s="37" t="str">
        <f t="shared" si="38"/>
        <v>0-120 DAYS</v>
      </c>
      <c r="J724" s="37" t="str">
        <f t="shared" si="40"/>
        <v>0-180 DAYS</v>
      </c>
    </row>
    <row r="725" spans="1:10" hidden="1" x14ac:dyDescent="0.35">
      <c r="A725" s="88" t="s">
        <v>3058</v>
      </c>
      <c r="B725" s="88" t="s">
        <v>790</v>
      </c>
      <c r="C725" s="18" t="s">
        <v>814</v>
      </c>
      <c r="E725" s="18" t="s">
        <v>2988</v>
      </c>
      <c r="F725" s="19">
        <v>45644</v>
      </c>
      <c r="G725" s="18">
        <v>60439</v>
      </c>
      <c r="H725" s="37">
        <f t="shared" si="39"/>
        <v>14</v>
      </c>
      <c r="I725" s="37" t="str">
        <f t="shared" si="38"/>
        <v>0-120 DAYS</v>
      </c>
      <c r="J725" s="37" t="str">
        <f t="shared" si="40"/>
        <v>0-180 DAYS</v>
      </c>
    </row>
    <row r="726" spans="1:10" hidden="1" x14ac:dyDescent="0.35">
      <c r="A726" s="88" t="s">
        <v>3058</v>
      </c>
      <c r="B726" s="88" t="s">
        <v>790</v>
      </c>
      <c r="C726" s="18" t="s">
        <v>1052</v>
      </c>
      <c r="E726" s="18" t="s">
        <v>2989</v>
      </c>
      <c r="F726" s="19">
        <v>45645</v>
      </c>
      <c r="G726" s="18">
        <v>2986093.29</v>
      </c>
      <c r="H726" s="37">
        <f t="shared" si="39"/>
        <v>13</v>
      </c>
      <c r="I726" s="37" t="str">
        <f t="shared" si="38"/>
        <v>0-120 DAYS</v>
      </c>
      <c r="J726" s="37" t="str">
        <f t="shared" si="40"/>
        <v>0-180 DAYS</v>
      </c>
    </row>
    <row r="727" spans="1:10" hidden="1" x14ac:dyDescent="0.35">
      <c r="A727" s="88" t="s">
        <v>3058</v>
      </c>
      <c r="B727" s="88" t="s">
        <v>790</v>
      </c>
      <c r="C727" s="18" t="s">
        <v>1243</v>
      </c>
      <c r="E727" s="18" t="s">
        <v>2990</v>
      </c>
      <c r="F727" s="19">
        <v>45645</v>
      </c>
      <c r="G727" s="18">
        <v>3448471.25</v>
      </c>
      <c r="H727" s="37">
        <f t="shared" si="39"/>
        <v>13</v>
      </c>
      <c r="I727" s="37" t="str">
        <f t="shared" si="38"/>
        <v>0-120 DAYS</v>
      </c>
      <c r="J727" s="37" t="str">
        <f t="shared" si="40"/>
        <v>0-180 DAYS</v>
      </c>
    </row>
    <row r="728" spans="1:10" hidden="1" x14ac:dyDescent="0.35">
      <c r="A728" s="88" t="s">
        <v>3058</v>
      </c>
      <c r="B728" s="88" t="s">
        <v>790</v>
      </c>
      <c r="C728" s="18" t="s">
        <v>1243</v>
      </c>
      <c r="E728" s="18" t="s">
        <v>2991</v>
      </c>
      <c r="F728" s="19">
        <v>45645</v>
      </c>
      <c r="G728" s="18">
        <v>402553.38</v>
      </c>
      <c r="H728" s="37">
        <f t="shared" si="39"/>
        <v>13</v>
      </c>
      <c r="I728" s="37" t="str">
        <f t="shared" si="38"/>
        <v>0-120 DAYS</v>
      </c>
      <c r="J728" s="37" t="str">
        <f t="shared" si="40"/>
        <v>0-180 DAYS</v>
      </c>
    </row>
    <row r="729" spans="1:10" hidden="1" x14ac:dyDescent="0.35">
      <c r="A729" s="88" t="s">
        <v>3058</v>
      </c>
      <c r="B729" s="88" t="s">
        <v>790</v>
      </c>
      <c r="C729" s="18" t="s">
        <v>1052</v>
      </c>
      <c r="E729" s="18" t="s">
        <v>2992</v>
      </c>
      <c r="F729" s="19">
        <v>45647</v>
      </c>
      <c r="G729" s="18">
        <v>2987573.24</v>
      </c>
      <c r="H729" s="37">
        <f t="shared" si="39"/>
        <v>11</v>
      </c>
      <c r="I729" s="37" t="str">
        <f t="shared" si="38"/>
        <v>0-120 DAYS</v>
      </c>
      <c r="J729" s="37" t="str">
        <f t="shared" si="40"/>
        <v>0-180 DAYS</v>
      </c>
    </row>
    <row r="730" spans="1:10" hidden="1" x14ac:dyDescent="0.35">
      <c r="A730" s="88" t="s">
        <v>3058</v>
      </c>
      <c r="B730" s="88" t="s">
        <v>790</v>
      </c>
      <c r="C730" s="18" t="s">
        <v>548</v>
      </c>
      <c r="E730" s="18" t="s">
        <v>2993</v>
      </c>
      <c r="F730" s="19">
        <v>45647</v>
      </c>
      <c r="G730" s="18">
        <v>3264868.64</v>
      </c>
      <c r="H730" s="37">
        <f t="shared" si="39"/>
        <v>11</v>
      </c>
      <c r="I730" s="37" t="str">
        <f t="shared" si="38"/>
        <v>0-120 DAYS</v>
      </c>
      <c r="J730" s="37" t="str">
        <f t="shared" si="40"/>
        <v>0-180 DAYS</v>
      </c>
    </row>
    <row r="731" spans="1:10" hidden="1" x14ac:dyDescent="0.35">
      <c r="A731" s="88" t="s">
        <v>3058</v>
      </c>
      <c r="B731" s="88" t="s">
        <v>790</v>
      </c>
      <c r="C731" s="18" t="s">
        <v>814</v>
      </c>
      <c r="E731" s="18" t="s">
        <v>2994</v>
      </c>
      <c r="F731" s="19">
        <v>45650</v>
      </c>
      <c r="G731" s="18">
        <v>80419</v>
      </c>
      <c r="H731" s="37">
        <f t="shared" si="39"/>
        <v>8</v>
      </c>
      <c r="I731" s="37" t="str">
        <f t="shared" si="38"/>
        <v>0-120 DAYS</v>
      </c>
      <c r="J731" s="37" t="str">
        <f t="shared" si="40"/>
        <v>0-180 DAYS</v>
      </c>
    </row>
    <row r="732" spans="1:10" hidden="1" x14ac:dyDescent="0.35">
      <c r="A732" s="88" t="s">
        <v>3058</v>
      </c>
      <c r="B732" s="88" t="s">
        <v>790</v>
      </c>
      <c r="C732" s="18" t="s">
        <v>1052</v>
      </c>
      <c r="E732" s="18" t="s">
        <v>2995</v>
      </c>
      <c r="F732" s="19">
        <v>45652</v>
      </c>
      <c r="G732" s="18">
        <v>2991159.77</v>
      </c>
      <c r="H732" s="37">
        <f t="shared" si="39"/>
        <v>6</v>
      </c>
      <c r="I732" s="37" t="str">
        <f t="shared" si="38"/>
        <v>0-120 DAYS</v>
      </c>
      <c r="J732" s="37" t="str">
        <f t="shared" si="40"/>
        <v>0-180 DAYS</v>
      </c>
    </row>
    <row r="733" spans="1:10" hidden="1" x14ac:dyDescent="0.35">
      <c r="A733" s="88" t="s">
        <v>3058</v>
      </c>
      <c r="B733" s="88" t="s">
        <v>790</v>
      </c>
      <c r="C733" s="18" t="s">
        <v>1052</v>
      </c>
      <c r="E733" s="18" t="s">
        <v>2996</v>
      </c>
      <c r="F733" s="19">
        <v>45652</v>
      </c>
      <c r="G733" s="18">
        <v>2704204.27</v>
      </c>
      <c r="H733" s="37">
        <f t="shared" si="39"/>
        <v>6</v>
      </c>
      <c r="I733" s="37" t="str">
        <f t="shared" si="38"/>
        <v>0-120 DAYS</v>
      </c>
      <c r="J733" s="37" t="str">
        <f t="shared" si="40"/>
        <v>0-180 DAYS</v>
      </c>
    </row>
    <row r="734" spans="1:10" hidden="1" x14ac:dyDescent="0.35">
      <c r="A734" s="88" t="s">
        <v>3058</v>
      </c>
      <c r="B734" s="88" t="s">
        <v>790</v>
      </c>
      <c r="C734" s="18" t="s">
        <v>617</v>
      </c>
      <c r="E734" s="18" t="s">
        <v>2997</v>
      </c>
      <c r="F734" s="19">
        <v>45654</v>
      </c>
      <c r="G734" s="18">
        <v>4279229.37</v>
      </c>
      <c r="H734" s="37">
        <f t="shared" si="39"/>
        <v>4</v>
      </c>
      <c r="I734" s="37" t="str">
        <f t="shared" si="38"/>
        <v>0-120 DAYS</v>
      </c>
      <c r="J734" s="37" t="str">
        <f t="shared" si="40"/>
        <v>0-180 DAYS</v>
      </c>
    </row>
    <row r="735" spans="1:10" hidden="1" x14ac:dyDescent="0.35">
      <c r="A735" s="88" t="s">
        <v>3058</v>
      </c>
      <c r="B735" s="88" t="s">
        <v>790</v>
      </c>
      <c r="C735" s="18" t="s">
        <v>1330</v>
      </c>
      <c r="E735" s="18" t="s">
        <v>2998</v>
      </c>
      <c r="F735" s="19">
        <v>45657</v>
      </c>
      <c r="G735" s="18">
        <v>3297738.54</v>
      </c>
      <c r="H735" s="37">
        <f t="shared" si="39"/>
        <v>1</v>
      </c>
      <c r="I735" s="37" t="str">
        <f t="shared" si="38"/>
        <v>0-120 DAYS</v>
      </c>
      <c r="J735" s="37" t="str">
        <f t="shared" si="40"/>
        <v>0-180 DAYS</v>
      </c>
    </row>
    <row r="736" spans="1:10" hidden="1" x14ac:dyDescent="0.35">
      <c r="A736" s="88" t="s">
        <v>3058</v>
      </c>
      <c r="B736" s="88" t="s">
        <v>790</v>
      </c>
      <c r="C736" s="18" t="s">
        <v>573</v>
      </c>
      <c r="E736" s="18" t="s">
        <v>2999</v>
      </c>
      <c r="F736" s="19">
        <v>45627</v>
      </c>
      <c r="G736" s="18">
        <v>1653205.88</v>
      </c>
      <c r="H736" s="37">
        <f t="shared" si="39"/>
        <v>31</v>
      </c>
      <c r="I736" s="37" t="str">
        <f t="shared" si="38"/>
        <v>0-120 DAYS</v>
      </c>
      <c r="J736" s="37" t="str">
        <f t="shared" si="40"/>
        <v>0-180 DAYS</v>
      </c>
    </row>
    <row r="737" spans="1:10" hidden="1" x14ac:dyDescent="0.35">
      <c r="A737" s="88" t="s">
        <v>3058</v>
      </c>
      <c r="B737" s="88" t="s">
        <v>790</v>
      </c>
      <c r="C737" s="18" t="s">
        <v>650</v>
      </c>
      <c r="E737" s="18" t="s">
        <v>3000</v>
      </c>
      <c r="F737" s="19">
        <v>45627</v>
      </c>
      <c r="G737" s="18">
        <v>2916401.2</v>
      </c>
      <c r="H737" s="37">
        <f t="shared" si="39"/>
        <v>31</v>
      </c>
      <c r="I737" s="37" t="str">
        <f t="shared" si="38"/>
        <v>0-120 DAYS</v>
      </c>
      <c r="J737" s="37" t="str">
        <f t="shared" si="40"/>
        <v>0-180 DAYS</v>
      </c>
    </row>
    <row r="738" spans="1:10" hidden="1" x14ac:dyDescent="0.35">
      <c r="A738" s="88" t="s">
        <v>3058</v>
      </c>
      <c r="B738" s="88" t="s">
        <v>790</v>
      </c>
      <c r="C738" s="18" t="s">
        <v>650</v>
      </c>
      <c r="E738" s="18" t="s">
        <v>3001</v>
      </c>
      <c r="F738" s="19">
        <v>45627</v>
      </c>
      <c r="G738" s="18">
        <v>3415312.06</v>
      </c>
      <c r="H738" s="37">
        <f t="shared" si="39"/>
        <v>31</v>
      </c>
      <c r="I738" s="37" t="str">
        <f t="shared" si="38"/>
        <v>0-120 DAYS</v>
      </c>
      <c r="J738" s="37" t="str">
        <f t="shared" si="40"/>
        <v>0-180 DAYS</v>
      </c>
    </row>
    <row r="739" spans="1:10" hidden="1" x14ac:dyDescent="0.35">
      <c r="A739" s="88" t="s">
        <v>3058</v>
      </c>
      <c r="B739" s="88" t="s">
        <v>790</v>
      </c>
      <c r="C739" s="18" t="s">
        <v>570</v>
      </c>
      <c r="E739" s="18" t="s">
        <v>3002</v>
      </c>
      <c r="F739" s="19">
        <v>45628</v>
      </c>
      <c r="G739" s="18">
        <v>3170112</v>
      </c>
      <c r="H739" s="37">
        <f t="shared" si="39"/>
        <v>30</v>
      </c>
      <c r="I739" s="37" t="str">
        <f t="shared" si="38"/>
        <v>0-120 DAYS</v>
      </c>
      <c r="J739" s="37" t="str">
        <f t="shared" si="40"/>
        <v>0-180 DAYS</v>
      </c>
    </row>
    <row r="740" spans="1:10" hidden="1" x14ac:dyDescent="0.35">
      <c r="A740" s="88" t="s">
        <v>3058</v>
      </c>
      <c r="B740" s="88" t="s">
        <v>790</v>
      </c>
      <c r="C740" s="18" t="s">
        <v>1086</v>
      </c>
      <c r="E740" s="18" t="s">
        <v>3003</v>
      </c>
      <c r="F740" s="19">
        <v>45628</v>
      </c>
      <c r="G740" s="18">
        <v>726734.8</v>
      </c>
      <c r="H740" s="37">
        <f t="shared" si="39"/>
        <v>30</v>
      </c>
      <c r="I740" s="37" t="str">
        <f t="shared" si="38"/>
        <v>0-120 DAYS</v>
      </c>
      <c r="J740" s="37" t="str">
        <f t="shared" si="40"/>
        <v>0-180 DAYS</v>
      </c>
    </row>
    <row r="741" spans="1:10" hidden="1" x14ac:dyDescent="0.35">
      <c r="A741" s="88" t="s">
        <v>3058</v>
      </c>
      <c r="B741" s="88" t="s">
        <v>790</v>
      </c>
      <c r="C741" s="18" t="s">
        <v>1086</v>
      </c>
      <c r="E741" s="18" t="s">
        <v>3004</v>
      </c>
      <c r="F741" s="19">
        <v>45628</v>
      </c>
      <c r="G741" s="18">
        <v>2308421.7200000002</v>
      </c>
      <c r="H741" s="37">
        <f t="shared" si="39"/>
        <v>30</v>
      </c>
      <c r="I741" s="37" t="str">
        <f t="shared" si="38"/>
        <v>0-120 DAYS</v>
      </c>
      <c r="J741" s="37" t="str">
        <f t="shared" si="40"/>
        <v>0-180 DAYS</v>
      </c>
    </row>
    <row r="742" spans="1:10" hidden="1" x14ac:dyDescent="0.35">
      <c r="A742" s="88" t="s">
        <v>3058</v>
      </c>
      <c r="B742" s="88" t="s">
        <v>790</v>
      </c>
      <c r="C742" s="18" t="s">
        <v>728</v>
      </c>
      <c r="E742" s="18" t="s">
        <v>3005</v>
      </c>
      <c r="F742" s="19">
        <v>45630</v>
      </c>
      <c r="G742" s="18">
        <v>3214252.8</v>
      </c>
      <c r="H742" s="37">
        <f t="shared" si="39"/>
        <v>28</v>
      </c>
      <c r="I742" s="37" t="str">
        <f t="shared" si="38"/>
        <v>0-120 DAYS</v>
      </c>
      <c r="J742" s="37" t="str">
        <f t="shared" si="40"/>
        <v>0-180 DAYS</v>
      </c>
    </row>
    <row r="743" spans="1:10" hidden="1" x14ac:dyDescent="0.35">
      <c r="A743" s="88" t="s">
        <v>3058</v>
      </c>
      <c r="B743" s="88" t="s">
        <v>790</v>
      </c>
      <c r="C743" s="18" t="s">
        <v>2970</v>
      </c>
      <c r="E743" s="18" t="s">
        <v>3006</v>
      </c>
      <c r="F743" s="19">
        <v>45630</v>
      </c>
      <c r="G743" s="18">
        <v>3830246.86</v>
      </c>
      <c r="H743" s="37">
        <f t="shared" si="39"/>
        <v>28</v>
      </c>
      <c r="I743" s="37" t="str">
        <f t="shared" si="38"/>
        <v>0-120 DAYS</v>
      </c>
      <c r="J743" s="37" t="str">
        <f t="shared" si="40"/>
        <v>0-180 DAYS</v>
      </c>
    </row>
    <row r="744" spans="1:10" hidden="1" x14ac:dyDescent="0.35">
      <c r="A744" s="88" t="s">
        <v>3058</v>
      </c>
      <c r="B744" s="88" t="s">
        <v>790</v>
      </c>
      <c r="C744" s="18" t="s">
        <v>814</v>
      </c>
      <c r="E744" s="18" t="s">
        <v>3007</v>
      </c>
      <c r="F744" s="19">
        <v>45630</v>
      </c>
      <c r="G744" s="18">
        <v>4710.1000000000004</v>
      </c>
      <c r="H744" s="37">
        <f t="shared" si="39"/>
        <v>28</v>
      </c>
      <c r="I744" s="37" t="str">
        <f t="shared" si="38"/>
        <v>0-120 DAYS</v>
      </c>
      <c r="J744" s="37" t="str">
        <f t="shared" si="40"/>
        <v>0-180 DAYS</v>
      </c>
    </row>
    <row r="745" spans="1:10" hidden="1" x14ac:dyDescent="0.35">
      <c r="A745" s="88" t="s">
        <v>3058</v>
      </c>
      <c r="B745" s="88" t="s">
        <v>790</v>
      </c>
      <c r="C745" s="18" t="s">
        <v>570</v>
      </c>
      <c r="E745" s="18" t="s">
        <v>3008</v>
      </c>
      <c r="F745" s="19">
        <v>45632</v>
      </c>
      <c r="G745" s="18">
        <v>3181488</v>
      </c>
      <c r="H745" s="37">
        <f t="shared" si="39"/>
        <v>26</v>
      </c>
      <c r="I745" s="37" t="str">
        <f t="shared" si="38"/>
        <v>0-120 DAYS</v>
      </c>
      <c r="J745" s="37" t="str">
        <f t="shared" si="40"/>
        <v>0-180 DAYS</v>
      </c>
    </row>
    <row r="746" spans="1:10" hidden="1" x14ac:dyDescent="0.35">
      <c r="A746" s="88" t="s">
        <v>3058</v>
      </c>
      <c r="B746" s="88" t="s">
        <v>790</v>
      </c>
      <c r="C746" s="18" t="s">
        <v>635</v>
      </c>
      <c r="E746" s="18" t="s">
        <v>3009</v>
      </c>
      <c r="F746" s="19">
        <v>45633</v>
      </c>
      <c r="G746" s="18">
        <v>2971091.97</v>
      </c>
      <c r="H746" s="37">
        <f t="shared" si="39"/>
        <v>25</v>
      </c>
      <c r="I746" s="37" t="str">
        <f t="shared" si="38"/>
        <v>0-120 DAYS</v>
      </c>
      <c r="J746" s="37" t="str">
        <f t="shared" si="40"/>
        <v>0-180 DAYS</v>
      </c>
    </row>
    <row r="747" spans="1:10" hidden="1" x14ac:dyDescent="0.35">
      <c r="A747" s="88" t="s">
        <v>3058</v>
      </c>
      <c r="B747" s="88" t="s">
        <v>790</v>
      </c>
      <c r="C747" s="18" t="s">
        <v>635</v>
      </c>
      <c r="E747" s="18" t="s">
        <v>3010</v>
      </c>
      <c r="F747" s="19">
        <v>45635</v>
      </c>
      <c r="G747" s="18">
        <v>3086646.6</v>
      </c>
      <c r="H747" s="37">
        <f t="shared" si="39"/>
        <v>23</v>
      </c>
      <c r="I747" s="37" t="str">
        <f t="shared" si="38"/>
        <v>0-120 DAYS</v>
      </c>
      <c r="J747" s="37" t="str">
        <f t="shared" si="40"/>
        <v>0-180 DAYS</v>
      </c>
    </row>
    <row r="748" spans="1:10" hidden="1" x14ac:dyDescent="0.35">
      <c r="A748" s="88" t="s">
        <v>3058</v>
      </c>
      <c r="B748" s="88" t="s">
        <v>790</v>
      </c>
      <c r="C748" s="18" t="s">
        <v>600</v>
      </c>
      <c r="E748" s="18" t="s">
        <v>3011</v>
      </c>
      <c r="F748" s="19">
        <v>45637</v>
      </c>
      <c r="G748" s="18">
        <v>3933500.48</v>
      </c>
      <c r="H748" s="37">
        <f t="shared" si="39"/>
        <v>21</v>
      </c>
      <c r="I748" s="37" t="str">
        <f t="shared" si="38"/>
        <v>0-120 DAYS</v>
      </c>
      <c r="J748" s="37" t="str">
        <f t="shared" si="40"/>
        <v>0-180 DAYS</v>
      </c>
    </row>
    <row r="749" spans="1:10" hidden="1" x14ac:dyDescent="0.35">
      <c r="A749" s="88" t="s">
        <v>3058</v>
      </c>
      <c r="B749" s="88" t="s">
        <v>790</v>
      </c>
      <c r="C749" s="18" t="s">
        <v>1086</v>
      </c>
      <c r="E749" s="18" t="s">
        <v>3012</v>
      </c>
      <c r="F749" s="19">
        <v>45638</v>
      </c>
      <c r="G749" s="18">
        <v>1585290.5</v>
      </c>
      <c r="H749" s="37">
        <f t="shared" si="39"/>
        <v>20</v>
      </c>
      <c r="I749" s="37" t="str">
        <f t="shared" si="38"/>
        <v>0-120 DAYS</v>
      </c>
      <c r="J749" s="37" t="str">
        <f t="shared" si="40"/>
        <v>0-180 DAYS</v>
      </c>
    </row>
    <row r="750" spans="1:10" hidden="1" x14ac:dyDescent="0.35">
      <c r="A750" s="88" t="s">
        <v>3058</v>
      </c>
      <c r="B750" s="88" t="s">
        <v>790</v>
      </c>
      <c r="C750" s="18" t="s">
        <v>1086</v>
      </c>
      <c r="E750" s="18" t="s">
        <v>3013</v>
      </c>
      <c r="F750" s="19">
        <v>45638</v>
      </c>
      <c r="G750" s="18">
        <v>1499303.07</v>
      </c>
      <c r="H750" s="37">
        <f t="shared" si="39"/>
        <v>20</v>
      </c>
      <c r="I750" s="37" t="str">
        <f t="shared" si="38"/>
        <v>0-120 DAYS</v>
      </c>
      <c r="J750" s="37" t="str">
        <f t="shared" si="40"/>
        <v>0-180 DAYS</v>
      </c>
    </row>
    <row r="751" spans="1:10" hidden="1" x14ac:dyDescent="0.35">
      <c r="A751" s="88" t="s">
        <v>3058</v>
      </c>
      <c r="B751" s="88" t="s">
        <v>790</v>
      </c>
      <c r="C751" s="18" t="s">
        <v>570</v>
      </c>
      <c r="E751" s="18" t="s">
        <v>3014</v>
      </c>
      <c r="F751" s="19">
        <v>45639</v>
      </c>
      <c r="G751" s="18">
        <v>3181488</v>
      </c>
      <c r="H751" s="37">
        <f t="shared" si="39"/>
        <v>19</v>
      </c>
      <c r="I751" s="37" t="str">
        <f t="shared" si="38"/>
        <v>0-120 DAYS</v>
      </c>
      <c r="J751" s="37" t="str">
        <f t="shared" si="40"/>
        <v>0-180 DAYS</v>
      </c>
    </row>
    <row r="752" spans="1:10" hidden="1" x14ac:dyDescent="0.35">
      <c r="A752" s="88" t="s">
        <v>3058</v>
      </c>
      <c r="B752" s="88" t="s">
        <v>790</v>
      </c>
      <c r="C752" s="18" t="s">
        <v>551</v>
      </c>
      <c r="E752" s="18" t="s">
        <v>3015</v>
      </c>
      <c r="F752" s="19">
        <v>45640</v>
      </c>
      <c r="G752" s="18">
        <v>3672806.4</v>
      </c>
      <c r="H752" s="37">
        <f t="shared" si="39"/>
        <v>18</v>
      </c>
      <c r="I752" s="37" t="str">
        <f t="shared" si="38"/>
        <v>0-120 DAYS</v>
      </c>
      <c r="J752" s="37" t="str">
        <f t="shared" si="40"/>
        <v>0-180 DAYS</v>
      </c>
    </row>
    <row r="753" spans="1:10" hidden="1" x14ac:dyDescent="0.35">
      <c r="A753" s="88" t="s">
        <v>3058</v>
      </c>
      <c r="B753" s="88" t="s">
        <v>790</v>
      </c>
      <c r="C753" s="18" t="s">
        <v>551</v>
      </c>
      <c r="E753" s="18" t="s">
        <v>3016</v>
      </c>
      <c r="F753" s="19">
        <v>45641</v>
      </c>
      <c r="G753" s="18">
        <v>3672806.4</v>
      </c>
      <c r="H753" s="37">
        <f t="shared" si="39"/>
        <v>17</v>
      </c>
      <c r="I753" s="37" t="str">
        <f t="shared" si="38"/>
        <v>0-120 DAYS</v>
      </c>
      <c r="J753" s="37" t="str">
        <f t="shared" si="40"/>
        <v>0-180 DAYS</v>
      </c>
    </row>
    <row r="754" spans="1:10" hidden="1" x14ac:dyDescent="0.35">
      <c r="A754" s="88" t="s">
        <v>3058</v>
      </c>
      <c r="B754" s="88" t="s">
        <v>790</v>
      </c>
      <c r="C754" s="18" t="s">
        <v>635</v>
      </c>
      <c r="E754" s="18" t="s">
        <v>3017</v>
      </c>
      <c r="F754" s="19">
        <v>45642</v>
      </c>
      <c r="G754" s="18">
        <v>3085646.51</v>
      </c>
      <c r="H754" s="37">
        <f t="shared" si="39"/>
        <v>16</v>
      </c>
      <c r="I754" s="37" t="str">
        <f t="shared" si="38"/>
        <v>0-120 DAYS</v>
      </c>
      <c r="J754" s="37" t="str">
        <f t="shared" si="40"/>
        <v>0-180 DAYS</v>
      </c>
    </row>
    <row r="755" spans="1:10" hidden="1" x14ac:dyDescent="0.35">
      <c r="A755" s="88" t="s">
        <v>3058</v>
      </c>
      <c r="B755" s="88" t="s">
        <v>790</v>
      </c>
      <c r="C755" s="18" t="s">
        <v>570</v>
      </c>
      <c r="E755" s="18" t="s">
        <v>3018</v>
      </c>
      <c r="F755" s="19">
        <v>45643</v>
      </c>
      <c r="G755" s="18">
        <v>4203473.9000000004</v>
      </c>
      <c r="H755" s="37">
        <f t="shared" si="39"/>
        <v>15</v>
      </c>
      <c r="I755" s="37" t="str">
        <f t="shared" si="38"/>
        <v>0-120 DAYS</v>
      </c>
      <c r="J755" s="37" t="str">
        <f t="shared" si="40"/>
        <v>0-180 DAYS</v>
      </c>
    </row>
    <row r="756" spans="1:10" hidden="1" x14ac:dyDescent="0.35">
      <c r="A756" s="88" t="s">
        <v>3058</v>
      </c>
      <c r="B756" s="88" t="s">
        <v>790</v>
      </c>
      <c r="C756" s="18" t="s">
        <v>650</v>
      </c>
      <c r="E756" s="18" t="s">
        <v>3019</v>
      </c>
      <c r="F756" s="19">
        <v>45643</v>
      </c>
      <c r="G756" s="18">
        <v>3757332.25</v>
      </c>
      <c r="H756" s="37">
        <f t="shared" si="39"/>
        <v>15</v>
      </c>
      <c r="I756" s="37" t="str">
        <f t="shared" si="38"/>
        <v>0-120 DAYS</v>
      </c>
      <c r="J756" s="37" t="str">
        <f t="shared" si="40"/>
        <v>0-180 DAYS</v>
      </c>
    </row>
    <row r="757" spans="1:10" hidden="1" x14ac:dyDescent="0.35">
      <c r="A757" s="88" t="s">
        <v>3058</v>
      </c>
      <c r="B757" s="88" t="s">
        <v>790</v>
      </c>
      <c r="C757" s="18" t="s">
        <v>538</v>
      </c>
      <c r="E757" s="18" t="s">
        <v>3020</v>
      </c>
      <c r="F757" s="19">
        <v>45644</v>
      </c>
      <c r="G757" s="18">
        <v>3075716</v>
      </c>
      <c r="H757" s="37">
        <f t="shared" si="39"/>
        <v>14</v>
      </c>
      <c r="I757" s="37" t="str">
        <f t="shared" si="38"/>
        <v>0-120 DAYS</v>
      </c>
      <c r="J757" s="37" t="str">
        <f t="shared" si="40"/>
        <v>0-180 DAYS</v>
      </c>
    </row>
    <row r="758" spans="1:10" hidden="1" x14ac:dyDescent="0.35">
      <c r="A758" s="88" t="s">
        <v>3058</v>
      </c>
      <c r="B758" s="88" t="s">
        <v>790</v>
      </c>
      <c r="C758" s="18" t="s">
        <v>1249</v>
      </c>
      <c r="E758" s="18" t="s">
        <v>3021</v>
      </c>
      <c r="F758" s="19">
        <v>45645</v>
      </c>
      <c r="G758" s="18">
        <v>3420372.28</v>
      </c>
      <c r="H758" s="37">
        <f t="shared" si="39"/>
        <v>13</v>
      </c>
      <c r="I758" s="37" t="str">
        <f t="shared" si="38"/>
        <v>0-120 DAYS</v>
      </c>
      <c r="J758" s="37" t="str">
        <f t="shared" si="40"/>
        <v>0-180 DAYS</v>
      </c>
    </row>
    <row r="759" spans="1:10" hidden="1" x14ac:dyDescent="0.35">
      <c r="A759" s="88" t="s">
        <v>3058</v>
      </c>
      <c r="B759" s="88" t="s">
        <v>790</v>
      </c>
      <c r="C759" s="18" t="s">
        <v>814</v>
      </c>
      <c r="E759" s="18" t="s">
        <v>3022</v>
      </c>
      <c r="F759" s="19">
        <v>45645</v>
      </c>
      <c r="G759" s="18">
        <v>6213.78</v>
      </c>
      <c r="H759" s="37">
        <f t="shared" si="39"/>
        <v>13</v>
      </c>
      <c r="I759" s="37" t="str">
        <f t="shared" si="38"/>
        <v>0-120 DAYS</v>
      </c>
      <c r="J759" s="37" t="str">
        <f t="shared" si="40"/>
        <v>0-180 DAYS</v>
      </c>
    </row>
    <row r="760" spans="1:10" hidden="1" x14ac:dyDescent="0.35">
      <c r="A760" s="88" t="s">
        <v>3058</v>
      </c>
      <c r="B760" s="88" t="s">
        <v>790</v>
      </c>
      <c r="C760" s="18" t="s">
        <v>1086</v>
      </c>
      <c r="E760" s="18" t="s">
        <v>3023</v>
      </c>
      <c r="F760" s="19">
        <v>45646</v>
      </c>
      <c r="G760" s="18">
        <v>1730579.25</v>
      </c>
      <c r="H760" s="37">
        <f t="shared" si="39"/>
        <v>12</v>
      </c>
      <c r="I760" s="37" t="str">
        <f t="shared" si="38"/>
        <v>0-120 DAYS</v>
      </c>
      <c r="J760" s="37" t="str">
        <f t="shared" si="40"/>
        <v>0-180 DAYS</v>
      </c>
    </row>
    <row r="761" spans="1:10" hidden="1" x14ac:dyDescent="0.35">
      <c r="A761" s="88" t="s">
        <v>3058</v>
      </c>
      <c r="B761" s="88" t="s">
        <v>790</v>
      </c>
      <c r="C761" s="18" t="s">
        <v>1086</v>
      </c>
      <c r="E761" s="18" t="s">
        <v>3024</v>
      </c>
      <c r="F761" s="19">
        <v>45646</v>
      </c>
      <c r="G761" s="18">
        <v>1452807</v>
      </c>
      <c r="H761" s="37">
        <f t="shared" si="39"/>
        <v>12</v>
      </c>
      <c r="I761" s="37" t="str">
        <f t="shared" si="38"/>
        <v>0-120 DAYS</v>
      </c>
      <c r="J761" s="37" t="str">
        <f t="shared" si="40"/>
        <v>0-180 DAYS</v>
      </c>
    </row>
    <row r="762" spans="1:10" hidden="1" x14ac:dyDescent="0.35">
      <c r="A762" s="88" t="s">
        <v>3058</v>
      </c>
      <c r="B762" s="88" t="s">
        <v>790</v>
      </c>
      <c r="C762" s="18" t="s">
        <v>1086</v>
      </c>
      <c r="E762" s="18" t="s">
        <v>3025</v>
      </c>
      <c r="F762" s="19">
        <v>45647</v>
      </c>
      <c r="G762" s="18">
        <v>2812506.8</v>
      </c>
      <c r="H762" s="37">
        <f t="shared" si="39"/>
        <v>11</v>
      </c>
      <c r="I762" s="37" t="str">
        <f t="shared" si="38"/>
        <v>0-120 DAYS</v>
      </c>
      <c r="J762" s="37" t="str">
        <f t="shared" si="40"/>
        <v>0-180 DAYS</v>
      </c>
    </row>
    <row r="763" spans="1:10" hidden="1" x14ac:dyDescent="0.35">
      <c r="A763" s="88" t="s">
        <v>3058</v>
      </c>
      <c r="B763" s="88" t="s">
        <v>790</v>
      </c>
      <c r="C763" s="18" t="s">
        <v>1086</v>
      </c>
      <c r="E763" s="18" t="s">
        <v>3026</v>
      </c>
      <c r="F763" s="19">
        <v>45647</v>
      </c>
      <c r="G763" s="18">
        <v>632985.42000000004</v>
      </c>
      <c r="H763" s="37">
        <f t="shared" si="39"/>
        <v>11</v>
      </c>
      <c r="I763" s="37" t="str">
        <f t="shared" si="38"/>
        <v>0-120 DAYS</v>
      </c>
      <c r="J763" s="37" t="str">
        <f t="shared" si="40"/>
        <v>0-180 DAYS</v>
      </c>
    </row>
    <row r="764" spans="1:10" hidden="1" x14ac:dyDescent="0.35">
      <c r="A764" s="2" t="s">
        <v>1209</v>
      </c>
      <c r="B764" s="2" t="s">
        <v>789</v>
      </c>
      <c r="C764" s="18" t="s">
        <v>506</v>
      </c>
      <c r="E764" s="18" t="s">
        <v>3027</v>
      </c>
      <c r="F764" s="19">
        <v>45647</v>
      </c>
      <c r="G764" s="18">
        <v>2957785.82</v>
      </c>
      <c r="H764" s="37">
        <f t="shared" si="39"/>
        <v>11</v>
      </c>
      <c r="I764" s="37" t="str">
        <f>IF(H764&lt;91,"1-90 DAYS",IF(H764&lt;121,"91-120DAYS",IF(H764&lt;181,"121-180 DAYS","More than 180 Days")))</f>
        <v>1-90 DAYS</v>
      </c>
      <c r="J764" s="37" t="str">
        <f t="shared" si="40"/>
        <v>0-180 DAYS</v>
      </c>
    </row>
    <row r="765" spans="1:10" hidden="1" x14ac:dyDescent="0.35">
      <c r="A765" s="88" t="s">
        <v>3058</v>
      </c>
      <c r="B765" s="88" t="s">
        <v>790</v>
      </c>
      <c r="C765" s="18" t="s">
        <v>570</v>
      </c>
      <c r="E765" s="18" t="s">
        <v>3028</v>
      </c>
      <c r="F765" s="19">
        <v>45649</v>
      </c>
      <c r="G765" s="18">
        <v>3194760</v>
      </c>
      <c r="H765" s="37">
        <f t="shared" si="39"/>
        <v>9</v>
      </c>
      <c r="I765" s="37" t="str">
        <f t="shared" si="38"/>
        <v>0-120 DAYS</v>
      </c>
      <c r="J765" s="37" t="str">
        <f t="shared" si="40"/>
        <v>0-180 DAYS</v>
      </c>
    </row>
    <row r="766" spans="1:10" hidden="1" x14ac:dyDescent="0.35">
      <c r="A766" s="88" t="s">
        <v>3058</v>
      </c>
      <c r="B766" s="88" t="s">
        <v>790</v>
      </c>
      <c r="C766" s="18" t="s">
        <v>635</v>
      </c>
      <c r="E766" s="18" t="s">
        <v>3029</v>
      </c>
      <c r="F766" s="19">
        <v>45649</v>
      </c>
      <c r="G766" s="18">
        <v>3096837.07</v>
      </c>
      <c r="H766" s="37">
        <f t="shared" si="39"/>
        <v>9</v>
      </c>
      <c r="I766" s="37" t="str">
        <f t="shared" si="38"/>
        <v>0-120 DAYS</v>
      </c>
      <c r="J766" s="37" t="str">
        <f t="shared" si="40"/>
        <v>0-180 DAYS</v>
      </c>
    </row>
    <row r="767" spans="1:10" hidden="1" x14ac:dyDescent="0.35">
      <c r="A767" s="88" t="s">
        <v>3058</v>
      </c>
      <c r="B767" s="88" t="s">
        <v>790</v>
      </c>
      <c r="C767" s="18" t="s">
        <v>650</v>
      </c>
      <c r="E767" s="18" t="s">
        <v>3030</v>
      </c>
      <c r="F767" s="19">
        <v>45649</v>
      </c>
      <c r="G767" s="18">
        <v>2767646.07</v>
      </c>
      <c r="H767" s="37">
        <f t="shared" si="39"/>
        <v>9</v>
      </c>
      <c r="I767" s="37" t="str">
        <f t="shared" si="38"/>
        <v>0-120 DAYS</v>
      </c>
      <c r="J767" s="37" t="str">
        <f t="shared" si="40"/>
        <v>0-180 DAYS</v>
      </c>
    </row>
    <row r="768" spans="1:10" hidden="1" x14ac:dyDescent="0.35">
      <c r="A768" s="88" t="s">
        <v>3058</v>
      </c>
      <c r="B768" s="88" t="s">
        <v>790</v>
      </c>
      <c r="C768" s="18" t="s">
        <v>650</v>
      </c>
      <c r="E768" s="18" t="s">
        <v>3031</v>
      </c>
      <c r="F768" s="19">
        <v>45650</v>
      </c>
      <c r="G768" s="18">
        <v>3515550.65</v>
      </c>
      <c r="H768" s="37">
        <f t="shared" si="39"/>
        <v>8</v>
      </c>
      <c r="I768" s="37" t="str">
        <f t="shared" si="38"/>
        <v>0-120 DAYS</v>
      </c>
      <c r="J768" s="37" t="str">
        <f t="shared" si="40"/>
        <v>0-180 DAYS</v>
      </c>
    </row>
    <row r="769" spans="1:10" hidden="1" x14ac:dyDescent="0.35">
      <c r="A769" s="88" t="s">
        <v>3058</v>
      </c>
      <c r="B769" s="88" t="s">
        <v>790</v>
      </c>
      <c r="C769" s="18" t="s">
        <v>538</v>
      </c>
      <c r="E769" s="18" t="s">
        <v>3032</v>
      </c>
      <c r="F769" s="19">
        <v>45652</v>
      </c>
      <c r="G769" s="18">
        <v>2907918</v>
      </c>
      <c r="H769" s="37">
        <f t="shared" si="39"/>
        <v>6</v>
      </c>
      <c r="I769" s="37" t="str">
        <f t="shared" ref="I769:I794" si="41">IF(H769&lt;121,"0-120 DAYS",IF(H769&lt;181,"121-180 DAYS","More than 180 Days"))</f>
        <v>0-120 DAYS</v>
      </c>
      <c r="J769" s="37" t="str">
        <f t="shared" si="40"/>
        <v>0-180 DAYS</v>
      </c>
    </row>
    <row r="770" spans="1:10" hidden="1" x14ac:dyDescent="0.35">
      <c r="A770" s="88" t="s">
        <v>3058</v>
      </c>
      <c r="B770" s="88" t="s">
        <v>790</v>
      </c>
      <c r="C770" s="18" t="s">
        <v>551</v>
      </c>
      <c r="E770" s="18" t="s">
        <v>3033</v>
      </c>
      <c r="F770" s="19">
        <v>45653</v>
      </c>
      <c r="G770" s="18">
        <v>3688128</v>
      </c>
      <c r="H770" s="37">
        <f t="shared" si="39"/>
        <v>5</v>
      </c>
      <c r="I770" s="37" t="str">
        <f t="shared" si="41"/>
        <v>0-120 DAYS</v>
      </c>
      <c r="J770" s="37" t="str">
        <f t="shared" si="40"/>
        <v>0-180 DAYS</v>
      </c>
    </row>
    <row r="771" spans="1:10" hidden="1" x14ac:dyDescent="0.35">
      <c r="A771" s="88" t="s">
        <v>3058</v>
      </c>
      <c r="B771" s="88" t="s">
        <v>790</v>
      </c>
      <c r="C771" s="18" t="s">
        <v>715</v>
      </c>
      <c r="E771" s="18" t="s">
        <v>3034</v>
      </c>
      <c r="F771" s="19">
        <v>45654</v>
      </c>
      <c r="G771" s="18">
        <v>3272607</v>
      </c>
      <c r="H771" s="37">
        <f t="shared" si="39"/>
        <v>4</v>
      </c>
      <c r="I771" s="37" t="str">
        <f t="shared" si="41"/>
        <v>0-120 DAYS</v>
      </c>
      <c r="J771" s="37" t="str">
        <f t="shared" si="40"/>
        <v>0-180 DAYS</v>
      </c>
    </row>
    <row r="772" spans="1:10" hidden="1" x14ac:dyDescent="0.35">
      <c r="A772" s="88" t="s">
        <v>3058</v>
      </c>
      <c r="B772" s="88" t="s">
        <v>790</v>
      </c>
      <c r="C772" s="18" t="s">
        <v>570</v>
      </c>
      <c r="E772" s="18" t="s">
        <v>3035</v>
      </c>
      <c r="F772" s="19">
        <v>45654</v>
      </c>
      <c r="G772" s="18">
        <v>1521521.3</v>
      </c>
      <c r="H772" s="37">
        <f t="shared" si="39"/>
        <v>4</v>
      </c>
      <c r="I772" s="37" t="str">
        <f t="shared" si="41"/>
        <v>0-120 DAYS</v>
      </c>
      <c r="J772" s="37" t="str">
        <f t="shared" si="40"/>
        <v>0-180 DAYS</v>
      </c>
    </row>
    <row r="773" spans="1:10" hidden="1" x14ac:dyDescent="0.35">
      <c r="A773" s="88" t="s">
        <v>3058</v>
      </c>
      <c r="B773" s="88" t="s">
        <v>790</v>
      </c>
      <c r="C773" s="18" t="s">
        <v>551</v>
      </c>
      <c r="E773" s="18" t="s">
        <v>3036</v>
      </c>
      <c r="F773" s="19">
        <v>45654</v>
      </c>
      <c r="G773" s="18">
        <v>3688128</v>
      </c>
      <c r="H773" s="37">
        <f t="shared" ref="H773:H794" si="42">$H$2-F773+1</f>
        <v>4</v>
      </c>
      <c r="I773" s="37" t="str">
        <f t="shared" si="41"/>
        <v>0-120 DAYS</v>
      </c>
      <c r="J773" s="37" t="str">
        <f t="shared" si="40"/>
        <v>0-180 DAYS</v>
      </c>
    </row>
    <row r="774" spans="1:10" hidden="1" x14ac:dyDescent="0.35">
      <c r="A774" s="88" t="s">
        <v>3058</v>
      </c>
      <c r="B774" s="88" t="s">
        <v>790</v>
      </c>
      <c r="C774" s="18" t="s">
        <v>1086</v>
      </c>
      <c r="E774" s="18" t="s">
        <v>3037</v>
      </c>
      <c r="F774" s="19">
        <v>45655</v>
      </c>
      <c r="G774" s="18">
        <v>2468434.0099999998</v>
      </c>
      <c r="H774" s="37">
        <f t="shared" si="42"/>
        <v>3</v>
      </c>
      <c r="I774" s="37" t="str">
        <f t="shared" si="41"/>
        <v>0-120 DAYS</v>
      </c>
      <c r="J774" s="37" t="str">
        <f t="shared" ref="J774:J794" si="43">IF(H774&lt;180,"0-180 DAYS","More than 180 Days")</f>
        <v>0-180 DAYS</v>
      </c>
    </row>
    <row r="775" spans="1:10" hidden="1" x14ac:dyDescent="0.35">
      <c r="A775" s="88" t="s">
        <v>3058</v>
      </c>
      <c r="B775" s="88" t="s">
        <v>790</v>
      </c>
      <c r="C775" s="18" t="s">
        <v>650</v>
      </c>
      <c r="E775" s="18" t="s">
        <v>3038</v>
      </c>
      <c r="F775" s="19">
        <v>45657</v>
      </c>
      <c r="G775" s="18">
        <v>2658612.15</v>
      </c>
      <c r="H775" s="37">
        <f t="shared" si="42"/>
        <v>1</v>
      </c>
      <c r="I775" s="37" t="str">
        <f t="shared" si="41"/>
        <v>0-120 DAYS</v>
      </c>
      <c r="J775" s="37" t="str">
        <f t="shared" si="43"/>
        <v>0-180 DAYS</v>
      </c>
    </row>
    <row r="776" spans="1:10" hidden="1" x14ac:dyDescent="0.35">
      <c r="A776" s="88" t="s">
        <v>3058</v>
      </c>
      <c r="B776" s="88" t="s">
        <v>790</v>
      </c>
      <c r="C776" s="18" t="s">
        <v>536</v>
      </c>
      <c r="E776" s="18" t="s">
        <v>3039</v>
      </c>
      <c r="F776" s="19">
        <v>45628</v>
      </c>
      <c r="G776" s="18">
        <v>3158223.2</v>
      </c>
      <c r="H776" s="37">
        <f t="shared" si="42"/>
        <v>30</v>
      </c>
      <c r="I776" s="37" t="str">
        <f t="shared" si="41"/>
        <v>0-120 DAYS</v>
      </c>
      <c r="J776" s="37" t="str">
        <f t="shared" si="43"/>
        <v>0-180 DAYS</v>
      </c>
    </row>
    <row r="777" spans="1:10" hidden="1" x14ac:dyDescent="0.35">
      <c r="A777" s="88" t="s">
        <v>3058</v>
      </c>
      <c r="B777" s="88" t="s">
        <v>790</v>
      </c>
      <c r="C777" s="18" t="s">
        <v>581</v>
      </c>
      <c r="E777" s="18" t="s">
        <v>3040</v>
      </c>
      <c r="F777" s="19">
        <v>45631</v>
      </c>
      <c r="G777" s="18">
        <v>3633920.03</v>
      </c>
      <c r="H777" s="37">
        <f t="shared" si="42"/>
        <v>27</v>
      </c>
      <c r="I777" s="37" t="str">
        <f t="shared" si="41"/>
        <v>0-120 DAYS</v>
      </c>
      <c r="J777" s="37" t="str">
        <f t="shared" si="43"/>
        <v>0-180 DAYS</v>
      </c>
    </row>
    <row r="778" spans="1:10" hidden="1" x14ac:dyDescent="0.35">
      <c r="A778" s="88" t="s">
        <v>3058</v>
      </c>
      <c r="B778" s="88" t="s">
        <v>790</v>
      </c>
      <c r="C778" s="18" t="s">
        <v>584</v>
      </c>
      <c r="E778" s="18" t="s">
        <v>3041</v>
      </c>
      <c r="F778" s="19">
        <v>45631</v>
      </c>
      <c r="G778" s="18">
        <v>3078385.2</v>
      </c>
      <c r="H778" s="37">
        <f t="shared" si="42"/>
        <v>27</v>
      </c>
      <c r="I778" s="37" t="str">
        <f t="shared" si="41"/>
        <v>0-120 DAYS</v>
      </c>
      <c r="J778" s="37" t="str">
        <f t="shared" si="43"/>
        <v>0-180 DAYS</v>
      </c>
    </row>
    <row r="779" spans="1:10" hidden="1" x14ac:dyDescent="0.35">
      <c r="A779" s="88" t="s">
        <v>3058</v>
      </c>
      <c r="B779" s="88" t="s">
        <v>790</v>
      </c>
      <c r="C779" s="18" t="s">
        <v>588</v>
      </c>
      <c r="E779" s="18" t="s">
        <v>3042</v>
      </c>
      <c r="F779" s="19">
        <v>45632</v>
      </c>
      <c r="G779" s="18">
        <v>3232834.8</v>
      </c>
      <c r="H779" s="37">
        <f t="shared" si="42"/>
        <v>26</v>
      </c>
      <c r="I779" s="37" t="str">
        <f t="shared" si="41"/>
        <v>0-120 DAYS</v>
      </c>
      <c r="J779" s="37" t="str">
        <f t="shared" si="43"/>
        <v>0-180 DAYS</v>
      </c>
    </row>
    <row r="780" spans="1:10" hidden="1" x14ac:dyDescent="0.35">
      <c r="A780" s="88" t="s">
        <v>3058</v>
      </c>
      <c r="B780" s="88" t="s">
        <v>790</v>
      </c>
      <c r="C780" s="18" t="s">
        <v>667</v>
      </c>
      <c r="E780" s="18" t="s">
        <v>3043</v>
      </c>
      <c r="F780" s="19">
        <v>45635</v>
      </c>
      <c r="G780" s="18">
        <v>2866980.46</v>
      </c>
      <c r="H780" s="37">
        <f t="shared" si="42"/>
        <v>23</v>
      </c>
      <c r="I780" s="37" t="str">
        <f t="shared" si="41"/>
        <v>0-120 DAYS</v>
      </c>
      <c r="J780" s="37" t="str">
        <f t="shared" si="43"/>
        <v>0-180 DAYS</v>
      </c>
    </row>
    <row r="781" spans="1:10" hidden="1" x14ac:dyDescent="0.35">
      <c r="A781" s="88" t="s">
        <v>3058</v>
      </c>
      <c r="B781" s="88" t="s">
        <v>790</v>
      </c>
      <c r="C781" s="18" t="s">
        <v>581</v>
      </c>
      <c r="E781" s="18" t="s">
        <v>3044</v>
      </c>
      <c r="F781" s="19">
        <v>45639</v>
      </c>
      <c r="G781" s="18">
        <v>3904461.75</v>
      </c>
      <c r="H781" s="37">
        <f t="shared" si="42"/>
        <v>19</v>
      </c>
      <c r="I781" s="37" t="str">
        <f t="shared" si="41"/>
        <v>0-120 DAYS</v>
      </c>
      <c r="J781" s="37" t="str">
        <f t="shared" si="43"/>
        <v>0-180 DAYS</v>
      </c>
    </row>
    <row r="782" spans="1:10" hidden="1" x14ac:dyDescent="0.35">
      <c r="A782" s="88" t="s">
        <v>3058</v>
      </c>
      <c r="B782" s="88" t="s">
        <v>790</v>
      </c>
      <c r="C782" s="18" t="s">
        <v>2273</v>
      </c>
      <c r="E782" s="18" t="s">
        <v>3045</v>
      </c>
      <c r="F782" s="19">
        <v>45640</v>
      </c>
      <c r="G782" s="18">
        <v>3597363.52</v>
      </c>
      <c r="H782" s="37">
        <f t="shared" si="42"/>
        <v>18</v>
      </c>
      <c r="I782" s="37" t="str">
        <f t="shared" si="41"/>
        <v>0-120 DAYS</v>
      </c>
      <c r="J782" s="37" t="str">
        <f t="shared" si="43"/>
        <v>0-180 DAYS</v>
      </c>
    </row>
    <row r="783" spans="1:10" hidden="1" x14ac:dyDescent="0.35">
      <c r="A783" s="88" t="s">
        <v>3058</v>
      </c>
      <c r="B783" s="88" t="s">
        <v>790</v>
      </c>
      <c r="C783" s="18" t="s">
        <v>588</v>
      </c>
      <c r="E783" s="18" t="s">
        <v>3046</v>
      </c>
      <c r="F783" s="19">
        <v>45640</v>
      </c>
      <c r="G783" s="18">
        <v>3232834.8</v>
      </c>
      <c r="H783" s="37">
        <f t="shared" si="42"/>
        <v>18</v>
      </c>
      <c r="I783" s="37" t="str">
        <f t="shared" si="41"/>
        <v>0-120 DAYS</v>
      </c>
      <c r="J783" s="37" t="str">
        <f t="shared" si="43"/>
        <v>0-180 DAYS</v>
      </c>
    </row>
    <row r="784" spans="1:10" hidden="1" x14ac:dyDescent="0.35">
      <c r="A784" s="88" t="s">
        <v>3058</v>
      </c>
      <c r="B784" s="88" t="s">
        <v>790</v>
      </c>
      <c r="C784" s="18" t="s">
        <v>584</v>
      </c>
      <c r="E784" s="18" t="s">
        <v>3047</v>
      </c>
      <c r="F784" s="19">
        <v>45645</v>
      </c>
      <c r="G784" s="18">
        <v>3085760.37</v>
      </c>
      <c r="H784" s="37">
        <f t="shared" si="42"/>
        <v>13</v>
      </c>
      <c r="I784" s="37" t="str">
        <f t="shared" si="41"/>
        <v>0-120 DAYS</v>
      </c>
      <c r="J784" s="37" t="str">
        <f t="shared" si="43"/>
        <v>0-180 DAYS</v>
      </c>
    </row>
    <row r="785" spans="1:10" hidden="1" x14ac:dyDescent="0.35">
      <c r="A785" s="88" t="s">
        <v>3058</v>
      </c>
      <c r="B785" s="88" t="s">
        <v>790</v>
      </c>
      <c r="C785" s="18" t="s">
        <v>588</v>
      </c>
      <c r="E785" s="18" t="s">
        <v>3048</v>
      </c>
      <c r="F785" s="19">
        <v>45646</v>
      </c>
      <c r="G785" s="18">
        <v>3246321</v>
      </c>
      <c r="H785" s="37">
        <f t="shared" si="42"/>
        <v>12</v>
      </c>
      <c r="I785" s="37" t="str">
        <f t="shared" si="41"/>
        <v>0-120 DAYS</v>
      </c>
      <c r="J785" s="37" t="str">
        <f t="shared" si="43"/>
        <v>0-180 DAYS</v>
      </c>
    </row>
    <row r="786" spans="1:10" hidden="1" x14ac:dyDescent="0.35">
      <c r="A786" s="88" t="s">
        <v>3058</v>
      </c>
      <c r="B786" s="88" t="s">
        <v>790</v>
      </c>
      <c r="C786" s="18" t="s">
        <v>1055</v>
      </c>
      <c r="E786" s="18" t="s">
        <v>3049</v>
      </c>
      <c r="F786" s="19">
        <v>45650</v>
      </c>
      <c r="G786" s="18">
        <v>2429433</v>
      </c>
      <c r="H786" s="37">
        <f t="shared" si="42"/>
        <v>8</v>
      </c>
      <c r="I786" s="37" t="str">
        <f t="shared" si="41"/>
        <v>0-120 DAYS</v>
      </c>
      <c r="J786" s="37" t="str">
        <f t="shared" si="43"/>
        <v>0-180 DAYS</v>
      </c>
    </row>
    <row r="787" spans="1:10" hidden="1" x14ac:dyDescent="0.35">
      <c r="A787" s="88" t="s">
        <v>3058</v>
      </c>
      <c r="B787" s="88" t="s">
        <v>790</v>
      </c>
      <c r="C787" s="18" t="s">
        <v>1055</v>
      </c>
      <c r="E787" s="18" t="s">
        <v>3050</v>
      </c>
      <c r="F787" s="19">
        <v>45650</v>
      </c>
      <c r="G787" s="18">
        <v>725898</v>
      </c>
      <c r="H787" s="37">
        <f t="shared" si="42"/>
        <v>8</v>
      </c>
      <c r="I787" s="37" t="str">
        <f t="shared" si="41"/>
        <v>0-120 DAYS</v>
      </c>
      <c r="J787" s="37" t="str">
        <f t="shared" si="43"/>
        <v>0-180 DAYS</v>
      </c>
    </row>
    <row r="788" spans="1:10" hidden="1" x14ac:dyDescent="0.35">
      <c r="A788" s="88" t="s">
        <v>3058</v>
      </c>
      <c r="B788" s="88" t="s">
        <v>790</v>
      </c>
      <c r="C788" s="18" t="s">
        <v>588</v>
      </c>
      <c r="E788" s="18" t="s">
        <v>3051</v>
      </c>
      <c r="F788" s="19">
        <v>45651</v>
      </c>
      <c r="G788" s="18">
        <v>3393122.42</v>
      </c>
      <c r="H788" s="37">
        <f t="shared" si="42"/>
        <v>7</v>
      </c>
      <c r="I788" s="37" t="str">
        <f t="shared" si="41"/>
        <v>0-120 DAYS</v>
      </c>
      <c r="J788" s="37" t="str">
        <f t="shared" si="43"/>
        <v>0-180 DAYS</v>
      </c>
    </row>
    <row r="789" spans="1:10" hidden="1" x14ac:dyDescent="0.35">
      <c r="A789" s="88" t="s">
        <v>3058</v>
      </c>
      <c r="B789" s="88" t="s">
        <v>790</v>
      </c>
      <c r="C789" s="18" t="s">
        <v>588</v>
      </c>
      <c r="E789" s="18" t="s">
        <v>3052</v>
      </c>
      <c r="F789" s="19">
        <v>45651</v>
      </c>
      <c r="G789" s="18">
        <v>3354249.47</v>
      </c>
      <c r="H789" s="37">
        <f t="shared" si="42"/>
        <v>7</v>
      </c>
      <c r="I789" s="37" t="str">
        <f t="shared" si="41"/>
        <v>0-120 DAYS</v>
      </c>
      <c r="J789" s="37" t="str">
        <f t="shared" si="43"/>
        <v>0-180 DAYS</v>
      </c>
    </row>
    <row r="790" spans="1:10" hidden="1" x14ac:dyDescent="0.35">
      <c r="A790" s="88" t="s">
        <v>3058</v>
      </c>
      <c r="B790" s="88" t="s">
        <v>790</v>
      </c>
      <c r="C790" s="18" t="s">
        <v>664</v>
      </c>
      <c r="E790" s="18" t="s">
        <v>3053</v>
      </c>
      <c r="F790" s="19">
        <v>45653</v>
      </c>
      <c r="G790" s="18">
        <v>1094049.44</v>
      </c>
      <c r="H790" s="37">
        <f t="shared" si="42"/>
        <v>5</v>
      </c>
      <c r="I790" s="37" t="str">
        <f t="shared" si="41"/>
        <v>0-120 DAYS</v>
      </c>
      <c r="J790" s="37" t="str">
        <f t="shared" si="43"/>
        <v>0-180 DAYS</v>
      </c>
    </row>
    <row r="791" spans="1:10" hidden="1" x14ac:dyDescent="0.35">
      <c r="A791" s="88" t="s">
        <v>3058</v>
      </c>
      <c r="B791" s="88" t="s">
        <v>790</v>
      </c>
      <c r="C791" s="18" t="s">
        <v>664</v>
      </c>
      <c r="E791" s="18" t="s">
        <v>3054</v>
      </c>
      <c r="F791" s="19">
        <v>45653</v>
      </c>
      <c r="G791" s="18">
        <v>287062.5</v>
      </c>
      <c r="H791" s="37">
        <f t="shared" si="42"/>
        <v>5</v>
      </c>
      <c r="I791" s="37" t="str">
        <f t="shared" si="41"/>
        <v>0-120 DAYS</v>
      </c>
      <c r="J791" s="37" t="str">
        <f t="shared" si="43"/>
        <v>0-180 DAYS</v>
      </c>
    </row>
    <row r="792" spans="1:10" hidden="1" x14ac:dyDescent="0.35">
      <c r="A792" s="88" t="s">
        <v>3058</v>
      </c>
      <c r="B792" s="88" t="s">
        <v>790</v>
      </c>
      <c r="C792" s="18" t="s">
        <v>600</v>
      </c>
      <c r="E792" s="18" t="s">
        <v>3055</v>
      </c>
      <c r="F792" s="19">
        <v>45651</v>
      </c>
      <c r="G792" s="18">
        <v>3937676.5</v>
      </c>
      <c r="H792" s="37">
        <f t="shared" si="42"/>
        <v>7</v>
      </c>
      <c r="I792" s="37" t="str">
        <f t="shared" si="41"/>
        <v>0-120 DAYS</v>
      </c>
      <c r="J792" s="37" t="str">
        <f t="shared" si="43"/>
        <v>0-180 DAYS</v>
      </c>
    </row>
    <row r="793" spans="1:10" hidden="1" x14ac:dyDescent="0.35">
      <c r="A793" s="88" t="s">
        <v>3058</v>
      </c>
      <c r="B793" s="88" t="s">
        <v>790</v>
      </c>
      <c r="C793" s="18" t="s">
        <v>681</v>
      </c>
      <c r="E793" s="18" t="s">
        <v>3056</v>
      </c>
      <c r="F793" s="19">
        <v>45656</v>
      </c>
      <c r="G793" s="18">
        <v>3518604.41</v>
      </c>
      <c r="H793" s="37">
        <f t="shared" si="42"/>
        <v>2</v>
      </c>
      <c r="I793" s="37" t="str">
        <f t="shared" si="41"/>
        <v>0-120 DAYS</v>
      </c>
      <c r="J793" s="37" t="str">
        <f t="shared" si="43"/>
        <v>0-180 DAYS</v>
      </c>
    </row>
    <row r="794" spans="1:10" hidden="1" x14ac:dyDescent="0.35">
      <c r="A794" s="88" t="s">
        <v>3058</v>
      </c>
      <c r="B794" s="88" t="s">
        <v>790</v>
      </c>
      <c r="C794" s="18" t="s">
        <v>598</v>
      </c>
      <c r="E794" s="18" t="s">
        <v>3057</v>
      </c>
      <c r="F794" s="19">
        <v>45656</v>
      </c>
      <c r="G794" s="18">
        <v>3369528.2</v>
      </c>
      <c r="H794" s="37">
        <f t="shared" si="42"/>
        <v>2</v>
      </c>
      <c r="I794" s="37" t="str">
        <f t="shared" si="41"/>
        <v>0-120 DAYS</v>
      </c>
      <c r="J794" s="37" t="str">
        <f t="shared" si="43"/>
        <v>0-180 DAYS</v>
      </c>
    </row>
  </sheetData>
  <autoFilter ref="A4:L794" xr:uid="{F01D9CDB-6CEC-4BE0-B41A-9250C41CF7AF}">
    <filterColumn colId="2">
      <filters>
        <filter val="Jain Bulk Pack - Sales"/>
      </filters>
    </filterColumn>
  </autoFilter>
  <conditionalFormatting sqref="E4">
    <cfRule type="duplicateValues" dxfId="83" priority="1"/>
    <cfRule type="duplicateValues" dxfId="82" priority="2"/>
  </conditionalFormatting>
  <conditionalFormatting sqref="E5">
    <cfRule type="duplicateValues" dxfId="81" priority="3"/>
  </conditionalFormatting>
  <conditionalFormatting sqref="E5:E6">
    <cfRule type="duplicateValues" dxfId="80" priority="6"/>
    <cfRule type="duplicateValues" dxfId="79" priority="7"/>
  </conditionalFormatting>
  <conditionalFormatting sqref="E19:E22">
    <cfRule type="duplicateValues" dxfId="78" priority="4"/>
  </conditionalFormatting>
  <conditionalFormatting sqref="E19:E24">
    <cfRule type="duplicateValues" dxfId="77" priority="5"/>
  </conditionalFormatting>
  <conditionalFormatting sqref="E19:E31">
    <cfRule type="duplicateValues" dxfId="76" priority="8"/>
    <cfRule type="duplicateValues" dxfId="75" priority="9"/>
  </conditionalFormatting>
  <dataValidations count="2">
    <dataValidation type="textLength" allowBlank="1" showInputMessage="1" showErrorMessage="1" error="GST Number, please update 15 characters" sqref="D5 D19:D24 D108 D127:D180" xr:uid="{A753FB92-0818-4485-96EB-FFBA6EEA0975}">
      <formula1>15</formula1>
      <formula2>15</formula2>
    </dataValidation>
    <dataValidation type="textLength" operator="lessThanOrEqual" allowBlank="1" showInputMessage="1" showErrorMessage="1" error="Invoice number cannot be greater 18 characters" sqref="E5 E19:E24" xr:uid="{D65E4901-BFC9-4D72-A042-4C570DC6C13A}">
      <formula1>18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E299C-061D-479A-AA8A-85B7E75384BE}">
  <sheetPr codeName="Sheet9">
    <tabColor theme="7"/>
  </sheetPr>
  <dimension ref="A1:L123"/>
  <sheetViews>
    <sheetView view="pageBreakPreview" zoomScaleNormal="100" zoomScaleSheetLayoutView="100" workbookViewId="0">
      <pane ySplit="5" topLeftCell="A66" activePane="bottomLeft" state="frozen"/>
      <selection activeCell="G529" sqref="G529"/>
      <selection pane="bottomLeft" activeCell="G76" sqref="G76"/>
    </sheetView>
  </sheetViews>
  <sheetFormatPr defaultRowHeight="14.5" x14ac:dyDescent="0.35"/>
  <cols>
    <col min="1" max="1" width="45.54296875" style="214" customWidth="1"/>
    <col min="2" max="2" width="15.08984375" style="170" customWidth="1"/>
    <col min="3" max="3" width="12.54296875" style="170" customWidth="1"/>
    <col min="4" max="4" width="12.08984375" style="170" customWidth="1"/>
    <col min="5" max="5" width="12.54296875" style="170" customWidth="1"/>
    <col min="6" max="6" width="13" style="170" customWidth="1"/>
    <col min="7" max="7" width="14.26953125" style="170" bestFit="1" customWidth="1"/>
    <col min="8" max="8" width="16.7265625" style="214" bestFit="1" customWidth="1"/>
    <col min="9" max="9" width="17" style="196" bestFit="1" customWidth="1"/>
    <col min="10" max="10" width="10.453125" style="214" bestFit="1" customWidth="1"/>
    <col min="11" max="11" width="13.08984375" style="214" bestFit="1" customWidth="1"/>
    <col min="12" max="12" width="11.453125" style="214" bestFit="1" customWidth="1"/>
    <col min="13" max="16384" width="8.7265625" style="214"/>
  </cols>
  <sheetData>
    <row r="1" spans="1:9" x14ac:dyDescent="0.35">
      <c r="A1" s="166" t="s">
        <v>2525</v>
      </c>
      <c r="H1" s="215">
        <v>50</v>
      </c>
    </row>
    <row r="2" spans="1:9" x14ac:dyDescent="0.35">
      <c r="A2" s="166" t="s">
        <v>5561</v>
      </c>
    </row>
    <row r="3" spans="1:9" ht="10.5" customHeight="1" x14ac:dyDescent="0.35">
      <c r="A3" s="216"/>
      <c r="I3" s="196" t="s">
        <v>4838</v>
      </c>
    </row>
    <row r="4" spans="1:9" x14ac:dyDescent="0.35">
      <c r="A4" s="214" t="s">
        <v>1049</v>
      </c>
      <c r="B4" s="215" t="s">
        <v>1053</v>
      </c>
      <c r="C4" s="215"/>
      <c r="D4" s="215"/>
      <c r="E4" s="215"/>
      <c r="F4" s="215"/>
      <c r="G4" s="215"/>
    </row>
    <row r="5" spans="1:9" x14ac:dyDescent="0.35">
      <c r="A5" s="214" t="s">
        <v>1050</v>
      </c>
      <c r="B5" s="215" t="s">
        <v>783</v>
      </c>
      <c r="C5" s="215" t="s">
        <v>482</v>
      </c>
      <c r="D5" s="215" t="s">
        <v>481</v>
      </c>
      <c r="E5" s="215" t="s">
        <v>480</v>
      </c>
      <c r="F5" s="215" t="s">
        <v>782</v>
      </c>
      <c r="G5" s="215" t="s">
        <v>1048</v>
      </c>
      <c r="H5" s="215" t="s">
        <v>3244</v>
      </c>
      <c r="I5" s="196" t="s">
        <v>3061</v>
      </c>
    </row>
    <row r="6" spans="1:9" x14ac:dyDescent="0.35">
      <c r="A6" s="223" t="s">
        <v>1209</v>
      </c>
      <c r="B6" s="215"/>
      <c r="C6" s="215"/>
      <c r="D6" s="215">
        <v>80119672.399999976</v>
      </c>
      <c r="E6" s="215"/>
      <c r="F6" s="215">
        <v>9692676.7899999972</v>
      </c>
      <c r="G6" s="215">
        <v>89812349.189999968</v>
      </c>
      <c r="H6" s="216"/>
    </row>
    <row r="7" spans="1:9" x14ac:dyDescent="0.35">
      <c r="A7" s="224" t="s">
        <v>506</v>
      </c>
      <c r="B7" s="215"/>
      <c r="C7" s="215"/>
      <c r="D7" s="215"/>
      <c r="E7" s="215"/>
      <c r="F7" s="215">
        <v>9692676.7899999972</v>
      </c>
      <c r="G7" s="215">
        <v>9692676.7899999972</v>
      </c>
      <c r="H7" s="170">
        <f>_xlfn.XLOOKUP(A7,[1]Sheet1!$A:$A,[1]Sheet1!$E:$E)</f>
        <v>9692676.6400000006</v>
      </c>
      <c r="I7" s="196">
        <f>G7-H7</f>
        <v>0.14999999664723873</v>
      </c>
    </row>
    <row r="8" spans="1:9" x14ac:dyDescent="0.35">
      <c r="A8" s="224" t="s">
        <v>125</v>
      </c>
      <c r="B8" s="215"/>
      <c r="C8" s="215"/>
      <c r="D8" s="215">
        <v>80119672.399999976</v>
      </c>
      <c r="E8" s="215"/>
      <c r="F8" s="215"/>
      <c r="G8" s="215">
        <v>80119672.399999976</v>
      </c>
      <c r="H8" s="170">
        <f>_xlfn.XLOOKUP(A8,[1]Sheet1!$A:$A,[1]Sheet1!$E:$E)</f>
        <v>205634017.63999999</v>
      </c>
    </row>
    <row r="9" spans="1:9" x14ac:dyDescent="0.35">
      <c r="A9" s="223" t="s">
        <v>1727</v>
      </c>
      <c r="B9" s="215"/>
      <c r="C9" s="215"/>
      <c r="D9" s="215">
        <v>85415466.298192501</v>
      </c>
      <c r="E9" s="215"/>
      <c r="F9" s="215"/>
      <c r="G9" s="215">
        <v>85415466.298192501</v>
      </c>
      <c r="H9" s="170">
        <f>_xlfn.XLOOKUP(A9,[2]ORIGINAL!$A:$A,[2]ORIGINAL!$E:$E,0)</f>
        <v>0</v>
      </c>
    </row>
    <row r="10" spans="1:9" x14ac:dyDescent="0.35">
      <c r="A10" s="224" t="s">
        <v>1729</v>
      </c>
      <c r="B10" s="215"/>
      <c r="C10" s="215"/>
      <c r="D10" s="215">
        <v>26344440.298192501</v>
      </c>
      <c r="E10" s="215"/>
      <c r="F10" s="215"/>
      <c r="G10" s="215">
        <v>26344440.298192501</v>
      </c>
      <c r="H10" s="170">
        <f>_xlfn.XLOOKUP(A10,[2]ORIGINAL!$A:$A,[2]ORIGINAL!$E:$E,0)</f>
        <v>0</v>
      </c>
    </row>
    <row r="11" spans="1:9" x14ac:dyDescent="0.35">
      <c r="A11" s="224" t="s">
        <v>4894</v>
      </c>
      <c r="B11" s="215"/>
      <c r="C11" s="215"/>
      <c r="D11" s="215">
        <v>59071026</v>
      </c>
      <c r="E11" s="215"/>
      <c r="F11" s="215"/>
      <c r="G11" s="215">
        <v>59071026</v>
      </c>
      <c r="H11" s="170">
        <f>_xlfn.XLOOKUP(A11,[2]ORIGINAL!$A:$A,[2]ORIGINAL!$E:$E,0)</f>
        <v>0</v>
      </c>
    </row>
    <row r="12" spans="1:9" x14ac:dyDescent="0.35">
      <c r="A12" s="223" t="s">
        <v>477</v>
      </c>
      <c r="B12" s="215"/>
      <c r="C12" s="215">
        <v>4317115.9399999995</v>
      </c>
      <c r="D12" s="215">
        <v>55756746.699999996</v>
      </c>
      <c r="E12" s="215">
        <v>1115140.1200000001</v>
      </c>
      <c r="F12" s="215">
        <v>37463338.950000003</v>
      </c>
      <c r="G12" s="215">
        <v>98652341.710000023</v>
      </c>
      <c r="H12" s="170">
        <f>_xlfn.XLOOKUP(A12,[2]ORIGINAL!$A:$A,[2]ORIGINAL!$E:$E,0)</f>
        <v>0</v>
      </c>
    </row>
    <row r="13" spans="1:9" x14ac:dyDescent="0.35">
      <c r="A13" s="224" t="s">
        <v>2321</v>
      </c>
      <c r="B13" s="215"/>
      <c r="C13" s="215"/>
      <c r="D13" s="215"/>
      <c r="E13" s="215"/>
      <c r="F13" s="215">
        <v>40000</v>
      </c>
      <c r="G13" s="215">
        <v>40000</v>
      </c>
      <c r="H13" s="170">
        <f>_xlfn.XLOOKUP(A13,[1]Sheet1!$A:$A,[1]Sheet1!$E:$E)</f>
        <v>40000</v>
      </c>
      <c r="I13" s="196">
        <f t="shared" ref="I13:I75" si="0">G13-H13</f>
        <v>0</v>
      </c>
    </row>
    <row r="14" spans="1:9" x14ac:dyDescent="0.35">
      <c r="A14" s="224" t="s">
        <v>0</v>
      </c>
      <c r="B14" s="215"/>
      <c r="C14" s="215"/>
      <c r="D14" s="215"/>
      <c r="E14" s="215"/>
      <c r="F14" s="215">
        <v>184593.3</v>
      </c>
      <c r="G14" s="215">
        <v>184593.3</v>
      </c>
      <c r="H14" s="170">
        <f>_xlfn.XLOOKUP(A14,[1]Sheet1!$A:$A,[1]Sheet1!$E:$E)</f>
        <v>184593.3</v>
      </c>
      <c r="I14" s="196">
        <f t="shared" si="0"/>
        <v>0</v>
      </c>
    </row>
    <row r="15" spans="1:9" x14ac:dyDescent="0.35">
      <c r="A15" s="224" t="s">
        <v>3</v>
      </c>
      <c r="B15" s="215"/>
      <c r="C15" s="215"/>
      <c r="D15" s="215">
        <v>1450836</v>
      </c>
      <c r="E15" s="215"/>
      <c r="F15" s="215"/>
      <c r="G15" s="215">
        <v>1450836</v>
      </c>
      <c r="H15" s="170">
        <f>_xlfn.XLOOKUP(A15,[1]Sheet1!$A:$A,[1]Sheet1!$E:$E)</f>
        <v>1731786.45</v>
      </c>
      <c r="I15" s="196">
        <f t="shared" si="0"/>
        <v>-280950.44999999995</v>
      </c>
    </row>
    <row r="16" spans="1:9" x14ac:dyDescent="0.35">
      <c r="A16" s="224" t="s">
        <v>259</v>
      </c>
      <c r="B16" s="215"/>
      <c r="C16" s="215"/>
      <c r="D16" s="215">
        <v>9486</v>
      </c>
      <c r="E16" s="215"/>
      <c r="F16" s="215"/>
      <c r="G16" s="215">
        <v>9486</v>
      </c>
      <c r="H16" s="170">
        <f>_xlfn.XLOOKUP(A16,[1]Sheet1!$A:$A,[1]Sheet1!$E:$E)</f>
        <v>9486.25</v>
      </c>
      <c r="I16" s="196">
        <f t="shared" si="0"/>
        <v>-0.25</v>
      </c>
    </row>
    <row r="17" spans="1:9" x14ac:dyDescent="0.35">
      <c r="A17" s="224" t="s">
        <v>1838</v>
      </c>
      <c r="B17" s="215"/>
      <c r="C17" s="215">
        <v>437757</v>
      </c>
      <c r="D17" s="215">
        <v>240801.5</v>
      </c>
      <c r="E17" s="215">
        <v>884518.56</v>
      </c>
      <c r="F17" s="215"/>
      <c r="G17" s="215">
        <v>1563077.06</v>
      </c>
      <c r="H17" s="170">
        <f>_xlfn.XLOOKUP(A17,[1]Sheet1!$A:$A,[1]Sheet1!$E:$E)</f>
        <v>1606180.44</v>
      </c>
      <c r="I17" s="196">
        <f t="shared" si="0"/>
        <v>-43103.379999999888</v>
      </c>
    </row>
    <row r="18" spans="1:9" x14ac:dyDescent="0.35">
      <c r="A18" s="224" t="s">
        <v>263</v>
      </c>
      <c r="B18" s="215"/>
      <c r="C18" s="215">
        <v>3095361.84</v>
      </c>
      <c r="D18" s="215">
        <v>1211796</v>
      </c>
      <c r="E18" s="215"/>
      <c r="F18" s="215">
        <v>2693203.96</v>
      </c>
      <c r="G18" s="215">
        <v>7000361.7999999998</v>
      </c>
      <c r="H18" s="170">
        <f>_xlfn.XLOOKUP(A18,[1]Sheet1!$A:$A,[1]Sheet1!$E:$E)</f>
        <v>7000362.0800000001</v>
      </c>
      <c r="I18" s="196">
        <f t="shared" si="0"/>
        <v>-0.28000000026077032</v>
      </c>
    </row>
    <row r="19" spans="1:9" x14ac:dyDescent="0.35">
      <c r="A19" s="224" t="s">
        <v>35</v>
      </c>
      <c r="B19" s="215"/>
      <c r="C19" s="215"/>
      <c r="D19" s="215"/>
      <c r="E19" s="215"/>
      <c r="F19" s="215">
        <v>580857.09</v>
      </c>
      <c r="G19" s="215">
        <v>580857.09</v>
      </c>
      <c r="H19" s="170">
        <f>_xlfn.XLOOKUP(A19,[1]Sheet1!$A:$A,[1]Sheet1!$E:$E)</f>
        <v>580857.16</v>
      </c>
      <c r="I19" s="196">
        <f t="shared" si="0"/>
        <v>-7.000000006519258E-2</v>
      </c>
    </row>
    <row r="20" spans="1:9" x14ac:dyDescent="0.35">
      <c r="A20" s="224" t="s">
        <v>1196</v>
      </c>
      <c r="B20" s="215"/>
      <c r="C20" s="215"/>
      <c r="D20" s="215">
        <v>7022086</v>
      </c>
      <c r="E20" s="215"/>
      <c r="F20" s="215"/>
      <c r="G20" s="215">
        <v>7022086</v>
      </c>
      <c r="H20" s="170">
        <f>_xlfn.XLOOKUP(A20,[1]Sheet1!$A:$A,[1]Sheet1!$E:$E)</f>
        <v>7022086.0999999996</v>
      </c>
      <c r="I20" s="196">
        <f t="shared" si="0"/>
        <v>-9.999999962747097E-2</v>
      </c>
    </row>
    <row r="21" spans="1:9" x14ac:dyDescent="0.35">
      <c r="A21" s="224" t="s">
        <v>38</v>
      </c>
      <c r="B21" s="215"/>
      <c r="C21" s="215"/>
      <c r="D21" s="215"/>
      <c r="E21" s="215"/>
      <c r="F21" s="215">
        <v>3597958</v>
      </c>
      <c r="G21" s="215">
        <v>3597958</v>
      </c>
      <c r="H21" s="170">
        <f>_xlfn.XLOOKUP(A21,[1]Sheet1!$A:$A,[1]Sheet1!$E:$E)</f>
        <v>3597958</v>
      </c>
      <c r="I21" s="196">
        <f t="shared" si="0"/>
        <v>0</v>
      </c>
    </row>
    <row r="22" spans="1:9" x14ac:dyDescent="0.35">
      <c r="A22" s="224" t="s">
        <v>2789</v>
      </c>
      <c r="B22" s="215"/>
      <c r="C22" s="215"/>
      <c r="D22" s="215">
        <v>13608000</v>
      </c>
      <c r="E22" s="215"/>
      <c r="F22" s="215"/>
      <c r="G22" s="215">
        <v>13608000</v>
      </c>
      <c r="H22" s="170">
        <f>_xlfn.XLOOKUP(A22,[1]Sheet1!$A:$A,[1]Sheet1!$E:$E)</f>
        <v>21013195</v>
      </c>
      <c r="I22" s="196">
        <f t="shared" si="0"/>
        <v>-7405195</v>
      </c>
    </row>
    <row r="23" spans="1:9" x14ac:dyDescent="0.35">
      <c r="A23" s="224" t="s">
        <v>3409</v>
      </c>
      <c r="B23" s="215"/>
      <c r="C23" s="215"/>
      <c r="D23" s="215"/>
      <c r="E23" s="215">
        <v>60793.599999999999</v>
      </c>
      <c r="F23" s="215">
        <v>43680</v>
      </c>
      <c r="G23" s="215">
        <v>104473.60000000001</v>
      </c>
      <c r="H23" s="170">
        <f>_xlfn.XLOOKUP(A23,[1]Sheet1!$A:$A,[1]Sheet1!$E:$E)</f>
        <v>3852336.51</v>
      </c>
      <c r="I23" s="196">
        <f t="shared" si="0"/>
        <v>-3747862.9099999997</v>
      </c>
    </row>
    <row r="24" spans="1:9" x14ac:dyDescent="0.35">
      <c r="A24" s="224" t="s">
        <v>3537</v>
      </c>
      <c r="B24" s="215"/>
      <c r="C24" s="215"/>
      <c r="D24" s="215">
        <v>440040.72</v>
      </c>
      <c r="E24" s="215"/>
      <c r="F24" s="215"/>
      <c r="G24" s="215">
        <v>440040.72</v>
      </c>
      <c r="H24" s="170">
        <f>_xlfn.XLOOKUP(A24,[1]Sheet1!$A:$A,[1]Sheet1!$E:$E)</f>
        <v>440040.72</v>
      </c>
      <c r="I24" s="196">
        <f t="shared" si="0"/>
        <v>0</v>
      </c>
    </row>
    <row r="25" spans="1:9" x14ac:dyDescent="0.35">
      <c r="A25" s="224" t="s">
        <v>4744</v>
      </c>
      <c r="B25" s="215"/>
      <c r="C25" s="215"/>
      <c r="D25" s="215"/>
      <c r="E25" s="215"/>
      <c r="F25" s="215">
        <v>9850539.5999999996</v>
      </c>
      <c r="G25" s="215">
        <v>9850539.5999999996</v>
      </c>
      <c r="H25" s="170">
        <f>_xlfn.XLOOKUP(A25,[1]Sheet1!$A:$A,[1]Sheet1!$E:$E)</f>
        <v>9860400</v>
      </c>
      <c r="I25" s="196">
        <f t="shared" si="0"/>
        <v>-9860.4000000003725</v>
      </c>
    </row>
    <row r="26" spans="1:9" x14ac:dyDescent="0.35">
      <c r="A26" s="224" t="s">
        <v>4745</v>
      </c>
      <c r="B26" s="215"/>
      <c r="C26" s="215">
        <v>197354.91999999998</v>
      </c>
      <c r="D26" s="215"/>
      <c r="E26" s="215">
        <v>169827.96</v>
      </c>
      <c r="F26" s="215"/>
      <c r="G26" s="215">
        <v>367182.88</v>
      </c>
      <c r="H26" s="170">
        <f>_xlfn.XLOOKUP(A26,[1]Sheet1!$A:$A,[1]Sheet1!$E:$E)</f>
        <v>367183.32</v>
      </c>
      <c r="I26" s="196">
        <f t="shared" si="0"/>
        <v>-0.44000000000232831</v>
      </c>
    </row>
    <row r="27" spans="1:9" x14ac:dyDescent="0.35">
      <c r="A27" s="224" t="s">
        <v>4779</v>
      </c>
      <c r="B27" s="215"/>
      <c r="C27" s="215"/>
      <c r="D27" s="215"/>
      <c r="E27" s="215"/>
      <c r="F27" s="215">
        <v>20472507</v>
      </c>
      <c r="G27" s="215">
        <v>20472507</v>
      </c>
      <c r="H27" s="170">
        <f>_xlfn.XLOOKUP(A27,[1]Sheet1!$A:$A,[1]Sheet1!$E:$E)</f>
        <v>20493000</v>
      </c>
      <c r="I27" s="196">
        <f t="shared" si="0"/>
        <v>-20493</v>
      </c>
    </row>
    <row r="28" spans="1:9" x14ac:dyDescent="0.35">
      <c r="A28" s="224" t="s">
        <v>4460</v>
      </c>
      <c r="B28" s="215"/>
      <c r="C28" s="215">
        <v>395000</v>
      </c>
      <c r="D28" s="215">
        <v>2190000</v>
      </c>
      <c r="E28" s="215"/>
      <c r="F28" s="215"/>
      <c r="G28" s="215">
        <v>2585000</v>
      </c>
      <c r="H28" s="170">
        <f>_xlfn.XLOOKUP(A28,[1]Sheet1!$A:$A,[1]Sheet1!$E:$E)</f>
        <v>2585000.04</v>
      </c>
      <c r="I28" s="196">
        <f t="shared" si="0"/>
        <v>-4.0000000037252903E-2</v>
      </c>
    </row>
    <row r="29" spans="1:9" x14ac:dyDescent="0.35">
      <c r="A29" s="224" t="s">
        <v>4780</v>
      </c>
      <c r="B29" s="215"/>
      <c r="C29" s="215">
        <v>191642.18</v>
      </c>
      <c r="D29" s="215">
        <v>2375514.08</v>
      </c>
      <c r="E29" s="215"/>
      <c r="F29" s="215"/>
      <c r="G29" s="215">
        <v>2567156.2600000002</v>
      </c>
      <c r="H29" s="170">
        <f>_xlfn.XLOOKUP(A29,[1]Sheet1!$A:$A,[1]Sheet1!$E:$E)</f>
        <v>2567156.6800000002</v>
      </c>
      <c r="I29" s="196">
        <f t="shared" si="0"/>
        <v>-0.41999999992549419</v>
      </c>
    </row>
    <row r="30" spans="1:9" x14ac:dyDescent="0.35">
      <c r="A30" s="224" t="s">
        <v>2891</v>
      </c>
      <c r="B30" s="215"/>
      <c r="C30" s="215"/>
      <c r="D30" s="215">
        <v>849600</v>
      </c>
      <c r="E30" s="215"/>
      <c r="F30" s="215"/>
      <c r="G30" s="215">
        <v>849600</v>
      </c>
      <c r="H30" s="170">
        <f>_xlfn.XLOOKUP(A30,[1]Sheet1!$A:$A,[1]Sheet1!$E:$E)</f>
        <v>849600</v>
      </c>
      <c r="I30" s="196">
        <f t="shared" si="0"/>
        <v>0</v>
      </c>
    </row>
    <row r="31" spans="1:9" x14ac:dyDescent="0.35">
      <c r="A31" s="224" t="s">
        <v>4942</v>
      </c>
      <c r="B31" s="215"/>
      <c r="C31" s="215"/>
      <c r="D31" s="215">
        <v>530735</v>
      </c>
      <c r="E31" s="215"/>
      <c r="F31" s="215"/>
      <c r="G31" s="215">
        <v>530735</v>
      </c>
      <c r="H31" s="170">
        <f>_xlfn.XLOOKUP(A31,[1]Sheet1!$A:$A,[1]Sheet1!$E:$E)</f>
        <v>530734.5</v>
      </c>
      <c r="I31" s="196">
        <f t="shared" si="0"/>
        <v>0.5</v>
      </c>
    </row>
    <row r="32" spans="1:9" x14ac:dyDescent="0.35">
      <c r="A32" s="224" t="s">
        <v>5054</v>
      </c>
      <c r="B32" s="215"/>
      <c r="C32" s="215"/>
      <c r="D32" s="215">
        <v>2846500</v>
      </c>
      <c r="E32" s="215"/>
      <c r="F32" s="215"/>
      <c r="G32" s="215">
        <v>2846500</v>
      </c>
      <c r="H32" s="170">
        <f>_xlfn.XLOOKUP(A32,[1]Sheet1!$A:$A,[1]Sheet1!$E:$E)</f>
        <v>3115200</v>
      </c>
      <c r="I32" s="196">
        <f t="shared" si="0"/>
        <v>-268700</v>
      </c>
    </row>
    <row r="33" spans="1:11" x14ac:dyDescent="0.35">
      <c r="A33" s="224" t="s">
        <v>5072</v>
      </c>
      <c r="B33" s="215"/>
      <c r="C33" s="215"/>
      <c r="D33" s="215">
        <v>347980</v>
      </c>
      <c r="E33" s="215"/>
      <c r="F33" s="215"/>
      <c r="G33" s="215">
        <v>347980</v>
      </c>
      <c r="H33" s="170">
        <f>_xlfn.XLOOKUP(A33,[1]Sheet1!$A:$A,[1]Sheet1!$E:$E)</f>
        <v>359828.73</v>
      </c>
      <c r="I33" s="196">
        <f t="shared" si="0"/>
        <v>-11848.729999999981</v>
      </c>
    </row>
    <row r="34" spans="1:11" x14ac:dyDescent="0.35">
      <c r="A34" s="224" t="s">
        <v>3536</v>
      </c>
      <c r="B34" s="215"/>
      <c r="C34" s="215"/>
      <c r="D34" s="215">
        <v>17125800</v>
      </c>
      <c r="E34" s="215"/>
      <c r="F34" s="215"/>
      <c r="G34" s="215">
        <v>17125800</v>
      </c>
      <c r="H34" s="170">
        <f>_xlfn.XLOOKUP(A34,[1]Sheet1!$A:$A,[1]Sheet1!$E:$E)</f>
        <v>38702605.200000003</v>
      </c>
      <c r="I34" s="196">
        <f t="shared" si="0"/>
        <v>-21576805.200000003</v>
      </c>
    </row>
    <row r="35" spans="1:11" x14ac:dyDescent="0.35">
      <c r="A35" s="224" t="s">
        <v>26</v>
      </c>
      <c r="B35" s="215"/>
      <c r="C35" s="215"/>
      <c r="D35" s="215">
        <v>449035</v>
      </c>
      <c r="E35" s="215"/>
      <c r="F35" s="215"/>
      <c r="G35" s="215">
        <v>449035</v>
      </c>
      <c r="H35" s="170">
        <f>_xlfn.XLOOKUP(A35,[1]Sheet1!$A:$A,[1]Sheet1!$E:$E)</f>
        <v>527930.66</v>
      </c>
      <c r="I35" s="196">
        <f t="shared" si="0"/>
        <v>-78895.660000000033</v>
      </c>
    </row>
    <row r="36" spans="1:11" x14ac:dyDescent="0.35">
      <c r="A36" s="224" t="s">
        <v>5296</v>
      </c>
      <c r="B36" s="215"/>
      <c r="C36" s="215"/>
      <c r="D36" s="215">
        <v>7881</v>
      </c>
      <c r="E36" s="215"/>
      <c r="F36" s="215"/>
      <c r="G36" s="215">
        <v>7881</v>
      </c>
      <c r="H36" s="170">
        <f>_xlfn.XLOOKUP(A36,[1]Sheet1!$A:$A,[1]Sheet1!$E:$E)</f>
        <v>9485.57</v>
      </c>
      <c r="I36" s="196">
        <f t="shared" si="0"/>
        <v>-1604.5699999999997</v>
      </c>
    </row>
    <row r="37" spans="1:11" x14ac:dyDescent="0.35">
      <c r="A37" s="224" t="s">
        <v>5297</v>
      </c>
      <c r="B37" s="215"/>
      <c r="C37" s="215"/>
      <c r="D37" s="215">
        <v>1547</v>
      </c>
      <c r="E37" s="215"/>
      <c r="F37" s="215"/>
      <c r="G37" s="215">
        <v>1547</v>
      </c>
      <c r="H37" s="170">
        <f>_xlfn.XLOOKUP(A37,[1]Sheet1!$A:$A,[1]Sheet1!$E:$E)</f>
        <v>1546.5</v>
      </c>
      <c r="I37" s="196">
        <f t="shared" si="0"/>
        <v>0.5</v>
      </c>
      <c r="J37" s="215"/>
    </row>
    <row r="38" spans="1:11" x14ac:dyDescent="0.35">
      <c r="A38" s="224" t="s">
        <v>3096</v>
      </c>
      <c r="B38" s="215"/>
      <c r="C38" s="215"/>
      <c r="D38" s="215">
        <v>556155</v>
      </c>
      <c r="E38" s="215"/>
      <c r="F38" s="215"/>
      <c r="G38" s="215">
        <v>556155</v>
      </c>
      <c r="H38" s="170">
        <f>_xlfn.XLOOKUP(A38,[1]Sheet1!$A:$A,[1]Sheet1!$E:$E)</f>
        <v>656262.9</v>
      </c>
      <c r="I38" s="196">
        <f t="shared" si="0"/>
        <v>-100107.90000000002</v>
      </c>
    </row>
    <row r="39" spans="1:11" x14ac:dyDescent="0.35">
      <c r="A39" s="224" t="s">
        <v>4944</v>
      </c>
      <c r="B39" s="215"/>
      <c r="C39" s="215"/>
      <c r="D39" s="215">
        <v>1096520.3999999999</v>
      </c>
      <c r="E39" s="215"/>
      <c r="F39" s="215"/>
      <c r="G39" s="215">
        <v>1096520.3999999999</v>
      </c>
      <c r="H39" s="170">
        <f>_xlfn.XLOOKUP(A39,[1]Sheet1!$A:$A,[1]Sheet1!$E:$E)</f>
        <v>1164996.42</v>
      </c>
      <c r="I39" s="196">
        <f t="shared" si="0"/>
        <v>-68476.020000000019</v>
      </c>
    </row>
    <row r="40" spans="1:11" x14ac:dyDescent="0.35">
      <c r="A40" s="224" t="s">
        <v>5298</v>
      </c>
      <c r="B40" s="215"/>
      <c r="C40" s="215"/>
      <c r="D40" s="215">
        <v>235000</v>
      </c>
      <c r="E40" s="215"/>
      <c r="F40" s="215"/>
      <c r="G40" s="215">
        <v>235000</v>
      </c>
      <c r="H40" s="170">
        <f>_xlfn.XLOOKUP(A40,[1]Sheet1!$A:$A,[1]Sheet1!$E:$E)</f>
        <v>277300</v>
      </c>
      <c r="I40" s="196">
        <f t="shared" si="0"/>
        <v>-42300</v>
      </c>
    </row>
    <row r="41" spans="1:11" x14ac:dyDescent="0.35">
      <c r="A41" s="224" t="s">
        <v>1497</v>
      </c>
      <c r="B41" s="215"/>
      <c r="C41" s="215"/>
      <c r="D41" s="215">
        <v>2291998</v>
      </c>
      <c r="E41" s="215"/>
      <c r="F41" s="215"/>
      <c r="G41" s="215">
        <v>2291998</v>
      </c>
      <c r="H41" s="170">
        <f>_xlfn.XLOOKUP(A41,[1]Sheet1!$A:$A,[1]Sheet1!$E:$E)</f>
        <v>2291997.71</v>
      </c>
      <c r="I41" s="196">
        <f t="shared" si="0"/>
        <v>0.2900000000372529</v>
      </c>
    </row>
    <row r="42" spans="1:11" x14ac:dyDescent="0.35">
      <c r="A42" s="224" t="s">
        <v>5299</v>
      </c>
      <c r="B42" s="215"/>
      <c r="C42" s="215"/>
      <c r="D42" s="215">
        <v>802400</v>
      </c>
      <c r="E42" s="215"/>
      <c r="F42" s="215"/>
      <c r="G42" s="215">
        <v>802400</v>
      </c>
      <c r="H42" s="170">
        <f>_xlfn.XLOOKUP(A42,[1]Sheet1!$A:$A,[1]Sheet1!$E:$E)</f>
        <v>802400</v>
      </c>
      <c r="I42" s="196">
        <f t="shared" si="0"/>
        <v>0</v>
      </c>
    </row>
    <row r="43" spans="1:11" x14ac:dyDescent="0.35">
      <c r="A43" s="224" t="s">
        <v>5300</v>
      </c>
      <c r="B43" s="215"/>
      <c r="C43" s="215"/>
      <c r="D43" s="215">
        <v>67035</v>
      </c>
      <c r="E43" s="215"/>
      <c r="F43" s="215"/>
      <c r="G43" s="215">
        <v>67035</v>
      </c>
      <c r="H43" s="170">
        <f>_xlfn.XLOOKUP(A43,[1]Sheet1!$A:$A,[1]Sheet1!$E:$E)</f>
        <v>79101.3</v>
      </c>
      <c r="I43" s="196">
        <f t="shared" si="0"/>
        <v>-12066.300000000003</v>
      </c>
      <c r="K43" s="217">
        <f>D43*75%</f>
        <v>50276.25</v>
      </c>
    </row>
    <row r="44" spans="1:11" x14ac:dyDescent="0.35">
      <c r="A44" s="223" t="s">
        <v>1085</v>
      </c>
      <c r="B44" s="215">
        <v>261489346.12091187</v>
      </c>
      <c r="C44" s="215">
        <v>20255203.049999993</v>
      </c>
      <c r="D44" s="215"/>
      <c r="E44" s="215"/>
      <c r="F44" s="215">
        <v>16839899.369999997</v>
      </c>
      <c r="G44" s="215">
        <v>298584448.54091197</v>
      </c>
      <c r="H44" s="170">
        <f>_xlfn.XLOOKUP(A44,'[3]Trial Balance'!$A:$A,'[3]Trial Balance'!$B:$B,0)</f>
        <v>0</v>
      </c>
    </row>
    <row r="45" spans="1:11" x14ac:dyDescent="0.35">
      <c r="A45" s="224" t="s">
        <v>518</v>
      </c>
      <c r="B45" s="215"/>
      <c r="C45" s="215"/>
      <c r="D45" s="215"/>
      <c r="E45" s="215"/>
      <c r="F45" s="215">
        <v>3151699.2</v>
      </c>
      <c r="G45" s="215">
        <v>3151699.2</v>
      </c>
      <c r="H45" s="170">
        <f>_xlfn.XLOOKUP(A45,[1]Sheet1!$A:$A,[1]Sheet1!$E:$E)</f>
        <v>3151699.2</v>
      </c>
      <c r="I45" s="196">
        <f t="shared" si="0"/>
        <v>0</v>
      </c>
    </row>
    <row r="46" spans="1:11" x14ac:dyDescent="0.35">
      <c r="A46" s="224" t="s">
        <v>2066</v>
      </c>
      <c r="B46" s="215">
        <v>3303022.52</v>
      </c>
      <c r="C46" s="215"/>
      <c r="D46" s="215"/>
      <c r="E46" s="215"/>
      <c r="F46" s="215"/>
      <c r="G46" s="215">
        <v>3303022.52</v>
      </c>
      <c r="H46" s="170">
        <f>_xlfn.XLOOKUP(A46,[1]Sheet1!$A:$A,[1]Sheet1!$E:$E)</f>
        <v>3303022.54</v>
      </c>
      <c r="I46" s="196">
        <f t="shared" si="0"/>
        <v>-2.0000000018626451E-2</v>
      </c>
    </row>
    <row r="47" spans="1:11" x14ac:dyDescent="0.35">
      <c r="A47" s="224" t="s">
        <v>570</v>
      </c>
      <c r="B47" s="215"/>
      <c r="C47" s="215">
        <v>219902.33000000007</v>
      </c>
      <c r="D47" s="215"/>
      <c r="E47" s="215"/>
      <c r="F47" s="215"/>
      <c r="G47" s="215">
        <v>219902.33000000007</v>
      </c>
      <c r="H47" s="170">
        <f>_xlfn.XLOOKUP(A47,[1]Sheet1!$A:$A,[1]Sheet1!$E:$E)</f>
        <v>3175776.71</v>
      </c>
      <c r="I47" s="196">
        <f t="shared" si="0"/>
        <v>-2955874.38</v>
      </c>
    </row>
    <row r="48" spans="1:11" x14ac:dyDescent="0.35">
      <c r="A48" s="224" t="s">
        <v>520</v>
      </c>
      <c r="B48" s="215"/>
      <c r="C48" s="215"/>
      <c r="D48" s="215"/>
      <c r="E48" s="215"/>
      <c r="F48" s="215">
        <v>3151699.2</v>
      </c>
      <c r="G48" s="215">
        <v>3151699.2</v>
      </c>
      <c r="H48" s="170">
        <f>_xlfn.XLOOKUP(A48,[1]Sheet1!$A:$A,[1]Sheet1!$E:$E)</f>
        <v>3151699.2</v>
      </c>
      <c r="I48" s="196">
        <f t="shared" si="0"/>
        <v>0</v>
      </c>
    </row>
    <row r="49" spans="1:12" x14ac:dyDescent="0.35">
      <c r="A49" s="224" t="s">
        <v>1086</v>
      </c>
      <c r="B49" s="215">
        <v>58568108.508499995</v>
      </c>
      <c r="C49" s="215">
        <v>19718193.479999997</v>
      </c>
      <c r="D49" s="215"/>
      <c r="E49" s="215"/>
      <c r="F49" s="215">
        <v>10025008.469999999</v>
      </c>
      <c r="G49" s="215">
        <v>88311310.458499998</v>
      </c>
      <c r="H49" s="170">
        <f>_xlfn.XLOOKUP(A49,[1]Sheet1!$A:$A,[1]Sheet1!$E:$E)</f>
        <v>88311310.010000005</v>
      </c>
      <c r="I49" s="196">
        <f t="shared" si="0"/>
        <v>0.44849999248981476</v>
      </c>
    </row>
    <row r="50" spans="1:12" x14ac:dyDescent="0.35">
      <c r="A50" s="224" t="s">
        <v>522</v>
      </c>
      <c r="B50" s="215"/>
      <c r="C50" s="215">
        <v>31380</v>
      </c>
      <c r="D50" s="215"/>
      <c r="E50" s="215"/>
      <c r="F50" s="215"/>
      <c r="G50" s="215">
        <v>31380</v>
      </c>
      <c r="H50" s="170">
        <f>_xlfn.XLOOKUP(A50,[1]Sheet1!$A:$A,[1]Sheet1!$E:$E)</f>
        <v>31380.02</v>
      </c>
      <c r="I50" s="196">
        <f t="shared" si="0"/>
        <v>-2.0000000000436557E-2</v>
      </c>
    </row>
    <row r="51" spans="1:12" x14ac:dyDescent="0.35">
      <c r="A51" s="224" t="s">
        <v>536</v>
      </c>
      <c r="B51" s="215">
        <v>7925998.2400000002</v>
      </c>
      <c r="C51" s="215"/>
      <c r="D51" s="215"/>
      <c r="E51" s="215"/>
      <c r="F51" s="215"/>
      <c r="G51" s="215">
        <v>7925998.2400000002</v>
      </c>
      <c r="H51" s="170">
        <f>_xlfn.XLOOKUP(A51,[1]Sheet1!$A:$A,[1]Sheet1!$E:$E)</f>
        <v>7925998.0300000003</v>
      </c>
      <c r="I51" s="196">
        <f t="shared" si="0"/>
        <v>0.2099999999627471</v>
      </c>
    </row>
    <row r="52" spans="1:12" x14ac:dyDescent="0.35">
      <c r="A52" s="224" t="s">
        <v>538</v>
      </c>
      <c r="B52" s="215">
        <v>42817158.755000003</v>
      </c>
      <c r="C52" s="215"/>
      <c r="D52" s="215"/>
      <c r="E52" s="215"/>
      <c r="F52" s="215"/>
      <c r="G52" s="215">
        <v>42817158.755000003</v>
      </c>
      <c r="H52" s="170">
        <f>_xlfn.XLOOKUP(A52,[1]Sheet1!$A:$A,[1]Sheet1!$E:$E)</f>
        <v>64407777.109999999</v>
      </c>
      <c r="I52" s="196">
        <f t="shared" si="0"/>
        <v>-21590618.354999997</v>
      </c>
    </row>
    <row r="53" spans="1:12" x14ac:dyDescent="0.35">
      <c r="A53" s="224" t="s">
        <v>1243</v>
      </c>
      <c r="B53" s="215">
        <v>3476296.99</v>
      </c>
      <c r="C53" s="215"/>
      <c r="D53" s="215"/>
      <c r="E53" s="215"/>
      <c r="F53" s="215"/>
      <c r="G53" s="215">
        <v>3476296.99</v>
      </c>
      <c r="H53" s="170">
        <f>_xlfn.XLOOKUP(A53,[1]Sheet1!$A:$A,[1]Sheet1!$E:$E)</f>
        <v>3476296.99</v>
      </c>
      <c r="I53" s="196">
        <f t="shared" si="0"/>
        <v>0</v>
      </c>
    </row>
    <row r="54" spans="1:12" x14ac:dyDescent="0.35">
      <c r="A54" s="224" t="s">
        <v>631</v>
      </c>
      <c r="B54" s="215">
        <v>9726116.4000000004</v>
      </c>
      <c r="C54" s="215"/>
      <c r="D54" s="215"/>
      <c r="E54" s="215"/>
      <c r="F54" s="215"/>
      <c r="G54" s="215">
        <v>9726116.4000000004</v>
      </c>
      <c r="H54" s="170">
        <f>_xlfn.XLOOKUP(A54,[1]Sheet1!$A:$A,[1]Sheet1!$E:$E)</f>
        <v>9726116.4000000004</v>
      </c>
      <c r="I54" s="196">
        <f t="shared" si="0"/>
        <v>0</v>
      </c>
    </row>
    <row r="55" spans="1:12" x14ac:dyDescent="0.35">
      <c r="A55" s="224" t="s">
        <v>575</v>
      </c>
      <c r="B55" s="215">
        <v>4910937.4000000004</v>
      </c>
      <c r="C55" s="215"/>
      <c r="D55" s="215"/>
      <c r="E55" s="215"/>
      <c r="F55" s="215"/>
      <c r="G55" s="215">
        <v>4910937.4000000004</v>
      </c>
      <c r="H55" s="170">
        <f>_xlfn.XLOOKUP(A55,[1]Sheet1!$A:$A,[1]Sheet1!$E:$E)</f>
        <v>4910937.87</v>
      </c>
      <c r="I55" s="196">
        <f t="shared" si="0"/>
        <v>-0.46999999973922968</v>
      </c>
    </row>
    <row r="56" spans="1:12" x14ac:dyDescent="0.35">
      <c r="A56" s="224" t="s">
        <v>540</v>
      </c>
      <c r="B56" s="215">
        <v>1726506.7599999998</v>
      </c>
      <c r="C56" s="215"/>
      <c r="D56" s="215"/>
      <c r="E56" s="215"/>
      <c r="F56" s="215"/>
      <c r="G56" s="215">
        <v>1726506.7599999998</v>
      </c>
      <c r="H56" s="170">
        <f>_xlfn.XLOOKUP(A56,[1]Sheet1!$A:$A,[1]Sheet1!$E:$E)</f>
        <v>1726506.32</v>
      </c>
      <c r="I56" s="196">
        <f t="shared" si="0"/>
        <v>0.43999999971129</v>
      </c>
    </row>
    <row r="57" spans="1:12" x14ac:dyDescent="0.35">
      <c r="A57" s="224" t="s">
        <v>573</v>
      </c>
      <c r="B57" s="215">
        <v>15632633.967187539</v>
      </c>
      <c r="C57" s="215"/>
      <c r="D57" s="215"/>
      <c r="E57" s="215"/>
      <c r="F57" s="215"/>
      <c r="G57" s="215">
        <v>15632633.967187539</v>
      </c>
      <c r="H57" s="170">
        <f>_xlfn.XLOOKUP(A57,[1]Sheet1!$A:$A,[1]Sheet1!$E:$E)</f>
        <v>15957302.9</v>
      </c>
      <c r="I57" s="196">
        <f t="shared" si="0"/>
        <v>-324668.93281246163</v>
      </c>
    </row>
    <row r="58" spans="1:12" x14ac:dyDescent="0.35">
      <c r="A58" s="224" t="s">
        <v>650</v>
      </c>
      <c r="B58" s="215">
        <v>30861658.435224362</v>
      </c>
      <c r="C58" s="215"/>
      <c r="D58" s="215"/>
      <c r="E58" s="215"/>
      <c r="F58" s="215"/>
      <c r="G58" s="215">
        <v>30861658.435224362</v>
      </c>
      <c r="H58" s="170">
        <f>_xlfn.XLOOKUP(A58,[1]Sheet1!$A:$A,[1]Sheet1!$E:$E)</f>
        <v>63129121.840000004</v>
      </c>
      <c r="I58" s="196">
        <f t="shared" si="0"/>
        <v>-32267463.404775642</v>
      </c>
    </row>
    <row r="59" spans="1:12" x14ac:dyDescent="0.35">
      <c r="A59" s="224" t="s">
        <v>814</v>
      </c>
      <c r="B59" s="215">
        <v>8942033.597000001</v>
      </c>
      <c r="C59" s="215">
        <v>2035</v>
      </c>
      <c r="D59" s="215"/>
      <c r="E59" s="215"/>
      <c r="F59" s="215"/>
      <c r="G59" s="215">
        <v>8944068.597000001</v>
      </c>
      <c r="H59" s="170">
        <v>8944068.597000001</v>
      </c>
      <c r="I59" s="196">
        <f t="shared" si="0"/>
        <v>0</v>
      </c>
      <c r="L59" s="215"/>
    </row>
    <row r="60" spans="1:12" x14ac:dyDescent="0.35">
      <c r="A60" s="224" t="s">
        <v>596</v>
      </c>
      <c r="B60" s="215"/>
      <c r="C60" s="215">
        <v>5317</v>
      </c>
      <c r="D60" s="215"/>
      <c r="E60" s="215"/>
      <c r="F60" s="215"/>
      <c r="G60" s="215">
        <v>5317</v>
      </c>
      <c r="H60" s="170">
        <f>_xlfn.XLOOKUP(A60,[1]Sheet1!$A:$A,[1]Sheet1!$E:$E)</f>
        <v>5316.61</v>
      </c>
      <c r="I60" s="196">
        <f t="shared" si="0"/>
        <v>0.39000000000032742</v>
      </c>
    </row>
    <row r="61" spans="1:12" x14ac:dyDescent="0.35">
      <c r="A61" s="224" t="s">
        <v>3796</v>
      </c>
      <c r="B61" s="215">
        <v>4975676.16</v>
      </c>
      <c r="C61" s="215">
        <v>9592.0400000000373</v>
      </c>
      <c r="D61" s="215"/>
      <c r="E61" s="215"/>
      <c r="F61" s="215"/>
      <c r="G61" s="215">
        <v>4985268.2</v>
      </c>
      <c r="H61" s="170">
        <f>_xlfn.XLOOKUP(A61,[1]Sheet1!$A:$A,[1]Sheet1!$E:$E)</f>
        <v>4985268.58</v>
      </c>
      <c r="I61" s="196">
        <f t="shared" si="0"/>
        <v>-0.37999999988824129</v>
      </c>
      <c r="L61" s="215"/>
    </row>
    <row r="62" spans="1:12" x14ac:dyDescent="0.35">
      <c r="A62" s="224" t="s">
        <v>3797</v>
      </c>
      <c r="B62" s="215">
        <v>9972746.3499999996</v>
      </c>
      <c r="C62" s="215"/>
      <c r="D62" s="215"/>
      <c r="E62" s="215"/>
      <c r="F62" s="215"/>
      <c r="G62" s="215">
        <v>9972746.3499999996</v>
      </c>
      <c r="H62" s="170">
        <v>9972746.3499999996</v>
      </c>
      <c r="I62" s="196">
        <f t="shared" si="0"/>
        <v>0</v>
      </c>
      <c r="L62" s="215"/>
    </row>
    <row r="63" spans="1:12" x14ac:dyDescent="0.35">
      <c r="A63" s="224" t="s">
        <v>797</v>
      </c>
      <c r="B63" s="215">
        <v>249450.01</v>
      </c>
      <c r="C63" s="215"/>
      <c r="D63" s="215"/>
      <c r="E63" s="215"/>
      <c r="F63" s="215"/>
      <c r="G63" s="215">
        <v>249450.01</v>
      </c>
      <c r="H63" s="170">
        <f>_xlfn.XLOOKUP(A63,[1]Sheet1!$A:$A,[1]Sheet1!$E:$E)</f>
        <v>249450.01</v>
      </c>
      <c r="I63" s="196">
        <f t="shared" si="0"/>
        <v>0</v>
      </c>
      <c r="L63" s="215"/>
    </row>
    <row r="64" spans="1:12" x14ac:dyDescent="0.35">
      <c r="A64" s="224" t="s">
        <v>545</v>
      </c>
      <c r="B64" s="215">
        <v>4979372.75</v>
      </c>
      <c r="C64" s="215"/>
      <c r="D64" s="215"/>
      <c r="E64" s="215"/>
      <c r="F64" s="215"/>
      <c r="G64" s="215">
        <v>4979372.75</v>
      </c>
      <c r="H64" s="170">
        <f>_xlfn.XLOOKUP(A64,[1]Sheet1!$A:$A,[1]Sheet1!$E:$E)</f>
        <v>4979372.9800000004</v>
      </c>
      <c r="I64" s="196">
        <f t="shared" si="0"/>
        <v>-0.23000000044703484</v>
      </c>
      <c r="L64" s="215"/>
    </row>
    <row r="65" spans="1:12" x14ac:dyDescent="0.35">
      <c r="A65" s="224" t="s">
        <v>600</v>
      </c>
      <c r="B65" s="215">
        <v>11141113.200000003</v>
      </c>
      <c r="C65" s="215"/>
      <c r="D65" s="215"/>
      <c r="E65" s="215"/>
      <c r="F65" s="215"/>
      <c r="G65" s="215">
        <v>11141113.200000003</v>
      </c>
      <c r="H65" s="170">
        <f>_xlfn.XLOOKUP(A65,[1]Sheet1!$A:$A,[1]Sheet1!$E:$E)</f>
        <v>11141114.939999999</v>
      </c>
      <c r="I65" s="196">
        <f t="shared" si="0"/>
        <v>-1.7399999964982271</v>
      </c>
      <c r="L65" s="215"/>
    </row>
    <row r="66" spans="1:12" x14ac:dyDescent="0.35">
      <c r="A66" s="224" t="s">
        <v>635</v>
      </c>
      <c r="B66" s="215">
        <v>49035</v>
      </c>
      <c r="C66" s="215"/>
      <c r="D66" s="215"/>
      <c r="E66" s="215"/>
      <c r="F66" s="215"/>
      <c r="G66" s="215">
        <v>49035</v>
      </c>
      <c r="H66" s="170">
        <f>_xlfn.XLOOKUP(A66,[1]Sheet1!$A:$A,[1]Sheet1!$E:$E)</f>
        <v>49034.82</v>
      </c>
      <c r="I66" s="196">
        <f t="shared" si="0"/>
        <v>0.18000000000029104</v>
      </c>
    </row>
    <row r="67" spans="1:12" x14ac:dyDescent="0.35">
      <c r="A67" s="224" t="s">
        <v>1055</v>
      </c>
      <c r="B67" s="215">
        <v>14417475.98</v>
      </c>
      <c r="C67" s="215">
        <v>127650</v>
      </c>
      <c r="D67" s="215"/>
      <c r="E67" s="215"/>
      <c r="F67" s="215"/>
      <c r="G67" s="215">
        <v>14545125.98</v>
      </c>
      <c r="H67" s="170">
        <f>_xlfn.XLOOKUP(A67,[1]Sheet1!$A:$A,[1]Sheet1!$E:$E)</f>
        <v>14545125.99</v>
      </c>
      <c r="I67" s="196">
        <f t="shared" si="0"/>
        <v>-9.9999997764825821E-3</v>
      </c>
      <c r="L67" s="215"/>
    </row>
    <row r="68" spans="1:12" x14ac:dyDescent="0.35">
      <c r="A68" s="224" t="s">
        <v>559</v>
      </c>
      <c r="B68" s="215">
        <v>119477.72</v>
      </c>
      <c r="C68" s="215"/>
      <c r="D68" s="215"/>
      <c r="E68" s="215"/>
      <c r="F68" s="215"/>
      <c r="G68" s="215">
        <v>119477.72</v>
      </c>
      <c r="H68" s="170">
        <f>_xlfn.XLOOKUP(A68,[1]Sheet1!$A:$A,[1]Sheet1!$E:$E)</f>
        <v>119477.72</v>
      </c>
      <c r="I68" s="196">
        <f t="shared" si="0"/>
        <v>0</v>
      </c>
      <c r="K68" s="215"/>
      <c r="L68" s="215"/>
    </row>
    <row r="69" spans="1:12" x14ac:dyDescent="0.35">
      <c r="A69" s="224" t="s">
        <v>4778</v>
      </c>
      <c r="B69" s="215"/>
      <c r="C69" s="215"/>
      <c r="D69" s="215"/>
      <c r="E69" s="215"/>
      <c r="F69" s="215">
        <v>511492.5</v>
      </c>
      <c r="G69" s="215">
        <v>511492.5</v>
      </c>
      <c r="H69" s="170">
        <f>_xlfn.XLOOKUP(A69,[1]Sheet1!$A:$A,[1]Sheet1!$E:$E)</f>
        <v>511492.5</v>
      </c>
      <c r="I69" s="196">
        <f t="shared" si="0"/>
        <v>0</v>
      </c>
    </row>
    <row r="70" spans="1:12" x14ac:dyDescent="0.35">
      <c r="A70" s="224" t="s">
        <v>1764</v>
      </c>
      <c r="B70" s="215">
        <v>5209153.6179999998</v>
      </c>
      <c r="C70" s="215">
        <v>2308.2000000001863</v>
      </c>
      <c r="D70" s="215"/>
      <c r="E70" s="215"/>
      <c r="F70" s="215"/>
      <c r="G70" s="215">
        <v>5211461.818</v>
      </c>
      <c r="H70" s="170">
        <f>_xlfn.XLOOKUP(A70,[1]Sheet1!$A:$A,[1]Sheet1!$E:$E)</f>
        <v>5211461.92</v>
      </c>
      <c r="I70" s="196">
        <f t="shared" si="0"/>
        <v>-0.10199999995529652</v>
      </c>
    </row>
    <row r="71" spans="1:12" x14ac:dyDescent="0.35">
      <c r="A71" s="224" t="s">
        <v>4859</v>
      </c>
      <c r="B71" s="215"/>
      <c r="C71" s="215">
        <v>138825</v>
      </c>
      <c r="D71" s="215"/>
      <c r="E71" s="215"/>
      <c r="F71" s="215"/>
      <c r="G71" s="215">
        <v>138825</v>
      </c>
      <c r="H71" s="170">
        <f>_xlfn.XLOOKUP(A71,[1]Sheet1!$A:$A,[1]Sheet1!$E:$E)</f>
        <v>138825</v>
      </c>
      <c r="I71" s="196">
        <f t="shared" si="0"/>
        <v>0</v>
      </c>
    </row>
    <row r="72" spans="1:12" x14ac:dyDescent="0.35">
      <c r="A72" s="224" t="s">
        <v>647</v>
      </c>
      <c r="B72" s="215">
        <v>1667286.6400000001</v>
      </c>
      <c r="C72" s="215"/>
      <c r="D72" s="215"/>
      <c r="E72" s="215"/>
      <c r="F72" s="215"/>
      <c r="G72" s="215">
        <v>1667286.6400000001</v>
      </c>
      <c r="H72" s="170">
        <f>_xlfn.XLOOKUP(A72,[1]Sheet1!$A:$A,[1]Sheet1!$E:$E)</f>
        <v>1667286.17</v>
      </c>
      <c r="I72" s="196">
        <f t="shared" si="0"/>
        <v>0.47000000020489097</v>
      </c>
    </row>
    <row r="73" spans="1:12" x14ac:dyDescent="0.35">
      <c r="A73" s="224" t="s">
        <v>653</v>
      </c>
      <c r="B73" s="215">
        <v>4502628</v>
      </c>
      <c r="C73" s="215"/>
      <c r="D73" s="215"/>
      <c r="E73" s="215"/>
      <c r="F73" s="215"/>
      <c r="G73" s="215">
        <v>4502628</v>
      </c>
      <c r="H73" s="170">
        <f>_xlfn.XLOOKUP(A73,[1]Sheet1!$A:$A,[1]Sheet1!$E:$E)</f>
        <v>4519973.49</v>
      </c>
      <c r="I73" s="196">
        <f t="shared" si="0"/>
        <v>-17345.490000000224</v>
      </c>
      <c r="K73" s="215"/>
    </row>
    <row r="74" spans="1:12" x14ac:dyDescent="0.35">
      <c r="A74" s="224" t="s">
        <v>609</v>
      </c>
      <c r="B74" s="215">
        <v>3975339.5</v>
      </c>
      <c r="C74" s="215"/>
      <c r="D74" s="215"/>
      <c r="E74" s="215"/>
      <c r="F74" s="215"/>
      <c r="G74" s="215">
        <v>3975339.5</v>
      </c>
      <c r="H74" s="170">
        <f>_xlfn.XLOOKUP(A74,[1]Sheet1!$A:$A,[1]Sheet1!$E:$E)</f>
        <v>3975339.5</v>
      </c>
      <c r="I74" s="196">
        <f t="shared" si="0"/>
        <v>0</v>
      </c>
      <c r="K74" s="215"/>
    </row>
    <row r="75" spans="1:12" x14ac:dyDescent="0.35">
      <c r="A75" s="224" t="s">
        <v>526</v>
      </c>
      <c r="B75" s="215">
        <v>12340119.620000001</v>
      </c>
      <c r="C75" s="215"/>
      <c r="D75" s="215"/>
      <c r="E75" s="215"/>
      <c r="F75" s="215"/>
      <c r="G75" s="215">
        <v>12340119.620000001</v>
      </c>
      <c r="H75" s="170">
        <f>_xlfn.XLOOKUP(A75,[1]Sheet1!$A:$A,[1]Sheet1!$E:$E)</f>
        <v>13678480.84</v>
      </c>
      <c r="I75" s="196">
        <f t="shared" si="0"/>
        <v>-1338361.2199999988</v>
      </c>
    </row>
    <row r="76" spans="1:12" x14ac:dyDescent="0.35">
      <c r="A76" s="223" t="s">
        <v>1048</v>
      </c>
      <c r="B76" s="215">
        <v>261489346.12091187</v>
      </c>
      <c r="C76" s="215">
        <v>24572318.989999995</v>
      </c>
      <c r="D76" s="215">
        <v>221291885.3981925</v>
      </c>
      <c r="E76" s="215">
        <v>1115140.1200000001</v>
      </c>
      <c r="F76" s="215">
        <v>63995915.109999999</v>
      </c>
      <c r="G76" s="215">
        <v>572464605.73910415</v>
      </c>
      <c r="H76" s="170"/>
    </row>
    <row r="77" spans="1:12" x14ac:dyDescent="0.35">
      <c r="A77"/>
      <c r="B77"/>
      <c r="C77"/>
      <c r="D77"/>
      <c r="E77"/>
      <c r="F77"/>
      <c r="G77"/>
      <c r="H77" s="170"/>
    </row>
    <row r="78" spans="1:12" x14ac:dyDescent="0.35">
      <c r="A78"/>
      <c r="B78"/>
      <c r="C78"/>
      <c r="D78"/>
      <c r="E78"/>
      <c r="F78"/>
      <c r="G78"/>
      <c r="H78" s="170"/>
      <c r="J78" s="215"/>
    </row>
    <row r="79" spans="1:12" x14ac:dyDescent="0.35">
      <c r="A79"/>
      <c r="B79"/>
      <c r="C79"/>
      <c r="D79"/>
      <c r="E79"/>
      <c r="F79"/>
      <c r="G79"/>
      <c r="H79" s="170"/>
      <c r="J79" s="215"/>
    </row>
    <row r="80" spans="1:12" x14ac:dyDescent="0.35">
      <c r="A80"/>
      <c r="B80"/>
      <c r="C80"/>
      <c r="D80"/>
      <c r="E80"/>
      <c r="F80"/>
      <c r="G80"/>
      <c r="H80" s="170"/>
      <c r="J80" s="215"/>
    </row>
    <row r="81" spans="1:11" x14ac:dyDescent="0.35">
      <c r="A81"/>
      <c r="B81"/>
      <c r="C81"/>
      <c r="D81"/>
      <c r="E81"/>
      <c r="F81"/>
      <c r="G81"/>
      <c r="H81" s="170"/>
      <c r="J81" s="215"/>
    </row>
    <row r="82" spans="1:11" x14ac:dyDescent="0.35">
      <c r="A82"/>
      <c r="B82"/>
      <c r="C82"/>
      <c r="D82"/>
      <c r="E82"/>
      <c r="F82"/>
      <c r="G82"/>
      <c r="H82" s="170"/>
    </row>
    <row r="83" spans="1:11" x14ac:dyDescent="0.35">
      <c r="A83"/>
      <c r="B83"/>
      <c r="C83"/>
      <c r="D83"/>
      <c r="E83"/>
      <c r="F83"/>
      <c r="G83"/>
      <c r="H83" s="170"/>
    </row>
    <row r="84" spans="1:11" x14ac:dyDescent="0.35">
      <c r="A84"/>
      <c r="B84"/>
      <c r="C84"/>
      <c r="D84"/>
      <c r="E84"/>
      <c r="F84"/>
      <c r="G84"/>
      <c r="H84" s="170"/>
    </row>
    <row r="85" spans="1:11" x14ac:dyDescent="0.35">
      <c r="A85"/>
      <c r="B85"/>
      <c r="C85"/>
      <c r="D85"/>
      <c r="E85"/>
      <c r="F85"/>
      <c r="G85"/>
      <c r="H85" s="170"/>
      <c r="K85" s="215"/>
    </row>
    <row r="86" spans="1:11" x14ac:dyDescent="0.35">
      <c r="A86"/>
      <c r="B86"/>
      <c r="C86"/>
      <c r="D86"/>
      <c r="E86"/>
      <c r="F86"/>
      <c r="G86"/>
      <c r="H86" s="170"/>
    </row>
    <row r="87" spans="1:11" x14ac:dyDescent="0.35">
      <c r="A87"/>
      <c r="B87"/>
      <c r="C87"/>
      <c r="D87"/>
      <c r="E87"/>
      <c r="F87"/>
      <c r="G87"/>
      <c r="H87" s="170"/>
    </row>
    <row r="88" spans="1:11" x14ac:dyDescent="0.35">
      <c r="A88"/>
      <c r="B88"/>
      <c r="C88"/>
      <c r="D88"/>
      <c r="E88"/>
      <c r="F88"/>
      <c r="G88"/>
      <c r="H88" s="170"/>
    </row>
    <row r="89" spans="1:11" x14ac:dyDescent="0.35">
      <c r="A89"/>
      <c r="B89"/>
      <c r="C89"/>
      <c r="D89"/>
      <c r="E89"/>
      <c r="F89"/>
      <c r="G89"/>
      <c r="H89" s="170"/>
    </row>
    <row r="90" spans="1:11" x14ac:dyDescent="0.35">
      <c r="A90"/>
      <c r="B90"/>
      <c r="C90"/>
      <c r="D90"/>
      <c r="E90"/>
      <c r="F90"/>
      <c r="G90"/>
      <c r="H90" s="170"/>
    </row>
    <row r="91" spans="1:11" x14ac:dyDescent="0.35">
      <c r="A91"/>
      <c r="B91"/>
      <c r="C91"/>
      <c r="D91"/>
      <c r="E91"/>
      <c r="F91"/>
      <c r="G91"/>
      <c r="H91" s="170"/>
    </row>
    <row r="92" spans="1:11" x14ac:dyDescent="0.35">
      <c r="A92"/>
      <c r="B92"/>
      <c r="C92"/>
      <c r="D92"/>
      <c r="E92"/>
      <c r="F92"/>
      <c r="G92"/>
      <c r="H92" s="170"/>
    </row>
    <row r="93" spans="1:11" x14ac:dyDescent="0.35">
      <c r="A93"/>
      <c r="B93"/>
      <c r="C93"/>
      <c r="D93"/>
      <c r="E93"/>
      <c r="F93"/>
      <c r="G93"/>
      <c r="H93" s="170"/>
    </row>
    <row r="94" spans="1:11" x14ac:dyDescent="0.35">
      <c r="A94"/>
      <c r="B94"/>
      <c r="C94"/>
      <c r="D94"/>
      <c r="E94"/>
      <c r="F94"/>
      <c r="G94"/>
      <c r="H94" s="170"/>
    </row>
    <row r="95" spans="1:11" x14ac:dyDescent="0.35">
      <c r="A95"/>
      <c r="B95"/>
      <c r="C95"/>
      <c r="D95"/>
      <c r="E95"/>
      <c r="F95"/>
      <c r="G95"/>
      <c r="H95" s="170"/>
    </row>
    <row r="96" spans="1:11" x14ac:dyDescent="0.35">
      <c r="A96"/>
      <c r="B96"/>
      <c r="C96"/>
      <c r="D96"/>
      <c r="E96"/>
      <c r="F96"/>
      <c r="G96"/>
      <c r="H96" s="170"/>
    </row>
    <row r="97" spans="1:11" x14ac:dyDescent="0.35">
      <c r="A97"/>
      <c r="B97"/>
      <c r="C97"/>
      <c r="D97"/>
      <c r="E97"/>
      <c r="F97"/>
      <c r="G97"/>
      <c r="H97" s="170"/>
    </row>
    <row r="98" spans="1:11" x14ac:dyDescent="0.35">
      <c r="A98"/>
      <c r="B98"/>
      <c r="C98"/>
      <c r="D98"/>
      <c r="E98"/>
      <c r="F98"/>
      <c r="G98"/>
      <c r="H98" s="170"/>
    </row>
    <row r="99" spans="1:11" x14ac:dyDescent="0.35">
      <c r="A99"/>
      <c r="B99"/>
      <c r="C99"/>
      <c r="D99"/>
      <c r="E99"/>
      <c r="F99"/>
      <c r="G99"/>
      <c r="H99" s="170"/>
    </row>
    <row r="100" spans="1:11" x14ac:dyDescent="0.35">
      <c r="A100"/>
      <c r="B100"/>
      <c r="C100"/>
      <c r="D100"/>
      <c r="E100"/>
      <c r="F100"/>
      <c r="G100"/>
      <c r="H100" s="170"/>
    </row>
    <row r="101" spans="1:11" x14ac:dyDescent="0.35">
      <c r="A101"/>
      <c r="B101"/>
      <c r="C101"/>
      <c r="D101"/>
      <c r="E101"/>
      <c r="F101"/>
      <c r="G101"/>
      <c r="H101" s="170"/>
      <c r="K101" s="188"/>
    </row>
    <row r="102" spans="1:11" x14ac:dyDescent="0.35">
      <c r="A102"/>
      <c r="B102"/>
      <c r="C102"/>
      <c r="D102"/>
      <c r="E102"/>
      <c r="F102"/>
      <c r="G102"/>
      <c r="H102" s="170"/>
    </row>
    <row r="103" spans="1:11" x14ac:dyDescent="0.35">
      <c r="A103"/>
      <c r="B103"/>
      <c r="C103"/>
      <c r="D103"/>
      <c r="E103"/>
      <c r="F103"/>
      <c r="G103"/>
      <c r="H103" s="170"/>
    </row>
    <row r="104" spans="1:11" x14ac:dyDescent="0.35">
      <c r="A104"/>
      <c r="B104"/>
      <c r="C104"/>
      <c r="D104"/>
      <c r="E104"/>
      <c r="F104"/>
      <c r="G104"/>
      <c r="H104" s="170"/>
    </row>
    <row r="105" spans="1:11" x14ac:dyDescent="0.35">
      <c r="A105"/>
      <c r="B105"/>
      <c r="C105"/>
      <c r="D105"/>
      <c r="E105"/>
      <c r="F105"/>
      <c r="G105"/>
      <c r="H105" s="170"/>
    </row>
    <row r="106" spans="1:11" x14ac:dyDescent="0.35">
      <c r="A106"/>
      <c r="B106"/>
      <c r="C106"/>
      <c r="D106"/>
      <c r="E106"/>
      <c r="F106"/>
      <c r="G106"/>
      <c r="H106" s="170"/>
    </row>
    <row r="107" spans="1:11" x14ac:dyDescent="0.35">
      <c r="A107"/>
      <c r="B107"/>
      <c r="C107"/>
      <c r="D107"/>
      <c r="E107"/>
      <c r="F107"/>
      <c r="G107"/>
      <c r="H107" s="170"/>
    </row>
    <row r="108" spans="1:11" x14ac:dyDescent="0.35">
      <c r="A108"/>
      <c r="B108"/>
      <c r="C108"/>
      <c r="D108"/>
      <c r="E108"/>
      <c r="F108"/>
      <c r="G108"/>
      <c r="H108" s="170"/>
    </row>
    <row r="109" spans="1:11" x14ac:dyDescent="0.35">
      <c r="A109"/>
      <c r="B109"/>
      <c r="C109"/>
      <c r="D109"/>
      <c r="E109"/>
      <c r="F109"/>
      <c r="G109"/>
      <c r="H109" s="170"/>
    </row>
    <row r="110" spans="1:11" x14ac:dyDescent="0.35">
      <c r="A110"/>
      <c r="B110"/>
      <c r="C110"/>
      <c r="D110"/>
      <c r="E110"/>
      <c r="F110"/>
      <c r="G110"/>
      <c r="H110" s="170"/>
    </row>
    <row r="111" spans="1:11" x14ac:dyDescent="0.35">
      <c r="A111"/>
      <c r="B111"/>
      <c r="C111"/>
      <c r="D111"/>
      <c r="E111"/>
      <c r="F111"/>
      <c r="G111"/>
      <c r="H111" s="170"/>
    </row>
    <row r="112" spans="1:11" x14ac:dyDescent="0.35">
      <c r="A112"/>
      <c r="B112"/>
      <c r="C112"/>
      <c r="D112"/>
      <c r="E112"/>
      <c r="F112"/>
      <c r="G112"/>
      <c r="H112" s="170"/>
    </row>
    <row r="113" spans="1:8" x14ac:dyDescent="0.35">
      <c r="A113"/>
      <c r="B113"/>
      <c r="C113"/>
      <c r="D113"/>
      <c r="E113"/>
      <c r="F113"/>
      <c r="G113"/>
      <c r="H113" s="170"/>
    </row>
    <row r="114" spans="1:8" x14ac:dyDescent="0.35">
      <c r="B114" s="214"/>
      <c r="C114" s="214"/>
      <c r="D114" s="214"/>
      <c r="E114" s="214"/>
      <c r="F114" s="214"/>
      <c r="G114" s="214"/>
      <c r="H114" s="170"/>
    </row>
    <row r="115" spans="1:8" x14ac:dyDescent="0.35">
      <c r="B115" s="214"/>
      <c r="C115" s="214"/>
      <c r="D115" s="214"/>
      <c r="E115" s="214"/>
      <c r="F115" s="214"/>
      <c r="G115" s="214"/>
      <c r="H115" s="170"/>
    </row>
    <row r="116" spans="1:8" x14ac:dyDescent="0.35">
      <c r="B116" s="214"/>
      <c r="C116" s="214"/>
      <c r="D116" s="214"/>
      <c r="E116" s="214"/>
      <c r="F116" s="214"/>
      <c r="G116" s="214"/>
      <c r="H116" s="170"/>
    </row>
    <row r="117" spans="1:8" x14ac:dyDescent="0.35">
      <c r="B117" s="214"/>
      <c r="C117" s="214"/>
      <c r="D117" s="214"/>
      <c r="E117" s="214"/>
      <c r="F117" s="214"/>
      <c r="G117" s="214"/>
      <c r="H117" s="170"/>
    </row>
    <row r="118" spans="1:8" x14ac:dyDescent="0.35">
      <c r="B118" s="214"/>
      <c r="C118" s="214"/>
      <c r="D118" s="214"/>
      <c r="E118" s="214"/>
      <c r="F118" s="214"/>
      <c r="G118" s="214"/>
      <c r="H118" s="170"/>
    </row>
    <row r="119" spans="1:8" x14ac:dyDescent="0.35">
      <c r="B119" s="214"/>
      <c r="C119" s="214"/>
      <c r="D119" s="214"/>
      <c r="E119" s="214"/>
      <c r="F119" s="214"/>
      <c r="G119" s="214"/>
      <c r="H119" s="170"/>
    </row>
    <row r="120" spans="1:8" x14ac:dyDescent="0.35">
      <c r="B120" s="214"/>
      <c r="C120" s="214"/>
      <c r="D120" s="214"/>
      <c r="E120" s="214"/>
      <c r="F120" s="214"/>
      <c r="G120" s="214"/>
      <c r="H120" s="170"/>
    </row>
    <row r="121" spans="1:8" x14ac:dyDescent="0.35">
      <c r="B121" s="214"/>
      <c r="C121" s="214"/>
      <c r="D121" s="214"/>
      <c r="E121" s="214"/>
      <c r="F121" s="214"/>
      <c r="G121" s="214"/>
      <c r="H121" s="170"/>
    </row>
    <row r="122" spans="1:8" x14ac:dyDescent="0.35">
      <c r="B122" s="214"/>
      <c r="C122" s="214"/>
      <c r="D122" s="214"/>
      <c r="E122" s="214"/>
      <c r="F122" s="214"/>
      <c r="G122" s="214"/>
      <c r="H122" s="170"/>
    </row>
    <row r="123" spans="1:8" x14ac:dyDescent="0.35">
      <c r="B123" s="214"/>
      <c r="C123" s="214"/>
      <c r="D123" s="214"/>
      <c r="E123" s="214"/>
      <c r="F123" s="214"/>
      <c r="G123" s="214"/>
    </row>
  </sheetData>
  <autoFilter ref="A5:I105" xr:uid="{5C7E299C-061D-479A-AA8A-85B7E75384BE}"/>
  <pageMargins left="0.19685039370078741" right="0.19685039370078741" top="0.19685039370078741" bottom="0.93" header="0.31496062992125984" footer="0.78740157480314965"/>
  <pageSetup paperSize="9" scale="80" orientation="portrait" r:id="rId2"/>
  <headerFooter>
    <oddFooter>Page &amp;P of &amp;N</oddFooter>
  </headerFooter>
  <colBreaks count="1" manualBreakCount="1">
    <brk id="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1E32-961D-40CE-86C4-50E8B1C3FCB8}">
  <sheetPr codeName="Sheet10" filterMode="1">
    <tabColor theme="7"/>
  </sheetPr>
  <dimension ref="A1:N584"/>
  <sheetViews>
    <sheetView workbookViewId="0">
      <pane ySplit="11" topLeftCell="A382" activePane="bottomLeft" state="frozen"/>
      <selection activeCell="G529" sqref="G529"/>
      <selection pane="bottomLeft" activeCell="A269" sqref="A269:XFD384"/>
    </sheetView>
  </sheetViews>
  <sheetFormatPr defaultRowHeight="14.5" x14ac:dyDescent="0.35"/>
  <cols>
    <col min="3" max="3" width="38.7265625" bestFit="1" customWidth="1"/>
    <col min="4" max="4" width="16.7265625" bestFit="1" customWidth="1"/>
    <col min="5" max="5" width="16.6328125" bestFit="1" customWidth="1"/>
    <col min="6" max="6" width="17.453125" style="59" bestFit="1" customWidth="1"/>
    <col min="7" max="7" width="16.08984375" style="97" bestFit="1" customWidth="1"/>
    <col min="8" max="8" width="14.6328125" bestFit="1" customWidth="1"/>
    <col min="9" max="9" width="12.54296875" bestFit="1" customWidth="1"/>
    <col min="10" max="10" width="16.1796875" bestFit="1" customWidth="1"/>
    <col min="12" max="14" width="10" bestFit="1" customWidth="1"/>
  </cols>
  <sheetData>
    <row r="1" spans="1:14" x14ac:dyDescent="0.35">
      <c r="C1" s="149" t="s">
        <v>1054</v>
      </c>
      <c r="D1" t="s">
        <v>3378</v>
      </c>
    </row>
    <row r="2" spans="1:14" x14ac:dyDescent="0.35">
      <c r="C2" s="149" t="s">
        <v>3376</v>
      </c>
    </row>
    <row r="3" spans="1:14" x14ac:dyDescent="0.35">
      <c r="C3" s="149" t="s">
        <v>1052</v>
      </c>
    </row>
    <row r="4" spans="1:14" x14ac:dyDescent="0.35">
      <c r="C4" s="149" t="s">
        <v>1086</v>
      </c>
    </row>
    <row r="5" spans="1:14" x14ac:dyDescent="0.35">
      <c r="C5" s="149" t="s">
        <v>588</v>
      </c>
    </row>
    <row r="6" spans="1:14" x14ac:dyDescent="0.35">
      <c r="C6" s="149" t="s">
        <v>543</v>
      </c>
      <c r="D6" t="s">
        <v>3377</v>
      </c>
    </row>
    <row r="7" spans="1:14" x14ac:dyDescent="0.35">
      <c r="G7" s="97">
        <v>707450400.59000003</v>
      </c>
    </row>
    <row r="8" spans="1:14" x14ac:dyDescent="0.35">
      <c r="H8" s="97"/>
      <c r="I8" s="73"/>
    </row>
    <row r="9" spans="1:14" x14ac:dyDescent="0.35">
      <c r="E9" s="66"/>
      <c r="F9" s="98"/>
      <c r="G9" s="150">
        <f>G10/10^5</f>
        <v>83.594467100000003</v>
      </c>
      <c r="H9" s="35">
        <v>45747</v>
      </c>
    </row>
    <row r="10" spans="1:14" x14ac:dyDescent="0.35">
      <c r="E10" s="66"/>
      <c r="F10" s="98"/>
      <c r="G10" s="97">
        <f>SUBTOTAL(9,G12:G584)</f>
        <v>8359446.71</v>
      </c>
      <c r="H10" s="35"/>
      <c r="L10" s="66"/>
    </row>
    <row r="11" spans="1:14" x14ac:dyDescent="0.35">
      <c r="A11" s="2" t="s">
        <v>478</v>
      </c>
      <c r="B11" s="2" t="s">
        <v>787</v>
      </c>
      <c r="C11" s="80" t="s">
        <v>472</v>
      </c>
      <c r="D11" s="80" t="s">
        <v>473</v>
      </c>
      <c r="E11" s="81" t="s">
        <v>474</v>
      </c>
      <c r="F11" s="82" t="s">
        <v>475</v>
      </c>
      <c r="G11" s="86" t="s">
        <v>476</v>
      </c>
      <c r="H11" s="83" t="s">
        <v>483</v>
      </c>
      <c r="I11" s="83" t="s">
        <v>484</v>
      </c>
      <c r="J11" s="83" t="s">
        <v>1051</v>
      </c>
      <c r="K11" s="89" t="s">
        <v>1730</v>
      </c>
    </row>
    <row r="12" spans="1:14" hidden="1" x14ac:dyDescent="0.35">
      <c r="A12" s="2" t="s">
        <v>1085</v>
      </c>
      <c r="B12" s="2" t="s">
        <v>790</v>
      </c>
      <c r="C12" s="37" t="s">
        <v>518</v>
      </c>
      <c r="D12" s="37" t="s">
        <v>507</v>
      </c>
      <c r="E12" s="37" t="s">
        <v>519</v>
      </c>
      <c r="F12" s="36" t="s">
        <v>1406</v>
      </c>
      <c r="G12" s="67">
        <v>3151699.2</v>
      </c>
      <c r="H12" s="37">
        <f t="shared" ref="H12:H75" si="0">$H$9-F12+1</f>
        <v>880</v>
      </c>
      <c r="I12" s="37" t="str">
        <f>IF(H12&lt;121,"0-120 DAYS",IF(H12&lt;181,"121-180 DAYS","More than 180 Days"))</f>
        <v>More than 180 Days</v>
      </c>
      <c r="J12" s="37" t="str">
        <f>IF(H12&lt;180,"0-180 DAYS","More than 180 Days")</f>
        <v>More than 180 Days</v>
      </c>
      <c r="L12" s="66" t="s">
        <v>1406</v>
      </c>
      <c r="M12" s="66">
        <v>3151699.2</v>
      </c>
      <c r="N12" s="66"/>
    </row>
    <row r="13" spans="1:14" hidden="1" x14ac:dyDescent="0.35">
      <c r="A13" s="2" t="s">
        <v>1085</v>
      </c>
      <c r="B13" s="2" t="s">
        <v>790</v>
      </c>
      <c r="C13" s="37" t="s">
        <v>520</v>
      </c>
      <c r="D13" s="37" t="s">
        <v>507</v>
      </c>
      <c r="E13" s="37" t="s">
        <v>521</v>
      </c>
      <c r="F13" s="36" t="s">
        <v>1406</v>
      </c>
      <c r="G13" s="67">
        <v>3151699.2</v>
      </c>
      <c r="H13" s="37">
        <f t="shared" si="0"/>
        <v>880</v>
      </c>
      <c r="I13" s="37" t="str">
        <f>IF(H13&lt;121,"0-120 DAYS",IF(H13&lt;181,"121-180 DAYS","More than 180 Days"))</f>
        <v>More than 180 Days</v>
      </c>
      <c r="J13" s="37" t="str">
        <f>IF(H13&lt;180,"0-180 DAYS","More than 180 Days")</f>
        <v>More than 180 Days</v>
      </c>
      <c r="L13" s="66" t="s">
        <v>1406</v>
      </c>
      <c r="M13" s="66">
        <v>3151699.2</v>
      </c>
      <c r="N13" s="66"/>
    </row>
    <row r="14" spans="1:14" hidden="1" x14ac:dyDescent="0.35">
      <c r="A14" s="2" t="s">
        <v>1209</v>
      </c>
      <c r="B14" s="2" t="s">
        <v>789</v>
      </c>
      <c r="C14" s="44" t="s">
        <v>506</v>
      </c>
      <c r="D14" s="2" t="s">
        <v>507</v>
      </c>
      <c r="E14" s="18" t="s">
        <v>3155</v>
      </c>
      <c r="F14" s="19">
        <v>45666</v>
      </c>
      <c r="G14" s="108">
        <v>2963141.8182901586</v>
      </c>
      <c r="H14" s="37">
        <f t="shared" si="0"/>
        <v>82</v>
      </c>
      <c r="I14" s="37" t="str">
        <f t="shared" ref="I14:I19" si="1">IF(H14&lt;121,"0-120 DAYS",IF(H14&lt;181,"121-180 DAYS","More than 180 Days"))</f>
        <v>0-120 DAYS</v>
      </c>
      <c r="J14" s="37" t="str">
        <f t="shared" ref="J14:J77" si="2">IF(H14&lt;180,"0-180 DAYS","More than 180 Days")</f>
        <v>0-180 DAYS</v>
      </c>
      <c r="L14" s="66" t="s">
        <v>3379</v>
      </c>
      <c r="M14" s="66">
        <v>2963141.82</v>
      </c>
      <c r="N14" s="66"/>
    </row>
    <row r="15" spans="1:14" hidden="1" x14ac:dyDescent="0.35">
      <c r="A15" s="2" t="s">
        <v>1209</v>
      </c>
      <c r="B15" s="2" t="s">
        <v>789</v>
      </c>
      <c r="C15" s="44" t="s">
        <v>506</v>
      </c>
      <c r="D15" s="2" t="s">
        <v>507</v>
      </c>
      <c r="E15" s="18" t="s">
        <v>3155</v>
      </c>
      <c r="F15" s="19">
        <v>45666</v>
      </c>
      <c r="G15" s="108">
        <v>56667.979709843428</v>
      </c>
      <c r="H15" s="37">
        <f t="shared" si="0"/>
        <v>82</v>
      </c>
      <c r="I15" s="37" t="str">
        <f t="shared" si="1"/>
        <v>0-120 DAYS</v>
      </c>
      <c r="J15" s="37" t="str">
        <f t="shared" si="2"/>
        <v>0-180 DAYS</v>
      </c>
      <c r="L15" s="66" t="s">
        <v>3379</v>
      </c>
      <c r="M15" s="66">
        <v>56667.98</v>
      </c>
      <c r="N15" s="66"/>
    </row>
    <row r="16" spans="1:14" hidden="1" x14ac:dyDescent="0.35">
      <c r="A16" s="2" t="s">
        <v>1209</v>
      </c>
      <c r="B16" s="2" t="s">
        <v>789</v>
      </c>
      <c r="C16" s="44" t="s">
        <v>506</v>
      </c>
      <c r="D16" s="2" t="s">
        <v>507</v>
      </c>
      <c r="E16" s="18" t="s">
        <v>3156</v>
      </c>
      <c r="F16" s="19">
        <v>45666</v>
      </c>
      <c r="G16" s="108">
        <v>153984.82800000001</v>
      </c>
      <c r="H16" s="37">
        <f t="shared" si="0"/>
        <v>82</v>
      </c>
      <c r="I16" s="37" t="str">
        <f t="shared" si="1"/>
        <v>0-120 DAYS</v>
      </c>
      <c r="J16" s="37" t="str">
        <f t="shared" si="2"/>
        <v>0-180 DAYS</v>
      </c>
      <c r="L16" s="66" t="s">
        <v>3379</v>
      </c>
      <c r="M16" s="66">
        <v>153984.82999999999</v>
      </c>
      <c r="N16" s="66"/>
    </row>
    <row r="17" spans="1:14" hidden="1" x14ac:dyDescent="0.35">
      <c r="A17" s="2" t="s">
        <v>1209</v>
      </c>
      <c r="B17" s="2" t="s">
        <v>789</v>
      </c>
      <c r="C17" s="44" t="s">
        <v>506</v>
      </c>
      <c r="D17" s="2" t="s">
        <v>507</v>
      </c>
      <c r="E17" s="18" t="s">
        <v>3161</v>
      </c>
      <c r="F17" s="19">
        <v>45668</v>
      </c>
      <c r="G17" s="108">
        <v>3204632.0040000002</v>
      </c>
      <c r="H17" s="37">
        <f t="shared" si="0"/>
        <v>80</v>
      </c>
      <c r="I17" s="37" t="str">
        <f t="shared" si="1"/>
        <v>0-120 DAYS</v>
      </c>
      <c r="J17" s="37" t="str">
        <f t="shared" si="2"/>
        <v>0-180 DAYS</v>
      </c>
      <c r="L17" s="66" t="s">
        <v>3380</v>
      </c>
      <c r="M17" s="66">
        <v>3204632</v>
      </c>
      <c r="N17" s="66"/>
    </row>
    <row r="18" spans="1:14" hidden="1" x14ac:dyDescent="0.35">
      <c r="A18" s="2" t="s">
        <v>1209</v>
      </c>
      <c r="B18" s="2" t="s">
        <v>789</v>
      </c>
      <c r="C18" s="44" t="s">
        <v>506</v>
      </c>
      <c r="D18" s="2" t="s">
        <v>507</v>
      </c>
      <c r="E18" s="18" t="s">
        <v>3184</v>
      </c>
      <c r="F18" s="19">
        <v>45681</v>
      </c>
      <c r="G18" s="108">
        <v>3922486.9040000006</v>
      </c>
      <c r="H18" s="37">
        <f t="shared" si="0"/>
        <v>67</v>
      </c>
      <c r="I18" s="37" t="str">
        <f t="shared" si="1"/>
        <v>0-120 DAYS</v>
      </c>
      <c r="J18" s="37" t="str">
        <f t="shared" si="2"/>
        <v>0-180 DAYS</v>
      </c>
      <c r="L18" s="66" t="s">
        <v>3253</v>
      </c>
      <c r="M18" s="66">
        <v>3922486.9</v>
      </c>
      <c r="N18" s="66"/>
    </row>
    <row r="19" spans="1:14" hidden="1" x14ac:dyDescent="0.35">
      <c r="A19" s="2" t="s">
        <v>1209</v>
      </c>
      <c r="B19" s="2" t="s">
        <v>789</v>
      </c>
      <c r="C19" s="44" t="s">
        <v>506</v>
      </c>
      <c r="D19" s="2" t="s">
        <v>507</v>
      </c>
      <c r="E19" s="18" t="s">
        <v>3185</v>
      </c>
      <c r="F19" s="19">
        <v>45681</v>
      </c>
      <c r="G19" s="108">
        <v>2941794.2960000001</v>
      </c>
      <c r="H19" s="37">
        <f t="shared" si="0"/>
        <v>67</v>
      </c>
      <c r="I19" s="37" t="str">
        <f t="shared" si="1"/>
        <v>0-120 DAYS</v>
      </c>
      <c r="J19" s="37" t="str">
        <f t="shared" si="2"/>
        <v>0-180 DAYS</v>
      </c>
      <c r="L19" s="66" t="s">
        <v>3253</v>
      </c>
      <c r="M19" s="66">
        <v>2941794.3</v>
      </c>
      <c r="N19" s="66"/>
    </row>
    <row r="20" spans="1:14" hidden="1" x14ac:dyDescent="0.35">
      <c r="A20" s="2" t="s">
        <v>1085</v>
      </c>
      <c r="B20" s="2" t="s">
        <v>790</v>
      </c>
      <c r="C20" s="44" t="s">
        <v>1647</v>
      </c>
      <c r="D20" s="2" t="s">
        <v>507</v>
      </c>
      <c r="E20" s="44" t="s">
        <v>1692</v>
      </c>
      <c r="F20" s="36" t="s">
        <v>1735</v>
      </c>
      <c r="G20" s="67">
        <v>3034724</v>
      </c>
      <c r="H20" s="37">
        <f t="shared" si="0"/>
        <v>270</v>
      </c>
      <c r="I20" s="37" t="str">
        <f>IF(H20&lt;121,"0-120 DAYS",IF(H20&lt;181,"121-180 DAYS","More than 180 Days"))</f>
        <v>More than 180 Days</v>
      </c>
      <c r="J20" s="37" t="str">
        <f>IF(H20&lt;180,"0-180 DAYS","More than 180 Days")</f>
        <v>More than 180 Days</v>
      </c>
      <c r="L20" s="66" t="s">
        <v>1735</v>
      </c>
      <c r="M20" s="66">
        <v>3034724</v>
      </c>
      <c r="N20" s="66"/>
    </row>
    <row r="21" spans="1:14" hidden="1" x14ac:dyDescent="0.35">
      <c r="A21" s="2" t="s">
        <v>1727</v>
      </c>
      <c r="B21" s="2" t="s">
        <v>788</v>
      </c>
      <c r="C21" s="44" t="s">
        <v>1729</v>
      </c>
      <c r="D21" s="2" t="s">
        <v>507</v>
      </c>
      <c r="E21" s="140" t="s">
        <v>3504</v>
      </c>
      <c r="F21" s="35">
        <v>45717</v>
      </c>
      <c r="G21" s="114">
        <v>62340326.506602511</v>
      </c>
      <c r="H21" s="37">
        <f t="shared" si="0"/>
        <v>31</v>
      </c>
      <c r="I21" s="37" t="str">
        <f t="shared" ref="I21:I43" si="3">IF(H21&lt;91,"1-90 DAYS",IF(H21&lt;121,"91-120DAYS",IF(H21&lt;181,"121-180 DAYS","More than 180 Days")))</f>
        <v>1-90 DAYS</v>
      </c>
      <c r="J21" s="37" t="str">
        <f t="shared" si="2"/>
        <v>0-180 DAYS</v>
      </c>
      <c r="K21" t="s">
        <v>1730</v>
      </c>
      <c r="L21" s="66" t="s">
        <v>3509</v>
      </c>
      <c r="M21" s="66">
        <v>51986924.399999999</v>
      </c>
      <c r="N21" s="66"/>
    </row>
    <row r="22" spans="1:14" hidden="1" x14ac:dyDescent="0.35">
      <c r="A22" s="2" t="s">
        <v>1727</v>
      </c>
      <c r="B22" s="2" t="s">
        <v>788</v>
      </c>
      <c r="C22" s="44" t="s">
        <v>1728</v>
      </c>
      <c r="D22" s="2" t="s">
        <v>507</v>
      </c>
      <c r="E22" s="140" t="s">
        <v>3504</v>
      </c>
      <c r="F22" s="35">
        <v>45717</v>
      </c>
      <c r="G22" s="114">
        <v>16694811.76</v>
      </c>
      <c r="H22" s="37">
        <f t="shared" si="0"/>
        <v>31</v>
      </c>
      <c r="I22" s="37" t="str">
        <f t="shared" si="3"/>
        <v>1-90 DAYS</v>
      </c>
      <c r="J22" s="37" t="str">
        <f t="shared" si="2"/>
        <v>0-180 DAYS</v>
      </c>
      <c r="K22" t="s">
        <v>1730</v>
      </c>
      <c r="L22" s="66" t="s">
        <v>3509</v>
      </c>
      <c r="M22" s="66">
        <v>4072792.59</v>
      </c>
      <c r="N22" s="66"/>
    </row>
    <row r="23" spans="1:14" hidden="1" x14ac:dyDescent="0.35">
      <c r="A23" s="2" t="s">
        <v>477</v>
      </c>
      <c r="B23" s="2" t="s">
        <v>790</v>
      </c>
      <c r="C23" s="2" t="s">
        <v>0</v>
      </c>
      <c r="D23" s="2" t="s">
        <v>1</v>
      </c>
      <c r="E23" s="3" t="s">
        <v>1058</v>
      </c>
      <c r="F23" s="36" t="s">
        <v>1425</v>
      </c>
      <c r="G23" s="67">
        <v>82517.399999999994</v>
      </c>
      <c r="H23" s="37">
        <f t="shared" si="0"/>
        <v>1152</v>
      </c>
      <c r="I23" s="37" t="str">
        <f t="shared" si="3"/>
        <v>More than 180 Days</v>
      </c>
      <c r="J23" s="37" t="str">
        <f t="shared" si="2"/>
        <v>More than 180 Days</v>
      </c>
      <c r="L23" s="66" t="s">
        <v>1425</v>
      </c>
      <c r="M23" s="66">
        <v>82517.399999999994</v>
      </c>
      <c r="N23" s="66"/>
    </row>
    <row r="24" spans="1:14" hidden="1" x14ac:dyDescent="0.35">
      <c r="A24" s="2" t="s">
        <v>477</v>
      </c>
      <c r="B24" s="2" t="s">
        <v>790</v>
      </c>
      <c r="C24" s="44" t="s">
        <v>0</v>
      </c>
      <c r="D24" s="44" t="s">
        <v>1</v>
      </c>
      <c r="E24" s="44" t="s">
        <v>1059</v>
      </c>
      <c r="F24" s="36" t="s">
        <v>1426</v>
      </c>
      <c r="G24" s="67">
        <v>49754.7</v>
      </c>
      <c r="H24" s="37">
        <f t="shared" si="0"/>
        <v>728</v>
      </c>
      <c r="I24" s="37" t="str">
        <f t="shared" si="3"/>
        <v>More than 180 Days</v>
      </c>
      <c r="J24" s="37" t="str">
        <f t="shared" si="2"/>
        <v>More than 180 Days</v>
      </c>
      <c r="L24" s="66" t="s">
        <v>1426</v>
      </c>
      <c r="M24" s="66">
        <v>49754.7</v>
      </c>
      <c r="N24" s="66"/>
    </row>
    <row r="25" spans="1:14" hidden="1" x14ac:dyDescent="0.35">
      <c r="A25" s="2" t="s">
        <v>477</v>
      </c>
      <c r="B25" s="2" t="s">
        <v>790</v>
      </c>
      <c r="C25" s="44" t="s">
        <v>3</v>
      </c>
      <c r="D25" s="44" t="s">
        <v>4</v>
      </c>
      <c r="E25" s="44" t="s">
        <v>1089</v>
      </c>
      <c r="F25" s="36" t="s">
        <v>1427</v>
      </c>
      <c r="G25" s="67">
        <v>8928.24</v>
      </c>
      <c r="H25" s="37">
        <f t="shared" si="0"/>
        <v>783</v>
      </c>
      <c r="I25" s="37" t="str">
        <f t="shared" si="3"/>
        <v>More than 180 Days</v>
      </c>
      <c r="J25" s="37" t="str">
        <f t="shared" si="2"/>
        <v>More than 180 Days</v>
      </c>
      <c r="L25" s="66" t="s">
        <v>1427</v>
      </c>
      <c r="M25" s="66">
        <v>8928.24</v>
      </c>
      <c r="N25" s="66"/>
    </row>
    <row r="26" spans="1:14" hidden="1" x14ac:dyDescent="0.35">
      <c r="A26" s="2" t="s">
        <v>477</v>
      </c>
      <c r="B26" s="2" t="s">
        <v>790</v>
      </c>
      <c r="C26" s="44" t="s">
        <v>3</v>
      </c>
      <c r="D26" s="44" t="s">
        <v>4</v>
      </c>
      <c r="E26" s="44" t="s">
        <v>1092</v>
      </c>
      <c r="F26" s="36" t="s">
        <v>1428</v>
      </c>
      <c r="G26" s="67">
        <v>1730.83</v>
      </c>
      <c r="H26" s="37" t="e">
        <f t="shared" si="0"/>
        <v>#VALUE!</v>
      </c>
      <c r="I26" s="37" t="e">
        <f t="shared" si="3"/>
        <v>#VALUE!</v>
      </c>
      <c r="J26" s="37" t="e">
        <f t="shared" si="2"/>
        <v>#VALUE!</v>
      </c>
      <c r="L26" s="66" t="s">
        <v>1428</v>
      </c>
      <c r="M26" s="66">
        <v>1730.83</v>
      </c>
      <c r="N26" s="66"/>
    </row>
    <row r="27" spans="1:14" hidden="1" x14ac:dyDescent="0.35">
      <c r="A27" s="2" t="s">
        <v>477</v>
      </c>
      <c r="B27" s="2" t="s">
        <v>790</v>
      </c>
      <c r="C27" s="2" t="s">
        <v>20</v>
      </c>
      <c r="D27" s="2" t="s">
        <v>21</v>
      </c>
      <c r="E27" s="3" t="s">
        <v>22</v>
      </c>
      <c r="F27" s="36" t="s">
        <v>1432</v>
      </c>
      <c r="G27" s="67">
        <v>978730</v>
      </c>
      <c r="H27" s="37">
        <f t="shared" si="0"/>
        <v>973</v>
      </c>
      <c r="I27" s="37" t="str">
        <f t="shared" si="3"/>
        <v>More than 180 Days</v>
      </c>
      <c r="J27" s="37" t="str">
        <f t="shared" si="2"/>
        <v>More than 180 Days</v>
      </c>
      <c r="L27" s="66" t="s">
        <v>1432</v>
      </c>
      <c r="M27" s="66">
        <v>978730</v>
      </c>
      <c r="N27" s="66"/>
    </row>
    <row r="28" spans="1:14" hidden="1" x14ac:dyDescent="0.35">
      <c r="A28" s="2" t="s">
        <v>477</v>
      </c>
      <c r="B28" s="2" t="s">
        <v>790</v>
      </c>
      <c r="C28" s="2" t="s">
        <v>20</v>
      </c>
      <c r="D28" s="2" t="s">
        <v>21</v>
      </c>
      <c r="E28" s="3" t="s">
        <v>23</v>
      </c>
      <c r="F28" s="36" t="s">
        <v>1432</v>
      </c>
      <c r="G28" s="67">
        <v>1039965</v>
      </c>
      <c r="H28" s="37">
        <f t="shared" si="0"/>
        <v>973</v>
      </c>
      <c r="I28" s="37" t="str">
        <f t="shared" si="3"/>
        <v>More than 180 Days</v>
      </c>
      <c r="J28" s="37" t="str">
        <f t="shared" si="2"/>
        <v>More than 180 Days</v>
      </c>
      <c r="L28" s="66" t="s">
        <v>1432</v>
      </c>
      <c r="M28" s="66">
        <v>1039965</v>
      </c>
      <c r="N28" s="66"/>
    </row>
    <row r="29" spans="1:14" hidden="1" x14ac:dyDescent="0.35">
      <c r="A29" s="2" t="s">
        <v>477</v>
      </c>
      <c r="B29" s="2" t="s">
        <v>790</v>
      </c>
      <c r="C29" s="2" t="s">
        <v>20</v>
      </c>
      <c r="D29" s="2" t="s">
        <v>21</v>
      </c>
      <c r="E29" s="3" t="s">
        <v>24</v>
      </c>
      <c r="F29" s="36" t="s">
        <v>1433</v>
      </c>
      <c r="G29" s="67">
        <v>1160694.02</v>
      </c>
      <c r="H29" s="37" t="e">
        <f t="shared" si="0"/>
        <v>#VALUE!</v>
      </c>
      <c r="I29" s="37" t="e">
        <f t="shared" si="3"/>
        <v>#VALUE!</v>
      </c>
      <c r="J29" s="37" t="e">
        <f t="shared" si="2"/>
        <v>#VALUE!</v>
      </c>
      <c r="L29" s="66" t="s">
        <v>1433</v>
      </c>
      <c r="M29" s="66">
        <v>1160694.02</v>
      </c>
      <c r="N29" s="66"/>
    </row>
    <row r="30" spans="1:14" hidden="1" x14ac:dyDescent="0.35">
      <c r="A30" s="2" t="s">
        <v>477</v>
      </c>
      <c r="B30" s="2" t="s">
        <v>790</v>
      </c>
      <c r="C30" s="2" t="s">
        <v>20</v>
      </c>
      <c r="D30" s="2" t="s">
        <v>21</v>
      </c>
      <c r="E30" s="3" t="s">
        <v>25</v>
      </c>
      <c r="F30" s="36" t="s">
        <v>1434</v>
      </c>
      <c r="G30" s="67">
        <v>1075361.1399999999</v>
      </c>
      <c r="H30" s="37" t="e">
        <f t="shared" si="0"/>
        <v>#VALUE!</v>
      </c>
      <c r="I30" s="37" t="e">
        <f t="shared" si="3"/>
        <v>#VALUE!</v>
      </c>
      <c r="J30" s="37" t="e">
        <f t="shared" si="2"/>
        <v>#VALUE!</v>
      </c>
      <c r="L30" s="66" t="s">
        <v>1434</v>
      </c>
      <c r="M30" s="66">
        <v>1075361.1399999999</v>
      </c>
      <c r="N30" s="66"/>
    </row>
    <row r="31" spans="1:14" hidden="1" x14ac:dyDescent="0.35">
      <c r="A31" s="2" t="s">
        <v>477</v>
      </c>
      <c r="B31" s="2" t="s">
        <v>790</v>
      </c>
      <c r="C31" s="44" t="s">
        <v>35</v>
      </c>
      <c r="D31" s="44" t="s">
        <v>36</v>
      </c>
      <c r="E31" s="44" t="s">
        <v>1192</v>
      </c>
      <c r="F31" s="36" t="s">
        <v>1436</v>
      </c>
      <c r="G31" s="67">
        <v>580857.09</v>
      </c>
      <c r="H31" s="37">
        <f t="shared" si="0"/>
        <v>506</v>
      </c>
      <c r="I31" s="37" t="str">
        <f t="shared" si="3"/>
        <v>More than 180 Days</v>
      </c>
      <c r="J31" s="37" t="str">
        <f t="shared" si="2"/>
        <v>More than 180 Days</v>
      </c>
      <c r="L31" s="66" t="s">
        <v>1436</v>
      </c>
      <c r="M31" s="66">
        <v>580857.09</v>
      </c>
      <c r="N31" s="66"/>
    </row>
    <row r="32" spans="1:14" hidden="1" x14ac:dyDescent="0.35">
      <c r="A32" s="2" t="s">
        <v>477</v>
      </c>
      <c r="B32" s="2" t="s">
        <v>790</v>
      </c>
      <c r="C32" s="2" t="s">
        <v>38</v>
      </c>
      <c r="D32" s="2" t="s">
        <v>39</v>
      </c>
      <c r="E32" s="2" t="s">
        <v>40</v>
      </c>
      <c r="F32" s="36" t="s">
        <v>1437</v>
      </c>
      <c r="G32" s="67">
        <v>1507988</v>
      </c>
      <c r="H32" s="37" t="e">
        <f t="shared" si="0"/>
        <v>#VALUE!</v>
      </c>
      <c r="I32" s="37" t="e">
        <f t="shared" si="3"/>
        <v>#VALUE!</v>
      </c>
      <c r="J32" s="37" t="e">
        <f t="shared" si="2"/>
        <v>#VALUE!</v>
      </c>
      <c r="L32" s="66" t="s">
        <v>1437</v>
      </c>
      <c r="M32" s="66">
        <v>1507988</v>
      </c>
      <c r="N32" s="66"/>
    </row>
    <row r="33" spans="1:14" hidden="1" x14ac:dyDescent="0.35">
      <c r="A33" s="2" t="s">
        <v>477</v>
      </c>
      <c r="B33" s="2" t="s">
        <v>790</v>
      </c>
      <c r="C33" s="2" t="s">
        <v>38</v>
      </c>
      <c r="D33" s="2" t="s">
        <v>39</v>
      </c>
      <c r="E33" s="2" t="s">
        <v>41</v>
      </c>
      <c r="F33" s="36" t="s">
        <v>1438</v>
      </c>
      <c r="G33" s="67">
        <v>2089970</v>
      </c>
      <c r="H33" s="37">
        <f t="shared" si="0"/>
        <v>2738</v>
      </c>
      <c r="I33" s="37" t="str">
        <f t="shared" si="3"/>
        <v>More than 180 Days</v>
      </c>
      <c r="J33" s="37" t="str">
        <f t="shared" si="2"/>
        <v>More than 180 Days</v>
      </c>
      <c r="L33" s="66" t="s">
        <v>1438</v>
      </c>
      <c r="M33" s="66">
        <v>2089970</v>
      </c>
      <c r="N33" s="66"/>
    </row>
    <row r="34" spans="1:14" hidden="1" x14ac:dyDescent="0.35">
      <c r="A34" s="2" t="s">
        <v>477</v>
      </c>
      <c r="B34" s="2" t="s">
        <v>790</v>
      </c>
      <c r="C34" s="44" t="s">
        <v>263</v>
      </c>
      <c r="D34" s="44" t="s">
        <v>264</v>
      </c>
      <c r="E34" s="44" t="s">
        <v>1399</v>
      </c>
      <c r="F34" s="36" t="s">
        <v>1473</v>
      </c>
      <c r="G34" s="67">
        <v>681843.97</v>
      </c>
      <c r="H34" s="37">
        <f t="shared" si="0"/>
        <v>179</v>
      </c>
      <c r="I34" s="37" t="str">
        <f t="shared" si="3"/>
        <v>121-180 DAYS</v>
      </c>
      <c r="J34" s="37" t="str">
        <f t="shared" si="2"/>
        <v>0-180 DAYS</v>
      </c>
      <c r="L34" s="66" t="s">
        <v>1473</v>
      </c>
      <c r="M34" s="66">
        <v>681843.97</v>
      </c>
      <c r="N34" s="66"/>
    </row>
    <row r="35" spans="1:14" hidden="1" x14ac:dyDescent="0.35">
      <c r="A35" s="2" t="s">
        <v>477</v>
      </c>
      <c r="B35" s="2" t="s">
        <v>790</v>
      </c>
      <c r="C35" s="44" t="s">
        <v>0</v>
      </c>
      <c r="D35" s="44" t="s">
        <v>1</v>
      </c>
      <c r="E35" s="44" t="s">
        <v>1610</v>
      </c>
      <c r="F35" s="36" t="s">
        <v>1739</v>
      </c>
      <c r="G35" s="67">
        <v>52321.2</v>
      </c>
      <c r="H35" s="37">
        <f t="shared" si="0"/>
        <v>147</v>
      </c>
      <c r="I35" s="37" t="str">
        <f>IF(H35&lt;91,"1-90 DAYS",IF(H35&lt;121,"91-120DAYS",IF(H35&lt;181,"121-180 DAYS","More than 180 Days")))</f>
        <v>121-180 DAYS</v>
      </c>
      <c r="J35" s="37" t="str">
        <f t="shared" si="2"/>
        <v>0-180 DAYS</v>
      </c>
      <c r="L35" s="66" t="s">
        <v>1739</v>
      </c>
      <c r="M35" s="66">
        <v>52321.2</v>
      </c>
      <c r="N35" s="66"/>
    </row>
    <row r="36" spans="1:14" hidden="1" x14ac:dyDescent="0.35">
      <c r="A36" s="2" t="s">
        <v>477</v>
      </c>
      <c r="B36" s="2" t="s">
        <v>790</v>
      </c>
      <c r="C36" s="44" t="s">
        <v>263</v>
      </c>
      <c r="D36" s="44" t="s">
        <v>264</v>
      </c>
      <c r="E36" s="44" t="s">
        <v>1619</v>
      </c>
      <c r="F36" s="36" t="s">
        <v>1747</v>
      </c>
      <c r="G36" s="67">
        <v>670565.34</v>
      </c>
      <c r="H36" s="37" t="e">
        <f t="shared" si="0"/>
        <v>#VALUE!</v>
      </c>
      <c r="I36" s="37" t="e">
        <f t="shared" si="3"/>
        <v>#VALUE!</v>
      </c>
      <c r="J36" s="37" t="e">
        <f t="shared" si="2"/>
        <v>#VALUE!</v>
      </c>
      <c r="L36" s="66" t="s">
        <v>1747</v>
      </c>
      <c r="M36" s="66">
        <v>670565.34</v>
      </c>
      <c r="N36" s="66"/>
    </row>
    <row r="37" spans="1:14" hidden="1" x14ac:dyDescent="0.35">
      <c r="A37" s="2" t="s">
        <v>477</v>
      </c>
      <c r="B37" s="2" t="s">
        <v>790</v>
      </c>
      <c r="C37" s="44" t="s">
        <v>430</v>
      </c>
      <c r="D37" s="44" t="s">
        <v>431</v>
      </c>
      <c r="E37" s="44" t="s">
        <v>1986</v>
      </c>
      <c r="F37" s="36" t="s">
        <v>2013</v>
      </c>
      <c r="G37" s="67">
        <v>78690.48</v>
      </c>
      <c r="H37" s="37" t="e">
        <f t="shared" si="0"/>
        <v>#VALUE!</v>
      </c>
      <c r="I37" s="37" t="e">
        <f t="shared" si="3"/>
        <v>#VALUE!</v>
      </c>
      <c r="J37" s="37" t="e">
        <f t="shared" si="2"/>
        <v>#VALUE!</v>
      </c>
      <c r="L37" s="66" t="s">
        <v>2013</v>
      </c>
      <c r="M37" s="66">
        <v>78690.48</v>
      </c>
      <c r="N37" s="66"/>
    </row>
    <row r="38" spans="1:14" hidden="1" x14ac:dyDescent="0.35">
      <c r="A38" s="2" t="s">
        <v>477</v>
      </c>
      <c r="B38" s="2" t="s">
        <v>790</v>
      </c>
      <c r="C38" s="18" t="s">
        <v>221</v>
      </c>
      <c r="D38" s="18" t="s">
        <v>222</v>
      </c>
      <c r="E38" s="18" t="s">
        <v>2326</v>
      </c>
      <c r="F38" s="36" t="s">
        <v>2374</v>
      </c>
      <c r="G38" s="67">
        <v>194287.24</v>
      </c>
      <c r="H38" s="37" t="e">
        <f t="shared" si="0"/>
        <v>#VALUE!</v>
      </c>
      <c r="I38" s="37" t="e">
        <f t="shared" si="3"/>
        <v>#VALUE!</v>
      </c>
      <c r="J38" s="37" t="e">
        <f t="shared" si="2"/>
        <v>#VALUE!</v>
      </c>
      <c r="L38" s="66" t="s">
        <v>2374</v>
      </c>
      <c r="M38" s="66">
        <v>194287.24</v>
      </c>
      <c r="N38" s="66"/>
    </row>
    <row r="39" spans="1:14" hidden="1" x14ac:dyDescent="0.35">
      <c r="A39" s="2" t="s">
        <v>477</v>
      </c>
      <c r="B39" s="2" t="s">
        <v>790</v>
      </c>
      <c r="C39" s="18" t="s">
        <v>2033</v>
      </c>
      <c r="D39" s="18" t="s">
        <v>1499</v>
      </c>
      <c r="E39" s="18" t="s">
        <v>2392</v>
      </c>
      <c r="F39" s="19" t="s">
        <v>2645</v>
      </c>
      <c r="G39" s="108">
        <f>16605477.9-5819081</f>
        <v>10786396.9</v>
      </c>
      <c r="H39" s="37" t="e">
        <f t="shared" si="0"/>
        <v>#VALUE!</v>
      </c>
      <c r="I39" s="37" t="e">
        <f t="shared" si="3"/>
        <v>#VALUE!</v>
      </c>
      <c r="J39" s="37" t="e">
        <f t="shared" si="2"/>
        <v>#VALUE!</v>
      </c>
      <c r="L39" s="66" t="s">
        <v>2645</v>
      </c>
      <c r="M39" s="66">
        <v>16605477.9</v>
      </c>
      <c r="N39" s="66"/>
    </row>
    <row r="40" spans="1:14" hidden="1" x14ac:dyDescent="0.35">
      <c r="A40" s="2" t="s">
        <v>477</v>
      </c>
      <c r="B40" s="2" t="s">
        <v>790</v>
      </c>
      <c r="C40" s="18" t="s">
        <v>2033</v>
      </c>
      <c r="D40" s="18" t="s">
        <v>1499</v>
      </c>
      <c r="E40" s="18" t="s">
        <v>2393</v>
      </c>
      <c r="F40" s="19" t="s">
        <v>2645</v>
      </c>
      <c r="G40" s="108">
        <v>8554936.5</v>
      </c>
      <c r="H40" s="37" t="e">
        <f t="shared" si="0"/>
        <v>#VALUE!</v>
      </c>
      <c r="I40" s="37" t="e">
        <f t="shared" si="3"/>
        <v>#VALUE!</v>
      </c>
      <c r="J40" s="37" t="e">
        <f t="shared" si="2"/>
        <v>#VALUE!</v>
      </c>
      <c r="L40" s="66" t="s">
        <v>2645</v>
      </c>
      <c r="M40" s="66">
        <v>8554936.5</v>
      </c>
      <c r="N40" s="66"/>
    </row>
    <row r="41" spans="1:14" hidden="1" x14ac:dyDescent="0.35">
      <c r="A41" s="88" t="s">
        <v>477</v>
      </c>
      <c r="B41" s="2" t="s">
        <v>790</v>
      </c>
      <c r="C41" s="18" t="s">
        <v>1206</v>
      </c>
      <c r="D41" s="18" t="s">
        <v>1207</v>
      </c>
      <c r="E41" s="18" t="s">
        <v>2538</v>
      </c>
      <c r="F41" s="19" t="s">
        <v>2662</v>
      </c>
      <c r="G41" s="108">
        <v>5339.9</v>
      </c>
      <c r="H41" s="37" t="e">
        <f t="shared" si="0"/>
        <v>#VALUE!</v>
      </c>
      <c r="I41" s="37" t="e">
        <f t="shared" si="3"/>
        <v>#VALUE!</v>
      </c>
      <c r="J41" s="37" t="e">
        <f t="shared" si="2"/>
        <v>#VALUE!</v>
      </c>
      <c r="L41" s="66" t="s">
        <v>2662</v>
      </c>
      <c r="M41" s="66">
        <v>5339.9</v>
      </c>
      <c r="N41" s="66"/>
    </row>
    <row r="42" spans="1:14" hidden="1" x14ac:dyDescent="0.35">
      <c r="A42" s="88" t="s">
        <v>477</v>
      </c>
      <c r="B42" s="2" t="s">
        <v>790</v>
      </c>
      <c r="C42" s="18" t="s">
        <v>51</v>
      </c>
      <c r="D42" s="18" t="s">
        <v>52</v>
      </c>
      <c r="E42" s="18" t="s">
        <v>2541</v>
      </c>
      <c r="F42" s="19" t="s">
        <v>2665</v>
      </c>
      <c r="G42" s="108">
        <v>2043</v>
      </c>
      <c r="H42" s="37">
        <f t="shared" si="0"/>
        <v>356</v>
      </c>
      <c r="I42" s="37" t="str">
        <f t="shared" si="3"/>
        <v>More than 180 Days</v>
      </c>
      <c r="J42" s="37" t="str">
        <f t="shared" si="2"/>
        <v>More than 180 Days</v>
      </c>
      <c r="L42" s="66" t="s">
        <v>2665</v>
      </c>
      <c r="M42" s="66">
        <v>2043</v>
      </c>
      <c r="N42" s="66"/>
    </row>
    <row r="43" spans="1:14" hidden="1" x14ac:dyDescent="0.35">
      <c r="A43" s="88" t="s">
        <v>477</v>
      </c>
      <c r="B43" s="2" t="s">
        <v>790</v>
      </c>
      <c r="C43" s="18" t="s">
        <v>1082</v>
      </c>
      <c r="D43" s="18" t="s">
        <v>1083</v>
      </c>
      <c r="E43" s="18" t="s">
        <v>2543</v>
      </c>
      <c r="F43" s="19" t="s">
        <v>2659</v>
      </c>
      <c r="G43" s="108">
        <v>3709</v>
      </c>
      <c r="H43" s="37" t="e">
        <f t="shared" si="0"/>
        <v>#VALUE!</v>
      </c>
      <c r="I43" s="37" t="e">
        <f t="shared" si="3"/>
        <v>#VALUE!</v>
      </c>
      <c r="J43" s="37" t="e">
        <f t="shared" si="2"/>
        <v>#VALUE!</v>
      </c>
      <c r="L43" s="66" t="s">
        <v>2659</v>
      </c>
      <c r="M43" s="66">
        <v>3709</v>
      </c>
      <c r="N43" s="66"/>
    </row>
    <row r="44" spans="1:14" hidden="1" x14ac:dyDescent="0.35">
      <c r="A44" s="88" t="s">
        <v>1085</v>
      </c>
      <c r="B44" s="2" t="s">
        <v>790</v>
      </c>
      <c r="C44" s="18" t="s">
        <v>1086</v>
      </c>
      <c r="D44" s="2" t="s">
        <v>507</v>
      </c>
      <c r="E44" s="18" t="s">
        <v>2627</v>
      </c>
      <c r="F44" s="19" t="s">
        <v>2666</v>
      </c>
      <c r="G44" s="108">
        <v>4142749.31</v>
      </c>
      <c r="H44" s="37" t="e">
        <f t="shared" si="0"/>
        <v>#VALUE!</v>
      </c>
      <c r="I44" s="37" t="e">
        <f t="shared" ref="I44:I87" si="4">IF(H44&lt;121,"0-120 DAYS",IF(H44&lt;181,"121-180 DAYS","More than 180 Days"))</f>
        <v>#VALUE!</v>
      </c>
      <c r="J44" s="37" t="e">
        <f t="shared" si="2"/>
        <v>#VALUE!</v>
      </c>
      <c r="L44" s="66" t="s">
        <v>2666</v>
      </c>
      <c r="M44" s="66">
        <v>4142749.31</v>
      </c>
      <c r="N44" s="66"/>
    </row>
    <row r="45" spans="1:14" hidden="1" x14ac:dyDescent="0.35">
      <c r="A45" s="88" t="s">
        <v>1085</v>
      </c>
      <c r="B45" s="2" t="s">
        <v>790</v>
      </c>
      <c r="C45" s="18" t="s">
        <v>1086</v>
      </c>
      <c r="D45" s="2" t="s">
        <v>507</v>
      </c>
      <c r="E45" s="18" t="s">
        <v>2628</v>
      </c>
      <c r="F45" s="19" t="s">
        <v>2650</v>
      </c>
      <c r="G45" s="108">
        <v>2913664</v>
      </c>
      <c r="H45" s="37" t="e">
        <f t="shared" si="0"/>
        <v>#VALUE!</v>
      </c>
      <c r="I45" s="37" t="e">
        <f t="shared" si="4"/>
        <v>#VALUE!</v>
      </c>
      <c r="J45" s="37" t="e">
        <f t="shared" si="2"/>
        <v>#VALUE!</v>
      </c>
      <c r="L45" s="66" t="s">
        <v>2650</v>
      </c>
      <c r="M45" s="66">
        <v>2913664</v>
      </c>
      <c r="N45" s="66"/>
    </row>
    <row r="46" spans="1:14" hidden="1" x14ac:dyDescent="0.35">
      <c r="A46" s="88" t="s">
        <v>1085</v>
      </c>
      <c r="B46" s="2" t="s">
        <v>790</v>
      </c>
      <c r="C46" s="18" t="s">
        <v>1086</v>
      </c>
      <c r="D46" s="2" t="s">
        <v>507</v>
      </c>
      <c r="E46" s="18" t="s">
        <v>2629</v>
      </c>
      <c r="F46" s="19" t="s">
        <v>2650</v>
      </c>
      <c r="G46" s="108">
        <v>306356.55</v>
      </c>
      <c r="H46" s="37" t="e">
        <f t="shared" si="0"/>
        <v>#VALUE!</v>
      </c>
      <c r="I46" s="37" t="e">
        <f t="shared" si="4"/>
        <v>#VALUE!</v>
      </c>
      <c r="J46" s="37" t="e">
        <f t="shared" si="2"/>
        <v>#VALUE!</v>
      </c>
      <c r="L46" s="66" t="s">
        <v>2650</v>
      </c>
      <c r="M46" s="66">
        <v>306356.55</v>
      </c>
      <c r="N46" s="66"/>
    </row>
    <row r="47" spans="1:14" hidden="1" x14ac:dyDescent="0.35">
      <c r="A47" s="88" t="s">
        <v>1085</v>
      </c>
      <c r="B47" s="2" t="s">
        <v>790</v>
      </c>
      <c r="C47" s="18" t="s">
        <v>1086</v>
      </c>
      <c r="D47" s="2" t="s">
        <v>507</v>
      </c>
      <c r="E47" s="18" t="s">
        <v>2630</v>
      </c>
      <c r="F47" s="19" t="s">
        <v>2650</v>
      </c>
      <c r="G47" s="108">
        <v>90366.02</v>
      </c>
      <c r="H47" s="37" t="e">
        <f t="shared" si="0"/>
        <v>#VALUE!</v>
      </c>
      <c r="I47" s="37" t="e">
        <f t="shared" si="4"/>
        <v>#VALUE!</v>
      </c>
      <c r="J47" s="37" t="e">
        <f t="shared" si="2"/>
        <v>#VALUE!</v>
      </c>
      <c r="L47" s="66" t="s">
        <v>2650</v>
      </c>
      <c r="M47" s="66">
        <v>90366.02</v>
      </c>
      <c r="N47" s="66"/>
    </row>
    <row r="48" spans="1:14" hidden="1" x14ac:dyDescent="0.35">
      <c r="A48" s="88" t="s">
        <v>1085</v>
      </c>
      <c r="B48" s="2" t="s">
        <v>790</v>
      </c>
      <c r="C48" s="18" t="s">
        <v>1086</v>
      </c>
      <c r="D48" s="2" t="s">
        <v>507</v>
      </c>
      <c r="E48" s="18" t="s">
        <v>2631</v>
      </c>
      <c r="F48" s="19" t="s">
        <v>2650</v>
      </c>
      <c r="G48" s="108">
        <v>33825.79</v>
      </c>
      <c r="H48" s="37" t="e">
        <f t="shared" si="0"/>
        <v>#VALUE!</v>
      </c>
      <c r="I48" s="37" t="e">
        <f t="shared" si="4"/>
        <v>#VALUE!</v>
      </c>
      <c r="J48" s="37" t="e">
        <f t="shared" si="2"/>
        <v>#VALUE!</v>
      </c>
      <c r="L48" s="66" t="s">
        <v>2650</v>
      </c>
      <c r="M48" s="66">
        <v>33825.79</v>
      </c>
      <c r="N48" s="66"/>
    </row>
    <row r="49" spans="1:14" hidden="1" x14ac:dyDescent="0.35">
      <c r="A49" s="88" t="s">
        <v>1085</v>
      </c>
      <c r="B49" s="2" t="s">
        <v>790</v>
      </c>
      <c r="C49" s="18" t="s">
        <v>1086</v>
      </c>
      <c r="D49" s="2" t="s">
        <v>507</v>
      </c>
      <c r="E49" s="18" t="s">
        <v>2632</v>
      </c>
      <c r="F49" s="19" t="s">
        <v>2650</v>
      </c>
      <c r="G49" s="108">
        <v>2042893.63</v>
      </c>
      <c r="H49" s="37" t="e">
        <f t="shared" si="0"/>
        <v>#VALUE!</v>
      </c>
      <c r="I49" s="37" t="e">
        <f t="shared" si="4"/>
        <v>#VALUE!</v>
      </c>
      <c r="J49" s="37" t="e">
        <f t="shared" si="2"/>
        <v>#VALUE!</v>
      </c>
      <c r="L49" s="66" t="s">
        <v>2650</v>
      </c>
      <c r="M49" s="66">
        <v>2042893.63</v>
      </c>
      <c r="N49" s="66"/>
    </row>
    <row r="50" spans="1:14" hidden="1" x14ac:dyDescent="0.35">
      <c r="A50" s="88" t="s">
        <v>1085</v>
      </c>
      <c r="B50" s="2" t="s">
        <v>790</v>
      </c>
      <c r="C50" s="18" t="s">
        <v>1055</v>
      </c>
      <c r="D50" s="2" t="s">
        <v>507</v>
      </c>
      <c r="E50" s="18" t="s">
        <v>2639</v>
      </c>
      <c r="F50" s="19" t="s">
        <v>2661</v>
      </c>
      <c r="G50" s="108">
        <f>3234816-3107166</f>
        <v>127650</v>
      </c>
      <c r="H50" s="37" t="e">
        <f t="shared" si="0"/>
        <v>#VALUE!</v>
      </c>
      <c r="I50" s="37" t="e">
        <f t="shared" si="4"/>
        <v>#VALUE!</v>
      </c>
      <c r="J50" s="37" t="e">
        <f t="shared" si="2"/>
        <v>#VALUE!</v>
      </c>
      <c r="L50" s="66" t="s">
        <v>2661</v>
      </c>
      <c r="M50" s="66">
        <v>127650</v>
      </c>
      <c r="N50" s="66"/>
    </row>
    <row r="51" spans="1:14" hidden="1" x14ac:dyDescent="0.35">
      <c r="A51" s="88" t="s">
        <v>1085</v>
      </c>
      <c r="B51" s="2" t="s">
        <v>790</v>
      </c>
      <c r="C51" s="18" t="s">
        <v>1086</v>
      </c>
      <c r="D51" s="2" t="s">
        <v>507</v>
      </c>
      <c r="E51" s="18" t="s">
        <v>2679</v>
      </c>
      <c r="F51" s="19">
        <v>45601</v>
      </c>
      <c r="G51" s="108">
        <v>666430.34</v>
      </c>
      <c r="H51" s="37">
        <f t="shared" si="0"/>
        <v>147</v>
      </c>
      <c r="I51" s="37" t="str">
        <f t="shared" si="4"/>
        <v>121-180 DAYS</v>
      </c>
      <c r="J51" s="37" t="str">
        <f t="shared" si="2"/>
        <v>0-180 DAYS</v>
      </c>
      <c r="K51" t="s">
        <v>1730</v>
      </c>
      <c r="L51" s="66" t="s">
        <v>2861</v>
      </c>
      <c r="M51" s="66">
        <v>666430.34</v>
      </c>
      <c r="N51" s="66"/>
    </row>
    <row r="52" spans="1:14" hidden="1" x14ac:dyDescent="0.35">
      <c r="A52" s="88" t="s">
        <v>1085</v>
      </c>
      <c r="B52" s="2" t="s">
        <v>790</v>
      </c>
      <c r="C52" s="18" t="s">
        <v>1086</v>
      </c>
      <c r="D52" s="2" t="s">
        <v>507</v>
      </c>
      <c r="E52" s="18" t="s">
        <v>2680</v>
      </c>
      <c r="F52" s="19">
        <v>45601</v>
      </c>
      <c r="G52" s="108">
        <v>1177377.3400000001</v>
      </c>
      <c r="H52" s="37">
        <f t="shared" si="0"/>
        <v>147</v>
      </c>
      <c r="I52" s="37" t="str">
        <f t="shared" si="4"/>
        <v>121-180 DAYS</v>
      </c>
      <c r="J52" s="37" t="str">
        <f t="shared" si="2"/>
        <v>0-180 DAYS</v>
      </c>
      <c r="K52" t="s">
        <v>1730</v>
      </c>
      <c r="L52" s="66" t="s">
        <v>2861</v>
      </c>
      <c r="M52" s="66">
        <v>1177377.3400000001</v>
      </c>
      <c r="N52" s="66"/>
    </row>
    <row r="53" spans="1:14" hidden="1" x14ac:dyDescent="0.35">
      <c r="A53" s="88" t="s">
        <v>1085</v>
      </c>
      <c r="B53" s="2" t="s">
        <v>790</v>
      </c>
      <c r="C53" s="18" t="s">
        <v>1086</v>
      </c>
      <c r="D53" s="2" t="s">
        <v>507</v>
      </c>
      <c r="E53" s="18" t="s">
        <v>2686</v>
      </c>
      <c r="F53" s="19">
        <v>45609</v>
      </c>
      <c r="G53" s="108">
        <v>1231955.6599999999</v>
      </c>
      <c r="H53" s="37">
        <f t="shared" si="0"/>
        <v>139</v>
      </c>
      <c r="I53" s="37" t="str">
        <f t="shared" si="4"/>
        <v>121-180 DAYS</v>
      </c>
      <c r="J53" s="37" t="str">
        <f t="shared" si="2"/>
        <v>0-180 DAYS</v>
      </c>
      <c r="K53" t="s">
        <v>1730</v>
      </c>
      <c r="L53" s="66" t="s">
        <v>2865</v>
      </c>
      <c r="M53" s="66">
        <v>1231955.6599999999</v>
      </c>
      <c r="N53" s="66"/>
    </row>
    <row r="54" spans="1:14" hidden="1" x14ac:dyDescent="0.35">
      <c r="A54" s="88" t="s">
        <v>1085</v>
      </c>
      <c r="B54" s="2" t="s">
        <v>790</v>
      </c>
      <c r="C54" s="18" t="s">
        <v>1086</v>
      </c>
      <c r="D54" s="2" t="s">
        <v>507</v>
      </c>
      <c r="E54" s="18" t="s">
        <v>2687</v>
      </c>
      <c r="F54" s="19">
        <v>45609</v>
      </c>
      <c r="G54" s="108">
        <v>1297437.21</v>
      </c>
      <c r="H54" s="37">
        <f t="shared" si="0"/>
        <v>139</v>
      </c>
      <c r="I54" s="37" t="str">
        <f t="shared" si="4"/>
        <v>121-180 DAYS</v>
      </c>
      <c r="J54" s="37" t="str">
        <f t="shared" si="2"/>
        <v>0-180 DAYS</v>
      </c>
      <c r="K54" t="s">
        <v>1730</v>
      </c>
      <c r="L54" s="66" t="s">
        <v>2865</v>
      </c>
      <c r="M54" s="66">
        <v>1297437.21</v>
      </c>
      <c r="N54" s="66"/>
    </row>
    <row r="55" spans="1:14" hidden="1" x14ac:dyDescent="0.35">
      <c r="A55" s="88" t="s">
        <v>1085</v>
      </c>
      <c r="B55" s="2" t="s">
        <v>790</v>
      </c>
      <c r="C55" s="18" t="s">
        <v>1086</v>
      </c>
      <c r="D55" s="2" t="s">
        <v>507</v>
      </c>
      <c r="E55" s="18" t="s">
        <v>2690</v>
      </c>
      <c r="F55" s="19">
        <v>45611</v>
      </c>
      <c r="G55" s="108">
        <v>1191413.7</v>
      </c>
      <c r="H55" s="37">
        <f t="shared" si="0"/>
        <v>137</v>
      </c>
      <c r="I55" s="37" t="str">
        <f t="shared" si="4"/>
        <v>121-180 DAYS</v>
      </c>
      <c r="J55" s="37" t="str">
        <f t="shared" si="2"/>
        <v>0-180 DAYS</v>
      </c>
      <c r="K55" t="s">
        <v>1730</v>
      </c>
      <c r="L55" s="66" t="s">
        <v>2867</v>
      </c>
      <c r="M55" s="66">
        <v>1191413.7</v>
      </c>
      <c r="N55" s="66"/>
    </row>
    <row r="56" spans="1:14" hidden="1" x14ac:dyDescent="0.35">
      <c r="A56" s="88" t="s">
        <v>1085</v>
      </c>
      <c r="B56" s="2" t="s">
        <v>790</v>
      </c>
      <c r="C56" s="18" t="s">
        <v>1086</v>
      </c>
      <c r="D56" s="2" t="s">
        <v>507</v>
      </c>
      <c r="E56" s="18" t="s">
        <v>2691</v>
      </c>
      <c r="F56" s="19">
        <v>45611</v>
      </c>
      <c r="G56" s="108">
        <v>262817.5</v>
      </c>
      <c r="H56" s="37">
        <f t="shared" si="0"/>
        <v>137</v>
      </c>
      <c r="I56" s="37" t="str">
        <f t="shared" si="4"/>
        <v>121-180 DAYS</v>
      </c>
      <c r="J56" s="37" t="str">
        <f t="shared" si="2"/>
        <v>0-180 DAYS</v>
      </c>
      <c r="K56" t="s">
        <v>1730</v>
      </c>
      <c r="L56" s="66" t="s">
        <v>2867</v>
      </c>
      <c r="M56" s="66">
        <v>262817.5</v>
      </c>
      <c r="N56" s="66"/>
    </row>
    <row r="57" spans="1:14" hidden="1" x14ac:dyDescent="0.35">
      <c r="A57" s="88" t="s">
        <v>1085</v>
      </c>
      <c r="B57" s="2" t="s">
        <v>790</v>
      </c>
      <c r="C57" s="18" t="s">
        <v>1086</v>
      </c>
      <c r="D57" s="2" t="s">
        <v>507</v>
      </c>
      <c r="E57" s="18" t="s">
        <v>2692</v>
      </c>
      <c r="F57" s="19">
        <v>45611</v>
      </c>
      <c r="G57" s="108">
        <v>454616.8</v>
      </c>
      <c r="H57" s="37">
        <f t="shared" si="0"/>
        <v>137</v>
      </c>
      <c r="I57" s="37" t="str">
        <f t="shared" si="4"/>
        <v>121-180 DAYS</v>
      </c>
      <c r="J57" s="37" t="str">
        <f t="shared" si="2"/>
        <v>0-180 DAYS</v>
      </c>
      <c r="K57" t="s">
        <v>1730</v>
      </c>
      <c r="L57" s="66" t="s">
        <v>2867</v>
      </c>
      <c r="M57" s="66">
        <v>454616.8</v>
      </c>
      <c r="N57" s="66"/>
    </row>
    <row r="58" spans="1:14" hidden="1" x14ac:dyDescent="0.35">
      <c r="A58" s="88" t="s">
        <v>1085</v>
      </c>
      <c r="B58" s="2" t="s">
        <v>790</v>
      </c>
      <c r="C58" s="18" t="s">
        <v>1086</v>
      </c>
      <c r="D58" s="2" t="s">
        <v>507</v>
      </c>
      <c r="E58" s="18" t="s">
        <v>2693</v>
      </c>
      <c r="F58" s="19">
        <v>45611</v>
      </c>
      <c r="G58" s="108">
        <v>306465.06</v>
      </c>
      <c r="H58" s="37">
        <f t="shared" si="0"/>
        <v>137</v>
      </c>
      <c r="I58" s="37" t="str">
        <f t="shared" si="4"/>
        <v>121-180 DAYS</v>
      </c>
      <c r="J58" s="37" t="str">
        <f t="shared" si="2"/>
        <v>0-180 DAYS</v>
      </c>
      <c r="K58" t="s">
        <v>1730</v>
      </c>
      <c r="L58" s="66" t="s">
        <v>2867</v>
      </c>
      <c r="M58" s="66">
        <v>306465.06</v>
      </c>
      <c r="N58" s="66"/>
    </row>
    <row r="59" spans="1:14" hidden="1" x14ac:dyDescent="0.35">
      <c r="A59" s="88" t="s">
        <v>1085</v>
      </c>
      <c r="B59" s="2" t="s">
        <v>790</v>
      </c>
      <c r="C59" s="18" t="s">
        <v>1086</v>
      </c>
      <c r="D59" s="2" t="s">
        <v>507</v>
      </c>
      <c r="E59" s="18" t="s">
        <v>2694</v>
      </c>
      <c r="F59" s="19">
        <v>45611</v>
      </c>
      <c r="G59" s="108">
        <v>37096.660000000003</v>
      </c>
      <c r="H59" s="37">
        <f t="shared" si="0"/>
        <v>137</v>
      </c>
      <c r="I59" s="37" t="str">
        <f t="shared" si="4"/>
        <v>121-180 DAYS</v>
      </c>
      <c r="J59" s="37" t="str">
        <f t="shared" si="2"/>
        <v>0-180 DAYS</v>
      </c>
      <c r="K59" t="s">
        <v>1730</v>
      </c>
      <c r="L59" s="66" t="s">
        <v>2867</v>
      </c>
      <c r="M59" s="66">
        <v>37096.660000000003</v>
      </c>
      <c r="N59" s="66"/>
    </row>
    <row r="60" spans="1:14" hidden="1" x14ac:dyDescent="0.35">
      <c r="A60" s="88" t="s">
        <v>1085</v>
      </c>
      <c r="B60" s="2" t="s">
        <v>790</v>
      </c>
      <c r="C60" s="18" t="s">
        <v>1086</v>
      </c>
      <c r="D60" s="2" t="s">
        <v>507</v>
      </c>
      <c r="E60" s="18" t="s">
        <v>2699</v>
      </c>
      <c r="F60" s="19">
        <v>45614</v>
      </c>
      <c r="G60" s="108">
        <v>2412696</v>
      </c>
      <c r="H60" s="37">
        <f t="shared" si="0"/>
        <v>134</v>
      </c>
      <c r="I60" s="37" t="str">
        <f t="shared" si="4"/>
        <v>121-180 DAYS</v>
      </c>
      <c r="J60" s="37" t="str">
        <f t="shared" si="2"/>
        <v>0-180 DAYS</v>
      </c>
      <c r="K60" t="s">
        <v>1730</v>
      </c>
      <c r="L60" s="66" t="s">
        <v>2870</v>
      </c>
      <c r="M60" s="66">
        <v>2412696</v>
      </c>
      <c r="N60" s="66"/>
    </row>
    <row r="61" spans="1:14" hidden="1" x14ac:dyDescent="0.35">
      <c r="A61" s="88" t="s">
        <v>1085</v>
      </c>
      <c r="B61" s="2" t="s">
        <v>790</v>
      </c>
      <c r="C61" s="18" t="s">
        <v>570</v>
      </c>
      <c r="D61" s="2" t="s">
        <v>507</v>
      </c>
      <c r="E61" s="18" t="s">
        <v>2725</v>
      </c>
      <c r="F61" s="19">
        <v>45604</v>
      </c>
      <c r="G61" s="108">
        <f>3051265.89-568557</f>
        <v>2482708.89</v>
      </c>
      <c r="H61" s="37">
        <f t="shared" si="0"/>
        <v>144</v>
      </c>
      <c r="I61" s="37" t="str">
        <f t="shared" si="4"/>
        <v>121-180 DAYS</v>
      </c>
      <c r="J61" s="37" t="str">
        <f t="shared" si="2"/>
        <v>0-180 DAYS</v>
      </c>
      <c r="K61" t="s">
        <v>1730</v>
      </c>
      <c r="L61" s="66" t="s">
        <v>2863</v>
      </c>
      <c r="M61" s="66">
        <v>3051265.89</v>
      </c>
      <c r="N61" s="66"/>
    </row>
    <row r="62" spans="1:14" hidden="1" x14ac:dyDescent="0.35">
      <c r="A62" s="2" t="s">
        <v>1209</v>
      </c>
      <c r="B62" s="2" t="s">
        <v>789</v>
      </c>
      <c r="C62" s="18" t="s">
        <v>506</v>
      </c>
      <c r="D62" s="2" t="s">
        <v>507</v>
      </c>
      <c r="E62" s="18" t="s">
        <v>2730</v>
      </c>
      <c r="F62" s="19">
        <v>45605</v>
      </c>
      <c r="G62" s="108">
        <f>474113.67-403606</f>
        <v>70507.669999999984</v>
      </c>
      <c r="H62" s="37">
        <f t="shared" si="0"/>
        <v>143</v>
      </c>
      <c r="I62" s="37" t="str">
        <f t="shared" si="4"/>
        <v>121-180 DAYS</v>
      </c>
      <c r="J62" s="37" t="str">
        <f t="shared" si="2"/>
        <v>0-180 DAYS</v>
      </c>
      <c r="L62" s="66" t="s">
        <v>2864</v>
      </c>
      <c r="M62" s="66">
        <v>70507.67</v>
      </c>
      <c r="N62" s="66"/>
    </row>
    <row r="63" spans="1:14" hidden="1" x14ac:dyDescent="0.35">
      <c r="A63" s="2" t="s">
        <v>1209</v>
      </c>
      <c r="B63" s="2" t="s">
        <v>789</v>
      </c>
      <c r="C63" s="18" t="s">
        <v>506</v>
      </c>
      <c r="D63" s="2" t="s">
        <v>507</v>
      </c>
      <c r="E63" s="18" t="s">
        <v>2731</v>
      </c>
      <c r="F63" s="19">
        <v>45605</v>
      </c>
      <c r="G63" s="108">
        <v>2359370.16</v>
      </c>
      <c r="H63" s="37">
        <f t="shared" si="0"/>
        <v>143</v>
      </c>
      <c r="I63" s="37" t="str">
        <f t="shared" si="4"/>
        <v>121-180 DAYS</v>
      </c>
      <c r="J63" s="37" t="str">
        <f t="shared" si="2"/>
        <v>0-180 DAYS</v>
      </c>
      <c r="L63" s="66" t="s">
        <v>2864</v>
      </c>
      <c r="M63" s="66">
        <v>2359370.16</v>
      </c>
      <c r="N63" s="66"/>
    </row>
    <row r="64" spans="1:14" hidden="1" x14ac:dyDescent="0.35">
      <c r="A64" s="88" t="s">
        <v>1085</v>
      </c>
      <c r="B64" s="2" t="s">
        <v>790</v>
      </c>
      <c r="C64" s="18" t="s">
        <v>2676</v>
      </c>
      <c r="D64" s="2" t="s">
        <v>507</v>
      </c>
      <c r="E64" s="18" t="s">
        <v>2732</v>
      </c>
      <c r="F64" s="19">
        <v>45607</v>
      </c>
      <c r="G64" s="108">
        <v>1802322.25</v>
      </c>
      <c r="H64" s="37">
        <f t="shared" si="0"/>
        <v>141</v>
      </c>
      <c r="I64" s="37" t="str">
        <f t="shared" si="4"/>
        <v>121-180 DAYS</v>
      </c>
      <c r="J64" s="37" t="str">
        <f t="shared" si="2"/>
        <v>0-180 DAYS</v>
      </c>
      <c r="K64" t="s">
        <v>1730</v>
      </c>
      <c r="L64" s="66" t="s">
        <v>2879</v>
      </c>
      <c r="M64" s="66">
        <v>1802322.25</v>
      </c>
      <c r="N64" s="66"/>
    </row>
    <row r="65" spans="1:14" hidden="1" x14ac:dyDescent="0.35">
      <c r="A65" s="88" t="s">
        <v>1085</v>
      </c>
      <c r="B65" s="2" t="s">
        <v>790</v>
      </c>
      <c r="C65" s="18" t="s">
        <v>650</v>
      </c>
      <c r="D65" s="2" t="s">
        <v>507</v>
      </c>
      <c r="E65" s="18" t="s">
        <v>2733</v>
      </c>
      <c r="F65" s="19">
        <v>45607</v>
      </c>
      <c r="G65" s="108">
        <f>3791407.2-2633795</f>
        <v>1157612.2000000002</v>
      </c>
      <c r="H65" s="37">
        <f t="shared" si="0"/>
        <v>141</v>
      </c>
      <c r="I65" s="37" t="str">
        <f t="shared" si="4"/>
        <v>121-180 DAYS</v>
      </c>
      <c r="J65" s="37" t="str">
        <f t="shared" si="2"/>
        <v>0-180 DAYS</v>
      </c>
      <c r="K65" t="s">
        <v>1730</v>
      </c>
      <c r="L65" s="66" t="s">
        <v>2879</v>
      </c>
      <c r="M65" s="66">
        <v>3791407.2</v>
      </c>
      <c r="N65" s="66"/>
    </row>
    <row r="66" spans="1:14" hidden="1" x14ac:dyDescent="0.35">
      <c r="A66" s="88" t="s">
        <v>1085</v>
      </c>
      <c r="B66" s="2" t="s">
        <v>790</v>
      </c>
      <c r="C66" s="18" t="s">
        <v>1086</v>
      </c>
      <c r="D66" s="2" t="s">
        <v>507</v>
      </c>
      <c r="E66" s="18" t="s">
        <v>2736</v>
      </c>
      <c r="F66" s="19">
        <v>45609</v>
      </c>
      <c r="G66" s="108">
        <v>247182.24</v>
      </c>
      <c r="H66" s="37">
        <f t="shared" si="0"/>
        <v>139</v>
      </c>
      <c r="I66" s="37" t="str">
        <f t="shared" si="4"/>
        <v>121-180 DAYS</v>
      </c>
      <c r="J66" s="37" t="str">
        <f t="shared" si="2"/>
        <v>0-180 DAYS</v>
      </c>
      <c r="K66" t="s">
        <v>1730</v>
      </c>
      <c r="L66" s="66" t="s">
        <v>2865</v>
      </c>
      <c r="M66" s="66">
        <v>247182.24</v>
      </c>
      <c r="N66" s="66"/>
    </row>
    <row r="67" spans="1:14" hidden="1" x14ac:dyDescent="0.35">
      <c r="A67" s="88" t="s">
        <v>1085</v>
      </c>
      <c r="B67" s="2" t="s">
        <v>790</v>
      </c>
      <c r="C67" s="18" t="s">
        <v>1086</v>
      </c>
      <c r="D67" s="2" t="s">
        <v>507</v>
      </c>
      <c r="E67" s="18" t="s">
        <v>2737</v>
      </c>
      <c r="F67" s="19">
        <v>45609</v>
      </c>
      <c r="G67" s="108">
        <v>1857690.46</v>
      </c>
      <c r="H67" s="37">
        <f t="shared" si="0"/>
        <v>139</v>
      </c>
      <c r="I67" s="37" t="str">
        <f t="shared" si="4"/>
        <v>121-180 DAYS</v>
      </c>
      <c r="J67" s="37" t="str">
        <f t="shared" si="2"/>
        <v>0-180 DAYS</v>
      </c>
      <c r="K67" t="s">
        <v>1730</v>
      </c>
      <c r="L67" s="66" t="s">
        <v>2865</v>
      </c>
      <c r="M67" s="66">
        <v>1857690.46</v>
      </c>
      <c r="N67" s="66"/>
    </row>
    <row r="68" spans="1:14" hidden="1" x14ac:dyDescent="0.35">
      <c r="A68" s="2" t="s">
        <v>1209</v>
      </c>
      <c r="B68" s="2" t="s">
        <v>789</v>
      </c>
      <c r="C68" s="18" t="s">
        <v>506</v>
      </c>
      <c r="D68" s="2" t="s">
        <v>507</v>
      </c>
      <c r="E68" s="18" t="s">
        <v>2739</v>
      </c>
      <c r="F68" s="19">
        <v>45609</v>
      </c>
      <c r="G68" s="108">
        <v>2512074.4900000002</v>
      </c>
      <c r="H68" s="37">
        <f t="shared" si="0"/>
        <v>139</v>
      </c>
      <c r="I68" s="37" t="str">
        <f t="shared" si="4"/>
        <v>121-180 DAYS</v>
      </c>
      <c r="J68" s="37" t="str">
        <f t="shared" si="2"/>
        <v>0-180 DAYS</v>
      </c>
      <c r="L68" s="66" t="s">
        <v>2865</v>
      </c>
      <c r="M68" s="66">
        <v>2512074.4900000002</v>
      </c>
      <c r="N68" s="66"/>
    </row>
    <row r="69" spans="1:14" hidden="1" x14ac:dyDescent="0.35">
      <c r="A69" s="2" t="s">
        <v>1209</v>
      </c>
      <c r="B69" s="2" t="s">
        <v>789</v>
      </c>
      <c r="C69" s="18" t="s">
        <v>506</v>
      </c>
      <c r="D69" s="2" t="s">
        <v>507</v>
      </c>
      <c r="E69" s="18" t="s">
        <v>2740</v>
      </c>
      <c r="F69" s="19">
        <v>45609</v>
      </c>
      <c r="G69" s="108">
        <v>1178974.93</v>
      </c>
      <c r="H69" s="37">
        <f t="shared" si="0"/>
        <v>139</v>
      </c>
      <c r="I69" s="37" t="str">
        <f t="shared" si="4"/>
        <v>121-180 DAYS</v>
      </c>
      <c r="J69" s="37" t="str">
        <f t="shared" si="2"/>
        <v>0-180 DAYS</v>
      </c>
      <c r="L69" s="66" t="s">
        <v>2865</v>
      </c>
      <c r="M69" s="66">
        <v>1178974.93</v>
      </c>
      <c r="N69" s="66"/>
    </row>
    <row r="70" spans="1:14" hidden="1" x14ac:dyDescent="0.35">
      <c r="A70" s="88" t="s">
        <v>1085</v>
      </c>
      <c r="B70" s="2" t="s">
        <v>790</v>
      </c>
      <c r="C70" s="18" t="s">
        <v>1086</v>
      </c>
      <c r="D70" s="2" t="s">
        <v>507</v>
      </c>
      <c r="E70" s="18" t="s">
        <v>2742</v>
      </c>
      <c r="F70" s="19">
        <v>45613</v>
      </c>
      <c r="G70" s="108">
        <v>75211.58</v>
      </c>
      <c r="H70" s="37">
        <f t="shared" si="0"/>
        <v>135</v>
      </c>
      <c r="I70" s="37" t="str">
        <f t="shared" si="4"/>
        <v>121-180 DAYS</v>
      </c>
      <c r="J70" s="37" t="str">
        <f t="shared" si="2"/>
        <v>0-180 DAYS</v>
      </c>
      <c r="K70" t="s">
        <v>1730</v>
      </c>
      <c r="L70" s="66" t="s">
        <v>2869</v>
      </c>
      <c r="M70" s="66">
        <v>75211.58</v>
      </c>
      <c r="N70" s="66"/>
    </row>
    <row r="71" spans="1:14" hidden="1" x14ac:dyDescent="0.35">
      <c r="A71" s="88" t="s">
        <v>1085</v>
      </c>
      <c r="B71" s="2" t="s">
        <v>790</v>
      </c>
      <c r="C71" s="18" t="s">
        <v>1086</v>
      </c>
      <c r="D71" s="2" t="s">
        <v>507</v>
      </c>
      <c r="E71" s="18" t="s">
        <v>2743</v>
      </c>
      <c r="F71" s="19">
        <v>45613</v>
      </c>
      <c r="G71" s="108">
        <v>1874754.24</v>
      </c>
      <c r="H71" s="37">
        <f t="shared" si="0"/>
        <v>135</v>
      </c>
      <c r="I71" s="37" t="str">
        <f t="shared" si="4"/>
        <v>121-180 DAYS</v>
      </c>
      <c r="J71" s="37" t="str">
        <f t="shared" si="2"/>
        <v>0-180 DAYS</v>
      </c>
      <c r="K71" t="s">
        <v>1730</v>
      </c>
      <c r="L71" s="66" t="s">
        <v>2869</v>
      </c>
      <c r="M71" s="66">
        <v>1874754.24</v>
      </c>
      <c r="N71" s="66"/>
    </row>
    <row r="72" spans="1:14" hidden="1" x14ac:dyDescent="0.35">
      <c r="A72" s="88" t="s">
        <v>1085</v>
      </c>
      <c r="B72" s="2" t="s">
        <v>790</v>
      </c>
      <c r="C72" s="18" t="s">
        <v>1086</v>
      </c>
      <c r="D72" s="2" t="s">
        <v>507</v>
      </c>
      <c r="E72" s="18" t="s">
        <v>2744</v>
      </c>
      <c r="F72" s="19">
        <v>45613</v>
      </c>
      <c r="G72" s="108">
        <v>249748.31</v>
      </c>
      <c r="H72" s="37">
        <f t="shared" si="0"/>
        <v>135</v>
      </c>
      <c r="I72" s="37" t="str">
        <f t="shared" si="4"/>
        <v>121-180 DAYS</v>
      </c>
      <c r="J72" s="37" t="str">
        <f t="shared" si="2"/>
        <v>0-180 DAYS</v>
      </c>
      <c r="K72" t="s">
        <v>1730</v>
      </c>
      <c r="L72" s="66" t="s">
        <v>2869</v>
      </c>
      <c r="M72" s="66">
        <v>249748.31</v>
      </c>
      <c r="N72" s="66"/>
    </row>
    <row r="73" spans="1:14" hidden="1" x14ac:dyDescent="0.35">
      <c r="A73" s="88" t="s">
        <v>1085</v>
      </c>
      <c r="B73" s="2" t="s">
        <v>790</v>
      </c>
      <c r="C73" s="18" t="s">
        <v>650</v>
      </c>
      <c r="D73" s="2" t="s">
        <v>507</v>
      </c>
      <c r="E73" s="18" t="s">
        <v>2745</v>
      </c>
      <c r="F73" s="19">
        <v>45617</v>
      </c>
      <c r="G73" s="108">
        <v>3841853.4</v>
      </c>
      <c r="H73" s="37">
        <f t="shared" si="0"/>
        <v>131</v>
      </c>
      <c r="I73" s="37" t="str">
        <f t="shared" si="4"/>
        <v>121-180 DAYS</v>
      </c>
      <c r="J73" s="37" t="str">
        <f t="shared" si="2"/>
        <v>0-180 DAYS</v>
      </c>
      <c r="K73" t="s">
        <v>1730</v>
      </c>
      <c r="L73" s="66" t="s">
        <v>2871</v>
      </c>
      <c r="M73" s="66">
        <v>3841853.4</v>
      </c>
      <c r="N73" s="66"/>
    </row>
    <row r="74" spans="1:14" hidden="1" x14ac:dyDescent="0.35">
      <c r="A74" s="88" t="s">
        <v>1085</v>
      </c>
      <c r="B74" s="2" t="s">
        <v>790</v>
      </c>
      <c r="C74" s="18" t="s">
        <v>570</v>
      </c>
      <c r="D74" s="2" t="s">
        <v>507</v>
      </c>
      <c r="E74" s="18" t="s">
        <v>2746</v>
      </c>
      <c r="F74" s="19">
        <v>45618</v>
      </c>
      <c r="G74" s="108">
        <v>3170112</v>
      </c>
      <c r="H74" s="37">
        <f t="shared" si="0"/>
        <v>130</v>
      </c>
      <c r="I74" s="37" t="str">
        <f t="shared" si="4"/>
        <v>121-180 DAYS</v>
      </c>
      <c r="J74" s="37" t="str">
        <f t="shared" si="2"/>
        <v>0-180 DAYS</v>
      </c>
      <c r="K74" t="s">
        <v>1730</v>
      </c>
      <c r="L74" s="66" t="s">
        <v>2880</v>
      </c>
      <c r="M74" s="66">
        <v>3170112</v>
      </c>
      <c r="N74" s="66"/>
    </row>
    <row r="75" spans="1:14" hidden="1" x14ac:dyDescent="0.35">
      <c r="A75" s="88" t="s">
        <v>1085</v>
      </c>
      <c r="B75" s="2" t="s">
        <v>790</v>
      </c>
      <c r="C75" s="18" t="s">
        <v>650</v>
      </c>
      <c r="D75" s="2" t="s">
        <v>507</v>
      </c>
      <c r="E75" s="18" t="s">
        <v>2748</v>
      </c>
      <c r="F75" s="19">
        <v>45618</v>
      </c>
      <c r="G75" s="108">
        <v>2644488</v>
      </c>
      <c r="H75" s="37">
        <f t="shared" si="0"/>
        <v>130</v>
      </c>
      <c r="I75" s="37" t="str">
        <f t="shared" si="4"/>
        <v>121-180 DAYS</v>
      </c>
      <c r="J75" s="37" t="str">
        <f t="shared" si="2"/>
        <v>0-180 DAYS</v>
      </c>
      <c r="K75" t="s">
        <v>1730</v>
      </c>
      <c r="L75" s="66" t="s">
        <v>2880</v>
      </c>
      <c r="M75" s="66">
        <v>2644488</v>
      </c>
      <c r="N75" s="66"/>
    </row>
    <row r="76" spans="1:14" hidden="1" x14ac:dyDescent="0.35">
      <c r="A76" s="88" t="s">
        <v>1085</v>
      </c>
      <c r="B76" s="2" t="s">
        <v>790</v>
      </c>
      <c r="C76" s="18" t="s">
        <v>1086</v>
      </c>
      <c r="D76" s="2" t="s">
        <v>507</v>
      </c>
      <c r="E76" s="18" t="s">
        <v>2753</v>
      </c>
      <c r="F76" s="19">
        <v>45621</v>
      </c>
      <c r="G76" s="108">
        <v>784808.38</v>
      </c>
      <c r="H76" s="37">
        <f t="shared" ref="H76:H139" si="5">$H$9-F76+1</f>
        <v>127</v>
      </c>
      <c r="I76" s="37" t="str">
        <f t="shared" si="4"/>
        <v>121-180 DAYS</v>
      </c>
      <c r="J76" s="37" t="str">
        <f t="shared" si="2"/>
        <v>0-180 DAYS</v>
      </c>
      <c r="K76" t="s">
        <v>1730</v>
      </c>
      <c r="L76" s="66" t="s">
        <v>2874</v>
      </c>
      <c r="M76" s="66">
        <v>784808.38</v>
      </c>
      <c r="N76" s="66"/>
    </row>
    <row r="77" spans="1:14" hidden="1" x14ac:dyDescent="0.35">
      <c r="A77" s="88" t="s">
        <v>1085</v>
      </c>
      <c r="B77" s="2" t="s">
        <v>790</v>
      </c>
      <c r="C77" s="18" t="s">
        <v>1086</v>
      </c>
      <c r="D77" s="2" t="s">
        <v>507</v>
      </c>
      <c r="E77" s="18" t="s">
        <v>2754</v>
      </c>
      <c r="F77" s="19">
        <v>45621</v>
      </c>
      <c r="G77" s="108">
        <v>2118424</v>
      </c>
      <c r="H77" s="37">
        <f t="shared" si="5"/>
        <v>127</v>
      </c>
      <c r="I77" s="37" t="str">
        <f t="shared" si="4"/>
        <v>121-180 DAYS</v>
      </c>
      <c r="J77" s="37" t="str">
        <f t="shared" si="2"/>
        <v>0-180 DAYS</v>
      </c>
      <c r="K77" t="s">
        <v>1730</v>
      </c>
      <c r="L77" s="66" t="s">
        <v>2874</v>
      </c>
      <c r="M77" s="66">
        <v>2118424</v>
      </c>
      <c r="N77" s="66"/>
    </row>
    <row r="78" spans="1:14" hidden="1" x14ac:dyDescent="0.35">
      <c r="A78" s="88" t="s">
        <v>1085</v>
      </c>
      <c r="B78" s="2" t="s">
        <v>790</v>
      </c>
      <c r="C78" s="18" t="s">
        <v>650</v>
      </c>
      <c r="D78" s="2" t="s">
        <v>507</v>
      </c>
      <c r="E78" s="18" t="s">
        <v>2755</v>
      </c>
      <c r="F78" s="19">
        <v>45621</v>
      </c>
      <c r="G78" s="108">
        <v>2735095.07</v>
      </c>
      <c r="H78" s="37">
        <f t="shared" si="5"/>
        <v>127</v>
      </c>
      <c r="I78" s="37" t="str">
        <f t="shared" si="4"/>
        <v>121-180 DAYS</v>
      </c>
      <c r="J78" s="37" t="str">
        <f t="shared" ref="J78:J141" si="6">IF(H78&lt;180,"0-180 DAYS","More than 180 Days")</f>
        <v>0-180 DAYS</v>
      </c>
      <c r="K78" t="s">
        <v>1730</v>
      </c>
      <c r="L78" s="66" t="s">
        <v>2874</v>
      </c>
      <c r="M78" s="66">
        <v>2735095.07</v>
      </c>
      <c r="N78" s="66"/>
    </row>
    <row r="79" spans="1:14" hidden="1" x14ac:dyDescent="0.35">
      <c r="A79" s="88" t="s">
        <v>1085</v>
      </c>
      <c r="B79" s="2" t="s">
        <v>790</v>
      </c>
      <c r="C79" s="18" t="s">
        <v>1086</v>
      </c>
      <c r="D79" s="2" t="s">
        <v>507</v>
      </c>
      <c r="E79" s="18" t="s">
        <v>2756</v>
      </c>
      <c r="F79" s="19">
        <v>45622</v>
      </c>
      <c r="G79" s="108">
        <v>3151679.87</v>
      </c>
      <c r="H79" s="37">
        <f t="shared" si="5"/>
        <v>126</v>
      </c>
      <c r="I79" s="37" t="str">
        <f t="shared" si="4"/>
        <v>121-180 DAYS</v>
      </c>
      <c r="J79" s="37" t="str">
        <f t="shared" si="6"/>
        <v>0-180 DAYS</v>
      </c>
      <c r="K79" t="s">
        <v>1730</v>
      </c>
      <c r="L79" s="66" t="s">
        <v>2875</v>
      </c>
      <c r="M79" s="66">
        <v>3151679.87</v>
      </c>
      <c r="N79" s="66"/>
    </row>
    <row r="80" spans="1:14" hidden="1" x14ac:dyDescent="0.35">
      <c r="A80" s="88" t="s">
        <v>1085</v>
      </c>
      <c r="B80" s="2" t="s">
        <v>790</v>
      </c>
      <c r="C80" s="18" t="s">
        <v>650</v>
      </c>
      <c r="D80" s="2" t="s">
        <v>507</v>
      </c>
      <c r="E80" s="18" t="s">
        <v>2757</v>
      </c>
      <c r="F80" s="19">
        <v>45622</v>
      </c>
      <c r="G80" s="108">
        <v>2921809.47</v>
      </c>
      <c r="H80" s="37">
        <f t="shared" si="5"/>
        <v>126</v>
      </c>
      <c r="I80" s="37" t="str">
        <f t="shared" si="4"/>
        <v>121-180 DAYS</v>
      </c>
      <c r="J80" s="37" t="str">
        <f t="shared" si="6"/>
        <v>0-180 DAYS</v>
      </c>
      <c r="K80" t="s">
        <v>1730</v>
      </c>
      <c r="L80" s="66" t="s">
        <v>2875</v>
      </c>
      <c r="M80" s="66">
        <v>2921809.47</v>
      </c>
      <c r="N80" s="66"/>
    </row>
    <row r="81" spans="1:14" hidden="1" x14ac:dyDescent="0.35">
      <c r="A81" s="88" t="s">
        <v>1085</v>
      </c>
      <c r="B81" s="2" t="s">
        <v>790</v>
      </c>
      <c r="C81" s="18" t="s">
        <v>573</v>
      </c>
      <c r="D81" s="2" t="s">
        <v>507</v>
      </c>
      <c r="E81" s="18" t="s">
        <v>2758</v>
      </c>
      <c r="F81" s="19">
        <v>45623</v>
      </c>
      <c r="G81" s="108">
        <f>3359131.6-2792902</f>
        <v>566229.60000000009</v>
      </c>
      <c r="H81" s="37">
        <f t="shared" si="5"/>
        <v>125</v>
      </c>
      <c r="I81" s="37" t="str">
        <f t="shared" si="4"/>
        <v>121-180 DAYS</v>
      </c>
      <c r="J81" s="37" t="str">
        <f t="shared" si="6"/>
        <v>0-180 DAYS</v>
      </c>
      <c r="K81" t="s">
        <v>1730</v>
      </c>
      <c r="L81" s="66" t="s">
        <v>2876</v>
      </c>
      <c r="M81" s="66">
        <v>3359131.6</v>
      </c>
      <c r="N81" s="66"/>
    </row>
    <row r="82" spans="1:14" hidden="1" x14ac:dyDescent="0.35">
      <c r="A82" s="88" t="s">
        <v>1085</v>
      </c>
      <c r="B82" s="2" t="s">
        <v>790</v>
      </c>
      <c r="C82" s="18" t="s">
        <v>1086</v>
      </c>
      <c r="D82" s="2" t="s">
        <v>507</v>
      </c>
      <c r="E82" s="18" t="s">
        <v>2759</v>
      </c>
      <c r="F82" s="19">
        <v>45624</v>
      </c>
      <c r="G82" s="108">
        <v>3676794.8799999999</v>
      </c>
      <c r="H82" s="37">
        <f t="shared" si="5"/>
        <v>124</v>
      </c>
      <c r="I82" s="37" t="str">
        <f t="shared" si="4"/>
        <v>121-180 DAYS</v>
      </c>
      <c r="J82" s="37" t="str">
        <f t="shared" si="6"/>
        <v>0-180 DAYS</v>
      </c>
      <c r="K82" t="s">
        <v>1730</v>
      </c>
      <c r="L82" s="66" t="s">
        <v>2881</v>
      </c>
      <c r="M82" s="66">
        <v>3676794.8799999999</v>
      </c>
      <c r="N82" s="66"/>
    </row>
    <row r="83" spans="1:14" hidden="1" x14ac:dyDescent="0.35">
      <c r="A83" s="88" t="s">
        <v>1085</v>
      </c>
      <c r="B83" s="2" t="s">
        <v>790</v>
      </c>
      <c r="C83" s="18" t="s">
        <v>650</v>
      </c>
      <c r="D83" s="2" t="s">
        <v>507</v>
      </c>
      <c r="E83" s="18" t="s">
        <v>2761</v>
      </c>
      <c r="F83" s="19">
        <v>45626</v>
      </c>
      <c r="G83" s="108">
        <v>3789444.62</v>
      </c>
      <c r="H83" s="37">
        <f t="shared" si="5"/>
        <v>122</v>
      </c>
      <c r="I83" s="37" t="str">
        <f t="shared" si="4"/>
        <v>121-180 DAYS</v>
      </c>
      <c r="J83" s="37" t="str">
        <f t="shared" si="6"/>
        <v>0-180 DAYS</v>
      </c>
      <c r="K83" t="s">
        <v>1730</v>
      </c>
      <c r="L83" s="66" t="s">
        <v>2860</v>
      </c>
      <c r="M83" s="66">
        <v>3789444.62</v>
      </c>
      <c r="N83" s="66"/>
    </row>
    <row r="84" spans="1:14" hidden="1" x14ac:dyDescent="0.35">
      <c r="A84" s="88" t="s">
        <v>1085</v>
      </c>
      <c r="B84" s="2" t="s">
        <v>790</v>
      </c>
      <c r="C84" s="18" t="s">
        <v>573</v>
      </c>
      <c r="D84" s="2" t="s">
        <v>507</v>
      </c>
      <c r="E84" s="18" t="s">
        <v>2781</v>
      </c>
      <c r="F84" s="19">
        <v>45607</v>
      </c>
      <c r="G84" s="108">
        <v>3426966.17</v>
      </c>
      <c r="H84" s="37">
        <f t="shared" si="5"/>
        <v>141</v>
      </c>
      <c r="I84" s="37" t="str">
        <f t="shared" si="4"/>
        <v>121-180 DAYS</v>
      </c>
      <c r="J84" s="37" t="str">
        <f t="shared" si="6"/>
        <v>0-180 DAYS</v>
      </c>
      <c r="K84" t="s">
        <v>1730</v>
      </c>
      <c r="L84" s="66" t="s">
        <v>2879</v>
      </c>
      <c r="M84" s="66">
        <v>3426966.17</v>
      </c>
      <c r="N84" s="66"/>
    </row>
    <row r="85" spans="1:14" hidden="1" x14ac:dyDescent="0.35">
      <c r="A85" s="88" t="s">
        <v>1085</v>
      </c>
      <c r="B85" s="2" t="s">
        <v>790</v>
      </c>
      <c r="C85" s="18" t="s">
        <v>538</v>
      </c>
      <c r="D85" s="2" t="s">
        <v>507</v>
      </c>
      <c r="E85" s="18" t="s">
        <v>2782</v>
      </c>
      <c r="F85" s="19">
        <v>45611</v>
      </c>
      <c r="G85" s="108">
        <f>3170106.22-2999217</f>
        <v>170889.2200000002</v>
      </c>
      <c r="H85" s="37">
        <f t="shared" si="5"/>
        <v>137</v>
      </c>
      <c r="I85" s="37" t="str">
        <f t="shared" si="4"/>
        <v>121-180 DAYS</v>
      </c>
      <c r="J85" s="37" t="str">
        <f t="shared" si="6"/>
        <v>0-180 DAYS</v>
      </c>
      <c r="K85" t="s">
        <v>1730</v>
      </c>
      <c r="L85" s="66" t="s">
        <v>2867</v>
      </c>
      <c r="M85" s="66">
        <v>3170106.22</v>
      </c>
      <c r="N85" s="66"/>
    </row>
    <row r="86" spans="1:14" hidden="1" x14ac:dyDescent="0.35">
      <c r="A86" s="88" t="s">
        <v>1085</v>
      </c>
      <c r="B86" s="2" t="s">
        <v>790</v>
      </c>
      <c r="C86" s="18" t="s">
        <v>573</v>
      </c>
      <c r="D86" s="2" t="s">
        <v>507</v>
      </c>
      <c r="E86" s="18" t="s">
        <v>2785</v>
      </c>
      <c r="F86" s="19">
        <v>45622</v>
      </c>
      <c r="G86" s="108">
        <v>3890175.98</v>
      </c>
      <c r="H86" s="37">
        <f t="shared" si="5"/>
        <v>126</v>
      </c>
      <c r="I86" s="37" t="str">
        <f t="shared" si="4"/>
        <v>121-180 DAYS</v>
      </c>
      <c r="J86" s="37" t="str">
        <f t="shared" si="6"/>
        <v>0-180 DAYS</v>
      </c>
      <c r="K86" t="s">
        <v>1730</v>
      </c>
      <c r="L86" s="66" t="s">
        <v>2875</v>
      </c>
      <c r="M86" s="66">
        <v>3890175.98</v>
      </c>
      <c r="N86" s="66"/>
    </row>
    <row r="87" spans="1:14" hidden="1" x14ac:dyDescent="0.35">
      <c r="A87" s="88" t="s">
        <v>1085</v>
      </c>
      <c r="B87" s="2" t="s">
        <v>790</v>
      </c>
      <c r="C87" s="18" t="s">
        <v>573</v>
      </c>
      <c r="D87" s="2" t="s">
        <v>507</v>
      </c>
      <c r="E87" s="18" t="s">
        <v>2786</v>
      </c>
      <c r="F87" s="19">
        <v>45623</v>
      </c>
      <c r="G87" s="108">
        <v>3161660.04</v>
      </c>
      <c r="H87" s="37">
        <f t="shared" si="5"/>
        <v>125</v>
      </c>
      <c r="I87" s="37" t="str">
        <f t="shared" si="4"/>
        <v>121-180 DAYS</v>
      </c>
      <c r="J87" s="37" t="str">
        <f t="shared" si="6"/>
        <v>0-180 DAYS</v>
      </c>
      <c r="K87" t="s">
        <v>1730</v>
      </c>
      <c r="L87" s="66" t="s">
        <v>2876</v>
      </c>
      <c r="M87" s="66">
        <v>3161660.04</v>
      </c>
      <c r="N87" s="66"/>
    </row>
    <row r="88" spans="1:14" hidden="1" x14ac:dyDescent="0.35">
      <c r="A88" s="2" t="s">
        <v>477</v>
      </c>
      <c r="B88" s="2" t="s">
        <v>790</v>
      </c>
      <c r="C88" s="18" t="s">
        <v>2321</v>
      </c>
      <c r="D88" s="18" t="s">
        <v>2347</v>
      </c>
      <c r="E88" s="18" t="s">
        <v>315</v>
      </c>
      <c r="F88" s="19">
        <v>45609</v>
      </c>
      <c r="G88" s="108">
        <v>40000</v>
      </c>
      <c r="H88" s="37">
        <f t="shared" si="5"/>
        <v>139</v>
      </c>
      <c r="I88" s="37" t="str">
        <f t="shared" ref="I88:I93" si="7">IF(H88&lt;91,"1-90 DAYS",IF(H88&lt;121,"91-120DAYS",IF(H88&lt;181,"121-180 DAYS","More than 180 Days")))</f>
        <v>121-180 DAYS</v>
      </c>
      <c r="J88" s="37" t="str">
        <f t="shared" si="6"/>
        <v>0-180 DAYS</v>
      </c>
      <c r="L88" s="66" t="s">
        <v>2865</v>
      </c>
      <c r="M88" s="66">
        <v>40000</v>
      </c>
      <c r="N88" s="66"/>
    </row>
    <row r="89" spans="1:14" hidden="1" x14ac:dyDescent="0.35">
      <c r="A89" s="88" t="s">
        <v>477</v>
      </c>
      <c r="B89" s="88" t="s">
        <v>790</v>
      </c>
      <c r="C89" s="18" t="s">
        <v>2888</v>
      </c>
      <c r="D89" s="18" t="s">
        <v>1088</v>
      </c>
      <c r="E89" s="18" t="s">
        <v>414</v>
      </c>
      <c r="F89" s="19">
        <v>45628</v>
      </c>
      <c r="G89" s="108">
        <v>46338.6</v>
      </c>
      <c r="H89" s="37">
        <f t="shared" si="5"/>
        <v>120</v>
      </c>
      <c r="I89" s="37" t="str">
        <f t="shared" si="7"/>
        <v>91-120DAYS</v>
      </c>
      <c r="J89" s="37" t="str">
        <f t="shared" si="6"/>
        <v>0-180 DAYS</v>
      </c>
      <c r="K89" t="s">
        <v>1730</v>
      </c>
      <c r="L89" s="66" t="s">
        <v>3066</v>
      </c>
      <c r="M89" s="66">
        <v>46338.6</v>
      </c>
      <c r="N89" s="66"/>
    </row>
    <row r="90" spans="1:14" hidden="1" x14ac:dyDescent="0.35">
      <c r="A90" s="88" t="s">
        <v>477</v>
      </c>
      <c r="B90" s="88" t="s">
        <v>790</v>
      </c>
      <c r="C90" s="18" t="s">
        <v>1838</v>
      </c>
      <c r="D90" s="18" t="s">
        <v>2001</v>
      </c>
      <c r="E90" s="18" t="s">
        <v>992</v>
      </c>
      <c r="F90" s="19">
        <v>45653</v>
      </c>
      <c r="G90" s="108">
        <f>935637.1-713190</f>
        <v>222447.09999999998</v>
      </c>
      <c r="H90" s="37">
        <f t="shared" si="5"/>
        <v>95</v>
      </c>
      <c r="I90" s="37" t="str">
        <f t="shared" si="7"/>
        <v>91-120DAYS</v>
      </c>
      <c r="J90" s="37" t="str">
        <f t="shared" si="6"/>
        <v>0-180 DAYS</v>
      </c>
      <c r="K90" t="s">
        <v>1730</v>
      </c>
      <c r="L90" s="66" t="s">
        <v>3089</v>
      </c>
      <c r="M90" s="66">
        <v>222447.1</v>
      </c>
      <c r="N90" s="66"/>
    </row>
    <row r="91" spans="1:14" hidden="1" x14ac:dyDescent="0.35">
      <c r="A91" s="88" t="s">
        <v>477</v>
      </c>
      <c r="B91" s="88" t="s">
        <v>790</v>
      </c>
      <c r="C91" s="18" t="s">
        <v>2322</v>
      </c>
      <c r="D91" s="18" t="s">
        <v>2348</v>
      </c>
      <c r="E91" s="18" t="s">
        <v>2948</v>
      </c>
      <c r="F91" s="19">
        <v>45638</v>
      </c>
      <c r="G91" s="108">
        <v>41117.1</v>
      </c>
      <c r="H91" s="37">
        <f t="shared" si="5"/>
        <v>110</v>
      </c>
      <c r="I91" s="37" t="str">
        <f t="shared" si="7"/>
        <v>91-120DAYS</v>
      </c>
      <c r="J91" s="37" t="str">
        <f t="shared" si="6"/>
        <v>0-180 DAYS</v>
      </c>
      <c r="K91" t="s">
        <v>1730</v>
      </c>
      <c r="L91" s="66" t="s">
        <v>3075</v>
      </c>
      <c r="M91" s="66">
        <v>41117.1</v>
      </c>
      <c r="N91" s="66"/>
    </row>
    <row r="92" spans="1:14" hidden="1" x14ac:dyDescent="0.35">
      <c r="A92" s="88" t="s">
        <v>477</v>
      </c>
      <c r="B92" s="88" t="s">
        <v>790</v>
      </c>
      <c r="C92" s="18" t="s">
        <v>259</v>
      </c>
      <c r="D92" s="18" t="s">
        <v>260</v>
      </c>
      <c r="E92" s="18" t="s">
        <v>2951</v>
      </c>
      <c r="F92" s="19">
        <v>45645</v>
      </c>
      <c r="G92" s="108">
        <f>1551328.2-1430267</f>
        <v>121061.19999999995</v>
      </c>
      <c r="H92" s="37">
        <f t="shared" si="5"/>
        <v>103</v>
      </c>
      <c r="I92" s="37" t="str">
        <f t="shared" si="7"/>
        <v>91-120DAYS</v>
      </c>
      <c r="J92" s="37" t="str">
        <f t="shared" si="6"/>
        <v>0-180 DAYS</v>
      </c>
      <c r="K92" t="s">
        <v>1730</v>
      </c>
      <c r="L92" s="66" t="s">
        <v>3082</v>
      </c>
      <c r="M92" s="66">
        <v>1551328.2</v>
      </c>
      <c r="N92" s="66"/>
    </row>
    <row r="93" spans="1:14" hidden="1" x14ac:dyDescent="0.35">
      <c r="A93" s="88" t="s">
        <v>477</v>
      </c>
      <c r="B93" s="88" t="s">
        <v>790</v>
      </c>
      <c r="C93" s="18" t="s">
        <v>3</v>
      </c>
      <c r="D93" s="18" t="s">
        <v>4</v>
      </c>
      <c r="E93" s="18" t="s">
        <v>2956</v>
      </c>
      <c r="F93" s="19">
        <v>45649</v>
      </c>
      <c r="G93" s="108">
        <f>612276.46-608660</f>
        <v>3616.4599999999627</v>
      </c>
      <c r="H93" s="37">
        <f t="shared" si="5"/>
        <v>99</v>
      </c>
      <c r="I93" s="37" t="str">
        <f t="shared" si="7"/>
        <v>91-120DAYS</v>
      </c>
      <c r="J93" s="37" t="str">
        <f t="shared" si="6"/>
        <v>0-180 DAYS</v>
      </c>
      <c r="K93" t="s">
        <v>1730</v>
      </c>
      <c r="L93" s="66" t="s">
        <v>3085</v>
      </c>
      <c r="M93" s="66">
        <v>612276.46</v>
      </c>
      <c r="N93" s="66"/>
    </row>
    <row r="94" spans="1:14" hidden="1" x14ac:dyDescent="0.35">
      <c r="A94" s="88" t="s">
        <v>3058</v>
      </c>
      <c r="B94" s="88" t="s">
        <v>790</v>
      </c>
      <c r="C94" s="18" t="s">
        <v>1086</v>
      </c>
      <c r="D94" t="s">
        <v>507</v>
      </c>
      <c r="E94" s="18" t="s">
        <v>2971</v>
      </c>
      <c r="F94" s="19">
        <v>45628</v>
      </c>
      <c r="G94" s="108">
        <v>1785361.6</v>
      </c>
      <c r="H94" s="37">
        <f t="shared" si="5"/>
        <v>120</v>
      </c>
      <c r="I94" s="37" t="str">
        <f t="shared" ref="I94:I156" si="8">IF(H94&lt;121,"0-120 DAYS",IF(H94&lt;181,"121-180 DAYS","More than 180 Days"))</f>
        <v>0-120 DAYS</v>
      </c>
      <c r="J94" s="37" t="str">
        <f t="shared" si="6"/>
        <v>0-180 DAYS</v>
      </c>
      <c r="K94" t="s">
        <v>1730</v>
      </c>
      <c r="L94" s="66" t="s">
        <v>3066</v>
      </c>
      <c r="M94" s="66">
        <v>1785361.6</v>
      </c>
      <c r="N94" s="66"/>
    </row>
    <row r="95" spans="1:14" hidden="1" x14ac:dyDescent="0.35">
      <c r="A95" s="88" t="s">
        <v>3058</v>
      </c>
      <c r="B95" s="88" t="s">
        <v>790</v>
      </c>
      <c r="C95" s="18" t="s">
        <v>1086</v>
      </c>
      <c r="D95" t="s">
        <v>507</v>
      </c>
      <c r="E95" s="18" t="s">
        <v>2972</v>
      </c>
      <c r="F95" s="19">
        <v>45628</v>
      </c>
      <c r="G95" s="108">
        <v>718920.71</v>
      </c>
      <c r="H95" s="37">
        <f t="shared" si="5"/>
        <v>120</v>
      </c>
      <c r="I95" s="37" t="str">
        <f t="shared" si="8"/>
        <v>0-120 DAYS</v>
      </c>
      <c r="J95" s="37" t="str">
        <f t="shared" si="6"/>
        <v>0-180 DAYS</v>
      </c>
      <c r="K95" t="s">
        <v>1730</v>
      </c>
      <c r="L95" s="66" t="s">
        <v>3066</v>
      </c>
      <c r="M95" s="66">
        <v>718920.71</v>
      </c>
      <c r="N95" s="66"/>
    </row>
    <row r="96" spans="1:14" hidden="1" x14ac:dyDescent="0.35">
      <c r="A96" s="88" t="s">
        <v>3058</v>
      </c>
      <c r="B96" s="88" t="s">
        <v>790</v>
      </c>
      <c r="C96" s="18" t="s">
        <v>647</v>
      </c>
      <c r="D96" t="s">
        <v>507</v>
      </c>
      <c r="E96" s="18" t="s">
        <v>595</v>
      </c>
      <c r="F96" s="19">
        <v>45629</v>
      </c>
      <c r="G96" s="108">
        <v>3696792</v>
      </c>
      <c r="H96" s="37">
        <f t="shared" si="5"/>
        <v>119</v>
      </c>
      <c r="I96" s="37" t="str">
        <f t="shared" si="8"/>
        <v>0-120 DAYS</v>
      </c>
      <c r="J96" s="37" t="str">
        <f t="shared" si="6"/>
        <v>0-180 DAYS</v>
      </c>
      <c r="K96" t="s">
        <v>1730</v>
      </c>
      <c r="L96" s="66" t="s">
        <v>3067</v>
      </c>
      <c r="M96" s="66">
        <v>3696792</v>
      </c>
      <c r="N96" s="66"/>
    </row>
    <row r="97" spans="1:14" hidden="1" x14ac:dyDescent="0.35">
      <c r="A97" s="88" t="s">
        <v>3058</v>
      </c>
      <c r="B97" s="88" t="s">
        <v>790</v>
      </c>
      <c r="C97" s="18" t="s">
        <v>573</v>
      </c>
      <c r="D97" t="s">
        <v>507</v>
      </c>
      <c r="E97" s="18" t="s">
        <v>2973</v>
      </c>
      <c r="F97" s="19">
        <v>45629</v>
      </c>
      <c r="G97" s="108">
        <v>2442374</v>
      </c>
      <c r="H97" s="37">
        <f t="shared" si="5"/>
        <v>119</v>
      </c>
      <c r="I97" s="37" t="str">
        <f t="shared" si="8"/>
        <v>0-120 DAYS</v>
      </c>
      <c r="J97" s="37" t="str">
        <f t="shared" si="6"/>
        <v>0-180 DAYS</v>
      </c>
      <c r="K97" t="s">
        <v>1730</v>
      </c>
      <c r="L97" s="66" t="s">
        <v>3067</v>
      </c>
      <c r="M97" s="66">
        <v>2442374</v>
      </c>
      <c r="N97" s="66"/>
    </row>
    <row r="98" spans="1:14" hidden="1" x14ac:dyDescent="0.35">
      <c r="A98" s="88" t="s">
        <v>3058</v>
      </c>
      <c r="B98" s="88" t="s">
        <v>790</v>
      </c>
      <c r="C98" s="18" t="s">
        <v>573</v>
      </c>
      <c r="D98" t="s">
        <v>507</v>
      </c>
      <c r="E98" s="18" t="s">
        <v>2974</v>
      </c>
      <c r="F98" s="19">
        <v>45629</v>
      </c>
      <c r="G98" s="108">
        <v>214910.52</v>
      </c>
      <c r="H98" s="37">
        <f t="shared" si="5"/>
        <v>119</v>
      </c>
      <c r="I98" s="37" t="str">
        <f t="shared" si="8"/>
        <v>0-120 DAYS</v>
      </c>
      <c r="J98" s="37" t="str">
        <f t="shared" si="6"/>
        <v>0-180 DAYS</v>
      </c>
      <c r="K98" t="s">
        <v>1730</v>
      </c>
      <c r="L98" s="66" t="s">
        <v>3067</v>
      </c>
      <c r="M98" s="66">
        <v>214910.52</v>
      </c>
      <c r="N98" s="66"/>
    </row>
    <row r="99" spans="1:14" hidden="1" x14ac:dyDescent="0.35">
      <c r="A99" s="88" t="s">
        <v>3058</v>
      </c>
      <c r="B99" s="88" t="s">
        <v>790</v>
      </c>
      <c r="C99" s="18" t="s">
        <v>1052</v>
      </c>
      <c r="D99" t="s">
        <v>507</v>
      </c>
      <c r="E99" s="18" t="s">
        <v>2976</v>
      </c>
      <c r="F99" s="19">
        <v>45631</v>
      </c>
      <c r="G99" s="108">
        <v>2961638.68</v>
      </c>
      <c r="H99" s="37">
        <f t="shared" si="5"/>
        <v>117</v>
      </c>
      <c r="I99" s="37" t="str">
        <f t="shared" si="8"/>
        <v>0-120 DAYS</v>
      </c>
      <c r="J99" s="37" t="str">
        <f t="shared" si="6"/>
        <v>0-180 DAYS</v>
      </c>
      <c r="K99" t="s">
        <v>1730</v>
      </c>
      <c r="L99" s="66" t="s">
        <v>3069</v>
      </c>
      <c r="M99" s="66">
        <v>2961638.68</v>
      </c>
      <c r="N99" s="66"/>
    </row>
    <row r="100" spans="1:14" hidden="1" x14ac:dyDescent="0.35">
      <c r="A100" s="88" t="s">
        <v>3058</v>
      </c>
      <c r="B100" s="88" t="s">
        <v>790</v>
      </c>
      <c r="C100" s="18" t="s">
        <v>1086</v>
      </c>
      <c r="D100" t="s">
        <v>507</v>
      </c>
      <c r="E100" s="18" t="s">
        <v>2977</v>
      </c>
      <c r="F100" s="19">
        <v>45632</v>
      </c>
      <c r="G100" s="108">
        <v>1727039.55</v>
      </c>
      <c r="H100" s="37">
        <f t="shared" si="5"/>
        <v>116</v>
      </c>
      <c r="I100" s="37" t="str">
        <f t="shared" si="8"/>
        <v>0-120 DAYS</v>
      </c>
      <c r="J100" s="37" t="str">
        <f t="shared" si="6"/>
        <v>0-180 DAYS</v>
      </c>
      <c r="K100" t="s">
        <v>1730</v>
      </c>
      <c r="L100" s="66" t="s">
        <v>3070</v>
      </c>
      <c r="M100" s="66">
        <v>1727039.55</v>
      </c>
      <c r="N100" s="66"/>
    </row>
    <row r="101" spans="1:14" hidden="1" x14ac:dyDescent="0.35">
      <c r="A101" s="88" t="s">
        <v>3058</v>
      </c>
      <c r="B101" s="88" t="s">
        <v>790</v>
      </c>
      <c r="C101" s="18" t="s">
        <v>1086</v>
      </c>
      <c r="D101" t="s">
        <v>507</v>
      </c>
      <c r="E101" s="18" t="s">
        <v>2978</v>
      </c>
      <c r="F101" s="19">
        <v>45632</v>
      </c>
      <c r="G101" s="108">
        <v>388496.43</v>
      </c>
      <c r="H101" s="37">
        <f t="shared" si="5"/>
        <v>116</v>
      </c>
      <c r="I101" s="37" t="str">
        <f t="shared" si="8"/>
        <v>0-120 DAYS</v>
      </c>
      <c r="J101" s="37" t="str">
        <f t="shared" si="6"/>
        <v>0-180 DAYS</v>
      </c>
      <c r="K101" t="s">
        <v>1730</v>
      </c>
      <c r="L101" s="66" t="s">
        <v>3070</v>
      </c>
      <c r="M101" s="66">
        <v>388496.43</v>
      </c>
      <c r="N101" s="66"/>
    </row>
    <row r="102" spans="1:14" hidden="1" x14ac:dyDescent="0.35">
      <c r="A102" s="88" t="s">
        <v>3058</v>
      </c>
      <c r="B102" s="88" t="s">
        <v>790</v>
      </c>
      <c r="C102" s="18" t="s">
        <v>1086</v>
      </c>
      <c r="D102" t="s">
        <v>507</v>
      </c>
      <c r="E102" s="18" t="s">
        <v>2979</v>
      </c>
      <c r="F102" s="19">
        <v>45632</v>
      </c>
      <c r="G102" s="108">
        <v>122888.33</v>
      </c>
      <c r="H102" s="37">
        <f t="shared" si="5"/>
        <v>116</v>
      </c>
      <c r="I102" s="37" t="str">
        <f t="shared" si="8"/>
        <v>0-120 DAYS</v>
      </c>
      <c r="J102" s="37" t="str">
        <f t="shared" si="6"/>
        <v>0-180 DAYS</v>
      </c>
      <c r="K102" t="s">
        <v>1730</v>
      </c>
      <c r="L102" s="66" t="s">
        <v>3070</v>
      </c>
      <c r="M102" s="66">
        <v>122888.33</v>
      </c>
      <c r="N102" s="66"/>
    </row>
    <row r="103" spans="1:14" hidden="1" x14ac:dyDescent="0.35">
      <c r="A103" s="88" t="s">
        <v>3058</v>
      </c>
      <c r="B103" s="88" t="s">
        <v>790</v>
      </c>
      <c r="C103" s="18" t="s">
        <v>1052</v>
      </c>
      <c r="D103" t="s">
        <v>507</v>
      </c>
      <c r="E103" s="18" t="s">
        <v>2980</v>
      </c>
      <c r="F103" s="19">
        <v>45633</v>
      </c>
      <c r="G103" s="108">
        <v>2987209.16</v>
      </c>
      <c r="H103" s="37">
        <f t="shared" si="5"/>
        <v>115</v>
      </c>
      <c r="I103" s="37" t="str">
        <f t="shared" si="8"/>
        <v>0-120 DAYS</v>
      </c>
      <c r="J103" s="37" t="str">
        <f t="shared" si="6"/>
        <v>0-180 DAYS</v>
      </c>
      <c r="K103" t="s">
        <v>1730</v>
      </c>
      <c r="L103" s="66" t="s">
        <v>3071</v>
      </c>
      <c r="M103" s="66">
        <v>2987209.16</v>
      </c>
      <c r="N103" s="66"/>
    </row>
    <row r="104" spans="1:14" hidden="1" x14ac:dyDescent="0.35">
      <c r="A104" s="88" t="s">
        <v>3058</v>
      </c>
      <c r="B104" s="88" t="s">
        <v>790</v>
      </c>
      <c r="C104" s="18" t="s">
        <v>647</v>
      </c>
      <c r="D104" t="s">
        <v>507</v>
      </c>
      <c r="E104" s="18" t="s">
        <v>605</v>
      </c>
      <c r="F104" s="19">
        <v>45637</v>
      </c>
      <c r="G104" s="108">
        <v>3710058.01</v>
      </c>
      <c r="H104" s="37">
        <f t="shared" si="5"/>
        <v>111</v>
      </c>
      <c r="I104" s="37" t="str">
        <f t="shared" si="8"/>
        <v>0-120 DAYS</v>
      </c>
      <c r="J104" s="37" t="str">
        <f t="shared" si="6"/>
        <v>0-180 DAYS</v>
      </c>
      <c r="K104" t="s">
        <v>1730</v>
      </c>
      <c r="L104" s="66" t="s">
        <v>3074</v>
      </c>
      <c r="M104" s="66">
        <v>3710058.01</v>
      </c>
      <c r="N104" s="66"/>
    </row>
    <row r="105" spans="1:14" hidden="1" x14ac:dyDescent="0.35">
      <c r="A105" s="2" t="s">
        <v>1209</v>
      </c>
      <c r="B105" s="2" t="s">
        <v>789</v>
      </c>
      <c r="C105" s="18" t="s">
        <v>506</v>
      </c>
      <c r="D105" t="s">
        <v>507</v>
      </c>
      <c r="E105" s="18" t="s">
        <v>2982</v>
      </c>
      <c r="F105" s="19">
        <v>45637</v>
      </c>
      <c r="G105" s="108">
        <v>2912928.29</v>
      </c>
      <c r="H105" s="37">
        <f t="shared" si="5"/>
        <v>111</v>
      </c>
      <c r="I105" s="37" t="str">
        <f t="shared" si="8"/>
        <v>0-120 DAYS</v>
      </c>
      <c r="J105" s="37" t="str">
        <f t="shared" si="6"/>
        <v>0-180 DAYS</v>
      </c>
      <c r="L105" s="66" t="s">
        <v>3074</v>
      </c>
      <c r="M105" s="66">
        <v>2912928.29</v>
      </c>
      <c r="N105" s="66"/>
    </row>
    <row r="106" spans="1:14" hidden="1" x14ac:dyDescent="0.35">
      <c r="A106" s="2" t="s">
        <v>1209</v>
      </c>
      <c r="B106" s="2" t="s">
        <v>789</v>
      </c>
      <c r="C106" s="18" t="s">
        <v>506</v>
      </c>
      <c r="D106" t="s">
        <v>507</v>
      </c>
      <c r="E106" s="18" t="s">
        <v>2983</v>
      </c>
      <c r="F106" s="19">
        <v>45637</v>
      </c>
      <c r="G106" s="108">
        <v>316593.28999999998</v>
      </c>
      <c r="H106" s="37">
        <f t="shared" si="5"/>
        <v>111</v>
      </c>
      <c r="I106" s="37" t="str">
        <f t="shared" si="8"/>
        <v>0-120 DAYS</v>
      </c>
      <c r="J106" s="37" t="str">
        <f t="shared" si="6"/>
        <v>0-180 DAYS</v>
      </c>
      <c r="L106" s="66" t="s">
        <v>3074</v>
      </c>
      <c r="M106" s="66">
        <v>316593.28999999998</v>
      </c>
      <c r="N106" s="66"/>
    </row>
    <row r="107" spans="1:14" hidden="1" x14ac:dyDescent="0.35">
      <c r="A107" s="88" t="s">
        <v>3058</v>
      </c>
      <c r="B107" s="88" t="s">
        <v>790</v>
      </c>
      <c r="C107" s="18" t="s">
        <v>1052</v>
      </c>
      <c r="D107" t="s">
        <v>507</v>
      </c>
      <c r="E107" s="18" t="s">
        <v>2984</v>
      </c>
      <c r="F107" s="19">
        <v>45638</v>
      </c>
      <c r="G107" s="108">
        <v>2781024.91</v>
      </c>
      <c r="H107" s="37">
        <f t="shared" si="5"/>
        <v>110</v>
      </c>
      <c r="I107" s="37" t="str">
        <f t="shared" si="8"/>
        <v>0-120 DAYS</v>
      </c>
      <c r="J107" s="37" t="str">
        <f t="shared" si="6"/>
        <v>0-180 DAYS</v>
      </c>
      <c r="K107" t="s">
        <v>1730</v>
      </c>
      <c r="L107" s="66" t="s">
        <v>3075</v>
      </c>
      <c r="M107" s="66">
        <v>2781024.91</v>
      </c>
      <c r="N107" s="66"/>
    </row>
    <row r="108" spans="1:14" hidden="1" x14ac:dyDescent="0.35">
      <c r="A108" s="88" t="s">
        <v>3058</v>
      </c>
      <c r="B108" s="88" t="s">
        <v>790</v>
      </c>
      <c r="C108" s="18" t="s">
        <v>2969</v>
      </c>
      <c r="D108" t="s">
        <v>507</v>
      </c>
      <c r="E108" s="18" t="s">
        <v>2985</v>
      </c>
      <c r="F108" s="19">
        <v>45639</v>
      </c>
      <c r="G108" s="108">
        <v>3349804.82</v>
      </c>
      <c r="H108" s="37">
        <f t="shared" si="5"/>
        <v>109</v>
      </c>
      <c r="I108" s="37" t="str">
        <f t="shared" si="8"/>
        <v>0-120 DAYS</v>
      </c>
      <c r="J108" s="37" t="str">
        <f t="shared" si="6"/>
        <v>0-180 DAYS</v>
      </c>
      <c r="K108" t="s">
        <v>1730</v>
      </c>
      <c r="L108" s="66" t="s">
        <v>3076</v>
      </c>
      <c r="M108" s="66">
        <v>3349804.82</v>
      </c>
      <c r="N108" s="66"/>
    </row>
    <row r="109" spans="1:14" hidden="1" x14ac:dyDescent="0.35">
      <c r="A109" s="88" t="s">
        <v>3058</v>
      </c>
      <c r="B109" s="88" t="s">
        <v>790</v>
      </c>
      <c r="C109" s="18" t="s">
        <v>1052</v>
      </c>
      <c r="D109" t="s">
        <v>507</v>
      </c>
      <c r="E109" s="18" t="s">
        <v>2987</v>
      </c>
      <c r="F109" s="19">
        <v>45644</v>
      </c>
      <c r="G109" s="108">
        <v>2994643.54</v>
      </c>
      <c r="H109" s="37">
        <f t="shared" si="5"/>
        <v>104</v>
      </c>
      <c r="I109" s="37" t="str">
        <f t="shared" si="8"/>
        <v>0-120 DAYS</v>
      </c>
      <c r="J109" s="37" t="str">
        <f t="shared" si="6"/>
        <v>0-180 DAYS</v>
      </c>
      <c r="K109" t="s">
        <v>1730</v>
      </c>
      <c r="L109" s="66" t="s">
        <v>3081</v>
      </c>
      <c r="M109" s="66">
        <v>2994643.54</v>
      </c>
      <c r="N109" s="66"/>
    </row>
    <row r="110" spans="1:14" hidden="1" x14ac:dyDescent="0.35">
      <c r="A110" s="88" t="s">
        <v>3058</v>
      </c>
      <c r="B110" s="88" t="s">
        <v>790</v>
      </c>
      <c r="C110" s="18" t="s">
        <v>1052</v>
      </c>
      <c r="D110" t="s">
        <v>507</v>
      </c>
      <c r="E110" s="18" t="s">
        <v>2989</v>
      </c>
      <c r="F110" s="19">
        <v>45645</v>
      </c>
      <c r="G110" s="108">
        <v>2986093.29</v>
      </c>
      <c r="H110" s="37">
        <f t="shared" si="5"/>
        <v>103</v>
      </c>
      <c r="I110" s="37" t="str">
        <f t="shared" si="8"/>
        <v>0-120 DAYS</v>
      </c>
      <c r="J110" s="37" t="str">
        <f t="shared" si="6"/>
        <v>0-180 DAYS</v>
      </c>
      <c r="K110" t="s">
        <v>1730</v>
      </c>
      <c r="L110" s="66" t="s">
        <v>3082</v>
      </c>
      <c r="M110" s="66">
        <v>2986093.29</v>
      </c>
      <c r="N110" s="66"/>
    </row>
    <row r="111" spans="1:14" hidden="1" x14ac:dyDescent="0.35">
      <c r="A111" s="88" t="s">
        <v>3058</v>
      </c>
      <c r="B111" s="88" t="s">
        <v>790</v>
      </c>
      <c r="C111" s="18" t="s">
        <v>1052</v>
      </c>
      <c r="D111" t="s">
        <v>507</v>
      </c>
      <c r="E111" s="18" t="s">
        <v>2992</v>
      </c>
      <c r="F111" s="19">
        <v>45647</v>
      </c>
      <c r="G111" s="108">
        <v>2987573.24</v>
      </c>
      <c r="H111" s="37">
        <f t="shared" si="5"/>
        <v>101</v>
      </c>
      <c r="I111" s="37" t="str">
        <f t="shared" si="8"/>
        <v>0-120 DAYS</v>
      </c>
      <c r="J111" s="37" t="str">
        <f t="shared" si="6"/>
        <v>0-180 DAYS</v>
      </c>
      <c r="K111" t="s">
        <v>1730</v>
      </c>
      <c r="L111" s="66" t="s">
        <v>3084</v>
      </c>
      <c r="M111" s="66">
        <v>2987573.24</v>
      </c>
      <c r="N111" s="66"/>
    </row>
    <row r="112" spans="1:14" hidden="1" x14ac:dyDescent="0.35">
      <c r="A112" s="88" t="s">
        <v>3058</v>
      </c>
      <c r="B112" s="88" t="s">
        <v>790</v>
      </c>
      <c r="C112" s="18" t="s">
        <v>1052</v>
      </c>
      <c r="D112" t="s">
        <v>507</v>
      </c>
      <c r="E112" s="18" t="s">
        <v>2995</v>
      </c>
      <c r="F112" s="19">
        <v>45652</v>
      </c>
      <c r="G112" s="108">
        <v>2991159.77</v>
      </c>
      <c r="H112" s="37">
        <f t="shared" si="5"/>
        <v>96</v>
      </c>
      <c r="I112" s="37" t="str">
        <f t="shared" si="8"/>
        <v>0-120 DAYS</v>
      </c>
      <c r="J112" s="37" t="str">
        <f t="shared" si="6"/>
        <v>0-180 DAYS</v>
      </c>
      <c r="K112" t="s">
        <v>1730</v>
      </c>
      <c r="L112" s="66" t="s">
        <v>3088</v>
      </c>
      <c r="M112" s="66">
        <v>2991159.77</v>
      </c>
      <c r="N112" s="66"/>
    </row>
    <row r="113" spans="1:14" hidden="1" x14ac:dyDescent="0.35">
      <c r="A113" s="88" t="s">
        <v>3058</v>
      </c>
      <c r="B113" s="88" t="s">
        <v>790</v>
      </c>
      <c r="C113" s="18" t="s">
        <v>1052</v>
      </c>
      <c r="D113" t="s">
        <v>507</v>
      </c>
      <c r="E113" s="18" t="s">
        <v>2996</v>
      </c>
      <c r="F113" s="19">
        <v>45652</v>
      </c>
      <c r="G113" s="108">
        <v>2704204.27</v>
      </c>
      <c r="H113" s="37">
        <f t="shared" si="5"/>
        <v>96</v>
      </c>
      <c r="I113" s="37" t="str">
        <f t="shared" si="8"/>
        <v>0-120 DAYS</v>
      </c>
      <c r="J113" s="37" t="str">
        <f t="shared" si="6"/>
        <v>0-180 DAYS</v>
      </c>
      <c r="K113" t="s">
        <v>1730</v>
      </c>
      <c r="L113" s="66" t="s">
        <v>3088</v>
      </c>
      <c r="M113" s="66">
        <v>2704204.27</v>
      </c>
      <c r="N113" s="66"/>
    </row>
    <row r="114" spans="1:14" hidden="1" x14ac:dyDescent="0.35">
      <c r="A114" s="88" t="s">
        <v>3058</v>
      </c>
      <c r="B114" s="88" t="s">
        <v>790</v>
      </c>
      <c r="C114" s="18" t="s">
        <v>617</v>
      </c>
      <c r="D114" t="s">
        <v>507</v>
      </c>
      <c r="E114" s="18" t="s">
        <v>2997</v>
      </c>
      <c r="F114" s="19">
        <v>45654</v>
      </c>
      <c r="G114" s="108">
        <v>4279229.37</v>
      </c>
      <c r="H114" s="37">
        <f t="shared" si="5"/>
        <v>94</v>
      </c>
      <c r="I114" s="37" t="str">
        <f t="shared" si="8"/>
        <v>0-120 DAYS</v>
      </c>
      <c r="J114" s="37" t="str">
        <f t="shared" si="6"/>
        <v>0-180 DAYS</v>
      </c>
      <c r="K114" t="s">
        <v>1730</v>
      </c>
      <c r="L114" s="66" t="s">
        <v>3090</v>
      </c>
      <c r="M114" s="66">
        <v>4279229.37</v>
      </c>
      <c r="N114" s="66"/>
    </row>
    <row r="115" spans="1:14" hidden="1" x14ac:dyDescent="0.35">
      <c r="A115" s="88" t="s">
        <v>3058</v>
      </c>
      <c r="B115" s="88" t="s">
        <v>790</v>
      </c>
      <c r="C115" s="18" t="s">
        <v>1330</v>
      </c>
      <c r="D115" t="s">
        <v>507</v>
      </c>
      <c r="E115" s="18" t="s">
        <v>2998</v>
      </c>
      <c r="F115" s="19">
        <v>45657</v>
      </c>
      <c r="G115" s="108">
        <v>3297738.54</v>
      </c>
      <c r="H115" s="37">
        <f t="shared" si="5"/>
        <v>91</v>
      </c>
      <c r="I115" s="37" t="str">
        <f t="shared" si="8"/>
        <v>0-120 DAYS</v>
      </c>
      <c r="J115" s="37" t="str">
        <f t="shared" si="6"/>
        <v>0-180 DAYS</v>
      </c>
      <c r="K115" t="s">
        <v>1730</v>
      </c>
      <c r="L115" s="66" t="s">
        <v>3064</v>
      </c>
      <c r="M115" s="66">
        <v>3297738.54</v>
      </c>
      <c r="N115" s="66"/>
    </row>
    <row r="116" spans="1:14" hidden="1" x14ac:dyDescent="0.35">
      <c r="A116" s="88" t="s">
        <v>3058</v>
      </c>
      <c r="B116" s="88" t="s">
        <v>790</v>
      </c>
      <c r="C116" s="18" t="s">
        <v>573</v>
      </c>
      <c r="D116" t="s">
        <v>507</v>
      </c>
      <c r="E116" s="18" t="s">
        <v>2999</v>
      </c>
      <c r="F116" s="19">
        <v>45627</v>
      </c>
      <c r="G116" s="108">
        <v>1653205.88</v>
      </c>
      <c r="H116" s="37">
        <f t="shared" si="5"/>
        <v>121</v>
      </c>
      <c r="I116" s="37" t="str">
        <f t="shared" si="8"/>
        <v>121-180 DAYS</v>
      </c>
      <c r="J116" s="37" t="str">
        <f t="shared" si="6"/>
        <v>0-180 DAYS</v>
      </c>
      <c r="K116" t="s">
        <v>1730</v>
      </c>
      <c r="L116" s="66" t="s">
        <v>3065</v>
      </c>
      <c r="M116" s="66">
        <v>1653205.88</v>
      </c>
      <c r="N116" s="66"/>
    </row>
    <row r="117" spans="1:14" hidden="1" x14ac:dyDescent="0.35">
      <c r="A117" s="88" t="s">
        <v>3058</v>
      </c>
      <c r="B117" s="88" t="s">
        <v>790</v>
      </c>
      <c r="C117" s="18" t="s">
        <v>650</v>
      </c>
      <c r="D117" t="s">
        <v>507</v>
      </c>
      <c r="E117" s="18" t="s">
        <v>3000</v>
      </c>
      <c r="F117" s="19">
        <v>45627</v>
      </c>
      <c r="G117" s="108">
        <v>2916401.2</v>
      </c>
      <c r="H117" s="37">
        <f t="shared" si="5"/>
        <v>121</v>
      </c>
      <c r="I117" s="37" t="str">
        <f t="shared" si="8"/>
        <v>121-180 DAYS</v>
      </c>
      <c r="J117" s="37" t="str">
        <f t="shared" si="6"/>
        <v>0-180 DAYS</v>
      </c>
      <c r="K117" t="s">
        <v>1730</v>
      </c>
      <c r="L117" s="66" t="s">
        <v>3065</v>
      </c>
      <c r="M117" s="66">
        <v>2916401.2</v>
      </c>
      <c r="N117" s="66"/>
    </row>
    <row r="118" spans="1:14" hidden="1" x14ac:dyDescent="0.35">
      <c r="A118" s="88" t="s">
        <v>3058</v>
      </c>
      <c r="B118" s="88" t="s">
        <v>790</v>
      </c>
      <c r="C118" s="18" t="s">
        <v>650</v>
      </c>
      <c r="D118" t="s">
        <v>507</v>
      </c>
      <c r="E118" s="18" t="s">
        <v>3001</v>
      </c>
      <c r="F118" s="19">
        <v>45627</v>
      </c>
      <c r="G118" s="108">
        <v>3415312.06</v>
      </c>
      <c r="H118" s="37">
        <f t="shared" si="5"/>
        <v>121</v>
      </c>
      <c r="I118" s="37" t="str">
        <f t="shared" si="8"/>
        <v>121-180 DAYS</v>
      </c>
      <c r="J118" s="37" t="str">
        <f t="shared" si="6"/>
        <v>0-180 DAYS</v>
      </c>
      <c r="K118" t="s">
        <v>1730</v>
      </c>
      <c r="L118" s="66" t="s">
        <v>3065</v>
      </c>
      <c r="M118" s="66">
        <v>3415312.06</v>
      </c>
      <c r="N118" s="66"/>
    </row>
    <row r="119" spans="1:14" hidden="1" x14ac:dyDescent="0.35">
      <c r="A119" s="88" t="s">
        <v>3058</v>
      </c>
      <c r="B119" s="88" t="s">
        <v>790</v>
      </c>
      <c r="C119" s="18" t="s">
        <v>570</v>
      </c>
      <c r="D119" t="s">
        <v>507</v>
      </c>
      <c r="E119" s="18" t="s">
        <v>3002</v>
      </c>
      <c r="F119" s="19">
        <v>45628</v>
      </c>
      <c r="G119" s="108">
        <v>3170112</v>
      </c>
      <c r="H119" s="37">
        <f t="shared" si="5"/>
        <v>120</v>
      </c>
      <c r="I119" s="37" t="str">
        <f t="shared" si="8"/>
        <v>0-120 DAYS</v>
      </c>
      <c r="J119" s="37" t="str">
        <f t="shared" si="6"/>
        <v>0-180 DAYS</v>
      </c>
      <c r="K119" t="s">
        <v>1730</v>
      </c>
      <c r="L119" s="66" t="s">
        <v>3066</v>
      </c>
      <c r="M119" s="66">
        <v>3170112</v>
      </c>
      <c r="N119" s="66"/>
    </row>
    <row r="120" spans="1:14" hidden="1" x14ac:dyDescent="0.35">
      <c r="A120" s="88" t="s">
        <v>3058</v>
      </c>
      <c r="B120" s="88" t="s">
        <v>790</v>
      </c>
      <c r="C120" s="18" t="s">
        <v>1086</v>
      </c>
      <c r="D120" t="s">
        <v>507</v>
      </c>
      <c r="E120" s="18" t="s">
        <v>3003</v>
      </c>
      <c r="F120" s="19">
        <v>45628</v>
      </c>
      <c r="G120" s="108">
        <v>726734.8</v>
      </c>
      <c r="H120" s="37">
        <f t="shared" si="5"/>
        <v>120</v>
      </c>
      <c r="I120" s="37" t="str">
        <f t="shared" si="8"/>
        <v>0-120 DAYS</v>
      </c>
      <c r="J120" s="37" t="str">
        <f t="shared" si="6"/>
        <v>0-180 DAYS</v>
      </c>
      <c r="K120" t="s">
        <v>1730</v>
      </c>
      <c r="L120" s="66" t="s">
        <v>3066</v>
      </c>
      <c r="M120" s="66">
        <v>726734.8</v>
      </c>
      <c r="N120" s="66"/>
    </row>
    <row r="121" spans="1:14" hidden="1" x14ac:dyDescent="0.35">
      <c r="A121" s="88" t="s">
        <v>3058</v>
      </c>
      <c r="B121" s="88" t="s">
        <v>790</v>
      </c>
      <c r="C121" s="18" t="s">
        <v>1086</v>
      </c>
      <c r="D121" t="s">
        <v>507</v>
      </c>
      <c r="E121" s="18" t="s">
        <v>3004</v>
      </c>
      <c r="F121" s="19">
        <v>45628</v>
      </c>
      <c r="G121" s="108">
        <v>2308421.7200000002</v>
      </c>
      <c r="H121" s="37">
        <f t="shared" si="5"/>
        <v>120</v>
      </c>
      <c r="I121" s="37" t="str">
        <f t="shared" si="8"/>
        <v>0-120 DAYS</v>
      </c>
      <c r="J121" s="37" t="str">
        <f t="shared" si="6"/>
        <v>0-180 DAYS</v>
      </c>
      <c r="K121" t="s">
        <v>1730</v>
      </c>
      <c r="L121" s="66" t="s">
        <v>3066</v>
      </c>
      <c r="M121" s="66">
        <v>2308421.7200000002</v>
      </c>
      <c r="N121" s="66"/>
    </row>
    <row r="122" spans="1:14" hidden="1" x14ac:dyDescent="0.35">
      <c r="A122" s="88" t="s">
        <v>3058</v>
      </c>
      <c r="B122" s="88" t="s">
        <v>790</v>
      </c>
      <c r="C122" s="18" t="s">
        <v>728</v>
      </c>
      <c r="D122" t="s">
        <v>507</v>
      </c>
      <c r="E122" s="18" t="s">
        <v>3005</v>
      </c>
      <c r="F122" s="19">
        <v>45630</v>
      </c>
      <c r="G122" s="108">
        <v>3214252.8</v>
      </c>
      <c r="H122" s="37">
        <f t="shared" si="5"/>
        <v>118</v>
      </c>
      <c r="I122" s="37" t="str">
        <f t="shared" si="8"/>
        <v>0-120 DAYS</v>
      </c>
      <c r="J122" s="37" t="str">
        <f t="shared" si="6"/>
        <v>0-180 DAYS</v>
      </c>
      <c r="K122" t="s">
        <v>1730</v>
      </c>
      <c r="L122" s="66" t="s">
        <v>3068</v>
      </c>
      <c r="M122" s="66">
        <v>3214252.8</v>
      </c>
      <c r="N122" s="66"/>
    </row>
    <row r="123" spans="1:14" s="157" customFormat="1" hidden="1" x14ac:dyDescent="0.35">
      <c r="A123" s="152" t="s">
        <v>3058</v>
      </c>
      <c r="B123" s="152" t="s">
        <v>790</v>
      </c>
      <c r="C123" s="154" t="s">
        <v>2970</v>
      </c>
      <c r="D123" t="s">
        <v>507</v>
      </c>
      <c r="E123" s="154" t="s">
        <v>3006</v>
      </c>
      <c r="F123" s="155">
        <v>45630</v>
      </c>
      <c r="G123" s="159">
        <f>3830246.86-1652463-406863-800000</f>
        <v>970920.85999999987</v>
      </c>
      <c r="H123" s="37">
        <f t="shared" si="5"/>
        <v>118</v>
      </c>
      <c r="I123" s="37" t="str">
        <f t="shared" si="8"/>
        <v>0-120 DAYS</v>
      </c>
      <c r="J123" s="37" t="str">
        <f t="shared" si="6"/>
        <v>0-180 DAYS</v>
      </c>
      <c r="K123" t="s">
        <v>1730</v>
      </c>
      <c r="L123" s="66" t="s">
        <v>3068</v>
      </c>
      <c r="M123" s="66">
        <v>970920.86</v>
      </c>
      <c r="N123" s="66"/>
    </row>
    <row r="124" spans="1:14" hidden="1" x14ac:dyDescent="0.35">
      <c r="A124" s="88" t="s">
        <v>3058</v>
      </c>
      <c r="B124" s="88" t="s">
        <v>790</v>
      </c>
      <c r="C124" s="18" t="s">
        <v>570</v>
      </c>
      <c r="D124" t="s">
        <v>507</v>
      </c>
      <c r="E124" s="18" t="s">
        <v>3008</v>
      </c>
      <c r="F124" s="19">
        <v>45632</v>
      </c>
      <c r="G124" s="108">
        <v>3181488</v>
      </c>
      <c r="H124" s="37">
        <f t="shared" si="5"/>
        <v>116</v>
      </c>
      <c r="I124" s="37" t="str">
        <f t="shared" si="8"/>
        <v>0-120 DAYS</v>
      </c>
      <c r="J124" s="37" t="str">
        <f t="shared" si="6"/>
        <v>0-180 DAYS</v>
      </c>
      <c r="K124" t="s">
        <v>1730</v>
      </c>
      <c r="L124" s="66" t="s">
        <v>3070</v>
      </c>
      <c r="M124" s="66">
        <v>3181488</v>
      </c>
      <c r="N124" s="66"/>
    </row>
    <row r="125" spans="1:14" hidden="1" x14ac:dyDescent="0.35">
      <c r="A125" s="88" t="s">
        <v>3058</v>
      </c>
      <c r="B125" s="88" t="s">
        <v>790</v>
      </c>
      <c r="C125" s="18" t="s">
        <v>1086</v>
      </c>
      <c r="D125" t="s">
        <v>507</v>
      </c>
      <c r="E125" s="18" t="s">
        <v>3012</v>
      </c>
      <c r="F125" s="19">
        <v>45638</v>
      </c>
      <c r="G125" s="108">
        <v>1585290.5</v>
      </c>
      <c r="H125" s="37">
        <f t="shared" si="5"/>
        <v>110</v>
      </c>
      <c r="I125" s="37" t="str">
        <f t="shared" si="8"/>
        <v>0-120 DAYS</v>
      </c>
      <c r="J125" s="37" t="str">
        <f t="shared" si="6"/>
        <v>0-180 DAYS</v>
      </c>
      <c r="K125" t="s">
        <v>1730</v>
      </c>
      <c r="L125" s="66" t="s">
        <v>3075</v>
      </c>
      <c r="M125" s="66">
        <v>1585290.5</v>
      </c>
      <c r="N125" s="66"/>
    </row>
    <row r="126" spans="1:14" hidden="1" x14ac:dyDescent="0.35">
      <c r="A126" s="88" t="s">
        <v>3058</v>
      </c>
      <c r="B126" s="88" t="s">
        <v>790</v>
      </c>
      <c r="C126" s="18" t="s">
        <v>1086</v>
      </c>
      <c r="D126" t="s">
        <v>507</v>
      </c>
      <c r="E126" s="18" t="s">
        <v>3013</v>
      </c>
      <c r="F126" s="19">
        <v>45638</v>
      </c>
      <c r="G126" s="108">
        <v>1499303.07</v>
      </c>
      <c r="H126" s="37">
        <f t="shared" si="5"/>
        <v>110</v>
      </c>
      <c r="I126" s="37" t="str">
        <f t="shared" si="8"/>
        <v>0-120 DAYS</v>
      </c>
      <c r="J126" s="37" t="str">
        <f t="shared" si="6"/>
        <v>0-180 DAYS</v>
      </c>
      <c r="K126" t="s">
        <v>1730</v>
      </c>
      <c r="L126" s="66" t="s">
        <v>3075</v>
      </c>
      <c r="M126" s="66">
        <v>1499303.07</v>
      </c>
      <c r="N126" s="66"/>
    </row>
    <row r="127" spans="1:14" hidden="1" x14ac:dyDescent="0.35">
      <c r="A127" s="88" t="s">
        <v>3058</v>
      </c>
      <c r="B127" s="88" t="s">
        <v>790</v>
      </c>
      <c r="C127" s="18" t="s">
        <v>570</v>
      </c>
      <c r="D127" t="s">
        <v>507</v>
      </c>
      <c r="E127" s="18" t="s">
        <v>3014</v>
      </c>
      <c r="F127" s="19">
        <v>45639</v>
      </c>
      <c r="G127" s="108">
        <v>3181488</v>
      </c>
      <c r="H127" s="37">
        <f t="shared" si="5"/>
        <v>109</v>
      </c>
      <c r="I127" s="37" t="str">
        <f t="shared" si="8"/>
        <v>0-120 DAYS</v>
      </c>
      <c r="J127" s="37" t="str">
        <f t="shared" si="6"/>
        <v>0-180 DAYS</v>
      </c>
      <c r="K127" t="s">
        <v>1730</v>
      </c>
      <c r="L127" s="66" t="s">
        <v>3076</v>
      </c>
      <c r="M127" s="66">
        <v>3181488</v>
      </c>
      <c r="N127" s="66"/>
    </row>
    <row r="128" spans="1:14" hidden="1" x14ac:dyDescent="0.35">
      <c r="A128" s="88" t="s">
        <v>3058</v>
      </c>
      <c r="B128" s="88" t="s">
        <v>790</v>
      </c>
      <c r="C128" s="18" t="s">
        <v>570</v>
      </c>
      <c r="D128" t="s">
        <v>507</v>
      </c>
      <c r="E128" s="18" t="s">
        <v>3018</v>
      </c>
      <c r="F128" s="19">
        <v>45643</v>
      </c>
      <c r="G128" s="108">
        <v>4203473.9000000004</v>
      </c>
      <c r="H128" s="37">
        <f t="shared" si="5"/>
        <v>105</v>
      </c>
      <c r="I128" s="37" t="str">
        <f t="shared" si="8"/>
        <v>0-120 DAYS</v>
      </c>
      <c r="J128" s="37" t="str">
        <f t="shared" si="6"/>
        <v>0-180 DAYS</v>
      </c>
      <c r="K128" t="s">
        <v>1730</v>
      </c>
      <c r="L128" s="66" t="s">
        <v>3080</v>
      </c>
      <c r="M128" s="66">
        <v>4203473.9000000004</v>
      </c>
      <c r="N128" s="66"/>
    </row>
    <row r="129" spans="1:14" hidden="1" x14ac:dyDescent="0.35">
      <c r="A129" s="88" t="s">
        <v>3058</v>
      </c>
      <c r="B129" s="88" t="s">
        <v>790</v>
      </c>
      <c r="C129" s="18" t="s">
        <v>650</v>
      </c>
      <c r="D129" t="s">
        <v>507</v>
      </c>
      <c r="E129" s="18" t="s">
        <v>3019</v>
      </c>
      <c r="F129" s="19">
        <v>45643</v>
      </c>
      <c r="G129" s="108">
        <v>3757332.25</v>
      </c>
      <c r="H129" s="37">
        <f t="shared" si="5"/>
        <v>105</v>
      </c>
      <c r="I129" s="37" t="str">
        <f t="shared" si="8"/>
        <v>0-120 DAYS</v>
      </c>
      <c r="J129" s="37" t="str">
        <f t="shared" si="6"/>
        <v>0-180 DAYS</v>
      </c>
      <c r="K129" t="s">
        <v>1730</v>
      </c>
      <c r="L129" s="66" t="s">
        <v>3080</v>
      </c>
      <c r="M129" s="66">
        <v>3757332.25</v>
      </c>
      <c r="N129" s="66"/>
    </row>
    <row r="130" spans="1:14" hidden="1" x14ac:dyDescent="0.35">
      <c r="A130" s="88" t="s">
        <v>3058</v>
      </c>
      <c r="B130" s="88" t="s">
        <v>790</v>
      </c>
      <c r="C130" s="18" t="s">
        <v>538</v>
      </c>
      <c r="D130" t="s">
        <v>507</v>
      </c>
      <c r="E130" s="18" t="s">
        <v>3020</v>
      </c>
      <c r="F130" s="19">
        <v>45644</v>
      </c>
      <c r="G130" s="108">
        <v>3075716</v>
      </c>
      <c r="H130" s="37">
        <f t="shared" si="5"/>
        <v>104</v>
      </c>
      <c r="I130" s="37" t="str">
        <f t="shared" si="8"/>
        <v>0-120 DAYS</v>
      </c>
      <c r="J130" s="37" t="str">
        <f t="shared" si="6"/>
        <v>0-180 DAYS</v>
      </c>
      <c r="K130" t="s">
        <v>1730</v>
      </c>
      <c r="L130" s="66" t="s">
        <v>3081</v>
      </c>
      <c r="M130" s="66">
        <v>3075716</v>
      </c>
      <c r="N130" s="66"/>
    </row>
    <row r="131" spans="1:14" hidden="1" x14ac:dyDescent="0.35">
      <c r="A131" s="88" t="s">
        <v>3058</v>
      </c>
      <c r="B131" s="88" t="s">
        <v>790</v>
      </c>
      <c r="C131" s="18" t="s">
        <v>1249</v>
      </c>
      <c r="D131" t="s">
        <v>507</v>
      </c>
      <c r="E131" s="18" t="s">
        <v>3021</v>
      </c>
      <c r="F131" s="19">
        <v>45645</v>
      </c>
      <c r="G131" s="108">
        <f>3420372.28-1810531</f>
        <v>1609841.2799999998</v>
      </c>
      <c r="H131" s="37">
        <f t="shared" si="5"/>
        <v>103</v>
      </c>
      <c r="I131" s="37" t="str">
        <f t="shared" si="8"/>
        <v>0-120 DAYS</v>
      </c>
      <c r="J131" s="37" t="str">
        <f t="shared" si="6"/>
        <v>0-180 DAYS</v>
      </c>
      <c r="K131" t="s">
        <v>1730</v>
      </c>
      <c r="L131" s="66" t="s">
        <v>3082</v>
      </c>
      <c r="M131" s="66">
        <v>1609841.28</v>
      </c>
      <c r="N131" s="66"/>
    </row>
    <row r="132" spans="1:14" hidden="1" x14ac:dyDescent="0.35">
      <c r="A132" s="88" t="s">
        <v>3058</v>
      </c>
      <c r="B132" s="88" t="s">
        <v>790</v>
      </c>
      <c r="C132" s="18" t="s">
        <v>1086</v>
      </c>
      <c r="D132" t="s">
        <v>507</v>
      </c>
      <c r="E132" s="18" t="s">
        <v>3023</v>
      </c>
      <c r="F132" s="19">
        <v>45646</v>
      </c>
      <c r="G132" s="108">
        <v>1730579.25</v>
      </c>
      <c r="H132" s="37">
        <f t="shared" si="5"/>
        <v>102</v>
      </c>
      <c r="I132" s="37" t="str">
        <f t="shared" si="8"/>
        <v>0-120 DAYS</v>
      </c>
      <c r="J132" s="37" t="str">
        <f t="shared" si="6"/>
        <v>0-180 DAYS</v>
      </c>
      <c r="K132" t="s">
        <v>1730</v>
      </c>
      <c r="L132" s="66" t="s">
        <v>3083</v>
      </c>
      <c r="M132" s="66">
        <v>1730579.25</v>
      </c>
      <c r="N132" s="66"/>
    </row>
    <row r="133" spans="1:14" hidden="1" x14ac:dyDescent="0.35">
      <c r="A133" s="88" t="s">
        <v>3058</v>
      </c>
      <c r="B133" s="88" t="s">
        <v>790</v>
      </c>
      <c r="C133" s="18" t="s">
        <v>1086</v>
      </c>
      <c r="D133" t="s">
        <v>507</v>
      </c>
      <c r="E133" s="18" t="s">
        <v>3024</v>
      </c>
      <c r="F133" s="19">
        <v>45646</v>
      </c>
      <c r="G133" s="108">
        <v>1452807</v>
      </c>
      <c r="H133" s="37">
        <f t="shared" si="5"/>
        <v>102</v>
      </c>
      <c r="I133" s="37" t="str">
        <f t="shared" si="8"/>
        <v>0-120 DAYS</v>
      </c>
      <c r="J133" s="37" t="str">
        <f t="shared" si="6"/>
        <v>0-180 DAYS</v>
      </c>
      <c r="K133" t="s">
        <v>1730</v>
      </c>
      <c r="L133" s="66" t="s">
        <v>3083</v>
      </c>
      <c r="M133" s="66">
        <v>1452807</v>
      </c>
      <c r="N133" s="66"/>
    </row>
    <row r="134" spans="1:14" hidden="1" x14ac:dyDescent="0.35">
      <c r="A134" s="88" t="s">
        <v>3058</v>
      </c>
      <c r="B134" s="88" t="s">
        <v>790</v>
      </c>
      <c r="C134" s="18" t="s">
        <v>1086</v>
      </c>
      <c r="D134" t="s">
        <v>507</v>
      </c>
      <c r="E134" s="18" t="s">
        <v>3025</v>
      </c>
      <c r="F134" s="19">
        <v>45647</v>
      </c>
      <c r="G134" s="108">
        <v>2812506.8</v>
      </c>
      <c r="H134" s="37">
        <f t="shared" si="5"/>
        <v>101</v>
      </c>
      <c r="I134" s="37" t="str">
        <f t="shared" si="8"/>
        <v>0-120 DAYS</v>
      </c>
      <c r="J134" s="37" t="str">
        <f t="shared" si="6"/>
        <v>0-180 DAYS</v>
      </c>
      <c r="K134" t="s">
        <v>1730</v>
      </c>
      <c r="L134" s="66" t="s">
        <v>3084</v>
      </c>
      <c r="M134" s="66">
        <v>2812506.8</v>
      </c>
      <c r="N134" s="66"/>
    </row>
    <row r="135" spans="1:14" hidden="1" x14ac:dyDescent="0.35">
      <c r="A135" s="88" t="s">
        <v>3058</v>
      </c>
      <c r="B135" s="88" t="s">
        <v>790</v>
      </c>
      <c r="C135" s="18" t="s">
        <v>1086</v>
      </c>
      <c r="D135" t="s">
        <v>507</v>
      </c>
      <c r="E135" s="18" t="s">
        <v>3026</v>
      </c>
      <c r="F135" s="19">
        <v>45647</v>
      </c>
      <c r="G135" s="108">
        <v>632985.42000000004</v>
      </c>
      <c r="H135" s="37">
        <f t="shared" si="5"/>
        <v>101</v>
      </c>
      <c r="I135" s="37" t="str">
        <f t="shared" si="8"/>
        <v>0-120 DAYS</v>
      </c>
      <c r="J135" s="37" t="str">
        <f t="shared" si="6"/>
        <v>0-180 DAYS</v>
      </c>
      <c r="K135" t="s">
        <v>1730</v>
      </c>
      <c r="L135" s="66" t="s">
        <v>3084</v>
      </c>
      <c r="M135" s="66">
        <v>632985.42000000004</v>
      </c>
      <c r="N135" s="66"/>
    </row>
    <row r="136" spans="1:14" hidden="1" x14ac:dyDescent="0.35">
      <c r="A136" s="2" t="s">
        <v>1209</v>
      </c>
      <c r="B136" s="2" t="s">
        <v>789</v>
      </c>
      <c r="C136" s="18" t="s">
        <v>506</v>
      </c>
      <c r="D136" t="s">
        <v>507</v>
      </c>
      <c r="E136" s="18" t="s">
        <v>3027</v>
      </c>
      <c r="F136" s="19">
        <v>45647</v>
      </c>
      <c r="G136" s="108">
        <v>2957785.82</v>
      </c>
      <c r="H136" s="37">
        <f t="shared" si="5"/>
        <v>101</v>
      </c>
      <c r="I136" s="37" t="str">
        <f t="shared" si="8"/>
        <v>0-120 DAYS</v>
      </c>
      <c r="J136" s="37" t="str">
        <f t="shared" si="6"/>
        <v>0-180 DAYS</v>
      </c>
      <c r="L136" s="66" t="s">
        <v>3084</v>
      </c>
      <c r="M136" s="66">
        <v>2957785.82</v>
      </c>
      <c r="N136" s="66"/>
    </row>
    <row r="137" spans="1:14" hidden="1" x14ac:dyDescent="0.35">
      <c r="A137" s="88" t="s">
        <v>3058</v>
      </c>
      <c r="B137" s="88" t="s">
        <v>790</v>
      </c>
      <c r="C137" s="18" t="s">
        <v>570</v>
      </c>
      <c r="D137" t="s">
        <v>507</v>
      </c>
      <c r="E137" s="18" t="s">
        <v>3028</v>
      </c>
      <c r="F137" s="19">
        <v>45649</v>
      </c>
      <c r="G137" s="108">
        <v>3194760</v>
      </c>
      <c r="H137" s="37">
        <f t="shared" si="5"/>
        <v>99</v>
      </c>
      <c r="I137" s="37" t="str">
        <f t="shared" si="8"/>
        <v>0-120 DAYS</v>
      </c>
      <c r="J137" s="37" t="str">
        <f t="shared" si="6"/>
        <v>0-180 DAYS</v>
      </c>
      <c r="K137" t="s">
        <v>1730</v>
      </c>
      <c r="L137" s="66" t="s">
        <v>3085</v>
      </c>
      <c r="M137" s="66">
        <v>3194760</v>
      </c>
      <c r="N137" s="66"/>
    </row>
    <row r="138" spans="1:14" hidden="1" x14ac:dyDescent="0.35">
      <c r="A138" s="88" t="s">
        <v>3058</v>
      </c>
      <c r="B138" s="88" t="s">
        <v>790</v>
      </c>
      <c r="C138" s="18" t="s">
        <v>650</v>
      </c>
      <c r="D138" t="s">
        <v>507</v>
      </c>
      <c r="E138" s="18" t="s">
        <v>3030</v>
      </c>
      <c r="F138" s="19">
        <v>45649</v>
      </c>
      <c r="G138" s="108">
        <v>2767646.07</v>
      </c>
      <c r="H138" s="37">
        <f t="shared" si="5"/>
        <v>99</v>
      </c>
      <c r="I138" s="37" t="str">
        <f t="shared" si="8"/>
        <v>0-120 DAYS</v>
      </c>
      <c r="J138" s="37" t="str">
        <f t="shared" si="6"/>
        <v>0-180 DAYS</v>
      </c>
      <c r="K138" t="s">
        <v>1730</v>
      </c>
      <c r="L138" s="66" t="s">
        <v>3085</v>
      </c>
      <c r="M138" s="66">
        <v>2767646.07</v>
      </c>
      <c r="N138" s="66"/>
    </row>
    <row r="139" spans="1:14" hidden="1" x14ac:dyDescent="0.35">
      <c r="A139" s="88" t="s">
        <v>3058</v>
      </c>
      <c r="B139" s="88" t="s">
        <v>790</v>
      </c>
      <c r="C139" s="18" t="s">
        <v>650</v>
      </c>
      <c r="D139" t="s">
        <v>507</v>
      </c>
      <c r="E139" s="18" t="s">
        <v>3031</v>
      </c>
      <c r="F139" s="19">
        <v>45650</v>
      </c>
      <c r="G139" s="108">
        <v>3515550.65</v>
      </c>
      <c r="H139" s="37">
        <f t="shared" si="5"/>
        <v>98</v>
      </c>
      <c r="I139" s="37" t="str">
        <f t="shared" si="8"/>
        <v>0-120 DAYS</v>
      </c>
      <c r="J139" s="37" t="str">
        <f t="shared" si="6"/>
        <v>0-180 DAYS</v>
      </c>
      <c r="K139" t="s">
        <v>1730</v>
      </c>
      <c r="L139" s="66" t="s">
        <v>3086</v>
      </c>
      <c r="M139" s="66">
        <v>3515550.65</v>
      </c>
      <c r="N139" s="66"/>
    </row>
    <row r="140" spans="1:14" hidden="1" x14ac:dyDescent="0.35">
      <c r="A140" s="88" t="s">
        <v>3058</v>
      </c>
      <c r="B140" s="88" t="s">
        <v>790</v>
      </c>
      <c r="C140" s="18" t="s">
        <v>538</v>
      </c>
      <c r="D140" t="s">
        <v>507</v>
      </c>
      <c r="E140" s="18" t="s">
        <v>3032</v>
      </c>
      <c r="F140" s="19">
        <v>45652</v>
      </c>
      <c r="G140" s="108">
        <v>2907918</v>
      </c>
      <c r="H140" s="37">
        <f t="shared" ref="H140:H203" si="9">$H$9-F140+1</f>
        <v>96</v>
      </c>
      <c r="I140" s="37" t="str">
        <f t="shared" si="8"/>
        <v>0-120 DAYS</v>
      </c>
      <c r="J140" s="37" t="str">
        <f t="shared" si="6"/>
        <v>0-180 DAYS</v>
      </c>
      <c r="K140" t="s">
        <v>1730</v>
      </c>
      <c r="L140" s="66" t="s">
        <v>3088</v>
      </c>
      <c r="M140" s="66">
        <v>2907918</v>
      </c>
      <c r="N140" s="66"/>
    </row>
    <row r="141" spans="1:14" hidden="1" x14ac:dyDescent="0.35">
      <c r="A141" s="88" t="s">
        <v>3058</v>
      </c>
      <c r="B141" s="88" t="s">
        <v>790</v>
      </c>
      <c r="C141" s="18" t="s">
        <v>715</v>
      </c>
      <c r="D141" t="s">
        <v>507</v>
      </c>
      <c r="E141" s="18" t="s">
        <v>3034</v>
      </c>
      <c r="F141" s="19">
        <v>45654</v>
      </c>
      <c r="G141" s="108">
        <v>3272607</v>
      </c>
      <c r="H141" s="37">
        <f t="shared" si="9"/>
        <v>94</v>
      </c>
      <c r="I141" s="37" t="str">
        <f t="shared" si="8"/>
        <v>0-120 DAYS</v>
      </c>
      <c r="J141" s="37" t="str">
        <f t="shared" si="6"/>
        <v>0-180 DAYS</v>
      </c>
      <c r="K141" t="s">
        <v>1730</v>
      </c>
      <c r="L141" s="66" t="s">
        <v>3090</v>
      </c>
      <c r="M141" s="66">
        <v>3272607</v>
      </c>
      <c r="N141" s="66"/>
    </row>
    <row r="142" spans="1:14" hidden="1" x14ac:dyDescent="0.35">
      <c r="A142" s="88" t="s">
        <v>3058</v>
      </c>
      <c r="B142" s="88" t="s">
        <v>790</v>
      </c>
      <c r="C142" s="18" t="s">
        <v>570</v>
      </c>
      <c r="D142" t="s">
        <v>507</v>
      </c>
      <c r="E142" s="18" t="s">
        <v>3035</v>
      </c>
      <c r="F142" s="19">
        <v>45654</v>
      </c>
      <c r="G142" s="108">
        <v>1521521.3</v>
      </c>
      <c r="H142" s="37">
        <f t="shared" si="9"/>
        <v>94</v>
      </c>
      <c r="I142" s="37" t="str">
        <f t="shared" si="8"/>
        <v>0-120 DAYS</v>
      </c>
      <c r="J142" s="37" t="str">
        <f t="shared" ref="J142:J205" si="10">IF(H142&lt;180,"0-180 DAYS","More than 180 Days")</f>
        <v>0-180 DAYS</v>
      </c>
      <c r="K142" t="s">
        <v>1730</v>
      </c>
      <c r="L142" s="66" t="s">
        <v>3090</v>
      </c>
      <c r="M142" s="66">
        <v>1521521.3</v>
      </c>
      <c r="N142" s="66"/>
    </row>
    <row r="143" spans="1:14" hidden="1" x14ac:dyDescent="0.35">
      <c r="A143" s="88" t="s">
        <v>3058</v>
      </c>
      <c r="B143" s="88" t="s">
        <v>790</v>
      </c>
      <c r="C143" s="18" t="s">
        <v>1086</v>
      </c>
      <c r="D143" t="s">
        <v>507</v>
      </c>
      <c r="E143" s="18" t="s">
        <v>3037</v>
      </c>
      <c r="F143" s="19">
        <v>45655</v>
      </c>
      <c r="G143" s="108">
        <v>2468434.0099999998</v>
      </c>
      <c r="H143" s="37">
        <f t="shared" si="9"/>
        <v>93</v>
      </c>
      <c r="I143" s="37" t="str">
        <f t="shared" si="8"/>
        <v>0-120 DAYS</v>
      </c>
      <c r="J143" s="37" t="str">
        <f t="shared" si="10"/>
        <v>0-180 DAYS</v>
      </c>
      <c r="K143" t="s">
        <v>1730</v>
      </c>
      <c r="L143" s="66" t="s">
        <v>3091</v>
      </c>
      <c r="M143" s="66">
        <v>2468434.0099999998</v>
      </c>
      <c r="N143" s="66"/>
    </row>
    <row r="144" spans="1:14" hidden="1" x14ac:dyDescent="0.35">
      <c r="A144" s="88" t="s">
        <v>3058</v>
      </c>
      <c r="B144" s="88" t="s">
        <v>790</v>
      </c>
      <c r="C144" s="18" t="s">
        <v>650</v>
      </c>
      <c r="D144" t="s">
        <v>507</v>
      </c>
      <c r="E144" s="18" t="s">
        <v>3038</v>
      </c>
      <c r="F144" s="19">
        <v>45657</v>
      </c>
      <c r="G144" s="108">
        <v>2658612.15</v>
      </c>
      <c r="H144" s="37">
        <f t="shared" si="9"/>
        <v>91</v>
      </c>
      <c r="I144" s="37" t="str">
        <f t="shared" si="8"/>
        <v>0-120 DAYS</v>
      </c>
      <c r="J144" s="37" t="str">
        <f t="shared" si="10"/>
        <v>0-180 DAYS</v>
      </c>
      <c r="K144" t="s">
        <v>1730</v>
      </c>
      <c r="L144" s="66" t="s">
        <v>3064</v>
      </c>
      <c r="M144" s="66">
        <v>2658612.15</v>
      </c>
      <c r="N144" s="66"/>
    </row>
    <row r="145" spans="1:14" hidden="1" x14ac:dyDescent="0.35">
      <c r="A145" s="88" t="s">
        <v>3058</v>
      </c>
      <c r="B145" s="88" t="s">
        <v>790</v>
      </c>
      <c r="C145" s="18" t="s">
        <v>536</v>
      </c>
      <c r="D145" t="s">
        <v>507</v>
      </c>
      <c r="E145" s="18" t="s">
        <v>3039</v>
      </c>
      <c r="F145" s="19">
        <v>45628</v>
      </c>
      <c r="G145" s="108">
        <v>3158223.2</v>
      </c>
      <c r="H145" s="37">
        <f t="shared" si="9"/>
        <v>120</v>
      </c>
      <c r="I145" s="37" t="str">
        <f t="shared" si="8"/>
        <v>0-120 DAYS</v>
      </c>
      <c r="J145" s="37" t="str">
        <f t="shared" si="10"/>
        <v>0-180 DAYS</v>
      </c>
      <c r="K145" t="s">
        <v>1730</v>
      </c>
      <c r="L145" s="66" t="s">
        <v>3066</v>
      </c>
      <c r="M145" s="66">
        <v>3158223.2</v>
      </c>
      <c r="N145" s="66"/>
    </row>
    <row r="146" spans="1:14" hidden="1" x14ac:dyDescent="0.35">
      <c r="A146" s="88" t="s">
        <v>3058</v>
      </c>
      <c r="B146" s="88" t="s">
        <v>790</v>
      </c>
      <c r="C146" s="18" t="s">
        <v>584</v>
      </c>
      <c r="D146" t="s">
        <v>507</v>
      </c>
      <c r="E146" s="18" t="s">
        <v>3041</v>
      </c>
      <c r="F146" s="19">
        <v>45631</v>
      </c>
      <c r="G146" s="108">
        <f>3078385.2-268014</f>
        <v>2810371.2</v>
      </c>
      <c r="H146" s="37">
        <f t="shared" si="9"/>
        <v>117</v>
      </c>
      <c r="I146" s="37" t="str">
        <f t="shared" si="8"/>
        <v>0-120 DAYS</v>
      </c>
      <c r="J146" s="37" t="str">
        <f t="shared" si="10"/>
        <v>0-180 DAYS</v>
      </c>
      <c r="K146" t="s">
        <v>1730</v>
      </c>
      <c r="L146" s="66" t="s">
        <v>3069</v>
      </c>
      <c r="M146" s="66">
        <v>3078385.2</v>
      </c>
      <c r="N146" s="66"/>
    </row>
    <row r="147" spans="1:14" hidden="1" x14ac:dyDescent="0.35">
      <c r="A147" s="88" t="s">
        <v>3058</v>
      </c>
      <c r="B147" s="88" t="s">
        <v>790</v>
      </c>
      <c r="C147" s="18" t="s">
        <v>588</v>
      </c>
      <c r="D147" t="s">
        <v>507</v>
      </c>
      <c r="E147" s="18" t="s">
        <v>3042</v>
      </c>
      <c r="F147" s="19">
        <v>45632</v>
      </c>
      <c r="G147" s="108">
        <v>3232834.8</v>
      </c>
      <c r="H147" s="37">
        <f t="shared" si="9"/>
        <v>116</v>
      </c>
      <c r="I147" s="37" t="str">
        <f t="shared" si="8"/>
        <v>0-120 DAYS</v>
      </c>
      <c r="J147" s="37" t="str">
        <f t="shared" si="10"/>
        <v>0-180 DAYS</v>
      </c>
      <c r="K147" t="s">
        <v>1730</v>
      </c>
      <c r="L147" s="66" t="s">
        <v>3070</v>
      </c>
      <c r="M147" s="66">
        <v>3232834.8</v>
      </c>
      <c r="N147" s="66"/>
    </row>
    <row r="148" spans="1:14" hidden="1" x14ac:dyDescent="0.35">
      <c r="A148" s="88" t="s">
        <v>3058</v>
      </c>
      <c r="B148" s="88" t="s">
        <v>790</v>
      </c>
      <c r="C148" s="18" t="s">
        <v>2273</v>
      </c>
      <c r="D148" t="s">
        <v>507</v>
      </c>
      <c r="E148" s="18" t="s">
        <v>3045</v>
      </c>
      <c r="F148" s="19">
        <v>45640</v>
      </c>
      <c r="G148" s="108">
        <f>3597363.52-1175432</f>
        <v>2421931.52</v>
      </c>
      <c r="H148" s="37">
        <f t="shared" si="9"/>
        <v>108</v>
      </c>
      <c r="I148" s="37" t="str">
        <f t="shared" si="8"/>
        <v>0-120 DAYS</v>
      </c>
      <c r="J148" s="37" t="str">
        <f t="shared" si="10"/>
        <v>0-180 DAYS</v>
      </c>
      <c r="K148" t="s">
        <v>1730</v>
      </c>
      <c r="L148" s="66" t="s">
        <v>3077</v>
      </c>
      <c r="M148" s="66">
        <v>2421931.52</v>
      </c>
      <c r="N148" s="66"/>
    </row>
    <row r="149" spans="1:14" hidden="1" x14ac:dyDescent="0.35">
      <c r="A149" s="88" t="s">
        <v>3058</v>
      </c>
      <c r="B149" s="88" t="s">
        <v>790</v>
      </c>
      <c r="C149" s="18" t="s">
        <v>588</v>
      </c>
      <c r="D149" t="s">
        <v>507</v>
      </c>
      <c r="E149" s="18" t="s">
        <v>3046</v>
      </c>
      <c r="F149" s="19">
        <v>45640</v>
      </c>
      <c r="G149" s="108">
        <v>3232834.8</v>
      </c>
      <c r="H149" s="37">
        <f t="shared" si="9"/>
        <v>108</v>
      </c>
      <c r="I149" s="37" t="str">
        <f t="shared" si="8"/>
        <v>0-120 DAYS</v>
      </c>
      <c r="J149" s="37" t="str">
        <f t="shared" si="10"/>
        <v>0-180 DAYS</v>
      </c>
      <c r="K149" t="s">
        <v>1730</v>
      </c>
      <c r="L149" s="66" t="s">
        <v>3077</v>
      </c>
      <c r="M149" s="66">
        <v>3232834.8</v>
      </c>
      <c r="N149" s="66"/>
    </row>
    <row r="150" spans="1:14" hidden="1" x14ac:dyDescent="0.35">
      <c r="A150" s="88" t="s">
        <v>3058</v>
      </c>
      <c r="B150" s="88" t="s">
        <v>790</v>
      </c>
      <c r="C150" s="18" t="s">
        <v>584</v>
      </c>
      <c r="D150" t="s">
        <v>507</v>
      </c>
      <c r="E150" s="18" t="s">
        <v>3047</v>
      </c>
      <c r="F150" s="19">
        <v>45645</v>
      </c>
      <c r="G150" s="108">
        <v>3085760.37</v>
      </c>
      <c r="H150" s="37">
        <f t="shared" si="9"/>
        <v>103</v>
      </c>
      <c r="I150" s="37" t="str">
        <f t="shared" si="8"/>
        <v>0-120 DAYS</v>
      </c>
      <c r="J150" s="37" t="str">
        <f t="shared" si="10"/>
        <v>0-180 DAYS</v>
      </c>
      <c r="K150" t="s">
        <v>1730</v>
      </c>
      <c r="L150" s="66" t="s">
        <v>3082</v>
      </c>
      <c r="M150" s="66">
        <v>3085760.37</v>
      </c>
      <c r="N150" s="66"/>
    </row>
    <row r="151" spans="1:14" hidden="1" x14ac:dyDescent="0.35">
      <c r="A151" s="88" t="s">
        <v>3058</v>
      </c>
      <c r="B151" s="88" t="s">
        <v>790</v>
      </c>
      <c r="C151" s="18" t="s">
        <v>588</v>
      </c>
      <c r="D151" t="s">
        <v>507</v>
      </c>
      <c r="E151" s="18" t="s">
        <v>3048</v>
      </c>
      <c r="F151" s="19">
        <v>45646</v>
      </c>
      <c r="G151" s="108">
        <v>3246321</v>
      </c>
      <c r="H151" s="37">
        <f t="shared" si="9"/>
        <v>102</v>
      </c>
      <c r="I151" s="37" t="str">
        <f t="shared" si="8"/>
        <v>0-120 DAYS</v>
      </c>
      <c r="J151" s="37" t="str">
        <f t="shared" si="10"/>
        <v>0-180 DAYS</v>
      </c>
      <c r="K151" t="s">
        <v>1730</v>
      </c>
      <c r="L151" s="66" t="s">
        <v>3083</v>
      </c>
      <c r="M151" s="66">
        <v>3246321</v>
      </c>
      <c r="N151" s="66"/>
    </row>
    <row r="152" spans="1:14" hidden="1" x14ac:dyDescent="0.35">
      <c r="A152" s="88" t="s">
        <v>3058</v>
      </c>
      <c r="B152" s="88" t="s">
        <v>790</v>
      </c>
      <c r="C152" s="18" t="s">
        <v>1055</v>
      </c>
      <c r="D152" t="s">
        <v>507</v>
      </c>
      <c r="E152" s="18" t="s">
        <v>3049</v>
      </c>
      <c r="F152" s="19">
        <v>45650</v>
      </c>
      <c r="G152" s="108">
        <v>2429433</v>
      </c>
      <c r="H152" s="37">
        <f t="shared" si="9"/>
        <v>98</v>
      </c>
      <c r="I152" s="37" t="str">
        <f t="shared" si="8"/>
        <v>0-120 DAYS</v>
      </c>
      <c r="J152" s="37" t="str">
        <f t="shared" si="10"/>
        <v>0-180 DAYS</v>
      </c>
      <c r="K152" t="s">
        <v>1730</v>
      </c>
      <c r="L152" s="66" t="s">
        <v>3086</v>
      </c>
      <c r="M152" s="66">
        <v>2429433</v>
      </c>
      <c r="N152" s="66"/>
    </row>
    <row r="153" spans="1:14" hidden="1" x14ac:dyDescent="0.35">
      <c r="A153" s="88" t="s">
        <v>3058</v>
      </c>
      <c r="B153" s="88" t="s">
        <v>790</v>
      </c>
      <c r="C153" s="18" t="s">
        <v>1055</v>
      </c>
      <c r="D153" t="s">
        <v>507</v>
      </c>
      <c r="E153" s="18" t="s">
        <v>3050</v>
      </c>
      <c r="F153" s="19">
        <v>45650</v>
      </c>
      <c r="G153" s="108">
        <v>725898</v>
      </c>
      <c r="H153" s="37">
        <f t="shared" si="9"/>
        <v>98</v>
      </c>
      <c r="I153" s="37" t="str">
        <f t="shared" si="8"/>
        <v>0-120 DAYS</v>
      </c>
      <c r="J153" s="37" t="str">
        <f t="shared" si="10"/>
        <v>0-180 DAYS</v>
      </c>
      <c r="K153" t="s">
        <v>1730</v>
      </c>
      <c r="L153" s="66" t="s">
        <v>3086</v>
      </c>
      <c r="M153" s="66">
        <v>725898</v>
      </c>
      <c r="N153" s="66"/>
    </row>
    <row r="154" spans="1:14" hidden="1" x14ac:dyDescent="0.35">
      <c r="A154" s="88" t="s">
        <v>3058</v>
      </c>
      <c r="B154" s="88" t="s">
        <v>790</v>
      </c>
      <c r="C154" s="18" t="s">
        <v>588</v>
      </c>
      <c r="D154" t="s">
        <v>507</v>
      </c>
      <c r="E154" s="18" t="s">
        <v>3051</v>
      </c>
      <c r="F154" s="19">
        <v>45651</v>
      </c>
      <c r="G154" s="108">
        <v>3393122.42</v>
      </c>
      <c r="H154" s="37">
        <f t="shared" si="9"/>
        <v>97</v>
      </c>
      <c r="I154" s="37" t="str">
        <f t="shared" si="8"/>
        <v>0-120 DAYS</v>
      </c>
      <c r="J154" s="37" t="str">
        <f t="shared" si="10"/>
        <v>0-180 DAYS</v>
      </c>
      <c r="K154" t="s">
        <v>1730</v>
      </c>
      <c r="L154" s="66" t="s">
        <v>3087</v>
      </c>
      <c r="M154" s="66">
        <v>3393122.42</v>
      </c>
      <c r="N154" s="66"/>
    </row>
    <row r="155" spans="1:14" hidden="1" x14ac:dyDescent="0.35">
      <c r="A155" s="88" t="s">
        <v>3058</v>
      </c>
      <c r="B155" s="88" t="s">
        <v>790</v>
      </c>
      <c r="C155" s="18" t="s">
        <v>588</v>
      </c>
      <c r="D155" t="s">
        <v>507</v>
      </c>
      <c r="E155" s="18" t="s">
        <v>3052</v>
      </c>
      <c r="F155" s="19">
        <v>45651</v>
      </c>
      <c r="G155" s="108">
        <v>3354249.47</v>
      </c>
      <c r="H155" s="37">
        <f t="shared" si="9"/>
        <v>97</v>
      </c>
      <c r="I155" s="37" t="str">
        <f t="shared" si="8"/>
        <v>0-120 DAYS</v>
      </c>
      <c r="J155" s="37" t="str">
        <f t="shared" si="10"/>
        <v>0-180 DAYS</v>
      </c>
      <c r="K155" t="s">
        <v>1730</v>
      </c>
      <c r="L155" s="66" t="s">
        <v>3087</v>
      </c>
      <c r="M155" s="66">
        <v>3354249.47</v>
      </c>
      <c r="N155" s="66"/>
    </row>
    <row r="156" spans="1:14" hidden="1" x14ac:dyDescent="0.35">
      <c r="A156" s="88" t="s">
        <v>3058</v>
      </c>
      <c r="B156" s="88" t="s">
        <v>790</v>
      </c>
      <c r="C156" s="18" t="s">
        <v>664</v>
      </c>
      <c r="D156" t="s">
        <v>507</v>
      </c>
      <c r="E156" s="18" t="s">
        <v>3053</v>
      </c>
      <c r="F156" s="19">
        <v>45653</v>
      </c>
      <c r="G156" s="108">
        <f>1094049.44-45538</f>
        <v>1048511.44</v>
      </c>
      <c r="H156" s="37">
        <f t="shared" si="9"/>
        <v>95</v>
      </c>
      <c r="I156" s="37" t="str">
        <f t="shared" si="8"/>
        <v>0-120 DAYS</v>
      </c>
      <c r="J156" s="37" t="str">
        <f t="shared" si="10"/>
        <v>0-180 DAYS</v>
      </c>
      <c r="K156" t="s">
        <v>1730</v>
      </c>
      <c r="L156" s="66" t="s">
        <v>3089</v>
      </c>
      <c r="M156" s="66">
        <v>1048511.44</v>
      </c>
      <c r="N156" s="66"/>
    </row>
    <row r="157" spans="1:14" hidden="1" x14ac:dyDescent="0.35">
      <c r="A157" s="2" t="s">
        <v>477</v>
      </c>
      <c r="B157" s="2" t="s">
        <v>790</v>
      </c>
      <c r="C157" s="18" t="s">
        <v>2380</v>
      </c>
      <c r="D157" s="18" t="s">
        <v>1081</v>
      </c>
      <c r="E157" s="18" t="s">
        <v>3106</v>
      </c>
      <c r="F157" s="19">
        <v>45665</v>
      </c>
      <c r="G157" s="108">
        <f>808199.28-367515</f>
        <v>440684.28</v>
      </c>
      <c r="H157" s="37">
        <f t="shared" si="9"/>
        <v>83</v>
      </c>
      <c r="I157" s="37" t="str">
        <f t="shared" ref="I157:I190" si="11">IF(H157&lt;91,"1-90 DAYS",IF(H157&lt;121,"91-120DAYS",IF(H157&lt;181,"121-180 DAYS","More than 180 Days")))</f>
        <v>1-90 DAYS</v>
      </c>
      <c r="J157" s="37" t="str">
        <f t="shared" si="10"/>
        <v>0-180 DAYS</v>
      </c>
      <c r="K157" t="s">
        <v>1730</v>
      </c>
      <c r="L157" s="66" t="s">
        <v>3384</v>
      </c>
      <c r="M157" s="66">
        <v>808199.28</v>
      </c>
      <c r="N157" s="66"/>
    </row>
    <row r="158" spans="1:14" hidden="1" x14ac:dyDescent="0.35">
      <c r="A158" s="2" t="s">
        <v>477</v>
      </c>
      <c r="B158" s="2" t="s">
        <v>790</v>
      </c>
      <c r="C158" s="18" t="s">
        <v>2380</v>
      </c>
      <c r="D158" s="18" t="s">
        <v>1081</v>
      </c>
      <c r="E158" s="18" t="s">
        <v>3107</v>
      </c>
      <c r="F158" s="19">
        <v>45666</v>
      </c>
      <c r="G158" s="108">
        <v>348848.54</v>
      </c>
      <c r="H158" s="37">
        <f t="shared" si="9"/>
        <v>82</v>
      </c>
      <c r="I158" s="37" t="str">
        <f t="shared" si="11"/>
        <v>1-90 DAYS</v>
      </c>
      <c r="J158" s="37" t="str">
        <f t="shared" si="10"/>
        <v>0-180 DAYS</v>
      </c>
      <c r="K158" t="s">
        <v>1730</v>
      </c>
      <c r="L158" s="66" t="s">
        <v>3379</v>
      </c>
      <c r="M158" s="66">
        <v>348848.54</v>
      </c>
      <c r="N158" s="66"/>
    </row>
    <row r="159" spans="1:14" hidden="1" x14ac:dyDescent="0.35">
      <c r="A159" s="2" t="s">
        <v>477</v>
      </c>
      <c r="B159" s="2" t="s">
        <v>790</v>
      </c>
      <c r="C159" s="18" t="s">
        <v>2033</v>
      </c>
      <c r="D159" s="18" t="s">
        <v>1499</v>
      </c>
      <c r="E159" s="18" t="s">
        <v>3108</v>
      </c>
      <c r="F159" s="19">
        <v>45668</v>
      </c>
      <c r="G159" s="108">
        <v>9593397</v>
      </c>
      <c r="H159" s="37">
        <f t="shared" si="9"/>
        <v>80</v>
      </c>
      <c r="I159" s="37" t="str">
        <f t="shared" si="11"/>
        <v>1-90 DAYS</v>
      </c>
      <c r="J159" s="37" t="str">
        <f t="shared" si="10"/>
        <v>0-180 DAYS</v>
      </c>
      <c r="K159" t="s">
        <v>1730</v>
      </c>
      <c r="L159" s="66" t="s">
        <v>3380</v>
      </c>
      <c r="M159" s="66">
        <v>9593397</v>
      </c>
      <c r="N159" s="66"/>
    </row>
    <row r="160" spans="1:14" hidden="1" x14ac:dyDescent="0.35">
      <c r="A160" s="2" t="s">
        <v>477</v>
      </c>
      <c r="B160" s="2" t="s">
        <v>790</v>
      </c>
      <c r="C160" s="18" t="s">
        <v>2033</v>
      </c>
      <c r="D160" s="18" t="s">
        <v>1499</v>
      </c>
      <c r="E160" s="18" t="s">
        <v>3109</v>
      </c>
      <c r="F160" s="19">
        <v>45668</v>
      </c>
      <c r="G160" s="108">
        <v>4796698.5</v>
      </c>
      <c r="H160" s="37">
        <f t="shared" si="9"/>
        <v>80</v>
      </c>
      <c r="I160" s="37" t="str">
        <f t="shared" si="11"/>
        <v>1-90 DAYS</v>
      </c>
      <c r="J160" s="37" t="str">
        <f t="shared" si="10"/>
        <v>0-180 DAYS</v>
      </c>
      <c r="K160" t="s">
        <v>1730</v>
      </c>
      <c r="L160" s="66" t="s">
        <v>3380</v>
      </c>
      <c r="M160" s="66">
        <v>4796698.5</v>
      </c>
      <c r="N160" s="66"/>
    </row>
    <row r="161" spans="1:14" hidden="1" x14ac:dyDescent="0.35">
      <c r="A161" s="2" t="s">
        <v>477</v>
      </c>
      <c r="B161" s="2" t="s">
        <v>790</v>
      </c>
      <c r="C161" s="18" t="s">
        <v>2033</v>
      </c>
      <c r="D161" s="18" t="s">
        <v>1499</v>
      </c>
      <c r="E161" s="18" t="s">
        <v>3110</v>
      </c>
      <c r="F161" s="19">
        <v>45668</v>
      </c>
      <c r="G161" s="108">
        <v>6761232</v>
      </c>
      <c r="H161" s="37">
        <f t="shared" si="9"/>
        <v>80</v>
      </c>
      <c r="I161" s="37" t="str">
        <f t="shared" si="11"/>
        <v>1-90 DAYS</v>
      </c>
      <c r="J161" s="37" t="str">
        <f t="shared" si="10"/>
        <v>0-180 DAYS</v>
      </c>
      <c r="K161" t="s">
        <v>1730</v>
      </c>
      <c r="L161" s="66" t="s">
        <v>3380</v>
      </c>
      <c r="M161" s="66">
        <v>6761232</v>
      </c>
      <c r="N161" s="66"/>
    </row>
    <row r="162" spans="1:14" hidden="1" x14ac:dyDescent="0.35">
      <c r="A162" s="2" t="s">
        <v>477</v>
      </c>
      <c r="B162" s="2" t="s">
        <v>790</v>
      </c>
      <c r="C162" s="18" t="s">
        <v>3094</v>
      </c>
      <c r="D162" s="18" t="s">
        <v>3099</v>
      </c>
      <c r="E162" s="18" t="s">
        <v>3111</v>
      </c>
      <c r="F162" s="19">
        <v>45672</v>
      </c>
      <c r="G162" s="108">
        <v>16300.43</v>
      </c>
      <c r="H162" s="37">
        <f t="shared" si="9"/>
        <v>76</v>
      </c>
      <c r="I162" s="37" t="str">
        <f t="shared" si="11"/>
        <v>1-90 DAYS</v>
      </c>
      <c r="J162" s="37" t="str">
        <f t="shared" si="10"/>
        <v>0-180 DAYS</v>
      </c>
      <c r="K162" t="s">
        <v>1730</v>
      </c>
      <c r="L162" s="66" t="s">
        <v>3385</v>
      </c>
      <c r="M162" s="66">
        <v>16300.43</v>
      </c>
      <c r="N162" s="66"/>
    </row>
    <row r="163" spans="1:14" hidden="1" x14ac:dyDescent="0.35">
      <c r="A163" s="2" t="s">
        <v>477</v>
      </c>
      <c r="B163" s="2" t="s">
        <v>790</v>
      </c>
      <c r="C163" s="18" t="s">
        <v>2380</v>
      </c>
      <c r="D163" s="18" t="s">
        <v>1081</v>
      </c>
      <c r="E163" s="18" t="s">
        <v>3113</v>
      </c>
      <c r="F163" s="19">
        <v>45677</v>
      </c>
      <c r="G163" s="108">
        <v>207221.74</v>
      </c>
      <c r="H163" s="37">
        <f t="shared" si="9"/>
        <v>71</v>
      </c>
      <c r="I163" s="37" t="str">
        <f t="shared" si="11"/>
        <v>1-90 DAYS</v>
      </c>
      <c r="J163" s="37" t="str">
        <f t="shared" si="10"/>
        <v>0-180 DAYS</v>
      </c>
      <c r="K163" t="s">
        <v>1730</v>
      </c>
      <c r="L163" s="66" t="s">
        <v>3387</v>
      </c>
      <c r="M163" s="66">
        <v>207221.74</v>
      </c>
      <c r="N163" s="66"/>
    </row>
    <row r="164" spans="1:14" hidden="1" x14ac:dyDescent="0.35">
      <c r="A164" s="2" t="s">
        <v>477</v>
      </c>
      <c r="B164" s="2" t="s">
        <v>790</v>
      </c>
      <c r="C164" s="18" t="s">
        <v>2380</v>
      </c>
      <c r="D164" s="18" t="s">
        <v>1081</v>
      </c>
      <c r="E164" s="18" t="s">
        <v>3115</v>
      </c>
      <c r="F164" s="19">
        <v>45678</v>
      </c>
      <c r="G164" s="108">
        <v>1474295.74</v>
      </c>
      <c r="H164" s="37">
        <f t="shared" si="9"/>
        <v>70</v>
      </c>
      <c r="I164" s="37" t="str">
        <f t="shared" si="11"/>
        <v>1-90 DAYS</v>
      </c>
      <c r="J164" s="37" t="str">
        <f t="shared" si="10"/>
        <v>0-180 DAYS</v>
      </c>
      <c r="K164" t="s">
        <v>1730</v>
      </c>
      <c r="L164" s="66" t="s">
        <v>3388</v>
      </c>
      <c r="M164" s="66">
        <v>1474295.74</v>
      </c>
      <c r="N164" s="66"/>
    </row>
    <row r="165" spans="1:14" hidden="1" x14ac:dyDescent="0.35">
      <c r="A165" s="2" t="s">
        <v>477</v>
      </c>
      <c r="B165" s="2" t="s">
        <v>790</v>
      </c>
      <c r="C165" s="18" t="s">
        <v>2380</v>
      </c>
      <c r="D165" s="18" t="s">
        <v>1081</v>
      </c>
      <c r="E165" s="18" t="s">
        <v>3116</v>
      </c>
      <c r="F165" s="19">
        <v>45678</v>
      </c>
      <c r="G165" s="108">
        <v>233707.26</v>
      </c>
      <c r="H165" s="37">
        <f t="shared" si="9"/>
        <v>70</v>
      </c>
      <c r="I165" s="37" t="str">
        <f t="shared" si="11"/>
        <v>1-90 DAYS</v>
      </c>
      <c r="J165" s="37" t="str">
        <f t="shared" si="10"/>
        <v>0-180 DAYS</v>
      </c>
      <c r="K165" t="s">
        <v>1730</v>
      </c>
      <c r="L165" s="66" t="s">
        <v>3388</v>
      </c>
      <c r="M165" s="66">
        <v>233707.26</v>
      </c>
      <c r="N165" s="66"/>
    </row>
    <row r="166" spans="1:14" hidden="1" x14ac:dyDescent="0.35">
      <c r="A166" s="2" t="s">
        <v>477</v>
      </c>
      <c r="B166" s="2" t="s">
        <v>790</v>
      </c>
      <c r="C166" s="18" t="s">
        <v>2380</v>
      </c>
      <c r="D166" s="18" t="s">
        <v>1081</v>
      </c>
      <c r="E166" s="18" t="s">
        <v>3117</v>
      </c>
      <c r="F166" s="19">
        <v>45678</v>
      </c>
      <c r="G166" s="108">
        <v>1052000.28</v>
      </c>
      <c r="H166" s="37">
        <f t="shared" si="9"/>
        <v>70</v>
      </c>
      <c r="I166" s="37" t="str">
        <f t="shared" si="11"/>
        <v>1-90 DAYS</v>
      </c>
      <c r="J166" s="37" t="str">
        <f t="shared" si="10"/>
        <v>0-180 DAYS</v>
      </c>
      <c r="K166" t="s">
        <v>1730</v>
      </c>
      <c r="L166" s="66" t="s">
        <v>3388</v>
      </c>
      <c r="M166" s="66">
        <v>1052000.28</v>
      </c>
      <c r="N166" s="66"/>
    </row>
    <row r="167" spans="1:14" hidden="1" x14ac:dyDescent="0.35">
      <c r="A167" s="2" t="s">
        <v>477</v>
      </c>
      <c r="B167" s="2" t="s">
        <v>790</v>
      </c>
      <c r="C167" s="18" t="s">
        <v>2380</v>
      </c>
      <c r="D167" s="18" t="s">
        <v>1081</v>
      </c>
      <c r="E167" s="18" t="s">
        <v>3118</v>
      </c>
      <c r="F167" s="19">
        <v>45678</v>
      </c>
      <c r="G167" s="108">
        <v>1052000.28</v>
      </c>
      <c r="H167" s="37">
        <f t="shared" si="9"/>
        <v>70</v>
      </c>
      <c r="I167" s="37" t="str">
        <f t="shared" si="11"/>
        <v>1-90 DAYS</v>
      </c>
      <c r="J167" s="37" t="str">
        <f t="shared" si="10"/>
        <v>0-180 DAYS</v>
      </c>
      <c r="K167" t="s">
        <v>1730</v>
      </c>
      <c r="L167" s="66" t="s">
        <v>3388</v>
      </c>
      <c r="M167" s="66">
        <v>1052000.28</v>
      </c>
      <c r="N167" s="66"/>
    </row>
    <row r="168" spans="1:14" hidden="1" x14ac:dyDescent="0.35">
      <c r="A168" s="2" t="s">
        <v>477</v>
      </c>
      <c r="B168" s="2" t="s">
        <v>790</v>
      </c>
      <c r="C168" s="18" t="s">
        <v>2380</v>
      </c>
      <c r="D168" s="18" t="s">
        <v>1081</v>
      </c>
      <c r="E168" s="18" t="s">
        <v>3119</v>
      </c>
      <c r="F168" s="19">
        <v>45678</v>
      </c>
      <c r="G168" s="108">
        <v>350560.9</v>
      </c>
      <c r="H168" s="37">
        <f t="shared" si="9"/>
        <v>70</v>
      </c>
      <c r="I168" s="37" t="str">
        <f t="shared" si="11"/>
        <v>1-90 DAYS</v>
      </c>
      <c r="J168" s="37" t="str">
        <f t="shared" si="10"/>
        <v>0-180 DAYS</v>
      </c>
      <c r="K168" t="s">
        <v>1730</v>
      </c>
      <c r="L168" s="66" t="s">
        <v>3388</v>
      </c>
      <c r="M168" s="66">
        <v>350560.9</v>
      </c>
      <c r="N168" s="66"/>
    </row>
    <row r="169" spans="1:14" hidden="1" x14ac:dyDescent="0.35">
      <c r="A169" s="2" t="s">
        <v>477</v>
      </c>
      <c r="B169" s="2" t="s">
        <v>790</v>
      </c>
      <c r="C169" s="18" t="s">
        <v>2380</v>
      </c>
      <c r="D169" s="18" t="s">
        <v>1081</v>
      </c>
      <c r="E169" s="18" t="s">
        <v>3120</v>
      </c>
      <c r="F169" s="19">
        <v>45679</v>
      </c>
      <c r="G169" s="108">
        <v>578464.19999999995</v>
      </c>
      <c r="H169" s="37">
        <f t="shared" si="9"/>
        <v>69</v>
      </c>
      <c r="I169" s="37" t="str">
        <f t="shared" si="11"/>
        <v>1-90 DAYS</v>
      </c>
      <c r="J169" s="37" t="str">
        <f t="shared" si="10"/>
        <v>0-180 DAYS</v>
      </c>
      <c r="K169" t="s">
        <v>1730</v>
      </c>
      <c r="L169" s="66" t="s">
        <v>3389</v>
      </c>
      <c r="M169" s="66">
        <v>578464.19999999995</v>
      </c>
      <c r="N169" s="66"/>
    </row>
    <row r="170" spans="1:14" hidden="1" x14ac:dyDescent="0.35">
      <c r="A170" s="2" t="s">
        <v>477</v>
      </c>
      <c r="B170" s="2" t="s">
        <v>790</v>
      </c>
      <c r="C170" s="18" t="s">
        <v>2380</v>
      </c>
      <c r="D170" s="18" t="s">
        <v>1081</v>
      </c>
      <c r="E170" s="18" t="s">
        <v>3121</v>
      </c>
      <c r="F170" s="19">
        <v>45679</v>
      </c>
      <c r="G170" s="108">
        <v>578464.19999999995</v>
      </c>
      <c r="H170" s="37">
        <f t="shared" si="9"/>
        <v>69</v>
      </c>
      <c r="I170" s="37" t="str">
        <f t="shared" si="11"/>
        <v>1-90 DAYS</v>
      </c>
      <c r="J170" s="37" t="str">
        <f t="shared" si="10"/>
        <v>0-180 DAYS</v>
      </c>
      <c r="K170" t="s">
        <v>1730</v>
      </c>
      <c r="L170" s="66" t="s">
        <v>3389</v>
      </c>
      <c r="M170" s="66">
        <v>578464.19999999995</v>
      </c>
      <c r="N170" s="66"/>
    </row>
    <row r="171" spans="1:14" hidden="1" x14ac:dyDescent="0.35">
      <c r="A171" s="2" t="s">
        <v>477</v>
      </c>
      <c r="B171" s="2" t="s">
        <v>790</v>
      </c>
      <c r="C171" s="18" t="s">
        <v>2380</v>
      </c>
      <c r="D171" s="18" t="s">
        <v>1081</v>
      </c>
      <c r="E171" s="18" t="s">
        <v>3122</v>
      </c>
      <c r="F171" s="19">
        <v>45680</v>
      </c>
      <c r="G171" s="108">
        <v>578464.19999999995</v>
      </c>
      <c r="H171" s="37">
        <f t="shared" si="9"/>
        <v>68</v>
      </c>
      <c r="I171" s="37" t="str">
        <f t="shared" si="11"/>
        <v>1-90 DAYS</v>
      </c>
      <c r="J171" s="37" t="str">
        <f t="shared" si="10"/>
        <v>0-180 DAYS</v>
      </c>
      <c r="K171" t="s">
        <v>1730</v>
      </c>
      <c r="L171" s="66" t="s">
        <v>3390</v>
      </c>
      <c r="M171" s="66">
        <v>578464.19999999995</v>
      </c>
      <c r="N171" s="66"/>
    </row>
    <row r="172" spans="1:14" hidden="1" x14ac:dyDescent="0.35">
      <c r="A172" s="2" t="s">
        <v>477</v>
      </c>
      <c r="B172" s="2" t="s">
        <v>790</v>
      </c>
      <c r="C172" s="18" t="s">
        <v>2380</v>
      </c>
      <c r="D172" s="18" t="s">
        <v>1081</v>
      </c>
      <c r="E172" s="18" t="s">
        <v>3123</v>
      </c>
      <c r="F172" s="19">
        <v>45680</v>
      </c>
      <c r="G172" s="108">
        <v>852448.62</v>
      </c>
      <c r="H172" s="37">
        <f t="shared" si="9"/>
        <v>68</v>
      </c>
      <c r="I172" s="37" t="str">
        <f t="shared" si="11"/>
        <v>1-90 DAYS</v>
      </c>
      <c r="J172" s="37" t="str">
        <f t="shared" si="10"/>
        <v>0-180 DAYS</v>
      </c>
      <c r="K172" t="s">
        <v>1730</v>
      </c>
      <c r="L172" s="66" t="s">
        <v>3390</v>
      </c>
      <c r="M172" s="66">
        <v>852448.62</v>
      </c>
      <c r="N172" s="66"/>
    </row>
    <row r="173" spans="1:14" hidden="1" x14ac:dyDescent="0.35">
      <c r="A173" s="2" t="s">
        <v>477</v>
      </c>
      <c r="B173" s="2" t="s">
        <v>790</v>
      </c>
      <c r="C173" s="18" t="s">
        <v>2380</v>
      </c>
      <c r="D173" s="18" t="s">
        <v>1081</v>
      </c>
      <c r="E173" s="18" t="s">
        <v>3124</v>
      </c>
      <c r="F173" s="19">
        <v>45681</v>
      </c>
      <c r="G173" s="108">
        <v>1166177.32</v>
      </c>
      <c r="H173" s="37">
        <f t="shared" si="9"/>
        <v>67</v>
      </c>
      <c r="I173" s="37" t="str">
        <f t="shared" si="11"/>
        <v>1-90 DAYS</v>
      </c>
      <c r="J173" s="37" t="str">
        <f t="shared" si="10"/>
        <v>0-180 DAYS</v>
      </c>
      <c r="K173" t="s">
        <v>1730</v>
      </c>
      <c r="L173" s="66" t="s">
        <v>3253</v>
      </c>
      <c r="M173" s="66">
        <v>1166177.32</v>
      </c>
      <c r="N173" s="66"/>
    </row>
    <row r="174" spans="1:14" hidden="1" x14ac:dyDescent="0.35">
      <c r="A174" s="2" t="s">
        <v>477</v>
      </c>
      <c r="B174" s="2" t="s">
        <v>790</v>
      </c>
      <c r="C174" s="18" t="s">
        <v>2380</v>
      </c>
      <c r="D174" s="18" t="s">
        <v>1081</v>
      </c>
      <c r="E174" s="18" t="s">
        <v>3125</v>
      </c>
      <c r="F174" s="19">
        <v>45682</v>
      </c>
      <c r="G174" s="108">
        <v>235122.26</v>
      </c>
      <c r="H174" s="37">
        <f t="shared" si="9"/>
        <v>66</v>
      </c>
      <c r="I174" s="37" t="str">
        <f t="shared" si="11"/>
        <v>1-90 DAYS</v>
      </c>
      <c r="J174" s="37" t="str">
        <f t="shared" si="10"/>
        <v>0-180 DAYS</v>
      </c>
      <c r="K174" t="s">
        <v>1730</v>
      </c>
      <c r="L174" s="66" t="s">
        <v>3391</v>
      </c>
      <c r="M174" s="66">
        <v>235122.26</v>
      </c>
      <c r="N174" s="66"/>
    </row>
    <row r="175" spans="1:14" hidden="1" x14ac:dyDescent="0.35">
      <c r="A175" s="2" t="s">
        <v>477</v>
      </c>
      <c r="B175" s="2" t="s">
        <v>790</v>
      </c>
      <c r="C175" s="18" t="s">
        <v>2380</v>
      </c>
      <c r="D175" s="18" t="s">
        <v>1081</v>
      </c>
      <c r="E175" s="18" t="s">
        <v>3126</v>
      </c>
      <c r="F175" s="19">
        <v>45684</v>
      </c>
      <c r="G175" s="108">
        <v>58780.32</v>
      </c>
      <c r="H175" s="37">
        <f t="shared" si="9"/>
        <v>64</v>
      </c>
      <c r="I175" s="37" t="str">
        <f t="shared" si="11"/>
        <v>1-90 DAYS</v>
      </c>
      <c r="J175" s="37" t="str">
        <f t="shared" si="10"/>
        <v>0-180 DAYS</v>
      </c>
      <c r="K175" t="s">
        <v>1730</v>
      </c>
      <c r="L175" s="66" t="s">
        <v>3392</v>
      </c>
      <c r="M175" s="66">
        <v>58780.32</v>
      </c>
      <c r="N175" s="66"/>
    </row>
    <row r="176" spans="1:14" hidden="1" x14ac:dyDescent="0.35">
      <c r="A176" s="2" t="s">
        <v>477</v>
      </c>
      <c r="B176" s="2" t="s">
        <v>790</v>
      </c>
      <c r="C176" s="18" t="s">
        <v>2380</v>
      </c>
      <c r="D176" s="18" t="s">
        <v>1081</v>
      </c>
      <c r="E176" s="18" t="s">
        <v>3127</v>
      </c>
      <c r="F176" s="19">
        <v>45684</v>
      </c>
      <c r="G176" s="108">
        <v>291544.58</v>
      </c>
      <c r="H176" s="37">
        <f t="shared" si="9"/>
        <v>64</v>
      </c>
      <c r="I176" s="37" t="str">
        <f t="shared" si="11"/>
        <v>1-90 DAYS</v>
      </c>
      <c r="J176" s="37" t="str">
        <f t="shared" si="10"/>
        <v>0-180 DAYS</v>
      </c>
      <c r="K176" t="s">
        <v>1730</v>
      </c>
      <c r="L176" s="66" t="s">
        <v>3392</v>
      </c>
      <c r="M176" s="66">
        <v>291544.58</v>
      </c>
      <c r="N176" s="66"/>
    </row>
    <row r="177" spans="1:14" hidden="1" x14ac:dyDescent="0.35">
      <c r="A177" s="2" t="s">
        <v>477</v>
      </c>
      <c r="B177" s="2" t="s">
        <v>790</v>
      </c>
      <c r="C177" s="18" t="s">
        <v>2380</v>
      </c>
      <c r="D177" s="18" t="s">
        <v>1081</v>
      </c>
      <c r="E177" s="18" t="s">
        <v>3128</v>
      </c>
      <c r="F177" s="19">
        <v>45684</v>
      </c>
      <c r="G177" s="108">
        <v>116617.64</v>
      </c>
      <c r="H177" s="37">
        <f t="shared" si="9"/>
        <v>64</v>
      </c>
      <c r="I177" s="37" t="str">
        <f t="shared" si="11"/>
        <v>1-90 DAYS</v>
      </c>
      <c r="J177" s="37" t="str">
        <f t="shared" si="10"/>
        <v>0-180 DAYS</v>
      </c>
      <c r="K177" t="s">
        <v>1730</v>
      </c>
      <c r="L177" s="66" t="s">
        <v>3392</v>
      </c>
      <c r="M177" s="66">
        <v>116617.64</v>
      </c>
      <c r="N177" s="66"/>
    </row>
    <row r="178" spans="1:14" hidden="1" x14ac:dyDescent="0.35">
      <c r="A178" s="2" t="s">
        <v>477</v>
      </c>
      <c r="B178" s="2" t="s">
        <v>790</v>
      </c>
      <c r="C178" s="18" t="s">
        <v>2380</v>
      </c>
      <c r="D178" s="18" t="s">
        <v>1081</v>
      </c>
      <c r="E178" s="18" t="s">
        <v>3129</v>
      </c>
      <c r="F178" s="19">
        <v>45685</v>
      </c>
      <c r="G178" s="108">
        <v>587309.56000000006</v>
      </c>
      <c r="H178" s="37">
        <f t="shared" si="9"/>
        <v>63</v>
      </c>
      <c r="I178" s="37" t="str">
        <f t="shared" si="11"/>
        <v>1-90 DAYS</v>
      </c>
      <c r="J178" s="37" t="str">
        <f t="shared" si="10"/>
        <v>0-180 DAYS</v>
      </c>
      <c r="K178" t="s">
        <v>1730</v>
      </c>
      <c r="L178" s="66" t="s">
        <v>3393</v>
      </c>
      <c r="M178" s="66">
        <v>587309.56000000006</v>
      </c>
      <c r="N178" s="66"/>
    </row>
    <row r="179" spans="1:14" hidden="1" x14ac:dyDescent="0.35">
      <c r="A179" s="2" t="s">
        <v>477</v>
      </c>
      <c r="B179" s="2" t="s">
        <v>790</v>
      </c>
      <c r="C179" s="18" t="s">
        <v>2380</v>
      </c>
      <c r="D179" s="18" t="s">
        <v>1081</v>
      </c>
      <c r="E179" s="18" t="s">
        <v>3130</v>
      </c>
      <c r="F179" s="19">
        <v>45685</v>
      </c>
      <c r="G179" s="108">
        <v>1166177.32</v>
      </c>
      <c r="H179" s="37">
        <f t="shared" si="9"/>
        <v>63</v>
      </c>
      <c r="I179" s="37" t="str">
        <f t="shared" si="11"/>
        <v>1-90 DAYS</v>
      </c>
      <c r="J179" s="37" t="str">
        <f t="shared" si="10"/>
        <v>0-180 DAYS</v>
      </c>
      <c r="K179" t="s">
        <v>1730</v>
      </c>
      <c r="L179" s="66" t="s">
        <v>3393</v>
      </c>
      <c r="M179" s="66">
        <v>1166177.32</v>
      </c>
      <c r="N179" s="66"/>
    </row>
    <row r="180" spans="1:14" hidden="1" x14ac:dyDescent="0.35">
      <c r="A180" s="2" t="s">
        <v>477</v>
      </c>
      <c r="B180" s="2" t="s">
        <v>790</v>
      </c>
      <c r="C180" s="18" t="s">
        <v>2380</v>
      </c>
      <c r="D180" s="18" t="s">
        <v>1081</v>
      </c>
      <c r="E180" s="18" t="s">
        <v>3131</v>
      </c>
      <c r="F180" s="19">
        <v>45685</v>
      </c>
      <c r="G180" s="108">
        <v>349852.9</v>
      </c>
      <c r="H180" s="37">
        <f t="shared" si="9"/>
        <v>63</v>
      </c>
      <c r="I180" s="37" t="str">
        <f t="shared" si="11"/>
        <v>1-90 DAYS</v>
      </c>
      <c r="J180" s="37" t="str">
        <f t="shared" si="10"/>
        <v>0-180 DAYS</v>
      </c>
      <c r="K180" t="s">
        <v>1730</v>
      </c>
      <c r="L180" s="66" t="s">
        <v>3393</v>
      </c>
      <c r="M180" s="66">
        <v>349852.9</v>
      </c>
      <c r="N180" s="66"/>
    </row>
    <row r="181" spans="1:14" hidden="1" x14ac:dyDescent="0.35">
      <c r="A181" s="2" t="s">
        <v>477</v>
      </c>
      <c r="B181" s="2" t="s">
        <v>790</v>
      </c>
      <c r="C181" s="18" t="s">
        <v>2380</v>
      </c>
      <c r="D181" s="18" t="s">
        <v>1081</v>
      </c>
      <c r="E181" s="18" t="s">
        <v>3133</v>
      </c>
      <c r="F181" s="19">
        <v>45686</v>
      </c>
      <c r="G181" s="108">
        <v>470243.52</v>
      </c>
      <c r="H181" s="37">
        <f t="shared" si="9"/>
        <v>62</v>
      </c>
      <c r="I181" s="37" t="str">
        <f t="shared" si="11"/>
        <v>1-90 DAYS</v>
      </c>
      <c r="J181" s="37" t="str">
        <f t="shared" si="10"/>
        <v>0-180 DAYS</v>
      </c>
      <c r="K181" t="s">
        <v>1730</v>
      </c>
      <c r="L181" s="66" t="s">
        <v>3394</v>
      </c>
      <c r="M181" s="66">
        <v>470243.52</v>
      </c>
      <c r="N181" s="66"/>
    </row>
    <row r="182" spans="1:14" hidden="1" x14ac:dyDescent="0.35">
      <c r="A182" s="2" t="s">
        <v>477</v>
      </c>
      <c r="B182" s="2" t="s">
        <v>790</v>
      </c>
      <c r="C182" s="18" t="s">
        <v>2380</v>
      </c>
      <c r="D182" s="18" t="s">
        <v>1081</v>
      </c>
      <c r="E182" s="18" t="s">
        <v>3134</v>
      </c>
      <c r="F182" s="19">
        <v>45686</v>
      </c>
      <c r="G182" s="108">
        <v>699918.2</v>
      </c>
      <c r="H182" s="37">
        <f t="shared" si="9"/>
        <v>62</v>
      </c>
      <c r="I182" s="37" t="str">
        <f t="shared" si="11"/>
        <v>1-90 DAYS</v>
      </c>
      <c r="J182" s="37" t="str">
        <f t="shared" si="10"/>
        <v>0-180 DAYS</v>
      </c>
      <c r="K182" t="s">
        <v>1730</v>
      </c>
      <c r="L182" s="66" t="s">
        <v>3394</v>
      </c>
      <c r="M182" s="66">
        <v>699918.2</v>
      </c>
      <c r="N182" s="66"/>
    </row>
    <row r="183" spans="1:14" hidden="1" x14ac:dyDescent="0.35">
      <c r="A183" s="2" t="s">
        <v>477</v>
      </c>
      <c r="B183" s="2" t="s">
        <v>790</v>
      </c>
      <c r="C183" s="18" t="s">
        <v>2380</v>
      </c>
      <c r="D183" s="18" t="s">
        <v>1081</v>
      </c>
      <c r="E183" s="18" t="s">
        <v>3135</v>
      </c>
      <c r="F183" s="19">
        <v>45687</v>
      </c>
      <c r="G183" s="108">
        <v>352385.18</v>
      </c>
      <c r="H183" s="37">
        <f t="shared" si="9"/>
        <v>61</v>
      </c>
      <c r="I183" s="37" t="str">
        <f t="shared" si="11"/>
        <v>1-90 DAYS</v>
      </c>
      <c r="J183" s="37" t="str">
        <f t="shared" si="10"/>
        <v>0-180 DAYS</v>
      </c>
      <c r="K183" t="s">
        <v>1730</v>
      </c>
      <c r="L183" s="66" t="s">
        <v>3395</v>
      </c>
      <c r="M183" s="66">
        <v>352385.18</v>
      </c>
      <c r="N183" s="66"/>
    </row>
    <row r="184" spans="1:14" hidden="1" x14ac:dyDescent="0.35">
      <c r="A184" s="2" t="s">
        <v>477</v>
      </c>
      <c r="B184" s="2" t="s">
        <v>790</v>
      </c>
      <c r="C184" s="18" t="s">
        <v>2380</v>
      </c>
      <c r="D184" s="18" t="s">
        <v>1081</v>
      </c>
      <c r="E184" s="18" t="s">
        <v>3136</v>
      </c>
      <c r="F184" s="19">
        <v>45688</v>
      </c>
      <c r="G184" s="108">
        <v>101020.41</v>
      </c>
      <c r="H184" s="37">
        <f t="shared" si="9"/>
        <v>60</v>
      </c>
      <c r="I184" s="37" t="str">
        <f t="shared" si="11"/>
        <v>1-90 DAYS</v>
      </c>
      <c r="J184" s="37" t="str">
        <f t="shared" si="10"/>
        <v>0-180 DAYS</v>
      </c>
      <c r="K184" t="s">
        <v>1730</v>
      </c>
      <c r="L184" s="66" t="s">
        <v>3396</v>
      </c>
      <c r="M184" s="66">
        <v>101020.41</v>
      </c>
      <c r="N184" s="66"/>
    </row>
    <row r="185" spans="1:14" hidden="1" x14ac:dyDescent="0.35">
      <c r="A185" s="2" t="s">
        <v>477</v>
      </c>
      <c r="B185" s="2" t="s">
        <v>790</v>
      </c>
      <c r="C185" s="18" t="s">
        <v>2380</v>
      </c>
      <c r="D185" s="18" t="s">
        <v>1081</v>
      </c>
      <c r="E185" s="18" t="s">
        <v>3137</v>
      </c>
      <c r="F185" s="19">
        <v>45688</v>
      </c>
      <c r="G185" s="108">
        <v>352682.9</v>
      </c>
      <c r="H185" s="37">
        <f t="shared" si="9"/>
        <v>60</v>
      </c>
      <c r="I185" s="37" t="str">
        <f t="shared" si="11"/>
        <v>1-90 DAYS</v>
      </c>
      <c r="J185" s="37" t="str">
        <f t="shared" si="10"/>
        <v>0-180 DAYS</v>
      </c>
      <c r="K185" t="s">
        <v>1730</v>
      </c>
      <c r="L185" s="66" t="s">
        <v>3396</v>
      </c>
      <c r="M185" s="66">
        <v>352682.9</v>
      </c>
      <c r="N185" s="66"/>
    </row>
    <row r="186" spans="1:14" hidden="1" x14ac:dyDescent="0.35">
      <c r="A186" s="2" t="s">
        <v>477</v>
      </c>
      <c r="B186" s="2" t="s">
        <v>790</v>
      </c>
      <c r="C186" s="18" t="s">
        <v>3095</v>
      </c>
      <c r="D186" s="18" t="s">
        <v>1057</v>
      </c>
      <c r="E186" s="18" t="s">
        <v>3138</v>
      </c>
      <c r="F186" s="19">
        <v>45661</v>
      </c>
      <c r="G186" s="108">
        <v>41117.1</v>
      </c>
      <c r="H186" s="37">
        <f t="shared" si="9"/>
        <v>87</v>
      </c>
      <c r="I186" s="37" t="str">
        <f t="shared" si="11"/>
        <v>1-90 DAYS</v>
      </c>
      <c r="J186" s="37" t="str">
        <f t="shared" si="10"/>
        <v>0-180 DAYS</v>
      </c>
      <c r="K186" t="s">
        <v>1730</v>
      </c>
      <c r="L186" s="66" t="s">
        <v>3397</v>
      </c>
      <c r="M186" s="66">
        <v>41117.1</v>
      </c>
      <c r="N186" s="66"/>
    </row>
    <row r="187" spans="1:14" hidden="1" x14ac:dyDescent="0.35">
      <c r="A187" s="2" t="s">
        <v>477</v>
      </c>
      <c r="B187" s="2" t="s">
        <v>790</v>
      </c>
      <c r="C187" s="18" t="s">
        <v>263</v>
      </c>
      <c r="D187" s="18" t="s">
        <v>264</v>
      </c>
      <c r="E187" s="18" t="s">
        <v>3139</v>
      </c>
      <c r="F187" s="19">
        <v>45664</v>
      </c>
      <c r="G187" s="108">
        <f>801428.27-254636</f>
        <v>546792.27</v>
      </c>
      <c r="H187" s="37">
        <f t="shared" si="9"/>
        <v>84</v>
      </c>
      <c r="I187" s="37" t="str">
        <f t="shared" si="11"/>
        <v>1-90 DAYS</v>
      </c>
      <c r="J187" s="37" t="str">
        <f t="shared" si="10"/>
        <v>0-180 DAYS</v>
      </c>
      <c r="K187" t="s">
        <v>1730</v>
      </c>
      <c r="L187" s="66" t="s">
        <v>3383</v>
      </c>
      <c r="M187" s="66">
        <v>801428.27</v>
      </c>
      <c r="N187" s="66"/>
    </row>
    <row r="188" spans="1:14" hidden="1" x14ac:dyDescent="0.35">
      <c r="A188" s="2" t="s">
        <v>477</v>
      </c>
      <c r="B188" s="2" t="s">
        <v>790</v>
      </c>
      <c r="C188" s="18" t="s">
        <v>3</v>
      </c>
      <c r="D188" s="18" t="s">
        <v>4</v>
      </c>
      <c r="E188" s="18" t="s">
        <v>3141</v>
      </c>
      <c r="F188" s="19">
        <v>45670</v>
      </c>
      <c r="G188" s="108">
        <v>1495149.46</v>
      </c>
      <c r="H188" s="37">
        <f t="shared" si="9"/>
        <v>78</v>
      </c>
      <c r="I188" s="37" t="str">
        <f t="shared" si="11"/>
        <v>1-90 DAYS</v>
      </c>
      <c r="J188" s="37" t="str">
        <f t="shared" si="10"/>
        <v>0-180 DAYS</v>
      </c>
      <c r="K188" t="s">
        <v>1730</v>
      </c>
      <c r="L188" s="66" t="s">
        <v>3398</v>
      </c>
      <c r="M188" s="66">
        <v>1495149.46</v>
      </c>
      <c r="N188" s="66"/>
    </row>
    <row r="189" spans="1:14" hidden="1" x14ac:dyDescent="0.35">
      <c r="A189" s="2" t="s">
        <v>477</v>
      </c>
      <c r="B189" s="2" t="s">
        <v>790</v>
      </c>
      <c r="C189" s="18" t="s">
        <v>2527</v>
      </c>
      <c r="D189" s="18" t="s">
        <v>2529</v>
      </c>
      <c r="E189" s="18" t="s">
        <v>3144</v>
      </c>
      <c r="F189" s="19">
        <v>45673</v>
      </c>
      <c r="G189" s="108">
        <v>4030.3</v>
      </c>
      <c r="H189" s="37">
        <f t="shared" si="9"/>
        <v>75</v>
      </c>
      <c r="I189" s="37" t="str">
        <f t="shared" si="11"/>
        <v>1-90 DAYS</v>
      </c>
      <c r="J189" s="37" t="str">
        <f t="shared" si="10"/>
        <v>0-180 DAYS</v>
      </c>
      <c r="K189" t="s">
        <v>1730</v>
      </c>
      <c r="L189" s="66" t="s">
        <v>3386</v>
      </c>
      <c r="M189" s="66">
        <v>4030.3</v>
      </c>
      <c r="N189" s="66"/>
    </row>
    <row r="190" spans="1:14" hidden="1" x14ac:dyDescent="0.35">
      <c r="A190" s="2" t="s">
        <v>477</v>
      </c>
      <c r="B190" s="2" t="s">
        <v>790</v>
      </c>
      <c r="C190" s="18" t="s">
        <v>2527</v>
      </c>
      <c r="D190" s="18" t="s">
        <v>2529</v>
      </c>
      <c r="E190" s="18" t="s">
        <v>3145</v>
      </c>
      <c r="F190" s="19">
        <v>45688</v>
      </c>
      <c r="G190" s="108">
        <v>24018.9</v>
      </c>
      <c r="H190" s="37">
        <f t="shared" si="9"/>
        <v>60</v>
      </c>
      <c r="I190" s="37" t="str">
        <f t="shared" si="11"/>
        <v>1-90 DAYS</v>
      </c>
      <c r="J190" s="37" t="str">
        <f t="shared" si="10"/>
        <v>0-180 DAYS</v>
      </c>
      <c r="K190" t="s">
        <v>1730</v>
      </c>
      <c r="L190" s="66" t="s">
        <v>3396</v>
      </c>
      <c r="M190" s="66">
        <v>24018.9</v>
      </c>
      <c r="N190" s="66"/>
    </row>
    <row r="191" spans="1:14" hidden="1" x14ac:dyDescent="0.35">
      <c r="A191" s="2" t="s">
        <v>1085</v>
      </c>
      <c r="B191" s="2" t="s">
        <v>790</v>
      </c>
      <c r="C191" s="18" t="s">
        <v>1052</v>
      </c>
      <c r="D191" t="s">
        <v>507</v>
      </c>
      <c r="E191" s="18" t="s">
        <v>3148</v>
      </c>
      <c r="F191" s="19">
        <v>45658</v>
      </c>
      <c r="G191" s="108">
        <v>2985290.91</v>
      </c>
      <c r="H191" s="37">
        <f t="shared" si="9"/>
        <v>90</v>
      </c>
      <c r="I191" s="37" t="str">
        <f t="shared" ref="I191:I254" si="12">IF(H191&lt;121,"0-120 DAYS",IF(H191&lt;181,"121-180 DAYS","More than 180 Days"))</f>
        <v>0-120 DAYS</v>
      </c>
      <c r="J191" s="37" t="str">
        <f t="shared" si="10"/>
        <v>0-180 DAYS</v>
      </c>
      <c r="K191" t="s">
        <v>1730</v>
      </c>
      <c r="L191" s="66" t="s">
        <v>3381</v>
      </c>
      <c r="M191" s="66">
        <v>2985290.91</v>
      </c>
      <c r="N191" s="66"/>
    </row>
    <row r="192" spans="1:14" hidden="1" x14ac:dyDescent="0.35">
      <c r="A192" s="2" t="s">
        <v>1085</v>
      </c>
      <c r="B192" s="2" t="s">
        <v>790</v>
      </c>
      <c r="C192" s="18" t="s">
        <v>2273</v>
      </c>
      <c r="D192" t="s">
        <v>507</v>
      </c>
      <c r="E192" s="18" t="s">
        <v>3149</v>
      </c>
      <c r="F192" s="19">
        <v>45658</v>
      </c>
      <c r="G192" s="108">
        <v>3981756.1</v>
      </c>
      <c r="H192" s="37">
        <f t="shared" si="9"/>
        <v>90</v>
      </c>
      <c r="I192" s="37" t="str">
        <f t="shared" si="12"/>
        <v>0-120 DAYS</v>
      </c>
      <c r="J192" s="37" t="str">
        <f t="shared" si="10"/>
        <v>0-180 DAYS</v>
      </c>
      <c r="K192" t="s">
        <v>1730</v>
      </c>
      <c r="L192" s="66" t="s">
        <v>3381</v>
      </c>
      <c r="M192" s="66">
        <v>3981756.1</v>
      </c>
      <c r="N192" s="66"/>
    </row>
    <row r="193" spans="1:14" hidden="1" x14ac:dyDescent="0.35">
      <c r="A193" s="2" t="s">
        <v>1085</v>
      </c>
      <c r="B193" s="2" t="s">
        <v>790</v>
      </c>
      <c r="C193" s="18" t="s">
        <v>1052</v>
      </c>
      <c r="D193" t="s">
        <v>507</v>
      </c>
      <c r="E193" s="18" t="s">
        <v>3150</v>
      </c>
      <c r="F193" s="19">
        <v>45659</v>
      </c>
      <c r="G193" s="108">
        <v>2980726.25</v>
      </c>
      <c r="H193" s="37">
        <f t="shared" si="9"/>
        <v>89</v>
      </c>
      <c r="I193" s="37" t="str">
        <f t="shared" si="12"/>
        <v>0-120 DAYS</v>
      </c>
      <c r="J193" s="37" t="str">
        <f t="shared" si="10"/>
        <v>0-180 DAYS</v>
      </c>
      <c r="K193" t="s">
        <v>1730</v>
      </c>
      <c r="L193" s="66" t="s">
        <v>3399</v>
      </c>
      <c r="M193" s="66">
        <v>2980726.25</v>
      </c>
      <c r="N193" s="66"/>
    </row>
    <row r="194" spans="1:14" hidden="1" x14ac:dyDescent="0.35">
      <c r="A194" s="2" t="s">
        <v>1085</v>
      </c>
      <c r="B194" s="2" t="s">
        <v>790</v>
      </c>
      <c r="C194" s="18" t="s">
        <v>3147</v>
      </c>
      <c r="D194" t="s">
        <v>507</v>
      </c>
      <c r="E194" s="18" t="s">
        <v>3151</v>
      </c>
      <c r="F194" s="19">
        <v>45661</v>
      </c>
      <c r="G194" s="108">
        <f>2985660-361123</f>
        <v>2624537</v>
      </c>
      <c r="H194" s="37">
        <f t="shared" si="9"/>
        <v>87</v>
      </c>
      <c r="I194" s="37" t="str">
        <f t="shared" si="12"/>
        <v>0-120 DAYS</v>
      </c>
      <c r="J194" s="37" t="str">
        <f t="shared" si="10"/>
        <v>0-180 DAYS</v>
      </c>
      <c r="K194" t="s">
        <v>1730</v>
      </c>
      <c r="L194" s="66" t="s">
        <v>3397</v>
      </c>
      <c r="M194" s="66">
        <v>2624537</v>
      </c>
      <c r="N194" s="66"/>
    </row>
    <row r="195" spans="1:14" hidden="1" x14ac:dyDescent="0.35">
      <c r="A195" s="2" t="s">
        <v>1085</v>
      </c>
      <c r="B195" s="2" t="s">
        <v>790</v>
      </c>
      <c r="C195" s="18" t="s">
        <v>538</v>
      </c>
      <c r="D195" t="s">
        <v>507</v>
      </c>
      <c r="E195" s="18" t="s">
        <v>3152</v>
      </c>
      <c r="F195" s="19">
        <v>45665</v>
      </c>
      <c r="G195" s="108">
        <v>2954232</v>
      </c>
      <c r="H195" s="37">
        <f t="shared" si="9"/>
        <v>83</v>
      </c>
      <c r="I195" s="37" t="str">
        <f t="shared" si="12"/>
        <v>0-120 DAYS</v>
      </c>
      <c r="J195" s="37" t="str">
        <f t="shared" si="10"/>
        <v>0-180 DAYS</v>
      </c>
      <c r="K195" t="s">
        <v>1730</v>
      </c>
      <c r="L195" s="66" t="s">
        <v>3384</v>
      </c>
      <c r="M195" s="66">
        <v>2954232</v>
      </c>
      <c r="N195" s="66"/>
    </row>
    <row r="196" spans="1:14" hidden="1" x14ac:dyDescent="0.35">
      <c r="A196" s="2" t="s">
        <v>1085</v>
      </c>
      <c r="B196" s="2" t="s">
        <v>790</v>
      </c>
      <c r="C196" s="18" t="s">
        <v>1329</v>
      </c>
      <c r="D196" t="s">
        <v>507</v>
      </c>
      <c r="E196" s="18" t="s">
        <v>3154</v>
      </c>
      <c r="F196" s="19">
        <v>45666</v>
      </c>
      <c r="G196" s="108">
        <v>2058.83</v>
      </c>
      <c r="H196" s="37">
        <f t="shared" si="9"/>
        <v>82</v>
      </c>
      <c r="I196" s="37" t="str">
        <f t="shared" si="12"/>
        <v>0-120 DAYS</v>
      </c>
      <c r="J196" s="37" t="str">
        <f t="shared" si="10"/>
        <v>0-180 DAYS</v>
      </c>
      <c r="K196" t="s">
        <v>1730</v>
      </c>
      <c r="L196" s="66" t="s">
        <v>3379</v>
      </c>
      <c r="M196" s="66">
        <v>2058.83</v>
      </c>
      <c r="N196" s="66"/>
    </row>
    <row r="197" spans="1:14" hidden="1" x14ac:dyDescent="0.35">
      <c r="A197" s="2" t="s">
        <v>1209</v>
      </c>
      <c r="B197" s="2" t="s">
        <v>789</v>
      </c>
      <c r="C197" s="18" t="s">
        <v>506</v>
      </c>
      <c r="D197" t="s">
        <v>507</v>
      </c>
      <c r="E197" s="18" t="s">
        <v>3155</v>
      </c>
      <c r="F197" s="19">
        <v>45666</v>
      </c>
      <c r="G197" s="108">
        <v>3233676.3</v>
      </c>
      <c r="H197" s="37">
        <f t="shared" si="9"/>
        <v>82</v>
      </c>
      <c r="I197" s="37" t="str">
        <f t="shared" si="12"/>
        <v>0-120 DAYS</v>
      </c>
      <c r="J197" s="37" t="str">
        <f t="shared" si="10"/>
        <v>0-180 DAYS</v>
      </c>
      <c r="L197" s="66" t="s">
        <v>3379</v>
      </c>
      <c r="M197" s="66">
        <v>3233676.3</v>
      </c>
      <c r="N197" s="66"/>
    </row>
    <row r="198" spans="1:14" hidden="1" x14ac:dyDescent="0.35">
      <c r="A198" s="2" t="s">
        <v>1085</v>
      </c>
      <c r="B198" s="2" t="s">
        <v>790</v>
      </c>
      <c r="C198" s="18" t="s">
        <v>548</v>
      </c>
      <c r="D198" t="s">
        <v>507</v>
      </c>
      <c r="E198" s="18" t="s">
        <v>3157</v>
      </c>
      <c r="F198" s="19">
        <v>45667</v>
      </c>
      <c r="G198" s="108">
        <v>1316900.8799999999</v>
      </c>
      <c r="H198" s="37">
        <f t="shared" si="9"/>
        <v>81</v>
      </c>
      <c r="I198" s="37" t="str">
        <f t="shared" si="12"/>
        <v>0-120 DAYS</v>
      </c>
      <c r="J198" s="37" t="str">
        <f t="shared" si="10"/>
        <v>0-180 DAYS</v>
      </c>
      <c r="K198" t="s">
        <v>1730</v>
      </c>
      <c r="L198" s="66" t="s">
        <v>3400</v>
      </c>
      <c r="M198" s="66">
        <v>1316900.8799999999</v>
      </c>
      <c r="N198" s="66"/>
    </row>
    <row r="199" spans="1:14" hidden="1" x14ac:dyDescent="0.35">
      <c r="A199" s="2" t="s">
        <v>1085</v>
      </c>
      <c r="B199" s="2" t="s">
        <v>790</v>
      </c>
      <c r="C199" s="18" t="s">
        <v>1052</v>
      </c>
      <c r="D199" t="s">
        <v>507</v>
      </c>
      <c r="E199" s="18" t="s">
        <v>3158</v>
      </c>
      <c r="F199" s="19">
        <v>45668</v>
      </c>
      <c r="G199" s="108">
        <v>3095206.94</v>
      </c>
      <c r="H199" s="37">
        <f t="shared" si="9"/>
        <v>80</v>
      </c>
      <c r="I199" s="37" t="str">
        <f t="shared" si="12"/>
        <v>0-120 DAYS</v>
      </c>
      <c r="J199" s="37" t="str">
        <f t="shared" si="10"/>
        <v>0-180 DAYS</v>
      </c>
      <c r="K199" t="s">
        <v>1730</v>
      </c>
      <c r="L199" s="66" t="s">
        <v>3380</v>
      </c>
      <c r="M199" s="66">
        <v>3095206.94</v>
      </c>
      <c r="N199" s="66"/>
    </row>
    <row r="200" spans="1:14" hidden="1" x14ac:dyDescent="0.35">
      <c r="A200" s="2" t="s">
        <v>1085</v>
      </c>
      <c r="B200" s="2" t="s">
        <v>790</v>
      </c>
      <c r="C200" s="18" t="s">
        <v>1052</v>
      </c>
      <c r="D200" t="s">
        <v>507</v>
      </c>
      <c r="E200" s="18" t="s">
        <v>3159</v>
      </c>
      <c r="F200" s="19">
        <v>45668</v>
      </c>
      <c r="G200" s="108">
        <v>3008255.76</v>
      </c>
      <c r="H200" s="37">
        <f t="shared" si="9"/>
        <v>80</v>
      </c>
      <c r="I200" s="37" t="str">
        <f t="shared" si="12"/>
        <v>0-120 DAYS</v>
      </c>
      <c r="J200" s="37" t="str">
        <f t="shared" si="10"/>
        <v>0-180 DAYS</v>
      </c>
      <c r="K200" t="s">
        <v>1730</v>
      </c>
      <c r="L200" s="66" t="s">
        <v>3380</v>
      </c>
      <c r="M200" s="66">
        <v>3008255.76</v>
      </c>
      <c r="N200" s="66"/>
    </row>
    <row r="201" spans="1:14" hidden="1" x14ac:dyDescent="0.35">
      <c r="A201" s="2" t="s">
        <v>1085</v>
      </c>
      <c r="B201" s="2" t="s">
        <v>790</v>
      </c>
      <c r="C201" s="18" t="s">
        <v>647</v>
      </c>
      <c r="D201" t="s">
        <v>507</v>
      </c>
      <c r="E201" s="18" t="s">
        <v>612</v>
      </c>
      <c r="F201" s="19">
        <v>45668</v>
      </c>
      <c r="G201" s="108">
        <v>3744090.67</v>
      </c>
      <c r="H201" s="37">
        <f t="shared" si="9"/>
        <v>80</v>
      </c>
      <c r="I201" s="37" t="str">
        <f t="shared" si="12"/>
        <v>0-120 DAYS</v>
      </c>
      <c r="J201" s="37" t="str">
        <f t="shared" si="10"/>
        <v>0-180 DAYS</v>
      </c>
      <c r="K201" t="s">
        <v>1730</v>
      </c>
      <c r="L201" s="66" t="s">
        <v>3380</v>
      </c>
      <c r="M201" s="66">
        <v>3744090.67</v>
      </c>
      <c r="N201" s="66"/>
    </row>
    <row r="202" spans="1:14" hidden="1" x14ac:dyDescent="0.35">
      <c r="A202" s="2" t="s">
        <v>1085</v>
      </c>
      <c r="B202" s="2" t="s">
        <v>790</v>
      </c>
      <c r="C202" s="18" t="s">
        <v>536</v>
      </c>
      <c r="D202" t="s">
        <v>507</v>
      </c>
      <c r="E202" s="18" t="s">
        <v>3160</v>
      </c>
      <c r="F202" s="19">
        <v>45668</v>
      </c>
      <c r="G202" s="108">
        <v>2632798</v>
      </c>
      <c r="H202" s="37">
        <f t="shared" si="9"/>
        <v>80</v>
      </c>
      <c r="I202" s="37" t="str">
        <f t="shared" si="12"/>
        <v>0-120 DAYS</v>
      </c>
      <c r="J202" s="37" t="str">
        <f t="shared" si="10"/>
        <v>0-180 DAYS</v>
      </c>
      <c r="K202" t="s">
        <v>1730</v>
      </c>
      <c r="L202" s="66" t="s">
        <v>3380</v>
      </c>
      <c r="M202" s="66">
        <v>2632798</v>
      </c>
      <c r="N202" s="66"/>
    </row>
    <row r="203" spans="1:14" hidden="1" x14ac:dyDescent="0.35">
      <c r="A203" s="2" t="s">
        <v>1085</v>
      </c>
      <c r="B203" s="2" t="s">
        <v>790</v>
      </c>
      <c r="C203" s="18" t="s">
        <v>814</v>
      </c>
      <c r="D203" t="s">
        <v>507</v>
      </c>
      <c r="E203" s="18" t="s">
        <v>3162</v>
      </c>
      <c r="F203" s="19">
        <v>45668</v>
      </c>
      <c r="G203" s="108">
        <v>711</v>
      </c>
      <c r="H203" s="37">
        <f t="shared" si="9"/>
        <v>80</v>
      </c>
      <c r="I203" s="37" t="str">
        <f t="shared" si="12"/>
        <v>0-120 DAYS</v>
      </c>
      <c r="J203" s="37" t="str">
        <f t="shared" si="10"/>
        <v>0-180 DAYS</v>
      </c>
      <c r="K203" t="s">
        <v>1730</v>
      </c>
      <c r="L203" s="66" t="s">
        <v>3380</v>
      </c>
      <c r="M203" s="66">
        <v>711</v>
      </c>
      <c r="N203" s="66"/>
    </row>
    <row r="204" spans="1:14" hidden="1" x14ac:dyDescent="0.35">
      <c r="A204" s="2" t="s">
        <v>1085</v>
      </c>
      <c r="B204" s="2" t="s">
        <v>790</v>
      </c>
      <c r="C204" s="18" t="s">
        <v>538</v>
      </c>
      <c r="D204" t="s">
        <v>507</v>
      </c>
      <c r="E204" s="18" t="s">
        <v>3163</v>
      </c>
      <c r="F204" s="19">
        <v>45670</v>
      </c>
      <c r="G204" s="108">
        <v>2966829.39</v>
      </c>
      <c r="H204" s="37">
        <f t="shared" ref="H204:H267" si="13">$H$9-F204+1</f>
        <v>78</v>
      </c>
      <c r="I204" s="37" t="str">
        <f t="shared" si="12"/>
        <v>0-120 DAYS</v>
      </c>
      <c r="J204" s="37" t="str">
        <f t="shared" si="10"/>
        <v>0-180 DAYS</v>
      </c>
      <c r="K204" t="s">
        <v>1730</v>
      </c>
      <c r="L204" s="66" t="s">
        <v>3398</v>
      </c>
      <c r="M204" s="66">
        <v>2966829.39</v>
      </c>
      <c r="N204" s="66"/>
    </row>
    <row r="205" spans="1:14" hidden="1" x14ac:dyDescent="0.35">
      <c r="A205" s="2" t="s">
        <v>1085</v>
      </c>
      <c r="B205" s="2" t="s">
        <v>790</v>
      </c>
      <c r="C205" s="18" t="s">
        <v>1086</v>
      </c>
      <c r="D205" t="s">
        <v>507</v>
      </c>
      <c r="E205" s="18" t="s">
        <v>3164</v>
      </c>
      <c r="F205" s="19">
        <v>45671</v>
      </c>
      <c r="G205" s="108">
        <v>1570825.74</v>
      </c>
      <c r="H205" s="37">
        <f t="shared" si="13"/>
        <v>77</v>
      </c>
      <c r="I205" s="37" t="str">
        <f t="shared" si="12"/>
        <v>0-120 DAYS</v>
      </c>
      <c r="J205" s="37" t="str">
        <f t="shared" si="10"/>
        <v>0-180 DAYS</v>
      </c>
      <c r="K205" t="s">
        <v>1730</v>
      </c>
      <c r="L205" s="66" t="s">
        <v>3401</v>
      </c>
      <c r="M205" s="66">
        <v>1570825.74</v>
      </c>
      <c r="N205" s="66"/>
    </row>
    <row r="206" spans="1:14" hidden="1" x14ac:dyDescent="0.35">
      <c r="A206" s="2" t="s">
        <v>1085</v>
      </c>
      <c r="B206" s="2" t="s">
        <v>790</v>
      </c>
      <c r="C206" s="18" t="s">
        <v>1086</v>
      </c>
      <c r="D206" t="s">
        <v>507</v>
      </c>
      <c r="E206" s="18" t="s">
        <v>3165</v>
      </c>
      <c r="F206" s="19">
        <v>45671</v>
      </c>
      <c r="G206" s="108">
        <v>467380.44</v>
      </c>
      <c r="H206" s="37">
        <f t="shared" si="13"/>
        <v>77</v>
      </c>
      <c r="I206" s="37" t="str">
        <f t="shared" si="12"/>
        <v>0-120 DAYS</v>
      </c>
      <c r="J206" s="37" t="str">
        <f t="shared" ref="J206:J269" si="14">IF(H206&lt;180,"0-180 DAYS","More than 180 Days")</f>
        <v>0-180 DAYS</v>
      </c>
      <c r="K206" t="s">
        <v>1730</v>
      </c>
      <c r="L206" s="66" t="s">
        <v>3401</v>
      </c>
      <c r="M206" s="66">
        <v>467380.44</v>
      </c>
      <c r="N206" s="66"/>
    </row>
    <row r="207" spans="1:14" hidden="1" x14ac:dyDescent="0.35">
      <c r="A207" s="2" t="s">
        <v>1085</v>
      </c>
      <c r="B207" s="2" t="s">
        <v>790</v>
      </c>
      <c r="C207" s="18" t="s">
        <v>631</v>
      </c>
      <c r="D207" t="s">
        <v>507</v>
      </c>
      <c r="E207" s="18" t="s">
        <v>3166</v>
      </c>
      <c r="F207" s="19">
        <v>45671</v>
      </c>
      <c r="G207" s="108">
        <v>3108019.2</v>
      </c>
      <c r="H207" s="37">
        <f t="shared" si="13"/>
        <v>77</v>
      </c>
      <c r="I207" s="37" t="str">
        <f t="shared" si="12"/>
        <v>0-120 DAYS</v>
      </c>
      <c r="J207" s="37" t="str">
        <f t="shared" si="14"/>
        <v>0-180 DAYS</v>
      </c>
      <c r="K207" t="s">
        <v>1730</v>
      </c>
      <c r="L207" s="66" t="s">
        <v>3401</v>
      </c>
      <c r="M207" s="66">
        <v>3108019.2</v>
      </c>
      <c r="N207" s="66"/>
    </row>
    <row r="208" spans="1:14" hidden="1" x14ac:dyDescent="0.35">
      <c r="A208" s="2" t="s">
        <v>1085</v>
      </c>
      <c r="B208" s="2" t="s">
        <v>790</v>
      </c>
      <c r="C208" s="18" t="s">
        <v>1086</v>
      </c>
      <c r="D208" t="s">
        <v>507</v>
      </c>
      <c r="E208" s="18" t="s">
        <v>3167</v>
      </c>
      <c r="F208" s="19">
        <v>45672</v>
      </c>
      <c r="G208" s="108">
        <v>1953139.78</v>
      </c>
      <c r="H208" s="37">
        <f t="shared" si="13"/>
        <v>76</v>
      </c>
      <c r="I208" s="37" t="str">
        <f t="shared" si="12"/>
        <v>0-120 DAYS</v>
      </c>
      <c r="J208" s="37" t="str">
        <f t="shared" si="14"/>
        <v>0-180 DAYS</v>
      </c>
      <c r="K208" t="s">
        <v>1730</v>
      </c>
      <c r="L208" s="66" t="s">
        <v>3385</v>
      </c>
      <c r="M208" s="66">
        <v>1953139.78</v>
      </c>
      <c r="N208" s="66"/>
    </row>
    <row r="209" spans="1:14" hidden="1" x14ac:dyDescent="0.35">
      <c r="A209" s="2" t="s">
        <v>1085</v>
      </c>
      <c r="B209" s="2" t="s">
        <v>790</v>
      </c>
      <c r="C209" s="18" t="s">
        <v>1086</v>
      </c>
      <c r="D209" t="s">
        <v>507</v>
      </c>
      <c r="E209" s="18" t="s">
        <v>3168</v>
      </c>
      <c r="F209" s="19">
        <v>45672</v>
      </c>
      <c r="G209" s="108">
        <v>763441.18</v>
      </c>
      <c r="H209" s="37">
        <f t="shared" si="13"/>
        <v>76</v>
      </c>
      <c r="I209" s="37" t="str">
        <f t="shared" si="12"/>
        <v>0-120 DAYS</v>
      </c>
      <c r="J209" s="37" t="str">
        <f t="shared" si="14"/>
        <v>0-180 DAYS</v>
      </c>
      <c r="K209" t="s">
        <v>1730</v>
      </c>
      <c r="L209" s="66" t="s">
        <v>3385</v>
      </c>
      <c r="M209" s="66">
        <v>763441.18</v>
      </c>
      <c r="N209" s="66"/>
    </row>
    <row r="210" spans="1:14" hidden="1" x14ac:dyDescent="0.35">
      <c r="A210" s="2" t="s">
        <v>1085</v>
      </c>
      <c r="B210" s="2" t="s">
        <v>790</v>
      </c>
      <c r="C210" s="18" t="s">
        <v>1086</v>
      </c>
      <c r="D210" t="s">
        <v>507</v>
      </c>
      <c r="E210" s="18" t="s">
        <v>3169</v>
      </c>
      <c r="F210" s="19">
        <v>45672</v>
      </c>
      <c r="G210" s="108">
        <v>88834.27</v>
      </c>
      <c r="H210" s="37">
        <f t="shared" si="13"/>
        <v>76</v>
      </c>
      <c r="I210" s="37" t="str">
        <f t="shared" si="12"/>
        <v>0-120 DAYS</v>
      </c>
      <c r="J210" s="37" t="str">
        <f t="shared" si="14"/>
        <v>0-180 DAYS</v>
      </c>
      <c r="K210" t="s">
        <v>1730</v>
      </c>
      <c r="L210" s="66" t="s">
        <v>3385</v>
      </c>
      <c r="M210" s="66">
        <v>88834.27</v>
      </c>
      <c r="N210" s="66"/>
    </row>
    <row r="211" spans="1:14" hidden="1" x14ac:dyDescent="0.35">
      <c r="A211" s="2" t="s">
        <v>1085</v>
      </c>
      <c r="B211" s="2" t="s">
        <v>790</v>
      </c>
      <c r="C211" s="18" t="s">
        <v>1086</v>
      </c>
      <c r="D211" t="s">
        <v>507</v>
      </c>
      <c r="E211" s="18" t="s">
        <v>3170</v>
      </c>
      <c r="F211" s="19">
        <v>45673</v>
      </c>
      <c r="G211" s="108">
        <v>397976.39</v>
      </c>
      <c r="H211" s="37">
        <f t="shared" si="13"/>
        <v>75</v>
      </c>
      <c r="I211" s="37" t="str">
        <f t="shared" si="12"/>
        <v>0-120 DAYS</v>
      </c>
      <c r="J211" s="37" t="str">
        <f t="shared" si="14"/>
        <v>0-180 DAYS</v>
      </c>
      <c r="K211" t="s">
        <v>1730</v>
      </c>
      <c r="L211" s="66" t="s">
        <v>3386</v>
      </c>
      <c r="M211" s="66">
        <v>397976.39</v>
      </c>
      <c r="N211" s="66"/>
    </row>
    <row r="212" spans="1:14" hidden="1" x14ac:dyDescent="0.35">
      <c r="A212" s="2" t="s">
        <v>1085</v>
      </c>
      <c r="B212" s="2" t="s">
        <v>790</v>
      </c>
      <c r="C212" s="18" t="s">
        <v>1086</v>
      </c>
      <c r="D212" t="s">
        <v>507</v>
      </c>
      <c r="E212" s="18" t="s">
        <v>3171</v>
      </c>
      <c r="F212" s="19">
        <v>45673</v>
      </c>
      <c r="G212" s="108">
        <v>1448933.12</v>
      </c>
      <c r="H212" s="37">
        <f t="shared" si="13"/>
        <v>75</v>
      </c>
      <c r="I212" s="37" t="str">
        <f t="shared" si="12"/>
        <v>0-120 DAYS</v>
      </c>
      <c r="J212" s="37" t="str">
        <f t="shared" si="14"/>
        <v>0-180 DAYS</v>
      </c>
      <c r="K212" t="s">
        <v>1730</v>
      </c>
      <c r="L212" s="66" t="s">
        <v>3386</v>
      </c>
      <c r="M212" s="66">
        <v>1448933.12</v>
      </c>
      <c r="N212" s="66"/>
    </row>
    <row r="213" spans="1:14" hidden="1" x14ac:dyDescent="0.35">
      <c r="A213" s="2" t="s">
        <v>1085</v>
      </c>
      <c r="B213" s="2" t="s">
        <v>790</v>
      </c>
      <c r="C213" s="18" t="s">
        <v>1086</v>
      </c>
      <c r="D213" t="s">
        <v>507</v>
      </c>
      <c r="E213" s="18" t="s">
        <v>3172</v>
      </c>
      <c r="F213" s="19">
        <v>45673</v>
      </c>
      <c r="G213" s="108">
        <v>991102.22</v>
      </c>
      <c r="H213" s="37">
        <f t="shared" si="13"/>
        <v>75</v>
      </c>
      <c r="I213" s="37" t="str">
        <f t="shared" si="12"/>
        <v>0-120 DAYS</v>
      </c>
      <c r="J213" s="37" t="str">
        <f t="shared" si="14"/>
        <v>0-180 DAYS</v>
      </c>
      <c r="K213" t="s">
        <v>1730</v>
      </c>
      <c r="L213" s="66" t="s">
        <v>3386</v>
      </c>
      <c r="M213" s="66">
        <v>991102.22</v>
      </c>
      <c r="N213" s="66"/>
    </row>
    <row r="214" spans="1:14" hidden="1" x14ac:dyDescent="0.35">
      <c r="A214" s="2" t="s">
        <v>1085</v>
      </c>
      <c r="B214" s="2" t="s">
        <v>790</v>
      </c>
      <c r="C214" s="18" t="s">
        <v>1086</v>
      </c>
      <c r="D214" t="s">
        <v>507</v>
      </c>
      <c r="E214" s="18" t="s">
        <v>3173</v>
      </c>
      <c r="F214" s="19">
        <v>45673</v>
      </c>
      <c r="G214" s="108">
        <v>760075.74</v>
      </c>
      <c r="H214" s="37">
        <f t="shared" si="13"/>
        <v>75</v>
      </c>
      <c r="I214" s="37" t="str">
        <f t="shared" si="12"/>
        <v>0-120 DAYS</v>
      </c>
      <c r="J214" s="37" t="str">
        <f t="shared" si="14"/>
        <v>0-180 DAYS</v>
      </c>
      <c r="K214" t="s">
        <v>1730</v>
      </c>
      <c r="L214" s="66" t="s">
        <v>3386</v>
      </c>
      <c r="M214" s="66">
        <v>760075.74</v>
      </c>
      <c r="N214" s="66"/>
    </row>
    <row r="215" spans="1:14" hidden="1" x14ac:dyDescent="0.35">
      <c r="A215" s="2" t="s">
        <v>1085</v>
      </c>
      <c r="B215" s="2" t="s">
        <v>790</v>
      </c>
      <c r="C215" s="18" t="s">
        <v>1052</v>
      </c>
      <c r="D215" t="s">
        <v>507</v>
      </c>
      <c r="E215" s="18" t="s">
        <v>3176</v>
      </c>
      <c r="F215" s="19">
        <v>45674</v>
      </c>
      <c r="G215" s="108">
        <v>3031778.57</v>
      </c>
      <c r="H215" s="37">
        <f t="shared" si="13"/>
        <v>74</v>
      </c>
      <c r="I215" s="37" t="str">
        <f t="shared" si="12"/>
        <v>0-120 DAYS</v>
      </c>
      <c r="J215" s="37" t="str">
        <f t="shared" si="14"/>
        <v>0-180 DAYS</v>
      </c>
      <c r="K215" t="s">
        <v>1730</v>
      </c>
      <c r="L215" s="66" t="s">
        <v>3402</v>
      </c>
      <c r="M215" s="66">
        <v>3031778.57</v>
      </c>
      <c r="N215" s="66"/>
    </row>
    <row r="216" spans="1:14" hidden="1" x14ac:dyDescent="0.35">
      <c r="A216" s="2" t="s">
        <v>1085</v>
      </c>
      <c r="B216" s="2" t="s">
        <v>790</v>
      </c>
      <c r="C216" s="18" t="s">
        <v>548</v>
      </c>
      <c r="D216" t="s">
        <v>507</v>
      </c>
      <c r="E216" s="18" t="s">
        <v>3177</v>
      </c>
      <c r="F216" s="19">
        <v>45678</v>
      </c>
      <c r="G216" s="108">
        <v>3320138.5</v>
      </c>
      <c r="H216" s="37">
        <f t="shared" si="13"/>
        <v>70</v>
      </c>
      <c r="I216" s="37" t="str">
        <f t="shared" si="12"/>
        <v>0-120 DAYS</v>
      </c>
      <c r="J216" s="37" t="str">
        <f t="shared" si="14"/>
        <v>0-180 DAYS</v>
      </c>
      <c r="K216" t="s">
        <v>1730</v>
      </c>
      <c r="L216" s="66" t="s">
        <v>3388</v>
      </c>
      <c r="M216" s="66">
        <v>3320138.5</v>
      </c>
      <c r="N216" s="66"/>
    </row>
    <row r="217" spans="1:14" hidden="1" x14ac:dyDescent="0.35">
      <c r="A217" s="2" t="s">
        <v>1085</v>
      </c>
      <c r="B217" s="2" t="s">
        <v>790</v>
      </c>
      <c r="C217" s="18" t="s">
        <v>814</v>
      </c>
      <c r="D217" t="s">
        <v>507</v>
      </c>
      <c r="E217" s="18" t="s">
        <v>3178</v>
      </c>
      <c r="F217" s="19">
        <v>45678</v>
      </c>
      <c r="G217" s="108">
        <v>713</v>
      </c>
      <c r="H217" s="37">
        <f t="shared" si="13"/>
        <v>70</v>
      </c>
      <c r="I217" s="37" t="str">
        <f t="shared" si="12"/>
        <v>0-120 DAYS</v>
      </c>
      <c r="J217" s="37" t="str">
        <f t="shared" si="14"/>
        <v>0-180 DAYS</v>
      </c>
      <c r="K217" t="s">
        <v>1730</v>
      </c>
      <c r="L217" s="66" t="s">
        <v>3388</v>
      </c>
      <c r="M217" s="66">
        <v>713</v>
      </c>
      <c r="N217" s="66"/>
    </row>
    <row r="218" spans="1:14" hidden="1" x14ac:dyDescent="0.35">
      <c r="A218" s="2" t="s">
        <v>1085</v>
      </c>
      <c r="B218" s="2" t="s">
        <v>790</v>
      </c>
      <c r="C218" s="18" t="s">
        <v>814</v>
      </c>
      <c r="D218" t="s">
        <v>507</v>
      </c>
      <c r="E218" s="18" t="s">
        <v>3179</v>
      </c>
      <c r="F218" s="19">
        <v>45679</v>
      </c>
      <c r="G218" s="108">
        <v>2688098</v>
      </c>
      <c r="H218" s="37">
        <f t="shared" si="13"/>
        <v>69</v>
      </c>
      <c r="I218" s="37" t="str">
        <f t="shared" si="12"/>
        <v>0-120 DAYS</v>
      </c>
      <c r="J218" s="37" t="str">
        <f t="shared" si="14"/>
        <v>0-180 DAYS</v>
      </c>
      <c r="K218" t="s">
        <v>1730</v>
      </c>
      <c r="L218" s="66" t="s">
        <v>3389</v>
      </c>
      <c r="M218" s="66">
        <v>2688098</v>
      </c>
      <c r="N218" s="66"/>
    </row>
    <row r="219" spans="1:14" hidden="1" x14ac:dyDescent="0.35">
      <c r="A219" s="2" t="s">
        <v>1085</v>
      </c>
      <c r="B219" s="2" t="s">
        <v>790</v>
      </c>
      <c r="C219" s="18" t="s">
        <v>538</v>
      </c>
      <c r="D219" t="s">
        <v>507</v>
      </c>
      <c r="E219" s="18" t="s">
        <v>3180</v>
      </c>
      <c r="F219" s="19">
        <v>45680</v>
      </c>
      <c r="G219" s="108">
        <v>3064077.72</v>
      </c>
      <c r="H219" s="37">
        <f t="shared" si="13"/>
        <v>68</v>
      </c>
      <c r="I219" s="37" t="str">
        <f t="shared" si="12"/>
        <v>0-120 DAYS</v>
      </c>
      <c r="J219" s="37" t="str">
        <f t="shared" si="14"/>
        <v>0-180 DAYS</v>
      </c>
      <c r="K219" t="s">
        <v>1730</v>
      </c>
      <c r="L219" s="66" t="s">
        <v>3390</v>
      </c>
      <c r="M219" s="66">
        <v>3064077.72</v>
      </c>
      <c r="N219" s="66"/>
    </row>
    <row r="220" spans="1:14" hidden="1" x14ac:dyDescent="0.35">
      <c r="A220" s="2" t="s">
        <v>1085</v>
      </c>
      <c r="B220" s="2" t="s">
        <v>790</v>
      </c>
      <c r="C220" s="18" t="s">
        <v>1052</v>
      </c>
      <c r="D220" t="s">
        <v>507</v>
      </c>
      <c r="E220" s="18" t="s">
        <v>3181</v>
      </c>
      <c r="F220" s="19">
        <v>45681</v>
      </c>
      <c r="G220" s="108">
        <v>3274481.1</v>
      </c>
      <c r="H220" s="37">
        <f t="shared" si="13"/>
        <v>67</v>
      </c>
      <c r="I220" s="37" t="str">
        <f t="shared" si="12"/>
        <v>0-120 DAYS</v>
      </c>
      <c r="J220" s="37" t="str">
        <f t="shared" si="14"/>
        <v>0-180 DAYS</v>
      </c>
      <c r="K220" t="s">
        <v>1730</v>
      </c>
      <c r="L220" s="66" t="s">
        <v>3253</v>
      </c>
      <c r="M220" s="66">
        <v>3274481.1</v>
      </c>
      <c r="N220" s="66"/>
    </row>
    <row r="221" spans="1:14" hidden="1" x14ac:dyDescent="0.35">
      <c r="A221" s="2" t="s">
        <v>1085</v>
      </c>
      <c r="B221" s="2" t="s">
        <v>790</v>
      </c>
      <c r="C221" s="18" t="s">
        <v>600</v>
      </c>
      <c r="D221" t="s">
        <v>507</v>
      </c>
      <c r="E221" s="18" t="s">
        <v>3182</v>
      </c>
      <c r="F221" s="19">
        <v>45681</v>
      </c>
      <c r="G221" s="108">
        <v>4158177.24</v>
      </c>
      <c r="H221" s="37">
        <f t="shared" si="13"/>
        <v>67</v>
      </c>
      <c r="I221" s="37" t="str">
        <f t="shared" si="12"/>
        <v>0-120 DAYS</v>
      </c>
      <c r="J221" s="37" t="str">
        <f t="shared" si="14"/>
        <v>0-180 DAYS</v>
      </c>
      <c r="K221" t="s">
        <v>1730</v>
      </c>
      <c r="L221" s="66" t="s">
        <v>3253</v>
      </c>
      <c r="M221" s="66">
        <v>4158177.24</v>
      </c>
      <c r="N221" s="66"/>
    </row>
    <row r="222" spans="1:14" hidden="1" x14ac:dyDescent="0.35">
      <c r="A222" s="2" t="s">
        <v>1085</v>
      </c>
      <c r="B222" s="2" t="s">
        <v>790</v>
      </c>
      <c r="C222" s="18" t="s">
        <v>538</v>
      </c>
      <c r="D222" t="s">
        <v>507</v>
      </c>
      <c r="E222" s="18" t="s">
        <v>3183</v>
      </c>
      <c r="F222" s="19">
        <v>45681</v>
      </c>
      <c r="G222" s="108">
        <v>2928852</v>
      </c>
      <c r="H222" s="37">
        <f t="shared" si="13"/>
        <v>67</v>
      </c>
      <c r="I222" s="37" t="str">
        <f t="shared" si="12"/>
        <v>0-120 DAYS</v>
      </c>
      <c r="J222" s="37" t="str">
        <f t="shared" si="14"/>
        <v>0-180 DAYS</v>
      </c>
      <c r="K222" t="s">
        <v>1730</v>
      </c>
      <c r="L222" s="66" t="s">
        <v>3253</v>
      </c>
      <c r="M222" s="66">
        <v>2928852</v>
      </c>
      <c r="N222" s="66"/>
    </row>
    <row r="223" spans="1:14" hidden="1" x14ac:dyDescent="0.35">
      <c r="A223" s="2" t="s">
        <v>1209</v>
      </c>
      <c r="B223" s="2" t="s">
        <v>789</v>
      </c>
      <c r="C223" s="18" t="s">
        <v>506</v>
      </c>
      <c r="D223" t="s">
        <v>507</v>
      </c>
      <c r="E223" s="18" t="s">
        <v>3184</v>
      </c>
      <c r="F223" s="19">
        <v>45681</v>
      </c>
      <c r="G223" s="108">
        <f>4140192-4057165</f>
        <v>83027</v>
      </c>
      <c r="H223" s="37">
        <f t="shared" si="13"/>
        <v>67</v>
      </c>
      <c r="I223" s="37" t="str">
        <f t="shared" si="12"/>
        <v>0-120 DAYS</v>
      </c>
      <c r="J223" s="37" t="str">
        <f t="shared" si="14"/>
        <v>0-180 DAYS</v>
      </c>
      <c r="L223" s="66" t="s">
        <v>3253</v>
      </c>
      <c r="M223" s="66">
        <v>4140192</v>
      </c>
      <c r="N223" s="66"/>
    </row>
    <row r="224" spans="1:14" hidden="1" x14ac:dyDescent="0.35">
      <c r="A224" s="2" t="s">
        <v>1209</v>
      </c>
      <c r="B224" s="2" t="s">
        <v>789</v>
      </c>
      <c r="C224" s="18" t="s">
        <v>506</v>
      </c>
      <c r="D224" t="s">
        <v>507</v>
      </c>
      <c r="E224" s="18" t="s">
        <v>3185</v>
      </c>
      <c r="F224" s="19">
        <v>45681</v>
      </c>
      <c r="G224" s="108">
        <v>3159009.2</v>
      </c>
      <c r="H224" s="37">
        <f t="shared" si="13"/>
        <v>67</v>
      </c>
      <c r="I224" s="37" t="str">
        <f t="shared" si="12"/>
        <v>0-120 DAYS</v>
      </c>
      <c r="J224" s="37" t="str">
        <f t="shared" si="14"/>
        <v>0-180 DAYS</v>
      </c>
      <c r="L224" s="66" t="s">
        <v>3253</v>
      </c>
      <c r="M224" s="66">
        <v>3159009.2</v>
      </c>
      <c r="N224" s="66"/>
    </row>
    <row r="225" spans="1:14" hidden="1" x14ac:dyDescent="0.35">
      <c r="A225" s="2" t="s">
        <v>1085</v>
      </c>
      <c r="B225" s="2" t="s">
        <v>790</v>
      </c>
      <c r="C225" s="18" t="s">
        <v>814</v>
      </c>
      <c r="D225" t="s">
        <v>507</v>
      </c>
      <c r="E225" s="18" t="s">
        <v>3186</v>
      </c>
      <c r="F225" s="19">
        <v>45681</v>
      </c>
      <c r="G225" s="108">
        <v>3297</v>
      </c>
      <c r="H225" s="37">
        <f t="shared" si="13"/>
        <v>67</v>
      </c>
      <c r="I225" s="37" t="str">
        <f t="shared" si="12"/>
        <v>0-120 DAYS</v>
      </c>
      <c r="J225" s="37" t="str">
        <f t="shared" si="14"/>
        <v>0-180 DAYS</v>
      </c>
      <c r="K225" t="s">
        <v>1730</v>
      </c>
      <c r="L225" s="66" t="s">
        <v>3253</v>
      </c>
      <c r="M225" s="66">
        <v>3297</v>
      </c>
      <c r="N225" s="66"/>
    </row>
    <row r="226" spans="1:14" hidden="1" x14ac:dyDescent="0.35">
      <c r="A226" s="2" t="s">
        <v>1085</v>
      </c>
      <c r="B226" s="2" t="s">
        <v>790</v>
      </c>
      <c r="C226" s="18" t="s">
        <v>647</v>
      </c>
      <c r="D226" t="s">
        <v>507</v>
      </c>
      <c r="E226" s="18" t="s">
        <v>620</v>
      </c>
      <c r="F226" s="19">
        <v>45685</v>
      </c>
      <c r="G226" s="108">
        <v>3766140.14</v>
      </c>
      <c r="H226" s="37">
        <f t="shared" si="13"/>
        <v>63</v>
      </c>
      <c r="I226" s="37" t="str">
        <f t="shared" si="12"/>
        <v>0-120 DAYS</v>
      </c>
      <c r="J226" s="37" t="str">
        <f t="shared" si="14"/>
        <v>0-180 DAYS</v>
      </c>
      <c r="K226" t="s">
        <v>1730</v>
      </c>
      <c r="L226" s="66" t="s">
        <v>3393</v>
      </c>
      <c r="M226" s="66">
        <v>3766140.14</v>
      </c>
      <c r="N226" s="66"/>
    </row>
    <row r="227" spans="1:14" hidden="1" x14ac:dyDescent="0.35">
      <c r="A227" s="2" t="s">
        <v>1085</v>
      </c>
      <c r="B227" s="2" t="s">
        <v>790</v>
      </c>
      <c r="C227" s="18" t="s">
        <v>814</v>
      </c>
      <c r="D227" t="s">
        <v>507</v>
      </c>
      <c r="E227" s="18" t="s">
        <v>3187</v>
      </c>
      <c r="F227" s="19">
        <v>45686</v>
      </c>
      <c r="G227" s="108">
        <v>509</v>
      </c>
      <c r="H227" s="37">
        <f t="shared" si="13"/>
        <v>62</v>
      </c>
      <c r="I227" s="37" t="str">
        <f t="shared" si="12"/>
        <v>0-120 DAYS</v>
      </c>
      <c r="J227" s="37" t="str">
        <f t="shared" si="14"/>
        <v>0-180 DAYS</v>
      </c>
      <c r="K227" t="s">
        <v>1730</v>
      </c>
      <c r="L227" s="66" t="s">
        <v>3394</v>
      </c>
      <c r="M227" s="66">
        <v>509</v>
      </c>
      <c r="N227" s="66"/>
    </row>
    <row r="228" spans="1:14" hidden="1" x14ac:dyDescent="0.35">
      <c r="A228" s="2" t="s">
        <v>1085</v>
      </c>
      <c r="B228" s="2" t="s">
        <v>790</v>
      </c>
      <c r="C228" s="18" t="s">
        <v>1647</v>
      </c>
      <c r="D228" t="s">
        <v>507</v>
      </c>
      <c r="E228" s="18" t="s">
        <v>3188</v>
      </c>
      <c r="F228" s="19">
        <v>45686</v>
      </c>
      <c r="G228" s="108">
        <v>1870260</v>
      </c>
      <c r="H228" s="37">
        <f t="shared" si="13"/>
        <v>62</v>
      </c>
      <c r="I228" s="37" t="str">
        <f t="shared" si="12"/>
        <v>0-120 DAYS</v>
      </c>
      <c r="J228" s="37" t="str">
        <f t="shared" si="14"/>
        <v>0-180 DAYS</v>
      </c>
      <c r="K228" t="s">
        <v>1730</v>
      </c>
      <c r="L228" s="66" t="s">
        <v>3394</v>
      </c>
      <c r="M228" s="66">
        <v>1870260</v>
      </c>
      <c r="N228" s="66"/>
    </row>
    <row r="229" spans="1:14" hidden="1" x14ac:dyDescent="0.35">
      <c r="A229" s="2" t="s">
        <v>1085</v>
      </c>
      <c r="B229" s="2" t="s">
        <v>790</v>
      </c>
      <c r="C229" s="18" t="s">
        <v>1647</v>
      </c>
      <c r="D229" t="s">
        <v>507</v>
      </c>
      <c r="E229" s="18" t="s">
        <v>3189</v>
      </c>
      <c r="F229" s="19">
        <v>45686</v>
      </c>
      <c r="G229" s="108">
        <v>5359277</v>
      </c>
      <c r="H229" s="37">
        <f t="shared" si="13"/>
        <v>62</v>
      </c>
      <c r="I229" s="37" t="str">
        <f t="shared" si="12"/>
        <v>0-120 DAYS</v>
      </c>
      <c r="J229" s="37" t="str">
        <f t="shared" si="14"/>
        <v>0-180 DAYS</v>
      </c>
      <c r="K229" t="s">
        <v>1730</v>
      </c>
      <c r="L229" s="66" t="s">
        <v>3394</v>
      </c>
      <c r="M229" s="66">
        <v>5359277</v>
      </c>
      <c r="N229" s="66"/>
    </row>
    <row r="230" spans="1:14" hidden="1" x14ac:dyDescent="0.35">
      <c r="A230" s="2" t="s">
        <v>1085</v>
      </c>
      <c r="B230" s="2" t="s">
        <v>790</v>
      </c>
      <c r="C230" s="18" t="s">
        <v>1052</v>
      </c>
      <c r="D230" t="s">
        <v>507</v>
      </c>
      <c r="E230" s="18" t="s">
        <v>3190</v>
      </c>
      <c r="F230" s="19">
        <v>45687</v>
      </c>
      <c r="G230" s="108">
        <v>2990853.18</v>
      </c>
      <c r="H230" s="37">
        <f t="shared" si="13"/>
        <v>61</v>
      </c>
      <c r="I230" s="37" t="str">
        <f t="shared" si="12"/>
        <v>0-120 DAYS</v>
      </c>
      <c r="J230" s="37" t="str">
        <f t="shared" si="14"/>
        <v>0-180 DAYS</v>
      </c>
      <c r="K230" t="s">
        <v>1730</v>
      </c>
      <c r="L230" s="66" t="s">
        <v>3395</v>
      </c>
      <c r="M230" s="66">
        <v>2990853.18</v>
      </c>
      <c r="N230" s="66"/>
    </row>
    <row r="231" spans="1:14" hidden="1" x14ac:dyDescent="0.35">
      <c r="A231" s="2" t="s">
        <v>1085</v>
      </c>
      <c r="B231" s="2" t="s">
        <v>790</v>
      </c>
      <c r="C231" s="18" t="s">
        <v>536</v>
      </c>
      <c r="D231" t="s">
        <v>507</v>
      </c>
      <c r="E231" s="18" t="s">
        <v>3191</v>
      </c>
      <c r="F231" s="19">
        <v>45687</v>
      </c>
      <c r="G231" s="108">
        <v>2686476.9</v>
      </c>
      <c r="H231" s="37">
        <f t="shared" si="13"/>
        <v>61</v>
      </c>
      <c r="I231" s="37" t="str">
        <f t="shared" si="12"/>
        <v>0-120 DAYS</v>
      </c>
      <c r="J231" s="37" t="str">
        <f t="shared" si="14"/>
        <v>0-180 DAYS</v>
      </c>
      <c r="K231" t="s">
        <v>1730</v>
      </c>
      <c r="L231" s="66" t="s">
        <v>3395</v>
      </c>
      <c r="M231" s="66">
        <v>2686476.9</v>
      </c>
      <c r="N231" s="66"/>
    </row>
    <row r="232" spans="1:14" hidden="1" x14ac:dyDescent="0.35">
      <c r="A232" s="2" t="s">
        <v>1085</v>
      </c>
      <c r="B232" s="2" t="s">
        <v>790</v>
      </c>
      <c r="C232" s="18" t="s">
        <v>814</v>
      </c>
      <c r="D232" t="s">
        <v>507</v>
      </c>
      <c r="E232" s="18" t="s">
        <v>3192</v>
      </c>
      <c r="F232" s="19">
        <v>45687</v>
      </c>
      <c r="G232" s="108">
        <v>4484</v>
      </c>
      <c r="H232" s="37">
        <f t="shared" si="13"/>
        <v>61</v>
      </c>
      <c r="I232" s="37" t="str">
        <f t="shared" si="12"/>
        <v>0-120 DAYS</v>
      </c>
      <c r="J232" s="37" t="str">
        <f t="shared" si="14"/>
        <v>0-180 DAYS</v>
      </c>
      <c r="K232" t="s">
        <v>1730</v>
      </c>
      <c r="L232" s="66" t="s">
        <v>3395</v>
      </c>
      <c r="M232" s="66">
        <v>4484</v>
      </c>
      <c r="N232" s="66"/>
    </row>
    <row r="233" spans="1:14" hidden="1" x14ac:dyDescent="0.35">
      <c r="A233" s="2" t="s">
        <v>1085</v>
      </c>
      <c r="B233" s="2" t="s">
        <v>790</v>
      </c>
      <c r="C233" s="18" t="s">
        <v>1243</v>
      </c>
      <c r="D233" t="s">
        <v>507</v>
      </c>
      <c r="E233" s="18" t="s">
        <v>3193</v>
      </c>
      <c r="F233" s="19">
        <v>45688</v>
      </c>
      <c r="G233" s="108">
        <v>3726097.8</v>
      </c>
      <c r="H233" s="37">
        <f t="shared" si="13"/>
        <v>60</v>
      </c>
      <c r="I233" s="37" t="str">
        <f t="shared" si="12"/>
        <v>0-120 DAYS</v>
      </c>
      <c r="J233" s="37" t="str">
        <f t="shared" si="14"/>
        <v>0-180 DAYS</v>
      </c>
      <c r="K233" t="s">
        <v>1730</v>
      </c>
      <c r="L233" s="66" t="s">
        <v>3396</v>
      </c>
      <c r="M233" s="66">
        <v>3726097.8</v>
      </c>
      <c r="N233" s="66"/>
    </row>
    <row r="234" spans="1:14" hidden="1" x14ac:dyDescent="0.35">
      <c r="A234" s="2" t="s">
        <v>1085</v>
      </c>
      <c r="B234" s="2" t="s">
        <v>790</v>
      </c>
      <c r="C234" s="18" t="s">
        <v>538</v>
      </c>
      <c r="D234" t="s">
        <v>507</v>
      </c>
      <c r="E234" s="18" t="s">
        <v>3195</v>
      </c>
      <c r="F234" s="19">
        <v>45658</v>
      </c>
      <c r="G234" s="108">
        <v>3015417.33</v>
      </c>
      <c r="H234" s="37">
        <f t="shared" si="13"/>
        <v>90</v>
      </c>
      <c r="I234" s="37" t="str">
        <f t="shared" si="12"/>
        <v>0-120 DAYS</v>
      </c>
      <c r="J234" s="37" t="str">
        <f t="shared" si="14"/>
        <v>0-180 DAYS</v>
      </c>
      <c r="K234" t="s">
        <v>1730</v>
      </c>
      <c r="L234" s="66" t="s">
        <v>3381</v>
      </c>
      <c r="M234" s="66">
        <v>3015417.33</v>
      </c>
      <c r="N234" s="66"/>
    </row>
    <row r="235" spans="1:14" hidden="1" x14ac:dyDescent="0.35">
      <c r="A235" s="2" t="s">
        <v>1085</v>
      </c>
      <c r="B235" s="2" t="s">
        <v>790</v>
      </c>
      <c r="C235" s="18" t="s">
        <v>2970</v>
      </c>
      <c r="D235" t="s">
        <v>507</v>
      </c>
      <c r="E235" s="18" t="s">
        <v>3196</v>
      </c>
      <c r="F235" s="19">
        <v>45660</v>
      </c>
      <c r="G235" s="108">
        <v>3891000.96</v>
      </c>
      <c r="H235" s="37">
        <f t="shared" si="13"/>
        <v>88</v>
      </c>
      <c r="I235" s="37" t="str">
        <f t="shared" si="12"/>
        <v>0-120 DAYS</v>
      </c>
      <c r="J235" s="37" t="str">
        <f t="shared" si="14"/>
        <v>0-180 DAYS</v>
      </c>
      <c r="K235" t="s">
        <v>1730</v>
      </c>
      <c r="L235" s="66" t="s">
        <v>3382</v>
      </c>
      <c r="M235" s="66">
        <v>3891000.96</v>
      </c>
      <c r="N235" s="66"/>
    </row>
    <row r="236" spans="1:14" hidden="1" x14ac:dyDescent="0.35">
      <c r="A236" s="2" t="s">
        <v>1085</v>
      </c>
      <c r="B236" s="2" t="s">
        <v>790</v>
      </c>
      <c r="C236" s="18" t="s">
        <v>570</v>
      </c>
      <c r="D236" t="s">
        <v>507</v>
      </c>
      <c r="E236" s="18" t="s">
        <v>3198</v>
      </c>
      <c r="F236" s="19">
        <v>45669</v>
      </c>
      <c r="G236" s="108">
        <v>3219408</v>
      </c>
      <c r="H236" s="37">
        <f t="shared" si="13"/>
        <v>79</v>
      </c>
      <c r="I236" s="37" t="str">
        <f t="shared" si="12"/>
        <v>0-120 DAYS</v>
      </c>
      <c r="J236" s="37" t="str">
        <f t="shared" si="14"/>
        <v>0-180 DAYS</v>
      </c>
      <c r="K236" t="s">
        <v>1730</v>
      </c>
      <c r="L236" s="66" t="s">
        <v>3252</v>
      </c>
      <c r="M236" s="66">
        <v>3219408</v>
      </c>
      <c r="N236" s="66"/>
    </row>
    <row r="237" spans="1:14" hidden="1" x14ac:dyDescent="0.35">
      <c r="A237" s="2" t="s">
        <v>1085</v>
      </c>
      <c r="B237" s="2" t="s">
        <v>790</v>
      </c>
      <c r="C237" s="18" t="s">
        <v>693</v>
      </c>
      <c r="D237" t="s">
        <v>507</v>
      </c>
      <c r="E237" s="18" t="s">
        <v>3199</v>
      </c>
      <c r="F237" s="19">
        <v>45670</v>
      </c>
      <c r="G237" s="108">
        <f>3993696-388283</f>
        <v>3605413</v>
      </c>
      <c r="H237" s="37">
        <f t="shared" si="13"/>
        <v>78</v>
      </c>
      <c r="I237" s="37" t="str">
        <f t="shared" si="12"/>
        <v>0-120 DAYS</v>
      </c>
      <c r="J237" s="37" t="str">
        <f t="shared" si="14"/>
        <v>0-180 DAYS</v>
      </c>
      <c r="K237" t="s">
        <v>1730</v>
      </c>
      <c r="L237" s="66" t="s">
        <v>3398</v>
      </c>
      <c r="M237" s="66">
        <v>3605413</v>
      </c>
      <c r="N237" s="66"/>
    </row>
    <row r="238" spans="1:14" hidden="1" x14ac:dyDescent="0.35">
      <c r="A238" s="2" t="s">
        <v>1085</v>
      </c>
      <c r="B238" s="2" t="s">
        <v>790</v>
      </c>
      <c r="C238" s="18" t="s">
        <v>570</v>
      </c>
      <c r="D238" t="s">
        <v>507</v>
      </c>
      <c r="E238" s="18" t="s">
        <v>3200</v>
      </c>
      <c r="F238" s="19">
        <v>45673</v>
      </c>
      <c r="G238" s="108">
        <v>3719027.52</v>
      </c>
      <c r="H238" s="37">
        <f t="shared" si="13"/>
        <v>75</v>
      </c>
      <c r="I238" s="37" t="str">
        <f t="shared" si="12"/>
        <v>0-120 DAYS</v>
      </c>
      <c r="J238" s="37" t="str">
        <f t="shared" si="14"/>
        <v>0-180 DAYS</v>
      </c>
      <c r="K238" t="s">
        <v>1730</v>
      </c>
      <c r="L238" s="66" t="s">
        <v>3386</v>
      </c>
      <c r="M238" s="66">
        <v>3719027.52</v>
      </c>
      <c r="N238" s="66"/>
    </row>
    <row r="239" spans="1:14" hidden="1" x14ac:dyDescent="0.35">
      <c r="A239" s="2" t="s">
        <v>1085</v>
      </c>
      <c r="B239" s="2" t="s">
        <v>790</v>
      </c>
      <c r="C239" s="18" t="s">
        <v>650</v>
      </c>
      <c r="D239" t="s">
        <v>507</v>
      </c>
      <c r="E239" s="18" t="s">
        <v>3203</v>
      </c>
      <c r="F239" s="19">
        <v>45675</v>
      </c>
      <c r="G239" s="108">
        <v>2967903.36</v>
      </c>
      <c r="H239" s="37">
        <f t="shared" si="13"/>
        <v>73</v>
      </c>
      <c r="I239" s="37" t="str">
        <f t="shared" si="12"/>
        <v>0-120 DAYS</v>
      </c>
      <c r="J239" s="37" t="str">
        <f t="shared" si="14"/>
        <v>0-180 DAYS</v>
      </c>
      <c r="K239" t="s">
        <v>1730</v>
      </c>
      <c r="L239" s="66" t="s">
        <v>3403</v>
      </c>
      <c r="M239" s="66">
        <v>2967903.36</v>
      </c>
      <c r="N239" s="66"/>
    </row>
    <row r="240" spans="1:14" hidden="1" x14ac:dyDescent="0.35">
      <c r="A240" s="2" t="s">
        <v>1085</v>
      </c>
      <c r="B240" s="2" t="s">
        <v>790</v>
      </c>
      <c r="C240" s="18" t="s">
        <v>1086</v>
      </c>
      <c r="D240" t="s">
        <v>507</v>
      </c>
      <c r="E240" s="18" t="s">
        <v>3204</v>
      </c>
      <c r="F240" s="19">
        <v>45683</v>
      </c>
      <c r="G240" s="108">
        <v>3374273.56</v>
      </c>
      <c r="H240" s="37">
        <f t="shared" si="13"/>
        <v>65</v>
      </c>
      <c r="I240" s="37" t="str">
        <f t="shared" si="12"/>
        <v>0-120 DAYS</v>
      </c>
      <c r="J240" s="37" t="str">
        <f t="shared" si="14"/>
        <v>0-180 DAYS</v>
      </c>
      <c r="K240" t="s">
        <v>1730</v>
      </c>
      <c r="L240" s="66" t="s">
        <v>3404</v>
      </c>
      <c r="M240" s="66">
        <v>3374273.56</v>
      </c>
      <c r="N240" s="66"/>
    </row>
    <row r="241" spans="1:14" hidden="1" x14ac:dyDescent="0.35">
      <c r="A241" s="2" t="s">
        <v>1085</v>
      </c>
      <c r="B241" s="2" t="s">
        <v>790</v>
      </c>
      <c r="C241" s="18" t="s">
        <v>538</v>
      </c>
      <c r="D241" t="s">
        <v>507</v>
      </c>
      <c r="E241" s="18" t="s">
        <v>3205</v>
      </c>
      <c r="F241" s="19">
        <v>45683</v>
      </c>
      <c r="G241" s="108">
        <v>3100415.74</v>
      </c>
      <c r="H241" s="37">
        <f t="shared" si="13"/>
        <v>65</v>
      </c>
      <c r="I241" s="37" t="str">
        <f t="shared" si="12"/>
        <v>0-120 DAYS</v>
      </c>
      <c r="J241" s="37" t="str">
        <f t="shared" si="14"/>
        <v>0-180 DAYS</v>
      </c>
      <c r="K241" t="s">
        <v>1730</v>
      </c>
      <c r="L241" s="66" t="s">
        <v>3404</v>
      </c>
      <c r="M241" s="66">
        <v>3100415.74</v>
      </c>
      <c r="N241" s="66"/>
    </row>
    <row r="242" spans="1:14" hidden="1" x14ac:dyDescent="0.35">
      <c r="A242" s="2" t="s">
        <v>1085</v>
      </c>
      <c r="B242" s="2" t="s">
        <v>790</v>
      </c>
      <c r="C242" s="18" t="s">
        <v>1086</v>
      </c>
      <c r="D242" t="s">
        <v>507</v>
      </c>
      <c r="E242" s="18" t="s">
        <v>3206</v>
      </c>
      <c r="F242" s="19">
        <v>45685</v>
      </c>
      <c r="G242" s="108">
        <v>2725114</v>
      </c>
      <c r="H242" s="37">
        <f t="shared" si="13"/>
        <v>63</v>
      </c>
      <c r="I242" s="37" t="str">
        <f t="shared" si="12"/>
        <v>0-120 DAYS</v>
      </c>
      <c r="J242" s="37" t="str">
        <f t="shared" si="14"/>
        <v>0-180 DAYS</v>
      </c>
      <c r="K242" t="s">
        <v>1730</v>
      </c>
      <c r="L242" s="66" t="s">
        <v>3393</v>
      </c>
      <c r="M242" s="66">
        <v>2725114</v>
      </c>
      <c r="N242" s="66"/>
    </row>
    <row r="243" spans="1:14" hidden="1" x14ac:dyDescent="0.35">
      <c r="A243" s="2" t="s">
        <v>1085</v>
      </c>
      <c r="B243" s="2" t="s">
        <v>790</v>
      </c>
      <c r="C243" s="18" t="s">
        <v>522</v>
      </c>
      <c r="D243" t="s">
        <v>507</v>
      </c>
      <c r="E243" s="18" t="s">
        <v>3207</v>
      </c>
      <c r="F243" s="19">
        <v>45685</v>
      </c>
      <c r="G243" s="108">
        <v>3302310.92</v>
      </c>
      <c r="H243" s="37">
        <f t="shared" si="13"/>
        <v>63</v>
      </c>
      <c r="I243" s="37" t="str">
        <f t="shared" si="12"/>
        <v>0-120 DAYS</v>
      </c>
      <c r="J243" s="37" t="str">
        <f t="shared" si="14"/>
        <v>0-180 DAYS</v>
      </c>
      <c r="K243" t="s">
        <v>1730</v>
      </c>
      <c r="L243" s="66" t="s">
        <v>3393</v>
      </c>
      <c r="M243" s="66">
        <v>3302310.92</v>
      </c>
      <c r="N243" s="66"/>
    </row>
    <row r="244" spans="1:14" hidden="1" x14ac:dyDescent="0.35">
      <c r="A244" s="2" t="s">
        <v>1085</v>
      </c>
      <c r="B244" s="2" t="s">
        <v>790</v>
      </c>
      <c r="C244" s="18" t="s">
        <v>650</v>
      </c>
      <c r="D244" t="s">
        <v>507</v>
      </c>
      <c r="E244" s="18" t="s">
        <v>3208</v>
      </c>
      <c r="F244" s="19">
        <v>45685</v>
      </c>
      <c r="G244" s="108">
        <v>3166837.01</v>
      </c>
      <c r="H244" s="37">
        <f t="shared" si="13"/>
        <v>63</v>
      </c>
      <c r="I244" s="37" t="str">
        <f t="shared" si="12"/>
        <v>0-120 DAYS</v>
      </c>
      <c r="J244" s="37" t="str">
        <f t="shared" si="14"/>
        <v>0-180 DAYS</v>
      </c>
      <c r="K244" t="s">
        <v>1730</v>
      </c>
      <c r="L244" s="66" t="s">
        <v>3393</v>
      </c>
      <c r="M244" s="66">
        <v>3166837.01</v>
      </c>
      <c r="N244" s="66"/>
    </row>
    <row r="245" spans="1:14" hidden="1" x14ac:dyDescent="0.35">
      <c r="A245" s="2" t="s">
        <v>1085</v>
      </c>
      <c r="B245" s="2" t="s">
        <v>790</v>
      </c>
      <c r="C245" s="18" t="s">
        <v>653</v>
      </c>
      <c r="D245" t="s">
        <v>507</v>
      </c>
      <c r="E245" s="18" t="s">
        <v>3210</v>
      </c>
      <c r="F245" s="19">
        <v>45686</v>
      </c>
      <c r="G245" s="108">
        <v>3039744.44</v>
      </c>
      <c r="H245" s="37">
        <f t="shared" si="13"/>
        <v>62</v>
      </c>
      <c r="I245" s="37" t="str">
        <f t="shared" si="12"/>
        <v>0-120 DAYS</v>
      </c>
      <c r="J245" s="37" t="str">
        <f t="shared" si="14"/>
        <v>0-180 DAYS</v>
      </c>
      <c r="K245" t="s">
        <v>1730</v>
      </c>
      <c r="L245" s="66" t="s">
        <v>3394</v>
      </c>
      <c r="M245" s="66">
        <v>3039744.44</v>
      </c>
      <c r="N245" s="66"/>
    </row>
    <row r="246" spans="1:14" hidden="1" x14ac:dyDescent="0.35">
      <c r="A246" s="2" t="s">
        <v>1085</v>
      </c>
      <c r="B246" s="2" t="s">
        <v>790</v>
      </c>
      <c r="C246" s="18" t="s">
        <v>650</v>
      </c>
      <c r="D246" t="s">
        <v>507</v>
      </c>
      <c r="E246" s="18" t="s">
        <v>3212</v>
      </c>
      <c r="F246" s="19">
        <v>45688</v>
      </c>
      <c r="G246" s="108">
        <v>2284054.6</v>
      </c>
      <c r="H246" s="37">
        <f t="shared" si="13"/>
        <v>60</v>
      </c>
      <c r="I246" s="37" t="str">
        <f t="shared" si="12"/>
        <v>0-120 DAYS</v>
      </c>
      <c r="J246" s="37" t="str">
        <f t="shared" si="14"/>
        <v>0-180 DAYS</v>
      </c>
      <c r="K246" t="s">
        <v>1730</v>
      </c>
      <c r="L246" s="66" t="s">
        <v>3396</v>
      </c>
      <c r="M246" s="66">
        <v>2284054.6</v>
      </c>
      <c r="N246" s="66"/>
    </row>
    <row r="247" spans="1:14" hidden="1" x14ac:dyDescent="0.35">
      <c r="A247" s="2" t="s">
        <v>1085</v>
      </c>
      <c r="B247" s="2" t="s">
        <v>790</v>
      </c>
      <c r="C247" s="18" t="s">
        <v>650</v>
      </c>
      <c r="D247" t="s">
        <v>507</v>
      </c>
      <c r="E247" s="18" t="s">
        <v>3213</v>
      </c>
      <c r="F247" s="19">
        <v>45688</v>
      </c>
      <c r="G247" s="108">
        <v>1245132.03</v>
      </c>
      <c r="H247" s="37">
        <f t="shared" si="13"/>
        <v>60</v>
      </c>
      <c r="I247" s="37" t="str">
        <f t="shared" si="12"/>
        <v>0-120 DAYS</v>
      </c>
      <c r="J247" s="37" t="str">
        <f t="shared" si="14"/>
        <v>0-180 DAYS</v>
      </c>
      <c r="K247" t="s">
        <v>1730</v>
      </c>
      <c r="L247" s="66" t="s">
        <v>3396</v>
      </c>
      <c r="M247" s="66">
        <v>1245132.03</v>
      </c>
      <c r="N247" s="66"/>
    </row>
    <row r="248" spans="1:14" hidden="1" x14ac:dyDescent="0.35">
      <c r="A248" s="2" t="s">
        <v>1085</v>
      </c>
      <c r="B248" s="2" t="s">
        <v>790</v>
      </c>
      <c r="C248" s="18" t="s">
        <v>588</v>
      </c>
      <c r="D248" t="s">
        <v>507</v>
      </c>
      <c r="E248" s="18" t="s">
        <v>3214</v>
      </c>
      <c r="F248" s="19">
        <v>45660</v>
      </c>
      <c r="G248" s="108">
        <v>3579010.44</v>
      </c>
      <c r="H248" s="37">
        <f t="shared" si="13"/>
        <v>88</v>
      </c>
      <c r="I248" s="37" t="str">
        <f t="shared" si="12"/>
        <v>0-120 DAYS</v>
      </c>
      <c r="J248" s="37" t="str">
        <f t="shared" si="14"/>
        <v>0-180 DAYS</v>
      </c>
      <c r="K248" t="s">
        <v>1730</v>
      </c>
      <c r="L248" s="66" t="s">
        <v>3382</v>
      </c>
      <c r="M248" s="66">
        <v>3579010.44</v>
      </c>
      <c r="N248" s="66"/>
    </row>
    <row r="249" spans="1:14" hidden="1" x14ac:dyDescent="0.35">
      <c r="A249" s="2" t="s">
        <v>1085</v>
      </c>
      <c r="B249" s="2" t="s">
        <v>790</v>
      </c>
      <c r="C249" s="18" t="s">
        <v>584</v>
      </c>
      <c r="D249" t="s">
        <v>507</v>
      </c>
      <c r="E249" s="18" t="s">
        <v>3215</v>
      </c>
      <c r="F249" s="19">
        <v>45666</v>
      </c>
      <c r="G249" s="108">
        <v>3136917.54</v>
      </c>
      <c r="H249" s="37">
        <f t="shared" si="13"/>
        <v>82</v>
      </c>
      <c r="I249" s="37" t="str">
        <f t="shared" si="12"/>
        <v>0-120 DAYS</v>
      </c>
      <c r="J249" s="37" t="str">
        <f t="shared" si="14"/>
        <v>0-180 DAYS</v>
      </c>
      <c r="K249" t="s">
        <v>1730</v>
      </c>
      <c r="L249" s="66" t="s">
        <v>3379</v>
      </c>
      <c r="M249" s="66">
        <v>3136917.54</v>
      </c>
      <c r="N249" s="66"/>
    </row>
    <row r="250" spans="1:14" hidden="1" x14ac:dyDescent="0.35">
      <c r="A250" s="2" t="s">
        <v>1085</v>
      </c>
      <c r="B250" s="2" t="s">
        <v>790</v>
      </c>
      <c r="C250" s="18" t="s">
        <v>1055</v>
      </c>
      <c r="D250" t="s">
        <v>507</v>
      </c>
      <c r="E250" s="18" t="s">
        <v>3216</v>
      </c>
      <c r="F250" s="19">
        <v>45667</v>
      </c>
      <c r="G250" s="108">
        <v>2856205.8</v>
      </c>
      <c r="H250" s="37">
        <f t="shared" si="13"/>
        <v>81</v>
      </c>
      <c r="I250" s="37" t="str">
        <f t="shared" si="12"/>
        <v>0-120 DAYS</v>
      </c>
      <c r="J250" s="37" t="str">
        <f t="shared" si="14"/>
        <v>0-180 DAYS</v>
      </c>
      <c r="K250" t="s">
        <v>1730</v>
      </c>
      <c r="L250" s="66" t="s">
        <v>3400</v>
      </c>
      <c r="M250" s="66">
        <v>2856205.8</v>
      </c>
      <c r="N250" s="66"/>
    </row>
    <row r="251" spans="1:14" hidden="1" x14ac:dyDescent="0.35">
      <c r="A251" s="2" t="s">
        <v>1085</v>
      </c>
      <c r="B251" s="2" t="s">
        <v>790</v>
      </c>
      <c r="C251" s="18" t="s">
        <v>1055</v>
      </c>
      <c r="D251" t="s">
        <v>507</v>
      </c>
      <c r="E251" s="18" t="s">
        <v>3217</v>
      </c>
      <c r="F251" s="19">
        <v>45667</v>
      </c>
      <c r="G251" s="108">
        <v>365749.2</v>
      </c>
      <c r="H251" s="37">
        <f t="shared" si="13"/>
        <v>81</v>
      </c>
      <c r="I251" s="37" t="str">
        <f t="shared" si="12"/>
        <v>0-120 DAYS</v>
      </c>
      <c r="J251" s="37" t="str">
        <f t="shared" si="14"/>
        <v>0-180 DAYS</v>
      </c>
      <c r="K251" t="s">
        <v>1730</v>
      </c>
      <c r="L251" s="66" t="s">
        <v>3400</v>
      </c>
      <c r="M251" s="66">
        <v>365749.2</v>
      </c>
      <c r="N251" s="66"/>
    </row>
    <row r="252" spans="1:14" hidden="1" x14ac:dyDescent="0.35">
      <c r="A252" s="2" t="s">
        <v>1085</v>
      </c>
      <c r="B252" s="2" t="s">
        <v>790</v>
      </c>
      <c r="C252" s="18" t="s">
        <v>1055</v>
      </c>
      <c r="D252" t="s">
        <v>507</v>
      </c>
      <c r="E252" s="18" t="s">
        <v>3218</v>
      </c>
      <c r="F252" s="19">
        <v>45672</v>
      </c>
      <c r="G252" s="108">
        <v>2856205.8</v>
      </c>
      <c r="H252" s="37">
        <f t="shared" si="13"/>
        <v>76</v>
      </c>
      <c r="I252" s="37" t="str">
        <f t="shared" si="12"/>
        <v>0-120 DAYS</v>
      </c>
      <c r="J252" s="37" t="str">
        <f t="shared" si="14"/>
        <v>0-180 DAYS</v>
      </c>
      <c r="K252" t="s">
        <v>1730</v>
      </c>
      <c r="L252" s="66" t="s">
        <v>3385</v>
      </c>
      <c r="M252" s="66">
        <v>2856205.8</v>
      </c>
      <c r="N252" s="66"/>
    </row>
    <row r="253" spans="1:14" hidden="1" x14ac:dyDescent="0.35">
      <c r="A253" s="2" t="s">
        <v>1085</v>
      </c>
      <c r="B253" s="2" t="s">
        <v>790</v>
      </c>
      <c r="C253" s="18" t="s">
        <v>1055</v>
      </c>
      <c r="D253" t="s">
        <v>507</v>
      </c>
      <c r="E253" s="18" t="s">
        <v>3219</v>
      </c>
      <c r="F253" s="19">
        <v>45672</v>
      </c>
      <c r="G253" s="108">
        <v>365749.2</v>
      </c>
      <c r="H253" s="37">
        <f t="shared" si="13"/>
        <v>76</v>
      </c>
      <c r="I253" s="37" t="str">
        <f t="shared" si="12"/>
        <v>0-120 DAYS</v>
      </c>
      <c r="J253" s="37" t="str">
        <f t="shared" si="14"/>
        <v>0-180 DAYS</v>
      </c>
      <c r="K253" t="s">
        <v>1730</v>
      </c>
      <c r="L253" s="66" t="s">
        <v>3385</v>
      </c>
      <c r="M253" s="66">
        <v>365749.2</v>
      </c>
      <c r="N253" s="66"/>
    </row>
    <row r="254" spans="1:14" hidden="1" x14ac:dyDescent="0.35">
      <c r="A254" s="2" t="s">
        <v>1085</v>
      </c>
      <c r="B254" s="2" t="s">
        <v>790</v>
      </c>
      <c r="C254" s="18" t="s">
        <v>540</v>
      </c>
      <c r="D254" t="s">
        <v>507</v>
      </c>
      <c r="E254" s="18" t="s">
        <v>3220</v>
      </c>
      <c r="F254" s="19">
        <v>45673</v>
      </c>
      <c r="G254" s="108">
        <f>3231942.03-1975200</f>
        <v>1256742.0299999998</v>
      </c>
      <c r="H254" s="37">
        <f t="shared" si="13"/>
        <v>75</v>
      </c>
      <c r="I254" s="37" t="str">
        <f t="shared" si="12"/>
        <v>0-120 DAYS</v>
      </c>
      <c r="J254" s="37" t="str">
        <f t="shared" si="14"/>
        <v>0-180 DAYS</v>
      </c>
      <c r="K254" t="s">
        <v>1730</v>
      </c>
      <c r="L254" s="66" t="s">
        <v>3386</v>
      </c>
      <c r="M254" s="66">
        <v>1256742.03</v>
      </c>
      <c r="N254" s="66"/>
    </row>
    <row r="255" spans="1:14" hidden="1" x14ac:dyDescent="0.35">
      <c r="A255" s="2" t="s">
        <v>1085</v>
      </c>
      <c r="B255" s="2" t="s">
        <v>790</v>
      </c>
      <c r="C255" s="18" t="s">
        <v>584</v>
      </c>
      <c r="D255" t="s">
        <v>507</v>
      </c>
      <c r="E255" s="18" t="s">
        <v>3221</v>
      </c>
      <c r="F255" s="19">
        <v>45673</v>
      </c>
      <c r="G255" s="108">
        <v>3225547.32</v>
      </c>
      <c r="H255" s="37">
        <f t="shared" si="13"/>
        <v>75</v>
      </c>
      <c r="I255" s="37" t="str">
        <f t="shared" ref="I255:I268" si="15">IF(H255&lt;121,"0-120 DAYS",IF(H255&lt;181,"121-180 DAYS","More than 180 Days"))</f>
        <v>0-120 DAYS</v>
      </c>
      <c r="J255" s="37" t="str">
        <f t="shared" si="14"/>
        <v>0-180 DAYS</v>
      </c>
      <c r="K255" t="s">
        <v>1730</v>
      </c>
      <c r="L255" s="66" t="s">
        <v>3386</v>
      </c>
      <c r="M255" s="66">
        <v>3225547.32</v>
      </c>
      <c r="N255" s="66"/>
    </row>
    <row r="256" spans="1:14" hidden="1" x14ac:dyDescent="0.35">
      <c r="A256" s="2" t="s">
        <v>1085</v>
      </c>
      <c r="B256" s="2" t="s">
        <v>790</v>
      </c>
      <c r="C256" s="18" t="s">
        <v>584</v>
      </c>
      <c r="D256" t="s">
        <v>507</v>
      </c>
      <c r="E256" s="18" t="s">
        <v>3222</v>
      </c>
      <c r="F256" s="19">
        <v>45673</v>
      </c>
      <c r="G256" s="108">
        <v>3353774.73</v>
      </c>
      <c r="H256" s="37">
        <f t="shared" si="13"/>
        <v>75</v>
      </c>
      <c r="I256" s="37" t="str">
        <f t="shared" si="15"/>
        <v>0-120 DAYS</v>
      </c>
      <c r="J256" s="37" t="str">
        <f t="shared" si="14"/>
        <v>0-180 DAYS</v>
      </c>
      <c r="K256" t="s">
        <v>1730</v>
      </c>
      <c r="L256" s="66" t="s">
        <v>3386</v>
      </c>
      <c r="M256" s="66">
        <v>3353774.73</v>
      </c>
      <c r="N256" s="66"/>
    </row>
    <row r="257" spans="1:14" hidden="1" x14ac:dyDescent="0.35">
      <c r="A257" s="2" t="s">
        <v>1085</v>
      </c>
      <c r="B257" s="2" t="s">
        <v>790</v>
      </c>
      <c r="C257" s="18" t="s">
        <v>581</v>
      </c>
      <c r="D257" t="s">
        <v>507</v>
      </c>
      <c r="E257" s="18" t="s">
        <v>3223</v>
      </c>
      <c r="F257" s="19">
        <v>45674</v>
      </c>
      <c r="G257" s="108">
        <v>3409.46</v>
      </c>
      <c r="H257" s="37">
        <f t="shared" si="13"/>
        <v>74</v>
      </c>
      <c r="I257" s="37" t="str">
        <f t="shared" si="15"/>
        <v>0-120 DAYS</v>
      </c>
      <c r="J257" s="37" t="str">
        <f t="shared" si="14"/>
        <v>0-180 DAYS</v>
      </c>
      <c r="K257" t="s">
        <v>1730</v>
      </c>
      <c r="L257" s="66" t="s">
        <v>3402</v>
      </c>
      <c r="M257" s="66">
        <v>3409.46</v>
      </c>
      <c r="N257" s="66"/>
    </row>
    <row r="258" spans="1:14" hidden="1" x14ac:dyDescent="0.35">
      <c r="A258" s="2" t="s">
        <v>1085</v>
      </c>
      <c r="B258" s="2" t="s">
        <v>790</v>
      </c>
      <c r="C258" s="18" t="s">
        <v>588</v>
      </c>
      <c r="D258" t="s">
        <v>507</v>
      </c>
      <c r="E258" s="18" t="s">
        <v>3225</v>
      </c>
      <c r="F258" s="19">
        <v>45676</v>
      </c>
      <c r="G258" s="108">
        <v>3641285.2</v>
      </c>
      <c r="H258" s="37">
        <f t="shared" si="13"/>
        <v>72</v>
      </c>
      <c r="I258" s="37" t="str">
        <f t="shared" si="15"/>
        <v>0-120 DAYS</v>
      </c>
      <c r="J258" s="37" t="str">
        <f t="shared" si="14"/>
        <v>0-180 DAYS</v>
      </c>
      <c r="K258" t="s">
        <v>1730</v>
      </c>
      <c r="L258" s="66" t="s">
        <v>3405</v>
      </c>
      <c r="M258" s="66">
        <v>3641285.2</v>
      </c>
      <c r="N258" s="66"/>
    </row>
    <row r="259" spans="1:14" hidden="1" x14ac:dyDescent="0.35">
      <c r="A259" s="2" t="s">
        <v>1085</v>
      </c>
      <c r="B259" s="2" t="s">
        <v>790</v>
      </c>
      <c r="C259" s="18" t="s">
        <v>588</v>
      </c>
      <c r="D259" t="s">
        <v>507</v>
      </c>
      <c r="E259" s="18" t="s">
        <v>3226</v>
      </c>
      <c r="F259" s="19">
        <v>45677</v>
      </c>
      <c r="G259" s="108">
        <v>3426845.8</v>
      </c>
      <c r="H259" s="37">
        <f t="shared" si="13"/>
        <v>71</v>
      </c>
      <c r="I259" s="37" t="str">
        <f t="shared" si="15"/>
        <v>0-120 DAYS</v>
      </c>
      <c r="J259" s="37" t="str">
        <f t="shared" si="14"/>
        <v>0-180 DAYS</v>
      </c>
      <c r="K259" t="s">
        <v>1730</v>
      </c>
      <c r="L259" s="66" t="s">
        <v>3387</v>
      </c>
      <c r="M259" s="66">
        <v>3426845.8</v>
      </c>
      <c r="N259" s="66"/>
    </row>
    <row r="260" spans="1:14" hidden="1" x14ac:dyDescent="0.35">
      <c r="A260" s="2" t="s">
        <v>1085</v>
      </c>
      <c r="B260" s="2" t="s">
        <v>790</v>
      </c>
      <c r="C260" s="18" t="s">
        <v>540</v>
      </c>
      <c r="D260" t="s">
        <v>507</v>
      </c>
      <c r="E260" s="18" t="s">
        <v>3227</v>
      </c>
      <c r="F260" s="19">
        <v>45679</v>
      </c>
      <c r="G260" s="108">
        <v>3262865.76</v>
      </c>
      <c r="H260" s="37">
        <f t="shared" si="13"/>
        <v>69</v>
      </c>
      <c r="I260" s="37" t="str">
        <f t="shared" si="15"/>
        <v>0-120 DAYS</v>
      </c>
      <c r="J260" s="37" t="str">
        <f t="shared" si="14"/>
        <v>0-180 DAYS</v>
      </c>
      <c r="K260" t="s">
        <v>1730</v>
      </c>
      <c r="L260" s="66" t="s">
        <v>3389</v>
      </c>
      <c r="M260" s="66">
        <v>3262865.76</v>
      </c>
      <c r="N260" s="66"/>
    </row>
    <row r="261" spans="1:14" hidden="1" x14ac:dyDescent="0.35">
      <c r="A261" s="2" t="s">
        <v>1085</v>
      </c>
      <c r="B261" s="2" t="s">
        <v>790</v>
      </c>
      <c r="C261" s="18" t="s">
        <v>584</v>
      </c>
      <c r="D261" t="s">
        <v>507</v>
      </c>
      <c r="E261" s="18" t="s">
        <v>3228</v>
      </c>
      <c r="F261" s="19">
        <v>45684</v>
      </c>
      <c r="G261" s="108">
        <v>3355801.8</v>
      </c>
      <c r="H261" s="37">
        <f t="shared" si="13"/>
        <v>64</v>
      </c>
      <c r="I261" s="37" t="str">
        <f t="shared" si="15"/>
        <v>0-120 DAYS</v>
      </c>
      <c r="J261" s="37" t="str">
        <f t="shared" si="14"/>
        <v>0-180 DAYS</v>
      </c>
      <c r="K261" t="s">
        <v>1730</v>
      </c>
      <c r="L261" s="66" t="s">
        <v>3392</v>
      </c>
      <c r="M261" s="66">
        <v>3355801.8</v>
      </c>
      <c r="N261" s="66"/>
    </row>
    <row r="262" spans="1:14" hidden="1" x14ac:dyDescent="0.35">
      <c r="A262" s="2" t="s">
        <v>1085</v>
      </c>
      <c r="B262" s="2" t="s">
        <v>790</v>
      </c>
      <c r="C262" s="18" t="s">
        <v>588</v>
      </c>
      <c r="D262" t="s">
        <v>507</v>
      </c>
      <c r="E262" s="18" t="s">
        <v>3230</v>
      </c>
      <c r="F262" s="19">
        <v>45685</v>
      </c>
      <c r="G262" s="108">
        <v>3830326.64</v>
      </c>
      <c r="H262" s="37">
        <f t="shared" si="13"/>
        <v>63</v>
      </c>
      <c r="I262" s="37" t="str">
        <f t="shared" si="15"/>
        <v>0-120 DAYS</v>
      </c>
      <c r="J262" s="37" t="str">
        <f t="shared" si="14"/>
        <v>0-180 DAYS</v>
      </c>
      <c r="K262" t="s">
        <v>1730</v>
      </c>
      <c r="L262" s="66" t="s">
        <v>3393</v>
      </c>
      <c r="M262" s="66">
        <v>3830326.64</v>
      </c>
      <c r="N262" s="66"/>
    </row>
    <row r="263" spans="1:14" hidden="1" x14ac:dyDescent="0.35">
      <c r="A263" s="2" t="s">
        <v>1085</v>
      </c>
      <c r="B263" s="2" t="s">
        <v>790</v>
      </c>
      <c r="C263" s="18" t="s">
        <v>588</v>
      </c>
      <c r="D263" t="s">
        <v>507</v>
      </c>
      <c r="E263" s="18" t="s">
        <v>3231</v>
      </c>
      <c r="F263" s="19">
        <v>45688</v>
      </c>
      <c r="G263" s="108">
        <v>3548421.24</v>
      </c>
      <c r="H263" s="37">
        <f t="shared" si="13"/>
        <v>60</v>
      </c>
      <c r="I263" s="37" t="str">
        <f t="shared" si="15"/>
        <v>0-120 DAYS</v>
      </c>
      <c r="J263" s="37" t="str">
        <f t="shared" si="14"/>
        <v>0-180 DAYS</v>
      </c>
      <c r="K263" t="s">
        <v>1730</v>
      </c>
      <c r="L263" s="66" t="s">
        <v>3396</v>
      </c>
      <c r="M263" s="66">
        <v>3548421.24</v>
      </c>
      <c r="N263" s="66"/>
    </row>
    <row r="264" spans="1:14" hidden="1" x14ac:dyDescent="0.35">
      <c r="A264" s="2" t="s">
        <v>1085</v>
      </c>
      <c r="B264" s="2" t="s">
        <v>790</v>
      </c>
      <c r="C264" s="18" t="s">
        <v>647</v>
      </c>
      <c r="D264" t="s">
        <v>507</v>
      </c>
      <c r="E264" s="18" t="s">
        <v>3232</v>
      </c>
      <c r="F264" s="19">
        <v>45659</v>
      </c>
      <c r="G264" s="108">
        <v>3715425.01</v>
      </c>
      <c r="H264" s="37">
        <f t="shared" si="13"/>
        <v>89</v>
      </c>
      <c r="I264" s="37" t="str">
        <f t="shared" si="15"/>
        <v>0-120 DAYS</v>
      </c>
      <c r="J264" s="37" t="str">
        <f t="shared" si="14"/>
        <v>0-180 DAYS</v>
      </c>
      <c r="K264" t="s">
        <v>1730</v>
      </c>
      <c r="L264" s="66" t="s">
        <v>3399</v>
      </c>
      <c r="M264" s="66">
        <v>3715425.01</v>
      </c>
      <c r="N264" s="66"/>
    </row>
    <row r="265" spans="1:14" hidden="1" x14ac:dyDescent="0.35">
      <c r="A265" s="2" t="s">
        <v>1085</v>
      </c>
      <c r="B265" s="2" t="s">
        <v>790</v>
      </c>
      <c r="C265" s="18" t="s">
        <v>548</v>
      </c>
      <c r="D265" t="s">
        <v>507</v>
      </c>
      <c r="E265" s="18" t="s">
        <v>3233</v>
      </c>
      <c r="F265" s="19">
        <v>45659</v>
      </c>
      <c r="G265" s="108">
        <v>3294377.2</v>
      </c>
      <c r="H265" s="37">
        <f t="shared" si="13"/>
        <v>89</v>
      </c>
      <c r="I265" s="37" t="str">
        <f t="shared" si="15"/>
        <v>0-120 DAYS</v>
      </c>
      <c r="J265" s="37" t="str">
        <f t="shared" si="14"/>
        <v>0-180 DAYS</v>
      </c>
      <c r="K265" t="s">
        <v>1730</v>
      </c>
      <c r="L265" s="66" t="s">
        <v>3399</v>
      </c>
      <c r="M265" s="66">
        <v>3294377.2</v>
      </c>
      <c r="N265" s="66"/>
    </row>
    <row r="266" spans="1:14" hidden="1" x14ac:dyDescent="0.35">
      <c r="A266" s="2" t="s">
        <v>1085</v>
      </c>
      <c r="B266" s="2" t="s">
        <v>790</v>
      </c>
      <c r="C266" s="18" t="s">
        <v>530</v>
      </c>
      <c r="D266" t="s">
        <v>507</v>
      </c>
      <c r="E266" s="18" t="s">
        <v>3234</v>
      </c>
      <c r="F266" s="19">
        <v>45665</v>
      </c>
      <c r="G266" s="108">
        <v>4021684.98</v>
      </c>
      <c r="H266" s="37">
        <f t="shared" si="13"/>
        <v>83</v>
      </c>
      <c r="I266" s="37" t="str">
        <f t="shared" si="15"/>
        <v>0-120 DAYS</v>
      </c>
      <c r="J266" s="37" t="str">
        <f t="shared" si="14"/>
        <v>0-180 DAYS</v>
      </c>
      <c r="K266" t="s">
        <v>1730</v>
      </c>
      <c r="L266" s="66" t="s">
        <v>3384</v>
      </c>
      <c r="M266" s="66">
        <v>4021684.98</v>
      </c>
      <c r="N266" s="66"/>
    </row>
    <row r="267" spans="1:14" hidden="1" x14ac:dyDescent="0.35">
      <c r="A267" s="2" t="s">
        <v>1085</v>
      </c>
      <c r="B267" s="2" t="s">
        <v>790</v>
      </c>
      <c r="C267" s="18" t="s">
        <v>596</v>
      </c>
      <c r="D267" t="s">
        <v>507</v>
      </c>
      <c r="E267" s="18" t="s">
        <v>3235</v>
      </c>
      <c r="F267" s="19">
        <v>45675</v>
      </c>
      <c r="G267" s="108">
        <v>4227394.5999999996</v>
      </c>
      <c r="H267" s="37">
        <f t="shared" si="13"/>
        <v>73</v>
      </c>
      <c r="I267" s="37" t="str">
        <f t="shared" si="15"/>
        <v>0-120 DAYS</v>
      </c>
      <c r="J267" s="37" t="str">
        <f t="shared" si="14"/>
        <v>0-180 DAYS</v>
      </c>
      <c r="K267" t="s">
        <v>1730</v>
      </c>
      <c r="L267" s="66" t="s">
        <v>3403</v>
      </c>
      <c r="M267" s="66">
        <v>4227394.5999999996</v>
      </c>
      <c r="N267" s="66"/>
    </row>
    <row r="268" spans="1:14" hidden="1" x14ac:dyDescent="0.35">
      <c r="A268" s="2" t="s">
        <v>1085</v>
      </c>
      <c r="B268" s="2" t="s">
        <v>790</v>
      </c>
      <c r="C268" s="18" t="s">
        <v>647</v>
      </c>
      <c r="D268" t="s">
        <v>507</v>
      </c>
      <c r="E268" s="18" t="s">
        <v>3236</v>
      </c>
      <c r="F268" s="19">
        <v>45679</v>
      </c>
      <c r="G268" s="108">
        <v>3766140.32</v>
      </c>
      <c r="H268" s="37">
        <f t="shared" ref="H268:H331" si="16">$H$9-F268+1</f>
        <v>69</v>
      </c>
      <c r="I268" s="37" t="str">
        <f t="shared" si="15"/>
        <v>0-120 DAYS</v>
      </c>
      <c r="J268" s="37" t="str">
        <f t="shared" si="14"/>
        <v>0-180 DAYS</v>
      </c>
      <c r="K268" t="s">
        <v>1730</v>
      </c>
      <c r="L268" s="66" t="s">
        <v>3389</v>
      </c>
      <c r="M268" s="66">
        <v>3766140.32</v>
      </c>
      <c r="N268" s="66"/>
    </row>
    <row r="269" spans="1:14" hidden="1" x14ac:dyDescent="0.35">
      <c r="A269" s="2" t="s">
        <v>477</v>
      </c>
      <c r="B269" s="2" t="s">
        <v>790</v>
      </c>
      <c r="C269" s="18" t="s">
        <v>2033</v>
      </c>
      <c r="D269" s="18" t="s">
        <v>1499</v>
      </c>
      <c r="E269" s="18" t="s">
        <v>3410</v>
      </c>
      <c r="F269" s="19">
        <v>45691</v>
      </c>
      <c r="G269" s="18">
        <v>1842031.12</v>
      </c>
      <c r="H269" s="37">
        <f t="shared" si="16"/>
        <v>57</v>
      </c>
      <c r="I269" s="37" t="str">
        <f t="shared" ref="I269:I285" si="17">IF(H269&lt;91,"1-90 DAYS",IF(H269&lt;121,"91-120DAYS",IF(H269&lt;181,"121-180 DAYS","More than 180 Days")))</f>
        <v>1-90 DAYS</v>
      </c>
      <c r="J269" s="37" t="str">
        <f t="shared" si="14"/>
        <v>0-180 DAYS</v>
      </c>
      <c r="K269" t="s">
        <v>1730</v>
      </c>
      <c r="L269" s="66" t="s">
        <v>3510</v>
      </c>
      <c r="M269" s="66">
        <v>1842031.12</v>
      </c>
    </row>
    <row r="270" spans="1:14" hidden="1" x14ac:dyDescent="0.35">
      <c r="A270" s="2" t="s">
        <v>477</v>
      </c>
      <c r="B270" s="2" t="s">
        <v>790</v>
      </c>
      <c r="C270" s="18" t="s">
        <v>2380</v>
      </c>
      <c r="D270" s="18" t="s">
        <v>1081</v>
      </c>
      <c r="E270" s="18" t="s">
        <v>3411</v>
      </c>
      <c r="F270" s="19">
        <v>45691</v>
      </c>
      <c r="G270" s="18">
        <v>566276.36</v>
      </c>
      <c r="H270" s="37">
        <f t="shared" si="16"/>
        <v>57</v>
      </c>
      <c r="I270" s="37" t="str">
        <f t="shared" si="17"/>
        <v>1-90 DAYS</v>
      </c>
      <c r="J270" s="37" t="str">
        <f t="shared" ref="J270:J333" si="18">IF(H270&lt;180,"0-180 DAYS","More than 180 Days")</f>
        <v>0-180 DAYS</v>
      </c>
      <c r="K270" t="s">
        <v>1730</v>
      </c>
      <c r="L270" s="66" t="s">
        <v>3510</v>
      </c>
      <c r="M270" s="66">
        <v>566276.36</v>
      </c>
    </row>
    <row r="271" spans="1:14" hidden="1" x14ac:dyDescent="0.35">
      <c r="A271" s="2" t="s">
        <v>477</v>
      </c>
      <c r="B271" s="2" t="s">
        <v>790</v>
      </c>
      <c r="C271" s="18" t="s">
        <v>1087</v>
      </c>
      <c r="D271" s="18" t="s">
        <v>1088</v>
      </c>
      <c r="E271" s="18" t="s">
        <v>3412</v>
      </c>
      <c r="F271" s="19">
        <v>45708</v>
      </c>
      <c r="G271" s="18">
        <f>352230-45190</f>
        <v>307040</v>
      </c>
      <c r="H271" s="37">
        <f t="shared" si="16"/>
        <v>40</v>
      </c>
      <c r="I271" s="37" t="str">
        <f t="shared" si="17"/>
        <v>1-90 DAYS</v>
      </c>
      <c r="J271" s="37" t="str">
        <f t="shared" si="18"/>
        <v>0-180 DAYS</v>
      </c>
      <c r="K271" t="s">
        <v>1730</v>
      </c>
      <c r="L271" s="66" t="s">
        <v>3522</v>
      </c>
      <c r="M271" s="66">
        <v>352230</v>
      </c>
    </row>
    <row r="272" spans="1:14" hidden="1" x14ac:dyDescent="0.35">
      <c r="A272" s="2" t="s">
        <v>477</v>
      </c>
      <c r="B272" s="2" t="s">
        <v>790</v>
      </c>
      <c r="C272" s="18" t="s">
        <v>1196</v>
      </c>
      <c r="D272" s="18" t="s">
        <v>1208</v>
      </c>
      <c r="E272" s="18" t="s">
        <v>3413</v>
      </c>
      <c r="F272" s="19">
        <v>45710</v>
      </c>
      <c r="G272" s="18">
        <v>2009187.18</v>
      </c>
      <c r="H272" s="37">
        <f t="shared" si="16"/>
        <v>38</v>
      </c>
      <c r="I272" s="37" t="str">
        <f t="shared" si="17"/>
        <v>1-90 DAYS</v>
      </c>
      <c r="J272" s="37" t="str">
        <f t="shared" si="18"/>
        <v>0-180 DAYS</v>
      </c>
      <c r="K272" t="s">
        <v>1730</v>
      </c>
      <c r="L272" s="66" t="s">
        <v>3524</v>
      </c>
      <c r="M272" s="66">
        <v>2009187.18</v>
      </c>
    </row>
    <row r="273" spans="1:13" hidden="1" x14ac:dyDescent="0.35">
      <c r="A273" s="2" t="s">
        <v>477</v>
      </c>
      <c r="B273" s="2" t="s">
        <v>790</v>
      </c>
      <c r="C273" s="18" t="s">
        <v>1087</v>
      </c>
      <c r="D273" s="18" t="s">
        <v>1088</v>
      </c>
      <c r="E273" s="18" t="s">
        <v>3414</v>
      </c>
      <c r="F273" s="19">
        <v>45712</v>
      </c>
      <c r="G273" s="18">
        <v>211338</v>
      </c>
      <c r="H273" s="37">
        <f t="shared" si="16"/>
        <v>36</v>
      </c>
      <c r="I273" s="37" t="str">
        <f t="shared" si="17"/>
        <v>1-90 DAYS</v>
      </c>
      <c r="J273" s="37" t="str">
        <f t="shared" si="18"/>
        <v>0-180 DAYS</v>
      </c>
      <c r="K273" t="s">
        <v>1730</v>
      </c>
      <c r="L273" s="66" t="s">
        <v>3525</v>
      </c>
      <c r="M273" s="66">
        <v>211338</v>
      </c>
    </row>
    <row r="274" spans="1:13" hidden="1" x14ac:dyDescent="0.35">
      <c r="A274" s="2" t="s">
        <v>477</v>
      </c>
      <c r="B274" s="2" t="s">
        <v>790</v>
      </c>
      <c r="C274" s="18" t="s">
        <v>1087</v>
      </c>
      <c r="D274" s="18" t="s">
        <v>1088</v>
      </c>
      <c r="E274" s="18" t="s">
        <v>3415</v>
      </c>
      <c r="F274" s="19">
        <v>45712</v>
      </c>
      <c r="G274" s="18">
        <v>130744</v>
      </c>
      <c r="H274" s="37">
        <f t="shared" si="16"/>
        <v>36</v>
      </c>
      <c r="I274" s="37" t="str">
        <f t="shared" si="17"/>
        <v>1-90 DAYS</v>
      </c>
      <c r="J274" s="37" t="str">
        <f t="shared" si="18"/>
        <v>0-180 DAYS</v>
      </c>
      <c r="K274" t="s">
        <v>1730</v>
      </c>
      <c r="L274" s="66" t="s">
        <v>3525</v>
      </c>
      <c r="M274" s="66">
        <v>130744</v>
      </c>
    </row>
    <row r="275" spans="1:13" hidden="1" x14ac:dyDescent="0.35">
      <c r="A275" s="2" t="s">
        <v>477</v>
      </c>
      <c r="B275" s="2" t="s">
        <v>790</v>
      </c>
      <c r="C275" s="18" t="s">
        <v>2380</v>
      </c>
      <c r="D275" s="18" t="s">
        <v>1081</v>
      </c>
      <c r="E275" s="18" t="s">
        <v>3416</v>
      </c>
      <c r="F275" s="19">
        <v>45713</v>
      </c>
      <c r="G275" s="18">
        <v>1781098.48</v>
      </c>
      <c r="H275" s="37">
        <f t="shared" si="16"/>
        <v>35</v>
      </c>
      <c r="I275" s="37" t="str">
        <f t="shared" si="17"/>
        <v>1-90 DAYS</v>
      </c>
      <c r="J275" s="37" t="str">
        <f t="shared" si="18"/>
        <v>0-180 DAYS</v>
      </c>
      <c r="K275" t="s">
        <v>1730</v>
      </c>
      <c r="L275" s="66" t="s">
        <v>3526</v>
      </c>
      <c r="M275" s="66">
        <v>1781098.48</v>
      </c>
    </row>
    <row r="276" spans="1:13" hidden="1" x14ac:dyDescent="0.35">
      <c r="A276" s="2" t="s">
        <v>477</v>
      </c>
      <c r="B276" s="2" t="s">
        <v>790</v>
      </c>
      <c r="C276" s="18" t="s">
        <v>1087</v>
      </c>
      <c r="D276" s="18" t="s">
        <v>1088</v>
      </c>
      <c r="E276" s="18" t="s">
        <v>3417</v>
      </c>
      <c r="F276" s="19">
        <v>45714</v>
      </c>
      <c r="G276" s="18">
        <v>196116</v>
      </c>
      <c r="H276" s="37">
        <f t="shared" si="16"/>
        <v>34</v>
      </c>
      <c r="I276" s="37" t="str">
        <f t="shared" si="17"/>
        <v>1-90 DAYS</v>
      </c>
      <c r="J276" s="37" t="str">
        <f t="shared" si="18"/>
        <v>0-180 DAYS</v>
      </c>
      <c r="K276" t="s">
        <v>1730</v>
      </c>
      <c r="L276" s="66" t="s">
        <v>3527</v>
      </c>
      <c r="M276" s="66">
        <v>196116</v>
      </c>
    </row>
    <row r="277" spans="1:13" hidden="1" x14ac:dyDescent="0.35">
      <c r="A277" s="2" t="s">
        <v>477</v>
      </c>
      <c r="B277" s="2" t="s">
        <v>790</v>
      </c>
      <c r="C277" s="18" t="s">
        <v>2380</v>
      </c>
      <c r="D277" s="18" t="s">
        <v>1081</v>
      </c>
      <c r="E277" s="18" t="s">
        <v>3418</v>
      </c>
      <c r="F277" s="19">
        <v>45716</v>
      </c>
      <c r="G277" s="18">
        <v>118785.66</v>
      </c>
      <c r="H277" s="37">
        <f t="shared" si="16"/>
        <v>32</v>
      </c>
      <c r="I277" s="37" t="str">
        <f t="shared" si="17"/>
        <v>1-90 DAYS</v>
      </c>
      <c r="J277" s="37" t="str">
        <f t="shared" si="18"/>
        <v>0-180 DAYS</v>
      </c>
      <c r="K277" t="s">
        <v>1730</v>
      </c>
      <c r="L277" s="66" t="s">
        <v>3529</v>
      </c>
      <c r="M277" s="66">
        <v>118785.66</v>
      </c>
    </row>
    <row r="278" spans="1:13" hidden="1" x14ac:dyDescent="0.35">
      <c r="A278" s="2" t="s">
        <v>477</v>
      </c>
      <c r="B278" s="2" t="s">
        <v>790</v>
      </c>
      <c r="C278" s="18" t="s">
        <v>2380</v>
      </c>
      <c r="D278" s="18" t="s">
        <v>1081</v>
      </c>
      <c r="E278" s="18" t="s">
        <v>3419</v>
      </c>
      <c r="F278" s="19">
        <v>45716</v>
      </c>
      <c r="G278" s="18">
        <v>118785.66</v>
      </c>
      <c r="H278" s="37">
        <f t="shared" si="16"/>
        <v>32</v>
      </c>
      <c r="I278" s="37" t="str">
        <f t="shared" si="17"/>
        <v>1-90 DAYS</v>
      </c>
      <c r="J278" s="37" t="str">
        <f t="shared" si="18"/>
        <v>0-180 DAYS</v>
      </c>
      <c r="K278" t="s">
        <v>1730</v>
      </c>
      <c r="L278" s="66" t="s">
        <v>3529</v>
      </c>
      <c r="M278" s="66">
        <v>118785.66</v>
      </c>
    </row>
    <row r="279" spans="1:13" hidden="1" x14ac:dyDescent="0.35">
      <c r="A279" s="2" t="s">
        <v>477</v>
      </c>
      <c r="B279" s="2" t="s">
        <v>790</v>
      </c>
      <c r="C279" s="18" t="s">
        <v>2380</v>
      </c>
      <c r="D279" s="18" t="s">
        <v>1081</v>
      </c>
      <c r="E279" s="18" t="s">
        <v>3420</v>
      </c>
      <c r="F279" s="19">
        <v>45716</v>
      </c>
      <c r="G279" s="18">
        <v>118739.52</v>
      </c>
      <c r="H279" s="37">
        <f t="shared" si="16"/>
        <v>32</v>
      </c>
      <c r="I279" s="37" t="str">
        <f t="shared" si="17"/>
        <v>1-90 DAYS</v>
      </c>
      <c r="J279" s="37" t="str">
        <f t="shared" si="18"/>
        <v>0-180 DAYS</v>
      </c>
      <c r="K279" t="s">
        <v>1730</v>
      </c>
      <c r="L279" s="66" t="s">
        <v>3529</v>
      </c>
      <c r="M279" s="66">
        <v>118739.52</v>
      </c>
    </row>
    <row r="280" spans="1:13" hidden="1" x14ac:dyDescent="0.35">
      <c r="A280" s="2" t="s">
        <v>477</v>
      </c>
      <c r="B280" s="2" t="s">
        <v>790</v>
      </c>
      <c r="C280" s="18" t="s">
        <v>2380</v>
      </c>
      <c r="D280" s="18" t="s">
        <v>1081</v>
      </c>
      <c r="E280" s="18" t="s">
        <v>3421</v>
      </c>
      <c r="F280" s="19">
        <v>45716</v>
      </c>
      <c r="G280" s="18">
        <v>474959.52</v>
      </c>
      <c r="H280" s="37">
        <f t="shared" si="16"/>
        <v>32</v>
      </c>
      <c r="I280" s="37" t="str">
        <f t="shared" si="17"/>
        <v>1-90 DAYS</v>
      </c>
      <c r="J280" s="37" t="str">
        <f t="shared" si="18"/>
        <v>0-180 DAYS</v>
      </c>
      <c r="K280" t="s">
        <v>1730</v>
      </c>
      <c r="L280" s="66" t="s">
        <v>3529</v>
      </c>
      <c r="M280" s="66">
        <v>474959.52</v>
      </c>
    </row>
    <row r="281" spans="1:13" hidden="1" x14ac:dyDescent="0.35">
      <c r="A281" s="2" t="s">
        <v>477</v>
      </c>
      <c r="B281" s="2" t="s">
        <v>790</v>
      </c>
      <c r="C281" s="18" t="s">
        <v>2382</v>
      </c>
      <c r="D281" s="18" t="s">
        <v>2424</v>
      </c>
      <c r="E281" s="18" t="s">
        <v>272</v>
      </c>
      <c r="F281" s="19">
        <v>45693</v>
      </c>
      <c r="G281" s="18">
        <v>94164</v>
      </c>
      <c r="H281" s="37">
        <f t="shared" si="16"/>
        <v>55</v>
      </c>
      <c r="I281" s="37" t="str">
        <f t="shared" si="17"/>
        <v>1-90 DAYS</v>
      </c>
      <c r="J281" s="37" t="str">
        <f t="shared" si="18"/>
        <v>0-180 DAYS</v>
      </c>
      <c r="K281" t="s">
        <v>1730</v>
      </c>
      <c r="L281" s="66" t="s">
        <v>3532</v>
      </c>
      <c r="M281" s="66">
        <v>94164</v>
      </c>
    </row>
    <row r="282" spans="1:13" hidden="1" x14ac:dyDescent="0.35">
      <c r="A282" s="2" t="s">
        <v>477</v>
      </c>
      <c r="B282" s="2" t="s">
        <v>790</v>
      </c>
      <c r="C282" s="18" t="s">
        <v>2890</v>
      </c>
      <c r="D282" s="18" t="s">
        <v>2966</v>
      </c>
      <c r="E282" s="18" t="s">
        <v>3422</v>
      </c>
      <c r="F282" s="19">
        <v>45694</v>
      </c>
      <c r="G282" s="18">
        <v>1456710</v>
      </c>
      <c r="H282" s="37">
        <f t="shared" si="16"/>
        <v>54</v>
      </c>
      <c r="I282" s="37" t="str">
        <f t="shared" si="17"/>
        <v>1-90 DAYS</v>
      </c>
      <c r="J282" s="37" t="str">
        <f t="shared" si="18"/>
        <v>0-180 DAYS</v>
      </c>
      <c r="K282" t="s">
        <v>1730</v>
      </c>
      <c r="L282" s="66" t="s">
        <v>3506</v>
      </c>
      <c r="M282" s="66">
        <v>1456710</v>
      </c>
    </row>
    <row r="283" spans="1:13" hidden="1" x14ac:dyDescent="0.35">
      <c r="A283" s="2" t="s">
        <v>477</v>
      </c>
      <c r="B283" s="2" t="s">
        <v>790</v>
      </c>
      <c r="C283" s="18" t="s">
        <v>2527</v>
      </c>
      <c r="D283" s="18" t="s">
        <v>2529</v>
      </c>
      <c r="E283" s="18" t="s">
        <v>281</v>
      </c>
      <c r="F283" s="19">
        <v>45699</v>
      </c>
      <c r="G283" s="18">
        <v>8467.68</v>
      </c>
      <c r="H283" s="37">
        <f t="shared" si="16"/>
        <v>49</v>
      </c>
      <c r="I283" s="37" t="str">
        <f t="shared" si="17"/>
        <v>1-90 DAYS</v>
      </c>
      <c r="J283" s="37" t="str">
        <f t="shared" si="18"/>
        <v>0-180 DAYS</v>
      </c>
      <c r="K283" t="s">
        <v>1730</v>
      </c>
      <c r="L283" s="66" t="s">
        <v>3514</v>
      </c>
      <c r="M283" s="66">
        <v>8467.68</v>
      </c>
    </row>
    <row r="284" spans="1:13" hidden="1" x14ac:dyDescent="0.35">
      <c r="A284" s="2" t="s">
        <v>477</v>
      </c>
      <c r="B284" s="2" t="s">
        <v>790</v>
      </c>
      <c r="C284" s="18" t="s">
        <v>2322</v>
      </c>
      <c r="D284" s="18" t="s">
        <v>2348</v>
      </c>
      <c r="E284" s="18" t="s">
        <v>3423</v>
      </c>
      <c r="F284" s="19">
        <v>45700</v>
      </c>
      <c r="G284" s="18">
        <v>41117.1</v>
      </c>
      <c r="H284" s="37">
        <f t="shared" si="16"/>
        <v>48</v>
      </c>
      <c r="I284" s="37" t="str">
        <f t="shared" si="17"/>
        <v>1-90 DAYS</v>
      </c>
      <c r="J284" s="37" t="str">
        <f t="shared" si="18"/>
        <v>0-180 DAYS</v>
      </c>
      <c r="K284" t="s">
        <v>1730</v>
      </c>
      <c r="L284" s="66" t="s">
        <v>3515</v>
      </c>
      <c r="M284" s="66">
        <v>41117.1</v>
      </c>
    </row>
    <row r="285" spans="1:13" hidden="1" x14ac:dyDescent="0.35">
      <c r="A285" s="2" t="s">
        <v>477</v>
      </c>
      <c r="B285" s="2" t="s">
        <v>790</v>
      </c>
      <c r="C285" s="18" t="s">
        <v>1840</v>
      </c>
      <c r="D285" s="18" t="s">
        <v>2003</v>
      </c>
      <c r="E285" s="18" t="s">
        <v>3424</v>
      </c>
      <c r="F285" s="19">
        <v>45708</v>
      </c>
      <c r="G285" s="18">
        <v>792842</v>
      </c>
      <c r="H285" s="37">
        <f t="shared" si="16"/>
        <v>40</v>
      </c>
      <c r="I285" s="37" t="str">
        <f t="shared" si="17"/>
        <v>1-90 DAYS</v>
      </c>
      <c r="J285" s="37" t="str">
        <f t="shared" si="18"/>
        <v>0-180 DAYS</v>
      </c>
      <c r="K285" t="s">
        <v>1730</v>
      </c>
      <c r="L285" s="66" t="s">
        <v>3522</v>
      </c>
      <c r="M285" s="66">
        <v>792842</v>
      </c>
    </row>
    <row r="286" spans="1:13" hidden="1" x14ac:dyDescent="0.35">
      <c r="A286" s="2" t="s">
        <v>1085</v>
      </c>
      <c r="B286" s="2" t="s">
        <v>790</v>
      </c>
      <c r="C286" s="18" t="s">
        <v>548</v>
      </c>
      <c r="D286" t="s">
        <v>507</v>
      </c>
      <c r="E286" s="18" t="s">
        <v>3426</v>
      </c>
      <c r="F286" s="19">
        <v>45689</v>
      </c>
      <c r="G286" s="97">
        <v>3197884.13</v>
      </c>
      <c r="H286" s="37">
        <f t="shared" si="16"/>
        <v>59</v>
      </c>
      <c r="I286" s="37" t="str">
        <f t="shared" ref="I286:I296" si="19">IF(H286&lt;121,"0-120 DAYS",IF(H286&lt;181,"121-180 DAYS","More than 180 Days"))</f>
        <v>0-120 DAYS</v>
      </c>
      <c r="J286" s="37" t="str">
        <f t="shared" si="18"/>
        <v>0-180 DAYS</v>
      </c>
      <c r="K286" t="s">
        <v>1730</v>
      </c>
      <c r="L286" s="66" t="s">
        <v>3509</v>
      </c>
      <c r="M286" s="66">
        <v>3197884.13</v>
      </c>
    </row>
    <row r="287" spans="1:13" hidden="1" x14ac:dyDescent="0.35">
      <c r="A287" s="2" t="s">
        <v>1085</v>
      </c>
      <c r="B287" s="2" t="s">
        <v>790</v>
      </c>
      <c r="C287" s="18" t="s">
        <v>598</v>
      </c>
      <c r="D287" t="s">
        <v>507</v>
      </c>
      <c r="E287" s="18" t="s">
        <v>3427</v>
      </c>
      <c r="F287" s="19">
        <v>45689</v>
      </c>
      <c r="G287" s="97">
        <f>3596697.86-247695</f>
        <v>3349002.86</v>
      </c>
      <c r="H287" s="37">
        <f t="shared" si="16"/>
        <v>59</v>
      </c>
      <c r="I287" s="37" t="str">
        <f t="shared" si="19"/>
        <v>0-120 DAYS</v>
      </c>
      <c r="J287" s="37" t="str">
        <f t="shared" si="18"/>
        <v>0-180 DAYS</v>
      </c>
      <c r="K287" t="s">
        <v>1730</v>
      </c>
      <c r="L287" s="66" t="s">
        <v>3509</v>
      </c>
      <c r="M287" s="66">
        <v>3349002.86</v>
      </c>
    </row>
    <row r="288" spans="1:13" hidden="1" x14ac:dyDescent="0.35">
      <c r="A288" s="2" t="s">
        <v>1085</v>
      </c>
      <c r="B288" s="2" t="s">
        <v>790</v>
      </c>
      <c r="C288" s="18" t="s">
        <v>538</v>
      </c>
      <c r="D288" t="s">
        <v>507</v>
      </c>
      <c r="E288" s="18" t="s">
        <v>3428</v>
      </c>
      <c r="F288" s="19">
        <v>45692</v>
      </c>
      <c r="G288" s="97">
        <v>2622594.83</v>
      </c>
      <c r="H288" s="37">
        <f t="shared" si="16"/>
        <v>56</v>
      </c>
      <c r="I288" s="37" t="str">
        <f t="shared" si="19"/>
        <v>0-120 DAYS</v>
      </c>
      <c r="J288" s="37" t="str">
        <f t="shared" si="18"/>
        <v>0-180 DAYS</v>
      </c>
      <c r="K288" t="s">
        <v>1730</v>
      </c>
      <c r="L288" s="66" t="s">
        <v>3531</v>
      </c>
      <c r="M288" s="66">
        <v>2622594.83</v>
      </c>
    </row>
    <row r="289" spans="1:13" hidden="1" x14ac:dyDescent="0.35">
      <c r="A289" s="2" t="s">
        <v>1085</v>
      </c>
      <c r="B289" s="2" t="s">
        <v>790</v>
      </c>
      <c r="C289" s="18" t="s">
        <v>584</v>
      </c>
      <c r="D289" t="s">
        <v>507</v>
      </c>
      <c r="E289" s="18" t="s">
        <v>3429</v>
      </c>
      <c r="F289" s="19">
        <v>45692</v>
      </c>
      <c r="G289" s="97">
        <v>3511228.8</v>
      </c>
      <c r="H289" s="37">
        <f t="shared" si="16"/>
        <v>56</v>
      </c>
      <c r="I289" s="37" t="str">
        <f t="shared" si="19"/>
        <v>0-120 DAYS</v>
      </c>
      <c r="J289" s="37" t="str">
        <f t="shared" si="18"/>
        <v>0-180 DAYS</v>
      </c>
      <c r="K289" t="s">
        <v>1730</v>
      </c>
      <c r="L289" s="66" t="s">
        <v>3531</v>
      </c>
      <c r="M289" s="66">
        <v>3511228.8</v>
      </c>
    </row>
    <row r="290" spans="1:13" hidden="1" x14ac:dyDescent="0.35">
      <c r="A290" s="2" t="s">
        <v>1085</v>
      </c>
      <c r="B290" s="2" t="s">
        <v>790</v>
      </c>
      <c r="C290" s="18" t="s">
        <v>1052</v>
      </c>
      <c r="D290" t="s">
        <v>507</v>
      </c>
      <c r="E290" s="18" t="s">
        <v>3430</v>
      </c>
      <c r="F290" s="19">
        <v>45693</v>
      </c>
      <c r="G290" s="97">
        <v>2993140.19</v>
      </c>
      <c r="H290" s="37">
        <f t="shared" si="16"/>
        <v>55</v>
      </c>
      <c r="I290" s="37" t="str">
        <f t="shared" si="19"/>
        <v>0-120 DAYS</v>
      </c>
      <c r="J290" s="37" t="str">
        <f t="shared" si="18"/>
        <v>0-180 DAYS</v>
      </c>
      <c r="K290" t="s">
        <v>1730</v>
      </c>
      <c r="L290" s="66" t="s">
        <v>3532</v>
      </c>
      <c r="M290" s="66">
        <v>2993140.19</v>
      </c>
    </row>
    <row r="291" spans="1:13" hidden="1" x14ac:dyDescent="0.35">
      <c r="A291" s="2" t="s">
        <v>1085</v>
      </c>
      <c r="B291" s="2" t="s">
        <v>790</v>
      </c>
      <c r="C291" s="18" t="s">
        <v>1086</v>
      </c>
      <c r="D291" t="s">
        <v>507</v>
      </c>
      <c r="E291" s="18" t="s">
        <v>3431</v>
      </c>
      <c r="F291" s="19">
        <v>45698</v>
      </c>
      <c r="G291" s="97">
        <v>2048812.9</v>
      </c>
      <c r="H291" s="37">
        <f t="shared" si="16"/>
        <v>50</v>
      </c>
      <c r="I291" s="37" t="str">
        <f t="shared" si="19"/>
        <v>0-120 DAYS</v>
      </c>
      <c r="J291" s="37" t="str">
        <f t="shared" si="18"/>
        <v>0-180 DAYS</v>
      </c>
      <c r="K291" t="s">
        <v>1730</v>
      </c>
      <c r="L291" s="66" t="s">
        <v>3513</v>
      </c>
      <c r="M291" s="66">
        <v>2048812.9</v>
      </c>
    </row>
    <row r="292" spans="1:13" hidden="1" x14ac:dyDescent="0.35">
      <c r="A292" s="2" t="s">
        <v>1085</v>
      </c>
      <c r="B292" s="2" t="s">
        <v>790</v>
      </c>
      <c r="C292" s="18" t="s">
        <v>1086</v>
      </c>
      <c r="D292" t="s">
        <v>507</v>
      </c>
      <c r="E292" s="18" t="s">
        <v>3432</v>
      </c>
      <c r="F292" s="19">
        <v>45698</v>
      </c>
      <c r="G292" s="97">
        <v>90546.01</v>
      </c>
      <c r="H292" s="37">
        <f t="shared" si="16"/>
        <v>50</v>
      </c>
      <c r="I292" s="37" t="str">
        <f t="shared" si="19"/>
        <v>0-120 DAYS</v>
      </c>
      <c r="J292" s="37" t="str">
        <f t="shared" si="18"/>
        <v>0-180 DAYS</v>
      </c>
      <c r="K292" t="s">
        <v>1730</v>
      </c>
      <c r="L292" s="66" t="s">
        <v>3513</v>
      </c>
      <c r="M292" s="66">
        <v>90546.01</v>
      </c>
    </row>
    <row r="293" spans="1:13" hidden="1" x14ac:dyDescent="0.35">
      <c r="A293" s="2" t="s">
        <v>1085</v>
      </c>
      <c r="B293" s="2" t="s">
        <v>790</v>
      </c>
      <c r="C293" s="18" t="s">
        <v>1086</v>
      </c>
      <c r="D293" t="s">
        <v>507</v>
      </c>
      <c r="E293" s="18" t="s">
        <v>3433</v>
      </c>
      <c r="F293" s="19">
        <v>45698</v>
      </c>
      <c r="G293" s="97">
        <v>59962.59</v>
      </c>
      <c r="H293" s="37">
        <f t="shared" si="16"/>
        <v>50</v>
      </c>
      <c r="I293" s="37" t="str">
        <f t="shared" si="19"/>
        <v>0-120 DAYS</v>
      </c>
      <c r="J293" s="37" t="str">
        <f t="shared" si="18"/>
        <v>0-180 DAYS</v>
      </c>
      <c r="K293" t="s">
        <v>1730</v>
      </c>
      <c r="L293" s="66" t="s">
        <v>3513</v>
      </c>
      <c r="M293" s="66">
        <v>59962.59</v>
      </c>
    </row>
    <row r="294" spans="1:13" hidden="1" x14ac:dyDescent="0.35">
      <c r="A294" s="2" t="s">
        <v>1085</v>
      </c>
      <c r="B294" s="2" t="s">
        <v>790</v>
      </c>
      <c r="C294" s="18" t="s">
        <v>548</v>
      </c>
      <c r="D294" t="s">
        <v>507</v>
      </c>
      <c r="E294" s="18" t="s">
        <v>3434</v>
      </c>
      <c r="F294" s="19">
        <v>45699</v>
      </c>
      <c r="G294" s="97">
        <v>3340763.42</v>
      </c>
      <c r="H294" s="37">
        <f t="shared" si="16"/>
        <v>49</v>
      </c>
      <c r="I294" s="37" t="str">
        <f t="shared" si="19"/>
        <v>0-120 DAYS</v>
      </c>
      <c r="J294" s="37" t="str">
        <f t="shared" si="18"/>
        <v>0-180 DAYS</v>
      </c>
      <c r="K294" t="s">
        <v>1730</v>
      </c>
      <c r="L294" s="66" t="s">
        <v>3514</v>
      </c>
      <c r="M294" s="66">
        <v>3340763.42</v>
      </c>
    </row>
    <row r="295" spans="1:13" hidden="1" x14ac:dyDescent="0.35">
      <c r="A295" s="2" t="s">
        <v>1085</v>
      </c>
      <c r="B295" s="2" t="s">
        <v>790</v>
      </c>
      <c r="C295" s="18" t="s">
        <v>1052</v>
      </c>
      <c r="D295" t="s">
        <v>507</v>
      </c>
      <c r="E295" s="18" t="s">
        <v>3435</v>
      </c>
      <c r="F295" s="19">
        <v>45700</v>
      </c>
      <c r="G295" s="97">
        <v>3035054.88</v>
      </c>
      <c r="H295" s="37">
        <f t="shared" si="16"/>
        <v>48</v>
      </c>
      <c r="I295" s="37" t="str">
        <f t="shared" si="19"/>
        <v>0-120 DAYS</v>
      </c>
      <c r="J295" s="37" t="str">
        <f t="shared" si="18"/>
        <v>0-180 DAYS</v>
      </c>
      <c r="K295" t="s">
        <v>1730</v>
      </c>
      <c r="L295" s="66" t="s">
        <v>3515</v>
      </c>
      <c r="M295" s="66">
        <v>3035054.88</v>
      </c>
    </row>
    <row r="296" spans="1:13" hidden="1" x14ac:dyDescent="0.35">
      <c r="A296" s="2" t="s">
        <v>1085</v>
      </c>
      <c r="B296" s="2" t="s">
        <v>790</v>
      </c>
      <c r="C296" s="18" t="s">
        <v>631</v>
      </c>
      <c r="D296" t="s">
        <v>507</v>
      </c>
      <c r="E296" s="18" t="s">
        <v>3436</v>
      </c>
      <c r="F296" s="19">
        <v>45700</v>
      </c>
      <c r="G296" s="97">
        <v>3173913.6</v>
      </c>
      <c r="H296" s="37">
        <f t="shared" si="16"/>
        <v>48</v>
      </c>
      <c r="I296" s="37" t="str">
        <f t="shared" si="19"/>
        <v>0-120 DAYS</v>
      </c>
      <c r="J296" s="37" t="str">
        <f t="shared" si="18"/>
        <v>0-180 DAYS</v>
      </c>
      <c r="K296" t="s">
        <v>1730</v>
      </c>
      <c r="L296" s="66" t="s">
        <v>3515</v>
      </c>
      <c r="M296" s="66">
        <v>3173913.6</v>
      </c>
    </row>
    <row r="297" spans="1:13" hidden="1" x14ac:dyDescent="0.35">
      <c r="A297" s="2" t="s">
        <v>1209</v>
      </c>
      <c r="B297" s="2" t="s">
        <v>789</v>
      </c>
      <c r="C297" s="18" t="s">
        <v>506</v>
      </c>
      <c r="D297" t="s">
        <v>507</v>
      </c>
      <c r="E297" s="18" t="s">
        <v>3437</v>
      </c>
      <c r="F297" s="19">
        <v>45701</v>
      </c>
      <c r="G297" s="97">
        <v>3260837.29</v>
      </c>
      <c r="H297" s="37">
        <f t="shared" si="16"/>
        <v>47</v>
      </c>
      <c r="I297" s="37" t="str">
        <f>IF(H297&lt;91,"1-90 DAYS",IF(H297&lt;121,"91-120DAYS",IF(H297&lt;181,"121-180 DAYS","More than 180 Days")))</f>
        <v>1-90 DAYS</v>
      </c>
      <c r="J297" s="37" t="str">
        <f t="shared" si="18"/>
        <v>0-180 DAYS</v>
      </c>
      <c r="L297" s="66" t="s">
        <v>3516</v>
      </c>
      <c r="M297" s="66">
        <v>3260837.29</v>
      </c>
    </row>
    <row r="298" spans="1:13" hidden="1" x14ac:dyDescent="0.35">
      <c r="A298" s="2" t="s">
        <v>1085</v>
      </c>
      <c r="B298" s="2" t="s">
        <v>790</v>
      </c>
      <c r="C298" s="18" t="s">
        <v>647</v>
      </c>
      <c r="D298" t="s">
        <v>507</v>
      </c>
      <c r="E298" s="18" t="s">
        <v>626</v>
      </c>
      <c r="F298" s="19">
        <v>45705</v>
      </c>
      <c r="G298" s="97">
        <v>3932712.07</v>
      </c>
      <c r="H298" s="37">
        <f t="shared" si="16"/>
        <v>43</v>
      </c>
      <c r="I298" s="37" t="str">
        <f t="shared" ref="I298:I361" si="20">IF(H298&lt;121,"0-120 DAYS",IF(H298&lt;181,"121-180 DAYS","More than 180 Days"))</f>
        <v>0-120 DAYS</v>
      </c>
      <c r="J298" s="37" t="str">
        <f t="shared" si="18"/>
        <v>0-180 DAYS</v>
      </c>
      <c r="K298" t="s">
        <v>1730</v>
      </c>
      <c r="L298" s="66" t="s">
        <v>3519</v>
      </c>
      <c r="M298" s="66">
        <v>3932712.07</v>
      </c>
    </row>
    <row r="299" spans="1:13" hidden="1" x14ac:dyDescent="0.35">
      <c r="A299" s="2" t="s">
        <v>1085</v>
      </c>
      <c r="B299" s="2" t="s">
        <v>790</v>
      </c>
      <c r="C299" s="18" t="s">
        <v>538</v>
      </c>
      <c r="D299" t="s">
        <v>507</v>
      </c>
      <c r="E299" s="18" t="s">
        <v>3438</v>
      </c>
      <c r="F299" s="19">
        <v>45705</v>
      </c>
      <c r="G299" s="97">
        <v>2833489</v>
      </c>
      <c r="H299" s="37">
        <f t="shared" si="16"/>
        <v>43</v>
      </c>
      <c r="I299" s="37" t="str">
        <f t="shared" si="20"/>
        <v>0-120 DAYS</v>
      </c>
      <c r="J299" s="37" t="str">
        <f t="shared" si="18"/>
        <v>0-180 DAYS</v>
      </c>
      <c r="K299" t="s">
        <v>1730</v>
      </c>
      <c r="L299" s="66" t="s">
        <v>3519</v>
      </c>
      <c r="M299" s="66">
        <v>2833489</v>
      </c>
    </row>
    <row r="300" spans="1:13" hidden="1" x14ac:dyDescent="0.35">
      <c r="A300" s="2" t="s">
        <v>1085</v>
      </c>
      <c r="B300" s="2" t="s">
        <v>790</v>
      </c>
      <c r="C300" s="18" t="s">
        <v>598</v>
      </c>
      <c r="D300" t="s">
        <v>507</v>
      </c>
      <c r="E300" s="18" t="s">
        <v>625</v>
      </c>
      <c r="F300" s="19">
        <v>45705</v>
      </c>
      <c r="G300" s="97">
        <v>3743723.34</v>
      </c>
      <c r="H300" s="37">
        <f t="shared" si="16"/>
        <v>43</v>
      </c>
      <c r="I300" s="37" t="str">
        <f t="shared" si="20"/>
        <v>0-120 DAYS</v>
      </c>
      <c r="J300" s="37" t="str">
        <f t="shared" si="18"/>
        <v>0-180 DAYS</v>
      </c>
      <c r="K300" t="s">
        <v>1730</v>
      </c>
      <c r="L300" s="66" t="s">
        <v>3519</v>
      </c>
      <c r="M300" s="66">
        <v>3743723.34</v>
      </c>
    </row>
    <row r="301" spans="1:13" hidden="1" x14ac:dyDescent="0.35">
      <c r="A301" s="2" t="s">
        <v>1085</v>
      </c>
      <c r="B301" s="2" t="s">
        <v>790</v>
      </c>
      <c r="C301" s="18" t="s">
        <v>814</v>
      </c>
      <c r="D301" t="s">
        <v>507</v>
      </c>
      <c r="E301" s="18" t="s">
        <v>3439</v>
      </c>
      <c r="F301" s="19">
        <v>45706</v>
      </c>
      <c r="G301" s="97">
        <v>8491</v>
      </c>
      <c r="H301" s="37">
        <f t="shared" si="16"/>
        <v>42</v>
      </c>
      <c r="I301" s="37" t="str">
        <f t="shared" si="20"/>
        <v>0-120 DAYS</v>
      </c>
      <c r="J301" s="37" t="str">
        <f t="shared" si="18"/>
        <v>0-180 DAYS</v>
      </c>
      <c r="K301" t="s">
        <v>1730</v>
      </c>
      <c r="L301" s="66" t="s">
        <v>3520</v>
      </c>
      <c r="M301" s="66">
        <v>8491</v>
      </c>
    </row>
    <row r="302" spans="1:13" hidden="1" x14ac:dyDescent="0.35">
      <c r="A302" s="2" t="s">
        <v>1085</v>
      </c>
      <c r="B302" s="2" t="s">
        <v>790</v>
      </c>
      <c r="C302" s="18" t="s">
        <v>548</v>
      </c>
      <c r="D302" t="s">
        <v>507</v>
      </c>
      <c r="E302" s="18" t="s">
        <v>3440</v>
      </c>
      <c r="F302" s="19">
        <v>45707</v>
      </c>
      <c r="G302" s="97">
        <v>2972825.96</v>
      </c>
      <c r="H302" s="37">
        <f t="shared" si="16"/>
        <v>41</v>
      </c>
      <c r="I302" s="37" t="str">
        <f t="shared" si="20"/>
        <v>0-120 DAYS</v>
      </c>
      <c r="J302" s="37" t="str">
        <f t="shared" si="18"/>
        <v>0-180 DAYS</v>
      </c>
      <c r="K302" t="s">
        <v>1730</v>
      </c>
      <c r="L302" s="66" t="s">
        <v>3521</v>
      </c>
      <c r="M302" s="66">
        <v>2972825.96</v>
      </c>
    </row>
    <row r="303" spans="1:13" hidden="1" x14ac:dyDescent="0.35">
      <c r="A303" s="2" t="s">
        <v>1085</v>
      </c>
      <c r="B303" s="2" t="s">
        <v>790</v>
      </c>
      <c r="C303" s="18" t="s">
        <v>548</v>
      </c>
      <c r="D303" t="s">
        <v>507</v>
      </c>
      <c r="E303" s="18" t="s">
        <v>3441</v>
      </c>
      <c r="F303" s="19">
        <v>45707</v>
      </c>
      <c r="G303" s="97">
        <v>251083.2</v>
      </c>
      <c r="H303" s="37">
        <f t="shared" si="16"/>
        <v>41</v>
      </c>
      <c r="I303" s="37" t="str">
        <f t="shared" si="20"/>
        <v>0-120 DAYS</v>
      </c>
      <c r="J303" s="37" t="str">
        <f t="shared" si="18"/>
        <v>0-180 DAYS</v>
      </c>
      <c r="K303" t="s">
        <v>1730</v>
      </c>
      <c r="L303" s="66" t="s">
        <v>3521</v>
      </c>
      <c r="M303" s="66">
        <v>251083.2</v>
      </c>
    </row>
    <row r="304" spans="1:13" hidden="1" x14ac:dyDescent="0.35">
      <c r="A304" s="2" t="s">
        <v>1085</v>
      </c>
      <c r="B304" s="2" t="s">
        <v>790</v>
      </c>
      <c r="C304" s="18" t="s">
        <v>573</v>
      </c>
      <c r="D304" t="s">
        <v>507</v>
      </c>
      <c r="E304" s="18" t="s">
        <v>3442</v>
      </c>
      <c r="F304" s="19">
        <v>45708</v>
      </c>
      <c r="G304" s="97">
        <v>3329280</v>
      </c>
      <c r="H304" s="37">
        <f t="shared" si="16"/>
        <v>40</v>
      </c>
      <c r="I304" s="37" t="str">
        <f t="shared" si="20"/>
        <v>0-120 DAYS</v>
      </c>
      <c r="J304" s="37" t="str">
        <f t="shared" si="18"/>
        <v>0-180 DAYS</v>
      </c>
      <c r="K304" t="s">
        <v>1730</v>
      </c>
      <c r="L304" s="66" t="s">
        <v>3522</v>
      </c>
      <c r="M304" s="66">
        <v>3329280</v>
      </c>
    </row>
    <row r="305" spans="1:13" hidden="1" x14ac:dyDescent="0.35">
      <c r="A305" s="2" t="s">
        <v>1085</v>
      </c>
      <c r="B305" s="2" t="s">
        <v>790</v>
      </c>
      <c r="C305" s="18" t="s">
        <v>600</v>
      </c>
      <c r="D305" t="s">
        <v>507</v>
      </c>
      <c r="E305" s="18" t="s">
        <v>3443</v>
      </c>
      <c r="F305" s="19">
        <v>45713</v>
      </c>
      <c r="G305" s="97">
        <v>1766709.76</v>
      </c>
      <c r="H305" s="37">
        <f t="shared" si="16"/>
        <v>35</v>
      </c>
      <c r="I305" s="37" t="str">
        <f t="shared" si="20"/>
        <v>0-120 DAYS</v>
      </c>
      <c r="J305" s="37" t="str">
        <f t="shared" si="18"/>
        <v>0-180 DAYS</v>
      </c>
      <c r="K305" t="s">
        <v>1730</v>
      </c>
      <c r="L305" s="66" t="s">
        <v>3526</v>
      </c>
      <c r="M305" s="66">
        <v>1766709.76</v>
      </c>
    </row>
    <row r="306" spans="1:13" hidden="1" x14ac:dyDescent="0.35">
      <c r="A306" s="2" t="s">
        <v>1085</v>
      </c>
      <c r="B306" s="2" t="s">
        <v>790</v>
      </c>
      <c r="C306" s="18" t="s">
        <v>538</v>
      </c>
      <c r="D306" t="s">
        <v>507</v>
      </c>
      <c r="E306" s="18" t="s">
        <v>3444</v>
      </c>
      <c r="F306" s="19">
        <v>45713</v>
      </c>
      <c r="G306" s="97">
        <v>3006510</v>
      </c>
      <c r="H306" s="37">
        <f t="shared" si="16"/>
        <v>35</v>
      </c>
      <c r="I306" s="37" t="str">
        <f t="shared" si="20"/>
        <v>0-120 DAYS</v>
      </c>
      <c r="J306" s="37" t="str">
        <f t="shared" si="18"/>
        <v>0-180 DAYS</v>
      </c>
      <c r="K306" t="s">
        <v>1730</v>
      </c>
      <c r="L306" s="66" t="s">
        <v>3526</v>
      </c>
      <c r="M306" s="66">
        <v>3006510</v>
      </c>
    </row>
    <row r="307" spans="1:13" hidden="1" x14ac:dyDescent="0.35">
      <c r="A307" s="2" t="s">
        <v>1085</v>
      </c>
      <c r="B307" s="2" t="s">
        <v>790</v>
      </c>
      <c r="C307" s="18" t="s">
        <v>573</v>
      </c>
      <c r="D307" t="s">
        <v>507</v>
      </c>
      <c r="E307" s="18" t="s">
        <v>3445</v>
      </c>
      <c r="F307" s="19">
        <v>45713</v>
      </c>
      <c r="G307" s="97">
        <v>3996162</v>
      </c>
      <c r="H307" s="37">
        <f t="shared" si="16"/>
        <v>35</v>
      </c>
      <c r="I307" s="37" t="str">
        <f t="shared" si="20"/>
        <v>0-120 DAYS</v>
      </c>
      <c r="J307" s="37" t="str">
        <f t="shared" si="18"/>
        <v>0-180 DAYS</v>
      </c>
      <c r="K307" t="s">
        <v>1730</v>
      </c>
      <c r="L307" s="66" t="s">
        <v>3526</v>
      </c>
      <c r="M307" s="66">
        <v>3996162</v>
      </c>
    </row>
    <row r="308" spans="1:13" hidden="1" x14ac:dyDescent="0.35">
      <c r="A308" s="2" t="s">
        <v>1085</v>
      </c>
      <c r="B308" s="2" t="s">
        <v>790</v>
      </c>
      <c r="C308" s="18" t="s">
        <v>667</v>
      </c>
      <c r="D308" t="s">
        <v>507</v>
      </c>
      <c r="E308" s="18" t="s">
        <v>3446</v>
      </c>
      <c r="F308" s="19">
        <v>45714</v>
      </c>
      <c r="G308" s="97">
        <v>3166837.92</v>
      </c>
      <c r="H308" s="37">
        <f t="shared" si="16"/>
        <v>34</v>
      </c>
      <c r="I308" s="37" t="str">
        <f t="shared" si="20"/>
        <v>0-120 DAYS</v>
      </c>
      <c r="J308" s="37" t="str">
        <f t="shared" si="18"/>
        <v>0-180 DAYS</v>
      </c>
      <c r="K308" t="s">
        <v>1730</v>
      </c>
      <c r="L308" s="66" t="s">
        <v>3527</v>
      </c>
      <c r="M308" s="66">
        <v>3166837.92</v>
      </c>
    </row>
    <row r="309" spans="1:13" hidden="1" x14ac:dyDescent="0.35">
      <c r="A309" s="2" t="s">
        <v>1209</v>
      </c>
      <c r="B309" s="2" t="s">
        <v>789</v>
      </c>
      <c r="C309" s="18" t="s">
        <v>506</v>
      </c>
      <c r="D309" t="s">
        <v>507</v>
      </c>
      <c r="E309" s="18" t="s">
        <v>3447</v>
      </c>
      <c r="F309" s="19">
        <v>45714</v>
      </c>
      <c r="G309" s="97">
        <v>2794948.74</v>
      </c>
      <c r="H309" s="37">
        <f t="shared" si="16"/>
        <v>34</v>
      </c>
      <c r="I309" s="37" t="str">
        <f>IF(H309&lt;91,"1-90 DAYS",IF(H309&lt;121,"91-120DAYS",IF(H309&lt;181,"121-180 DAYS","More than 180 Days")))</f>
        <v>1-90 DAYS</v>
      </c>
      <c r="J309" s="37" t="str">
        <f t="shared" si="18"/>
        <v>0-180 DAYS</v>
      </c>
      <c r="L309" s="66" t="s">
        <v>3527</v>
      </c>
      <c r="M309" s="66">
        <v>2794948.74</v>
      </c>
    </row>
    <row r="310" spans="1:13" hidden="1" x14ac:dyDescent="0.35">
      <c r="A310" s="2" t="s">
        <v>1209</v>
      </c>
      <c r="B310" s="2" t="s">
        <v>789</v>
      </c>
      <c r="C310" s="18" t="s">
        <v>506</v>
      </c>
      <c r="D310" t="s">
        <v>507</v>
      </c>
      <c r="E310" s="18" t="s">
        <v>3448</v>
      </c>
      <c r="F310" s="19">
        <v>45714</v>
      </c>
      <c r="G310" s="97">
        <v>215191.26</v>
      </c>
      <c r="H310" s="37">
        <f t="shared" si="16"/>
        <v>34</v>
      </c>
      <c r="I310" s="37" t="str">
        <f>IF(H310&lt;91,"1-90 DAYS",IF(H310&lt;121,"91-120DAYS",IF(H310&lt;181,"121-180 DAYS","More than 180 Days")))</f>
        <v>1-90 DAYS</v>
      </c>
      <c r="J310" s="37" t="str">
        <f t="shared" si="18"/>
        <v>0-180 DAYS</v>
      </c>
      <c r="L310" s="66" t="s">
        <v>3527</v>
      </c>
      <c r="M310" s="66">
        <v>215191.26</v>
      </c>
    </row>
    <row r="311" spans="1:13" hidden="1" x14ac:dyDescent="0.35">
      <c r="A311" s="2" t="s">
        <v>1085</v>
      </c>
      <c r="B311" s="2" t="s">
        <v>790</v>
      </c>
      <c r="C311" s="18" t="s">
        <v>573</v>
      </c>
      <c r="D311" t="s">
        <v>507</v>
      </c>
      <c r="E311" s="18" t="s">
        <v>3449</v>
      </c>
      <c r="F311" s="19">
        <v>45714</v>
      </c>
      <c r="G311" s="97">
        <v>3728512.08</v>
      </c>
      <c r="H311" s="37">
        <f t="shared" si="16"/>
        <v>34</v>
      </c>
      <c r="I311" s="37" t="str">
        <f t="shared" si="20"/>
        <v>0-120 DAYS</v>
      </c>
      <c r="J311" s="37" t="str">
        <f t="shared" si="18"/>
        <v>0-180 DAYS</v>
      </c>
      <c r="K311" t="s">
        <v>1730</v>
      </c>
      <c r="L311" s="66" t="s">
        <v>3527</v>
      </c>
      <c r="M311" s="66">
        <v>3728512.08</v>
      </c>
    </row>
    <row r="312" spans="1:13" hidden="1" x14ac:dyDescent="0.35">
      <c r="A312" s="2" t="s">
        <v>1085</v>
      </c>
      <c r="B312" s="2" t="s">
        <v>790</v>
      </c>
      <c r="C312" s="18" t="s">
        <v>1086</v>
      </c>
      <c r="D312" t="s">
        <v>507</v>
      </c>
      <c r="E312" s="18" t="s">
        <v>3450</v>
      </c>
      <c r="F312" s="19">
        <v>45716</v>
      </c>
      <c r="G312" s="97">
        <v>1122743.3999999999</v>
      </c>
      <c r="H312" s="37">
        <f t="shared" si="16"/>
        <v>32</v>
      </c>
      <c r="I312" s="37" t="str">
        <f t="shared" si="20"/>
        <v>0-120 DAYS</v>
      </c>
      <c r="J312" s="37" t="str">
        <f t="shared" si="18"/>
        <v>0-180 DAYS</v>
      </c>
      <c r="K312" t="s">
        <v>1730</v>
      </c>
      <c r="L312" s="66" t="s">
        <v>3529</v>
      </c>
      <c r="M312" s="66">
        <v>1122743.3999999999</v>
      </c>
    </row>
    <row r="313" spans="1:13" hidden="1" x14ac:dyDescent="0.35">
      <c r="A313" s="2" t="s">
        <v>1085</v>
      </c>
      <c r="B313" s="2" t="s">
        <v>790</v>
      </c>
      <c r="C313" s="18" t="s">
        <v>1086</v>
      </c>
      <c r="D313" t="s">
        <v>507</v>
      </c>
      <c r="E313" s="18" t="s">
        <v>3451</v>
      </c>
      <c r="F313" s="19">
        <v>45716</v>
      </c>
      <c r="G313" s="97">
        <v>772082.76</v>
      </c>
      <c r="H313" s="37">
        <f t="shared" si="16"/>
        <v>32</v>
      </c>
      <c r="I313" s="37" t="str">
        <f t="shared" si="20"/>
        <v>0-120 DAYS</v>
      </c>
      <c r="J313" s="37" t="str">
        <f t="shared" si="18"/>
        <v>0-180 DAYS</v>
      </c>
      <c r="K313" t="s">
        <v>1730</v>
      </c>
      <c r="L313" s="66" t="s">
        <v>3529</v>
      </c>
      <c r="M313" s="66">
        <v>772082.76</v>
      </c>
    </row>
    <row r="314" spans="1:13" hidden="1" x14ac:dyDescent="0.35">
      <c r="A314" s="2" t="s">
        <v>1085</v>
      </c>
      <c r="B314" s="2" t="s">
        <v>790</v>
      </c>
      <c r="C314" s="18" t="s">
        <v>1086</v>
      </c>
      <c r="D314" t="s">
        <v>507</v>
      </c>
      <c r="E314" s="18" t="s">
        <v>3452</v>
      </c>
      <c r="F314" s="19">
        <v>45716</v>
      </c>
      <c r="G314" s="97">
        <v>861446.55</v>
      </c>
      <c r="H314" s="37">
        <f t="shared" si="16"/>
        <v>32</v>
      </c>
      <c r="I314" s="37" t="str">
        <f t="shared" si="20"/>
        <v>0-120 DAYS</v>
      </c>
      <c r="J314" s="37" t="str">
        <f t="shared" si="18"/>
        <v>0-180 DAYS</v>
      </c>
      <c r="K314" t="s">
        <v>1730</v>
      </c>
      <c r="L314" s="66" t="s">
        <v>3529</v>
      </c>
      <c r="M314" s="66">
        <v>861446.55</v>
      </c>
    </row>
    <row r="315" spans="1:13" hidden="1" x14ac:dyDescent="0.35">
      <c r="A315" s="2" t="s">
        <v>1209</v>
      </c>
      <c r="B315" s="2" t="s">
        <v>789</v>
      </c>
      <c r="C315" s="18" t="s">
        <v>506</v>
      </c>
      <c r="D315" t="s">
        <v>507</v>
      </c>
      <c r="E315" s="18" t="s">
        <v>3453</v>
      </c>
      <c r="F315" s="19">
        <v>45716</v>
      </c>
      <c r="G315" s="97">
        <v>2879593.55</v>
      </c>
      <c r="H315" s="37">
        <f t="shared" si="16"/>
        <v>32</v>
      </c>
      <c r="I315" s="37" t="str">
        <f>IF(H315&lt;91,"1-90 DAYS",IF(H315&lt;121,"91-120DAYS",IF(H315&lt;181,"121-180 DAYS","More than 180 Days")))</f>
        <v>1-90 DAYS</v>
      </c>
      <c r="J315" s="37" t="str">
        <f t="shared" si="18"/>
        <v>0-180 DAYS</v>
      </c>
      <c r="L315" s="66" t="s">
        <v>3529</v>
      </c>
      <c r="M315" s="66">
        <v>2879593.55</v>
      </c>
    </row>
    <row r="316" spans="1:13" hidden="1" x14ac:dyDescent="0.35">
      <c r="A316" s="2" t="s">
        <v>1085</v>
      </c>
      <c r="B316" s="2" t="s">
        <v>790</v>
      </c>
      <c r="C316" s="18" t="s">
        <v>814</v>
      </c>
      <c r="D316" t="s">
        <v>507</v>
      </c>
      <c r="E316" s="18" t="s">
        <v>3454</v>
      </c>
      <c r="F316" s="19">
        <v>45716</v>
      </c>
      <c r="G316" s="97">
        <v>1748</v>
      </c>
      <c r="H316" s="37">
        <f t="shared" si="16"/>
        <v>32</v>
      </c>
      <c r="I316" s="37" t="str">
        <f t="shared" si="20"/>
        <v>0-120 DAYS</v>
      </c>
      <c r="J316" s="37" t="str">
        <f t="shared" si="18"/>
        <v>0-180 DAYS</v>
      </c>
      <c r="K316" t="s">
        <v>1730</v>
      </c>
      <c r="L316" s="66" t="s">
        <v>3529</v>
      </c>
      <c r="M316" s="66">
        <v>1748</v>
      </c>
    </row>
    <row r="317" spans="1:13" hidden="1" x14ac:dyDescent="0.35">
      <c r="A317" s="2" t="s">
        <v>1085</v>
      </c>
      <c r="B317" s="2" t="s">
        <v>790</v>
      </c>
      <c r="C317" s="18" t="s">
        <v>573</v>
      </c>
      <c r="D317" t="s">
        <v>507</v>
      </c>
      <c r="E317" s="18" t="s">
        <v>3455</v>
      </c>
      <c r="F317" s="19">
        <v>45716</v>
      </c>
      <c r="G317" s="97">
        <v>4267529.28</v>
      </c>
      <c r="H317" s="37">
        <f t="shared" si="16"/>
        <v>32</v>
      </c>
      <c r="I317" s="37" t="str">
        <f t="shared" si="20"/>
        <v>0-120 DAYS</v>
      </c>
      <c r="J317" s="37" t="str">
        <f t="shared" si="18"/>
        <v>0-180 DAYS</v>
      </c>
      <c r="K317" t="s">
        <v>1730</v>
      </c>
      <c r="L317" s="66" t="s">
        <v>3529</v>
      </c>
      <c r="M317" s="66">
        <v>4267529.28</v>
      </c>
    </row>
    <row r="318" spans="1:13" hidden="1" x14ac:dyDescent="0.35">
      <c r="A318" s="2" t="s">
        <v>1085</v>
      </c>
      <c r="B318" s="2" t="s">
        <v>790</v>
      </c>
      <c r="C318" s="18" t="s">
        <v>681</v>
      </c>
      <c r="D318" t="s">
        <v>507</v>
      </c>
      <c r="E318" s="18" t="s">
        <v>3456</v>
      </c>
      <c r="F318" s="19">
        <v>45716</v>
      </c>
      <c r="G318" s="97">
        <v>3159756</v>
      </c>
      <c r="H318" s="37">
        <f t="shared" si="16"/>
        <v>32</v>
      </c>
      <c r="I318" s="37" t="str">
        <f t="shared" si="20"/>
        <v>0-120 DAYS</v>
      </c>
      <c r="J318" s="37" t="str">
        <f t="shared" si="18"/>
        <v>0-180 DAYS</v>
      </c>
      <c r="K318" t="s">
        <v>1730</v>
      </c>
      <c r="L318" s="66" t="s">
        <v>3529</v>
      </c>
      <c r="M318" s="66">
        <v>3159756</v>
      </c>
    </row>
    <row r="319" spans="1:13" hidden="1" x14ac:dyDescent="0.35">
      <c r="A319" s="2" t="s">
        <v>1085</v>
      </c>
      <c r="B319" s="2" t="s">
        <v>790</v>
      </c>
      <c r="C319" s="18" t="s">
        <v>1086</v>
      </c>
      <c r="D319" t="s">
        <v>507</v>
      </c>
      <c r="E319" s="18" t="s">
        <v>3457</v>
      </c>
      <c r="F319" s="19">
        <v>45690</v>
      </c>
      <c r="G319" s="97">
        <v>2333123.73</v>
      </c>
      <c r="H319" s="37">
        <f t="shared" si="16"/>
        <v>58</v>
      </c>
      <c r="I319" s="37" t="str">
        <f t="shared" si="20"/>
        <v>0-120 DAYS</v>
      </c>
      <c r="J319" s="37" t="str">
        <f t="shared" si="18"/>
        <v>0-180 DAYS</v>
      </c>
      <c r="K319" t="s">
        <v>1730</v>
      </c>
      <c r="L319" s="66" t="s">
        <v>3530</v>
      </c>
      <c r="M319" s="66">
        <v>2333123.73</v>
      </c>
    </row>
    <row r="320" spans="1:13" hidden="1" x14ac:dyDescent="0.35">
      <c r="A320" s="2" t="s">
        <v>1085</v>
      </c>
      <c r="B320" s="2" t="s">
        <v>790</v>
      </c>
      <c r="C320" s="18" t="s">
        <v>650</v>
      </c>
      <c r="D320" t="s">
        <v>507</v>
      </c>
      <c r="E320" s="18" t="s">
        <v>3458</v>
      </c>
      <c r="F320" s="19">
        <v>45690</v>
      </c>
      <c r="G320" s="97">
        <v>2610780.75</v>
      </c>
      <c r="H320" s="37">
        <f t="shared" si="16"/>
        <v>58</v>
      </c>
      <c r="I320" s="37" t="str">
        <f t="shared" si="20"/>
        <v>0-120 DAYS</v>
      </c>
      <c r="J320" s="37" t="str">
        <f t="shared" si="18"/>
        <v>0-180 DAYS</v>
      </c>
      <c r="K320" t="s">
        <v>1730</v>
      </c>
      <c r="L320" s="66" t="s">
        <v>3530</v>
      </c>
      <c r="M320" s="66">
        <v>2610780.75</v>
      </c>
    </row>
    <row r="321" spans="1:13" hidden="1" x14ac:dyDescent="0.35">
      <c r="A321" s="2" t="s">
        <v>1085</v>
      </c>
      <c r="B321" s="2" t="s">
        <v>790</v>
      </c>
      <c r="C321" s="18" t="s">
        <v>570</v>
      </c>
      <c r="D321" t="s">
        <v>507</v>
      </c>
      <c r="E321" s="18" t="s">
        <v>3459</v>
      </c>
      <c r="F321" s="19">
        <v>45693</v>
      </c>
      <c r="G321" s="97">
        <v>3571223.04</v>
      </c>
      <c r="H321" s="37">
        <f t="shared" si="16"/>
        <v>55</v>
      </c>
      <c r="I321" s="37" t="str">
        <f t="shared" si="20"/>
        <v>0-120 DAYS</v>
      </c>
      <c r="J321" s="37" t="str">
        <f t="shared" si="18"/>
        <v>0-180 DAYS</v>
      </c>
      <c r="K321" t="s">
        <v>1730</v>
      </c>
      <c r="L321" s="66" t="s">
        <v>3532</v>
      </c>
      <c r="M321" s="66">
        <v>3571223.04</v>
      </c>
    </row>
    <row r="322" spans="1:13" hidden="1" x14ac:dyDescent="0.35">
      <c r="A322" s="2" t="s">
        <v>1085</v>
      </c>
      <c r="B322" s="2" t="s">
        <v>790</v>
      </c>
      <c r="C322" s="18" t="s">
        <v>1086</v>
      </c>
      <c r="D322" t="s">
        <v>507</v>
      </c>
      <c r="E322" s="18" t="s">
        <v>3460</v>
      </c>
      <c r="F322" s="19">
        <v>45694</v>
      </c>
      <c r="G322" s="97">
        <v>2423566.6</v>
      </c>
      <c r="H322" s="37">
        <f t="shared" si="16"/>
        <v>54</v>
      </c>
      <c r="I322" s="37" t="str">
        <f t="shared" si="20"/>
        <v>0-120 DAYS</v>
      </c>
      <c r="J322" s="37" t="str">
        <f t="shared" si="18"/>
        <v>0-180 DAYS</v>
      </c>
      <c r="K322" t="s">
        <v>1730</v>
      </c>
      <c r="L322" s="66" t="s">
        <v>3506</v>
      </c>
      <c r="M322" s="66">
        <v>2423566.6</v>
      </c>
    </row>
    <row r="323" spans="1:13" hidden="1" x14ac:dyDescent="0.35">
      <c r="A323" s="2" t="s">
        <v>1085</v>
      </c>
      <c r="B323" s="2" t="s">
        <v>790</v>
      </c>
      <c r="C323" s="18" t="s">
        <v>1086</v>
      </c>
      <c r="D323" t="s">
        <v>507</v>
      </c>
      <c r="E323" s="18" t="s">
        <v>3461</v>
      </c>
      <c r="F323" s="19">
        <v>45694</v>
      </c>
      <c r="G323" s="97">
        <v>3449596.36</v>
      </c>
      <c r="H323" s="37">
        <f t="shared" si="16"/>
        <v>54</v>
      </c>
      <c r="I323" s="37" t="str">
        <f t="shared" si="20"/>
        <v>0-120 DAYS</v>
      </c>
      <c r="J323" s="37" t="str">
        <f t="shared" si="18"/>
        <v>0-180 DAYS</v>
      </c>
      <c r="K323" t="s">
        <v>1730</v>
      </c>
      <c r="L323" s="66" t="s">
        <v>3506</v>
      </c>
      <c r="M323" s="66">
        <v>3449596.36</v>
      </c>
    </row>
    <row r="324" spans="1:13" hidden="1" x14ac:dyDescent="0.35">
      <c r="A324" s="2" t="s">
        <v>1085</v>
      </c>
      <c r="B324" s="2" t="s">
        <v>790</v>
      </c>
      <c r="C324" s="18" t="s">
        <v>588</v>
      </c>
      <c r="D324" t="s">
        <v>507</v>
      </c>
      <c r="E324" s="18" t="s">
        <v>3462</v>
      </c>
      <c r="F324" s="19">
        <v>45698</v>
      </c>
      <c r="G324" s="97">
        <v>3605931.03</v>
      </c>
      <c r="H324" s="37">
        <f t="shared" si="16"/>
        <v>50</v>
      </c>
      <c r="I324" s="37" t="str">
        <f t="shared" si="20"/>
        <v>0-120 DAYS</v>
      </c>
      <c r="J324" s="37" t="str">
        <f t="shared" si="18"/>
        <v>0-180 DAYS</v>
      </c>
      <c r="K324" t="s">
        <v>1730</v>
      </c>
      <c r="L324" s="66" t="s">
        <v>3513</v>
      </c>
      <c r="M324" s="66">
        <v>3605931.03</v>
      </c>
    </row>
    <row r="325" spans="1:13" hidden="1" x14ac:dyDescent="0.35">
      <c r="A325" s="2" t="s">
        <v>1209</v>
      </c>
      <c r="B325" s="2" t="s">
        <v>789</v>
      </c>
      <c r="C325" s="18" t="s">
        <v>506</v>
      </c>
      <c r="D325" t="s">
        <v>507</v>
      </c>
      <c r="E325" s="18" t="s">
        <v>3463</v>
      </c>
      <c r="F325" s="19">
        <v>45702</v>
      </c>
      <c r="G325" s="97">
        <v>2253903.4900000002</v>
      </c>
      <c r="H325" s="37">
        <f t="shared" si="16"/>
        <v>46</v>
      </c>
      <c r="I325" s="37" t="str">
        <f>IF(H325&lt;91,"1-90 DAYS",IF(H325&lt;121,"91-120DAYS",IF(H325&lt;181,"121-180 DAYS","More than 180 Days")))</f>
        <v>1-90 DAYS</v>
      </c>
      <c r="J325" s="37" t="str">
        <f t="shared" si="18"/>
        <v>0-180 DAYS</v>
      </c>
      <c r="L325" s="66" t="s">
        <v>3508</v>
      </c>
      <c r="M325" s="66">
        <v>2253903.4900000002</v>
      </c>
    </row>
    <row r="326" spans="1:13" hidden="1" x14ac:dyDescent="0.35">
      <c r="A326" s="2" t="s">
        <v>1209</v>
      </c>
      <c r="B326" s="2" t="s">
        <v>789</v>
      </c>
      <c r="C326" s="18" t="s">
        <v>506</v>
      </c>
      <c r="D326" t="s">
        <v>507</v>
      </c>
      <c r="E326" s="18" t="s">
        <v>3464</v>
      </c>
      <c r="F326" s="19">
        <v>45702</v>
      </c>
      <c r="G326" s="97">
        <v>248789.98</v>
      </c>
      <c r="H326" s="37">
        <f t="shared" si="16"/>
        <v>46</v>
      </c>
      <c r="I326" s="37" t="str">
        <f>IF(H326&lt;91,"1-90 DAYS",IF(H326&lt;121,"91-120DAYS",IF(H326&lt;181,"121-180 DAYS","More than 180 Days")))</f>
        <v>1-90 DAYS</v>
      </c>
      <c r="J326" s="37" t="str">
        <f t="shared" si="18"/>
        <v>0-180 DAYS</v>
      </c>
      <c r="L326" s="66" t="s">
        <v>3508</v>
      </c>
      <c r="M326" s="66">
        <v>248789.98</v>
      </c>
    </row>
    <row r="327" spans="1:13" hidden="1" x14ac:dyDescent="0.35">
      <c r="A327" s="2" t="s">
        <v>1085</v>
      </c>
      <c r="B327" s="2" t="s">
        <v>790</v>
      </c>
      <c r="C327" s="18" t="s">
        <v>650</v>
      </c>
      <c r="D327" t="s">
        <v>507</v>
      </c>
      <c r="E327" s="18" t="s">
        <v>3465</v>
      </c>
      <c r="F327" s="19">
        <v>45704</v>
      </c>
      <c r="G327" s="97">
        <v>2700432</v>
      </c>
      <c r="H327" s="37">
        <f t="shared" si="16"/>
        <v>44</v>
      </c>
      <c r="I327" s="37" t="str">
        <f t="shared" si="20"/>
        <v>0-120 DAYS</v>
      </c>
      <c r="J327" s="37" t="str">
        <f t="shared" si="18"/>
        <v>0-180 DAYS</v>
      </c>
      <c r="K327" t="s">
        <v>1730</v>
      </c>
      <c r="L327" s="66" t="s">
        <v>3518</v>
      </c>
      <c r="M327" s="66">
        <v>2700432</v>
      </c>
    </row>
    <row r="328" spans="1:13" hidden="1" x14ac:dyDescent="0.35">
      <c r="A328" s="2" t="s">
        <v>1085</v>
      </c>
      <c r="B328" s="2" t="s">
        <v>790</v>
      </c>
      <c r="C328" s="18" t="s">
        <v>570</v>
      </c>
      <c r="D328" t="s">
        <v>507</v>
      </c>
      <c r="E328" s="18" t="s">
        <v>3466</v>
      </c>
      <c r="F328" s="19">
        <v>45706</v>
      </c>
      <c r="G328" s="97">
        <v>3287664</v>
      </c>
      <c r="H328" s="37">
        <f t="shared" si="16"/>
        <v>42</v>
      </c>
      <c r="I328" s="37" t="str">
        <f t="shared" si="20"/>
        <v>0-120 DAYS</v>
      </c>
      <c r="J328" s="37" t="str">
        <f t="shared" si="18"/>
        <v>0-180 DAYS</v>
      </c>
      <c r="K328" t="s">
        <v>1730</v>
      </c>
      <c r="L328" s="66" t="s">
        <v>3520</v>
      </c>
      <c r="M328" s="66">
        <v>3287664</v>
      </c>
    </row>
    <row r="329" spans="1:13" hidden="1" x14ac:dyDescent="0.35">
      <c r="A329" s="2" t="s">
        <v>1085</v>
      </c>
      <c r="B329" s="2" t="s">
        <v>790</v>
      </c>
      <c r="C329" s="18" t="s">
        <v>570</v>
      </c>
      <c r="D329" t="s">
        <v>507</v>
      </c>
      <c r="E329" s="18" t="s">
        <v>3467</v>
      </c>
      <c r="F329" s="19">
        <v>45706</v>
      </c>
      <c r="G329" s="97">
        <v>3364653.6</v>
      </c>
      <c r="H329" s="37">
        <f t="shared" si="16"/>
        <v>42</v>
      </c>
      <c r="I329" s="37" t="str">
        <f t="shared" si="20"/>
        <v>0-120 DAYS</v>
      </c>
      <c r="J329" s="37" t="str">
        <f t="shared" si="18"/>
        <v>0-180 DAYS</v>
      </c>
      <c r="K329" t="s">
        <v>1730</v>
      </c>
      <c r="L329" s="66" t="s">
        <v>3520</v>
      </c>
      <c r="M329" s="66">
        <v>3364653.6</v>
      </c>
    </row>
    <row r="330" spans="1:13" hidden="1" x14ac:dyDescent="0.35">
      <c r="A330" s="2" t="s">
        <v>1085</v>
      </c>
      <c r="B330" s="2" t="s">
        <v>790</v>
      </c>
      <c r="C330" s="18" t="s">
        <v>1086</v>
      </c>
      <c r="D330" t="s">
        <v>507</v>
      </c>
      <c r="E330" s="18" t="s">
        <v>3468</v>
      </c>
      <c r="F330" s="19">
        <v>45706</v>
      </c>
      <c r="G330" s="97">
        <v>1617232.44</v>
      </c>
      <c r="H330" s="37">
        <f t="shared" si="16"/>
        <v>42</v>
      </c>
      <c r="I330" s="37" t="str">
        <f t="shared" si="20"/>
        <v>0-120 DAYS</v>
      </c>
      <c r="J330" s="37" t="str">
        <f t="shared" si="18"/>
        <v>0-180 DAYS</v>
      </c>
      <c r="K330" t="s">
        <v>1730</v>
      </c>
      <c r="L330" s="66" t="s">
        <v>3520</v>
      </c>
      <c r="M330" s="66">
        <v>1617232.44</v>
      </c>
    </row>
    <row r="331" spans="1:13" hidden="1" x14ac:dyDescent="0.35">
      <c r="A331" s="2" t="s">
        <v>1085</v>
      </c>
      <c r="B331" s="2" t="s">
        <v>790</v>
      </c>
      <c r="C331" s="18" t="s">
        <v>1086</v>
      </c>
      <c r="D331" t="s">
        <v>507</v>
      </c>
      <c r="E331" s="18" t="s">
        <v>3469</v>
      </c>
      <c r="F331" s="19">
        <v>45706</v>
      </c>
      <c r="G331" s="97">
        <v>1389466.34</v>
      </c>
      <c r="H331" s="37">
        <f t="shared" si="16"/>
        <v>42</v>
      </c>
      <c r="I331" s="37" t="str">
        <f t="shared" si="20"/>
        <v>0-120 DAYS</v>
      </c>
      <c r="J331" s="37" t="str">
        <f t="shared" si="18"/>
        <v>0-180 DAYS</v>
      </c>
      <c r="K331" t="s">
        <v>1730</v>
      </c>
      <c r="L331" s="66" t="s">
        <v>3520</v>
      </c>
      <c r="M331" s="66">
        <v>1389466.34</v>
      </c>
    </row>
    <row r="332" spans="1:13" hidden="1" x14ac:dyDescent="0.35">
      <c r="A332" s="2" t="s">
        <v>1085</v>
      </c>
      <c r="B332" s="2" t="s">
        <v>790</v>
      </c>
      <c r="C332" s="18" t="s">
        <v>1086</v>
      </c>
      <c r="D332" t="s">
        <v>507</v>
      </c>
      <c r="E332" s="18" t="s">
        <v>3470</v>
      </c>
      <c r="F332" s="19">
        <v>45706</v>
      </c>
      <c r="G332" s="97">
        <v>1769510.59</v>
      </c>
      <c r="H332" s="37">
        <f t="shared" ref="H332:H395" si="21">$H$9-F332+1</f>
        <v>42</v>
      </c>
      <c r="I332" s="37" t="str">
        <f t="shared" si="20"/>
        <v>0-120 DAYS</v>
      </c>
      <c r="J332" s="37" t="str">
        <f t="shared" si="18"/>
        <v>0-180 DAYS</v>
      </c>
      <c r="K332" t="s">
        <v>1730</v>
      </c>
      <c r="L332" s="66" t="s">
        <v>3520</v>
      </c>
      <c r="M332" s="66">
        <v>1769510.59</v>
      </c>
    </row>
    <row r="333" spans="1:13" hidden="1" x14ac:dyDescent="0.35">
      <c r="A333" s="2" t="s">
        <v>1085</v>
      </c>
      <c r="B333" s="2" t="s">
        <v>790</v>
      </c>
      <c r="C333" s="18" t="s">
        <v>1086</v>
      </c>
      <c r="D333" t="s">
        <v>507</v>
      </c>
      <c r="E333" s="18" t="s">
        <v>3471</v>
      </c>
      <c r="F333" s="19">
        <v>45706</v>
      </c>
      <c r="G333" s="97">
        <v>119108.46</v>
      </c>
      <c r="H333" s="37">
        <f t="shared" si="21"/>
        <v>42</v>
      </c>
      <c r="I333" s="37" t="str">
        <f t="shared" si="20"/>
        <v>0-120 DAYS</v>
      </c>
      <c r="J333" s="37" t="str">
        <f t="shared" si="18"/>
        <v>0-180 DAYS</v>
      </c>
      <c r="K333" t="s">
        <v>1730</v>
      </c>
      <c r="L333" s="66" t="s">
        <v>3520</v>
      </c>
      <c r="M333" s="66">
        <v>119108.46</v>
      </c>
    </row>
    <row r="334" spans="1:13" hidden="1" x14ac:dyDescent="0.35">
      <c r="A334" s="2" t="s">
        <v>1085</v>
      </c>
      <c r="B334" s="2" t="s">
        <v>790</v>
      </c>
      <c r="C334" s="18" t="s">
        <v>650</v>
      </c>
      <c r="D334" t="s">
        <v>507</v>
      </c>
      <c r="E334" s="18" t="s">
        <v>3472</v>
      </c>
      <c r="F334" s="19">
        <v>45706</v>
      </c>
      <c r="G334" s="97">
        <v>3532100.76</v>
      </c>
      <c r="H334" s="37">
        <f t="shared" si="21"/>
        <v>42</v>
      </c>
      <c r="I334" s="37" t="str">
        <f t="shared" si="20"/>
        <v>0-120 DAYS</v>
      </c>
      <c r="J334" s="37" t="str">
        <f t="shared" ref="J334:J397" si="22">IF(H334&lt;180,"0-180 DAYS","More than 180 Days")</f>
        <v>0-180 DAYS</v>
      </c>
      <c r="K334" t="s">
        <v>1730</v>
      </c>
      <c r="L334" s="66" t="s">
        <v>3520</v>
      </c>
      <c r="M334" s="66">
        <v>3532100.76</v>
      </c>
    </row>
    <row r="335" spans="1:13" hidden="1" x14ac:dyDescent="0.35">
      <c r="A335" s="2" t="s">
        <v>1085</v>
      </c>
      <c r="B335" s="2" t="s">
        <v>790</v>
      </c>
      <c r="C335" s="18" t="s">
        <v>1249</v>
      </c>
      <c r="D335" t="s">
        <v>507</v>
      </c>
      <c r="E335" s="18" t="s">
        <v>3473</v>
      </c>
      <c r="F335" s="19">
        <v>45707</v>
      </c>
      <c r="G335" s="97">
        <v>3771450</v>
      </c>
      <c r="H335" s="37">
        <f t="shared" si="21"/>
        <v>41</v>
      </c>
      <c r="I335" s="37" t="str">
        <f t="shared" si="20"/>
        <v>0-120 DAYS</v>
      </c>
      <c r="J335" s="37" t="str">
        <f t="shared" si="22"/>
        <v>0-180 DAYS</v>
      </c>
      <c r="K335" t="s">
        <v>1730</v>
      </c>
      <c r="L335" s="66" t="s">
        <v>3521</v>
      </c>
      <c r="M335" s="66">
        <v>3771450</v>
      </c>
    </row>
    <row r="336" spans="1:13" hidden="1" x14ac:dyDescent="0.35">
      <c r="A336" s="2" t="s">
        <v>1085</v>
      </c>
      <c r="B336" s="2" t="s">
        <v>790</v>
      </c>
      <c r="C336" s="18" t="s">
        <v>588</v>
      </c>
      <c r="D336" t="s">
        <v>507</v>
      </c>
      <c r="E336" s="18" t="s">
        <v>3474</v>
      </c>
      <c r="F336" s="19">
        <v>45707</v>
      </c>
      <c r="G336" s="97">
        <v>3596580.44</v>
      </c>
      <c r="H336" s="37">
        <f t="shared" si="21"/>
        <v>41</v>
      </c>
      <c r="I336" s="37" t="str">
        <f t="shared" si="20"/>
        <v>0-120 DAYS</v>
      </c>
      <c r="J336" s="37" t="str">
        <f t="shared" si="22"/>
        <v>0-180 DAYS</v>
      </c>
      <c r="K336" t="s">
        <v>1730</v>
      </c>
      <c r="L336" s="66" t="s">
        <v>3521</v>
      </c>
      <c r="M336" s="66">
        <v>3596580.44</v>
      </c>
    </row>
    <row r="337" spans="1:13" hidden="1" x14ac:dyDescent="0.35">
      <c r="A337" s="2" t="s">
        <v>1085</v>
      </c>
      <c r="B337" s="2" t="s">
        <v>790</v>
      </c>
      <c r="C337" s="18" t="s">
        <v>526</v>
      </c>
      <c r="D337" t="s">
        <v>507</v>
      </c>
      <c r="E337" s="18" t="s">
        <v>3475</v>
      </c>
      <c r="F337" s="19">
        <v>45711</v>
      </c>
      <c r="G337" s="97">
        <f>5912254.56-3187735</f>
        <v>2724519.5599999996</v>
      </c>
      <c r="H337" s="37">
        <f t="shared" si="21"/>
        <v>37</v>
      </c>
      <c r="I337" s="37" t="str">
        <f t="shared" si="20"/>
        <v>0-120 DAYS</v>
      </c>
      <c r="J337" s="37" t="str">
        <f t="shared" si="22"/>
        <v>0-180 DAYS</v>
      </c>
      <c r="K337" t="s">
        <v>1730</v>
      </c>
      <c r="L337" s="66" t="s">
        <v>3507</v>
      </c>
      <c r="M337" s="66">
        <v>2724519.56</v>
      </c>
    </row>
    <row r="338" spans="1:13" hidden="1" x14ac:dyDescent="0.35">
      <c r="A338" s="2" t="s">
        <v>1085</v>
      </c>
      <c r="B338" s="2" t="s">
        <v>790</v>
      </c>
      <c r="C338" s="18" t="s">
        <v>1249</v>
      </c>
      <c r="D338" t="s">
        <v>507</v>
      </c>
      <c r="E338" s="18" t="s">
        <v>3476</v>
      </c>
      <c r="F338" s="19">
        <v>45714</v>
      </c>
      <c r="G338" s="97">
        <v>3373160</v>
      </c>
      <c r="H338" s="37">
        <f t="shared" si="21"/>
        <v>34</v>
      </c>
      <c r="I338" s="37" t="str">
        <f t="shared" si="20"/>
        <v>0-120 DAYS</v>
      </c>
      <c r="J338" s="37" t="str">
        <f t="shared" si="22"/>
        <v>0-180 DAYS</v>
      </c>
      <c r="K338" t="s">
        <v>1730</v>
      </c>
      <c r="L338" s="66" t="s">
        <v>3527</v>
      </c>
      <c r="M338" s="66">
        <v>3373160</v>
      </c>
    </row>
    <row r="339" spans="1:13" hidden="1" x14ac:dyDescent="0.35">
      <c r="A339" s="2" t="s">
        <v>1085</v>
      </c>
      <c r="B339" s="2" t="s">
        <v>790</v>
      </c>
      <c r="C339" s="18" t="s">
        <v>653</v>
      </c>
      <c r="D339" t="s">
        <v>507</v>
      </c>
      <c r="E339" s="18" t="s">
        <v>3477</v>
      </c>
      <c r="F339" s="19">
        <v>45714</v>
      </c>
      <c r="G339" s="97">
        <v>3290100.46</v>
      </c>
      <c r="H339" s="37">
        <f t="shared" si="21"/>
        <v>34</v>
      </c>
      <c r="I339" s="37" t="str">
        <f t="shared" si="20"/>
        <v>0-120 DAYS</v>
      </c>
      <c r="J339" s="37" t="str">
        <f t="shared" si="22"/>
        <v>0-180 DAYS</v>
      </c>
      <c r="K339" t="s">
        <v>1730</v>
      </c>
      <c r="L339" s="66" t="s">
        <v>3527</v>
      </c>
      <c r="M339" s="66">
        <v>3290100.46</v>
      </c>
    </row>
    <row r="340" spans="1:13" hidden="1" x14ac:dyDescent="0.35">
      <c r="A340" s="2" t="s">
        <v>1085</v>
      </c>
      <c r="B340" s="2" t="s">
        <v>790</v>
      </c>
      <c r="C340" s="18" t="s">
        <v>551</v>
      </c>
      <c r="D340" t="s">
        <v>507</v>
      </c>
      <c r="E340" s="18" t="s">
        <v>3478</v>
      </c>
      <c r="F340" s="19">
        <v>45715</v>
      </c>
      <c r="G340" s="97">
        <v>3094867.56</v>
      </c>
      <c r="H340" s="37">
        <f t="shared" si="21"/>
        <v>33</v>
      </c>
      <c r="I340" s="37" t="str">
        <f t="shared" si="20"/>
        <v>0-120 DAYS</v>
      </c>
      <c r="J340" s="37" t="str">
        <f t="shared" si="22"/>
        <v>0-180 DAYS</v>
      </c>
      <c r="K340" t="s">
        <v>1730</v>
      </c>
      <c r="L340" s="66" t="s">
        <v>3528</v>
      </c>
      <c r="M340" s="66">
        <v>3094867.56</v>
      </c>
    </row>
    <row r="341" spans="1:13" hidden="1" x14ac:dyDescent="0.35">
      <c r="A341" s="2" t="s">
        <v>1085</v>
      </c>
      <c r="B341" s="2" t="s">
        <v>790</v>
      </c>
      <c r="C341" s="18" t="s">
        <v>538</v>
      </c>
      <c r="D341" t="s">
        <v>507</v>
      </c>
      <c r="E341" s="18" t="s">
        <v>3479</v>
      </c>
      <c r="F341" s="19">
        <v>45715</v>
      </c>
      <c r="G341" s="97">
        <v>3252012</v>
      </c>
      <c r="H341" s="37">
        <f t="shared" si="21"/>
        <v>33</v>
      </c>
      <c r="I341" s="37" t="str">
        <f t="shared" si="20"/>
        <v>0-120 DAYS</v>
      </c>
      <c r="J341" s="37" t="str">
        <f t="shared" si="22"/>
        <v>0-180 DAYS</v>
      </c>
      <c r="K341" t="s">
        <v>1730</v>
      </c>
      <c r="L341" s="66" t="s">
        <v>3528</v>
      </c>
      <c r="M341" s="66">
        <v>3252012</v>
      </c>
    </row>
    <row r="342" spans="1:13" hidden="1" x14ac:dyDescent="0.35">
      <c r="A342" s="2" t="s">
        <v>1085</v>
      </c>
      <c r="B342" s="2" t="s">
        <v>790</v>
      </c>
      <c r="C342" s="18" t="s">
        <v>650</v>
      </c>
      <c r="D342" t="s">
        <v>507</v>
      </c>
      <c r="E342" s="18" t="s">
        <v>3480</v>
      </c>
      <c r="F342" s="19">
        <v>45715</v>
      </c>
      <c r="G342" s="97">
        <v>4133844.51</v>
      </c>
      <c r="H342" s="37">
        <f t="shared" si="21"/>
        <v>33</v>
      </c>
      <c r="I342" s="37" t="str">
        <f t="shared" si="20"/>
        <v>0-120 DAYS</v>
      </c>
      <c r="J342" s="37" t="str">
        <f t="shared" si="22"/>
        <v>0-180 DAYS</v>
      </c>
      <c r="K342" t="s">
        <v>1730</v>
      </c>
      <c r="L342" s="66" t="s">
        <v>3528</v>
      </c>
      <c r="M342" s="66">
        <v>4133844.51</v>
      </c>
    </row>
    <row r="343" spans="1:13" hidden="1" x14ac:dyDescent="0.35">
      <c r="A343" s="2" t="s">
        <v>1085</v>
      </c>
      <c r="B343" s="2" t="s">
        <v>790</v>
      </c>
      <c r="C343" s="18" t="s">
        <v>588</v>
      </c>
      <c r="D343" t="s">
        <v>507</v>
      </c>
      <c r="E343" s="18" t="s">
        <v>3481</v>
      </c>
      <c r="F343" s="19">
        <v>45689</v>
      </c>
      <c r="G343" s="97">
        <v>3657707.62</v>
      </c>
      <c r="H343" s="37">
        <f t="shared" si="21"/>
        <v>59</v>
      </c>
      <c r="I343" s="37" t="str">
        <f t="shared" si="20"/>
        <v>0-120 DAYS</v>
      </c>
      <c r="J343" s="37" t="str">
        <f t="shared" si="22"/>
        <v>0-180 DAYS</v>
      </c>
      <c r="K343" t="s">
        <v>1730</v>
      </c>
      <c r="L343" s="66" t="s">
        <v>3509</v>
      </c>
      <c r="M343" s="66">
        <v>3657707.62</v>
      </c>
    </row>
    <row r="344" spans="1:13" hidden="1" x14ac:dyDescent="0.35">
      <c r="A344" s="2" t="s">
        <v>1085</v>
      </c>
      <c r="B344" s="2" t="s">
        <v>790</v>
      </c>
      <c r="C344" s="18" t="s">
        <v>1247</v>
      </c>
      <c r="D344" t="s">
        <v>507</v>
      </c>
      <c r="E344" s="18" t="s">
        <v>3482</v>
      </c>
      <c r="F344" s="19">
        <v>45691</v>
      </c>
      <c r="G344" s="97">
        <v>4108132.84</v>
      </c>
      <c r="H344" s="37">
        <f t="shared" si="21"/>
        <v>57</v>
      </c>
      <c r="I344" s="37" t="str">
        <f t="shared" si="20"/>
        <v>0-120 DAYS</v>
      </c>
      <c r="J344" s="37" t="str">
        <f t="shared" si="22"/>
        <v>0-180 DAYS</v>
      </c>
      <c r="K344" t="s">
        <v>1730</v>
      </c>
      <c r="L344" s="66" t="s">
        <v>3510</v>
      </c>
      <c r="M344" s="66">
        <v>4108132.84</v>
      </c>
    </row>
    <row r="345" spans="1:13" hidden="1" x14ac:dyDescent="0.35">
      <c r="A345" s="2" t="s">
        <v>1085</v>
      </c>
      <c r="B345" s="2" t="s">
        <v>790</v>
      </c>
      <c r="C345" s="18" t="s">
        <v>2066</v>
      </c>
      <c r="D345" t="s">
        <v>507</v>
      </c>
      <c r="E345" s="18" t="s">
        <v>3483</v>
      </c>
      <c r="F345" s="19">
        <v>45692</v>
      </c>
      <c r="G345" s="97">
        <v>4303465.0599999996</v>
      </c>
      <c r="H345" s="37">
        <f t="shared" si="21"/>
        <v>56</v>
      </c>
      <c r="I345" s="37" t="str">
        <f t="shared" si="20"/>
        <v>0-120 DAYS</v>
      </c>
      <c r="J345" s="37" t="str">
        <f t="shared" si="22"/>
        <v>0-180 DAYS</v>
      </c>
      <c r="K345" t="s">
        <v>1730</v>
      </c>
      <c r="L345" s="66" t="s">
        <v>3531</v>
      </c>
      <c r="M345" s="66">
        <v>4303465.0599999996</v>
      </c>
    </row>
    <row r="346" spans="1:13" hidden="1" x14ac:dyDescent="0.35">
      <c r="A346" s="2" t="s">
        <v>1085</v>
      </c>
      <c r="B346" s="2" t="s">
        <v>790</v>
      </c>
      <c r="C346" s="18" t="s">
        <v>814</v>
      </c>
      <c r="D346" t="s">
        <v>507</v>
      </c>
      <c r="E346" s="18" t="s">
        <v>3484</v>
      </c>
      <c r="F346" s="19">
        <v>45695</v>
      </c>
      <c r="G346" s="97">
        <v>16468.52</v>
      </c>
      <c r="H346" s="37">
        <f t="shared" si="21"/>
        <v>53</v>
      </c>
      <c r="I346" s="37" t="str">
        <f t="shared" si="20"/>
        <v>0-120 DAYS</v>
      </c>
      <c r="J346" s="37" t="str">
        <f t="shared" si="22"/>
        <v>0-180 DAYS</v>
      </c>
      <c r="K346" t="s">
        <v>1730</v>
      </c>
      <c r="L346" s="66" t="s">
        <v>3511</v>
      </c>
      <c r="M346" s="66">
        <v>16468.52</v>
      </c>
    </row>
    <row r="347" spans="1:13" hidden="1" x14ac:dyDescent="0.35">
      <c r="A347" s="2" t="s">
        <v>1085</v>
      </c>
      <c r="B347" s="2" t="s">
        <v>790</v>
      </c>
      <c r="C347" s="18" t="s">
        <v>584</v>
      </c>
      <c r="D347" t="s">
        <v>507</v>
      </c>
      <c r="E347" s="18" t="s">
        <v>3485</v>
      </c>
      <c r="F347" s="19">
        <v>45696</v>
      </c>
      <c r="G347" s="97">
        <v>3320460.01</v>
      </c>
      <c r="H347" s="37">
        <f t="shared" si="21"/>
        <v>52</v>
      </c>
      <c r="I347" s="37" t="str">
        <f t="shared" si="20"/>
        <v>0-120 DAYS</v>
      </c>
      <c r="J347" s="37" t="str">
        <f t="shared" si="22"/>
        <v>0-180 DAYS</v>
      </c>
      <c r="K347" t="s">
        <v>1730</v>
      </c>
      <c r="L347" s="66" t="s">
        <v>3512</v>
      </c>
      <c r="M347" s="66">
        <v>3320460.01</v>
      </c>
    </row>
    <row r="348" spans="1:13" hidden="1" x14ac:dyDescent="0.35">
      <c r="A348" s="2" t="s">
        <v>1085</v>
      </c>
      <c r="B348" s="2" t="s">
        <v>790</v>
      </c>
      <c r="C348" s="18" t="s">
        <v>588</v>
      </c>
      <c r="D348" t="s">
        <v>507</v>
      </c>
      <c r="E348" s="18" t="s">
        <v>3486</v>
      </c>
      <c r="F348" s="19">
        <v>45698</v>
      </c>
      <c r="G348" s="97">
        <v>3310968.96</v>
      </c>
      <c r="H348" s="37">
        <f t="shared" si="21"/>
        <v>50</v>
      </c>
      <c r="I348" s="37" t="str">
        <f t="shared" si="20"/>
        <v>0-120 DAYS</v>
      </c>
      <c r="J348" s="37" t="str">
        <f t="shared" si="22"/>
        <v>0-180 DAYS</v>
      </c>
      <c r="K348" t="s">
        <v>1730</v>
      </c>
      <c r="L348" s="66" t="s">
        <v>3513</v>
      </c>
      <c r="M348" s="66">
        <v>3310968.96</v>
      </c>
    </row>
    <row r="349" spans="1:13" hidden="1" x14ac:dyDescent="0.35">
      <c r="A349" s="2" t="s">
        <v>1085</v>
      </c>
      <c r="B349" s="2" t="s">
        <v>790</v>
      </c>
      <c r="C349" s="18" t="s">
        <v>678</v>
      </c>
      <c r="D349" t="s">
        <v>507</v>
      </c>
      <c r="E349" s="18" t="s">
        <v>3487</v>
      </c>
      <c r="F349" s="19">
        <v>45700</v>
      </c>
      <c r="G349" s="97">
        <f>3801028.01-1153149</f>
        <v>2647879.0099999998</v>
      </c>
      <c r="H349" s="37">
        <f t="shared" si="21"/>
        <v>48</v>
      </c>
      <c r="I349" s="37" t="str">
        <f t="shared" si="20"/>
        <v>0-120 DAYS</v>
      </c>
      <c r="J349" s="37" t="str">
        <f t="shared" si="22"/>
        <v>0-180 DAYS</v>
      </c>
      <c r="K349" t="s">
        <v>1730</v>
      </c>
      <c r="L349" s="66" t="s">
        <v>3515</v>
      </c>
      <c r="M349" s="66">
        <v>2647879.0099999998</v>
      </c>
    </row>
    <row r="350" spans="1:13" hidden="1" x14ac:dyDescent="0.35">
      <c r="A350" s="2" t="s">
        <v>1085</v>
      </c>
      <c r="B350" s="2" t="s">
        <v>790</v>
      </c>
      <c r="C350" s="18" t="s">
        <v>577</v>
      </c>
      <c r="D350" t="s">
        <v>507</v>
      </c>
      <c r="E350" s="18" t="s">
        <v>3488</v>
      </c>
      <c r="F350" s="19">
        <v>45706</v>
      </c>
      <c r="G350" s="97">
        <v>3370770.01</v>
      </c>
      <c r="H350" s="37">
        <f t="shared" si="21"/>
        <v>42</v>
      </c>
      <c r="I350" s="37" t="str">
        <f t="shared" si="20"/>
        <v>0-120 DAYS</v>
      </c>
      <c r="J350" s="37" t="str">
        <f t="shared" si="22"/>
        <v>0-180 DAYS</v>
      </c>
      <c r="K350" t="s">
        <v>1730</v>
      </c>
      <c r="L350" s="66" t="s">
        <v>3520</v>
      </c>
      <c r="M350" s="66">
        <v>3370770.01</v>
      </c>
    </row>
    <row r="351" spans="1:13" hidden="1" x14ac:dyDescent="0.35">
      <c r="A351" s="2" t="s">
        <v>1085</v>
      </c>
      <c r="B351" s="2" t="s">
        <v>790</v>
      </c>
      <c r="C351" s="18" t="s">
        <v>588</v>
      </c>
      <c r="D351" t="s">
        <v>507</v>
      </c>
      <c r="E351" s="18" t="s">
        <v>3489</v>
      </c>
      <c r="F351" s="19">
        <v>45706</v>
      </c>
      <c r="G351" s="97">
        <v>3818736.18</v>
      </c>
      <c r="H351" s="37">
        <f t="shared" si="21"/>
        <v>42</v>
      </c>
      <c r="I351" s="37" t="str">
        <f t="shared" si="20"/>
        <v>0-120 DAYS</v>
      </c>
      <c r="J351" s="37" t="str">
        <f t="shared" si="22"/>
        <v>0-180 DAYS</v>
      </c>
      <c r="K351" t="s">
        <v>1730</v>
      </c>
      <c r="L351" s="66" t="s">
        <v>3520</v>
      </c>
      <c r="M351" s="66">
        <v>3818736.18</v>
      </c>
    </row>
    <row r="352" spans="1:13" hidden="1" x14ac:dyDescent="0.35">
      <c r="A352" s="2" t="s">
        <v>1085</v>
      </c>
      <c r="B352" s="2" t="s">
        <v>790</v>
      </c>
      <c r="C352" s="18" t="s">
        <v>588</v>
      </c>
      <c r="D352" t="s">
        <v>507</v>
      </c>
      <c r="E352" s="18" t="s">
        <v>3490</v>
      </c>
      <c r="F352" s="19">
        <v>45706</v>
      </c>
      <c r="G352" s="97">
        <v>3675525.1200000001</v>
      </c>
      <c r="H352" s="37">
        <f t="shared" si="21"/>
        <v>42</v>
      </c>
      <c r="I352" s="37" t="str">
        <f t="shared" si="20"/>
        <v>0-120 DAYS</v>
      </c>
      <c r="J352" s="37" t="str">
        <f t="shared" si="22"/>
        <v>0-180 DAYS</v>
      </c>
      <c r="K352" t="s">
        <v>1730</v>
      </c>
      <c r="L352" s="66" t="s">
        <v>3520</v>
      </c>
      <c r="M352" s="66">
        <v>3675525.1200000001</v>
      </c>
    </row>
    <row r="353" spans="1:13" hidden="1" x14ac:dyDescent="0.35">
      <c r="A353" s="2" t="s">
        <v>1085</v>
      </c>
      <c r="B353" s="2" t="s">
        <v>790</v>
      </c>
      <c r="C353" s="18" t="s">
        <v>588</v>
      </c>
      <c r="D353" t="s">
        <v>507</v>
      </c>
      <c r="E353" s="18" t="s">
        <v>3491</v>
      </c>
      <c r="F353" s="19">
        <v>45706</v>
      </c>
      <c r="G353" s="97">
        <v>3310968.96</v>
      </c>
      <c r="H353" s="37">
        <f t="shared" si="21"/>
        <v>42</v>
      </c>
      <c r="I353" s="37" t="str">
        <f t="shared" si="20"/>
        <v>0-120 DAYS</v>
      </c>
      <c r="J353" s="37" t="str">
        <f t="shared" si="22"/>
        <v>0-180 DAYS</v>
      </c>
      <c r="K353" t="s">
        <v>1730</v>
      </c>
      <c r="L353" s="66" t="s">
        <v>3520</v>
      </c>
      <c r="M353" s="66">
        <v>3310968.96</v>
      </c>
    </row>
    <row r="354" spans="1:13" hidden="1" x14ac:dyDescent="0.35">
      <c r="A354" s="2" t="s">
        <v>1085</v>
      </c>
      <c r="B354" s="2" t="s">
        <v>790</v>
      </c>
      <c r="C354" s="18" t="s">
        <v>584</v>
      </c>
      <c r="D354" t="s">
        <v>507</v>
      </c>
      <c r="E354" s="18" t="s">
        <v>3492</v>
      </c>
      <c r="F354" s="19">
        <v>45707</v>
      </c>
      <c r="G354" s="97">
        <v>3530697.76</v>
      </c>
      <c r="H354" s="37">
        <f t="shared" si="21"/>
        <v>41</v>
      </c>
      <c r="I354" s="37" t="str">
        <f t="shared" si="20"/>
        <v>0-120 DAYS</v>
      </c>
      <c r="J354" s="37" t="str">
        <f t="shared" si="22"/>
        <v>0-180 DAYS</v>
      </c>
      <c r="K354" t="s">
        <v>1730</v>
      </c>
      <c r="L354" s="66" t="s">
        <v>3521</v>
      </c>
      <c r="M354" s="66">
        <v>3530697.76</v>
      </c>
    </row>
    <row r="355" spans="1:13" hidden="1" x14ac:dyDescent="0.35">
      <c r="A355" s="2" t="s">
        <v>1085</v>
      </c>
      <c r="B355" s="2" t="s">
        <v>790</v>
      </c>
      <c r="C355" s="18" t="s">
        <v>588</v>
      </c>
      <c r="D355" t="s">
        <v>507</v>
      </c>
      <c r="E355" s="18" t="s">
        <v>3493</v>
      </c>
      <c r="F355" s="19">
        <v>45712</v>
      </c>
      <c r="G355" s="97">
        <v>3399215.94</v>
      </c>
      <c r="H355" s="37">
        <f t="shared" si="21"/>
        <v>36</v>
      </c>
      <c r="I355" s="37" t="str">
        <f t="shared" si="20"/>
        <v>0-120 DAYS</v>
      </c>
      <c r="J355" s="37" t="str">
        <f t="shared" si="22"/>
        <v>0-180 DAYS</v>
      </c>
      <c r="K355" t="s">
        <v>1730</v>
      </c>
      <c r="L355" s="66" t="s">
        <v>3525</v>
      </c>
      <c r="M355" s="66">
        <v>3399215.94</v>
      </c>
    </row>
    <row r="356" spans="1:13" hidden="1" x14ac:dyDescent="0.35">
      <c r="A356" s="2" t="s">
        <v>1085</v>
      </c>
      <c r="B356" s="2" t="s">
        <v>790</v>
      </c>
      <c r="C356" s="18" t="s">
        <v>3425</v>
      </c>
      <c r="D356" t="s">
        <v>507</v>
      </c>
      <c r="E356" s="18" t="s">
        <v>3494</v>
      </c>
      <c r="F356" s="19">
        <v>45713</v>
      </c>
      <c r="G356" s="97">
        <v>3419971.2</v>
      </c>
      <c r="H356" s="37">
        <f t="shared" si="21"/>
        <v>35</v>
      </c>
      <c r="I356" s="37" t="str">
        <f t="shared" si="20"/>
        <v>0-120 DAYS</v>
      </c>
      <c r="J356" s="37" t="str">
        <f t="shared" si="22"/>
        <v>0-180 DAYS</v>
      </c>
      <c r="K356" t="s">
        <v>1730</v>
      </c>
      <c r="L356" s="66" t="s">
        <v>3526</v>
      </c>
      <c r="M356" s="66">
        <v>3419971.2</v>
      </c>
    </row>
    <row r="357" spans="1:13" hidden="1" x14ac:dyDescent="0.35">
      <c r="A357" s="2" t="s">
        <v>1085</v>
      </c>
      <c r="B357" s="2" t="s">
        <v>790</v>
      </c>
      <c r="C357" s="18" t="s">
        <v>588</v>
      </c>
      <c r="D357" t="s">
        <v>507</v>
      </c>
      <c r="E357" s="18" t="s">
        <v>3495</v>
      </c>
      <c r="F357" s="19">
        <v>45716</v>
      </c>
      <c r="G357" s="97">
        <v>3528919.1</v>
      </c>
      <c r="H357" s="37">
        <f t="shared" si="21"/>
        <v>32</v>
      </c>
      <c r="I357" s="37" t="str">
        <f t="shared" si="20"/>
        <v>0-120 DAYS</v>
      </c>
      <c r="J357" s="37" t="str">
        <f t="shared" si="22"/>
        <v>0-180 DAYS</v>
      </c>
      <c r="K357" t="s">
        <v>1730</v>
      </c>
      <c r="L357" s="66" t="s">
        <v>3529</v>
      </c>
      <c r="M357" s="66">
        <v>3528919.1</v>
      </c>
    </row>
    <row r="358" spans="1:13" hidden="1" x14ac:dyDescent="0.35">
      <c r="A358" s="2" t="s">
        <v>1085</v>
      </c>
      <c r="B358" s="2" t="s">
        <v>790</v>
      </c>
      <c r="C358" s="18" t="s">
        <v>588</v>
      </c>
      <c r="D358" t="s">
        <v>507</v>
      </c>
      <c r="E358" s="18" t="s">
        <v>3496</v>
      </c>
      <c r="F358" s="19">
        <v>45716</v>
      </c>
      <c r="G358" s="97">
        <v>3755772.72</v>
      </c>
      <c r="H358" s="37">
        <f t="shared" si="21"/>
        <v>32</v>
      </c>
      <c r="I358" s="37" t="str">
        <f t="shared" si="20"/>
        <v>0-120 DAYS</v>
      </c>
      <c r="J358" s="37" t="str">
        <f t="shared" si="22"/>
        <v>0-180 DAYS</v>
      </c>
      <c r="K358" t="s">
        <v>1730</v>
      </c>
      <c r="L358" s="66" t="s">
        <v>3529</v>
      </c>
      <c r="M358" s="66">
        <v>3755772.72</v>
      </c>
    </row>
    <row r="359" spans="1:13" hidden="1" x14ac:dyDescent="0.35">
      <c r="A359" s="2" t="s">
        <v>1085</v>
      </c>
      <c r="B359" s="2" t="s">
        <v>790</v>
      </c>
      <c r="C359" s="18" t="s">
        <v>647</v>
      </c>
      <c r="D359" t="s">
        <v>507</v>
      </c>
      <c r="E359" s="18" t="s">
        <v>3497</v>
      </c>
      <c r="F359" s="19">
        <v>45693</v>
      </c>
      <c r="G359" s="97">
        <v>3873744.74</v>
      </c>
      <c r="H359" s="37">
        <f t="shared" si="21"/>
        <v>55</v>
      </c>
      <c r="I359" s="37" t="str">
        <f t="shared" si="20"/>
        <v>0-120 DAYS</v>
      </c>
      <c r="J359" s="37" t="str">
        <f t="shared" si="22"/>
        <v>0-180 DAYS</v>
      </c>
      <c r="K359" t="s">
        <v>1730</v>
      </c>
      <c r="L359" s="66" t="s">
        <v>3532</v>
      </c>
      <c r="M359" s="66">
        <v>3873744.74</v>
      </c>
    </row>
    <row r="360" spans="1:13" hidden="1" x14ac:dyDescent="0.35">
      <c r="A360" s="2" t="s">
        <v>1085</v>
      </c>
      <c r="B360" s="2" t="s">
        <v>790</v>
      </c>
      <c r="C360" s="18" t="s">
        <v>573</v>
      </c>
      <c r="D360" t="s">
        <v>507</v>
      </c>
      <c r="E360" s="18" t="s">
        <v>3498</v>
      </c>
      <c r="F360" s="19">
        <v>45699</v>
      </c>
      <c r="G360" s="97">
        <v>4091275.71</v>
      </c>
      <c r="H360" s="37">
        <f t="shared" si="21"/>
        <v>49</v>
      </c>
      <c r="I360" s="37" t="str">
        <f t="shared" si="20"/>
        <v>0-120 DAYS</v>
      </c>
      <c r="J360" s="37" t="str">
        <f t="shared" si="22"/>
        <v>0-180 DAYS</v>
      </c>
      <c r="K360" t="s">
        <v>1730</v>
      </c>
      <c r="L360" s="66" t="s">
        <v>3514</v>
      </c>
      <c r="M360" s="66">
        <v>4091275.71</v>
      </c>
    </row>
    <row r="361" spans="1:13" hidden="1" x14ac:dyDescent="0.35">
      <c r="A361" s="2" t="s">
        <v>1085</v>
      </c>
      <c r="B361" s="2" t="s">
        <v>790</v>
      </c>
      <c r="C361" s="18" t="s">
        <v>573</v>
      </c>
      <c r="D361" t="s">
        <v>507</v>
      </c>
      <c r="E361" s="18" t="s">
        <v>1204</v>
      </c>
      <c r="F361" s="19">
        <v>45703</v>
      </c>
      <c r="G361" s="97">
        <v>3785100.92</v>
      </c>
      <c r="H361" s="37">
        <f t="shared" si="21"/>
        <v>45</v>
      </c>
      <c r="I361" s="37" t="str">
        <f t="shared" si="20"/>
        <v>0-120 DAYS</v>
      </c>
      <c r="J361" s="37" t="str">
        <f t="shared" si="22"/>
        <v>0-180 DAYS</v>
      </c>
      <c r="K361" t="s">
        <v>1730</v>
      </c>
      <c r="L361" s="66" t="s">
        <v>3517</v>
      </c>
      <c r="M361" s="66">
        <v>3785100.92</v>
      </c>
    </row>
    <row r="362" spans="1:13" hidden="1" x14ac:dyDescent="0.35">
      <c r="A362" s="2" t="s">
        <v>1085</v>
      </c>
      <c r="B362" s="2" t="s">
        <v>790</v>
      </c>
      <c r="C362" s="18" t="s">
        <v>573</v>
      </c>
      <c r="D362" t="s">
        <v>507</v>
      </c>
      <c r="E362" s="18" t="s">
        <v>3499</v>
      </c>
      <c r="F362" s="19">
        <v>45707</v>
      </c>
      <c r="G362" s="97">
        <v>3856970.89</v>
      </c>
      <c r="H362" s="37">
        <f t="shared" si="21"/>
        <v>41</v>
      </c>
      <c r="I362" s="37" t="str">
        <f>IF(H362&lt;121,"0-120 DAYS",IF(H362&lt;181,"121-180 DAYS","More than 180 Days"))</f>
        <v>0-120 DAYS</v>
      </c>
      <c r="J362" s="37" t="str">
        <f t="shared" si="22"/>
        <v>0-180 DAYS</v>
      </c>
      <c r="K362" t="s">
        <v>1730</v>
      </c>
      <c r="L362" s="66" t="s">
        <v>3521</v>
      </c>
      <c r="M362" s="66">
        <v>3856970.89</v>
      </c>
    </row>
    <row r="363" spans="1:13" hidden="1" x14ac:dyDescent="0.35">
      <c r="A363" s="2" t="s">
        <v>1085</v>
      </c>
      <c r="B363" s="2" t="s">
        <v>790</v>
      </c>
      <c r="C363" s="18" t="s">
        <v>573</v>
      </c>
      <c r="D363" t="s">
        <v>507</v>
      </c>
      <c r="E363" s="18" t="s">
        <v>3500</v>
      </c>
      <c r="F363" s="19">
        <v>45708</v>
      </c>
      <c r="G363" s="97">
        <v>3904205.17</v>
      </c>
      <c r="H363" s="37">
        <f t="shared" si="21"/>
        <v>40</v>
      </c>
      <c r="I363" s="37" t="str">
        <f>IF(H363&lt;121,"0-120 DAYS",IF(H363&lt;181,"121-180 DAYS","More than 180 Days"))</f>
        <v>0-120 DAYS</v>
      </c>
      <c r="J363" s="37" t="str">
        <f t="shared" si="22"/>
        <v>0-180 DAYS</v>
      </c>
      <c r="K363" t="s">
        <v>1730</v>
      </c>
      <c r="L363" s="66" t="s">
        <v>3522</v>
      </c>
      <c r="M363" s="66">
        <v>3904205.17</v>
      </c>
    </row>
    <row r="364" spans="1:13" hidden="1" x14ac:dyDescent="0.35">
      <c r="A364" s="2" t="s">
        <v>1085</v>
      </c>
      <c r="B364" s="2" t="s">
        <v>790</v>
      </c>
      <c r="C364" s="18" t="s">
        <v>573</v>
      </c>
      <c r="D364" t="s">
        <v>507</v>
      </c>
      <c r="E364" s="18" t="s">
        <v>3501</v>
      </c>
      <c r="F364" s="19">
        <v>45709</v>
      </c>
      <c r="G364" s="97">
        <v>3993796.49</v>
      </c>
      <c r="H364" s="37">
        <f t="shared" si="21"/>
        <v>39</v>
      </c>
      <c r="I364" s="37" t="str">
        <f>IF(H364&lt;121,"0-120 DAYS",IF(H364&lt;181,"121-180 DAYS","More than 180 Days"))</f>
        <v>0-120 DAYS</v>
      </c>
      <c r="J364" s="37" t="str">
        <f t="shared" si="22"/>
        <v>0-180 DAYS</v>
      </c>
      <c r="K364" t="s">
        <v>1730</v>
      </c>
      <c r="L364" s="66" t="s">
        <v>3523</v>
      </c>
      <c r="M364" s="66">
        <v>3993796.49</v>
      </c>
    </row>
    <row r="365" spans="1:13" hidden="1" x14ac:dyDescent="0.35">
      <c r="A365" s="2" t="s">
        <v>1085</v>
      </c>
      <c r="B365" s="2" t="s">
        <v>790</v>
      </c>
      <c r="C365" s="18" t="s">
        <v>573</v>
      </c>
      <c r="D365" t="s">
        <v>507</v>
      </c>
      <c r="E365" s="18" t="s">
        <v>3502</v>
      </c>
      <c r="F365" s="19">
        <v>45710</v>
      </c>
      <c r="G365" s="97">
        <v>3608205.66</v>
      </c>
      <c r="H365" s="37">
        <f t="shared" si="21"/>
        <v>38</v>
      </c>
      <c r="I365" s="37" t="str">
        <f>IF(H365&lt;121,"0-120 DAYS",IF(H365&lt;181,"121-180 DAYS","More than 180 Days"))</f>
        <v>0-120 DAYS</v>
      </c>
      <c r="J365" s="37" t="str">
        <f t="shared" si="22"/>
        <v>0-180 DAYS</v>
      </c>
      <c r="K365" t="s">
        <v>1730</v>
      </c>
      <c r="L365" s="66" t="s">
        <v>3524</v>
      </c>
      <c r="M365" s="66">
        <v>3608205.66</v>
      </c>
    </row>
    <row r="366" spans="1:13" hidden="1" x14ac:dyDescent="0.35">
      <c r="A366" s="2" t="s">
        <v>1085</v>
      </c>
      <c r="B366" s="2" t="s">
        <v>790</v>
      </c>
      <c r="C366" s="18" t="s">
        <v>573</v>
      </c>
      <c r="D366" t="s">
        <v>507</v>
      </c>
      <c r="E366" s="18" t="s">
        <v>3503</v>
      </c>
      <c r="F366" s="19">
        <v>45710</v>
      </c>
      <c r="G366" s="97">
        <v>4580364.0599999996</v>
      </c>
      <c r="H366" s="37">
        <f t="shared" si="21"/>
        <v>38</v>
      </c>
      <c r="I366" s="37" t="str">
        <f>IF(H366&lt;121,"0-120 DAYS",IF(H366&lt;181,"121-180 DAYS","More than 180 Days"))</f>
        <v>0-120 DAYS</v>
      </c>
      <c r="J366" s="37" t="str">
        <f t="shared" si="22"/>
        <v>0-180 DAYS</v>
      </c>
      <c r="K366" t="s">
        <v>1730</v>
      </c>
      <c r="L366" s="66" t="s">
        <v>3524</v>
      </c>
      <c r="M366" s="66">
        <v>4580364.0599999996</v>
      </c>
    </row>
    <row r="367" spans="1:13" hidden="1" x14ac:dyDescent="0.35">
      <c r="A367" s="88" t="s">
        <v>477</v>
      </c>
      <c r="B367" s="2" t="s">
        <v>790</v>
      </c>
      <c r="C367" s="18" t="s">
        <v>2891</v>
      </c>
      <c r="D367" s="18" t="s">
        <v>2967</v>
      </c>
      <c r="E367" s="18" t="s">
        <v>3546</v>
      </c>
      <c r="F367" s="19">
        <v>45719</v>
      </c>
      <c r="G367" s="18">
        <f>1151680-4275</f>
        <v>1147405</v>
      </c>
      <c r="H367" s="37">
        <f t="shared" si="21"/>
        <v>29</v>
      </c>
      <c r="I367" s="37" t="str">
        <f t="shared" ref="I367:I430" si="23">IF(H367&lt;91,"1-90 DAYS",IF(H367&lt;121,"91-120DAYS",IF(H367&lt;181,"121-180 DAYS","More than 180 Days")))</f>
        <v>1-90 DAYS</v>
      </c>
      <c r="J367" s="37" t="str">
        <f t="shared" si="22"/>
        <v>0-180 DAYS</v>
      </c>
    </row>
    <row r="368" spans="1:13" hidden="1" x14ac:dyDescent="0.35">
      <c r="A368" s="88" t="s">
        <v>477</v>
      </c>
      <c r="B368" s="2" t="s">
        <v>790</v>
      </c>
      <c r="C368" s="18" t="s">
        <v>3536</v>
      </c>
      <c r="D368" s="18" t="s">
        <v>3541</v>
      </c>
      <c r="E368" s="18" t="s">
        <v>3547</v>
      </c>
      <c r="F368" s="19">
        <v>45721</v>
      </c>
      <c r="G368" s="18">
        <v>8725016.25</v>
      </c>
      <c r="H368" s="37">
        <f t="shared" si="21"/>
        <v>27</v>
      </c>
      <c r="I368" s="37" t="str">
        <f t="shared" si="23"/>
        <v>1-90 DAYS</v>
      </c>
      <c r="J368" s="37" t="str">
        <f t="shared" si="22"/>
        <v>0-180 DAYS</v>
      </c>
    </row>
    <row r="369" spans="1:10" hidden="1" x14ac:dyDescent="0.35">
      <c r="A369" s="88" t="s">
        <v>477</v>
      </c>
      <c r="B369" s="2" t="s">
        <v>790</v>
      </c>
      <c r="C369" s="18" t="s">
        <v>3536</v>
      </c>
      <c r="D369" s="18" t="s">
        <v>3541</v>
      </c>
      <c r="E369" s="18" t="s">
        <v>3548</v>
      </c>
      <c r="F369" s="19">
        <v>45722</v>
      </c>
      <c r="G369" s="18">
        <v>24965010</v>
      </c>
      <c r="H369" s="37">
        <f t="shared" si="21"/>
        <v>26</v>
      </c>
      <c r="I369" s="37" t="str">
        <f t="shared" si="23"/>
        <v>1-90 DAYS</v>
      </c>
      <c r="J369" s="37" t="str">
        <f t="shared" si="22"/>
        <v>0-180 DAYS</v>
      </c>
    </row>
    <row r="370" spans="1:10" hidden="1" x14ac:dyDescent="0.35">
      <c r="A370" s="88" t="s">
        <v>477</v>
      </c>
      <c r="B370" s="2" t="s">
        <v>790</v>
      </c>
      <c r="C370" s="18" t="s">
        <v>1087</v>
      </c>
      <c r="D370" s="18" t="s">
        <v>1088</v>
      </c>
      <c r="E370" s="18" t="s">
        <v>3549</v>
      </c>
      <c r="F370" s="19">
        <v>45726</v>
      </c>
      <c r="G370" s="18">
        <v>351931</v>
      </c>
      <c r="H370" s="37">
        <f t="shared" si="21"/>
        <v>22</v>
      </c>
      <c r="I370" s="37" t="str">
        <f t="shared" si="23"/>
        <v>1-90 DAYS</v>
      </c>
      <c r="J370" s="37" t="str">
        <f t="shared" si="22"/>
        <v>0-180 DAYS</v>
      </c>
    </row>
    <row r="371" spans="1:10" hidden="1" x14ac:dyDescent="0.35">
      <c r="A371" s="88" t="s">
        <v>477</v>
      </c>
      <c r="B371" s="2" t="s">
        <v>790</v>
      </c>
      <c r="C371" s="18" t="s">
        <v>3537</v>
      </c>
      <c r="D371" s="18" t="s">
        <v>3542</v>
      </c>
      <c r="E371" s="18" t="s">
        <v>3550</v>
      </c>
      <c r="F371" s="19">
        <v>45726</v>
      </c>
      <c r="G371" s="18">
        <v>424577.32</v>
      </c>
      <c r="H371" s="37">
        <f t="shared" si="21"/>
        <v>22</v>
      </c>
      <c r="I371" s="37" t="str">
        <f t="shared" si="23"/>
        <v>1-90 DAYS</v>
      </c>
      <c r="J371" s="37" t="str">
        <f t="shared" si="22"/>
        <v>0-180 DAYS</v>
      </c>
    </row>
    <row r="372" spans="1:10" hidden="1" x14ac:dyDescent="0.35">
      <c r="A372" s="88" t="s">
        <v>477</v>
      </c>
      <c r="B372" s="2" t="s">
        <v>790</v>
      </c>
      <c r="C372" s="18" t="s">
        <v>1087</v>
      </c>
      <c r="D372" s="18" t="s">
        <v>1088</v>
      </c>
      <c r="E372" s="18" t="s">
        <v>3551</v>
      </c>
      <c r="F372" s="19">
        <v>45727</v>
      </c>
      <c r="G372" s="18">
        <v>326583</v>
      </c>
      <c r="H372" s="37">
        <f t="shared" si="21"/>
        <v>21</v>
      </c>
      <c r="I372" s="37" t="str">
        <f t="shared" si="23"/>
        <v>1-90 DAYS</v>
      </c>
      <c r="J372" s="37" t="str">
        <f t="shared" si="22"/>
        <v>0-180 DAYS</v>
      </c>
    </row>
    <row r="373" spans="1:10" hidden="1" x14ac:dyDescent="0.35">
      <c r="A373" s="88" t="s">
        <v>477</v>
      </c>
      <c r="B373" s="2" t="s">
        <v>790</v>
      </c>
      <c r="C373" s="18" t="s">
        <v>3538</v>
      </c>
      <c r="D373" s="18" t="s">
        <v>3543</v>
      </c>
      <c r="E373" s="18" t="s">
        <v>3552</v>
      </c>
      <c r="F373" s="19">
        <v>45733</v>
      </c>
      <c r="G373" s="18">
        <v>12589403</v>
      </c>
      <c r="H373" s="37">
        <f t="shared" si="21"/>
        <v>15</v>
      </c>
      <c r="I373" s="37" t="str">
        <f t="shared" si="23"/>
        <v>1-90 DAYS</v>
      </c>
      <c r="J373" s="37" t="str">
        <f t="shared" si="22"/>
        <v>0-180 DAYS</v>
      </c>
    </row>
    <row r="374" spans="1:10" hidden="1" x14ac:dyDescent="0.35">
      <c r="A374" s="88" t="s">
        <v>477</v>
      </c>
      <c r="B374" s="2" t="s">
        <v>790</v>
      </c>
      <c r="C374" s="18" t="s">
        <v>2891</v>
      </c>
      <c r="D374" s="18" t="s">
        <v>2967</v>
      </c>
      <c r="E374" s="18" t="s">
        <v>3553</v>
      </c>
      <c r="F374" s="19">
        <v>45733</v>
      </c>
      <c r="G374" s="18">
        <v>1151680</v>
      </c>
      <c r="H374" s="37">
        <f t="shared" si="21"/>
        <v>15</v>
      </c>
      <c r="I374" s="37" t="str">
        <f t="shared" si="23"/>
        <v>1-90 DAYS</v>
      </c>
      <c r="J374" s="37" t="str">
        <f t="shared" si="22"/>
        <v>0-180 DAYS</v>
      </c>
    </row>
    <row r="375" spans="1:10" hidden="1" x14ac:dyDescent="0.35">
      <c r="A375" s="88" t="s">
        <v>477</v>
      </c>
      <c r="B375" s="2" t="s">
        <v>790</v>
      </c>
      <c r="C375" s="18" t="s">
        <v>2380</v>
      </c>
      <c r="D375" s="18" t="s">
        <v>1081</v>
      </c>
      <c r="E375" s="18" t="s">
        <v>3554</v>
      </c>
      <c r="F375" s="19">
        <v>45737</v>
      </c>
      <c r="G375" s="18">
        <v>599098.98</v>
      </c>
      <c r="H375" s="37">
        <f t="shared" si="21"/>
        <v>11</v>
      </c>
      <c r="I375" s="37" t="str">
        <f t="shared" si="23"/>
        <v>1-90 DAYS</v>
      </c>
      <c r="J375" s="37" t="str">
        <f t="shared" si="22"/>
        <v>0-180 DAYS</v>
      </c>
    </row>
    <row r="376" spans="1:10" hidden="1" x14ac:dyDescent="0.35">
      <c r="A376" s="88" t="s">
        <v>477</v>
      </c>
      <c r="B376" s="2" t="s">
        <v>790</v>
      </c>
      <c r="C376" s="18" t="s">
        <v>263</v>
      </c>
      <c r="D376" s="18" t="s">
        <v>264</v>
      </c>
      <c r="E376" s="18" t="s">
        <v>3555</v>
      </c>
      <c r="F376" s="19">
        <v>45717</v>
      </c>
      <c r="G376" s="18">
        <v>729558.19</v>
      </c>
      <c r="H376" s="37">
        <f t="shared" si="21"/>
        <v>31</v>
      </c>
      <c r="I376" s="37" t="str">
        <f t="shared" si="23"/>
        <v>1-90 DAYS</v>
      </c>
      <c r="J376" s="37" t="str">
        <f t="shared" si="22"/>
        <v>0-180 DAYS</v>
      </c>
    </row>
    <row r="377" spans="1:10" hidden="1" x14ac:dyDescent="0.35">
      <c r="A377" s="88" t="s">
        <v>477</v>
      </c>
      <c r="B377" s="2" t="s">
        <v>790</v>
      </c>
      <c r="C377" s="18" t="s">
        <v>2890</v>
      </c>
      <c r="D377" s="18" t="s">
        <v>2966</v>
      </c>
      <c r="E377" s="18" t="s">
        <v>292</v>
      </c>
      <c r="F377" s="19">
        <v>45720</v>
      </c>
      <c r="G377" s="18">
        <v>586224</v>
      </c>
      <c r="H377" s="37">
        <f t="shared" si="21"/>
        <v>28</v>
      </c>
      <c r="I377" s="37" t="str">
        <f t="shared" si="23"/>
        <v>1-90 DAYS</v>
      </c>
      <c r="J377" s="37" t="str">
        <f t="shared" si="22"/>
        <v>0-180 DAYS</v>
      </c>
    </row>
    <row r="378" spans="1:10" hidden="1" x14ac:dyDescent="0.35">
      <c r="A378" s="88" t="s">
        <v>477</v>
      </c>
      <c r="B378" s="2" t="s">
        <v>790</v>
      </c>
      <c r="C378" s="18" t="s">
        <v>2527</v>
      </c>
      <c r="D378" s="18" t="s">
        <v>2529</v>
      </c>
      <c r="E378" s="18" t="s">
        <v>3556</v>
      </c>
      <c r="F378" s="19">
        <v>45721</v>
      </c>
      <c r="G378" s="18">
        <v>21018.28</v>
      </c>
      <c r="H378" s="37">
        <f t="shared" si="21"/>
        <v>27</v>
      </c>
      <c r="I378" s="37" t="str">
        <f t="shared" si="23"/>
        <v>1-90 DAYS</v>
      </c>
      <c r="J378" s="37" t="str">
        <f t="shared" si="22"/>
        <v>0-180 DAYS</v>
      </c>
    </row>
    <row r="379" spans="1:10" hidden="1" x14ac:dyDescent="0.35">
      <c r="A379" s="88" t="s">
        <v>477</v>
      </c>
      <c r="B379" s="2" t="s">
        <v>790</v>
      </c>
      <c r="C379" s="18" t="s">
        <v>259</v>
      </c>
      <c r="D379" s="18" t="s">
        <v>260</v>
      </c>
      <c r="E379" s="18" t="s">
        <v>3557</v>
      </c>
      <c r="F379" s="19">
        <v>45721</v>
      </c>
      <c r="G379" s="18">
        <f>988591.5-107844</f>
        <v>880747.5</v>
      </c>
      <c r="H379" s="37">
        <f t="shared" si="21"/>
        <v>27</v>
      </c>
      <c r="I379" s="37" t="str">
        <f t="shared" si="23"/>
        <v>1-90 DAYS</v>
      </c>
      <c r="J379" s="37" t="str">
        <f t="shared" si="22"/>
        <v>0-180 DAYS</v>
      </c>
    </row>
    <row r="380" spans="1:10" hidden="1" x14ac:dyDescent="0.35">
      <c r="A380" s="88" t="s">
        <v>477</v>
      </c>
      <c r="B380" s="2" t="s">
        <v>790</v>
      </c>
      <c r="C380" s="18" t="s">
        <v>259</v>
      </c>
      <c r="D380" s="18" t="s">
        <v>260</v>
      </c>
      <c r="E380" s="18" t="s">
        <v>3558</v>
      </c>
      <c r="F380" s="19">
        <v>45723</v>
      </c>
      <c r="G380" s="18">
        <v>501900.3</v>
      </c>
      <c r="H380" s="37">
        <f t="shared" si="21"/>
        <v>25</v>
      </c>
      <c r="I380" s="37" t="str">
        <f t="shared" si="23"/>
        <v>1-90 DAYS</v>
      </c>
      <c r="J380" s="37" t="str">
        <f t="shared" si="22"/>
        <v>0-180 DAYS</v>
      </c>
    </row>
    <row r="381" spans="1:10" hidden="1" x14ac:dyDescent="0.35">
      <c r="A381" s="88" t="s">
        <v>477</v>
      </c>
      <c r="B381" s="2" t="s">
        <v>790</v>
      </c>
      <c r="C381" s="18" t="s">
        <v>259</v>
      </c>
      <c r="D381" s="18" t="s">
        <v>260</v>
      </c>
      <c r="E381" s="18" t="s">
        <v>3559</v>
      </c>
      <c r="F381" s="19">
        <v>45723</v>
      </c>
      <c r="G381" s="18">
        <v>569174.04</v>
      </c>
      <c r="H381" s="37">
        <f t="shared" si="21"/>
        <v>25</v>
      </c>
      <c r="I381" s="37" t="str">
        <f t="shared" si="23"/>
        <v>1-90 DAYS</v>
      </c>
      <c r="J381" s="37" t="str">
        <f t="shared" si="22"/>
        <v>0-180 DAYS</v>
      </c>
    </row>
    <row r="382" spans="1:10" hidden="1" x14ac:dyDescent="0.35">
      <c r="A382" s="88" t="s">
        <v>477</v>
      </c>
      <c r="B382" s="2" t="s">
        <v>790</v>
      </c>
      <c r="C382" s="18" t="s">
        <v>3539</v>
      </c>
      <c r="D382" s="18" t="s">
        <v>3544</v>
      </c>
      <c r="E382" s="18" t="s">
        <v>3560</v>
      </c>
      <c r="F382" s="19">
        <v>45724</v>
      </c>
      <c r="G382" s="18">
        <v>12446.64</v>
      </c>
      <c r="H382" s="37">
        <f t="shared" si="21"/>
        <v>24</v>
      </c>
      <c r="I382" s="37" t="str">
        <f t="shared" si="23"/>
        <v>1-90 DAYS</v>
      </c>
      <c r="J382" s="37" t="str">
        <f t="shared" si="22"/>
        <v>0-180 DAYS</v>
      </c>
    </row>
    <row r="383" spans="1:10" hidden="1" x14ac:dyDescent="0.35">
      <c r="A383" s="88" t="s">
        <v>477</v>
      </c>
      <c r="B383" s="2" t="s">
        <v>790</v>
      </c>
      <c r="C383" s="18" t="s">
        <v>3409</v>
      </c>
      <c r="D383" s="18" t="s">
        <v>3060</v>
      </c>
      <c r="E383" s="18" t="s">
        <v>3561</v>
      </c>
      <c r="F383" s="19">
        <v>45731</v>
      </c>
      <c r="G383" s="18">
        <v>91237.440000000002</v>
      </c>
      <c r="H383" s="37">
        <f t="shared" si="21"/>
        <v>17</v>
      </c>
      <c r="I383" s="37" t="str">
        <f t="shared" si="23"/>
        <v>1-90 DAYS</v>
      </c>
      <c r="J383" s="37" t="str">
        <f t="shared" si="22"/>
        <v>0-180 DAYS</v>
      </c>
    </row>
    <row r="384" spans="1:10" hidden="1" x14ac:dyDescent="0.35">
      <c r="A384" s="88" t="s">
        <v>477</v>
      </c>
      <c r="B384" s="2" t="s">
        <v>790</v>
      </c>
      <c r="C384" s="18" t="s">
        <v>3409</v>
      </c>
      <c r="D384" s="18" t="s">
        <v>3060</v>
      </c>
      <c r="E384" s="18" t="s">
        <v>3562</v>
      </c>
      <c r="F384" s="19">
        <v>45734</v>
      </c>
      <c r="G384" s="18">
        <v>580560</v>
      </c>
      <c r="H384" s="37">
        <f t="shared" si="21"/>
        <v>14</v>
      </c>
      <c r="I384" s="37" t="str">
        <f t="shared" si="23"/>
        <v>1-90 DAYS</v>
      </c>
      <c r="J384" s="37" t="str">
        <f t="shared" si="22"/>
        <v>0-180 DAYS</v>
      </c>
    </row>
    <row r="385" spans="1:10" hidden="1" x14ac:dyDescent="0.35">
      <c r="A385" s="88" t="s">
        <v>477</v>
      </c>
      <c r="B385" s="2" t="s">
        <v>790</v>
      </c>
      <c r="C385" s="18" t="s">
        <v>3540</v>
      </c>
      <c r="D385" s="18" t="s">
        <v>3545</v>
      </c>
      <c r="E385" s="18" t="s">
        <v>3563</v>
      </c>
      <c r="F385" s="19">
        <v>45737</v>
      </c>
      <c r="G385" s="18">
        <v>597571.98</v>
      </c>
      <c r="H385" s="37">
        <f t="shared" si="21"/>
        <v>11</v>
      </c>
      <c r="I385" s="37" t="str">
        <f t="shared" si="23"/>
        <v>1-90 DAYS</v>
      </c>
      <c r="J385" s="37" t="str">
        <f t="shared" si="22"/>
        <v>0-180 DAYS</v>
      </c>
    </row>
    <row r="386" spans="1:10" hidden="1" x14ac:dyDescent="0.35">
      <c r="A386" s="88" t="s">
        <v>477</v>
      </c>
      <c r="B386" s="2" t="s">
        <v>790</v>
      </c>
      <c r="C386" s="18" t="s">
        <v>263</v>
      </c>
      <c r="D386" s="18" t="s">
        <v>264</v>
      </c>
      <c r="E386" s="18" t="s">
        <v>3564</v>
      </c>
      <c r="F386" s="19">
        <v>45738</v>
      </c>
      <c r="G386" s="18">
        <v>1059178.28</v>
      </c>
      <c r="H386" s="37">
        <f t="shared" si="21"/>
        <v>10</v>
      </c>
      <c r="I386" s="37" t="str">
        <f t="shared" si="23"/>
        <v>1-90 DAYS</v>
      </c>
      <c r="J386" s="37" t="str">
        <f t="shared" si="22"/>
        <v>0-180 DAYS</v>
      </c>
    </row>
    <row r="387" spans="1:10" hidden="1" x14ac:dyDescent="0.35">
      <c r="A387" s="88" t="s">
        <v>477</v>
      </c>
      <c r="B387" s="2" t="s">
        <v>790</v>
      </c>
      <c r="C387" s="18" t="s">
        <v>26</v>
      </c>
      <c r="D387" s="18" t="s">
        <v>27</v>
      </c>
      <c r="E387" s="18" t="s">
        <v>3565</v>
      </c>
      <c r="F387" s="19">
        <v>45742</v>
      </c>
      <c r="G387" s="18">
        <v>430546.6</v>
      </c>
      <c r="H387" s="37">
        <f t="shared" si="21"/>
        <v>6</v>
      </c>
      <c r="I387" s="37" t="str">
        <f t="shared" si="23"/>
        <v>1-90 DAYS</v>
      </c>
      <c r="J387" s="37" t="str">
        <f t="shared" si="22"/>
        <v>0-180 DAYS</v>
      </c>
    </row>
    <row r="388" spans="1:10" hidden="1" x14ac:dyDescent="0.35">
      <c r="A388" s="88" t="s">
        <v>477</v>
      </c>
      <c r="B388" s="2" t="s">
        <v>790</v>
      </c>
      <c r="C388" s="18" t="s">
        <v>263</v>
      </c>
      <c r="D388" s="18" t="s">
        <v>264</v>
      </c>
      <c r="E388" s="18" t="s">
        <v>3566</v>
      </c>
      <c r="F388" s="19">
        <v>45745</v>
      </c>
      <c r="G388" s="18">
        <v>376210.55</v>
      </c>
      <c r="H388" s="37">
        <f t="shared" si="21"/>
        <v>3</v>
      </c>
      <c r="I388" s="37" t="str">
        <f t="shared" si="23"/>
        <v>1-90 DAYS</v>
      </c>
      <c r="J388" s="37" t="str">
        <f t="shared" si="22"/>
        <v>0-180 DAYS</v>
      </c>
    </row>
    <row r="389" spans="1:10" hidden="1" x14ac:dyDescent="0.35">
      <c r="A389" s="2" t="s">
        <v>1209</v>
      </c>
      <c r="B389" s="2" t="s">
        <v>789</v>
      </c>
      <c r="C389" s="18" t="s">
        <v>125</v>
      </c>
      <c r="D389" s="18" t="s">
        <v>57</v>
      </c>
      <c r="E389" s="18" t="s">
        <v>3567</v>
      </c>
      <c r="F389" s="19">
        <v>45734</v>
      </c>
      <c r="G389" s="18">
        <v>298806.2</v>
      </c>
      <c r="H389" s="37">
        <f t="shared" si="21"/>
        <v>14</v>
      </c>
      <c r="I389" s="37" t="str">
        <f t="shared" si="23"/>
        <v>1-90 DAYS</v>
      </c>
      <c r="J389" s="37" t="str">
        <f t="shared" si="22"/>
        <v>0-180 DAYS</v>
      </c>
    </row>
    <row r="390" spans="1:10" hidden="1" x14ac:dyDescent="0.35">
      <c r="A390" s="2" t="s">
        <v>1209</v>
      </c>
      <c r="B390" s="2" t="s">
        <v>789</v>
      </c>
      <c r="C390" s="18" t="s">
        <v>125</v>
      </c>
      <c r="D390" s="18" t="s">
        <v>57</v>
      </c>
      <c r="E390" s="18" t="s">
        <v>3568</v>
      </c>
      <c r="F390" s="19">
        <v>45735</v>
      </c>
      <c r="G390" s="18">
        <v>510907.19</v>
      </c>
      <c r="H390" s="37">
        <f t="shared" si="21"/>
        <v>13</v>
      </c>
      <c r="I390" s="37" t="str">
        <f t="shared" si="23"/>
        <v>1-90 DAYS</v>
      </c>
      <c r="J390" s="37" t="str">
        <f t="shared" si="22"/>
        <v>0-180 DAYS</v>
      </c>
    </row>
    <row r="391" spans="1:10" hidden="1" x14ac:dyDescent="0.35">
      <c r="A391" s="2" t="s">
        <v>1209</v>
      </c>
      <c r="B391" s="2" t="s">
        <v>789</v>
      </c>
      <c r="C391" s="18" t="s">
        <v>125</v>
      </c>
      <c r="D391" s="18" t="s">
        <v>57</v>
      </c>
      <c r="E391" s="18" t="s">
        <v>3569</v>
      </c>
      <c r="F391" s="19">
        <v>45735</v>
      </c>
      <c r="G391" s="18">
        <v>5319.16</v>
      </c>
      <c r="H391" s="37">
        <f t="shared" si="21"/>
        <v>13</v>
      </c>
      <c r="I391" s="37" t="str">
        <f t="shared" si="23"/>
        <v>1-90 DAYS</v>
      </c>
      <c r="J391" s="37" t="str">
        <f t="shared" si="22"/>
        <v>0-180 DAYS</v>
      </c>
    </row>
    <row r="392" spans="1:10" hidden="1" x14ac:dyDescent="0.35">
      <c r="A392" s="2" t="s">
        <v>1209</v>
      </c>
      <c r="B392" s="2" t="s">
        <v>789</v>
      </c>
      <c r="C392" s="18" t="s">
        <v>125</v>
      </c>
      <c r="D392" s="18" t="s">
        <v>57</v>
      </c>
      <c r="E392" s="18" t="s">
        <v>3570</v>
      </c>
      <c r="F392" s="19">
        <v>45735</v>
      </c>
      <c r="G392" s="18">
        <v>36025</v>
      </c>
      <c r="H392" s="37">
        <f t="shared" si="21"/>
        <v>13</v>
      </c>
      <c r="I392" s="37" t="str">
        <f t="shared" si="23"/>
        <v>1-90 DAYS</v>
      </c>
      <c r="J392" s="37" t="str">
        <f t="shared" si="22"/>
        <v>0-180 DAYS</v>
      </c>
    </row>
    <row r="393" spans="1:10" hidden="1" x14ac:dyDescent="0.35">
      <c r="A393" s="2" t="s">
        <v>1209</v>
      </c>
      <c r="B393" s="2" t="s">
        <v>789</v>
      </c>
      <c r="C393" s="18" t="s">
        <v>125</v>
      </c>
      <c r="D393" s="18" t="s">
        <v>57</v>
      </c>
      <c r="E393" s="18" t="s">
        <v>3571</v>
      </c>
      <c r="F393" s="19">
        <v>45736</v>
      </c>
      <c r="G393" s="18">
        <v>574089.04</v>
      </c>
      <c r="H393" s="37">
        <f t="shared" si="21"/>
        <v>12</v>
      </c>
      <c r="I393" s="37" t="str">
        <f t="shared" si="23"/>
        <v>1-90 DAYS</v>
      </c>
      <c r="J393" s="37" t="str">
        <f t="shared" si="22"/>
        <v>0-180 DAYS</v>
      </c>
    </row>
    <row r="394" spans="1:10" hidden="1" x14ac:dyDescent="0.35">
      <c r="A394" s="2" t="s">
        <v>1209</v>
      </c>
      <c r="B394" s="2" t="s">
        <v>789</v>
      </c>
      <c r="C394" s="18" t="s">
        <v>125</v>
      </c>
      <c r="D394" s="18" t="s">
        <v>57</v>
      </c>
      <c r="E394" s="18" t="s">
        <v>3572</v>
      </c>
      <c r="F394" s="19">
        <v>45736</v>
      </c>
      <c r="G394" s="18">
        <v>11533.9</v>
      </c>
      <c r="H394" s="37">
        <f t="shared" si="21"/>
        <v>12</v>
      </c>
      <c r="I394" s="37" t="str">
        <f t="shared" si="23"/>
        <v>1-90 DAYS</v>
      </c>
      <c r="J394" s="37" t="str">
        <f t="shared" si="22"/>
        <v>0-180 DAYS</v>
      </c>
    </row>
    <row r="395" spans="1:10" hidden="1" x14ac:dyDescent="0.35">
      <c r="A395" s="2" t="s">
        <v>1209</v>
      </c>
      <c r="B395" s="2" t="s">
        <v>789</v>
      </c>
      <c r="C395" s="18" t="s">
        <v>125</v>
      </c>
      <c r="D395" s="18" t="s">
        <v>57</v>
      </c>
      <c r="E395" s="18" t="s">
        <v>3573</v>
      </c>
      <c r="F395" s="19">
        <v>45736</v>
      </c>
      <c r="G395" s="18">
        <v>969939.44</v>
      </c>
      <c r="H395" s="37">
        <f t="shared" si="21"/>
        <v>12</v>
      </c>
      <c r="I395" s="37" t="str">
        <f t="shared" si="23"/>
        <v>1-90 DAYS</v>
      </c>
      <c r="J395" s="37" t="str">
        <f t="shared" si="22"/>
        <v>0-180 DAYS</v>
      </c>
    </row>
    <row r="396" spans="1:10" hidden="1" x14ac:dyDescent="0.35">
      <c r="A396" s="2" t="s">
        <v>1209</v>
      </c>
      <c r="B396" s="2" t="s">
        <v>789</v>
      </c>
      <c r="C396" s="18" t="s">
        <v>125</v>
      </c>
      <c r="D396" s="18" t="s">
        <v>57</v>
      </c>
      <c r="E396" s="18" t="s">
        <v>3574</v>
      </c>
      <c r="F396" s="19">
        <v>45736</v>
      </c>
      <c r="G396" s="18">
        <v>886730.15</v>
      </c>
      <c r="H396" s="37">
        <f t="shared" ref="H396:H459" si="24">$H$9-F396+1</f>
        <v>12</v>
      </c>
      <c r="I396" s="37" t="str">
        <f t="shared" si="23"/>
        <v>1-90 DAYS</v>
      </c>
      <c r="J396" s="37" t="str">
        <f t="shared" si="22"/>
        <v>0-180 DAYS</v>
      </c>
    </row>
    <row r="397" spans="1:10" hidden="1" x14ac:dyDescent="0.35">
      <c r="A397" s="2" t="s">
        <v>1209</v>
      </c>
      <c r="B397" s="2" t="s">
        <v>789</v>
      </c>
      <c r="C397" s="18" t="s">
        <v>125</v>
      </c>
      <c r="D397" s="18" t="s">
        <v>57</v>
      </c>
      <c r="E397" s="18" t="s">
        <v>3575</v>
      </c>
      <c r="F397" s="19">
        <v>45736</v>
      </c>
      <c r="G397" s="18">
        <v>3791.88</v>
      </c>
      <c r="H397" s="37">
        <f t="shared" si="24"/>
        <v>12</v>
      </c>
      <c r="I397" s="37" t="str">
        <f t="shared" si="23"/>
        <v>1-90 DAYS</v>
      </c>
      <c r="J397" s="37" t="str">
        <f t="shared" si="22"/>
        <v>0-180 DAYS</v>
      </c>
    </row>
    <row r="398" spans="1:10" hidden="1" x14ac:dyDescent="0.35">
      <c r="A398" s="2" t="s">
        <v>1209</v>
      </c>
      <c r="B398" s="2" t="s">
        <v>789</v>
      </c>
      <c r="C398" s="18" t="s">
        <v>125</v>
      </c>
      <c r="D398" s="18" t="s">
        <v>57</v>
      </c>
      <c r="E398" s="18" t="s">
        <v>3576</v>
      </c>
      <c r="F398" s="19">
        <v>45737</v>
      </c>
      <c r="G398" s="18">
        <v>2773.36</v>
      </c>
      <c r="H398" s="37">
        <f t="shared" si="24"/>
        <v>11</v>
      </c>
      <c r="I398" s="37" t="str">
        <f t="shared" si="23"/>
        <v>1-90 DAYS</v>
      </c>
      <c r="J398" s="37" t="str">
        <f t="shared" ref="J398:J461" si="25">IF(H398&lt;180,"0-180 DAYS","More than 180 Days")</f>
        <v>0-180 DAYS</v>
      </c>
    </row>
    <row r="399" spans="1:10" hidden="1" x14ac:dyDescent="0.35">
      <c r="A399" s="2" t="s">
        <v>1209</v>
      </c>
      <c r="B399" s="2" t="s">
        <v>789</v>
      </c>
      <c r="C399" s="18" t="s">
        <v>125</v>
      </c>
      <c r="D399" s="18" t="s">
        <v>57</v>
      </c>
      <c r="E399" s="18" t="s">
        <v>3577</v>
      </c>
      <c r="F399" s="19">
        <v>45737</v>
      </c>
      <c r="G399" s="18">
        <v>18700</v>
      </c>
      <c r="H399" s="37">
        <f t="shared" si="24"/>
        <v>11</v>
      </c>
      <c r="I399" s="37" t="str">
        <f t="shared" si="23"/>
        <v>1-90 DAYS</v>
      </c>
      <c r="J399" s="37" t="str">
        <f t="shared" si="25"/>
        <v>0-180 DAYS</v>
      </c>
    </row>
    <row r="400" spans="1:10" hidden="1" x14ac:dyDescent="0.35">
      <c r="A400" s="2" t="s">
        <v>1209</v>
      </c>
      <c r="B400" s="2" t="s">
        <v>789</v>
      </c>
      <c r="C400" s="18" t="s">
        <v>125</v>
      </c>
      <c r="D400" s="18" t="s">
        <v>57</v>
      </c>
      <c r="E400" s="18" t="s">
        <v>3578</v>
      </c>
      <c r="F400" s="19">
        <v>45737</v>
      </c>
      <c r="G400" s="18">
        <v>50084</v>
      </c>
      <c r="H400" s="37">
        <f t="shared" si="24"/>
        <v>11</v>
      </c>
      <c r="I400" s="37" t="str">
        <f t="shared" si="23"/>
        <v>1-90 DAYS</v>
      </c>
      <c r="J400" s="37" t="str">
        <f t="shared" si="25"/>
        <v>0-180 DAYS</v>
      </c>
    </row>
    <row r="401" spans="1:10" hidden="1" x14ac:dyDescent="0.35">
      <c r="A401" s="2" t="s">
        <v>1209</v>
      </c>
      <c r="B401" s="2" t="s">
        <v>789</v>
      </c>
      <c r="C401" s="18" t="s">
        <v>125</v>
      </c>
      <c r="D401" s="18" t="s">
        <v>57</v>
      </c>
      <c r="E401" s="18" t="s">
        <v>3579</v>
      </c>
      <c r="F401" s="19">
        <v>45738</v>
      </c>
      <c r="G401" s="18">
        <v>23698</v>
      </c>
      <c r="H401" s="37">
        <f t="shared" si="24"/>
        <v>10</v>
      </c>
      <c r="I401" s="37" t="str">
        <f t="shared" si="23"/>
        <v>1-90 DAYS</v>
      </c>
      <c r="J401" s="37" t="str">
        <f t="shared" si="25"/>
        <v>0-180 DAYS</v>
      </c>
    </row>
    <row r="402" spans="1:10" hidden="1" x14ac:dyDescent="0.35">
      <c r="A402" s="2" t="s">
        <v>1209</v>
      </c>
      <c r="B402" s="2" t="s">
        <v>789</v>
      </c>
      <c r="C402" s="18" t="s">
        <v>125</v>
      </c>
      <c r="D402" s="18" t="s">
        <v>57</v>
      </c>
      <c r="E402" s="18" t="s">
        <v>3580</v>
      </c>
      <c r="F402" s="19">
        <v>45738</v>
      </c>
      <c r="G402" s="18">
        <v>10695.96</v>
      </c>
      <c r="H402" s="37">
        <f t="shared" si="24"/>
        <v>10</v>
      </c>
      <c r="I402" s="37" t="str">
        <f t="shared" si="23"/>
        <v>1-90 DAYS</v>
      </c>
      <c r="J402" s="37" t="str">
        <f t="shared" si="25"/>
        <v>0-180 DAYS</v>
      </c>
    </row>
    <row r="403" spans="1:10" hidden="1" x14ac:dyDescent="0.35">
      <c r="A403" s="2" t="s">
        <v>1209</v>
      </c>
      <c r="B403" s="2" t="s">
        <v>789</v>
      </c>
      <c r="C403" s="18" t="s">
        <v>125</v>
      </c>
      <c r="D403" s="18" t="s">
        <v>57</v>
      </c>
      <c r="E403" s="18" t="s">
        <v>3581</v>
      </c>
      <c r="F403" s="19">
        <v>45738</v>
      </c>
      <c r="G403" s="18">
        <v>25827</v>
      </c>
      <c r="H403" s="37">
        <f t="shared" si="24"/>
        <v>10</v>
      </c>
      <c r="I403" s="37" t="str">
        <f t="shared" si="23"/>
        <v>1-90 DAYS</v>
      </c>
      <c r="J403" s="37" t="str">
        <f t="shared" si="25"/>
        <v>0-180 DAYS</v>
      </c>
    </row>
    <row r="404" spans="1:10" hidden="1" x14ac:dyDescent="0.35">
      <c r="A404" s="2" t="s">
        <v>1209</v>
      </c>
      <c r="B404" s="2" t="s">
        <v>789</v>
      </c>
      <c r="C404" s="18" t="s">
        <v>125</v>
      </c>
      <c r="D404" s="18" t="s">
        <v>57</v>
      </c>
      <c r="E404" s="18" t="s">
        <v>3582</v>
      </c>
      <c r="F404" s="19">
        <v>45738</v>
      </c>
      <c r="G404" s="18">
        <v>51232</v>
      </c>
      <c r="H404" s="37">
        <f t="shared" si="24"/>
        <v>10</v>
      </c>
      <c r="I404" s="37" t="str">
        <f t="shared" si="23"/>
        <v>1-90 DAYS</v>
      </c>
      <c r="J404" s="37" t="str">
        <f t="shared" si="25"/>
        <v>0-180 DAYS</v>
      </c>
    </row>
    <row r="405" spans="1:10" hidden="1" x14ac:dyDescent="0.35">
      <c r="A405" s="2" t="s">
        <v>1209</v>
      </c>
      <c r="B405" s="2" t="s">
        <v>789</v>
      </c>
      <c r="C405" s="18" t="s">
        <v>125</v>
      </c>
      <c r="D405" s="18" t="s">
        <v>57</v>
      </c>
      <c r="E405" s="18" t="s">
        <v>3583</v>
      </c>
      <c r="F405" s="19">
        <v>45738</v>
      </c>
      <c r="G405" s="18">
        <v>56768</v>
      </c>
      <c r="H405" s="37">
        <f t="shared" si="24"/>
        <v>10</v>
      </c>
      <c r="I405" s="37" t="str">
        <f t="shared" si="23"/>
        <v>1-90 DAYS</v>
      </c>
      <c r="J405" s="37" t="str">
        <f t="shared" si="25"/>
        <v>0-180 DAYS</v>
      </c>
    </row>
    <row r="406" spans="1:10" hidden="1" x14ac:dyDescent="0.35">
      <c r="A406" s="2" t="s">
        <v>1209</v>
      </c>
      <c r="B406" s="2" t="s">
        <v>789</v>
      </c>
      <c r="C406" s="18" t="s">
        <v>125</v>
      </c>
      <c r="D406" s="18" t="s">
        <v>57</v>
      </c>
      <c r="E406" s="18" t="s">
        <v>3584</v>
      </c>
      <c r="F406" s="19">
        <v>45738</v>
      </c>
      <c r="G406" s="18">
        <v>157899</v>
      </c>
      <c r="H406" s="37">
        <f t="shared" si="24"/>
        <v>10</v>
      </c>
      <c r="I406" s="37" t="str">
        <f t="shared" si="23"/>
        <v>1-90 DAYS</v>
      </c>
      <c r="J406" s="37" t="str">
        <f t="shared" si="25"/>
        <v>0-180 DAYS</v>
      </c>
    </row>
    <row r="407" spans="1:10" hidden="1" x14ac:dyDescent="0.35">
      <c r="A407" s="2" t="s">
        <v>1209</v>
      </c>
      <c r="B407" s="2" t="s">
        <v>789</v>
      </c>
      <c r="C407" s="18" t="s">
        <v>125</v>
      </c>
      <c r="D407" s="18" t="s">
        <v>57</v>
      </c>
      <c r="E407" s="18" t="s">
        <v>3585</v>
      </c>
      <c r="F407" s="19">
        <v>45739</v>
      </c>
      <c r="G407" s="18">
        <v>1356.47</v>
      </c>
      <c r="H407" s="37">
        <f t="shared" si="24"/>
        <v>9</v>
      </c>
      <c r="I407" s="37" t="str">
        <f t="shared" si="23"/>
        <v>1-90 DAYS</v>
      </c>
      <c r="J407" s="37" t="str">
        <f t="shared" si="25"/>
        <v>0-180 DAYS</v>
      </c>
    </row>
    <row r="408" spans="1:10" hidden="1" x14ac:dyDescent="0.35">
      <c r="A408" s="2" t="s">
        <v>1209</v>
      </c>
      <c r="B408" s="2" t="s">
        <v>789</v>
      </c>
      <c r="C408" s="18" t="s">
        <v>125</v>
      </c>
      <c r="D408" s="18" t="s">
        <v>57</v>
      </c>
      <c r="E408" s="18" t="s">
        <v>3586</v>
      </c>
      <c r="F408" s="19">
        <v>45739</v>
      </c>
      <c r="G408" s="18">
        <v>2773.36</v>
      </c>
      <c r="H408" s="37">
        <f t="shared" si="24"/>
        <v>9</v>
      </c>
      <c r="I408" s="37" t="str">
        <f t="shared" si="23"/>
        <v>1-90 DAYS</v>
      </c>
      <c r="J408" s="37" t="str">
        <f t="shared" si="25"/>
        <v>0-180 DAYS</v>
      </c>
    </row>
    <row r="409" spans="1:10" hidden="1" x14ac:dyDescent="0.35">
      <c r="A409" s="2" t="s">
        <v>1209</v>
      </c>
      <c r="B409" s="2" t="s">
        <v>789</v>
      </c>
      <c r="C409" s="18" t="s">
        <v>125</v>
      </c>
      <c r="D409" s="18" t="s">
        <v>57</v>
      </c>
      <c r="E409" s="18" t="s">
        <v>3587</v>
      </c>
      <c r="F409" s="19">
        <v>45739</v>
      </c>
      <c r="G409" s="18">
        <v>35178</v>
      </c>
      <c r="H409" s="37">
        <f t="shared" si="24"/>
        <v>9</v>
      </c>
      <c r="I409" s="37" t="str">
        <f t="shared" si="23"/>
        <v>1-90 DAYS</v>
      </c>
      <c r="J409" s="37" t="str">
        <f t="shared" si="25"/>
        <v>0-180 DAYS</v>
      </c>
    </row>
    <row r="410" spans="1:10" hidden="1" x14ac:dyDescent="0.35">
      <c r="A410" s="2" t="s">
        <v>1209</v>
      </c>
      <c r="B410" s="2" t="s">
        <v>789</v>
      </c>
      <c r="C410" s="18" t="s">
        <v>125</v>
      </c>
      <c r="D410" s="18" t="s">
        <v>57</v>
      </c>
      <c r="E410" s="18" t="s">
        <v>3588</v>
      </c>
      <c r="F410" s="19">
        <v>45739</v>
      </c>
      <c r="G410" s="18">
        <v>137845</v>
      </c>
      <c r="H410" s="37">
        <f t="shared" si="24"/>
        <v>9</v>
      </c>
      <c r="I410" s="37" t="str">
        <f t="shared" si="23"/>
        <v>1-90 DAYS</v>
      </c>
      <c r="J410" s="37" t="str">
        <f t="shared" si="25"/>
        <v>0-180 DAYS</v>
      </c>
    </row>
    <row r="411" spans="1:10" hidden="1" x14ac:dyDescent="0.35">
      <c r="A411" s="2" t="s">
        <v>1209</v>
      </c>
      <c r="B411" s="2" t="s">
        <v>789</v>
      </c>
      <c r="C411" s="18" t="s">
        <v>125</v>
      </c>
      <c r="D411" s="18" t="s">
        <v>57</v>
      </c>
      <c r="E411" s="18" t="s">
        <v>3589</v>
      </c>
      <c r="F411" s="19">
        <v>45739</v>
      </c>
      <c r="G411" s="18">
        <v>82573</v>
      </c>
      <c r="H411" s="37">
        <f t="shared" si="24"/>
        <v>9</v>
      </c>
      <c r="I411" s="37" t="str">
        <f t="shared" si="23"/>
        <v>1-90 DAYS</v>
      </c>
      <c r="J411" s="37" t="str">
        <f t="shared" si="25"/>
        <v>0-180 DAYS</v>
      </c>
    </row>
    <row r="412" spans="1:10" hidden="1" x14ac:dyDescent="0.35">
      <c r="A412" s="2" t="s">
        <v>1209</v>
      </c>
      <c r="B412" s="2" t="s">
        <v>789</v>
      </c>
      <c r="C412" s="18" t="s">
        <v>125</v>
      </c>
      <c r="D412" s="18" t="s">
        <v>57</v>
      </c>
      <c r="E412" s="18" t="s">
        <v>3590</v>
      </c>
      <c r="F412" s="19">
        <v>45739</v>
      </c>
      <c r="G412" s="18">
        <v>23375</v>
      </c>
      <c r="H412" s="37">
        <f t="shared" si="24"/>
        <v>9</v>
      </c>
      <c r="I412" s="37" t="str">
        <f t="shared" si="23"/>
        <v>1-90 DAYS</v>
      </c>
      <c r="J412" s="37" t="str">
        <f t="shared" si="25"/>
        <v>0-180 DAYS</v>
      </c>
    </row>
    <row r="413" spans="1:10" hidden="1" x14ac:dyDescent="0.35">
      <c r="A413" s="2" t="s">
        <v>1209</v>
      </c>
      <c r="B413" s="2" t="s">
        <v>789</v>
      </c>
      <c r="C413" s="18" t="s">
        <v>125</v>
      </c>
      <c r="D413" s="18" t="s">
        <v>57</v>
      </c>
      <c r="E413" s="18" t="s">
        <v>3591</v>
      </c>
      <c r="F413" s="19">
        <v>45739</v>
      </c>
      <c r="G413" s="18">
        <v>6299</v>
      </c>
      <c r="H413" s="37">
        <f t="shared" si="24"/>
        <v>9</v>
      </c>
      <c r="I413" s="37" t="str">
        <f t="shared" si="23"/>
        <v>1-90 DAYS</v>
      </c>
      <c r="J413" s="37" t="str">
        <f t="shared" si="25"/>
        <v>0-180 DAYS</v>
      </c>
    </row>
    <row r="414" spans="1:10" hidden="1" x14ac:dyDescent="0.35">
      <c r="A414" s="2" t="s">
        <v>1209</v>
      </c>
      <c r="B414" s="2" t="s">
        <v>789</v>
      </c>
      <c r="C414" s="18" t="s">
        <v>125</v>
      </c>
      <c r="D414" s="18" t="s">
        <v>57</v>
      </c>
      <c r="E414" s="18" t="s">
        <v>3592</v>
      </c>
      <c r="F414" s="19">
        <v>45739</v>
      </c>
      <c r="G414" s="18">
        <v>75211</v>
      </c>
      <c r="H414" s="37">
        <f t="shared" si="24"/>
        <v>9</v>
      </c>
      <c r="I414" s="37" t="str">
        <f t="shared" si="23"/>
        <v>1-90 DAYS</v>
      </c>
      <c r="J414" s="37" t="str">
        <f t="shared" si="25"/>
        <v>0-180 DAYS</v>
      </c>
    </row>
    <row r="415" spans="1:10" hidden="1" x14ac:dyDescent="0.35">
      <c r="A415" s="2" t="s">
        <v>1209</v>
      </c>
      <c r="B415" s="2" t="s">
        <v>789</v>
      </c>
      <c r="C415" s="18" t="s">
        <v>125</v>
      </c>
      <c r="D415" s="18" t="s">
        <v>57</v>
      </c>
      <c r="E415" s="18" t="s">
        <v>3593</v>
      </c>
      <c r="F415" s="19">
        <v>45740</v>
      </c>
      <c r="G415" s="18">
        <v>9450.8799999999992</v>
      </c>
      <c r="H415" s="37">
        <f t="shared" si="24"/>
        <v>8</v>
      </c>
      <c r="I415" s="37" t="str">
        <f t="shared" si="23"/>
        <v>1-90 DAYS</v>
      </c>
      <c r="J415" s="37" t="str">
        <f t="shared" si="25"/>
        <v>0-180 DAYS</v>
      </c>
    </row>
    <row r="416" spans="1:10" hidden="1" x14ac:dyDescent="0.35">
      <c r="A416" s="2" t="s">
        <v>1209</v>
      </c>
      <c r="B416" s="2" t="s">
        <v>789</v>
      </c>
      <c r="C416" s="18" t="s">
        <v>125</v>
      </c>
      <c r="D416" s="18" t="s">
        <v>57</v>
      </c>
      <c r="E416" s="18" t="s">
        <v>3594</v>
      </c>
      <c r="F416" s="19">
        <v>45740</v>
      </c>
      <c r="G416" s="18">
        <v>244727</v>
      </c>
      <c r="H416" s="37">
        <f t="shared" si="24"/>
        <v>8</v>
      </c>
      <c r="I416" s="37" t="str">
        <f t="shared" si="23"/>
        <v>1-90 DAYS</v>
      </c>
      <c r="J416" s="37" t="str">
        <f t="shared" si="25"/>
        <v>0-180 DAYS</v>
      </c>
    </row>
    <row r="417" spans="1:10" hidden="1" x14ac:dyDescent="0.35">
      <c r="A417" s="2" t="s">
        <v>1209</v>
      </c>
      <c r="B417" s="2" t="s">
        <v>789</v>
      </c>
      <c r="C417" s="18" t="s">
        <v>125</v>
      </c>
      <c r="D417" s="18" t="s">
        <v>57</v>
      </c>
      <c r="E417" s="18" t="s">
        <v>3595</v>
      </c>
      <c r="F417" s="19">
        <v>45740</v>
      </c>
      <c r="G417" s="18">
        <v>186614</v>
      </c>
      <c r="H417" s="37">
        <f t="shared" si="24"/>
        <v>8</v>
      </c>
      <c r="I417" s="37" t="str">
        <f t="shared" si="23"/>
        <v>1-90 DAYS</v>
      </c>
      <c r="J417" s="37" t="str">
        <f t="shared" si="25"/>
        <v>0-180 DAYS</v>
      </c>
    </row>
    <row r="418" spans="1:10" hidden="1" x14ac:dyDescent="0.35">
      <c r="A418" s="2" t="s">
        <v>1209</v>
      </c>
      <c r="B418" s="2" t="s">
        <v>789</v>
      </c>
      <c r="C418" s="18" t="s">
        <v>125</v>
      </c>
      <c r="D418" s="18" t="s">
        <v>57</v>
      </c>
      <c r="E418" s="18" t="s">
        <v>3596</v>
      </c>
      <c r="F418" s="19">
        <v>45740</v>
      </c>
      <c r="G418" s="18">
        <v>44825</v>
      </c>
      <c r="H418" s="37">
        <f t="shared" si="24"/>
        <v>8</v>
      </c>
      <c r="I418" s="37" t="str">
        <f t="shared" si="23"/>
        <v>1-90 DAYS</v>
      </c>
      <c r="J418" s="37" t="str">
        <f t="shared" si="25"/>
        <v>0-180 DAYS</v>
      </c>
    </row>
    <row r="419" spans="1:10" hidden="1" x14ac:dyDescent="0.35">
      <c r="A419" s="2" t="s">
        <v>1209</v>
      </c>
      <c r="B419" s="2" t="s">
        <v>789</v>
      </c>
      <c r="C419" s="18" t="s">
        <v>125</v>
      </c>
      <c r="D419" s="18" t="s">
        <v>57</v>
      </c>
      <c r="E419" s="18" t="s">
        <v>3597</v>
      </c>
      <c r="F419" s="19">
        <v>45741</v>
      </c>
      <c r="G419" s="18">
        <v>29657.360000000001</v>
      </c>
      <c r="H419" s="37">
        <f t="shared" si="24"/>
        <v>7</v>
      </c>
      <c r="I419" s="37" t="str">
        <f t="shared" si="23"/>
        <v>1-90 DAYS</v>
      </c>
      <c r="J419" s="37" t="str">
        <f t="shared" si="25"/>
        <v>0-180 DAYS</v>
      </c>
    </row>
    <row r="420" spans="1:10" hidden="1" x14ac:dyDescent="0.35">
      <c r="A420" s="2" t="s">
        <v>1209</v>
      </c>
      <c r="B420" s="2" t="s">
        <v>789</v>
      </c>
      <c r="C420" s="18" t="s">
        <v>125</v>
      </c>
      <c r="D420" s="18" t="s">
        <v>57</v>
      </c>
      <c r="E420" s="18" t="s">
        <v>3598</v>
      </c>
      <c r="F420" s="19">
        <v>45741</v>
      </c>
      <c r="G420" s="18">
        <v>2099149.5699999998</v>
      </c>
      <c r="H420" s="37">
        <f t="shared" si="24"/>
        <v>7</v>
      </c>
      <c r="I420" s="37" t="str">
        <f t="shared" si="23"/>
        <v>1-90 DAYS</v>
      </c>
      <c r="J420" s="37" t="str">
        <f t="shared" si="25"/>
        <v>0-180 DAYS</v>
      </c>
    </row>
    <row r="421" spans="1:10" hidden="1" x14ac:dyDescent="0.35">
      <c r="A421" s="2" t="s">
        <v>1209</v>
      </c>
      <c r="B421" s="2" t="s">
        <v>789</v>
      </c>
      <c r="C421" s="18" t="s">
        <v>125</v>
      </c>
      <c r="D421" s="18" t="s">
        <v>57</v>
      </c>
      <c r="E421" s="18" t="s">
        <v>3599</v>
      </c>
      <c r="F421" s="19">
        <v>45741</v>
      </c>
      <c r="G421" s="18">
        <v>474910.85</v>
      </c>
      <c r="H421" s="37">
        <f t="shared" si="24"/>
        <v>7</v>
      </c>
      <c r="I421" s="37" t="str">
        <f t="shared" si="23"/>
        <v>1-90 DAYS</v>
      </c>
      <c r="J421" s="37" t="str">
        <f t="shared" si="25"/>
        <v>0-180 DAYS</v>
      </c>
    </row>
    <row r="422" spans="1:10" hidden="1" x14ac:dyDescent="0.35">
      <c r="A422" s="2" t="s">
        <v>1209</v>
      </c>
      <c r="B422" s="2" t="s">
        <v>789</v>
      </c>
      <c r="C422" s="18" t="s">
        <v>125</v>
      </c>
      <c r="D422" s="18" t="s">
        <v>57</v>
      </c>
      <c r="E422" s="18" t="s">
        <v>3600</v>
      </c>
      <c r="F422" s="19">
        <v>45741</v>
      </c>
      <c r="G422" s="18">
        <v>59404</v>
      </c>
      <c r="H422" s="37">
        <f t="shared" si="24"/>
        <v>7</v>
      </c>
      <c r="I422" s="37" t="str">
        <f t="shared" si="23"/>
        <v>1-90 DAYS</v>
      </c>
      <c r="J422" s="37" t="str">
        <f t="shared" si="25"/>
        <v>0-180 DAYS</v>
      </c>
    </row>
    <row r="423" spans="1:10" hidden="1" x14ac:dyDescent="0.35">
      <c r="A423" s="2" t="s">
        <v>1209</v>
      </c>
      <c r="B423" s="2" t="s">
        <v>789</v>
      </c>
      <c r="C423" s="18" t="s">
        <v>125</v>
      </c>
      <c r="D423" s="18" t="s">
        <v>57</v>
      </c>
      <c r="E423" s="18" t="s">
        <v>3601</v>
      </c>
      <c r="F423" s="19">
        <v>45741</v>
      </c>
      <c r="G423" s="18">
        <v>42777</v>
      </c>
      <c r="H423" s="37">
        <f t="shared" si="24"/>
        <v>7</v>
      </c>
      <c r="I423" s="37" t="str">
        <f t="shared" si="23"/>
        <v>1-90 DAYS</v>
      </c>
      <c r="J423" s="37" t="str">
        <f t="shared" si="25"/>
        <v>0-180 DAYS</v>
      </c>
    </row>
    <row r="424" spans="1:10" hidden="1" x14ac:dyDescent="0.35">
      <c r="A424" s="2" t="s">
        <v>1209</v>
      </c>
      <c r="B424" s="2" t="s">
        <v>789</v>
      </c>
      <c r="C424" s="18" t="s">
        <v>125</v>
      </c>
      <c r="D424" s="18" t="s">
        <v>57</v>
      </c>
      <c r="E424" s="18" t="s">
        <v>3602</v>
      </c>
      <c r="F424" s="19">
        <v>45742</v>
      </c>
      <c r="G424" s="18">
        <v>980368.3</v>
      </c>
      <c r="H424" s="37">
        <f t="shared" si="24"/>
        <v>6</v>
      </c>
      <c r="I424" s="37" t="str">
        <f t="shared" si="23"/>
        <v>1-90 DAYS</v>
      </c>
      <c r="J424" s="37" t="str">
        <f t="shared" si="25"/>
        <v>0-180 DAYS</v>
      </c>
    </row>
    <row r="425" spans="1:10" hidden="1" x14ac:dyDescent="0.35">
      <c r="A425" s="2" t="s">
        <v>1209</v>
      </c>
      <c r="B425" s="2" t="s">
        <v>789</v>
      </c>
      <c r="C425" s="18" t="s">
        <v>125</v>
      </c>
      <c r="D425" s="18" t="s">
        <v>57</v>
      </c>
      <c r="E425" s="18" t="s">
        <v>3603</v>
      </c>
      <c r="F425" s="19">
        <v>45742</v>
      </c>
      <c r="G425" s="18">
        <v>5545.72</v>
      </c>
      <c r="H425" s="37">
        <f t="shared" si="24"/>
        <v>6</v>
      </c>
      <c r="I425" s="37" t="str">
        <f t="shared" si="23"/>
        <v>1-90 DAYS</v>
      </c>
      <c r="J425" s="37" t="str">
        <f t="shared" si="25"/>
        <v>0-180 DAYS</v>
      </c>
    </row>
    <row r="426" spans="1:10" hidden="1" x14ac:dyDescent="0.35">
      <c r="A426" s="2" t="s">
        <v>1209</v>
      </c>
      <c r="B426" s="2" t="s">
        <v>789</v>
      </c>
      <c r="C426" s="18" t="s">
        <v>125</v>
      </c>
      <c r="D426" s="18" t="s">
        <v>57</v>
      </c>
      <c r="E426" s="18" t="s">
        <v>3604</v>
      </c>
      <c r="F426" s="19">
        <v>45742</v>
      </c>
      <c r="G426" s="18">
        <v>145746</v>
      </c>
      <c r="H426" s="37">
        <f t="shared" si="24"/>
        <v>6</v>
      </c>
      <c r="I426" s="37" t="str">
        <f t="shared" si="23"/>
        <v>1-90 DAYS</v>
      </c>
      <c r="J426" s="37" t="str">
        <f t="shared" si="25"/>
        <v>0-180 DAYS</v>
      </c>
    </row>
    <row r="427" spans="1:10" hidden="1" x14ac:dyDescent="0.35">
      <c r="A427" s="2" t="s">
        <v>1209</v>
      </c>
      <c r="B427" s="2" t="s">
        <v>789</v>
      </c>
      <c r="C427" s="18" t="s">
        <v>125</v>
      </c>
      <c r="D427" s="18" t="s">
        <v>57</v>
      </c>
      <c r="E427" s="18" t="s">
        <v>3605</v>
      </c>
      <c r="F427" s="19">
        <v>45743</v>
      </c>
      <c r="G427" s="18">
        <v>18560.939999999999</v>
      </c>
      <c r="H427" s="37">
        <f t="shared" si="24"/>
        <v>5</v>
      </c>
      <c r="I427" s="37" t="str">
        <f t="shared" si="23"/>
        <v>1-90 DAYS</v>
      </c>
      <c r="J427" s="37" t="str">
        <f t="shared" si="25"/>
        <v>0-180 DAYS</v>
      </c>
    </row>
    <row r="428" spans="1:10" hidden="1" x14ac:dyDescent="0.35">
      <c r="A428" s="2" t="s">
        <v>1209</v>
      </c>
      <c r="B428" s="2" t="s">
        <v>789</v>
      </c>
      <c r="C428" s="18" t="s">
        <v>125</v>
      </c>
      <c r="D428" s="18" t="s">
        <v>57</v>
      </c>
      <c r="E428" s="18" t="s">
        <v>3606</v>
      </c>
      <c r="F428" s="19">
        <v>45743</v>
      </c>
      <c r="G428" s="18">
        <v>15000.68</v>
      </c>
      <c r="H428" s="37">
        <f t="shared" si="24"/>
        <v>5</v>
      </c>
      <c r="I428" s="37" t="str">
        <f t="shared" si="23"/>
        <v>1-90 DAYS</v>
      </c>
      <c r="J428" s="37" t="str">
        <f t="shared" si="25"/>
        <v>0-180 DAYS</v>
      </c>
    </row>
    <row r="429" spans="1:10" hidden="1" x14ac:dyDescent="0.35">
      <c r="A429" s="2" t="s">
        <v>1209</v>
      </c>
      <c r="B429" s="2" t="s">
        <v>789</v>
      </c>
      <c r="C429" s="18" t="s">
        <v>125</v>
      </c>
      <c r="D429" s="18" t="s">
        <v>57</v>
      </c>
      <c r="E429" s="18" t="s">
        <v>3607</v>
      </c>
      <c r="F429" s="19">
        <v>45743</v>
      </c>
      <c r="G429" s="18">
        <v>512725.87</v>
      </c>
      <c r="H429" s="37">
        <f t="shared" si="24"/>
        <v>5</v>
      </c>
      <c r="I429" s="37" t="str">
        <f t="shared" si="23"/>
        <v>1-90 DAYS</v>
      </c>
      <c r="J429" s="37" t="str">
        <f t="shared" si="25"/>
        <v>0-180 DAYS</v>
      </c>
    </row>
    <row r="430" spans="1:10" hidden="1" x14ac:dyDescent="0.35">
      <c r="A430" s="2" t="s">
        <v>1209</v>
      </c>
      <c r="B430" s="2" t="s">
        <v>789</v>
      </c>
      <c r="C430" s="18" t="s">
        <v>125</v>
      </c>
      <c r="D430" s="18" t="s">
        <v>57</v>
      </c>
      <c r="E430" s="18" t="s">
        <v>3608</v>
      </c>
      <c r="F430" s="19">
        <v>45743</v>
      </c>
      <c r="G430" s="18">
        <v>5046</v>
      </c>
      <c r="H430" s="37">
        <f t="shared" si="24"/>
        <v>5</v>
      </c>
      <c r="I430" s="37" t="str">
        <f t="shared" si="23"/>
        <v>1-90 DAYS</v>
      </c>
      <c r="J430" s="37" t="str">
        <f t="shared" si="25"/>
        <v>0-180 DAYS</v>
      </c>
    </row>
    <row r="431" spans="1:10" hidden="1" x14ac:dyDescent="0.35">
      <c r="A431" s="2" t="s">
        <v>1209</v>
      </c>
      <c r="B431" s="2" t="s">
        <v>789</v>
      </c>
      <c r="C431" s="18" t="s">
        <v>125</v>
      </c>
      <c r="D431" s="18" t="s">
        <v>57</v>
      </c>
      <c r="E431" s="18" t="s">
        <v>3609</v>
      </c>
      <c r="F431" s="19">
        <v>45743</v>
      </c>
      <c r="G431" s="18">
        <v>6249</v>
      </c>
      <c r="H431" s="37">
        <f t="shared" si="24"/>
        <v>5</v>
      </c>
      <c r="I431" s="37" t="str">
        <f t="shared" ref="I431:I477" si="26">IF(H431&lt;91,"1-90 DAYS",IF(H431&lt;121,"91-120DAYS",IF(H431&lt;181,"121-180 DAYS","More than 180 Days")))</f>
        <v>1-90 DAYS</v>
      </c>
      <c r="J431" s="37" t="str">
        <f t="shared" si="25"/>
        <v>0-180 DAYS</v>
      </c>
    </row>
    <row r="432" spans="1:10" hidden="1" x14ac:dyDescent="0.35">
      <c r="A432" s="2" t="s">
        <v>1209</v>
      </c>
      <c r="B432" s="2" t="s">
        <v>789</v>
      </c>
      <c r="C432" s="18" t="s">
        <v>125</v>
      </c>
      <c r="D432" s="18" t="s">
        <v>57</v>
      </c>
      <c r="E432" s="18" t="s">
        <v>3610</v>
      </c>
      <c r="F432" s="19">
        <v>45743</v>
      </c>
      <c r="G432" s="18">
        <v>34650</v>
      </c>
      <c r="H432" s="37">
        <f t="shared" si="24"/>
        <v>5</v>
      </c>
      <c r="I432" s="37" t="str">
        <f t="shared" si="26"/>
        <v>1-90 DAYS</v>
      </c>
      <c r="J432" s="37" t="str">
        <f t="shared" si="25"/>
        <v>0-180 DAYS</v>
      </c>
    </row>
    <row r="433" spans="1:10" hidden="1" x14ac:dyDescent="0.35">
      <c r="A433" s="2" t="s">
        <v>1209</v>
      </c>
      <c r="B433" s="2" t="s">
        <v>789</v>
      </c>
      <c r="C433" s="18" t="s">
        <v>125</v>
      </c>
      <c r="D433" s="18" t="s">
        <v>57</v>
      </c>
      <c r="E433" s="18" t="s">
        <v>3611</v>
      </c>
      <c r="F433" s="19">
        <v>45744</v>
      </c>
      <c r="G433" s="18">
        <v>12708.51</v>
      </c>
      <c r="H433" s="37">
        <f t="shared" si="24"/>
        <v>4</v>
      </c>
      <c r="I433" s="37" t="str">
        <f t="shared" si="26"/>
        <v>1-90 DAYS</v>
      </c>
      <c r="J433" s="37" t="str">
        <f t="shared" si="25"/>
        <v>0-180 DAYS</v>
      </c>
    </row>
    <row r="434" spans="1:10" hidden="1" x14ac:dyDescent="0.35">
      <c r="A434" s="2" t="s">
        <v>1209</v>
      </c>
      <c r="B434" s="2" t="s">
        <v>789</v>
      </c>
      <c r="C434" s="18" t="s">
        <v>125</v>
      </c>
      <c r="D434" s="18" t="s">
        <v>57</v>
      </c>
      <c r="E434" s="18" t="s">
        <v>3612</v>
      </c>
      <c r="F434" s="19">
        <v>45744</v>
      </c>
      <c r="G434" s="18">
        <v>12902.92</v>
      </c>
      <c r="H434" s="37">
        <f t="shared" si="24"/>
        <v>4</v>
      </c>
      <c r="I434" s="37" t="str">
        <f t="shared" si="26"/>
        <v>1-90 DAYS</v>
      </c>
      <c r="J434" s="37" t="str">
        <f t="shared" si="25"/>
        <v>0-180 DAYS</v>
      </c>
    </row>
    <row r="435" spans="1:10" hidden="1" x14ac:dyDescent="0.35">
      <c r="A435" s="2" t="s">
        <v>1209</v>
      </c>
      <c r="B435" s="2" t="s">
        <v>789</v>
      </c>
      <c r="C435" s="18" t="s">
        <v>125</v>
      </c>
      <c r="D435" s="18" t="s">
        <v>57</v>
      </c>
      <c r="E435" s="18" t="s">
        <v>3613</v>
      </c>
      <c r="F435" s="19">
        <v>45744</v>
      </c>
      <c r="G435" s="18">
        <v>1537086.99</v>
      </c>
      <c r="H435" s="37">
        <f t="shared" si="24"/>
        <v>4</v>
      </c>
      <c r="I435" s="37" t="str">
        <f t="shared" si="26"/>
        <v>1-90 DAYS</v>
      </c>
      <c r="J435" s="37" t="str">
        <f t="shared" si="25"/>
        <v>0-180 DAYS</v>
      </c>
    </row>
    <row r="436" spans="1:10" hidden="1" x14ac:dyDescent="0.35">
      <c r="A436" s="2" t="s">
        <v>1209</v>
      </c>
      <c r="B436" s="2" t="s">
        <v>789</v>
      </c>
      <c r="C436" s="18" t="s">
        <v>125</v>
      </c>
      <c r="D436" s="18" t="s">
        <v>57</v>
      </c>
      <c r="E436" s="18" t="s">
        <v>3614</v>
      </c>
      <c r="F436" s="19">
        <v>45744</v>
      </c>
      <c r="G436" s="18">
        <v>38757.64</v>
      </c>
      <c r="H436" s="37">
        <f t="shared" si="24"/>
        <v>4</v>
      </c>
      <c r="I436" s="37" t="str">
        <f t="shared" si="26"/>
        <v>1-90 DAYS</v>
      </c>
      <c r="J436" s="37" t="str">
        <f t="shared" si="25"/>
        <v>0-180 DAYS</v>
      </c>
    </row>
    <row r="437" spans="1:10" hidden="1" x14ac:dyDescent="0.35">
      <c r="A437" s="2" t="s">
        <v>1209</v>
      </c>
      <c r="B437" s="2" t="s">
        <v>789</v>
      </c>
      <c r="C437" s="18" t="s">
        <v>125</v>
      </c>
      <c r="D437" s="18" t="s">
        <v>57</v>
      </c>
      <c r="E437" s="18" t="s">
        <v>3615</v>
      </c>
      <c r="F437" s="19">
        <v>45744</v>
      </c>
      <c r="G437" s="18">
        <v>678.68</v>
      </c>
      <c r="H437" s="37">
        <f t="shared" si="24"/>
        <v>4</v>
      </c>
      <c r="I437" s="37" t="str">
        <f t="shared" si="26"/>
        <v>1-90 DAYS</v>
      </c>
      <c r="J437" s="37" t="str">
        <f t="shared" si="25"/>
        <v>0-180 DAYS</v>
      </c>
    </row>
    <row r="438" spans="1:10" hidden="1" x14ac:dyDescent="0.35">
      <c r="A438" s="2" t="s">
        <v>1209</v>
      </c>
      <c r="B438" s="2" t="s">
        <v>789</v>
      </c>
      <c r="C438" s="18" t="s">
        <v>125</v>
      </c>
      <c r="D438" s="18" t="s">
        <v>57</v>
      </c>
      <c r="E438" s="18" t="s">
        <v>3616</v>
      </c>
      <c r="F438" s="19">
        <v>45745</v>
      </c>
      <c r="G438" s="18">
        <v>4075.08</v>
      </c>
      <c r="H438" s="37">
        <f t="shared" si="24"/>
        <v>3</v>
      </c>
      <c r="I438" s="37" t="str">
        <f t="shared" si="26"/>
        <v>1-90 DAYS</v>
      </c>
      <c r="J438" s="37" t="str">
        <f t="shared" si="25"/>
        <v>0-180 DAYS</v>
      </c>
    </row>
    <row r="439" spans="1:10" hidden="1" x14ac:dyDescent="0.35">
      <c r="A439" s="2" t="s">
        <v>1209</v>
      </c>
      <c r="B439" s="2" t="s">
        <v>789</v>
      </c>
      <c r="C439" s="18" t="s">
        <v>125</v>
      </c>
      <c r="D439" s="18" t="s">
        <v>57</v>
      </c>
      <c r="E439" s="18" t="s">
        <v>3617</v>
      </c>
      <c r="F439" s="19">
        <v>45745</v>
      </c>
      <c r="G439" s="18">
        <v>414203.76</v>
      </c>
      <c r="H439" s="37">
        <f t="shared" si="24"/>
        <v>3</v>
      </c>
      <c r="I439" s="37" t="str">
        <f t="shared" si="26"/>
        <v>1-90 DAYS</v>
      </c>
      <c r="J439" s="37" t="str">
        <f t="shared" si="25"/>
        <v>0-180 DAYS</v>
      </c>
    </row>
    <row r="440" spans="1:10" hidden="1" x14ac:dyDescent="0.35">
      <c r="A440" s="2" t="s">
        <v>1209</v>
      </c>
      <c r="B440" s="2" t="s">
        <v>789</v>
      </c>
      <c r="C440" s="18" t="s">
        <v>125</v>
      </c>
      <c r="D440" s="18" t="s">
        <v>57</v>
      </c>
      <c r="E440" s="18" t="s">
        <v>3618</v>
      </c>
      <c r="F440" s="19">
        <v>45745</v>
      </c>
      <c r="G440" s="18">
        <v>4810.3999999999996</v>
      </c>
      <c r="H440" s="37">
        <f t="shared" si="24"/>
        <v>3</v>
      </c>
      <c r="I440" s="37" t="str">
        <f t="shared" si="26"/>
        <v>1-90 DAYS</v>
      </c>
      <c r="J440" s="37" t="str">
        <f t="shared" si="25"/>
        <v>0-180 DAYS</v>
      </c>
    </row>
    <row r="441" spans="1:10" hidden="1" x14ac:dyDescent="0.35">
      <c r="A441" s="2" t="s">
        <v>1209</v>
      </c>
      <c r="B441" s="2" t="s">
        <v>789</v>
      </c>
      <c r="C441" s="18" t="s">
        <v>125</v>
      </c>
      <c r="D441" s="18" t="s">
        <v>57</v>
      </c>
      <c r="E441" s="18" t="s">
        <v>3619</v>
      </c>
      <c r="F441" s="19">
        <v>45745</v>
      </c>
      <c r="G441" s="18">
        <v>297391.28999999998</v>
      </c>
      <c r="H441" s="37">
        <f t="shared" si="24"/>
        <v>3</v>
      </c>
      <c r="I441" s="37" t="str">
        <f t="shared" si="26"/>
        <v>1-90 DAYS</v>
      </c>
      <c r="J441" s="37" t="str">
        <f t="shared" si="25"/>
        <v>0-180 DAYS</v>
      </c>
    </row>
    <row r="442" spans="1:10" hidden="1" x14ac:dyDescent="0.35">
      <c r="A442" s="2" t="s">
        <v>1209</v>
      </c>
      <c r="B442" s="2" t="s">
        <v>789</v>
      </c>
      <c r="C442" s="18" t="s">
        <v>125</v>
      </c>
      <c r="D442" s="18" t="s">
        <v>57</v>
      </c>
      <c r="E442" s="18" t="s">
        <v>3620</v>
      </c>
      <c r="F442" s="19">
        <v>45745</v>
      </c>
      <c r="G442" s="18">
        <v>19925</v>
      </c>
      <c r="H442" s="37">
        <f t="shared" si="24"/>
        <v>3</v>
      </c>
      <c r="I442" s="37" t="str">
        <f t="shared" si="26"/>
        <v>1-90 DAYS</v>
      </c>
      <c r="J442" s="37" t="str">
        <f t="shared" si="25"/>
        <v>0-180 DAYS</v>
      </c>
    </row>
    <row r="443" spans="1:10" hidden="1" x14ac:dyDescent="0.35">
      <c r="A443" s="2" t="s">
        <v>1209</v>
      </c>
      <c r="B443" s="2" t="s">
        <v>789</v>
      </c>
      <c r="C443" s="18" t="s">
        <v>125</v>
      </c>
      <c r="D443" s="18" t="s">
        <v>57</v>
      </c>
      <c r="E443" s="18" t="s">
        <v>3621</v>
      </c>
      <c r="F443" s="19">
        <v>45746</v>
      </c>
      <c r="G443" s="18">
        <v>671140.45</v>
      </c>
      <c r="H443" s="37">
        <f t="shared" si="24"/>
        <v>2</v>
      </c>
      <c r="I443" s="37" t="str">
        <f t="shared" si="26"/>
        <v>1-90 DAYS</v>
      </c>
      <c r="J443" s="37" t="str">
        <f t="shared" si="25"/>
        <v>0-180 DAYS</v>
      </c>
    </row>
    <row r="444" spans="1:10" hidden="1" x14ac:dyDescent="0.35">
      <c r="A444" s="2" t="s">
        <v>1209</v>
      </c>
      <c r="B444" s="2" t="s">
        <v>789</v>
      </c>
      <c r="C444" s="18" t="s">
        <v>125</v>
      </c>
      <c r="D444" s="18" t="s">
        <v>57</v>
      </c>
      <c r="E444" s="18" t="s">
        <v>3622</v>
      </c>
      <c r="F444" s="19">
        <v>45746</v>
      </c>
      <c r="G444" s="18">
        <v>3225.48</v>
      </c>
      <c r="H444" s="37">
        <f t="shared" si="24"/>
        <v>2</v>
      </c>
      <c r="I444" s="37" t="str">
        <f t="shared" si="26"/>
        <v>1-90 DAYS</v>
      </c>
      <c r="J444" s="37" t="str">
        <f t="shared" si="25"/>
        <v>0-180 DAYS</v>
      </c>
    </row>
    <row r="445" spans="1:10" hidden="1" x14ac:dyDescent="0.35">
      <c r="A445" s="2" t="s">
        <v>1209</v>
      </c>
      <c r="B445" s="2" t="s">
        <v>789</v>
      </c>
      <c r="C445" s="18" t="s">
        <v>125</v>
      </c>
      <c r="D445" s="18" t="s">
        <v>57</v>
      </c>
      <c r="E445" s="18" t="s">
        <v>3623</v>
      </c>
      <c r="F445" s="19">
        <v>45746</v>
      </c>
      <c r="G445" s="18">
        <v>528076.6</v>
      </c>
      <c r="H445" s="37">
        <f t="shared" si="24"/>
        <v>2</v>
      </c>
      <c r="I445" s="37" t="str">
        <f t="shared" si="26"/>
        <v>1-90 DAYS</v>
      </c>
      <c r="J445" s="37" t="str">
        <f t="shared" si="25"/>
        <v>0-180 DAYS</v>
      </c>
    </row>
    <row r="446" spans="1:10" hidden="1" x14ac:dyDescent="0.35">
      <c r="A446" s="2" t="s">
        <v>1209</v>
      </c>
      <c r="B446" s="2" t="s">
        <v>789</v>
      </c>
      <c r="C446" s="18" t="s">
        <v>125</v>
      </c>
      <c r="D446" s="18" t="s">
        <v>57</v>
      </c>
      <c r="E446" s="18" t="s">
        <v>3624</v>
      </c>
      <c r="F446" s="19">
        <v>45746</v>
      </c>
      <c r="G446" s="18">
        <v>33550</v>
      </c>
      <c r="H446" s="37">
        <f t="shared" si="24"/>
        <v>2</v>
      </c>
      <c r="I446" s="37" t="str">
        <f t="shared" si="26"/>
        <v>1-90 DAYS</v>
      </c>
      <c r="J446" s="37" t="str">
        <f t="shared" si="25"/>
        <v>0-180 DAYS</v>
      </c>
    </row>
    <row r="447" spans="1:10" hidden="1" x14ac:dyDescent="0.35">
      <c r="A447" s="2" t="s">
        <v>1209</v>
      </c>
      <c r="B447" s="2" t="s">
        <v>789</v>
      </c>
      <c r="C447" s="18" t="s">
        <v>125</v>
      </c>
      <c r="D447" s="18" t="s">
        <v>57</v>
      </c>
      <c r="E447" s="18" t="s">
        <v>3625</v>
      </c>
      <c r="F447" s="19">
        <v>45747</v>
      </c>
      <c r="G447" s="18">
        <v>102085.55</v>
      </c>
      <c r="H447" s="37">
        <f t="shared" si="24"/>
        <v>1</v>
      </c>
      <c r="I447" s="37" t="str">
        <f t="shared" si="26"/>
        <v>1-90 DAYS</v>
      </c>
      <c r="J447" s="37" t="str">
        <f t="shared" si="25"/>
        <v>0-180 DAYS</v>
      </c>
    </row>
    <row r="448" spans="1:10" hidden="1" x14ac:dyDescent="0.35">
      <c r="A448" s="2" t="s">
        <v>1209</v>
      </c>
      <c r="B448" s="2" t="s">
        <v>789</v>
      </c>
      <c r="C448" s="18" t="s">
        <v>125</v>
      </c>
      <c r="D448" s="18" t="s">
        <v>57</v>
      </c>
      <c r="E448" s="18" t="s">
        <v>3626</v>
      </c>
      <c r="F448" s="19">
        <v>45718</v>
      </c>
      <c r="G448" s="18">
        <v>611644.87</v>
      </c>
      <c r="H448" s="37">
        <f t="shared" si="24"/>
        <v>30</v>
      </c>
      <c r="I448" s="37" t="str">
        <f t="shared" si="26"/>
        <v>1-90 DAYS</v>
      </c>
      <c r="J448" s="37" t="str">
        <f t="shared" si="25"/>
        <v>0-180 DAYS</v>
      </c>
    </row>
    <row r="449" spans="1:10" hidden="1" x14ac:dyDescent="0.35">
      <c r="A449" s="2" t="s">
        <v>1209</v>
      </c>
      <c r="B449" s="2" t="s">
        <v>789</v>
      </c>
      <c r="C449" s="18" t="s">
        <v>125</v>
      </c>
      <c r="D449" s="18" t="s">
        <v>57</v>
      </c>
      <c r="E449" s="18" t="s">
        <v>3627</v>
      </c>
      <c r="F449" s="19">
        <v>45718</v>
      </c>
      <c r="G449" s="18">
        <v>5432.83</v>
      </c>
      <c r="H449" s="37">
        <f t="shared" si="24"/>
        <v>30</v>
      </c>
      <c r="I449" s="37" t="str">
        <f t="shared" si="26"/>
        <v>1-90 DAYS</v>
      </c>
      <c r="J449" s="37" t="str">
        <f t="shared" si="25"/>
        <v>0-180 DAYS</v>
      </c>
    </row>
    <row r="450" spans="1:10" hidden="1" x14ac:dyDescent="0.35">
      <c r="A450" s="2" t="s">
        <v>1209</v>
      </c>
      <c r="B450" s="2" t="s">
        <v>789</v>
      </c>
      <c r="C450" s="18" t="s">
        <v>125</v>
      </c>
      <c r="D450" s="18" t="s">
        <v>57</v>
      </c>
      <c r="E450" s="18" t="s">
        <v>298</v>
      </c>
      <c r="F450" s="19">
        <v>45721</v>
      </c>
      <c r="G450" s="18">
        <v>767086.19</v>
      </c>
      <c r="H450" s="37">
        <f t="shared" si="24"/>
        <v>27</v>
      </c>
      <c r="I450" s="37" t="str">
        <f t="shared" si="26"/>
        <v>1-90 DAYS</v>
      </c>
      <c r="J450" s="37" t="str">
        <f t="shared" si="25"/>
        <v>0-180 DAYS</v>
      </c>
    </row>
    <row r="451" spans="1:10" hidden="1" x14ac:dyDescent="0.35">
      <c r="A451" s="2" t="s">
        <v>1209</v>
      </c>
      <c r="B451" s="2" t="s">
        <v>789</v>
      </c>
      <c r="C451" s="18" t="s">
        <v>125</v>
      </c>
      <c r="D451" s="18" t="s">
        <v>57</v>
      </c>
      <c r="E451" s="18" t="s">
        <v>3628</v>
      </c>
      <c r="F451" s="19">
        <v>45723</v>
      </c>
      <c r="G451" s="18">
        <v>716396.75</v>
      </c>
      <c r="H451" s="37">
        <f t="shared" si="24"/>
        <v>25</v>
      </c>
      <c r="I451" s="37" t="str">
        <f t="shared" si="26"/>
        <v>1-90 DAYS</v>
      </c>
      <c r="J451" s="37" t="str">
        <f t="shared" si="25"/>
        <v>0-180 DAYS</v>
      </c>
    </row>
    <row r="452" spans="1:10" hidden="1" x14ac:dyDescent="0.35">
      <c r="A452" s="2" t="s">
        <v>1209</v>
      </c>
      <c r="B452" s="2" t="s">
        <v>789</v>
      </c>
      <c r="C452" s="18" t="s">
        <v>125</v>
      </c>
      <c r="D452" s="18" t="s">
        <v>57</v>
      </c>
      <c r="E452" s="18" t="s">
        <v>295</v>
      </c>
      <c r="F452" s="19">
        <v>45723</v>
      </c>
      <c r="G452" s="18">
        <v>7696.51</v>
      </c>
      <c r="H452" s="37">
        <f t="shared" si="24"/>
        <v>25</v>
      </c>
      <c r="I452" s="37" t="str">
        <f t="shared" si="26"/>
        <v>1-90 DAYS</v>
      </c>
      <c r="J452" s="37" t="str">
        <f t="shared" si="25"/>
        <v>0-180 DAYS</v>
      </c>
    </row>
    <row r="453" spans="1:10" hidden="1" x14ac:dyDescent="0.35">
      <c r="A453" s="2" t="s">
        <v>1209</v>
      </c>
      <c r="B453" s="2" t="s">
        <v>789</v>
      </c>
      <c r="C453" s="18" t="s">
        <v>125</v>
      </c>
      <c r="D453" s="18" t="s">
        <v>57</v>
      </c>
      <c r="E453" s="18" t="s">
        <v>3629</v>
      </c>
      <c r="F453" s="19">
        <v>45726</v>
      </c>
      <c r="G453" s="18">
        <v>332934.96999999997</v>
      </c>
      <c r="H453" s="37">
        <f t="shared" si="24"/>
        <v>22</v>
      </c>
      <c r="I453" s="37" t="str">
        <f t="shared" si="26"/>
        <v>1-90 DAYS</v>
      </c>
      <c r="J453" s="37" t="str">
        <f t="shared" si="25"/>
        <v>0-180 DAYS</v>
      </c>
    </row>
    <row r="454" spans="1:10" hidden="1" x14ac:dyDescent="0.35">
      <c r="A454" s="2" t="s">
        <v>1209</v>
      </c>
      <c r="B454" s="2" t="s">
        <v>789</v>
      </c>
      <c r="C454" s="18" t="s">
        <v>125</v>
      </c>
      <c r="D454" s="18" t="s">
        <v>57</v>
      </c>
      <c r="E454" s="18" t="s">
        <v>3630</v>
      </c>
      <c r="F454" s="19">
        <v>45726</v>
      </c>
      <c r="G454" s="18">
        <v>2773.01</v>
      </c>
      <c r="H454" s="37">
        <f t="shared" si="24"/>
        <v>22</v>
      </c>
      <c r="I454" s="37" t="str">
        <f t="shared" si="26"/>
        <v>1-90 DAYS</v>
      </c>
      <c r="J454" s="37" t="str">
        <f t="shared" si="25"/>
        <v>0-180 DAYS</v>
      </c>
    </row>
    <row r="455" spans="1:10" hidden="1" x14ac:dyDescent="0.35">
      <c r="A455" s="2" t="s">
        <v>1209</v>
      </c>
      <c r="B455" s="2" t="s">
        <v>789</v>
      </c>
      <c r="C455" s="18" t="s">
        <v>125</v>
      </c>
      <c r="D455" s="18" t="s">
        <v>57</v>
      </c>
      <c r="E455" s="18" t="s">
        <v>301</v>
      </c>
      <c r="F455" s="19">
        <v>45726</v>
      </c>
      <c r="G455" s="18">
        <v>597753</v>
      </c>
      <c r="H455" s="37">
        <f t="shared" si="24"/>
        <v>22</v>
      </c>
      <c r="I455" s="37" t="str">
        <f t="shared" si="26"/>
        <v>1-90 DAYS</v>
      </c>
      <c r="J455" s="37" t="str">
        <f t="shared" si="25"/>
        <v>0-180 DAYS</v>
      </c>
    </row>
    <row r="456" spans="1:10" hidden="1" x14ac:dyDescent="0.35">
      <c r="A456" s="2" t="s">
        <v>1209</v>
      </c>
      <c r="B456" s="2" t="s">
        <v>789</v>
      </c>
      <c r="C456" s="18" t="s">
        <v>125</v>
      </c>
      <c r="D456" s="18" t="s">
        <v>57</v>
      </c>
      <c r="E456" s="18" t="s">
        <v>3631</v>
      </c>
      <c r="F456" s="19">
        <v>45727</v>
      </c>
      <c r="G456" s="18">
        <v>4283504.5199999996</v>
      </c>
      <c r="H456" s="37">
        <f t="shared" si="24"/>
        <v>21</v>
      </c>
      <c r="I456" s="37" t="str">
        <f t="shared" si="26"/>
        <v>1-90 DAYS</v>
      </c>
      <c r="J456" s="37" t="str">
        <f t="shared" si="25"/>
        <v>0-180 DAYS</v>
      </c>
    </row>
    <row r="457" spans="1:10" hidden="1" x14ac:dyDescent="0.35">
      <c r="A457" s="2" t="s">
        <v>1209</v>
      </c>
      <c r="B457" s="2" t="s">
        <v>789</v>
      </c>
      <c r="C457" s="18" t="s">
        <v>125</v>
      </c>
      <c r="D457" s="18" t="s">
        <v>57</v>
      </c>
      <c r="E457" s="18" t="s">
        <v>3632</v>
      </c>
      <c r="F457" s="19">
        <v>45728</v>
      </c>
      <c r="G457" s="18">
        <v>861022.7</v>
      </c>
      <c r="H457" s="37">
        <f t="shared" si="24"/>
        <v>20</v>
      </c>
      <c r="I457" s="37" t="str">
        <f t="shared" si="26"/>
        <v>1-90 DAYS</v>
      </c>
      <c r="J457" s="37" t="str">
        <f t="shared" si="25"/>
        <v>0-180 DAYS</v>
      </c>
    </row>
    <row r="458" spans="1:10" hidden="1" x14ac:dyDescent="0.35">
      <c r="A458" s="2" t="s">
        <v>1209</v>
      </c>
      <c r="B458" s="2" t="s">
        <v>789</v>
      </c>
      <c r="C458" s="18" t="s">
        <v>125</v>
      </c>
      <c r="D458" s="18" t="s">
        <v>57</v>
      </c>
      <c r="E458" s="18" t="s">
        <v>3633</v>
      </c>
      <c r="F458" s="19">
        <v>45728</v>
      </c>
      <c r="G458" s="18">
        <v>8545.39</v>
      </c>
      <c r="H458" s="37">
        <f t="shared" si="24"/>
        <v>20</v>
      </c>
      <c r="I458" s="37" t="str">
        <f t="shared" si="26"/>
        <v>1-90 DAYS</v>
      </c>
      <c r="J458" s="37" t="str">
        <f t="shared" si="25"/>
        <v>0-180 DAYS</v>
      </c>
    </row>
    <row r="459" spans="1:10" hidden="1" x14ac:dyDescent="0.35">
      <c r="A459" s="2" t="s">
        <v>1209</v>
      </c>
      <c r="B459" s="2" t="s">
        <v>789</v>
      </c>
      <c r="C459" s="18" t="s">
        <v>125</v>
      </c>
      <c r="D459" s="18" t="s">
        <v>57</v>
      </c>
      <c r="E459" s="18" t="s">
        <v>3634</v>
      </c>
      <c r="F459" s="19">
        <v>45732</v>
      </c>
      <c r="G459" s="18">
        <v>1106294.75</v>
      </c>
      <c r="H459" s="37">
        <f t="shared" si="24"/>
        <v>16</v>
      </c>
      <c r="I459" s="37" t="str">
        <f t="shared" si="26"/>
        <v>1-90 DAYS</v>
      </c>
      <c r="J459" s="37" t="str">
        <f t="shared" si="25"/>
        <v>0-180 DAYS</v>
      </c>
    </row>
    <row r="460" spans="1:10" hidden="1" x14ac:dyDescent="0.35">
      <c r="A460" s="2" t="s">
        <v>1209</v>
      </c>
      <c r="B460" s="2" t="s">
        <v>789</v>
      </c>
      <c r="C460" s="18" t="s">
        <v>125</v>
      </c>
      <c r="D460" s="18" t="s">
        <v>57</v>
      </c>
      <c r="E460" s="18" t="s">
        <v>3635</v>
      </c>
      <c r="F460" s="19">
        <v>45732</v>
      </c>
      <c r="G460" s="18">
        <v>15732.58</v>
      </c>
      <c r="H460" s="37">
        <f t="shared" ref="H460:H523" si="27">$H$9-F460+1</f>
        <v>16</v>
      </c>
      <c r="I460" s="37" t="str">
        <f t="shared" si="26"/>
        <v>1-90 DAYS</v>
      </c>
      <c r="J460" s="37" t="str">
        <f t="shared" si="25"/>
        <v>0-180 DAYS</v>
      </c>
    </row>
    <row r="461" spans="1:10" hidden="1" x14ac:dyDescent="0.35">
      <c r="A461" s="2" t="s">
        <v>1209</v>
      </c>
      <c r="B461" s="2" t="s">
        <v>789</v>
      </c>
      <c r="C461" s="18" t="s">
        <v>125</v>
      </c>
      <c r="D461" s="18" t="s">
        <v>57</v>
      </c>
      <c r="E461" s="18" t="s">
        <v>434</v>
      </c>
      <c r="F461" s="19">
        <v>45735</v>
      </c>
      <c r="G461" s="18">
        <v>894612.07</v>
      </c>
      <c r="H461" s="37">
        <f t="shared" si="27"/>
        <v>13</v>
      </c>
      <c r="I461" s="37" t="str">
        <f t="shared" si="26"/>
        <v>1-90 DAYS</v>
      </c>
      <c r="J461" s="37" t="str">
        <f t="shared" si="25"/>
        <v>0-180 DAYS</v>
      </c>
    </row>
    <row r="462" spans="1:10" hidden="1" x14ac:dyDescent="0.35">
      <c r="A462" s="2" t="s">
        <v>1209</v>
      </c>
      <c r="B462" s="2" t="s">
        <v>789</v>
      </c>
      <c r="C462" s="18" t="s">
        <v>125</v>
      </c>
      <c r="D462" s="18" t="s">
        <v>57</v>
      </c>
      <c r="E462" s="18" t="s">
        <v>3636</v>
      </c>
      <c r="F462" s="19">
        <v>45737</v>
      </c>
      <c r="G462" s="18">
        <v>882144.98</v>
      </c>
      <c r="H462" s="37">
        <f t="shared" si="27"/>
        <v>11</v>
      </c>
      <c r="I462" s="37" t="str">
        <f t="shared" si="26"/>
        <v>1-90 DAYS</v>
      </c>
      <c r="J462" s="37" t="str">
        <f t="shared" ref="J462:J525" si="28">IF(H462&lt;180,"0-180 DAYS","More than 180 Days")</f>
        <v>0-180 DAYS</v>
      </c>
    </row>
    <row r="463" spans="1:10" hidden="1" x14ac:dyDescent="0.35">
      <c r="A463" s="2" t="s">
        <v>1209</v>
      </c>
      <c r="B463" s="2" t="s">
        <v>789</v>
      </c>
      <c r="C463" s="18" t="s">
        <v>125</v>
      </c>
      <c r="D463" s="18" t="s">
        <v>57</v>
      </c>
      <c r="E463" s="18" t="s">
        <v>3637</v>
      </c>
      <c r="F463" s="19">
        <v>45737</v>
      </c>
      <c r="G463" s="18">
        <v>691974.22</v>
      </c>
      <c r="H463" s="37">
        <f t="shared" si="27"/>
        <v>11</v>
      </c>
      <c r="I463" s="37" t="str">
        <f t="shared" si="26"/>
        <v>1-90 DAYS</v>
      </c>
      <c r="J463" s="37" t="str">
        <f t="shared" si="28"/>
        <v>0-180 DAYS</v>
      </c>
    </row>
    <row r="464" spans="1:10" hidden="1" x14ac:dyDescent="0.35">
      <c r="A464" s="2" t="s">
        <v>1209</v>
      </c>
      <c r="B464" s="2" t="s">
        <v>789</v>
      </c>
      <c r="C464" s="18" t="s">
        <v>125</v>
      </c>
      <c r="D464" s="18" t="s">
        <v>57</v>
      </c>
      <c r="E464" s="18" t="s">
        <v>3638</v>
      </c>
      <c r="F464" s="19">
        <v>45737</v>
      </c>
      <c r="G464" s="18">
        <v>4527.3599999999997</v>
      </c>
      <c r="H464" s="37">
        <f t="shared" si="27"/>
        <v>11</v>
      </c>
      <c r="I464" s="37" t="str">
        <f t="shared" si="26"/>
        <v>1-90 DAYS</v>
      </c>
      <c r="J464" s="37" t="str">
        <f t="shared" si="28"/>
        <v>0-180 DAYS</v>
      </c>
    </row>
    <row r="465" spans="1:10" hidden="1" x14ac:dyDescent="0.35">
      <c r="A465" s="2" t="s">
        <v>1209</v>
      </c>
      <c r="B465" s="2" t="s">
        <v>789</v>
      </c>
      <c r="C465" s="18" t="s">
        <v>125</v>
      </c>
      <c r="D465" s="18" t="s">
        <v>57</v>
      </c>
      <c r="E465" s="18" t="s">
        <v>3639</v>
      </c>
      <c r="F465" s="19">
        <v>45742</v>
      </c>
      <c r="G465" s="18">
        <v>795984.44</v>
      </c>
      <c r="H465" s="37">
        <f t="shared" si="27"/>
        <v>6</v>
      </c>
      <c r="I465" s="37" t="str">
        <f t="shared" si="26"/>
        <v>1-90 DAYS</v>
      </c>
      <c r="J465" s="37" t="str">
        <f t="shared" si="28"/>
        <v>0-180 DAYS</v>
      </c>
    </row>
    <row r="466" spans="1:10" hidden="1" x14ac:dyDescent="0.35">
      <c r="A466" s="2" t="s">
        <v>1209</v>
      </c>
      <c r="B466" s="2" t="s">
        <v>789</v>
      </c>
      <c r="C466" s="18" t="s">
        <v>125</v>
      </c>
      <c r="D466" s="18" t="s">
        <v>57</v>
      </c>
      <c r="E466" s="18" t="s">
        <v>3640</v>
      </c>
      <c r="F466" s="19">
        <v>45743</v>
      </c>
      <c r="G466" s="18">
        <v>3574085.01</v>
      </c>
      <c r="H466" s="37">
        <f t="shared" si="27"/>
        <v>5</v>
      </c>
      <c r="I466" s="37" t="str">
        <f t="shared" si="26"/>
        <v>1-90 DAYS</v>
      </c>
      <c r="J466" s="37" t="str">
        <f t="shared" si="28"/>
        <v>0-180 DAYS</v>
      </c>
    </row>
    <row r="467" spans="1:10" hidden="1" x14ac:dyDescent="0.35">
      <c r="A467" s="2" t="s">
        <v>1209</v>
      </c>
      <c r="B467" s="2" t="s">
        <v>789</v>
      </c>
      <c r="C467" s="18" t="s">
        <v>125</v>
      </c>
      <c r="D467" s="18" t="s">
        <v>57</v>
      </c>
      <c r="E467" s="18" t="s">
        <v>3641</v>
      </c>
      <c r="F467" s="19">
        <v>45744</v>
      </c>
      <c r="G467" s="18">
        <v>740261.09</v>
      </c>
      <c r="H467" s="37">
        <f t="shared" si="27"/>
        <v>4</v>
      </c>
      <c r="I467" s="37" t="str">
        <f t="shared" si="26"/>
        <v>1-90 DAYS</v>
      </c>
      <c r="J467" s="37" t="str">
        <f t="shared" si="28"/>
        <v>0-180 DAYS</v>
      </c>
    </row>
    <row r="468" spans="1:10" hidden="1" x14ac:dyDescent="0.35">
      <c r="A468" s="2" t="s">
        <v>1209</v>
      </c>
      <c r="B468" s="2" t="s">
        <v>789</v>
      </c>
      <c r="C468" s="18" t="s">
        <v>125</v>
      </c>
      <c r="D468" s="18" t="s">
        <v>57</v>
      </c>
      <c r="E468" s="18" t="s">
        <v>3642</v>
      </c>
      <c r="F468" s="19">
        <v>45744</v>
      </c>
      <c r="G468" s="18">
        <v>9111.31</v>
      </c>
      <c r="H468" s="37">
        <f t="shared" si="27"/>
        <v>4</v>
      </c>
      <c r="I468" s="37" t="str">
        <f t="shared" si="26"/>
        <v>1-90 DAYS</v>
      </c>
      <c r="J468" s="37" t="str">
        <f t="shared" si="28"/>
        <v>0-180 DAYS</v>
      </c>
    </row>
    <row r="469" spans="1:10" hidden="1" x14ac:dyDescent="0.35">
      <c r="A469" s="2" t="s">
        <v>1209</v>
      </c>
      <c r="B469" s="2" t="s">
        <v>789</v>
      </c>
      <c r="C469" s="18" t="s">
        <v>125</v>
      </c>
      <c r="D469" s="18" t="s">
        <v>57</v>
      </c>
      <c r="E469" s="18" t="s">
        <v>438</v>
      </c>
      <c r="F469" s="19">
        <v>45744</v>
      </c>
      <c r="G469" s="18">
        <v>398502</v>
      </c>
      <c r="H469" s="37">
        <f t="shared" si="27"/>
        <v>4</v>
      </c>
      <c r="I469" s="37" t="str">
        <f t="shared" si="26"/>
        <v>1-90 DAYS</v>
      </c>
      <c r="J469" s="37" t="str">
        <f t="shared" si="28"/>
        <v>0-180 DAYS</v>
      </c>
    </row>
    <row r="470" spans="1:10" hidden="1" x14ac:dyDescent="0.35">
      <c r="A470" s="2" t="s">
        <v>1209</v>
      </c>
      <c r="B470" s="2" t="s">
        <v>789</v>
      </c>
      <c r="C470" s="18" t="s">
        <v>125</v>
      </c>
      <c r="D470" s="18" t="s">
        <v>57</v>
      </c>
      <c r="E470" s="18" t="s">
        <v>3643</v>
      </c>
      <c r="F470" s="19">
        <v>45745</v>
      </c>
      <c r="G470" s="18">
        <v>107818.11</v>
      </c>
      <c r="H470" s="37">
        <f t="shared" si="27"/>
        <v>3</v>
      </c>
      <c r="I470" s="37" t="str">
        <f t="shared" si="26"/>
        <v>1-90 DAYS</v>
      </c>
      <c r="J470" s="37" t="str">
        <f t="shared" si="28"/>
        <v>0-180 DAYS</v>
      </c>
    </row>
    <row r="471" spans="1:10" hidden="1" x14ac:dyDescent="0.35">
      <c r="A471" s="2" t="s">
        <v>1209</v>
      </c>
      <c r="B471" s="2" t="s">
        <v>789</v>
      </c>
      <c r="C471" s="18" t="s">
        <v>125</v>
      </c>
      <c r="D471" s="18" t="s">
        <v>57</v>
      </c>
      <c r="E471" s="18" t="s">
        <v>3644</v>
      </c>
      <c r="F471" s="19">
        <v>45720</v>
      </c>
      <c r="G471" s="18">
        <v>201133.41</v>
      </c>
      <c r="H471" s="37">
        <f t="shared" si="27"/>
        <v>28</v>
      </c>
      <c r="I471" s="37" t="str">
        <f t="shared" si="26"/>
        <v>1-90 DAYS</v>
      </c>
      <c r="J471" s="37" t="str">
        <f t="shared" si="28"/>
        <v>0-180 DAYS</v>
      </c>
    </row>
    <row r="472" spans="1:10" hidden="1" x14ac:dyDescent="0.35">
      <c r="A472" s="2" t="s">
        <v>1209</v>
      </c>
      <c r="B472" s="2" t="s">
        <v>789</v>
      </c>
      <c r="C472" s="18" t="s">
        <v>125</v>
      </c>
      <c r="D472" s="18" t="s">
        <v>57</v>
      </c>
      <c r="E472" s="18" t="s">
        <v>3645</v>
      </c>
      <c r="F472" s="19">
        <v>45722</v>
      </c>
      <c r="G472" s="18">
        <v>4716</v>
      </c>
      <c r="H472" s="37">
        <f t="shared" si="27"/>
        <v>26</v>
      </c>
      <c r="I472" s="37" t="str">
        <f t="shared" si="26"/>
        <v>1-90 DAYS</v>
      </c>
      <c r="J472" s="37" t="str">
        <f t="shared" si="28"/>
        <v>0-180 DAYS</v>
      </c>
    </row>
    <row r="473" spans="1:10" hidden="1" x14ac:dyDescent="0.35">
      <c r="A473" s="2" t="s">
        <v>1209</v>
      </c>
      <c r="B473" s="2" t="s">
        <v>789</v>
      </c>
      <c r="C473" s="18" t="s">
        <v>125</v>
      </c>
      <c r="D473" s="18" t="s">
        <v>57</v>
      </c>
      <c r="E473" s="18" t="s">
        <v>3646</v>
      </c>
      <c r="F473" s="19">
        <v>45723</v>
      </c>
      <c r="G473" s="18">
        <v>840612.33</v>
      </c>
      <c r="H473" s="37">
        <f t="shared" si="27"/>
        <v>25</v>
      </c>
      <c r="I473" s="37" t="str">
        <f t="shared" si="26"/>
        <v>1-90 DAYS</v>
      </c>
      <c r="J473" s="37" t="str">
        <f t="shared" si="28"/>
        <v>0-180 DAYS</v>
      </c>
    </row>
    <row r="474" spans="1:10" hidden="1" x14ac:dyDescent="0.35">
      <c r="A474" s="2" t="s">
        <v>1209</v>
      </c>
      <c r="B474" s="2" t="s">
        <v>789</v>
      </c>
      <c r="C474" s="18" t="s">
        <v>125</v>
      </c>
      <c r="D474" s="18" t="s">
        <v>57</v>
      </c>
      <c r="E474" s="18" t="s">
        <v>3647</v>
      </c>
      <c r="F474" s="19">
        <v>45734</v>
      </c>
      <c r="G474" s="18">
        <v>19775.11</v>
      </c>
      <c r="H474" s="37">
        <f t="shared" si="27"/>
        <v>14</v>
      </c>
      <c r="I474" s="37" t="str">
        <f t="shared" si="26"/>
        <v>1-90 DAYS</v>
      </c>
      <c r="J474" s="37" t="str">
        <f t="shared" si="28"/>
        <v>0-180 DAYS</v>
      </c>
    </row>
    <row r="475" spans="1:10" hidden="1" x14ac:dyDescent="0.35">
      <c r="A475" s="2" t="s">
        <v>1209</v>
      </c>
      <c r="B475" s="2" t="s">
        <v>789</v>
      </c>
      <c r="C475" s="18" t="s">
        <v>125</v>
      </c>
      <c r="D475" s="18" t="s">
        <v>57</v>
      </c>
      <c r="E475" s="18" t="s">
        <v>3648</v>
      </c>
      <c r="F475" s="19">
        <v>45736</v>
      </c>
      <c r="G475" s="18">
        <v>769727.04</v>
      </c>
      <c r="H475" s="37">
        <f t="shared" si="27"/>
        <v>12</v>
      </c>
      <c r="I475" s="37" t="str">
        <f t="shared" si="26"/>
        <v>1-90 DAYS</v>
      </c>
      <c r="J475" s="37" t="str">
        <f t="shared" si="28"/>
        <v>0-180 DAYS</v>
      </c>
    </row>
    <row r="476" spans="1:10" hidden="1" x14ac:dyDescent="0.35">
      <c r="A476" s="2" t="s">
        <v>1209</v>
      </c>
      <c r="B476" s="2" t="s">
        <v>789</v>
      </c>
      <c r="C476" s="18" t="s">
        <v>125</v>
      </c>
      <c r="D476" s="18" t="s">
        <v>57</v>
      </c>
      <c r="E476" s="18" t="s">
        <v>3649</v>
      </c>
      <c r="F476" s="19">
        <v>45740</v>
      </c>
      <c r="G476" s="18">
        <v>503.55</v>
      </c>
      <c r="H476" s="37">
        <f t="shared" si="27"/>
        <v>8</v>
      </c>
      <c r="I476" s="37" t="str">
        <f t="shared" si="26"/>
        <v>1-90 DAYS</v>
      </c>
      <c r="J476" s="37" t="str">
        <f t="shared" si="28"/>
        <v>0-180 DAYS</v>
      </c>
    </row>
    <row r="477" spans="1:10" hidden="1" x14ac:dyDescent="0.35">
      <c r="A477" s="2" t="s">
        <v>1209</v>
      </c>
      <c r="B477" s="2" t="s">
        <v>789</v>
      </c>
      <c r="C477" s="18" t="s">
        <v>125</v>
      </c>
      <c r="D477" s="18" t="s">
        <v>57</v>
      </c>
      <c r="E477" s="18" t="s">
        <v>3650</v>
      </c>
      <c r="F477" s="19">
        <v>45742</v>
      </c>
      <c r="G477" s="18">
        <v>129515.21</v>
      </c>
      <c r="H477" s="37">
        <f t="shared" si="27"/>
        <v>6</v>
      </c>
      <c r="I477" s="37" t="str">
        <f t="shared" si="26"/>
        <v>1-90 DAYS</v>
      </c>
      <c r="J477" s="37" t="str">
        <f t="shared" si="28"/>
        <v>0-180 DAYS</v>
      </c>
    </row>
    <row r="478" spans="1:10" hidden="1" x14ac:dyDescent="0.35">
      <c r="A478" s="2" t="s">
        <v>1085</v>
      </c>
      <c r="B478" s="2" t="s">
        <v>790</v>
      </c>
      <c r="C478" s="18" t="s">
        <v>573</v>
      </c>
      <c r="D478" t="s">
        <v>507</v>
      </c>
      <c r="E478" s="18" t="s">
        <v>3651</v>
      </c>
      <c r="F478" s="19">
        <v>45717</v>
      </c>
      <c r="G478" s="18">
        <v>3392762.19</v>
      </c>
      <c r="H478" s="37">
        <f t="shared" si="27"/>
        <v>31</v>
      </c>
      <c r="I478" s="37" t="str">
        <f t="shared" ref="I478:I541" si="29">IF(H478&lt;121,"0-120 DAYS",IF(H478&lt;181,"121-180 DAYS","More than 180 Days"))</f>
        <v>0-120 DAYS</v>
      </c>
      <c r="J478" s="37" t="str">
        <f t="shared" si="28"/>
        <v>0-180 DAYS</v>
      </c>
    </row>
    <row r="479" spans="1:10" hidden="1" x14ac:dyDescent="0.35">
      <c r="A479" s="2" t="s">
        <v>1085</v>
      </c>
      <c r="B479" s="2" t="s">
        <v>790</v>
      </c>
      <c r="C479" s="18" t="s">
        <v>1243</v>
      </c>
      <c r="D479" t="s">
        <v>507</v>
      </c>
      <c r="E479" s="18" t="s">
        <v>3652</v>
      </c>
      <c r="F479" s="19">
        <v>45718</v>
      </c>
      <c r="G479" s="18">
        <v>3936011.7</v>
      </c>
      <c r="H479" s="37">
        <f t="shared" si="27"/>
        <v>30</v>
      </c>
      <c r="I479" s="37" t="str">
        <f t="shared" si="29"/>
        <v>0-120 DAYS</v>
      </c>
      <c r="J479" s="37" t="str">
        <f t="shared" si="28"/>
        <v>0-180 DAYS</v>
      </c>
    </row>
    <row r="480" spans="1:10" hidden="1" x14ac:dyDescent="0.35">
      <c r="A480" s="2" t="s">
        <v>1085</v>
      </c>
      <c r="B480" s="2" t="s">
        <v>790</v>
      </c>
      <c r="C480" s="18" t="s">
        <v>573</v>
      </c>
      <c r="D480" t="s">
        <v>507</v>
      </c>
      <c r="E480" s="18" t="s">
        <v>3653</v>
      </c>
      <c r="F480" s="19">
        <v>45718</v>
      </c>
      <c r="G480" s="18">
        <v>4312963.68</v>
      </c>
      <c r="H480" s="37">
        <f t="shared" si="27"/>
        <v>30</v>
      </c>
      <c r="I480" s="37" t="str">
        <f t="shared" si="29"/>
        <v>0-120 DAYS</v>
      </c>
      <c r="J480" s="37" t="str">
        <f t="shared" si="28"/>
        <v>0-180 DAYS</v>
      </c>
    </row>
    <row r="481" spans="1:10" hidden="1" x14ac:dyDescent="0.35">
      <c r="A481" s="2" t="s">
        <v>1085</v>
      </c>
      <c r="B481" s="2" t="s">
        <v>790</v>
      </c>
      <c r="C481" s="18" t="s">
        <v>548</v>
      </c>
      <c r="D481" t="s">
        <v>507</v>
      </c>
      <c r="E481" s="18" t="s">
        <v>3654</v>
      </c>
      <c r="F481" s="19">
        <v>45721</v>
      </c>
      <c r="G481" s="18">
        <v>2883776.44</v>
      </c>
      <c r="H481" s="37">
        <f t="shared" si="27"/>
        <v>27</v>
      </c>
      <c r="I481" s="37" t="str">
        <f t="shared" si="29"/>
        <v>0-120 DAYS</v>
      </c>
      <c r="J481" s="37" t="str">
        <f t="shared" si="28"/>
        <v>0-180 DAYS</v>
      </c>
    </row>
    <row r="482" spans="1:10" hidden="1" x14ac:dyDescent="0.35">
      <c r="A482" s="2" t="s">
        <v>1085</v>
      </c>
      <c r="B482" s="2" t="s">
        <v>790</v>
      </c>
      <c r="C482" s="18" t="s">
        <v>548</v>
      </c>
      <c r="D482" t="s">
        <v>507</v>
      </c>
      <c r="E482" s="18" t="s">
        <v>3655</v>
      </c>
      <c r="F482" s="19">
        <v>45721</v>
      </c>
      <c r="G482" s="18">
        <v>438510.8</v>
      </c>
      <c r="H482" s="37">
        <f t="shared" si="27"/>
        <v>27</v>
      </c>
      <c r="I482" s="37" t="str">
        <f t="shared" si="29"/>
        <v>0-120 DAYS</v>
      </c>
      <c r="J482" s="37" t="str">
        <f t="shared" si="28"/>
        <v>0-180 DAYS</v>
      </c>
    </row>
    <row r="483" spans="1:10" hidden="1" x14ac:dyDescent="0.35">
      <c r="A483" s="2" t="s">
        <v>1085</v>
      </c>
      <c r="B483" s="2" t="s">
        <v>790</v>
      </c>
      <c r="C483" s="18" t="s">
        <v>1086</v>
      </c>
      <c r="D483" t="s">
        <v>507</v>
      </c>
      <c r="E483" s="18" t="s">
        <v>3656</v>
      </c>
      <c r="F483" s="19">
        <v>45722</v>
      </c>
      <c r="G483" s="18">
        <v>1778324.79</v>
      </c>
      <c r="H483" s="37">
        <f t="shared" si="27"/>
        <v>26</v>
      </c>
      <c r="I483" s="37" t="str">
        <f t="shared" si="29"/>
        <v>0-120 DAYS</v>
      </c>
      <c r="J483" s="37" t="str">
        <f t="shared" si="28"/>
        <v>0-180 DAYS</v>
      </c>
    </row>
    <row r="484" spans="1:10" hidden="1" x14ac:dyDescent="0.35">
      <c r="A484" s="2" t="s">
        <v>1085</v>
      </c>
      <c r="B484" s="2" t="s">
        <v>790</v>
      </c>
      <c r="C484" s="18" t="s">
        <v>1086</v>
      </c>
      <c r="D484" t="s">
        <v>507</v>
      </c>
      <c r="E484" s="18" t="s">
        <v>3657</v>
      </c>
      <c r="F484" s="19">
        <v>45722</v>
      </c>
      <c r="G484" s="18">
        <v>161350.63</v>
      </c>
      <c r="H484" s="37">
        <f t="shared" si="27"/>
        <v>26</v>
      </c>
      <c r="I484" s="37" t="str">
        <f t="shared" si="29"/>
        <v>0-120 DAYS</v>
      </c>
      <c r="J484" s="37" t="str">
        <f t="shared" si="28"/>
        <v>0-180 DAYS</v>
      </c>
    </row>
    <row r="485" spans="1:10" hidden="1" x14ac:dyDescent="0.35">
      <c r="A485" s="2" t="s">
        <v>1085</v>
      </c>
      <c r="B485" s="2" t="s">
        <v>790</v>
      </c>
      <c r="C485" s="18" t="s">
        <v>1086</v>
      </c>
      <c r="D485" t="s">
        <v>507</v>
      </c>
      <c r="E485" s="18" t="s">
        <v>3658</v>
      </c>
      <c r="F485" s="19">
        <v>45722</v>
      </c>
      <c r="G485" s="18">
        <v>25142.95</v>
      </c>
      <c r="H485" s="37">
        <f t="shared" si="27"/>
        <v>26</v>
      </c>
      <c r="I485" s="37" t="str">
        <f t="shared" si="29"/>
        <v>0-120 DAYS</v>
      </c>
      <c r="J485" s="37" t="str">
        <f t="shared" si="28"/>
        <v>0-180 DAYS</v>
      </c>
    </row>
    <row r="486" spans="1:10" hidden="1" x14ac:dyDescent="0.35">
      <c r="A486" s="2" t="s">
        <v>1085</v>
      </c>
      <c r="B486" s="2" t="s">
        <v>790</v>
      </c>
      <c r="C486" s="18" t="s">
        <v>1086</v>
      </c>
      <c r="D486" t="s">
        <v>507</v>
      </c>
      <c r="E486" s="18" t="s">
        <v>3659</v>
      </c>
      <c r="F486" s="19">
        <v>45722</v>
      </c>
      <c r="G486" s="18">
        <v>353942.58</v>
      </c>
      <c r="H486" s="37">
        <f t="shared" si="27"/>
        <v>26</v>
      </c>
      <c r="I486" s="37" t="str">
        <f t="shared" si="29"/>
        <v>0-120 DAYS</v>
      </c>
      <c r="J486" s="37" t="str">
        <f t="shared" si="28"/>
        <v>0-180 DAYS</v>
      </c>
    </row>
    <row r="487" spans="1:10" hidden="1" x14ac:dyDescent="0.35">
      <c r="A487" s="2" t="s">
        <v>1085</v>
      </c>
      <c r="B487" s="2" t="s">
        <v>790</v>
      </c>
      <c r="C487" s="18" t="s">
        <v>1086</v>
      </c>
      <c r="D487" t="s">
        <v>507</v>
      </c>
      <c r="E487" s="18" t="s">
        <v>3660</v>
      </c>
      <c r="F487" s="19">
        <v>45722</v>
      </c>
      <c r="G487" s="18">
        <v>33705.79</v>
      </c>
      <c r="H487" s="37">
        <f t="shared" si="27"/>
        <v>26</v>
      </c>
      <c r="I487" s="37" t="str">
        <f t="shared" si="29"/>
        <v>0-120 DAYS</v>
      </c>
      <c r="J487" s="37" t="str">
        <f t="shared" si="28"/>
        <v>0-180 DAYS</v>
      </c>
    </row>
    <row r="488" spans="1:10" hidden="1" x14ac:dyDescent="0.35">
      <c r="A488" s="2" t="s">
        <v>1085</v>
      </c>
      <c r="B488" s="2" t="s">
        <v>790</v>
      </c>
      <c r="C488" s="18" t="s">
        <v>573</v>
      </c>
      <c r="D488" t="s">
        <v>507</v>
      </c>
      <c r="E488" s="18" t="s">
        <v>3661</v>
      </c>
      <c r="F488" s="19">
        <v>45722</v>
      </c>
      <c r="G488" s="18">
        <v>3129660.01</v>
      </c>
      <c r="H488" s="37">
        <f t="shared" si="27"/>
        <v>26</v>
      </c>
      <c r="I488" s="37" t="str">
        <f t="shared" si="29"/>
        <v>0-120 DAYS</v>
      </c>
      <c r="J488" s="37" t="str">
        <f t="shared" si="28"/>
        <v>0-180 DAYS</v>
      </c>
    </row>
    <row r="489" spans="1:10" hidden="1" x14ac:dyDescent="0.35">
      <c r="A489" s="2" t="s">
        <v>1085</v>
      </c>
      <c r="B489" s="2" t="s">
        <v>790</v>
      </c>
      <c r="C489" s="18" t="s">
        <v>538</v>
      </c>
      <c r="D489" t="s">
        <v>507</v>
      </c>
      <c r="E489" s="18" t="s">
        <v>3662</v>
      </c>
      <c r="F489" s="19">
        <v>45723</v>
      </c>
      <c r="G489" s="18">
        <v>2923919.5</v>
      </c>
      <c r="H489" s="37">
        <f t="shared" si="27"/>
        <v>25</v>
      </c>
      <c r="I489" s="37" t="str">
        <f t="shared" si="29"/>
        <v>0-120 DAYS</v>
      </c>
      <c r="J489" s="37" t="str">
        <f t="shared" si="28"/>
        <v>0-180 DAYS</v>
      </c>
    </row>
    <row r="490" spans="1:10" hidden="1" x14ac:dyDescent="0.35">
      <c r="A490" s="2" t="s">
        <v>1085</v>
      </c>
      <c r="B490" s="2" t="s">
        <v>790</v>
      </c>
      <c r="C490" s="18" t="s">
        <v>814</v>
      </c>
      <c r="D490" t="s">
        <v>507</v>
      </c>
      <c r="E490" s="18" t="s">
        <v>3663</v>
      </c>
      <c r="F490" s="19">
        <v>45723</v>
      </c>
      <c r="G490" s="18">
        <v>379870</v>
      </c>
      <c r="H490" s="37">
        <f t="shared" si="27"/>
        <v>25</v>
      </c>
      <c r="I490" s="37" t="str">
        <f t="shared" si="29"/>
        <v>0-120 DAYS</v>
      </c>
      <c r="J490" s="37" t="str">
        <f t="shared" si="28"/>
        <v>0-180 DAYS</v>
      </c>
    </row>
    <row r="491" spans="1:10" hidden="1" x14ac:dyDescent="0.35">
      <c r="A491" s="2" t="s">
        <v>1085</v>
      </c>
      <c r="B491" s="2" t="s">
        <v>790</v>
      </c>
      <c r="C491" s="18" t="s">
        <v>1086</v>
      </c>
      <c r="D491" t="s">
        <v>507</v>
      </c>
      <c r="E491" s="18" t="s">
        <v>3664</v>
      </c>
      <c r="F491" s="19">
        <v>45724</v>
      </c>
      <c r="G491" s="18">
        <v>3076266.9</v>
      </c>
      <c r="H491" s="37">
        <f t="shared" si="27"/>
        <v>24</v>
      </c>
      <c r="I491" s="37" t="str">
        <f t="shared" si="29"/>
        <v>0-120 DAYS</v>
      </c>
      <c r="J491" s="37" t="str">
        <f t="shared" si="28"/>
        <v>0-180 DAYS</v>
      </c>
    </row>
    <row r="492" spans="1:10" hidden="1" x14ac:dyDescent="0.35">
      <c r="A492" s="2" t="s">
        <v>1085</v>
      </c>
      <c r="B492" s="2" t="s">
        <v>790</v>
      </c>
      <c r="C492" s="18" t="s">
        <v>548</v>
      </c>
      <c r="D492" t="s">
        <v>507</v>
      </c>
      <c r="E492" s="18" t="s">
        <v>3665</v>
      </c>
      <c r="F492" s="19">
        <v>45724</v>
      </c>
      <c r="G492" s="18">
        <v>83758.080000000002</v>
      </c>
      <c r="H492" s="37">
        <f t="shared" si="27"/>
        <v>24</v>
      </c>
      <c r="I492" s="37" t="str">
        <f t="shared" si="29"/>
        <v>0-120 DAYS</v>
      </c>
      <c r="J492" s="37" t="str">
        <f t="shared" si="28"/>
        <v>0-180 DAYS</v>
      </c>
    </row>
    <row r="493" spans="1:10" hidden="1" x14ac:dyDescent="0.35">
      <c r="A493" s="2" t="s">
        <v>1085</v>
      </c>
      <c r="B493" s="2" t="s">
        <v>790</v>
      </c>
      <c r="C493" s="18" t="s">
        <v>1086</v>
      </c>
      <c r="D493" t="s">
        <v>507</v>
      </c>
      <c r="E493" s="18" t="s">
        <v>3666</v>
      </c>
      <c r="F493" s="19">
        <v>45726</v>
      </c>
      <c r="G493" s="18">
        <v>1613054.23</v>
      </c>
      <c r="H493" s="37">
        <f t="shared" si="27"/>
        <v>22</v>
      </c>
      <c r="I493" s="37" t="str">
        <f t="shared" si="29"/>
        <v>0-120 DAYS</v>
      </c>
      <c r="J493" s="37" t="str">
        <f t="shared" si="28"/>
        <v>0-180 DAYS</v>
      </c>
    </row>
    <row r="494" spans="1:10" hidden="1" x14ac:dyDescent="0.35">
      <c r="A494" s="2" t="s">
        <v>1085</v>
      </c>
      <c r="B494" s="2" t="s">
        <v>790</v>
      </c>
      <c r="C494" s="18" t="s">
        <v>1086</v>
      </c>
      <c r="D494" t="s">
        <v>507</v>
      </c>
      <c r="E494" s="18" t="s">
        <v>3667</v>
      </c>
      <c r="F494" s="19">
        <v>45726</v>
      </c>
      <c r="G494" s="18">
        <v>582049.78</v>
      </c>
      <c r="H494" s="37">
        <f t="shared" si="27"/>
        <v>22</v>
      </c>
      <c r="I494" s="37" t="str">
        <f t="shared" si="29"/>
        <v>0-120 DAYS</v>
      </c>
      <c r="J494" s="37" t="str">
        <f t="shared" si="28"/>
        <v>0-180 DAYS</v>
      </c>
    </row>
    <row r="495" spans="1:10" hidden="1" x14ac:dyDescent="0.35">
      <c r="A495" s="2" t="s">
        <v>1085</v>
      </c>
      <c r="B495" s="2" t="s">
        <v>790</v>
      </c>
      <c r="C495" s="18" t="s">
        <v>1086</v>
      </c>
      <c r="D495" t="s">
        <v>507</v>
      </c>
      <c r="E495" s="18" t="s">
        <v>3668</v>
      </c>
      <c r="F495" s="19">
        <v>45726</v>
      </c>
      <c r="G495" s="18">
        <v>428841.71</v>
      </c>
      <c r="H495" s="37">
        <f t="shared" si="27"/>
        <v>22</v>
      </c>
      <c r="I495" s="37" t="str">
        <f t="shared" si="29"/>
        <v>0-120 DAYS</v>
      </c>
      <c r="J495" s="37" t="str">
        <f t="shared" si="28"/>
        <v>0-180 DAYS</v>
      </c>
    </row>
    <row r="496" spans="1:10" hidden="1" x14ac:dyDescent="0.35">
      <c r="A496" s="2" t="s">
        <v>1085</v>
      </c>
      <c r="B496" s="2" t="s">
        <v>790</v>
      </c>
      <c r="C496" s="18" t="s">
        <v>548</v>
      </c>
      <c r="D496" t="s">
        <v>507</v>
      </c>
      <c r="E496" s="18" t="s">
        <v>3669</v>
      </c>
      <c r="F496" s="19">
        <v>45728</v>
      </c>
      <c r="G496" s="18">
        <v>3199325.33</v>
      </c>
      <c r="H496" s="37">
        <f t="shared" si="27"/>
        <v>20</v>
      </c>
      <c r="I496" s="37" t="str">
        <f t="shared" si="29"/>
        <v>0-120 DAYS</v>
      </c>
      <c r="J496" s="37" t="str">
        <f t="shared" si="28"/>
        <v>0-180 DAYS</v>
      </c>
    </row>
    <row r="497" spans="1:10" hidden="1" x14ac:dyDescent="0.35">
      <c r="A497" s="2" t="s">
        <v>1085</v>
      </c>
      <c r="B497" s="2" t="s">
        <v>790</v>
      </c>
      <c r="C497" s="18" t="s">
        <v>548</v>
      </c>
      <c r="D497" t="s">
        <v>507</v>
      </c>
      <c r="E497" s="18" t="s">
        <v>3670</v>
      </c>
      <c r="F497" s="19">
        <v>45729</v>
      </c>
      <c r="G497" s="18">
        <v>3291327.48</v>
      </c>
      <c r="H497" s="37">
        <f t="shared" si="27"/>
        <v>19</v>
      </c>
      <c r="I497" s="37" t="str">
        <f t="shared" si="29"/>
        <v>0-120 DAYS</v>
      </c>
      <c r="J497" s="37" t="str">
        <f t="shared" si="28"/>
        <v>0-180 DAYS</v>
      </c>
    </row>
    <row r="498" spans="1:10" hidden="1" x14ac:dyDescent="0.35">
      <c r="A498" s="2" t="s">
        <v>1085</v>
      </c>
      <c r="B498" s="2" t="s">
        <v>790</v>
      </c>
      <c r="C498" s="18" t="s">
        <v>548</v>
      </c>
      <c r="D498" t="s">
        <v>507</v>
      </c>
      <c r="E498" s="18" t="s">
        <v>3671</v>
      </c>
      <c r="F498" s="19">
        <v>45729</v>
      </c>
      <c r="G498" s="18">
        <v>62680.800000000003</v>
      </c>
      <c r="H498" s="37">
        <f t="shared" si="27"/>
        <v>19</v>
      </c>
      <c r="I498" s="37" t="str">
        <f t="shared" si="29"/>
        <v>0-120 DAYS</v>
      </c>
      <c r="J498" s="37" t="str">
        <f t="shared" si="28"/>
        <v>0-180 DAYS</v>
      </c>
    </row>
    <row r="499" spans="1:10" hidden="1" x14ac:dyDescent="0.35">
      <c r="A499" s="2" t="s">
        <v>1085</v>
      </c>
      <c r="B499" s="2" t="s">
        <v>790</v>
      </c>
      <c r="C499" s="18" t="s">
        <v>1244</v>
      </c>
      <c r="D499" t="s">
        <v>507</v>
      </c>
      <c r="E499" s="18" t="s">
        <v>3672</v>
      </c>
      <c r="F499" s="19">
        <v>45729</v>
      </c>
      <c r="G499" s="18">
        <v>3593758.04</v>
      </c>
      <c r="H499" s="37">
        <f t="shared" si="27"/>
        <v>19</v>
      </c>
      <c r="I499" s="37" t="str">
        <f t="shared" si="29"/>
        <v>0-120 DAYS</v>
      </c>
      <c r="J499" s="37" t="str">
        <f t="shared" si="28"/>
        <v>0-180 DAYS</v>
      </c>
    </row>
    <row r="500" spans="1:10" hidden="1" x14ac:dyDescent="0.35">
      <c r="A500" s="2" t="s">
        <v>1085</v>
      </c>
      <c r="B500" s="2" t="s">
        <v>790</v>
      </c>
      <c r="C500" s="18" t="s">
        <v>598</v>
      </c>
      <c r="D500" t="s">
        <v>507</v>
      </c>
      <c r="E500" s="18" t="s">
        <v>3673</v>
      </c>
      <c r="F500" s="19">
        <v>45731</v>
      </c>
      <c r="G500" s="18">
        <v>2185837.92</v>
      </c>
      <c r="H500" s="37">
        <f t="shared" si="27"/>
        <v>17</v>
      </c>
      <c r="I500" s="37" t="str">
        <f t="shared" si="29"/>
        <v>0-120 DAYS</v>
      </c>
      <c r="J500" s="37" t="str">
        <f t="shared" si="28"/>
        <v>0-180 DAYS</v>
      </c>
    </row>
    <row r="501" spans="1:10" hidden="1" x14ac:dyDescent="0.35">
      <c r="A501" s="2" t="s">
        <v>1085</v>
      </c>
      <c r="B501" s="2" t="s">
        <v>790</v>
      </c>
      <c r="C501" s="18" t="s">
        <v>577</v>
      </c>
      <c r="D501" t="s">
        <v>507</v>
      </c>
      <c r="E501" s="18" t="s">
        <v>3674</v>
      </c>
      <c r="F501" s="19">
        <v>45735</v>
      </c>
      <c r="G501" s="18">
        <v>4694520</v>
      </c>
      <c r="H501" s="37">
        <f t="shared" si="27"/>
        <v>13</v>
      </c>
      <c r="I501" s="37" t="str">
        <f t="shared" si="29"/>
        <v>0-120 DAYS</v>
      </c>
      <c r="J501" s="37" t="str">
        <f t="shared" si="28"/>
        <v>0-180 DAYS</v>
      </c>
    </row>
    <row r="502" spans="1:10" hidden="1" x14ac:dyDescent="0.35">
      <c r="A502" s="2" t="s">
        <v>1085</v>
      </c>
      <c r="B502" s="2" t="s">
        <v>790</v>
      </c>
      <c r="C502" s="18" t="s">
        <v>573</v>
      </c>
      <c r="D502" t="s">
        <v>507</v>
      </c>
      <c r="E502" s="18" t="s">
        <v>3675</v>
      </c>
      <c r="F502" s="19">
        <v>45735</v>
      </c>
      <c r="G502" s="18">
        <v>92996.61</v>
      </c>
      <c r="H502" s="37">
        <f t="shared" si="27"/>
        <v>13</v>
      </c>
      <c r="I502" s="37" t="str">
        <f t="shared" si="29"/>
        <v>0-120 DAYS</v>
      </c>
      <c r="J502" s="37" t="str">
        <f t="shared" si="28"/>
        <v>0-180 DAYS</v>
      </c>
    </row>
    <row r="503" spans="1:10" hidden="1" x14ac:dyDescent="0.35">
      <c r="A503" s="2" t="s">
        <v>1085</v>
      </c>
      <c r="B503" s="2" t="s">
        <v>790</v>
      </c>
      <c r="C503" s="18" t="s">
        <v>548</v>
      </c>
      <c r="D503" t="s">
        <v>507</v>
      </c>
      <c r="E503" s="18" t="s">
        <v>3676</v>
      </c>
      <c r="F503" s="19">
        <v>45736</v>
      </c>
      <c r="G503" s="18">
        <v>2991423.96</v>
      </c>
      <c r="H503" s="37">
        <f t="shared" si="27"/>
        <v>12</v>
      </c>
      <c r="I503" s="37" t="str">
        <f t="shared" si="29"/>
        <v>0-120 DAYS</v>
      </c>
      <c r="J503" s="37" t="str">
        <f t="shared" si="28"/>
        <v>0-180 DAYS</v>
      </c>
    </row>
    <row r="504" spans="1:10" hidden="1" x14ac:dyDescent="0.35">
      <c r="A504" s="2" t="s">
        <v>1085</v>
      </c>
      <c r="B504" s="2" t="s">
        <v>790</v>
      </c>
      <c r="C504" s="18" t="s">
        <v>548</v>
      </c>
      <c r="D504" t="s">
        <v>507</v>
      </c>
      <c r="E504" s="18" t="s">
        <v>3677</v>
      </c>
      <c r="F504" s="19">
        <v>45736</v>
      </c>
      <c r="G504" s="18">
        <v>247968</v>
      </c>
      <c r="H504" s="37">
        <f t="shared" si="27"/>
        <v>12</v>
      </c>
      <c r="I504" s="37" t="str">
        <f t="shared" si="29"/>
        <v>0-120 DAYS</v>
      </c>
      <c r="J504" s="37" t="str">
        <f t="shared" si="28"/>
        <v>0-180 DAYS</v>
      </c>
    </row>
    <row r="505" spans="1:10" hidden="1" x14ac:dyDescent="0.35">
      <c r="A505" s="2" t="s">
        <v>1085</v>
      </c>
      <c r="B505" s="2" t="s">
        <v>790</v>
      </c>
      <c r="C505" s="18" t="s">
        <v>631</v>
      </c>
      <c r="D505" t="s">
        <v>507</v>
      </c>
      <c r="E505" s="18" t="s">
        <v>3678</v>
      </c>
      <c r="F505" s="19">
        <v>45737</v>
      </c>
      <c r="G505" s="18">
        <v>3152476.8</v>
      </c>
      <c r="H505" s="37">
        <f t="shared" si="27"/>
        <v>11</v>
      </c>
      <c r="I505" s="37" t="str">
        <f t="shared" si="29"/>
        <v>0-120 DAYS</v>
      </c>
      <c r="J505" s="37" t="str">
        <f t="shared" si="28"/>
        <v>0-180 DAYS</v>
      </c>
    </row>
    <row r="506" spans="1:10" hidden="1" x14ac:dyDescent="0.35">
      <c r="A506" s="2" t="s">
        <v>1085</v>
      </c>
      <c r="B506" s="2" t="s">
        <v>790</v>
      </c>
      <c r="C506" s="18" t="s">
        <v>559</v>
      </c>
      <c r="D506" t="s">
        <v>507</v>
      </c>
      <c r="E506" s="18" t="s">
        <v>3679</v>
      </c>
      <c r="F506" s="19">
        <v>45739</v>
      </c>
      <c r="G506" s="18">
        <v>3524323.2</v>
      </c>
      <c r="H506" s="37">
        <f t="shared" si="27"/>
        <v>9</v>
      </c>
      <c r="I506" s="37" t="str">
        <f t="shared" si="29"/>
        <v>0-120 DAYS</v>
      </c>
      <c r="J506" s="37" t="str">
        <f t="shared" si="28"/>
        <v>0-180 DAYS</v>
      </c>
    </row>
    <row r="507" spans="1:10" hidden="1" x14ac:dyDescent="0.35">
      <c r="A507" s="2" t="s">
        <v>1085</v>
      </c>
      <c r="B507" s="2" t="s">
        <v>790</v>
      </c>
      <c r="C507" s="18" t="s">
        <v>1244</v>
      </c>
      <c r="D507" t="s">
        <v>507</v>
      </c>
      <c r="E507" s="18" t="s">
        <v>3680</v>
      </c>
      <c r="F507" s="19">
        <v>45740</v>
      </c>
      <c r="G507" s="18">
        <v>3255589.7</v>
      </c>
      <c r="H507" s="37">
        <f t="shared" si="27"/>
        <v>8</v>
      </c>
      <c r="I507" s="37" t="str">
        <f t="shared" si="29"/>
        <v>0-120 DAYS</v>
      </c>
      <c r="J507" s="37" t="str">
        <f t="shared" si="28"/>
        <v>0-180 DAYS</v>
      </c>
    </row>
    <row r="508" spans="1:10" hidden="1" x14ac:dyDescent="0.35">
      <c r="A508" s="2" t="s">
        <v>1085</v>
      </c>
      <c r="B508" s="2" t="s">
        <v>790</v>
      </c>
      <c r="C508" s="18" t="s">
        <v>1086</v>
      </c>
      <c r="D508" t="s">
        <v>507</v>
      </c>
      <c r="E508" s="18" t="s">
        <v>3681</v>
      </c>
      <c r="F508" s="19">
        <v>45741</v>
      </c>
      <c r="G508" s="18">
        <v>2483256</v>
      </c>
      <c r="H508" s="37">
        <f t="shared" si="27"/>
        <v>7</v>
      </c>
      <c r="I508" s="37" t="str">
        <f t="shared" si="29"/>
        <v>0-120 DAYS</v>
      </c>
      <c r="J508" s="37" t="str">
        <f t="shared" si="28"/>
        <v>0-180 DAYS</v>
      </c>
    </row>
    <row r="509" spans="1:10" hidden="1" x14ac:dyDescent="0.35">
      <c r="A509" s="2" t="s">
        <v>1085</v>
      </c>
      <c r="B509" s="2" t="s">
        <v>790</v>
      </c>
      <c r="C509" s="18" t="s">
        <v>1086</v>
      </c>
      <c r="D509" t="s">
        <v>507</v>
      </c>
      <c r="E509" s="18" t="s">
        <v>3682</v>
      </c>
      <c r="F509" s="19">
        <v>45741</v>
      </c>
      <c r="G509" s="18">
        <v>244966.66</v>
      </c>
      <c r="H509" s="37">
        <f t="shared" si="27"/>
        <v>7</v>
      </c>
      <c r="I509" s="37" t="str">
        <f t="shared" si="29"/>
        <v>0-120 DAYS</v>
      </c>
      <c r="J509" s="37" t="str">
        <f t="shared" si="28"/>
        <v>0-180 DAYS</v>
      </c>
    </row>
    <row r="510" spans="1:10" hidden="1" x14ac:dyDescent="0.35">
      <c r="A510" s="2" t="s">
        <v>1085</v>
      </c>
      <c r="B510" s="2" t="s">
        <v>790</v>
      </c>
      <c r="C510" s="18" t="s">
        <v>1086</v>
      </c>
      <c r="D510" t="s">
        <v>507</v>
      </c>
      <c r="E510" s="18" t="s">
        <v>3683</v>
      </c>
      <c r="F510" s="19">
        <v>45741</v>
      </c>
      <c r="G510" s="18">
        <v>182359.67</v>
      </c>
      <c r="H510" s="37">
        <f t="shared" si="27"/>
        <v>7</v>
      </c>
      <c r="I510" s="37" t="str">
        <f t="shared" si="29"/>
        <v>0-120 DAYS</v>
      </c>
      <c r="J510" s="37" t="str">
        <f t="shared" si="28"/>
        <v>0-180 DAYS</v>
      </c>
    </row>
    <row r="511" spans="1:10" hidden="1" x14ac:dyDescent="0.35">
      <c r="A511" s="2" t="s">
        <v>1085</v>
      </c>
      <c r="B511" s="2" t="s">
        <v>790</v>
      </c>
      <c r="C511" s="18" t="s">
        <v>1086</v>
      </c>
      <c r="D511" t="s">
        <v>507</v>
      </c>
      <c r="E511" s="18" t="s">
        <v>3684</v>
      </c>
      <c r="F511" s="19">
        <v>45741</v>
      </c>
      <c r="G511" s="18">
        <v>1528633.67</v>
      </c>
      <c r="H511" s="37">
        <f t="shared" si="27"/>
        <v>7</v>
      </c>
      <c r="I511" s="37" t="str">
        <f t="shared" si="29"/>
        <v>0-120 DAYS</v>
      </c>
      <c r="J511" s="37" t="str">
        <f t="shared" si="28"/>
        <v>0-180 DAYS</v>
      </c>
    </row>
    <row r="512" spans="1:10" hidden="1" x14ac:dyDescent="0.35">
      <c r="A512" s="2" t="s">
        <v>1085</v>
      </c>
      <c r="B512" s="2" t="s">
        <v>790</v>
      </c>
      <c r="C512" s="18" t="s">
        <v>1086</v>
      </c>
      <c r="D512" t="s">
        <v>507</v>
      </c>
      <c r="E512" s="18" t="s">
        <v>3685</v>
      </c>
      <c r="F512" s="19">
        <v>45741</v>
      </c>
      <c r="G512" s="18">
        <v>314504.67</v>
      </c>
      <c r="H512" s="37">
        <f t="shared" si="27"/>
        <v>7</v>
      </c>
      <c r="I512" s="37" t="str">
        <f t="shared" si="29"/>
        <v>0-120 DAYS</v>
      </c>
      <c r="J512" s="37" t="str">
        <f t="shared" si="28"/>
        <v>0-180 DAYS</v>
      </c>
    </row>
    <row r="513" spans="1:10" hidden="1" x14ac:dyDescent="0.35">
      <c r="A513" s="2" t="s">
        <v>1085</v>
      </c>
      <c r="B513" s="2" t="s">
        <v>790</v>
      </c>
      <c r="C513" s="18" t="s">
        <v>1086</v>
      </c>
      <c r="D513" t="s">
        <v>507</v>
      </c>
      <c r="E513" s="18" t="s">
        <v>3686</v>
      </c>
      <c r="F513" s="19">
        <v>45741</v>
      </c>
      <c r="G513" s="18">
        <v>591441.22</v>
      </c>
      <c r="H513" s="37">
        <f t="shared" si="27"/>
        <v>7</v>
      </c>
      <c r="I513" s="37" t="str">
        <f t="shared" si="29"/>
        <v>0-120 DAYS</v>
      </c>
      <c r="J513" s="37" t="str">
        <f t="shared" si="28"/>
        <v>0-180 DAYS</v>
      </c>
    </row>
    <row r="514" spans="1:10" hidden="1" x14ac:dyDescent="0.35">
      <c r="A514" s="2" t="s">
        <v>1085</v>
      </c>
      <c r="B514" s="2" t="s">
        <v>790</v>
      </c>
      <c r="C514" s="18" t="s">
        <v>1086</v>
      </c>
      <c r="D514" t="s">
        <v>507</v>
      </c>
      <c r="E514" s="18" t="s">
        <v>3687</v>
      </c>
      <c r="F514" s="19">
        <v>45741</v>
      </c>
      <c r="G514" s="18">
        <v>70762.95</v>
      </c>
      <c r="H514" s="37">
        <f t="shared" si="27"/>
        <v>7</v>
      </c>
      <c r="I514" s="37" t="str">
        <f t="shared" si="29"/>
        <v>0-120 DAYS</v>
      </c>
      <c r="J514" s="37" t="str">
        <f t="shared" si="28"/>
        <v>0-180 DAYS</v>
      </c>
    </row>
    <row r="515" spans="1:10" hidden="1" x14ac:dyDescent="0.35">
      <c r="A515" s="2" t="s">
        <v>1085</v>
      </c>
      <c r="B515" s="2" t="s">
        <v>790</v>
      </c>
      <c r="C515" s="18" t="s">
        <v>1086</v>
      </c>
      <c r="D515" t="s">
        <v>507</v>
      </c>
      <c r="E515" s="18" t="s">
        <v>3688</v>
      </c>
      <c r="F515" s="19">
        <v>45741</v>
      </c>
      <c r="G515" s="18">
        <v>28093.06</v>
      </c>
      <c r="H515" s="37">
        <f t="shared" si="27"/>
        <v>7</v>
      </c>
      <c r="I515" s="37" t="str">
        <f t="shared" si="29"/>
        <v>0-120 DAYS</v>
      </c>
      <c r="J515" s="37" t="str">
        <f t="shared" si="28"/>
        <v>0-180 DAYS</v>
      </c>
    </row>
    <row r="516" spans="1:10" hidden="1" x14ac:dyDescent="0.35">
      <c r="A516" s="2" t="s">
        <v>1085</v>
      </c>
      <c r="B516" s="2" t="s">
        <v>790</v>
      </c>
      <c r="C516" s="18" t="s">
        <v>538</v>
      </c>
      <c r="D516" t="s">
        <v>507</v>
      </c>
      <c r="E516" s="18" t="s">
        <v>3689</v>
      </c>
      <c r="F516" s="19">
        <v>45741</v>
      </c>
      <c r="G516" s="18">
        <v>3280262.4</v>
      </c>
      <c r="H516" s="37">
        <f t="shared" si="27"/>
        <v>7</v>
      </c>
      <c r="I516" s="37" t="str">
        <f t="shared" si="29"/>
        <v>0-120 DAYS</v>
      </c>
      <c r="J516" s="37" t="str">
        <f t="shared" si="28"/>
        <v>0-180 DAYS</v>
      </c>
    </row>
    <row r="517" spans="1:10" hidden="1" x14ac:dyDescent="0.35">
      <c r="A517" s="2" t="s">
        <v>1085</v>
      </c>
      <c r="B517" s="2" t="s">
        <v>790</v>
      </c>
      <c r="C517" s="18" t="s">
        <v>538</v>
      </c>
      <c r="D517" t="s">
        <v>507</v>
      </c>
      <c r="E517" s="18" t="s">
        <v>3690</v>
      </c>
      <c r="F517" s="19">
        <v>45742</v>
      </c>
      <c r="G517" s="18">
        <v>3343776.74</v>
      </c>
      <c r="H517" s="37">
        <f t="shared" si="27"/>
        <v>6</v>
      </c>
      <c r="I517" s="37" t="str">
        <f t="shared" si="29"/>
        <v>0-120 DAYS</v>
      </c>
      <c r="J517" s="37" t="str">
        <f t="shared" si="28"/>
        <v>0-180 DAYS</v>
      </c>
    </row>
    <row r="518" spans="1:10" hidden="1" x14ac:dyDescent="0.35">
      <c r="A518" s="2" t="s">
        <v>1085</v>
      </c>
      <c r="B518" s="2" t="s">
        <v>790</v>
      </c>
      <c r="C518" s="18" t="s">
        <v>575</v>
      </c>
      <c r="D518" t="s">
        <v>507</v>
      </c>
      <c r="E518" s="18" t="s">
        <v>3691</v>
      </c>
      <c r="F518" s="19">
        <v>45744</v>
      </c>
      <c r="G518" s="18">
        <v>3673293.84</v>
      </c>
      <c r="H518" s="37">
        <f t="shared" si="27"/>
        <v>4</v>
      </c>
      <c r="I518" s="37" t="str">
        <f t="shared" si="29"/>
        <v>0-120 DAYS</v>
      </c>
      <c r="J518" s="37" t="str">
        <f t="shared" si="28"/>
        <v>0-180 DAYS</v>
      </c>
    </row>
    <row r="519" spans="1:10" hidden="1" x14ac:dyDescent="0.35">
      <c r="A519" s="2" t="s">
        <v>1085</v>
      </c>
      <c r="B519" s="2" t="s">
        <v>790</v>
      </c>
      <c r="C519" s="18" t="s">
        <v>814</v>
      </c>
      <c r="D519" t="s">
        <v>507</v>
      </c>
      <c r="E519" s="18" t="s">
        <v>3692</v>
      </c>
      <c r="F519" s="19">
        <v>45745</v>
      </c>
      <c r="G519" s="18">
        <v>253246</v>
      </c>
      <c r="H519" s="37">
        <f t="shared" si="27"/>
        <v>3</v>
      </c>
      <c r="I519" s="37" t="str">
        <f t="shared" si="29"/>
        <v>0-120 DAYS</v>
      </c>
      <c r="J519" s="37" t="str">
        <f t="shared" si="28"/>
        <v>0-180 DAYS</v>
      </c>
    </row>
    <row r="520" spans="1:10" hidden="1" x14ac:dyDescent="0.35">
      <c r="A520" s="2" t="s">
        <v>1085</v>
      </c>
      <c r="B520" s="2" t="s">
        <v>790</v>
      </c>
      <c r="C520" s="18" t="s">
        <v>1086</v>
      </c>
      <c r="D520" t="s">
        <v>507</v>
      </c>
      <c r="E520" s="18" t="s">
        <v>3693</v>
      </c>
      <c r="F520" s="19">
        <v>45718</v>
      </c>
      <c r="G520" s="18">
        <v>3079134.89</v>
      </c>
      <c r="H520" s="37">
        <f t="shared" si="27"/>
        <v>30</v>
      </c>
      <c r="I520" s="37" t="str">
        <f t="shared" si="29"/>
        <v>0-120 DAYS</v>
      </c>
      <c r="J520" s="37" t="str">
        <f t="shared" si="28"/>
        <v>0-180 DAYS</v>
      </c>
    </row>
    <row r="521" spans="1:10" hidden="1" x14ac:dyDescent="0.35">
      <c r="A521" s="2" t="s">
        <v>1085</v>
      </c>
      <c r="B521" s="2" t="s">
        <v>790</v>
      </c>
      <c r="C521" s="18" t="s">
        <v>653</v>
      </c>
      <c r="D521" t="s">
        <v>507</v>
      </c>
      <c r="E521" s="18" t="s">
        <v>3694</v>
      </c>
      <c r="F521" s="19">
        <v>45718</v>
      </c>
      <c r="G521" s="18">
        <v>3336905.88</v>
      </c>
      <c r="H521" s="37">
        <f t="shared" si="27"/>
        <v>30</v>
      </c>
      <c r="I521" s="37" t="str">
        <f t="shared" si="29"/>
        <v>0-120 DAYS</v>
      </c>
      <c r="J521" s="37" t="str">
        <f t="shared" si="28"/>
        <v>0-180 DAYS</v>
      </c>
    </row>
    <row r="522" spans="1:10" hidden="1" x14ac:dyDescent="0.35">
      <c r="A522" s="2" t="s">
        <v>1085</v>
      </c>
      <c r="B522" s="2" t="s">
        <v>790</v>
      </c>
      <c r="C522" s="18" t="s">
        <v>1086</v>
      </c>
      <c r="D522" t="s">
        <v>507</v>
      </c>
      <c r="E522" s="18" t="s">
        <v>3695</v>
      </c>
      <c r="F522" s="19">
        <v>45724</v>
      </c>
      <c r="G522" s="18">
        <v>2713334.74</v>
      </c>
      <c r="H522" s="37">
        <f t="shared" si="27"/>
        <v>24</v>
      </c>
      <c r="I522" s="37" t="str">
        <f t="shared" si="29"/>
        <v>0-120 DAYS</v>
      </c>
      <c r="J522" s="37" t="str">
        <f t="shared" si="28"/>
        <v>0-180 DAYS</v>
      </c>
    </row>
    <row r="523" spans="1:10" hidden="1" x14ac:dyDescent="0.35">
      <c r="A523" s="2" t="s">
        <v>1085</v>
      </c>
      <c r="B523" s="2" t="s">
        <v>790</v>
      </c>
      <c r="C523" s="18" t="s">
        <v>1086</v>
      </c>
      <c r="D523" t="s">
        <v>507</v>
      </c>
      <c r="E523" s="18" t="s">
        <v>3696</v>
      </c>
      <c r="F523" s="19">
        <v>45724</v>
      </c>
      <c r="G523" s="18">
        <v>311144.74</v>
      </c>
      <c r="H523" s="37">
        <f t="shared" si="27"/>
        <v>24</v>
      </c>
      <c r="I523" s="37" t="str">
        <f t="shared" si="29"/>
        <v>0-120 DAYS</v>
      </c>
      <c r="J523" s="37" t="str">
        <f t="shared" si="28"/>
        <v>0-180 DAYS</v>
      </c>
    </row>
    <row r="524" spans="1:10" hidden="1" x14ac:dyDescent="0.35">
      <c r="A524" s="2" t="s">
        <v>1085</v>
      </c>
      <c r="B524" s="2" t="s">
        <v>790</v>
      </c>
      <c r="C524" s="18" t="s">
        <v>650</v>
      </c>
      <c r="D524" t="s">
        <v>507</v>
      </c>
      <c r="E524" s="18" t="s">
        <v>3697</v>
      </c>
      <c r="F524" s="19">
        <v>45726</v>
      </c>
      <c r="G524" s="18">
        <v>3468839.31</v>
      </c>
      <c r="H524" s="37">
        <f t="shared" ref="H524:H584" si="30">$H$9-F524+1</f>
        <v>22</v>
      </c>
      <c r="I524" s="37" t="str">
        <f t="shared" si="29"/>
        <v>0-120 DAYS</v>
      </c>
      <c r="J524" s="37" t="str">
        <f t="shared" si="28"/>
        <v>0-180 DAYS</v>
      </c>
    </row>
    <row r="525" spans="1:10" hidden="1" x14ac:dyDescent="0.35">
      <c r="A525" s="2" t="s">
        <v>1085</v>
      </c>
      <c r="B525" s="2" t="s">
        <v>790</v>
      </c>
      <c r="C525" s="18" t="s">
        <v>650</v>
      </c>
      <c r="D525" t="s">
        <v>507</v>
      </c>
      <c r="E525" s="18" t="s">
        <v>3698</v>
      </c>
      <c r="F525" s="19">
        <v>45726</v>
      </c>
      <c r="G525" s="18">
        <v>2786616</v>
      </c>
      <c r="H525" s="37">
        <f t="shared" si="30"/>
        <v>22</v>
      </c>
      <c r="I525" s="37" t="str">
        <f t="shared" si="29"/>
        <v>0-120 DAYS</v>
      </c>
      <c r="J525" s="37" t="str">
        <f t="shared" si="28"/>
        <v>0-180 DAYS</v>
      </c>
    </row>
    <row r="526" spans="1:10" hidden="1" x14ac:dyDescent="0.35">
      <c r="A526" s="2" t="s">
        <v>1085</v>
      </c>
      <c r="B526" s="2" t="s">
        <v>790</v>
      </c>
      <c r="C526" s="18" t="s">
        <v>1086</v>
      </c>
      <c r="D526" t="s">
        <v>507</v>
      </c>
      <c r="E526" s="18" t="s">
        <v>3699</v>
      </c>
      <c r="F526" s="19">
        <v>45727</v>
      </c>
      <c r="G526" s="18">
        <v>2889796.69</v>
      </c>
      <c r="H526" s="37">
        <f t="shared" si="30"/>
        <v>21</v>
      </c>
      <c r="I526" s="37" t="str">
        <f t="shared" si="29"/>
        <v>0-120 DAYS</v>
      </c>
      <c r="J526" s="37" t="str">
        <f t="shared" ref="J526:J584" si="31">IF(H526&lt;180,"0-180 DAYS","More than 180 Days")</f>
        <v>0-180 DAYS</v>
      </c>
    </row>
    <row r="527" spans="1:10" hidden="1" x14ac:dyDescent="0.35">
      <c r="A527" s="2" t="s">
        <v>1085</v>
      </c>
      <c r="B527" s="2" t="s">
        <v>790</v>
      </c>
      <c r="C527" s="18" t="s">
        <v>1086</v>
      </c>
      <c r="D527" t="s">
        <v>507</v>
      </c>
      <c r="E527" s="18" t="s">
        <v>3700</v>
      </c>
      <c r="F527" s="19">
        <v>45727</v>
      </c>
      <c r="G527" s="18">
        <v>340178.52</v>
      </c>
      <c r="H527" s="37">
        <f t="shared" si="30"/>
        <v>21</v>
      </c>
      <c r="I527" s="37" t="str">
        <f t="shared" si="29"/>
        <v>0-120 DAYS</v>
      </c>
      <c r="J527" s="37" t="str">
        <f t="shared" si="31"/>
        <v>0-180 DAYS</v>
      </c>
    </row>
    <row r="528" spans="1:10" hidden="1" x14ac:dyDescent="0.35">
      <c r="A528" s="2" t="s">
        <v>1085</v>
      </c>
      <c r="B528" s="2" t="s">
        <v>790</v>
      </c>
      <c r="C528" s="18" t="s">
        <v>635</v>
      </c>
      <c r="D528" t="s">
        <v>507</v>
      </c>
      <c r="E528" s="18" t="s">
        <v>3701</v>
      </c>
      <c r="F528" s="19">
        <v>45733</v>
      </c>
      <c r="G528" s="18">
        <v>3731130.59</v>
      </c>
      <c r="H528" s="37">
        <f t="shared" si="30"/>
        <v>15</v>
      </c>
      <c r="I528" s="37" t="str">
        <f t="shared" si="29"/>
        <v>0-120 DAYS</v>
      </c>
      <c r="J528" s="37" t="str">
        <f t="shared" si="31"/>
        <v>0-180 DAYS</v>
      </c>
    </row>
    <row r="529" spans="1:10" hidden="1" x14ac:dyDescent="0.35">
      <c r="A529" s="2" t="s">
        <v>1085</v>
      </c>
      <c r="B529" s="2" t="s">
        <v>790</v>
      </c>
      <c r="C529" s="18" t="s">
        <v>650</v>
      </c>
      <c r="D529" t="s">
        <v>507</v>
      </c>
      <c r="E529" s="18" t="s">
        <v>3702</v>
      </c>
      <c r="F529" s="19">
        <v>45734</v>
      </c>
      <c r="G529" s="18">
        <v>2786616</v>
      </c>
      <c r="H529" s="37">
        <f t="shared" si="30"/>
        <v>14</v>
      </c>
      <c r="I529" s="37" t="str">
        <f t="shared" si="29"/>
        <v>0-120 DAYS</v>
      </c>
      <c r="J529" s="37" t="str">
        <f t="shared" si="31"/>
        <v>0-180 DAYS</v>
      </c>
    </row>
    <row r="530" spans="1:10" hidden="1" x14ac:dyDescent="0.35">
      <c r="A530" s="2" t="s">
        <v>1085</v>
      </c>
      <c r="B530" s="2" t="s">
        <v>790</v>
      </c>
      <c r="C530" s="18" t="s">
        <v>551</v>
      </c>
      <c r="D530" t="s">
        <v>507</v>
      </c>
      <c r="E530" s="18" t="s">
        <v>3703</v>
      </c>
      <c r="F530" s="19">
        <v>45740</v>
      </c>
      <c r="G530" s="18">
        <v>3784204.8</v>
      </c>
      <c r="H530" s="37">
        <f t="shared" si="30"/>
        <v>8</v>
      </c>
      <c r="I530" s="37" t="str">
        <f t="shared" si="29"/>
        <v>0-120 DAYS</v>
      </c>
      <c r="J530" s="37" t="str">
        <f t="shared" si="31"/>
        <v>0-180 DAYS</v>
      </c>
    </row>
    <row r="531" spans="1:10" hidden="1" x14ac:dyDescent="0.35">
      <c r="A531" s="2" t="s">
        <v>1085</v>
      </c>
      <c r="B531" s="2" t="s">
        <v>790</v>
      </c>
      <c r="C531" s="18" t="s">
        <v>635</v>
      </c>
      <c r="D531" t="s">
        <v>507</v>
      </c>
      <c r="E531" s="18" t="s">
        <v>3704</v>
      </c>
      <c r="F531" s="19">
        <v>45743</v>
      </c>
      <c r="G531" s="18">
        <v>3484092.91</v>
      </c>
      <c r="H531" s="37">
        <f t="shared" si="30"/>
        <v>5</v>
      </c>
      <c r="I531" s="37" t="str">
        <f t="shared" si="29"/>
        <v>0-120 DAYS</v>
      </c>
      <c r="J531" s="37" t="str">
        <f t="shared" si="31"/>
        <v>0-180 DAYS</v>
      </c>
    </row>
    <row r="532" spans="1:10" hidden="1" x14ac:dyDescent="0.35">
      <c r="A532" s="2" t="s">
        <v>1085</v>
      </c>
      <c r="B532" s="2" t="s">
        <v>790</v>
      </c>
      <c r="C532" s="18" t="s">
        <v>635</v>
      </c>
      <c r="D532" t="s">
        <v>507</v>
      </c>
      <c r="E532" s="18" t="s">
        <v>3705</v>
      </c>
      <c r="F532" s="19">
        <v>45743</v>
      </c>
      <c r="G532" s="18">
        <v>3541177.84</v>
      </c>
      <c r="H532" s="37">
        <f t="shared" si="30"/>
        <v>5</v>
      </c>
      <c r="I532" s="37" t="str">
        <f t="shared" si="29"/>
        <v>0-120 DAYS</v>
      </c>
      <c r="J532" s="37" t="str">
        <f t="shared" si="31"/>
        <v>0-180 DAYS</v>
      </c>
    </row>
    <row r="533" spans="1:10" hidden="1" x14ac:dyDescent="0.35">
      <c r="A533" s="2" t="s">
        <v>1085</v>
      </c>
      <c r="B533" s="2" t="s">
        <v>790</v>
      </c>
      <c r="C533" s="18" t="s">
        <v>1086</v>
      </c>
      <c r="D533" t="s">
        <v>507</v>
      </c>
      <c r="E533" s="18" t="s">
        <v>3706</v>
      </c>
      <c r="F533" s="19">
        <v>45744</v>
      </c>
      <c r="G533" s="18">
        <v>3251670.08</v>
      </c>
      <c r="H533" s="37">
        <f t="shared" si="30"/>
        <v>4</v>
      </c>
      <c r="I533" s="37" t="str">
        <f t="shared" si="29"/>
        <v>0-120 DAYS</v>
      </c>
      <c r="J533" s="37" t="str">
        <f t="shared" si="31"/>
        <v>0-180 DAYS</v>
      </c>
    </row>
    <row r="534" spans="1:10" hidden="1" x14ac:dyDescent="0.35">
      <c r="A534" s="2" t="s">
        <v>1085</v>
      </c>
      <c r="B534" s="2" t="s">
        <v>790</v>
      </c>
      <c r="C534" s="18" t="s">
        <v>635</v>
      </c>
      <c r="D534" t="s">
        <v>507</v>
      </c>
      <c r="E534" s="18" t="s">
        <v>3707</v>
      </c>
      <c r="F534" s="19">
        <v>45744</v>
      </c>
      <c r="G534" s="18">
        <v>3580819.2</v>
      </c>
      <c r="H534" s="37">
        <f t="shared" si="30"/>
        <v>4</v>
      </c>
      <c r="I534" s="37" t="str">
        <f t="shared" si="29"/>
        <v>0-120 DAYS</v>
      </c>
      <c r="J534" s="37" t="str">
        <f t="shared" si="31"/>
        <v>0-180 DAYS</v>
      </c>
    </row>
    <row r="535" spans="1:10" hidden="1" x14ac:dyDescent="0.35">
      <c r="A535" s="2" t="s">
        <v>1085</v>
      </c>
      <c r="B535" s="2" t="s">
        <v>790</v>
      </c>
      <c r="C535" s="18" t="s">
        <v>570</v>
      </c>
      <c r="D535" t="s">
        <v>507</v>
      </c>
      <c r="E535" s="18" t="s">
        <v>3708</v>
      </c>
      <c r="F535" s="19">
        <v>45745</v>
      </c>
      <c r="G535" s="18">
        <v>3543120.96</v>
      </c>
      <c r="H535" s="37">
        <f t="shared" si="30"/>
        <v>3</v>
      </c>
      <c r="I535" s="37" t="str">
        <f t="shared" si="29"/>
        <v>0-120 DAYS</v>
      </c>
      <c r="J535" s="37" t="str">
        <f t="shared" si="31"/>
        <v>0-180 DAYS</v>
      </c>
    </row>
    <row r="536" spans="1:10" hidden="1" x14ac:dyDescent="0.35">
      <c r="A536" s="2" t="s">
        <v>1085</v>
      </c>
      <c r="B536" s="2" t="s">
        <v>790</v>
      </c>
      <c r="C536" s="18" t="s">
        <v>600</v>
      </c>
      <c r="D536" t="s">
        <v>507</v>
      </c>
      <c r="E536" s="18" t="s">
        <v>3709</v>
      </c>
      <c r="F536" s="19">
        <v>45745</v>
      </c>
      <c r="G536" s="18">
        <v>4056738.08</v>
      </c>
      <c r="H536" s="37">
        <f t="shared" si="30"/>
        <v>3</v>
      </c>
      <c r="I536" s="37" t="str">
        <f t="shared" si="29"/>
        <v>0-120 DAYS</v>
      </c>
      <c r="J536" s="37" t="str">
        <f t="shared" si="31"/>
        <v>0-180 DAYS</v>
      </c>
    </row>
    <row r="537" spans="1:10" hidden="1" x14ac:dyDescent="0.35">
      <c r="A537" s="2" t="s">
        <v>1085</v>
      </c>
      <c r="B537" s="2" t="s">
        <v>790</v>
      </c>
      <c r="C537" s="18" t="s">
        <v>577</v>
      </c>
      <c r="D537" t="s">
        <v>507</v>
      </c>
      <c r="E537" s="18" t="s">
        <v>3710</v>
      </c>
      <c r="F537" s="19">
        <v>45717</v>
      </c>
      <c r="G537" s="18">
        <v>3262636.8</v>
      </c>
      <c r="H537" s="37">
        <f t="shared" si="30"/>
        <v>31</v>
      </c>
      <c r="I537" s="37" t="str">
        <f t="shared" si="29"/>
        <v>0-120 DAYS</v>
      </c>
      <c r="J537" s="37" t="str">
        <f t="shared" si="31"/>
        <v>0-180 DAYS</v>
      </c>
    </row>
    <row r="538" spans="1:10" hidden="1" x14ac:dyDescent="0.35">
      <c r="A538" s="2" t="s">
        <v>1085</v>
      </c>
      <c r="B538" s="2" t="s">
        <v>790</v>
      </c>
      <c r="C538" s="18" t="s">
        <v>588</v>
      </c>
      <c r="D538" t="s">
        <v>507</v>
      </c>
      <c r="E538" s="18" t="s">
        <v>3711</v>
      </c>
      <c r="F538" s="19">
        <v>45724</v>
      </c>
      <c r="G538" s="18">
        <v>3364099.2</v>
      </c>
      <c r="H538" s="37">
        <f t="shared" si="30"/>
        <v>24</v>
      </c>
      <c r="I538" s="37" t="str">
        <f t="shared" si="29"/>
        <v>0-120 DAYS</v>
      </c>
      <c r="J538" s="37" t="str">
        <f t="shared" si="31"/>
        <v>0-180 DAYS</v>
      </c>
    </row>
    <row r="539" spans="1:10" hidden="1" x14ac:dyDescent="0.35">
      <c r="A539" s="2" t="s">
        <v>1085</v>
      </c>
      <c r="B539" s="2" t="s">
        <v>790</v>
      </c>
      <c r="C539" s="18" t="s">
        <v>814</v>
      </c>
      <c r="D539" t="s">
        <v>507</v>
      </c>
      <c r="E539" s="18" t="s">
        <v>3712</v>
      </c>
      <c r="F539" s="19">
        <v>45726</v>
      </c>
      <c r="G539" s="18">
        <v>559.44000000000005</v>
      </c>
      <c r="H539" s="37">
        <f t="shared" si="30"/>
        <v>22</v>
      </c>
      <c r="I539" s="37" t="str">
        <f t="shared" si="29"/>
        <v>0-120 DAYS</v>
      </c>
      <c r="J539" s="37" t="str">
        <f t="shared" si="31"/>
        <v>0-180 DAYS</v>
      </c>
    </row>
    <row r="540" spans="1:10" hidden="1" x14ac:dyDescent="0.35">
      <c r="A540" s="2" t="s">
        <v>1085</v>
      </c>
      <c r="B540" s="2" t="s">
        <v>790</v>
      </c>
      <c r="C540" s="18" t="s">
        <v>584</v>
      </c>
      <c r="D540" t="s">
        <v>507</v>
      </c>
      <c r="E540" s="18" t="s">
        <v>3713</v>
      </c>
      <c r="F540" s="19">
        <v>45729</v>
      </c>
      <c r="G540" s="18">
        <v>3702075.33</v>
      </c>
      <c r="H540" s="37">
        <f t="shared" si="30"/>
        <v>19</v>
      </c>
      <c r="I540" s="37" t="str">
        <f t="shared" si="29"/>
        <v>0-120 DAYS</v>
      </c>
      <c r="J540" s="37" t="str">
        <f t="shared" si="31"/>
        <v>0-180 DAYS</v>
      </c>
    </row>
    <row r="541" spans="1:10" hidden="1" x14ac:dyDescent="0.35">
      <c r="A541" s="2" t="s">
        <v>1085</v>
      </c>
      <c r="B541" s="2" t="s">
        <v>790</v>
      </c>
      <c r="C541" s="18" t="s">
        <v>588</v>
      </c>
      <c r="D541" t="s">
        <v>507</v>
      </c>
      <c r="E541" s="18" t="s">
        <v>3714</v>
      </c>
      <c r="F541" s="19">
        <v>45729</v>
      </c>
      <c r="G541" s="18">
        <v>3757955.04</v>
      </c>
      <c r="H541" s="37">
        <f t="shared" si="30"/>
        <v>19</v>
      </c>
      <c r="I541" s="37" t="str">
        <f t="shared" si="29"/>
        <v>0-120 DAYS</v>
      </c>
      <c r="J541" s="37" t="str">
        <f t="shared" si="31"/>
        <v>0-180 DAYS</v>
      </c>
    </row>
    <row r="542" spans="1:10" hidden="1" x14ac:dyDescent="0.35">
      <c r="A542" s="2" t="s">
        <v>1085</v>
      </c>
      <c r="B542" s="2" t="s">
        <v>790</v>
      </c>
      <c r="C542" s="18" t="s">
        <v>588</v>
      </c>
      <c r="D542" t="s">
        <v>507</v>
      </c>
      <c r="E542" s="18" t="s">
        <v>3715</v>
      </c>
      <c r="F542" s="19">
        <v>45729</v>
      </c>
      <c r="G542" s="18">
        <v>3355007.04</v>
      </c>
      <c r="H542" s="37">
        <f t="shared" si="30"/>
        <v>19</v>
      </c>
      <c r="I542" s="37" t="str">
        <f t="shared" ref="I542:I556" si="32">IF(H542&lt;121,"0-120 DAYS",IF(H542&lt;181,"121-180 DAYS","More than 180 Days"))</f>
        <v>0-120 DAYS</v>
      </c>
      <c r="J542" s="37" t="str">
        <f t="shared" si="31"/>
        <v>0-180 DAYS</v>
      </c>
    </row>
    <row r="543" spans="1:10" hidden="1" x14ac:dyDescent="0.35">
      <c r="A543" s="2" t="s">
        <v>1085</v>
      </c>
      <c r="B543" s="2" t="s">
        <v>790</v>
      </c>
      <c r="C543" s="18" t="s">
        <v>588</v>
      </c>
      <c r="D543" t="s">
        <v>507</v>
      </c>
      <c r="E543" s="18" t="s">
        <v>3716</v>
      </c>
      <c r="F543" s="19">
        <v>45732</v>
      </c>
      <c r="G543" s="18">
        <v>3461220</v>
      </c>
      <c r="H543" s="37">
        <f t="shared" si="30"/>
        <v>16</v>
      </c>
      <c r="I543" s="37" t="str">
        <f t="shared" si="32"/>
        <v>0-120 DAYS</v>
      </c>
      <c r="J543" s="37" t="str">
        <f t="shared" si="31"/>
        <v>0-180 DAYS</v>
      </c>
    </row>
    <row r="544" spans="1:10" hidden="1" x14ac:dyDescent="0.35">
      <c r="A544" s="2" t="s">
        <v>1085</v>
      </c>
      <c r="B544" s="2" t="s">
        <v>790</v>
      </c>
      <c r="C544" s="18" t="s">
        <v>532</v>
      </c>
      <c r="D544" t="s">
        <v>507</v>
      </c>
      <c r="E544" s="18" t="s">
        <v>3717</v>
      </c>
      <c r="F544" s="19">
        <v>45734</v>
      </c>
      <c r="G544" s="18">
        <v>1512398.16</v>
      </c>
      <c r="H544" s="37">
        <f t="shared" si="30"/>
        <v>14</v>
      </c>
      <c r="I544" s="37" t="str">
        <f t="shared" si="32"/>
        <v>0-120 DAYS</v>
      </c>
      <c r="J544" s="37" t="str">
        <f t="shared" si="31"/>
        <v>0-180 DAYS</v>
      </c>
    </row>
    <row r="545" spans="1:10" hidden="1" x14ac:dyDescent="0.35">
      <c r="A545" s="2" t="s">
        <v>1085</v>
      </c>
      <c r="B545" s="2" t="s">
        <v>790</v>
      </c>
      <c r="C545" s="18" t="s">
        <v>581</v>
      </c>
      <c r="D545" t="s">
        <v>507</v>
      </c>
      <c r="E545" s="18" t="s">
        <v>3718</v>
      </c>
      <c r="F545" s="19">
        <v>45735</v>
      </c>
      <c r="G545" s="18">
        <v>4061652.24</v>
      </c>
      <c r="H545" s="37">
        <f t="shared" si="30"/>
        <v>13</v>
      </c>
      <c r="I545" s="37" t="str">
        <f t="shared" si="32"/>
        <v>0-120 DAYS</v>
      </c>
      <c r="J545" s="37" t="str">
        <f t="shared" si="31"/>
        <v>0-180 DAYS</v>
      </c>
    </row>
    <row r="546" spans="1:10" hidden="1" x14ac:dyDescent="0.35">
      <c r="A546" s="2" t="s">
        <v>1085</v>
      </c>
      <c r="B546" s="2" t="s">
        <v>790</v>
      </c>
      <c r="C546" s="18" t="s">
        <v>588</v>
      </c>
      <c r="D546" t="s">
        <v>507</v>
      </c>
      <c r="E546" s="18" t="s">
        <v>3719</v>
      </c>
      <c r="F546" s="19">
        <v>45737</v>
      </c>
      <c r="G546" s="18">
        <v>3736131.84</v>
      </c>
      <c r="H546" s="37">
        <f t="shared" si="30"/>
        <v>11</v>
      </c>
      <c r="I546" s="37" t="str">
        <f t="shared" si="32"/>
        <v>0-120 DAYS</v>
      </c>
      <c r="J546" s="37" t="str">
        <f t="shared" si="31"/>
        <v>0-180 DAYS</v>
      </c>
    </row>
    <row r="547" spans="1:10" hidden="1" x14ac:dyDescent="0.35">
      <c r="A547" s="2" t="s">
        <v>1085</v>
      </c>
      <c r="B547" s="2" t="s">
        <v>790</v>
      </c>
      <c r="C547" s="18" t="s">
        <v>588</v>
      </c>
      <c r="D547" t="s">
        <v>507</v>
      </c>
      <c r="E547" s="18" t="s">
        <v>3720</v>
      </c>
      <c r="F547" s="19">
        <v>45738</v>
      </c>
      <c r="G547" s="18">
        <v>3249290.4</v>
      </c>
      <c r="H547" s="37">
        <f t="shared" si="30"/>
        <v>10</v>
      </c>
      <c r="I547" s="37" t="str">
        <f t="shared" si="32"/>
        <v>0-120 DAYS</v>
      </c>
      <c r="J547" s="37" t="str">
        <f t="shared" si="31"/>
        <v>0-180 DAYS</v>
      </c>
    </row>
    <row r="548" spans="1:10" hidden="1" x14ac:dyDescent="0.35">
      <c r="A548" s="2" t="s">
        <v>1085</v>
      </c>
      <c r="B548" s="2" t="s">
        <v>790</v>
      </c>
      <c r="C548" s="18" t="s">
        <v>588</v>
      </c>
      <c r="D548" t="s">
        <v>507</v>
      </c>
      <c r="E548" s="18" t="s">
        <v>3721</v>
      </c>
      <c r="F548" s="19">
        <v>45738</v>
      </c>
      <c r="G548" s="18">
        <v>3528491.92</v>
      </c>
      <c r="H548" s="37">
        <f t="shared" si="30"/>
        <v>10</v>
      </c>
      <c r="I548" s="37" t="str">
        <f t="shared" si="32"/>
        <v>0-120 DAYS</v>
      </c>
      <c r="J548" s="37" t="str">
        <f t="shared" si="31"/>
        <v>0-180 DAYS</v>
      </c>
    </row>
    <row r="549" spans="1:10" hidden="1" x14ac:dyDescent="0.35">
      <c r="A549" s="2" t="s">
        <v>1085</v>
      </c>
      <c r="B549" s="2" t="s">
        <v>790</v>
      </c>
      <c r="C549" s="18" t="s">
        <v>588</v>
      </c>
      <c r="D549" t="s">
        <v>507</v>
      </c>
      <c r="E549" s="18" t="s">
        <v>3722</v>
      </c>
      <c r="F549" s="19">
        <v>45741</v>
      </c>
      <c r="G549" s="18">
        <v>3868435.2</v>
      </c>
      <c r="H549" s="37">
        <f t="shared" si="30"/>
        <v>7</v>
      </c>
      <c r="I549" s="37" t="str">
        <f t="shared" si="32"/>
        <v>0-120 DAYS</v>
      </c>
      <c r="J549" s="37" t="str">
        <f t="shared" si="31"/>
        <v>0-180 DAYS</v>
      </c>
    </row>
    <row r="550" spans="1:10" hidden="1" x14ac:dyDescent="0.35">
      <c r="A550" s="2" t="s">
        <v>1085</v>
      </c>
      <c r="B550" s="2" t="s">
        <v>790</v>
      </c>
      <c r="C550" s="18" t="s">
        <v>3425</v>
      </c>
      <c r="D550" t="s">
        <v>507</v>
      </c>
      <c r="E550" s="18" t="s">
        <v>3723</v>
      </c>
      <c r="F550" s="19">
        <v>45744</v>
      </c>
      <c r="G550" s="18">
        <v>3189456</v>
      </c>
      <c r="H550" s="37">
        <f t="shared" si="30"/>
        <v>4</v>
      </c>
      <c r="I550" s="37" t="str">
        <f t="shared" si="32"/>
        <v>0-120 DAYS</v>
      </c>
      <c r="J550" s="37" t="str">
        <f t="shared" si="31"/>
        <v>0-180 DAYS</v>
      </c>
    </row>
    <row r="551" spans="1:10" hidden="1" x14ac:dyDescent="0.35">
      <c r="A551" s="2" t="s">
        <v>1085</v>
      </c>
      <c r="B551" s="2" t="s">
        <v>790</v>
      </c>
      <c r="C551" s="18" t="s">
        <v>588</v>
      </c>
      <c r="D551" t="s">
        <v>507</v>
      </c>
      <c r="E551" s="18" t="s">
        <v>3724</v>
      </c>
      <c r="F551" s="19">
        <v>45745</v>
      </c>
      <c r="G551" s="18">
        <v>3268961.28</v>
      </c>
      <c r="H551" s="37">
        <f t="shared" si="30"/>
        <v>3</v>
      </c>
      <c r="I551" s="37" t="str">
        <f t="shared" si="32"/>
        <v>0-120 DAYS</v>
      </c>
      <c r="J551" s="37" t="str">
        <f t="shared" si="31"/>
        <v>0-180 DAYS</v>
      </c>
    </row>
    <row r="552" spans="1:10" hidden="1" x14ac:dyDescent="0.35">
      <c r="A552" s="2" t="s">
        <v>1085</v>
      </c>
      <c r="B552" s="2" t="s">
        <v>790</v>
      </c>
      <c r="C552" s="18" t="s">
        <v>573</v>
      </c>
      <c r="D552" t="s">
        <v>507</v>
      </c>
      <c r="E552" s="18" t="s">
        <v>1310</v>
      </c>
      <c r="F552" s="19">
        <v>45719</v>
      </c>
      <c r="G552" s="18">
        <v>4502183.33</v>
      </c>
      <c r="H552" s="37">
        <f t="shared" si="30"/>
        <v>29</v>
      </c>
      <c r="I552" s="37" t="str">
        <f t="shared" si="32"/>
        <v>0-120 DAYS</v>
      </c>
      <c r="J552" s="37" t="str">
        <f t="shared" si="31"/>
        <v>0-180 DAYS</v>
      </c>
    </row>
    <row r="553" spans="1:10" hidden="1" x14ac:dyDescent="0.35">
      <c r="A553" s="2" t="s">
        <v>1085</v>
      </c>
      <c r="B553" s="2" t="s">
        <v>790</v>
      </c>
      <c r="C553" s="18" t="s">
        <v>647</v>
      </c>
      <c r="D553" t="s">
        <v>507</v>
      </c>
      <c r="E553" s="18" t="s">
        <v>3725</v>
      </c>
      <c r="F553" s="19">
        <v>45726</v>
      </c>
      <c r="G553" s="18">
        <v>3797010</v>
      </c>
      <c r="H553" s="37">
        <f t="shared" si="30"/>
        <v>22</v>
      </c>
      <c r="I553" s="37" t="str">
        <f t="shared" si="32"/>
        <v>0-120 DAYS</v>
      </c>
      <c r="J553" s="37" t="str">
        <f t="shared" si="31"/>
        <v>0-180 DAYS</v>
      </c>
    </row>
    <row r="554" spans="1:10" hidden="1" x14ac:dyDescent="0.35">
      <c r="A554" s="2" t="s">
        <v>1085</v>
      </c>
      <c r="B554" s="2" t="s">
        <v>790</v>
      </c>
      <c r="C554" s="18" t="s">
        <v>647</v>
      </c>
      <c r="D554" t="s">
        <v>507</v>
      </c>
      <c r="E554" s="18" t="s">
        <v>1311</v>
      </c>
      <c r="F554" s="19">
        <v>45726</v>
      </c>
      <c r="G554" s="18">
        <v>3905496.01</v>
      </c>
      <c r="H554" s="37">
        <f t="shared" si="30"/>
        <v>22</v>
      </c>
      <c r="I554" s="37" t="str">
        <f t="shared" si="32"/>
        <v>0-120 DAYS</v>
      </c>
      <c r="J554" s="37" t="str">
        <f t="shared" si="31"/>
        <v>0-180 DAYS</v>
      </c>
    </row>
    <row r="555" spans="1:10" hidden="1" x14ac:dyDescent="0.35">
      <c r="A555" s="2" t="s">
        <v>1085</v>
      </c>
      <c r="B555" s="2" t="s">
        <v>790</v>
      </c>
      <c r="C555" s="18" t="s">
        <v>647</v>
      </c>
      <c r="D555" t="s">
        <v>507</v>
      </c>
      <c r="E555" s="18" t="s">
        <v>1312</v>
      </c>
      <c r="F555" s="19">
        <v>45733</v>
      </c>
      <c r="G555" s="18">
        <v>3797010.01</v>
      </c>
      <c r="H555" s="37">
        <f t="shared" si="30"/>
        <v>15</v>
      </c>
      <c r="I555" s="37" t="str">
        <f t="shared" si="32"/>
        <v>0-120 DAYS</v>
      </c>
      <c r="J555" s="37" t="str">
        <f t="shared" si="31"/>
        <v>0-180 DAYS</v>
      </c>
    </row>
    <row r="556" spans="1:10" hidden="1" x14ac:dyDescent="0.35">
      <c r="A556" s="2" t="s">
        <v>1085</v>
      </c>
      <c r="B556" s="2" t="s">
        <v>790</v>
      </c>
      <c r="C556" s="18" t="s">
        <v>647</v>
      </c>
      <c r="D556" t="s">
        <v>507</v>
      </c>
      <c r="E556" s="18" t="s">
        <v>3726</v>
      </c>
      <c r="F556" s="19">
        <v>45741</v>
      </c>
      <c r="G556" s="18">
        <v>3801924</v>
      </c>
      <c r="H556" s="37">
        <f t="shared" si="30"/>
        <v>7</v>
      </c>
      <c r="I556" s="37" t="str">
        <f t="shared" si="32"/>
        <v>0-120 DAYS</v>
      </c>
      <c r="J556" s="37" t="str">
        <f t="shared" si="31"/>
        <v>0-180 DAYS</v>
      </c>
    </row>
    <row r="557" spans="1:10" hidden="1" x14ac:dyDescent="0.35">
      <c r="A557" s="88" t="s">
        <v>477</v>
      </c>
      <c r="B557" s="2" t="s">
        <v>790</v>
      </c>
      <c r="C557" s="18" t="s">
        <v>2380</v>
      </c>
      <c r="D557" s="18" t="s">
        <v>1081</v>
      </c>
      <c r="E557" s="18" t="s">
        <v>3727</v>
      </c>
      <c r="F557" s="19">
        <v>45719</v>
      </c>
      <c r="G557" s="18">
        <v>597812</v>
      </c>
      <c r="H557" s="37">
        <f t="shared" si="30"/>
        <v>29</v>
      </c>
      <c r="I557" t="str">
        <f>IF(H557&lt;91,"1-90 DAYS",IF(H557&lt;121,"91-120DAYS",IF(H557&lt;181,"121-180 DAYS","More than 180 Days")))</f>
        <v>1-90 DAYS</v>
      </c>
      <c r="J557" s="37" t="str">
        <f t="shared" si="31"/>
        <v>0-180 DAYS</v>
      </c>
    </row>
    <row r="558" spans="1:10" hidden="1" x14ac:dyDescent="0.35">
      <c r="A558" s="88" t="s">
        <v>477</v>
      </c>
      <c r="B558" s="2" t="s">
        <v>790</v>
      </c>
      <c r="C558" s="18" t="s">
        <v>2380</v>
      </c>
      <c r="D558" s="18" t="s">
        <v>1081</v>
      </c>
      <c r="E558" s="18" t="s">
        <v>3728</v>
      </c>
      <c r="F558" s="19">
        <v>45729</v>
      </c>
      <c r="G558" s="18">
        <v>211937.74</v>
      </c>
      <c r="H558" s="37">
        <f t="shared" si="30"/>
        <v>19</v>
      </c>
      <c r="I558" t="str">
        <f t="shared" ref="I558:I584" si="33">IF(H558&lt;91,"1-90 DAYS",IF(H558&lt;121,"91-120DAYS",IF(H558&lt;181,"121-180 DAYS","More than 180 Days")))</f>
        <v>1-90 DAYS</v>
      </c>
      <c r="J558" s="37" t="str">
        <f t="shared" si="31"/>
        <v>0-180 DAYS</v>
      </c>
    </row>
    <row r="559" spans="1:10" hidden="1" x14ac:dyDescent="0.35">
      <c r="A559" s="88" t="s">
        <v>477</v>
      </c>
      <c r="B559" s="2" t="s">
        <v>790</v>
      </c>
      <c r="C559" s="18" t="s">
        <v>2380</v>
      </c>
      <c r="D559" s="18" t="s">
        <v>1081</v>
      </c>
      <c r="E559" s="18" t="s">
        <v>3729</v>
      </c>
      <c r="F559" s="19">
        <v>45731</v>
      </c>
      <c r="G559" s="18">
        <v>356630.54</v>
      </c>
      <c r="H559" s="37">
        <f t="shared" si="30"/>
        <v>17</v>
      </c>
      <c r="I559" t="str">
        <f t="shared" si="33"/>
        <v>1-90 DAYS</v>
      </c>
      <c r="J559" s="37" t="str">
        <f t="shared" si="31"/>
        <v>0-180 DAYS</v>
      </c>
    </row>
    <row r="560" spans="1:10" hidden="1" x14ac:dyDescent="0.35">
      <c r="A560" s="88" t="s">
        <v>477</v>
      </c>
      <c r="B560" s="2" t="s">
        <v>790</v>
      </c>
      <c r="C560" s="18" t="s">
        <v>2380</v>
      </c>
      <c r="D560" s="18" t="s">
        <v>1081</v>
      </c>
      <c r="E560" s="18" t="s">
        <v>3730</v>
      </c>
      <c r="F560" s="19">
        <v>45733</v>
      </c>
      <c r="G560" s="18">
        <v>2374798.64</v>
      </c>
      <c r="H560" s="37">
        <f t="shared" si="30"/>
        <v>15</v>
      </c>
      <c r="I560" t="str">
        <f t="shared" si="33"/>
        <v>1-90 DAYS</v>
      </c>
      <c r="J560" s="37" t="str">
        <f t="shared" si="31"/>
        <v>0-180 DAYS</v>
      </c>
    </row>
    <row r="561" spans="1:10" hidden="1" x14ac:dyDescent="0.35">
      <c r="A561" s="88" t="s">
        <v>477</v>
      </c>
      <c r="B561" s="2" t="s">
        <v>790</v>
      </c>
      <c r="C561" s="18" t="s">
        <v>2380</v>
      </c>
      <c r="D561" s="18" t="s">
        <v>1081</v>
      </c>
      <c r="E561" s="18" t="s">
        <v>3731</v>
      </c>
      <c r="F561" s="19">
        <v>45733</v>
      </c>
      <c r="G561" s="18">
        <v>1437838.14</v>
      </c>
      <c r="H561" s="37">
        <f t="shared" si="30"/>
        <v>15</v>
      </c>
      <c r="I561" t="str">
        <f t="shared" si="33"/>
        <v>1-90 DAYS</v>
      </c>
      <c r="J561" s="37" t="str">
        <f t="shared" si="31"/>
        <v>0-180 DAYS</v>
      </c>
    </row>
    <row r="562" spans="1:10" hidden="1" x14ac:dyDescent="0.35">
      <c r="A562" s="88" t="s">
        <v>477</v>
      </c>
      <c r="B562" s="2" t="s">
        <v>790</v>
      </c>
      <c r="C562" s="18" t="s">
        <v>2380</v>
      </c>
      <c r="D562" s="18" t="s">
        <v>1081</v>
      </c>
      <c r="E562" s="18" t="s">
        <v>3732</v>
      </c>
      <c r="F562" s="19">
        <v>45733</v>
      </c>
      <c r="G562" s="18">
        <v>593699.16</v>
      </c>
      <c r="H562" s="37">
        <f t="shared" si="30"/>
        <v>15</v>
      </c>
      <c r="I562" t="str">
        <f t="shared" si="33"/>
        <v>1-90 DAYS</v>
      </c>
      <c r="J562" s="37" t="str">
        <f t="shared" si="31"/>
        <v>0-180 DAYS</v>
      </c>
    </row>
    <row r="563" spans="1:10" hidden="1" x14ac:dyDescent="0.35">
      <c r="A563" s="88" t="s">
        <v>477</v>
      </c>
      <c r="B563" s="2" t="s">
        <v>790</v>
      </c>
      <c r="C563" s="18" t="s">
        <v>2380</v>
      </c>
      <c r="D563" s="18" t="s">
        <v>1081</v>
      </c>
      <c r="E563" s="18" t="s">
        <v>3733</v>
      </c>
      <c r="F563" s="19">
        <v>45734</v>
      </c>
      <c r="G563" s="18">
        <v>211937.74</v>
      </c>
      <c r="H563" s="37">
        <f t="shared" si="30"/>
        <v>14</v>
      </c>
      <c r="I563" t="str">
        <f t="shared" si="33"/>
        <v>1-90 DAYS</v>
      </c>
      <c r="J563" s="37" t="str">
        <f t="shared" si="31"/>
        <v>0-180 DAYS</v>
      </c>
    </row>
    <row r="564" spans="1:10" hidden="1" x14ac:dyDescent="0.35">
      <c r="A564" s="88" t="s">
        <v>477</v>
      </c>
      <c r="B564" s="2" t="s">
        <v>790</v>
      </c>
      <c r="C564" s="18" t="s">
        <v>2380</v>
      </c>
      <c r="D564" s="18" t="s">
        <v>1081</v>
      </c>
      <c r="E564" s="18" t="s">
        <v>3734</v>
      </c>
      <c r="F564" s="19">
        <v>45736</v>
      </c>
      <c r="G564" s="18">
        <v>359459.54</v>
      </c>
      <c r="H564" s="37">
        <f t="shared" si="30"/>
        <v>12</v>
      </c>
      <c r="I564" t="str">
        <f t="shared" si="33"/>
        <v>1-90 DAYS</v>
      </c>
      <c r="J564" s="37" t="str">
        <f t="shared" si="31"/>
        <v>0-180 DAYS</v>
      </c>
    </row>
    <row r="565" spans="1:10" hidden="1" x14ac:dyDescent="0.35">
      <c r="A565" s="88" t="s">
        <v>477</v>
      </c>
      <c r="B565" s="2" t="s">
        <v>790</v>
      </c>
      <c r="C565" s="18" t="s">
        <v>2380</v>
      </c>
      <c r="D565" s="18" t="s">
        <v>1081</v>
      </c>
      <c r="E565" s="18" t="s">
        <v>3735</v>
      </c>
      <c r="F565" s="19">
        <v>45737</v>
      </c>
      <c r="G565" s="18">
        <v>359459.54</v>
      </c>
      <c r="H565" s="37">
        <f t="shared" si="30"/>
        <v>11</v>
      </c>
      <c r="I565" t="str">
        <f t="shared" si="33"/>
        <v>1-90 DAYS</v>
      </c>
      <c r="J565" s="37" t="str">
        <f t="shared" si="31"/>
        <v>0-180 DAYS</v>
      </c>
    </row>
    <row r="566" spans="1:10" hidden="1" x14ac:dyDescent="0.35">
      <c r="A566" s="88" t="s">
        <v>477</v>
      </c>
      <c r="B566" s="2" t="s">
        <v>790</v>
      </c>
      <c r="C566" s="18" t="s">
        <v>2380</v>
      </c>
      <c r="D566" s="18" t="s">
        <v>1081</v>
      </c>
      <c r="E566" s="18" t="s">
        <v>3736</v>
      </c>
      <c r="F566" s="19">
        <v>45738</v>
      </c>
      <c r="G566" s="18">
        <v>479279.04</v>
      </c>
      <c r="H566" s="37">
        <f t="shared" si="30"/>
        <v>10</v>
      </c>
      <c r="I566" t="str">
        <f t="shared" si="33"/>
        <v>1-90 DAYS</v>
      </c>
      <c r="J566" s="37" t="str">
        <f t="shared" si="31"/>
        <v>0-180 DAYS</v>
      </c>
    </row>
    <row r="567" spans="1:10" hidden="1" x14ac:dyDescent="0.35">
      <c r="A567" s="88" t="s">
        <v>477</v>
      </c>
      <c r="B567" s="2" t="s">
        <v>790</v>
      </c>
      <c r="C567" s="18" t="s">
        <v>2380</v>
      </c>
      <c r="D567" s="18" t="s">
        <v>1081</v>
      </c>
      <c r="E567" s="18" t="s">
        <v>3737</v>
      </c>
      <c r="F567" s="19">
        <v>45738</v>
      </c>
      <c r="G567" s="18">
        <v>590254.19999999995</v>
      </c>
      <c r="H567" s="37">
        <f t="shared" si="30"/>
        <v>10</v>
      </c>
      <c r="I567" t="str">
        <f t="shared" si="33"/>
        <v>1-90 DAYS</v>
      </c>
      <c r="J567" s="37" t="str">
        <f t="shared" si="31"/>
        <v>0-180 DAYS</v>
      </c>
    </row>
    <row r="568" spans="1:10" hidden="1" x14ac:dyDescent="0.35">
      <c r="A568" s="88" t="s">
        <v>477</v>
      </c>
      <c r="B568" s="2" t="s">
        <v>790</v>
      </c>
      <c r="C568" s="18" t="s">
        <v>2380</v>
      </c>
      <c r="D568" s="18" t="s">
        <v>1081</v>
      </c>
      <c r="E568" s="18" t="s">
        <v>3738</v>
      </c>
      <c r="F568" s="19">
        <v>45741</v>
      </c>
      <c r="G568" s="18">
        <v>1497748.9</v>
      </c>
      <c r="H568" s="37">
        <f t="shared" si="30"/>
        <v>7</v>
      </c>
      <c r="I568" t="str">
        <f t="shared" si="33"/>
        <v>1-90 DAYS</v>
      </c>
      <c r="J568" s="37" t="str">
        <f t="shared" si="31"/>
        <v>0-180 DAYS</v>
      </c>
    </row>
    <row r="569" spans="1:10" hidden="1" x14ac:dyDescent="0.35">
      <c r="A569" s="88" t="s">
        <v>477</v>
      </c>
      <c r="B569" s="2" t="s">
        <v>790</v>
      </c>
      <c r="C569" s="18" t="s">
        <v>2380</v>
      </c>
      <c r="D569" s="18" t="s">
        <v>1081</v>
      </c>
      <c r="E569" s="18" t="s">
        <v>3739</v>
      </c>
      <c r="F569" s="19">
        <v>45743</v>
      </c>
      <c r="G569" s="18">
        <v>1430962.38</v>
      </c>
      <c r="H569" s="37">
        <f t="shared" si="30"/>
        <v>5</v>
      </c>
      <c r="I569" t="str">
        <f t="shared" si="33"/>
        <v>1-90 DAYS</v>
      </c>
      <c r="J569" s="37" t="str">
        <f t="shared" si="31"/>
        <v>0-180 DAYS</v>
      </c>
    </row>
    <row r="570" spans="1:10" hidden="1" x14ac:dyDescent="0.35">
      <c r="A570" s="88" t="s">
        <v>477</v>
      </c>
      <c r="B570" s="2" t="s">
        <v>790</v>
      </c>
      <c r="C570" s="18" t="s">
        <v>2380</v>
      </c>
      <c r="D570" s="18" t="s">
        <v>1081</v>
      </c>
      <c r="E570" s="18" t="s">
        <v>3740</v>
      </c>
      <c r="F570" s="19">
        <v>45743</v>
      </c>
      <c r="G570" s="18">
        <v>1430962.38</v>
      </c>
      <c r="H570" s="37">
        <f t="shared" si="30"/>
        <v>5</v>
      </c>
      <c r="I570" t="str">
        <f t="shared" si="33"/>
        <v>1-90 DAYS</v>
      </c>
      <c r="J570" s="37" t="str">
        <f t="shared" si="31"/>
        <v>0-180 DAYS</v>
      </c>
    </row>
    <row r="571" spans="1:10" hidden="1" x14ac:dyDescent="0.35">
      <c r="A571" s="88" t="s">
        <v>477</v>
      </c>
      <c r="B571" s="2" t="s">
        <v>790</v>
      </c>
      <c r="C571" s="18" t="s">
        <v>2380</v>
      </c>
      <c r="D571" s="18" t="s">
        <v>1081</v>
      </c>
      <c r="E571" s="18" t="s">
        <v>3741</v>
      </c>
      <c r="F571" s="19">
        <v>45744</v>
      </c>
      <c r="G571" s="18">
        <v>1268278.32</v>
      </c>
      <c r="H571" s="37">
        <f t="shared" si="30"/>
        <v>4</v>
      </c>
      <c r="I571" t="str">
        <f t="shared" si="33"/>
        <v>1-90 DAYS</v>
      </c>
      <c r="J571" s="37" t="str">
        <f t="shared" si="31"/>
        <v>0-180 DAYS</v>
      </c>
    </row>
    <row r="572" spans="1:10" hidden="1" x14ac:dyDescent="0.35">
      <c r="A572" s="88" t="s">
        <v>477</v>
      </c>
      <c r="B572" s="2" t="s">
        <v>790</v>
      </c>
      <c r="C572" s="18" t="s">
        <v>2380</v>
      </c>
      <c r="D572" s="18" t="s">
        <v>1081</v>
      </c>
      <c r="E572" s="18" t="s">
        <v>3742</v>
      </c>
      <c r="F572" s="19">
        <v>45744</v>
      </c>
      <c r="G572" s="18">
        <v>2536557.64</v>
      </c>
      <c r="H572" s="37">
        <f t="shared" si="30"/>
        <v>4</v>
      </c>
      <c r="I572" t="str">
        <f t="shared" si="33"/>
        <v>1-90 DAYS</v>
      </c>
      <c r="J572" s="37" t="str">
        <f t="shared" si="31"/>
        <v>0-180 DAYS</v>
      </c>
    </row>
    <row r="573" spans="1:10" hidden="1" x14ac:dyDescent="0.35">
      <c r="A573" s="88" t="s">
        <v>477</v>
      </c>
      <c r="B573" s="2" t="s">
        <v>790</v>
      </c>
      <c r="C573" s="18" t="s">
        <v>2380</v>
      </c>
      <c r="D573" s="18" t="s">
        <v>1081</v>
      </c>
      <c r="E573" s="18" t="s">
        <v>3743</v>
      </c>
      <c r="F573" s="19">
        <v>45744</v>
      </c>
      <c r="G573" s="18">
        <v>944407.32</v>
      </c>
      <c r="H573" s="37">
        <f t="shared" si="30"/>
        <v>4</v>
      </c>
      <c r="I573" t="str">
        <f t="shared" si="33"/>
        <v>1-90 DAYS</v>
      </c>
      <c r="J573" s="37" t="str">
        <f t="shared" si="31"/>
        <v>0-180 DAYS</v>
      </c>
    </row>
    <row r="574" spans="1:10" hidden="1" x14ac:dyDescent="0.35">
      <c r="A574" s="88" t="s">
        <v>477</v>
      </c>
      <c r="B574" s="2" t="s">
        <v>790</v>
      </c>
      <c r="C574" s="18" t="s">
        <v>2380</v>
      </c>
      <c r="D574" s="18" t="s">
        <v>1081</v>
      </c>
      <c r="E574" s="18" t="s">
        <v>3744</v>
      </c>
      <c r="F574" s="19">
        <v>45746</v>
      </c>
      <c r="G574" s="18">
        <v>118051.04</v>
      </c>
      <c r="H574" s="37">
        <f t="shared" si="30"/>
        <v>2</v>
      </c>
      <c r="I574" t="str">
        <f t="shared" si="33"/>
        <v>1-90 DAYS</v>
      </c>
      <c r="J574" s="37" t="str">
        <f t="shared" si="31"/>
        <v>0-180 DAYS</v>
      </c>
    </row>
    <row r="575" spans="1:10" x14ac:dyDescent="0.35">
      <c r="A575" s="88" t="s">
        <v>477</v>
      </c>
      <c r="B575" s="2" t="s">
        <v>790</v>
      </c>
      <c r="C575" s="18" t="s">
        <v>3237</v>
      </c>
      <c r="D575" s="18" t="s">
        <v>3406</v>
      </c>
      <c r="E575" s="18" t="s">
        <v>3745</v>
      </c>
      <c r="F575" s="19">
        <v>45717</v>
      </c>
      <c r="G575" s="97">
        <v>997562.1</v>
      </c>
      <c r="H575" s="37">
        <f t="shared" si="30"/>
        <v>31</v>
      </c>
      <c r="I575" t="str">
        <f t="shared" si="33"/>
        <v>1-90 DAYS</v>
      </c>
      <c r="J575" s="37" t="str">
        <f t="shared" si="31"/>
        <v>0-180 DAYS</v>
      </c>
    </row>
    <row r="576" spans="1:10" x14ac:dyDescent="0.35">
      <c r="A576" s="88" t="s">
        <v>477</v>
      </c>
      <c r="B576" s="2" t="s">
        <v>790</v>
      </c>
      <c r="C576" s="18" t="s">
        <v>3237</v>
      </c>
      <c r="D576" s="18" t="s">
        <v>3406</v>
      </c>
      <c r="E576" s="18" t="s">
        <v>3746</v>
      </c>
      <c r="F576" s="19">
        <v>45719</v>
      </c>
      <c r="G576" s="97">
        <v>1294676.43</v>
      </c>
      <c r="H576" s="37">
        <f t="shared" si="30"/>
        <v>29</v>
      </c>
      <c r="I576" t="str">
        <f t="shared" si="33"/>
        <v>1-90 DAYS</v>
      </c>
      <c r="J576" s="37" t="str">
        <f t="shared" si="31"/>
        <v>0-180 DAYS</v>
      </c>
    </row>
    <row r="577" spans="1:10" x14ac:dyDescent="0.35">
      <c r="A577" s="88" t="s">
        <v>477</v>
      </c>
      <c r="B577" s="2" t="s">
        <v>790</v>
      </c>
      <c r="C577" s="18" t="s">
        <v>3237</v>
      </c>
      <c r="D577" s="18" t="s">
        <v>3406</v>
      </c>
      <c r="E577" s="18" t="s">
        <v>3747</v>
      </c>
      <c r="F577" s="19">
        <v>45721</v>
      </c>
      <c r="G577" s="97">
        <v>1011377.05</v>
      </c>
      <c r="H577" s="37">
        <f t="shared" si="30"/>
        <v>27</v>
      </c>
      <c r="I577" t="str">
        <f t="shared" si="33"/>
        <v>1-90 DAYS</v>
      </c>
      <c r="J577" s="37" t="str">
        <f t="shared" si="31"/>
        <v>0-180 DAYS</v>
      </c>
    </row>
    <row r="578" spans="1:10" x14ac:dyDescent="0.35">
      <c r="A578" s="88" t="s">
        <v>477</v>
      </c>
      <c r="B578" s="2" t="s">
        <v>790</v>
      </c>
      <c r="C578" s="18" t="s">
        <v>3237</v>
      </c>
      <c r="D578" s="18" t="s">
        <v>3406</v>
      </c>
      <c r="E578" s="18" t="s">
        <v>3748</v>
      </c>
      <c r="F578" s="19">
        <v>45727</v>
      </c>
      <c r="G578" s="97">
        <v>1034580.03</v>
      </c>
      <c r="H578" s="37">
        <f t="shared" si="30"/>
        <v>21</v>
      </c>
      <c r="I578" t="str">
        <f t="shared" si="33"/>
        <v>1-90 DAYS</v>
      </c>
      <c r="J578" s="37" t="str">
        <f t="shared" si="31"/>
        <v>0-180 DAYS</v>
      </c>
    </row>
    <row r="579" spans="1:10" x14ac:dyDescent="0.35">
      <c r="A579" s="88" t="s">
        <v>477</v>
      </c>
      <c r="B579" s="2" t="s">
        <v>790</v>
      </c>
      <c r="C579" s="18" t="s">
        <v>3237</v>
      </c>
      <c r="D579" s="18" t="s">
        <v>3406</v>
      </c>
      <c r="E579" s="18" t="s">
        <v>3749</v>
      </c>
      <c r="F579" s="19">
        <v>45727</v>
      </c>
      <c r="G579" s="97">
        <v>885527.58</v>
      </c>
      <c r="H579" s="37">
        <f t="shared" si="30"/>
        <v>21</v>
      </c>
      <c r="I579" t="str">
        <f t="shared" si="33"/>
        <v>1-90 DAYS</v>
      </c>
      <c r="J579" s="37" t="str">
        <f t="shared" si="31"/>
        <v>0-180 DAYS</v>
      </c>
    </row>
    <row r="580" spans="1:10" x14ac:dyDescent="0.35">
      <c r="A580" s="88" t="s">
        <v>477</v>
      </c>
      <c r="B580" s="2" t="s">
        <v>790</v>
      </c>
      <c r="C580" s="18" t="s">
        <v>3237</v>
      </c>
      <c r="D580" s="18" t="s">
        <v>3406</v>
      </c>
      <c r="E580" s="18" t="s">
        <v>3750</v>
      </c>
      <c r="F580" s="19">
        <v>45729</v>
      </c>
      <c r="G580" s="97">
        <v>598196.73</v>
      </c>
      <c r="H580" s="37">
        <f t="shared" si="30"/>
        <v>19</v>
      </c>
      <c r="I580" t="str">
        <f t="shared" si="33"/>
        <v>1-90 DAYS</v>
      </c>
      <c r="J580" s="37" t="str">
        <f t="shared" si="31"/>
        <v>0-180 DAYS</v>
      </c>
    </row>
    <row r="581" spans="1:10" x14ac:dyDescent="0.35">
      <c r="A581" s="88" t="s">
        <v>477</v>
      </c>
      <c r="B581" s="2" t="s">
        <v>790</v>
      </c>
      <c r="C581" s="18" t="s">
        <v>3237</v>
      </c>
      <c r="D581" s="18" t="s">
        <v>3406</v>
      </c>
      <c r="E581" s="18" t="s">
        <v>3751</v>
      </c>
      <c r="F581" s="19">
        <v>45733</v>
      </c>
      <c r="G581" s="97">
        <v>413146.9</v>
      </c>
      <c r="H581" s="37">
        <f t="shared" si="30"/>
        <v>15</v>
      </c>
      <c r="I581" t="str">
        <f t="shared" si="33"/>
        <v>1-90 DAYS</v>
      </c>
      <c r="J581" s="37" t="str">
        <f t="shared" si="31"/>
        <v>0-180 DAYS</v>
      </c>
    </row>
    <row r="582" spans="1:10" x14ac:dyDescent="0.35">
      <c r="A582" s="88" t="s">
        <v>477</v>
      </c>
      <c r="B582" s="2" t="s">
        <v>790</v>
      </c>
      <c r="C582" s="18" t="s">
        <v>3237</v>
      </c>
      <c r="D582" s="18" t="s">
        <v>3406</v>
      </c>
      <c r="E582" s="18" t="s">
        <v>3752</v>
      </c>
      <c r="F582" s="19">
        <v>45740</v>
      </c>
      <c r="G582" s="97">
        <v>243101.56</v>
      </c>
      <c r="H582" s="37">
        <f t="shared" si="30"/>
        <v>8</v>
      </c>
      <c r="I582" t="str">
        <f t="shared" si="33"/>
        <v>1-90 DAYS</v>
      </c>
      <c r="J582" s="37" t="str">
        <f t="shared" si="31"/>
        <v>0-180 DAYS</v>
      </c>
    </row>
    <row r="583" spans="1:10" x14ac:dyDescent="0.35">
      <c r="A583" s="88" t="s">
        <v>477</v>
      </c>
      <c r="B583" s="2" t="s">
        <v>790</v>
      </c>
      <c r="C583" s="18" t="s">
        <v>3237</v>
      </c>
      <c r="D583" s="18" t="s">
        <v>3406</v>
      </c>
      <c r="E583" s="18" t="s">
        <v>436</v>
      </c>
      <c r="F583" s="19">
        <v>45741</v>
      </c>
      <c r="G583" s="97">
        <v>1067596.3400000001</v>
      </c>
      <c r="H583" s="37">
        <f t="shared" si="30"/>
        <v>7</v>
      </c>
      <c r="I583" t="str">
        <f t="shared" si="33"/>
        <v>1-90 DAYS</v>
      </c>
      <c r="J583" s="37" t="str">
        <f t="shared" si="31"/>
        <v>0-180 DAYS</v>
      </c>
    </row>
    <row r="584" spans="1:10" x14ac:dyDescent="0.35">
      <c r="A584" s="88" t="s">
        <v>477</v>
      </c>
      <c r="B584" s="2" t="s">
        <v>790</v>
      </c>
      <c r="C584" s="18" t="s">
        <v>3237</v>
      </c>
      <c r="D584" s="18" t="s">
        <v>3406</v>
      </c>
      <c r="E584" s="18" t="s">
        <v>3753</v>
      </c>
      <c r="F584" s="19">
        <v>45747</v>
      </c>
      <c r="G584" s="97">
        <v>813681.99</v>
      </c>
      <c r="H584" s="37">
        <f t="shared" si="30"/>
        <v>1</v>
      </c>
      <c r="I584" t="str">
        <f t="shared" si="33"/>
        <v>1-90 DAYS</v>
      </c>
      <c r="J584" s="37" t="str">
        <f t="shared" si="31"/>
        <v>0-180 DAYS</v>
      </c>
    </row>
  </sheetData>
  <autoFilter ref="A11:K584" xr:uid="{F01D9CDB-6CEC-4BE0-B41A-9250C41CF7AF}">
    <filterColumn colId="2">
      <filters>
        <filter val="Rfbl Flexi Pack Limited"/>
      </filters>
    </filterColumn>
  </autoFilter>
  <conditionalFormatting sqref="E11">
    <cfRule type="duplicateValues" dxfId="74" priority="1"/>
    <cfRule type="duplicateValues" dxfId="73" priority="2"/>
  </conditionalFormatting>
  <conditionalFormatting sqref="E12">
    <cfRule type="duplicateValues" dxfId="72" priority="3"/>
  </conditionalFormatting>
  <conditionalFormatting sqref="E12:E13">
    <cfRule type="duplicateValues" dxfId="71" priority="5"/>
    <cfRule type="duplicateValues" dxfId="70" priority="6"/>
  </conditionalFormatting>
  <conditionalFormatting sqref="E23:E26">
    <cfRule type="duplicateValues" dxfId="69" priority="4"/>
  </conditionalFormatting>
  <conditionalFormatting sqref="E23:E33">
    <cfRule type="duplicateValues" dxfId="68" priority="7"/>
    <cfRule type="duplicateValues" dxfId="67" priority="8"/>
  </conditionalFormatting>
  <dataValidations count="2">
    <dataValidation type="textLength" allowBlank="1" showInputMessage="1" showErrorMessage="1" error="GST Number, please update 15 characters" sqref="D12 D23:D26" xr:uid="{730CEA7D-F086-44A9-BA2D-B58884310F3C}">
      <formula1>15</formula1>
      <formula2>15</formula2>
    </dataValidation>
    <dataValidation type="textLength" operator="lessThanOrEqual" allowBlank="1" showInputMessage="1" showErrorMessage="1" error="Invoice number cannot be greater 18 characters" sqref="E12 E23:E26" xr:uid="{D1BED09B-F9C8-4EF1-A37B-E10531AAC9E2}">
      <formula1>18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B1B6-B5C7-46B7-A37E-CE901C40ED66}">
  <sheetPr codeName="Sheet11">
    <tabColor theme="7"/>
  </sheetPr>
  <dimension ref="A1:N713"/>
  <sheetViews>
    <sheetView workbookViewId="0">
      <pane ySplit="11" topLeftCell="A12" activePane="bottomLeft" state="frozen"/>
      <selection pane="bottomLeft" activeCell="C2" sqref="C2:C5"/>
    </sheetView>
  </sheetViews>
  <sheetFormatPr defaultRowHeight="14.5" x14ac:dyDescent="0.35"/>
  <cols>
    <col min="3" max="3" width="38.7265625" bestFit="1" customWidth="1"/>
    <col min="4" max="4" width="16.7265625" bestFit="1" customWidth="1"/>
    <col min="5" max="5" width="16.6328125" bestFit="1" customWidth="1"/>
    <col min="6" max="6" width="17.453125" style="59" bestFit="1" customWidth="1"/>
    <col min="7" max="7" width="16.08984375" style="97" bestFit="1" customWidth="1"/>
    <col min="8" max="8" width="14.6328125" bestFit="1" customWidth="1"/>
    <col min="9" max="9" width="12.54296875" bestFit="1" customWidth="1"/>
    <col min="12" max="12" width="10" bestFit="1" customWidth="1"/>
    <col min="14" max="14" width="10" bestFit="1" customWidth="1"/>
  </cols>
  <sheetData>
    <row r="1" spans="1:14" x14ac:dyDescent="0.35">
      <c r="C1" s="149" t="s">
        <v>1054</v>
      </c>
      <c r="D1" t="s">
        <v>3378</v>
      </c>
    </row>
    <row r="2" spans="1:14" x14ac:dyDescent="0.35">
      <c r="C2" s="149" t="s">
        <v>3376</v>
      </c>
    </row>
    <row r="3" spans="1:14" x14ac:dyDescent="0.35">
      <c r="C3" s="149" t="s">
        <v>1052</v>
      </c>
    </row>
    <row r="4" spans="1:14" x14ac:dyDescent="0.35">
      <c r="C4" s="149" t="s">
        <v>1086</v>
      </c>
    </row>
    <row r="5" spans="1:14" x14ac:dyDescent="0.35">
      <c r="C5" s="149" t="s">
        <v>588</v>
      </c>
    </row>
    <row r="6" spans="1:14" x14ac:dyDescent="0.35">
      <c r="C6" s="149" t="s">
        <v>543</v>
      </c>
      <c r="D6" t="s">
        <v>3377</v>
      </c>
    </row>
    <row r="8" spans="1:14" x14ac:dyDescent="0.35">
      <c r="H8" s="97"/>
      <c r="I8" s="73"/>
    </row>
    <row r="9" spans="1:14" x14ac:dyDescent="0.35">
      <c r="E9" s="66"/>
      <c r="F9" s="98"/>
      <c r="G9" s="150">
        <f>G10/10^5</f>
        <v>13600.257750372795</v>
      </c>
      <c r="H9" s="35">
        <v>45688</v>
      </c>
    </row>
    <row r="10" spans="1:14" x14ac:dyDescent="0.35">
      <c r="E10" s="66"/>
      <c r="F10" s="98"/>
      <c r="G10" s="150">
        <f>SUBTOTAL(9,G12:G713)</f>
        <v>1360025775.0372796</v>
      </c>
      <c r="H10" s="35"/>
      <c r="L10" s="66"/>
    </row>
    <row r="11" spans="1:14" x14ac:dyDescent="0.35">
      <c r="A11" s="2" t="s">
        <v>478</v>
      </c>
      <c r="B11" s="2" t="s">
        <v>787</v>
      </c>
      <c r="C11" s="80" t="s">
        <v>472</v>
      </c>
      <c r="D11" s="80" t="s">
        <v>473</v>
      </c>
      <c r="E11" s="81" t="s">
        <v>474</v>
      </c>
      <c r="F11" s="82" t="s">
        <v>475</v>
      </c>
      <c r="G11" s="86" t="s">
        <v>476</v>
      </c>
      <c r="H11" s="83" t="s">
        <v>483</v>
      </c>
      <c r="I11" s="83" t="s">
        <v>484</v>
      </c>
      <c r="J11" s="83" t="s">
        <v>1051</v>
      </c>
      <c r="K11" s="89"/>
    </row>
    <row r="12" spans="1:14" x14ac:dyDescent="0.35">
      <c r="A12" s="2" t="s">
        <v>1085</v>
      </c>
      <c r="B12" s="2" t="s">
        <v>790</v>
      </c>
      <c r="C12" s="37" t="s">
        <v>518</v>
      </c>
      <c r="D12" s="37" t="s">
        <v>507</v>
      </c>
      <c r="E12" s="37" t="s">
        <v>519</v>
      </c>
      <c r="F12" s="36" t="s">
        <v>1406</v>
      </c>
      <c r="G12" s="67">
        <v>3151699.2</v>
      </c>
      <c r="H12" s="37">
        <f t="shared" ref="H12:H75" si="0">$H$9-F12+1</f>
        <v>821</v>
      </c>
      <c r="I12" s="37" t="str">
        <f>IF(H12&lt;121,"0-120 DAYS",IF(H12&lt;181,"121-180 DAYS","More than 180 Days"))</f>
        <v>More than 180 Days</v>
      </c>
      <c r="J12" s="37" t="str">
        <f>IF(H12&lt;180,"0-180 DAYS","More than 180 Days")</f>
        <v>More than 180 Days</v>
      </c>
      <c r="L12" s="66"/>
      <c r="M12" t="s">
        <v>1406</v>
      </c>
      <c r="N12" s="66">
        <v>3151699.2</v>
      </c>
    </row>
    <row r="13" spans="1:14" x14ac:dyDescent="0.35">
      <c r="A13" s="2" t="s">
        <v>1085</v>
      </c>
      <c r="B13" s="2" t="s">
        <v>790</v>
      </c>
      <c r="C13" s="37" t="s">
        <v>520</v>
      </c>
      <c r="D13" s="37" t="s">
        <v>507</v>
      </c>
      <c r="E13" s="37" t="s">
        <v>521</v>
      </c>
      <c r="F13" s="36" t="s">
        <v>1406</v>
      </c>
      <c r="G13" s="67">
        <v>3151699.2</v>
      </c>
      <c r="H13" s="37">
        <f t="shared" si="0"/>
        <v>821</v>
      </c>
      <c r="I13" s="37" t="str">
        <f t="shared" ref="I13:I19" si="1">IF(H13&lt;121,"0-120 DAYS",IF(H13&lt;181,"121-180 DAYS","More than 180 Days"))</f>
        <v>More than 180 Days</v>
      </c>
      <c r="J13" s="37" t="str">
        <f t="shared" ref="J13:J76" si="2">IF(H13&lt;180,"0-180 DAYS","More than 180 Days")</f>
        <v>More than 180 Days</v>
      </c>
      <c r="L13" s="66"/>
      <c r="M13" t="s">
        <v>1406</v>
      </c>
      <c r="N13" s="66">
        <v>3151699.2</v>
      </c>
    </row>
    <row r="14" spans="1:14" x14ac:dyDescent="0.35">
      <c r="A14" s="2" t="s">
        <v>1209</v>
      </c>
      <c r="B14" s="2" t="s">
        <v>789</v>
      </c>
      <c r="C14" s="44" t="s">
        <v>506</v>
      </c>
      <c r="D14" s="2" t="s">
        <v>507</v>
      </c>
      <c r="E14" s="18" t="s">
        <v>3155</v>
      </c>
      <c r="F14" s="19">
        <v>45666</v>
      </c>
      <c r="G14" s="18">
        <v>2963141.8182901586</v>
      </c>
      <c r="H14" s="37">
        <f t="shared" si="0"/>
        <v>23</v>
      </c>
      <c r="I14" s="37" t="str">
        <f t="shared" si="1"/>
        <v>0-120 DAYS</v>
      </c>
      <c r="J14" s="37" t="str">
        <f t="shared" si="2"/>
        <v>0-180 DAYS</v>
      </c>
      <c r="L14" s="66"/>
      <c r="N14" s="66"/>
    </row>
    <row r="15" spans="1:14" x14ac:dyDescent="0.35">
      <c r="A15" s="2" t="s">
        <v>1209</v>
      </c>
      <c r="B15" s="2" t="s">
        <v>789</v>
      </c>
      <c r="C15" s="44" t="s">
        <v>506</v>
      </c>
      <c r="D15" s="2" t="s">
        <v>507</v>
      </c>
      <c r="E15" s="18" t="s">
        <v>3155</v>
      </c>
      <c r="F15" s="19">
        <v>45666</v>
      </c>
      <c r="G15" s="18">
        <v>56667.979709843428</v>
      </c>
      <c r="H15" s="37">
        <f t="shared" si="0"/>
        <v>23</v>
      </c>
      <c r="I15" s="37" t="str">
        <f t="shared" si="1"/>
        <v>0-120 DAYS</v>
      </c>
      <c r="J15" s="37" t="str">
        <f t="shared" si="2"/>
        <v>0-180 DAYS</v>
      </c>
      <c r="L15" s="66"/>
      <c r="N15" s="66"/>
    </row>
    <row r="16" spans="1:14" x14ac:dyDescent="0.35">
      <c r="A16" s="2" t="s">
        <v>1209</v>
      </c>
      <c r="B16" s="2" t="s">
        <v>789</v>
      </c>
      <c r="C16" s="44" t="s">
        <v>506</v>
      </c>
      <c r="D16" s="2" t="s">
        <v>507</v>
      </c>
      <c r="E16" s="18" t="s">
        <v>3156</v>
      </c>
      <c r="F16" s="19">
        <v>45666</v>
      </c>
      <c r="G16" s="18">
        <v>153984.82800000001</v>
      </c>
      <c r="H16" s="37">
        <f t="shared" si="0"/>
        <v>23</v>
      </c>
      <c r="I16" s="37" t="str">
        <f t="shared" si="1"/>
        <v>0-120 DAYS</v>
      </c>
      <c r="J16" s="37" t="str">
        <f t="shared" si="2"/>
        <v>0-180 DAYS</v>
      </c>
      <c r="L16" s="66"/>
      <c r="N16" s="66"/>
    </row>
    <row r="17" spans="1:14" x14ac:dyDescent="0.35">
      <c r="A17" s="2" t="s">
        <v>1209</v>
      </c>
      <c r="B17" s="2" t="s">
        <v>789</v>
      </c>
      <c r="C17" s="44" t="s">
        <v>506</v>
      </c>
      <c r="D17" s="2" t="s">
        <v>507</v>
      </c>
      <c r="E17" s="18" t="s">
        <v>3161</v>
      </c>
      <c r="F17" s="19">
        <v>45668</v>
      </c>
      <c r="G17" s="18">
        <v>3204632.0040000002</v>
      </c>
      <c r="H17" s="37">
        <f t="shared" si="0"/>
        <v>21</v>
      </c>
      <c r="I17" s="37" t="str">
        <f t="shared" si="1"/>
        <v>0-120 DAYS</v>
      </c>
      <c r="J17" s="37" t="str">
        <f t="shared" si="2"/>
        <v>0-180 DAYS</v>
      </c>
      <c r="L17" s="66"/>
      <c r="N17" s="66"/>
    </row>
    <row r="18" spans="1:14" x14ac:dyDescent="0.35">
      <c r="A18" s="2" t="s">
        <v>1209</v>
      </c>
      <c r="B18" s="2" t="s">
        <v>789</v>
      </c>
      <c r="C18" s="44" t="s">
        <v>506</v>
      </c>
      <c r="D18" s="2" t="s">
        <v>507</v>
      </c>
      <c r="E18" s="18" t="s">
        <v>3184</v>
      </c>
      <c r="F18" s="19">
        <v>45681</v>
      </c>
      <c r="G18" s="18">
        <v>3922486.9040000006</v>
      </c>
      <c r="H18" s="37">
        <f t="shared" si="0"/>
        <v>8</v>
      </c>
      <c r="I18" s="37" t="str">
        <f t="shared" si="1"/>
        <v>0-120 DAYS</v>
      </c>
      <c r="J18" s="37" t="str">
        <f t="shared" si="2"/>
        <v>0-180 DAYS</v>
      </c>
      <c r="L18" s="66"/>
      <c r="N18" s="66"/>
    </row>
    <row r="19" spans="1:14" x14ac:dyDescent="0.35">
      <c r="A19" s="2" t="s">
        <v>1209</v>
      </c>
      <c r="B19" s="2" t="s">
        <v>789</v>
      </c>
      <c r="C19" s="44" t="s">
        <v>506</v>
      </c>
      <c r="D19" s="2" t="s">
        <v>507</v>
      </c>
      <c r="E19" s="18" t="s">
        <v>3185</v>
      </c>
      <c r="F19" s="19">
        <v>45681</v>
      </c>
      <c r="G19" s="18">
        <v>2941794.2960000001</v>
      </c>
      <c r="H19" s="37">
        <f t="shared" si="0"/>
        <v>8</v>
      </c>
      <c r="I19" s="37" t="str">
        <f t="shared" si="1"/>
        <v>0-120 DAYS</v>
      </c>
      <c r="J19" s="37" t="str">
        <f t="shared" si="2"/>
        <v>0-180 DAYS</v>
      </c>
      <c r="L19" s="66"/>
      <c r="N19" s="66"/>
    </row>
    <row r="20" spans="1:14" x14ac:dyDescent="0.35">
      <c r="A20" s="2" t="s">
        <v>1085</v>
      </c>
      <c r="B20" s="2" t="s">
        <v>790</v>
      </c>
      <c r="C20" s="44" t="s">
        <v>1647</v>
      </c>
      <c r="D20" s="2" t="s">
        <v>507</v>
      </c>
      <c r="E20" s="44" t="s">
        <v>1692</v>
      </c>
      <c r="F20" s="36" t="s">
        <v>1735</v>
      </c>
      <c r="G20" s="67">
        <v>3034724</v>
      </c>
      <c r="H20" s="37">
        <f t="shared" si="0"/>
        <v>211</v>
      </c>
      <c r="I20" s="37" t="str">
        <f>IF(H20&lt;91,"1-90 DAYS",IF(H20&lt;121,"91-120DAYS",IF(H20&lt;181,"121-180 DAYS","More than 180 Days")))</f>
        <v>More than 180 Days</v>
      </c>
      <c r="J20" s="37" t="str">
        <f t="shared" si="2"/>
        <v>More than 180 Days</v>
      </c>
      <c r="L20" s="66"/>
      <c r="M20" t="s">
        <v>1735</v>
      </c>
      <c r="N20" s="66">
        <v>3034724</v>
      </c>
    </row>
    <row r="21" spans="1:14" x14ac:dyDescent="0.35">
      <c r="A21" s="2" t="s">
        <v>1727</v>
      </c>
      <c r="B21" s="2" t="s">
        <v>788</v>
      </c>
      <c r="C21" s="44" t="s">
        <v>1729</v>
      </c>
      <c r="D21" s="2" t="s">
        <v>507</v>
      </c>
      <c r="E21" s="140" t="s">
        <v>3254</v>
      </c>
      <c r="F21" s="35">
        <v>45658</v>
      </c>
      <c r="G21" s="151">
        <v>57180070.197280131</v>
      </c>
      <c r="H21" s="37">
        <f t="shared" si="0"/>
        <v>31</v>
      </c>
      <c r="I21" s="37" t="str">
        <f>IF(H21&lt;91,"1-90 DAYS",IF(H21&lt;121,"91-120DAYS",IF(H21&lt;181,"121-180 DAYS","More than 180 Days")))</f>
        <v>1-90 DAYS</v>
      </c>
      <c r="J21" s="37" t="str">
        <f t="shared" si="2"/>
        <v>0-180 DAYS</v>
      </c>
      <c r="K21" t="s">
        <v>1730</v>
      </c>
      <c r="L21" s="66"/>
      <c r="M21" t="s">
        <v>3064</v>
      </c>
      <c r="N21" s="66">
        <v>21179598.75</v>
      </c>
    </row>
    <row r="22" spans="1:14" x14ac:dyDescent="0.35">
      <c r="A22" s="2" t="s">
        <v>1727</v>
      </c>
      <c r="B22" s="2" t="s">
        <v>788</v>
      </c>
      <c r="C22" s="44" t="s">
        <v>1728</v>
      </c>
      <c r="D22" s="2" t="s">
        <v>507</v>
      </c>
      <c r="E22" s="140" t="s">
        <v>3254</v>
      </c>
      <c r="F22" s="35">
        <v>45658</v>
      </c>
      <c r="G22" s="151">
        <v>20823700.300000001</v>
      </c>
      <c r="H22" s="37">
        <f t="shared" si="0"/>
        <v>31</v>
      </c>
      <c r="I22" s="37" t="str">
        <f>IF(H22&lt;91,"1-90 DAYS",IF(H22&lt;121,"91-120DAYS",IF(H22&lt;181,"121-180 DAYS","More than 180 Days")))</f>
        <v>1-90 DAYS</v>
      </c>
      <c r="J22" s="37" t="str">
        <f t="shared" si="2"/>
        <v>0-180 DAYS</v>
      </c>
      <c r="K22" t="s">
        <v>1730</v>
      </c>
      <c r="L22" s="66"/>
      <c r="M22" t="s">
        <v>3064</v>
      </c>
      <c r="N22" s="66">
        <v>36966686.020000003</v>
      </c>
    </row>
    <row r="23" spans="1:14" x14ac:dyDescent="0.35">
      <c r="A23" s="2" t="s">
        <v>1085</v>
      </c>
      <c r="B23" s="2" t="s">
        <v>790</v>
      </c>
      <c r="C23" s="144" t="s">
        <v>1091</v>
      </c>
      <c r="D23" s="2" t="s">
        <v>507</v>
      </c>
      <c r="E23" s="44" t="s">
        <v>1820</v>
      </c>
      <c r="F23" s="36" t="s">
        <v>2015</v>
      </c>
      <c r="G23" s="67">
        <v>3126641.28</v>
      </c>
      <c r="H23" s="37" t="e">
        <f t="shared" si="0"/>
        <v>#VALUE!</v>
      </c>
      <c r="I23" s="37" t="e">
        <f>IF(H23&lt;121,"0-120 DAYS",IF(H23&lt;181,"121-180 DAYS","More than 180 Days"))</f>
        <v>#VALUE!</v>
      </c>
      <c r="J23" s="37" t="e">
        <f t="shared" si="2"/>
        <v>#VALUE!</v>
      </c>
      <c r="L23" s="66"/>
      <c r="M23" t="s">
        <v>2015</v>
      </c>
      <c r="N23" s="66">
        <v>3126641.28</v>
      </c>
    </row>
    <row r="24" spans="1:14" x14ac:dyDescent="0.35">
      <c r="A24" s="2" t="s">
        <v>477</v>
      </c>
      <c r="B24" s="2" t="s">
        <v>790</v>
      </c>
      <c r="C24" s="2" t="s">
        <v>0</v>
      </c>
      <c r="D24" s="2" t="s">
        <v>1</v>
      </c>
      <c r="E24" s="3" t="s">
        <v>1058</v>
      </c>
      <c r="F24" s="36" t="s">
        <v>1425</v>
      </c>
      <c r="G24" s="67">
        <v>82517.399999999994</v>
      </c>
      <c r="H24" s="37">
        <f t="shared" si="0"/>
        <v>1093</v>
      </c>
      <c r="I24" s="37" t="str">
        <f t="shared" ref="I24:I53" si="3">IF(H24&lt;91,"1-90 DAYS",IF(H24&lt;121,"91-120DAYS",IF(H24&lt;181,"121-180 DAYS","More than 180 Days")))</f>
        <v>More than 180 Days</v>
      </c>
      <c r="J24" s="37" t="str">
        <f t="shared" si="2"/>
        <v>More than 180 Days</v>
      </c>
      <c r="L24" s="66"/>
      <c r="M24" t="s">
        <v>1425</v>
      </c>
      <c r="N24" s="66">
        <v>82517.399999999994</v>
      </c>
    </row>
    <row r="25" spans="1:14" x14ac:dyDescent="0.35">
      <c r="A25" s="2" t="s">
        <v>477</v>
      </c>
      <c r="B25" s="2" t="s">
        <v>790</v>
      </c>
      <c r="C25" s="44" t="s">
        <v>0</v>
      </c>
      <c r="D25" s="44" t="s">
        <v>1</v>
      </c>
      <c r="E25" s="44" t="s">
        <v>1059</v>
      </c>
      <c r="F25" s="36" t="s">
        <v>1426</v>
      </c>
      <c r="G25" s="67">
        <v>49754.7</v>
      </c>
      <c r="H25" s="37">
        <f t="shared" si="0"/>
        <v>669</v>
      </c>
      <c r="I25" s="37" t="str">
        <f t="shared" si="3"/>
        <v>More than 180 Days</v>
      </c>
      <c r="J25" s="37" t="str">
        <f t="shared" si="2"/>
        <v>More than 180 Days</v>
      </c>
      <c r="L25" s="66"/>
      <c r="M25" t="s">
        <v>1426</v>
      </c>
      <c r="N25" s="66">
        <v>49754.7</v>
      </c>
    </row>
    <row r="26" spans="1:14" x14ac:dyDescent="0.35">
      <c r="A26" s="2" t="s">
        <v>477</v>
      </c>
      <c r="B26" s="2" t="s">
        <v>790</v>
      </c>
      <c r="C26" s="44" t="s">
        <v>3</v>
      </c>
      <c r="D26" s="44" t="s">
        <v>4</v>
      </c>
      <c r="E26" s="44" t="s">
        <v>1089</v>
      </c>
      <c r="F26" s="36" t="s">
        <v>1427</v>
      </c>
      <c r="G26" s="67">
        <v>8928.24</v>
      </c>
      <c r="H26" s="37">
        <f t="shared" si="0"/>
        <v>724</v>
      </c>
      <c r="I26" s="37" t="str">
        <f t="shared" si="3"/>
        <v>More than 180 Days</v>
      </c>
      <c r="J26" s="37" t="str">
        <f t="shared" si="2"/>
        <v>More than 180 Days</v>
      </c>
      <c r="L26" s="66"/>
      <c r="M26" t="s">
        <v>1427</v>
      </c>
      <c r="N26" s="66">
        <v>8928.24</v>
      </c>
    </row>
    <row r="27" spans="1:14" x14ac:dyDescent="0.35">
      <c r="A27" s="2" t="s">
        <v>477</v>
      </c>
      <c r="B27" s="2" t="s">
        <v>790</v>
      </c>
      <c r="C27" s="44" t="s">
        <v>3</v>
      </c>
      <c r="D27" s="44" t="s">
        <v>4</v>
      </c>
      <c r="E27" s="44" t="s">
        <v>1092</v>
      </c>
      <c r="F27" s="36" t="s">
        <v>1428</v>
      </c>
      <c r="G27" s="67">
        <v>1730.83</v>
      </c>
      <c r="H27" s="37" t="e">
        <f t="shared" si="0"/>
        <v>#VALUE!</v>
      </c>
      <c r="I27" s="37" t="e">
        <f t="shared" si="3"/>
        <v>#VALUE!</v>
      </c>
      <c r="J27" s="37" t="e">
        <f t="shared" si="2"/>
        <v>#VALUE!</v>
      </c>
      <c r="L27" s="66"/>
      <c r="M27" t="s">
        <v>1428</v>
      </c>
      <c r="N27" s="66">
        <v>1730.83</v>
      </c>
    </row>
    <row r="28" spans="1:14" x14ac:dyDescent="0.35">
      <c r="A28" s="2" t="s">
        <v>477</v>
      </c>
      <c r="B28" s="2" t="s">
        <v>790</v>
      </c>
      <c r="C28" s="2" t="s">
        <v>13</v>
      </c>
      <c r="D28" s="2" t="s">
        <v>14</v>
      </c>
      <c r="E28" s="3" t="s">
        <v>15</v>
      </c>
      <c r="F28" s="36" t="s">
        <v>1430</v>
      </c>
      <c r="G28" s="67">
        <v>81031.210000000006</v>
      </c>
      <c r="H28" s="37" t="e">
        <f t="shared" si="0"/>
        <v>#VALUE!</v>
      </c>
      <c r="I28" s="37" t="e">
        <f t="shared" si="3"/>
        <v>#VALUE!</v>
      </c>
      <c r="J28" s="37" t="e">
        <f t="shared" si="2"/>
        <v>#VALUE!</v>
      </c>
      <c r="L28" s="66"/>
      <c r="M28" t="s">
        <v>1430</v>
      </c>
      <c r="N28" s="66">
        <v>81031.210000000006</v>
      </c>
    </row>
    <row r="29" spans="1:14" x14ac:dyDescent="0.35">
      <c r="A29" s="2" t="s">
        <v>477</v>
      </c>
      <c r="B29" s="2" t="s">
        <v>790</v>
      </c>
      <c r="C29" s="44" t="s">
        <v>277</v>
      </c>
      <c r="D29" s="44" t="s">
        <v>278</v>
      </c>
      <c r="E29" s="44" t="s">
        <v>1018</v>
      </c>
      <c r="F29" s="36" t="s">
        <v>1431</v>
      </c>
      <c r="G29" s="67">
        <v>19519.82</v>
      </c>
      <c r="H29" s="37" t="e">
        <f t="shared" si="0"/>
        <v>#VALUE!</v>
      </c>
      <c r="I29" s="37" t="e">
        <f t="shared" si="3"/>
        <v>#VALUE!</v>
      </c>
      <c r="J29" s="37" t="e">
        <f t="shared" si="2"/>
        <v>#VALUE!</v>
      </c>
      <c r="L29" s="66"/>
      <c r="M29" t="s">
        <v>1431</v>
      </c>
      <c r="N29" s="66">
        <v>19519.82</v>
      </c>
    </row>
    <row r="30" spans="1:14" x14ac:dyDescent="0.35">
      <c r="A30" s="2" t="s">
        <v>477</v>
      </c>
      <c r="B30" s="2" t="s">
        <v>790</v>
      </c>
      <c r="C30" s="2" t="s">
        <v>20</v>
      </c>
      <c r="D30" s="2" t="s">
        <v>21</v>
      </c>
      <c r="E30" s="3" t="s">
        <v>22</v>
      </c>
      <c r="F30" s="36" t="s">
        <v>1432</v>
      </c>
      <c r="G30" s="67">
        <v>978730</v>
      </c>
      <c r="H30" s="37">
        <f t="shared" si="0"/>
        <v>914</v>
      </c>
      <c r="I30" s="37" t="str">
        <f t="shared" si="3"/>
        <v>More than 180 Days</v>
      </c>
      <c r="J30" s="37" t="str">
        <f t="shared" si="2"/>
        <v>More than 180 Days</v>
      </c>
      <c r="L30" s="66"/>
      <c r="M30" t="s">
        <v>1432</v>
      </c>
      <c r="N30" s="66">
        <v>978730</v>
      </c>
    </row>
    <row r="31" spans="1:14" x14ac:dyDescent="0.35">
      <c r="A31" s="2" t="s">
        <v>477</v>
      </c>
      <c r="B31" s="2" t="s">
        <v>790</v>
      </c>
      <c r="C31" s="2" t="s">
        <v>20</v>
      </c>
      <c r="D31" s="2" t="s">
        <v>21</v>
      </c>
      <c r="E31" s="3" t="s">
        <v>23</v>
      </c>
      <c r="F31" s="36" t="s">
        <v>1432</v>
      </c>
      <c r="G31" s="67">
        <v>1039965</v>
      </c>
      <c r="H31" s="37">
        <f t="shared" si="0"/>
        <v>914</v>
      </c>
      <c r="I31" s="37" t="str">
        <f t="shared" si="3"/>
        <v>More than 180 Days</v>
      </c>
      <c r="J31" s="37" t="str">
        <f t="shared" si="2"/>
        <v>More than 180 Days</v>
      </c>
      <c r="L31" s="66"/>
      <c r="M31" t="s">
        <v>1432</v>
      </c>
      <c r="N31" s="66">
        <v>1039965</v>
      </c>
    </row>
    <row r="32" spans="1:14" x14ac:dyDescent="0.35">
      <c r="A32" s="2" t="s">
        <v>477</v>
      </c>
      <c r="B32" s="2" t="s">
        <v>790</v>
      </c>
      <c r="C32" s="2" t="s">
        <v>20</v>
      </c>
      <c r="D32" s="2" t="s">
        <v>21</v>
      </c>
      <c r="E32" s="3" t="s">
        <v>24</v>
      </c>
      <c r="F32" s="36" t="s">
        <v>1433</v>
      </c>
      <c r="G32" s="67">
        <v>1160694.02</v>
      </c>
      <c r="H32" s="37" t="e">
        <f t="shared" si="0"/>
        <v>#VALUE!</v>
      </c>
      <c r="I32" s="37" t="e">
        <f t="shared" si="3"/>
        <v>#VALUE!</v>
      </c>
      <c r="J32" s="37" t="e">
        <f t="shared" si="2"/>
        <v>#VALUE!</v>
      </c>
      <c r="L32" s="66"/>
      <c r="M32" t="s">
        <v>1433</v>
      </c>
      <c r="N32" s="66">
        <v>1160694.02</v>
      </c>
    </row>
    <row r="33" spans="1:14" x14ac:dyDescent="0.35">
      <c r="A33" s="2" t="s">
        <v>477</v>
      </c>
      <c r="B33" s="2" t="s">
        <v>790</v>
      </c>
      <c r="C33" s="2" t="s">
        <v>20</v>
      </c>
      <c r="D33" s="2" t="s">
        <v>21</v>
      </c>
      <c r="E33" s="3" t="s">
        <v>25</v>
      </c>
      <c r="F33" s="36" t="s">
        <v>1434</v>
      </c>
      <c r="G33" s="67">
        <v>1075361.1399999999</v>
      </c>
      <c r="H33" s="37" t="e">
        <f t="shared" si="0"/>
        <v>#VALUE!</v>
      </c>
      <c r="I33" s="37" t="e">
        <f t="shared" si="3"/>
        <v>#VALUE!</v>
      </c>
      <c r="J33" s="37" t="e">
        <f t="shared" si="2"/>
        <v>#VALUE!</v>
      </c>
      <c r="L33" s="66"/>
      <c r="M33" t="s">
        <v>1434</v>
      </c>
      <c r="N33" s="66">
        <v>1075361.1399999999</v>
      </c>
    </row>
    <row r="34" spans="1:14" x14ac:dyDescent="0.35">
      <c r="A34" s="2" t="s">
        <v>477</v>
      </c>
      <c r="B34" s="2" t="s">
        <v>790</v>
      </c>
      <c r="C34" s="44" t="s">
        <v>35</v>
      </c>
      <c r="D34" s="44" t="s">
        <v>36</v>
      </c>
      <c r="E34" s="44" t="s">
        <v>1192</v>
      </c>
      <c r="F34" s="36" t="s">
        <v>1436</v>
      </c>
      <c r="G34" s="67">
        <v>580857.09</v>
      </c>
      <c r="H34" s="37">
        <f t="shared" si="0"/>
        <v>447</v>
      </c>
      <c r="I34" s="37" t="str">
        <f t="shared" si="3"/>
        <v>More than 180 Days</v>
      </c>
      <c r="J34" s="37" t="str">
        <f t="shared" si="2"/>
        <v>More than 180 Days</v>
      </c>
      <c r="L34" s="66"/>
      <c r="M34" t="s">
        <v>1436</v>
      </c>
      <c r="N34" s="66">
        <v>580857.09</v>
      </c>
    </row>
    <row r="35" spans="1:14" x14ac:dyDescent="0.35">
      <c r="A35" s="2" t="s">
        <v>477</v>
      </c>
      <c r="B35" s="2" t="s">
        <v>790</v>
      </c>
      <c r="C35" s="2" t="s">
        <v>38</v>
      </c>
      <c r="D35" s="2" t="s">
        <v>39</v>
      </c>
      <c r="E35" s="2" t="s">
        <v>40</v>
      </c>
      <c r="F35" s="36" t="s">
        <v>1437</v>
      </c>
      <c r="G35" s="67">
        <v>1507988</v>
      </c>
      <c r="H35" s="37" t="e">
        <f t="shared" si="0"/>
        <v>#VALUE!</v>
      </c>
      <c r="I35" s="37" t="e">
        <f t="shared" si="3"/>
        <v>#VALUE!</v>
      </c>
      <c r="J35" s="37" t="e">
        <f t="shared" si="2"/>
        <v>#VALUE!</v>
      </c>
      <c r="L35" s="66"/>
      <c r="M35" t="s">
        <v>1437</v>
      </c>
      <c r="N35" s="66">
        <v>1507988</v>
      </c>
    </row>
    <row r="36" spans="1:14" x14ac:dyDescent="0.35">
      <c r="A36" s="2" t="s">
        <v>477</v>
      </c>
      <c r="B36" s="2" t="s">
        <v>790</v>
      </c>
      <c r="C36" s="2" t="s">
        <v>38</v>
      </c>
      <c r="D36" s="2" t="s">
        <v>39</v>
      </c>
      <c r="E36" s="2" t="s">
        <v>41</v>
      </c>
      <c r="F36" s="36" t="s">
        <v>1438</v>
      </c>
      <c r="G36" s="67">
        <v>2089970</v>
      </c>
      <c r="H36" s="37">
        <f t="shared" si="0"/>
        <v>2679</v>
      </c>
      <c r="I36" s="37" t="str">
        <f t="shared" si="3"/>
        <v>More than 180 Days</v>
      </c>
      <c r="J36" s="37" t="str">
        <f t="shared" si="2"/>
        <v>More than 180 Days</v>
      </c>
      <c r="L36" s="66"/>
      <c r="M36" t="s">
        <v>1438</v>
      </c>
      <c r="N36" s="66">
        <v>2089970</v>
      </c>
    </row>
    <row r="37" spans="1:14" x14ac:dyDescent="0.35">
      <c r="A37" s="2" t="s">
        <v>477</v>
      </c>
      <c r="B37" s="2" t="s">
        <v>790</v>
      </c>
      <c r="C37" s="44" t="s">
        <v>263</v>
      </c>
      <c r="D37" s="44" t="s">
        <v>264</v>
      </c>
      <c r="E37" s="44" t="s">
        <v>1399</v>
      </c>
      <c r="F37" s="36" t="s">
        <v>1473</v>
      </c>
      <c r="G37" s="67">
        <v>681843.97</v>
      </c>
      <c r="H37" s="37">
        <f t="shared" si="0"/>
        <v>120</v>
      </c>
      <c r="I37" s="37" t="str">
        <f t="shared" si="3"/>
        <v>91-120DAYS</v>
      </c>
      <c r="J37" s="37" t="str">
        <f t="shared" si="2"/>
        <v>0-180 DAYS</v>
      </c>
      <c r="L37" s="66"/>
      <c r="M37" t="s">
        <v>1473</v>
      </c>
      <c r="N37" s="66">
        <v>681843.97</v>
      </c>
    </row>
    <row r="38" spans="1:14" x14ac:dyDescent="0.35">
      <c r="A38" s="2" t="s">
        <v>477</v>
      </c>
      <c r="B38" s="2" t="s">
        <v>790</v>
      </c>
      <c r="C38" s="18" t="s">
        <v>2033</v>
      </c>
      <c r="D38" s="44" t="s">
        <v>1499</v>
      </c>
      <c r="E38" s="44" t="s">
        <v>1572</v>
      </c>
      <c r="F38" s="36" t="s">
        <v>1755</v>
      </c>
      <c r="G38" s="67">
        <f>3063926-1036749</f>
        <v>2027177</v>
      </c>
      <c r="H38" s="37" t="e">
        <f t="shared" si="0"/>
        <v>#VALUE!</v>
      </c>
      <c r="I38" s="37" t="e">
        <f t="shared" si="3"/>
        <v>#VALUE!</v>
      </c>
      <c r="J38" s="37" t="e">
        <f t="shared" si="2"/>
        <v>#VALUE!</v>
      </c>
      <c r="L38" s="66"/>
      <c r="M38" t="s">
        <v>1755</v>
      </c>
      <c r="N38" s="66">
        <v>3063926</v>
      </c>
    </row>
    <row r="39" spans="1:14" x14ac:dyDescent="0.35">
      <c r="A39" s="2" t="s">
        <v>477</v>
      </c>
      <c r="B39" s="2" t="s">
        <v>790</v>
      </c>
      <c r="C39" s="18" t="s">
        <v>2033</v>
      </c>
      <c r="D39" s="44" t="s">
        <v>1499</v>
      </c>
      <c r="E39" s="44" t="s">
        <v>1573</v>
      </c>
      <c r="F39" s="36" t="s">
        <v>1755</v>
      </c>
      <c r="G39" s="67">
        <v>3063926</v>
      </c>
      <c r="H39" s="37" t="e">
        <f t="shared" si="0"/>
        <v>#VALUE!</v>
      </c>
      <c r="I39" s="37" t="e">
        <f t="shared" si="3"/>
        <v>#VALUE!</v>
      </c>
      <c r="J39" s="37" t="e">
        <f t="shared" si="2"/>
        <v>#VALUE!</v>
      </c>
      <c r="L39" s="66"/>
      <c r="M39" t="s">
        <v>1755</v>
      </c>
      <c r="N39" s="66">
        <v>3063926</v>
      </c>
    </row>
    <row r="40" spans="1:14" x14ac:dyDescent="0.35">
      <c r="A40" s="2" t="s">
        <v>477</v>
      </c>
      <c r="B40" s="2" t="s">
        <v>790</v>
      </c>
      <c r="C40" s="18" t="s">
        <v>2033</v>
      </c>
      <c r="D40" s="44" t="s">
        <v>1499</v>
      </c>
      <c r="E40" s="44" t="s">
        <v>1574</v>
      </c>
      <c r="F40" s="36" t="s">
        <v>1755</v>
      </c>
      <c r="G40" s="67">
        <v>3063926</v>
      </c>
      <c r="H40" s="37" t="e">
        <f t="shared" si="0"/>
        <v>#VALUE!</v>
      </c>
      <c r="I40" s="37" t="e">
        <f t="shared" si="3"/>
        <v>#VALUE!</v>
      </c>
      <c r="J40" s="37" t="e">
        <f t="shared" si="2"/>
        <v>#VALUE!</v>
      </c>
      <c r="L40" s="66"/>
      <c r="M40" t="s">
        <v>1755</v>
      </c>
      <c r="N40" s="66">
        <v>3063926</v>
      </c>
    </row>
    <row r="41" spans="1:14" x14ac:dyDescent="0.35">
      <c r="A41" s="2" t="s">
        <v>477</v>
      </c>
      <c r="B41" s="2" t="s">
        <v>790</v>
      </c>
      <c r="C41" s="18" t="s">
        <v>2033</v>
      </c>
      <c r="D41" s="44" t="s">
        <v>1499</v>
      </c>
      <c r="E41" s="44" t="s">
        <v>1575</v>
      </c>
      <c r="F41" s="36" t="s">
        <v>1755</v>
      </c>
      <c r="G41" s="67">
        <v>3063926</v>
      </c>
      <c r="H41" s="37" t="e">
        <f t="shared" si="0"/>
        <v>#VALUE!</v>
      </c>
      <c r="I41" s="37" t="e">
        <f t="shared" si="3"/>
        <v>#VALUE!</v>
      </c>
      <c r="J41" s="37" t="e">
        <f t="shared" si="2"/>
        <v>#VALUE!</v>
      </c>
      <c r="L41" s="66"/>
      <c r="M41" t="s">
        <v>1755</v>
      </c>
      <c r="N41" s="66">
        <v>3063926</v>
      </c>
    </row>
    <row r="42" spans="1:14" x14ac:dyDescent="0.35">
      <c r="A42" s="2" t="s">
        <v>477</v>
      </c>
      <c r="B42" s="2" t="s">
        <v>790</v>
      </c>
      <c r="C42" s="44" t="s">
        <v>0</v>
      </c>
      <c r="D42" s="44" t="s">
        <v>1</v>
      </c>
      <c r="E42" s="44" t="s">
        <v>1610</v>
      </c>
      <c r="F42" s="36" t="s">
        <v>1739</v>
      </c>
      <c r="G42" s="67">
        <v>52321.2</v>
      </c>
      <c r="H42" s="37">
        <f t="shared" si="0"/>
        <v>88</v>
      </c>
      <c r="I42" s="37" t="str">
        <f t="shared" si="3"/>
        <v>1-90 DAYS</v>
      </c>
      <c r="J42" s="37" t="str">
        <f t="shared" si="2"/>
        <v>0-180 DAYS</v>
      </c>
      <c r="L42" s="66"/>
      <c r="M42" t="s">
        <v>1739</v>
      </c>
      <c r="N42" s="66">
        <v>52321.2</v>
      </c>
    </row>
    <row r="43" spans="1:14" x14ac:dyDescent="0.35">
      <c r="A43" s="2" t="s">
        <v>477</v>
      </c>
      <c r="B43" s="2" t="s">
        <v>790</v>
      </c>
      <c r="C43" s="44" t="s">
        <v>263</v>
      </c>
      <c r="D43" s="44" t="s">
        <v>264</v>
      </c>
      <c r="E43" s="44" t="s">
        <v>1619</v>
      </c>
      <c r="F43" s="36" t="s">
        <v>1747</v>
      </c>
      <c r="G43" s="67">
        <v>670565.34</v>
      </c>
      <c r="H43" s="37" t="e">
        <f t="shared" si="0"/>
        <v>#VALUE!</v>
      </c>
      <c r="I43" s="37" t="e">
        <f t="shared" si="3"/>
        <v>#VALUE!</v>
      </c>
      <c r="J43" s="37" t="e">
        <f t="shared" si="2"/>
        <v>#VALUE!</v>
      </c>
      <c r="L43" s="66"/>
      <c r="M43" t="s">
        <v>1747</v>
      </c>
      <c r="N43" s="66">
        <v>670565.34</v>
      </c>
    </row>
    <row r="44" spans="1:14" x14ac:dyDescent="0.35">
      <c r="A44" s="2" t="s">
        <v>477</v>
      </c>
      <c r="B44" s="2" t="s">
        <v>790</v>
      </c>
      <c r="C44" s="44" t="s">
        <v>430</v>
      </c>
      <c r="D44" s="44" t="s">
        <v>431</v>
      </c>
      <c r="E44" s="44" t="s">
        <v>1986</v>
      </c>
      <c r="F44" s="36" t="s">
        <v>2013</v>
      </c>
      <c r="G44" s="67">
        <v>78690.48</v>
      </c>
      <c r="H44" s="37" t="e">
        <f t="shared" si="0"/>
        <v>#VALUE!</v>
      </c>
      <c r="I44" s="37" t="e">
        <f t="shared" si="3"/>
        <v>#VALUE!</v>
      </c>
      <c r="J44" s="37" t="e">
        <f t="shared" si="2"/>
        <v>#VALUE!</v>
      </c>
      <c r="L44" s="66"/>
      <c r="M44" t="s">
        <v>2013</v>
      </c>
      <c r="N44" s="66">
        <v>78690.48</v>
      </c>
    </row>
    <row r="45" spans="1:14" x14ac:dyDescent="0.35">
      <c r="A45" s="2" t="s">
        <v>477</v>
      </c>
      <c r="B45" s="2" t="s">
        <v>790</v>
      </c>
      <c r="C45" s="44" t="s">
        <v>2032</v>
      </c>
      <c r="D45" s="44" t="s">
        <v>2063</v>
      </c>
      <c r="E45" s="44" t="s">
        <v>2039</v>
      </c>
      <c r="F45" s="36" t="s">
        <v>2259</v>
      </c>
      <c r="G45" s="67">
        <v>2847487.5</v>
      </c>
      <c r="H45" s="37">
        <f t="shared" si="0"/>
        <v>147</v>
      </c>
      <c r="I45" s="37" t="str">
        <f t="shared" si="3"/>
        <v>121-180 DAYS</v>
      </c>
      <c r="J45" s="37" t="str">
        <f t="shared" si="2"/>
        <v>0-180 DAYS</v>
      </c>
      <c r="L45" s="66"/>
      <c r="M45" t="s">
        <v>2259</v>
      </c>
      <c r="N45" s="66">
        <v>2847487.5</v>
      </c>
    </row>
    <row r="46" spans="1:14" x14ac:dyDescent="0.35">
      <c r="A46" s="2" t="s">
        <v>477</v>
      </c>
      <c r="B46" s="2" t="s">
        <v>790</v>
      </c>
      <c r="C46" s="44" t="s">
        <v>2032</v>
      </c>
      <c r="D46" s="44" t="s">
        <v>2063</v>
      </c>
      <c r="E46" s="44" t="s">
        <v>2040</v>
      </c>
      <c r="F46" s="36" t="s">
        <v>2259</v>
      </c>
      <c r="G46" s="67">
        <v>2847487.5</v>
      </c>
      <c r="H46" s="37">
        <f t="shared" si="0"/>
        <v>147</v>
      </c>
      <c r="I46" s="37" t="str">
        <f t="shared" si="3"/>
        <v>121-180 DAYS</v>
      </c>
      <c r="J46" s="37" t="str">
        <f t="shared" si="2"/>
        <v>0-180 DAYS</v>
      </c>
      <c r="L46" s="66"/>
      <c r="M46" t="s">
        <v>2259</v>
      </c>
      <c r="N46" s="66">
        <v>2847487.5</v>
      </c>
    </row>
    <row r="47" spans="1:14" x14ac:dyDescent="0.35">
      <c r="A47" s="2" t="s">
        <v>477</v>
      </c>
      <c r="B47" s="2" t="s">
        <v>790</v>
      </c>
      <c r="C47" s="44" t="s">
        <v>2032</v>
      </c>
      <c r="D47" s="44" t="s">
        <v>2063</v>
      </c>
      <c r="E47" s="44" t="s">
        <v>2042</v>
      </c>
      <c r="F47" s="36" t="s">
        <v>2261</v>
      </c>
      <c r="G47" s="67">
        <v>2932787.5</v>
      </c>
      <c r="H47" s="37">
        <f t="shared" si="0"/>
        <v>56</v>
      </c>
      <c r="I47" s="37" t="str">
        <f t="shared" si="3"/>
        <v>1-90 DAYS</v>
      </c>
      <c r="J47" s="37" t="str">
        <f t="shared" si="2"/>
        <v>0-180 DAYS</v>
      </c>
      <c r="L47" s="66"/>
      <c r="M47" t="s">
        <v>2261</v>
      </c>
      <c r="N47" s="66">
        <v>2932787.5</v>
      </c>
    </row>
    <row r="48" spans="1:14" x14ac:dyDescent="0.35">
      <c r="A48" s="2" t="s">
        <v>477</v>
      </c>
      <c r="B48" s="2" t="s">
        <v>790</v>
      </c>
      <c r="C48" s="44" t="s">
        <v>2032</v>
      </c>
      <c r="D48" s="44" t="s">
        <v>2063</v>
      </c>
      <c r="E48" s="44" t="s">
        <v>2043</v>
      </c>
      <c r="F48" s="36" t="s">
        <v>2261</v>
      </c>
      <c r="G48" s="67">
        <v>2932615.5</v>
      </c>
      <c r="H48" s="37">
        <f t="shared" si="0"/>
        <v>56</v>
      </c>
      <c r="I48" s="37" t="str">
        <f t="shared" si="3"/>
        <v>1-90 DAYS</v>
      </c>
      <c r="J48" s="37" t="str">
        <f t="shared" si="2"/>
        <v>0-180 DAYS</v>
      </c>
      <c r="L48" s="66"/>
      <c r="M48" t="s">
        <v>2261</v>
      </c>
      <c r="N48" s="66">
        <v>2932615.5</v>
      </c>
    </row>
    <row r="49" spans="1:14" x14ac:dyDescent="0.35">
      <c r="A49" s="2" t="s">
        <v>477</v>
      </c>
      <c r="B49" s="2" t="s">
        <v>790</v>
      </c>
      <c r="C49" s="44" t="s">
        <v>2032</v>
      </c>
      <c r="D49" s="44" t="s">
        <v>2063</v>
      </c>
      <c r="E49" s="44" t="s">
        <v>2044</v>
      </c>
      <c r="F49" s="36" t="s">
        <v>2261</v>
      </c>
      <c r="G49" s="67">
        <v>2932615.5</v>
      </c>
      <c r="H49" s="37">
        <f t="shared" si="0"/>
        <v>56</v>
      </c>
      <c r="I49" s="37" t="str">
        <f t="shared" si="3"/>
        <v>1-90 DAYS</v>
      </c>
      <c r="J49" s="37" t="str">
        <f t="shared" si="2"/>
        <v>0-180 DAYS</v>
      </c>
      <c r="L49" s="66"/>
      <c r="M49" t="s">
        <v>2261</v>
      </c>
      <c r="N49" s="66">
        <v>2932615.5</v>
      </c>
    </row>
    <row r="50" spans="1:14" x14ac:dyDescent="0.35">
      <c r="A50" s="2" t="s">
        <v>477</v>
      </c>
      <c r="B50" s="2" t="s">
        <v>790</v>
      </c>
      <c r="C50" s="44" t="s">
        <v>2032</v>
      </c>
      <c r="D50" s="44" t="s">
        <v>2063</v>
      </c>
      <c r="E50" s="44" t="s">
        <v>2045</v>
      </c>
      <c r="F50" s="36" t="s">
        <v>2261</v>
      </c>
      <c r="G50" s="67">
        <v>2932615.5</v>
      </c>
      <c r="H50" s="37">
        <f t="shared" si="0"/>
        <v>56</v>
      </c>
      <c r="I50" s="37" t="str">
        <f t="shared" si="3"/>
        <v>1-90 DAYS</v>
      </c>
      <c r="J50" s="37" t="str">
        <f t="shared" si="2"/>
        <v>0-180 DAYS</v>
      </c>
      <c r="L50" s="66"/>
      <c r="M50" t="s">
        <v>2261</v>
      </c>
      <c r="N50" s="66">
        <v>2932615.5</v>
      </c>
    </row>
    <row r="51" spans="1:14" x14ac:dyDescent="0.35">
      <c r="A51" s="2" t="s">
        <v>477</v>
      </c>
      <c r="B51" s="2" t="s">
        <v>790</v>
      </c>
      <c r="C51" s="44" t="s">
        <v>2032</v>
      </c>
      <c r="D51" s="44" t="s">
        <v>2063</v>
      </c>
      <c r="E51" s="44" t="s">
        <v>2046</v>
      </c>
      <c r="F51" s="36" t="s">
        <v>2252</v>
      </c>
      <c r="G51" s="67">
        <v>2845074.5</v>
      </c>
      <c r="H51" s="37" t="e">
        <f t="shared" si="0"/>
        <v>#VALUE!</v>
      </c>
      <c r="I51" s="37" t="e">
        <f t="shared" si="3"/>
        <v>#VALUE!</v>
      </c>
      <c r="J51" s="37" t="e">
        <f t="shared" si="2"/>
        <v>#VALUE!</v>
      </c>
      <c r="L51" s="66"/>
      <c r="M51" t="s">
        <v>2252</v>
      </c>
      <c r="N51" s="66">
        <v>2845074.5</v>
      </c>
    </row>
    <row r="52" spans="1:14" x14ac:dyDescent="0.35">
      <c r="A52" s="2" t="s">
        <v>477</v>
      </c>
      <c r="B52" s="2" t="s">
        <v>790</v>
      </c>
      <c r="C52" s="44" t="s">
        <v>2032</v>
      </c>
      <c r="D52" s="44" t="s">
        <v>2063</v>
      </c>
      <c r="E52" s="44" t="s">
        <v>2047</v>
      </c>
      <c r="F52" s="36" t="s">
        <v>2252</v>
      </c>
      <c r="G52" s="67">
        <v>2845074.5</v>
      </c>
      <c r="H52" s="37" t="e">
        <f t="shared" si="0"/>
        <v>#VALUE!</v>
      </c>
      <c r="I52" s="37" t="e">
        <f t="shared" si="3"/>
        <v>#VALUE!</v>
      </c>
      <c r="J52" s="37" t="e">
        <f t="shared" si="2"/>
        <v>#VALUE!</v>
      </c>
      <c r="L52" s="66"/>
      <c r="M52" t="s">
        <v>2252</v>
      </c>
      <c r="N52" s="66">
        <v>2845074.5</v>
      </c>
    </row>
    <row r="53" spans="1:14" x14ac:dyDescent="0.35">
      <c r="A53" s="2" t="s">
        <v>477</v>
      </c>
      <c r="B53" s="2" t="s">
        <v>790</v>
      </c>
      <c r="C53" s="44" t="s">
        <v>2032</v>
      </c>
      <c r="D53" s="44" t="s">
        <v>2063</v>
      </c>
      <c r="E53" s="44" t="s">
        <v>2048</v>
      </c>
      <c r="F53" s="36" t="s">
        <v>2252</v>
      </c>
      <c r="G53" s="67">
        <v>2845074.5</v>
      </c>
      <c r="H53" s="37" t="e">
        <f t="shared" si="0"/>
        <v>#VALUE!</v>
      </c>
      <c r="I53" s="37" t="e">
        <f t="shared" si="3"/>
        <v>#VALUE!</v>
      </c>
      <c r="J53" s="37" t="e">
        <f t="shared" si="2"/>
        <v>#VALUE!</v>
      </c>
      <c r="L53" s="66"/>
      <c r="M53" t="s">
        <v>2252</v>
      </c>
      <c r="N53" s="66">
        <v>2845074.5</v>
      </c>
    </row>
    <row r="54" spans="1:14" x14ac:dyDescent="0.35">
      <c r="A54" s="2" t="s">
        <v>1085</v>
      </c>
      <c r="B54" s="2" t="s">
        <v>790</v>
      </c>
      <c r="C54" s="44" t="s">
        <v>1246</v>
      </c>
      <c r="D54" t="s">
        <v>507</v>
      </c>
      <c r="E54" s="44" t="s">
        <v>2077</v>
      </c>
      <c r="F54" s="36" t="s">
        <v>2253</v>
      </c>
      <c r="G54" s="67">
        <v>2976020.29</v>
      </c>
      <c r="H54" s="37">
        <f t="shared" si="0"/>
        <v>117</v>
      </c>
      <c r="I54" s="37" t="str">
        <f t="shared" ref="I54:I73" si="4">IF(H54&lt;121,"0-120 DAYS",IF(H54&lt;181,"121-180 DAYS","More than 180 Days"))</f>
        <v>0-120 DAYS</v>
      </c>
      <c r="J54" s="37" t="str">
        <f t="shared" si="2"/>
        <v>0-180 DAYS</v>
      </c>
      <c r="L54" s="66"/>
      <c r="M54" t="s">
        <v>2253</v>
      </c>
      <c r="N54" s="66">
        <v>2976020.29</v>
      </c>
    </row>
    <row r="55" spans="1:14" x14ac:dyDescent="0.35">
      <c r="A55" s="2" t="s">
        <v>1085</v>
      </c>
      <c r="B55" s="2" t="s">
        <v>790</v>
      </c>
      <c r="C55" s="44" t="s">
        <v>1086</v>
      </c>
      <c r="D55" t="s">
        <v>507</v>
      </c>
      <c r="E55" s="44" t="s">
        <v>2116</v>
      </c>
      <c r="F55" s="36" t="s">
        <v>2268</v>
      </c>
      <c r="G55" s="67">
        <v>761667</v>
      </c>
      <c r="H55" s="37" t="e">
        <f t="shared" si="0"/>
        <v>#VALUE!</v>
      </c>
      <c r="I55" s="37" t="e">
        <f t="shared" si="4"/>
        <v>#VALUE!</v>
      </c>
      <c r="J55" s="37" t="e">
        <f t="shared" si="2"/>
        <v>#VALUE!</v>
      </c>
      <c r="L55" s="66"/>
      <c r="M55" t="s">
        <v>2268</v>
      </c>
      <c r="N55" s="66">
        <v>761667</v>
      </c>
    </row>
    <row r="56" spans="1:14" x14ac:dyDescent="0.35">
      <c r="A56" s="2" t="s">
        <v>1085</v>
      </c>
      <c r="B56" s="2" t="s">
        <v>790</v>
      </c>
      <c r="C56" s="44" t="s">
        <v>1086</v>
      </c>
      <c r="D56" t="s">
        <v>507</v>
      </c>
      <c r="E56" s="44" t="s">
        <v>2117</v>
      </c>
      <c r="F56" s="36" t="s">
        <v>2268</v>
      </c>
      <c r="G56" s="67">
        <v>1599537.09</v>
      </c>
      <c r="H56" s="37" t="e">
        <f t="shared" si="0"/>
        <v>#VALUE!</v>
      </c>
      <c r="I56" s="37" t="e">
        <f t="shared" si="4"/>
        <v>#VALUE!</v>
      </c>
      <c r="J56" s="37" t="e">
        <f t="shared" si="2"/>
        <v>#VALUE!</v>
      </c>
      <c r="L56" s="66"/>
      <c r="M56" t="s">
        <v>2268</v>
      </c>
      <c r="N56" s="66">
        <v>1599537.09</v>
      </c>
    </row>
    <row r="57" spans="1:14" x14ac:dyDescent="0.35">
      <c r="A57" s="2" t="s">
        <v>1085</v>
      </c>
      <c r="B57" s="2" t="s">
        <v>790</v>
      </c>
      <c r="C57" s="44" t="s">
        <v>1086</v>
      </c>
      <c r="D57" t="s">
        <v>507</v>
      </c>
      <c r="E57" s="44" t="s">
        <v>2118</v>
      </c>
      <c r="F57" s="36" t="s">
        <v>2269</v>
      </c>
      <c r="G57" s="67">
        <v>347311.88</v>
      </c>
      <c r="H57" s="37" t="e">
        <f t="shared" si="0"/>
        <v>#VALUE!</v>
      </c>
      <c r="I57" s="37" t="e">
        <f t="shared" si="4"/>
        <v>#VALUE!</v>
      </c>
      <c r="J57" s="37" t="e">
        <f t="shared" si="2"/>
        <v>#VALUE!</v>
      </c>
      <c r="L57" s="66"/>
      <c r="M57" t="s">
        <v>2269</v>
      </c>
      <c r="N57" s="66">
        <v>347311.88</v>
      </c>
    </row>
    <row r="58" spans="1:14" x14ac:dyDescent="0.35">
      <c r="A58" s="2" t="s">
        <v>1085</v>
      </c>
      <c r="B58" s="2" t="s">
        <v>790</v>
      </c>
      <c r="C58" s="44" t="s">
        <v>1086</v>
      </c>
      <c r="D58" t="s">
        <v>507</v>
      </c>
      <c r="E58" s="44" t="s">
        <v>2120</v>
      </c>
      <c r="F58" s="36" t="s">
        <v>2254</v>
      </c>
      <c r="G58" s="67">
        <v>1939281.9199999999</v>
      </c>
      <c r="H58" s="37" t="e">
        <f t="shared" si="0"/>
        <v>#VALUE!</v>
      </c>
      <c r="I58" s="37" t="e">
        <f t="shared" si="4"/>
        <v>#VALUE!</v>
      </c>
      <c r="J58" s="37" t="e">
        <f t="shared" si="2"/>
        <v>#VALUE!</v>
      </c>
      <c r="L58" s="66"/>
      <c r="M58" t="s">
        <v>2254</v>
      </c>
      <c r="N58" s="66">
        <v>1939281.9199999999</v>
      </c>
    </row>
    <row r="59" spans="1:14" x14ac:dyDescent="0.35">
      <c r="A59" s="88" t="s">
        <v>1085</v>
      </c>
      <c r="B59" s="88" t="s">
        <v>790</v>
      </c>
      <c r="C59" t="s">
        <v>1086</v>
      </c>
      <c r="D59" s="37" t="s">
        <v>507</v>
      </c>
      <c r="E59" s="18" t="s">
        <v>2281</v>
      </c>
      <c r="F59" s="36" t="s">
        <v>2359</v>
      </c>
      <c r="G59" s="67">
        <v>2292025.14</v>
      </c>
      <c r="H59" s="37" t="e">
        <f t="shared" si="0"/>
        <v>#VALUE!</v>
      </c>
      <c r="I59" s="37" t="e">
        <f t="shared" si="4"/>
        <v>#VALUE!</v>
      </c>
      <c r="J59" s="37" t="e">
        <f t="shared" si="2"/>
        <v>#VALUE!</v>
      </c>
      <c r="L59" s="66"/>
      <c r="M59" t="s">
        <v>2359</v>
      </c>
      <c r="N59" s="66">
        <v>2292025.14</v>
      </c>
    </row>
    <row r="60" spans="1:14" x14ac:dyDescent="0.35">
      <c r="A60" s="88" t="s">
        <v>1085</v>
      </c>
      <c r="B60" s="88" t="s">
        <v>790</v>
      </c>
      <c r="C60" t="s">
        <v>1086</v>
      </c>
      <c r="D60" s="37" t="s">
        <v>507</v>
      </c>
      <c r="E60" s="18" t="s">
        <v>2282</v>
      </c>
      <c r="F60" s="36" t="s">
        <v>2359</v>
      </c>
      <c r="G60" s="67">
        <v>309289.89</v>
      </c>
      <c r="H60" s="37" t="e">
        <f t="shared" si="0"/>
        <v>#VALUE!</v>
      </c>
      <c r="I60" s="37" t="e">
        <f t="shared" si="4"/>
        <v>#VALUE!</v>
      </c>
      <c r="J60" s="37" t="e">
        <f t="shared" si="2"/>
        <v>#VALUE!</v>
      </c>
      <c r="L60" s="66"/>
      <c r="M60" t="s">
        <v>2359</v>
      </c>
      <c r="N60" s="66">
        <v>309289.89</v>
      </c>
    </row>
    <row r="61" spans="1:14" x14ac:dyDescent="0.35">
      <c r="A61" s="88" t="s">
        <v>1085</v>
      </c>
      <c r="B61" s="88" t="s">
        <v>790</v>
      </c>
      <c r="C61" t="s">
        <v>1086</v>
      </c>
      <c r="D61" s="37" t="s">
        <v>507</v>
      </c>
      <c r="E61" s="18" t="s">
        <v>2283</v>
      </c>
      <c r="F61" s="36" t="s">
        <v>2359</v>
      </c>
      <c r="G61" s="67">
        <v>33321.440000000002</v>
      </c>
      <c r="H61" s="37" t="e">
        <f t="shared" si="0"/>
        <v>#VALUE!</v>
      </c>
      <c r="I61" s="37" t="e">
        <f t="shared" si="4"/>
        <v>#VALUE!</v>
      </c>
      <c r="J61" s="37" t="e">
        <f t="shared" si="2"/>
        <v>#VALUE!</v>
      </c>
      <c r="L61" s="66"/>
      <c r="M61" t="s">
        <v>2359</v>
      </c>
      <c r="N61" s="66">
        <v>33321.440000000002</v>
      </c>
    </row>
    <row r="62" spans="1:14" x14ac:dyDescent="0.35">
      <c r="A62" s="88" t="s">
        <v>1085</v>
      </c>
      <c r="B62" s="88" t="s">
        <v>790</v>
      </c>
      <c r="C62" t="s">
        <v>1086</v>
      </c>
      <c r="D62" s="37" t="s">
        <v>507</v>
      </c>
      <c r="E62" s="18" t="s">
        <v>2284</v>
      </c>
      <c r="F62" s="36" t="s">
        <v>2360</v>
      </c>
      <c r="G62" s="67">
        <v>1858191.62</v>
      </c>
      <c r="H62" s="37" t="e">
        <f t="shared" si="0"/>
        <v>#VALUE!</v>
      </c>
      <c r="I62" s="37" t="e">
        <f t="shared" si="4"/>
        <v>#VALUE!</v>
      </c>
      <c r="J62" s="37" t="e">
        <f t="shared" si="2"/>
        <v>#VALUE!</v>
      </c>
      <c r="L62" s="66"/>
      <c r="M62" t="s">
        <v>2360</v>
      </c>
      <c r="N62" s="66">
        <v>1858191.62</v>
      </c>
    </row>
    <row r="63" spans="1:14" x14ac:dyDescent="0.35">
      <c r="A63" s="88" t="s">
        <v>1085</v>
      </c>
      <c r="B63" s="88" t="s">
        <v>790</v>
      </c>
      <c r="C63" t="s">
        <v>1086</v>
      </c>
      <c r="D63" s="37" t="s">
        <v>507</v>
      </c>
      <c r="E63" s="18" t="s">
        <v>2285</v>
      </c>
      <c r="F63" s="36" t="s">
        <v>2360</v>
      </c>
      <c r="G63" s="67">
        <v>903992.55</v>
      </c>
      <c r="H63" s="37" t="e">
        <f t="shared" si="0"/>
        <v>#VALUE!</v>
      </c>
      <c r="I63" s="37" t="e">
        <f t="shared" si="4"/>
        <v>#VALUE!</v>
      </c>
      <c r="J63" s="37" t="e">
        <f t="shared" si="2"/>
        <v>#VALUE!</v>
      </c>
      <c r="L63" s="66"/>
      <c r="M63" t="s">
        <v>2360</v>
      </c>
      <c r="N63" s="66">
        <v>903992.55</v>
      </c>
    </row>
    <row r="64" spans="1:14" x14ac:dyDescent="0.35">
      <c r="A64" s="88" t="s">
        <v>1085</v>
      </c>
      <c r="B64" s="88" t="s">
        <v>790</v>
      </c>
      <c r="C64" t="s">
        <v>530</v>
      </c>
      <c r="D64" s="37" t="s">
        <v>507</v>
      </c>
      <c r="E64" s="18" t="s">
        <v>2291</v>
      </c>
      <c r="F64" s="36" t="s">
        <v>2363</v>
      </c>
      <c r="G64" s="67">
        <v>3757470.37</v>
      </c>
      <c r="H64" s="37" t="e">
        <f t="shared" si="0"/>
        <v>#VALUE!</v>
      </c>
      <c r="I64" s="37" t="e">
        <f t="shared" si="4"/>
        <v>#VALUE!</v>
      </c>
      <c r="J64" s="37" t="e">
        <f t="shared" si="2"/>
        <v>#VALUE!</v>
      </c>
      <c r="L64" s="66"/>
      <c r="M64" t="s">
        <v>2363</v>
      </c>
      <c r="N64" s="66">
        <v>3757470.37</v>
      </c>
    </row>
    <row r="65" spans="1:14" x14ac:dyDescent="0.35">
      <c r="A65" s="88" t="s">
        <v>1085</v>
      </c>
      <c r="B65" s="88" t="s">
        <v>790</v>
      </c>
      <c r="C65" t="s">
        <v>1086</v>
      </c>
      <c r="D65" s="37" t="s">
        <v>507</v>
      </c>
      <c r="E65" s="18" t="s">
        <v>2296</v>
      </c>
      <c r="F65" s="36" t="s">
        <v>2366</v>
      </c>
      <c r="G65" s="67">
        <v>28329.72</v>
      </c>
      <c r="H65" s="37">
        <f t="shared" si="0"/>
        <v>269</v>
      </c>
      <c r="I65" s="37" t="str">
        <f t="shared" si="4"/>
        <v>More than 180 Days</v>
      </c>
      <c r="J65" s="37" t="str">
        <f t="shared" si="2"/>
        <v>More than 180 Days</v>
      </c>
      <c r="L65" s="66"/>
      <c r="M65" t="s">
        <v>2366</v>
      </c>
      <c r="N65" s="66">
        <v>28329.72</v>
      </c>
    </row>
    <row r="66" spans="1:14" x14ac:dyDescent="0.35">
      <c r="A66" s="88" t="s">
        <v>1085</v>
      </c>
      <c r="B66" s="88" t="s">
        <v>790</v>
      </c>
      <c r="C66" t="s">
        <v>1086</v>
      </c>
      <c r="D66" s="37" t="s">
        <v>507</v>
      </c>
      <c r="E66" s="18" t="s">
        <v>2297</v>
      </c>
      <c r="F66" s="36" t="s">
        <v>2366</v>
      </c>
      <c r="G66" s="67">
        <v>2313321.96</v>
      </c>
      <c r="H66" s="37">
        <f t="shared" si="0"/>
        <v>269</v>
      </c>
      <c r="I66" s="37" t="str">
        <f t="shared" si="4"/>
        <v>More than 180 Days</v>
      </c>
      <c r="J66" s="37" t="str">
        <f t="shared" si="2"/>
        <v>More than 180 Days</v>
      </c>
      <c r="L66" s="66"/>
      <c r="M66" t="s">
        <v>2366</v>
      </c>
      <c r="N66" s="66">
        <v>2313321.96</v>
      </c>
    </row>
    <row r="67" spans="1:14" x14ac:dyDescent="0.35">
      <c r="A67" s="88" t="s">
        <v>1085</v>
      </c>
      <c r="B67" s="88" t="s">
        <v>790</v>
      </c>
      <c r="C67" t="s">
        <v>570</v>
      </c>
      <c r="D67" s="37" t="s">
        <v>507</v>
      </c>
      <c r="E67" s="18" t="s">
        <v>2310</v>
      </c>
      <c r="F67" s="36" t="s">
        <v>2363</v>
      </c>
      <c r="G67" s="67">
        <f>3151152-1525841</f>
        <v>1625311</v>
      </c>
      <c r="H67" s="37" t="e">
        <f t="shared" si="0"/>
        <v>#VALUE!</v>
      </c>
      <c r="I67" s="37" t="e">
        <f t="shared" si="4"/>
        <v>#VALUE!</v>
      </c>
      <c r="J67" s="37" t="e">
        <f t="shared" si="2"/>
        <v>#VALUE!</v>
      </c>
      <c r="L67" s="66"/>
      <c r="M67" t="s">
        <v>2363</v>
      </c>
      <c r="N67" s="66">
        <v>3151152</v>
      </c>
    </row>
    <row r="68" spans="1:14" x14ac:dyDescent="0.35">
      <c r="A68" s="88" t="s">
        <v>1085</v>
      </c>
      <c r="B68" s="88" t="s">
        <v>790</v>
      </c>
      <c r="C68" t="s">
        <v>570</v>
      </c>
      <c r="D68" s="37" t="s">
        <v>507</v>
      </c>
      <c r="E68" s="18" t="s">
        <v>2311</v>
      </c>
      <c r="F68" s="36" t="s">
        <v>2353</v>
      </c>
      <c r="G68" s="67">
        <v>3378912.48</v>
      </c>
      <c r="H68" s="37" t="e">
        <f t="shared" si="0"/>
        <v>#VALUE!</v>
      </c>
      <c r="I68" s="37" t="e">
        <f t="shared" si="4"/>
        <v>#VALUE!</v>
      </c>
      <c r="J68" s="37" t="e">
        <f t="shared" si="2"/>
        <v>#VALUE!</v>
      </c>
      <c r="L68" s="66"/>
      <c r="M68" t="s">
        <v>2353</v>
      </c>
      <c r="N68" s="66">
        <v>3378912.48</v>
      </c>
    </row>
    <row r="69" spans="1:14" x14ac:dyDescent="0.35">
      <c r="A69" s="88" t="s">
        <v>1085</v>
      </c>
      <c r="B69" s="88" t="s">
        <v>790</v>
      </c>
      <c r="C69" t="s">
        <v>570</v>
      </c>
      <c r="D69" s="37" t="s">
        <v>507</v>
      </c>
      <c r="E69" s="18" t="s">
        <v>2313</v>
      </c>
      <c r="F69" s="36" t="s">
        <v>2364</v>
      </c>
      <c r="G69" s="67">
        <v>3151152</v>
      </c>
      <c r="H69" s="37" t="e">
        <f t="shared" si="0"/>
        <v>#VALUE!</v>
      </c>
      <c r="I69" s="37" t="e">
        <f t="shared" si="4"/>
        <v>#VALUE!</v>
      </c>
      <c r="J69" s="37" t="e">
        <f t="shared" si="2"/>
        <v>#VALUE!</v>
      </c>
      <c r="L69" s="66"/>
      <c r="M69" t="s">
        <v>2364</v>
      </c>
      <c r="N69" s="66">
        <v>3151152</v>
      </c>
    </row>
    <row r="70" spans="1:14" x14ac:dyDescent="0.35">
      <c r="A70" s="88" t="s">
        <v>1085</v>
      </c>
      <c r="B70" s="88" t="s">
        <v>790</v>
      </c>
      <c r="C70" t="s">
        <v>1086</v>
      </c>
      <c r="D70" s="37" t="s">
        <v>507</v>
      </c>
      <c r="E70" s="18" t="s">
        <v>2314</v>
      </c>
      <c r="F70" s="36" t="s">
        <v>2354</v>
      </c>
      <c r="G70" s="67">
        <v>2778009.73</v>
      </c>
      <c r="H70" s="37" t="e">
        <f t="shared" si="0"/>
        <v>#VALUE!</v>
      </c>
      <c r="I70" s="37" t="e">
        <f t="shared" si="4"/>
        <v>#VALUE!</v>
      </c>
      <c r="J70" s="37" t="e">
        <f t="shared" si="2"/>
        <v>#VALUE!</v>
      </c>
      <c r="L70" s="66"/>
      <c r="M70" t="s">
        <v>2354</v>
      </c>
      <c r="N70" s="66">
        <v>2778009.73</v>
      </c>
    </row>
    <row r="71" spans="1:14" x14ac:dyDescent="0.35">
      <c r="A71" s="88" t="s">
        <v>1085</v>
      </c>
      <c r="B71" s="88" t="s">
        <v>790</v>
      </c>
      <c r="C71" t="s">
        <v>1086</v>
      </c>
      <c r="D71" s="37" t="s">
        <v>507</v>
      </c>
      <c r="E71" s="18" t="s">
        <v>2315</v>
      </c>
      <c r="F71" s="36" t="s">
        <v>2371</v>
      </c>
      <c r="G71" s="67">
        <v>30597.42</v>
      </c>
      <c r="H71" s="37" t="e">
        <f t="shared" si="0"/>
        <v>#VALUE!</v>
      </c>
      <c r="I71" s="37" t="e">
        <f t="shared" si="4"/>
        <v>#VALUE!</v>
      </c>
      <c r="J71" s="37" t="e">
        <f t="shared" si="2"/>
        <v>#VALUE!</v>
      </c>
      <c r="L71" s="66"/>
      <c r="M71" t="s">
        <v>2371</v>
      </c>
      <c r="N71" s="66">
        <v>30597.42</v>
      </c>
    </row>
    <row r="72" spans="1:14" x14ac:dyDescent="0.35">
      <c r="A72" s="88" t="s">
        <v>1085</v>
      </c>
      <c r="B72" s="88" t="s">
        <v>790</v>
      </c>
      <c r="C72" t="s">
        <v>1086</v>
      </c>
      <c r="D72" s="37" t="s">
        <v>507</v>
      </c>
      <c r="E72" s="18" t="s">
        <v>2316</v>
      </c>
      <c r="F72" s="36" t="s">
        <v>2371</v>
      </c>
      <c r="G72" s="67">
        <v>53803.1</v>
      </c>
      <c r="H72" s="37" t="e">
        <f t="shared" si="0"/>
        <v>#VALUE!</v>
      </c>
      <c r="I72" s="37" t="e">
        <f t="shared" si="4"/>
        <v>#VALUE!</v>
      </c>
      <c r="J72" s="37" t="e">
        <f t="shared" si="2"/>
        <v>#VALUE!</v>
      </c>
      <c r="L72" s="66"/>
      <c r="M72" t="s">
        <v>2371</v>
      </c>
      <c r="N72" s="66">
        <v>53803.1</v>
      </c>
    </row>
    <row r="73" spans="1:14" x14ac:dyDescent="0.35">
      <c r="A73" s="88" t="s">
        <v>1085</v>
      </c>
      <c r="B73" s="88" t="s">
        <v>790</v>
      </c>
      <c r="C73" t="s">
        <v>1086</v>
      </c>
      <c r="D73" s="37" t="s">
        <v>507</v>
      </c>
      <c r="E73" s="18" t="s">
        <v>2317</v>
      </c>
      <c r="F73" s="36" t="s">
        <v>2371</v>
      </c>
      <c r="G73" s="67">
        <v>2586163.41</v>
      </c>
      <c r="H73" s="37" t="e">
        <f t="shared" si="0"/>
        <v>#VALUE!</v>
      </c>
      <c r="I73" s="37" t="e">
        <f t="shared" si="4"/>
        <v>#VALUE!</v>
      </c>
      <c r="J73" s="37" t="e">
        <f t="shared" si="2"/>
        <v>#VALUE!</v>
      </c>
      <c r="L73" s="66"/>
      <c r="M73" t="s">
        <v>2371</v>
      </c>
      <c r="N73" s="66">
        <v>2586163.41</v>
      </c>
    </row>
    <row r="74" spans="1:14" x14ac:dyDescent="0.35">
      <c r="A74" s="2" t="s">
        <v>477</v>
      </c>
      <c r="B74" s="2" t="s">
        <v>790</v>
      </c>
      <c r="C74" s="18" t="s">
        <v>221</v>
      </c>
      <c r="D74" s="18" t="s">
        <v>222</v>
      </c>
      <c r="E74" s="18" t="s">
        <v>2326</v>
      </c>
      <c r="F74" s="36" t="s">
        <v>2374</v>
      </c>
      <c r="G74" s="67">
        <v>194287.24</v>
      </c>
      <c r="H74" s="37" t="e">
        <f t="shared" si="0"/>
        <v>#VALUE!</v>
      </c>
      <c r="I74" s="37" t="e">
        <f t="shared" ref="I74:I86" si="5">IF(H74&lt;91,"1-90 DAYS",IF(H74&lt;121,"91-120DAYS",IF(H74&lt;181,"121-180 DAYS","More than 180 Days")))</f>
        <v>#VALUE!</v>
      </c>
      <c r="J74" s="37" t="e">
        <f t="shared" si="2"/>
        <v>#VALUE!</v>
      </c>
      <c r="L74" s="66"/>
      <c r="M74" t="s">
        <v>2374</v>
      </c>
      <c r="N74" s="66">
        <v>194287.24</v>
      </c>
    </row>
    <row r="75" spans="1:14" x14ac:dyDescent="0.35">
      <c r="A75" s="2" t="s">
        <v>477</v>
      </c>
      <c r="B75" s="2" t="s">
        <v>790</v>
      </c>
      <c r="C75" s="18" t="s">
        <v>2033</v>
      </c>
      <c r="D75" s="18" t="s">
        <v>1499</v>
      </c>
      <c r="E75" s="18" t="s">
        <v>2328</v>
      </c>
      <c r="F75" s="36" t="s">
        <v>2359</v>
      </c>
      <c r="G75" s="67">
        <f>26968204.8-10099587</f>
        <v>16868617.800000001</v>
      </c>
      <c r="H75" s="37" t="e">
        <f t="shared" si="0"/>
        <v>#VALUE!</v>
      </c>
      <c r="I75" s="37" t="e">
        <f t="shared" si="5"/>
        <v>#VALUE!</v>
      </c>
      <c r="J75" s="37" t="e">
        <f t="shared" si="2"/>
        <v>#VALUE!</v>
      </c>
      <c r="L75" s="66"/>
      <c r="M75" t="s">
        <v>2359</v>
      </c>
      <c r="N75" s="66">
        <v>16868617.800000001</v>
      </c>
    </row>
    <row r="76" spans="1:14" x14ac:dyDescent="0.35">
      <c r="A76" s="2" t="s">
        <v>477</v>
      </c>
      <c r="B76" s="2" t="s">
        <v>790</v>
      </c>
      <c r="C76" s="18" t="s">
        <v>2033</v>
      </c>
      <c r="D76" s="18" t="s">
        <v>1499</v>
      </c>
      <c r="E76" s="18" t="s">
        <v>2329</v>
      </c>
      <c r="F76" s="36" t="s">
        <v>2359</v>
      </c>
      <c r="G76" s="67">
        <v>1569174.16</v>
      </c>
      <c r="H76" s="37" t="e">
        <f t="shared" ref="H76:H139" si="6">$H$9-F76+1</f>
        <v>#VALUE!</v>
      </c>
      <c r="I76" s="37" t="e">
        <f t="shared" si="5"/>
        <v>#VALUE!</v>
      </c>
      <c r="J76" s="37" t="e">
        <f t="shared" si="2"/>
        <v>#VALUE!</v>
      </c>
      <c r="L76" s="66"/>
      <c r="M76" t="s">
        <v>2359</v>
      </c>
      <c r="N76" s="66">
        <v>1569174.16</v>
      </c>
    </row>
    <row r="77" spans="1:14" x14ac:dyDescent="0.35">
      <c r="A77" s="2" t="s">
        <v>477</v>
      </c>
      <c r="B77" s="2" t="s">
        <v>790</v>
      </c>
      <c r="C77" s="18" t="s">
        <v>3</v>
      </c>
      <c r="D77" s="18" t="s">
        <v>4</v>
      </c>
      <c r="E77" s="18" t="s">
        <v>2345</v>
      </c>
      <c r="F77" s="36" t="s">
        <v>2361</v>
      </c>
      <c r="G77" s="67">
        <v>1513386.88</v>
      </c>
      <c r="H77" s="37" t="e">
        <f t="shared" si="6"/>
        <v>#VALUE!</v>
      </c>
      <c r="I77" s="37" t="e">
        <f t="shared" si="5"/>
        <v>#VALUE!</v>
      </c>
      <c r="J77" s="37" t="e">
        <f t="shared" ref="J77:J140" si="7">IF(H77&lt;180,"0-180 DAYS","More than 180 Days")</f>
        <v>#VALUE!</v>
      </c>
      <c r="L77" s="66"/>
      <c r="M77" t="s">
        <v>2361</v>
      </c>
      <c r="N77" s="66">
        <v>1513386.88</v>
      </c>
    </row>
    <row r="78" spans="1:14" x14ac:dyDescent="0.35">
      <c r="A78" s="2" t="s">
        <v>477</v>
      </c>
      <c r="B78" s="2" t="s">
        <v>790</v>
      </c>
      <c r="C78" s="18" t="s">
        <v>5</v>
      </c>
      <c r="D78" s="18" t="s">
        <v>6</v>
      </c>
      <c r="E78" s="18" t="s">
        <v>2346</v>
      </c>
      <c r="F78" s="36" t="s">
        <v>2376</v>
      </c>
      <c r="G78" s="67">
        <v>14691</v>
      </c>
      <c r="H78" s="37" t="e">
        <f t="shared" si="6"/>
        <v>#VALUE!</v>
      </c>
      <c r="I78" s="37" t="e">
        <f t="shared" si="5"/>
        <v>#VALUE!</v>
      </c>
      <c r="J78" s="37" t="e">
        <f t="shared" si="7"/>
        <v>#VALUE!</v>
      </c>
      <c r="L78" s="66"/>
      <c r="M78" t="s">
        <v>2376</v>
      </c>
      <c r="N78" s="66">
        <v>14691</v>
      </c>
    </row>
    <row r="79" spans="1:14" x14ac:dyDescent="0.35">
      <c r="A79" s="2" t="s">
        <v>477</v>
      </c>
      <c r="B79" s="2" t="s">
        <v>790</v>
      </c>
      <c r="C79" s="18" t="s">
        <v>2379</v>
      </c>
      <c r="D79" s="18" t="s">
        <v>2422</v>
      </c>
      <c r="E79" s="18" t="s">
        <v>2386</v>
      </c>
      <c r="F79" s="19" t="s">
        <v>2504</v>
      </c>
      <c r="G79" s="108">
        <v>677046.21</v>
      </c>
      <c r="H79" s="37">
        <f t="shared" si="6"/>
        <v>237</v>
      </c>
      <c r="I79" s="37" t="str">
        <f t="shared" si="5"/>
        <v>More than 180 Days</v>
      </c>
      <c r="J79" s="37" t="str">
        <f t="shared" si="7"/>
        <v>More than 180 Days</v>
      </c>
      <c r="L79" s="66"/>
      <c r="M79" t="s">
        <v>2504</v>
      </c>
      <c r="N79" s="66">
        <v>688974.21</v>
      </c>
    </row>
    <row r="80" spans="1:14" x14ac:dyDescent="0.35">
      <c r="A80" s="2" t="s">
        <v>477</v>
      </c>
      <c r="B80" s="2" t="s">
        <v>790</v>
      </c>
      <c r="C80" s="18" t="s">
        <v>2033</v>
      </c>
      <c r="D80" s="18" t="s">
        <v>1499</v>
      </c>
      <c r="E80" s="18" t="s">
        <v>2392</v>
      </c>
      <c r="F80" s="19" t="s">
        <v>2645</v>
      </c>
      <c r="G80" s="108">
        <v>16605477.9</v>
      </c>
      <c r="H80" s="37" t="e">
        <f t="shared" si="6"/>
        <v>#VALUE!</v>
      </c>
      <c r="I80" s="37" t="e">
        <f t="shared" si="5"/>
        <v>#VALUE!</v>
      </c>
      <c r="J80" s="37" t="e">
        <f t="shared" si="7"/>
        <v>#VALUE!</v>
      </c>
      <c r="L80" s="66"/>
      <c r="M80" t="s">
        <v>2645</v>
      </c>
      <c r="N80" s="66">
        <v>16605477.9</v>
      </c>
    </row>
    <row r="81" spans="1:14" x14ac:dyDescent="0.35">
      <c r="A81" s="2" t="s">
        <v>477</v>
      </c>
      <c r="B81" s="2" t="s">
        <v>790</v>
      </c>
      <c r="C81" s="18" t="s">
        <v>2033</v>
      </c>
      <c r="D81" s="18" t="s">
        <v>1499</v>
      </c>
      <c r="E81" s="18" t="s">
        <v>2393</v>
      </c>
      <c r="F81" s="19" t="s">
        <v>2645</v>
      </c>
      <c r="G81" s="108">
        <v>8554936.5</v>
      </c>
      <c r="H81" s="37" t="e">
        <f t="shared" si="6"/>
        <v>#VALUE!</v>
      </c>
      <c r="I81" s="37" t="e">
        <f t="shared" si="5"/>
        <v>#VALUE!</v>
      </c>
      <c r="J81" s="37" t="e">
        <f t="shared" si="7"/>
        <v>#VALUE!</v>
      </c>
      <c r="L81" s="66"/>
      <c r="M81" t="s">
        <v>2645</v>
      </c>
      <c r="N81" s="66">
        <v>8554936.5</v>
      </c>
    </row>
    <row r="82" spans="1:14" x14ac:dyDescent="0.35">
      <c r="A82" s="2" t="s">
        <v>477</v>
      </c>
      <c r="B82" s="2" t="s">
        <v>790</v>
      </c>
      <c r="C82" s="18" t="s">
        <v>2380</v>
      </c>
      <c r="D82" s="18" t="s">
        <v>1081</v>
      </c>
      <c r="E82" s="18" t="s">
        <v>2401</v>
      </c>
      <c r="F82" s="19" t="s">
        <v>2500</v>
      </c>
      <c r="G82" s="108">
        <f>1156339.4-333448</f>
        <v>822891.39999999991</v>
      </c>
      <c r="H82" s="37" t="e">
        <f t="shared" si="6"/>
        <v>#VALUE!</v>
      </c>
      <c r="I82" s="37" t="e">
        <f t="shared" si="5"/>
        <v>#VALUE!</v>
      </c>
      <c r="J82" s="37" t="e">
        <f t="shared" si="7"/>
        <v>#VALUE!</v>
      </c>
      <c r="L82" s="66"/>
      <c r="M82" t="s">
        <v>2500</v>
      </c>
      <c r="N82" s="66">
        <v>1156339.3999999999</v>
      </c>
    </row>
    <row r="83" spans="1:14" x14ac:dyDescent="0.35">
      <c r="A83" s="2" t="s">
        <v>477</v>
      </c>
      <c r="B83" s="2" t="s">
        <v>790</v>
      </c>
      <c r="C83" s="18" t="s">
        <v>2380</v>
      </c>
      <c r="D83" s="18" t="s">
        <v>1081</v>
      </c>
      <c r="E83" s="18" t="s">
        <v>2402</v>
      </c>
      <c r="F83" s="19" t="s">
        <v>2500</v>
      </c>
      <c r="G83" s="108">
        <v>871287.38</v>
      </c>
      <c r="H83" s="37" t="e">
        <f t="shared" si="6"/>
        <v>#VALUE!</v>
      </c>
      <c r="I83" s="37" t="e">
        <f t="shared" si="5"/>
        <v>#VALUE!</v>
      </c>
      <c r="J83" s="37" t="e">
        <f t="shared" si="7"/>
        <v>#VALUE!</v>
      </c>
      <c r="L83" s="66"/>
      <c r="M83" t="s">
        <v>2500</v>
      </c>
      <c r="N83" s="66">
        <v>871287.38</v>
      </c>
    </row>
    <row r="84" spans="1:14" x14ac:dyDescent="0.35">
      <c r="A84" s="2" t="s">
        <v>477</v>
      </c>
      <c r="B84" s="2" t="s">
        <v>790</v>
      </c>
      <c r="C84" s="18" t="s">
        <v>2380</v>
      </c>
      <c r="D84" s="18" t="s">
        <v>1081</v>
      </c>
      <c r="E84" s="18" t="s">
        <v>2403</v>
      </c>
      <c r="F84" s="19" t="s">
        <v>2500</v>
      </c>
      <c r="G84" s="108">
        <v>2364922.7200000002</v>
      </c>
      <c r="H84" s="37" t="e">
        <f t="shared" si="6"/>
        <v>#VALUE!</v>
      </c>
      <c r="I84" s="37" t="e">
        <f t="shared" si="5"/>
        <v>#VALUE!</v>
      </c>
      <c r="J84" s="37" t="e">
        <f t="shared" si="7"/>
        <v>#VALUE!</v>
      </c>
      <c r="L84" s="66"/>
      <c r="M84" t="s">
        <v>2500</v>
      </c>
      <c r="N84" s="66">
        <v>2364922.7200000002</v>
      </c>
    </row>
    <row r="85" spans="1:14" x14ac:dyDescent="0.35">
      <c r="A85" s="2" t="s">
        <v>477</v>
      </c>
      <c r="B85" s="2" t="s">
        <v>790</v>
      </c>
      <c r="C85" s="18" t="s">
        <v>259</v>
      </c>
      <c r="D85" s="18" t="s">
        <v>260</v>
      </c>
      <c r="E85" s="18" t="s">
        <v>2406</v>
      </c>
      <c r="F85" s="19" t="s">
        <v>2520</v>
      </c>
      <c r="G85" s="108">
        <v>13217.25</v>
      </c>
      <c r="H85" s="37" t="e">
        <f t="shared" si="6"/>
        <v>#VALUE!</v>
      </c>
      <c r="I85" s="37" t="e">
        <f t="shared" si="5"/>
        <v>#VALUE!</v>
      </c>
      <c r="J85" s="37" t="e">
        <f t="shared" si="7"/>
        <v>#VALUE!</v>
      </c>
      <c r="L85" s="66"/>
      <c r="M85" t="s">
        <v>2520</v>
      </c>
      <c r="N85" s="66">
        <v>13217.25</v>
      </c>
    </row>
    <row r="86" spans="1:14" x14ac:dyDescent="0.35">
      <c r="A86" s="2" t="s">
        <v>477</v>
      </c>
      <c r="B86" s="2" t="s">
        <v>790</v>
      </c>
      <c r="C86" s="18" t="s">
        <v>2382</v>
      </c>
      <c r="D86" s="18" t="s">
        <v>2424</v>
      </c>
      <c r="E86" s="18" t="s">
        <v>2409</v>
      </c>
      <c r="F86" s="19" t="s">
        <v>2500</v>
      </c>
      <c r="G86" s="108">
        <v>73160</v>
      </c>
      <c r="H86" s="37" t="e">
        <f t="shared" si="6"/>
        <v>#VALUE!</v>
      </c>
      <c r="I86" s="37" t="e">
        <f t="shared" si="5"/>
        <v>#VALUE!</v>
      </c>
      <c r="J86" s="37" t="e">
        <f t="shared" si="7"/>
        <v>#VALUE!</v>
      </c>
      <c r="L86" s="66"/>
      <c r="M86" t="s">
        <v>2500</v>
      </c>
      <c r="N86" s="66">
        <v>73160</v>
      </c>
    </row>
    <row r="87" spans="1:14" x14ac:dyDescent="0.35">
      <c r="A87" s="2" t="s">
        <v>1085</v>
      </c>
      <c r="B87" s="2" t="s">
        <v>790</v>
      </c>
      <c r="C87" s="18" t="s">
        <v>797</v>
      </c>
      <c r="D87" s="37" t="s">
        <v>507</v>
      </c>
      <c r="E87" s="18" t="s">
        <v>2436</v>
      </c>
      <c r="F87" s="19" t="s">
        <v>2505</v>
      </c>
      <c r="G87" s="108">
        <v>249450</v>
      </c>
      <c r="H87" s="37">
        <f t="shared" si="6"/>
        <v>84</v>
      </c>
      <c r="I87" s="37" t="str">
        <f t="shared" ref="I87:I108" si="8">IF(H87&lt;121,"0-120 DAYS",IF(H87&lt;181,"121-180 DAYS","More than 180 Days"))</f>
        <v>0-120 DAYS</v>
      </c>
      <c r="J87" s="37" t="str">
        <f t="shared" si="7"/>
        <v>0-180 DAYS</v>
      </c>
      <c r="K87" t="s">
        <v>1730</v>
      </c>
      <c r="L87" s="66"/>
      <c r="M87" t="s">
        <v>2505</v>
      </c>
      <c r="N87" s="66">
        <v>249450</v>
      </c>
    </row>
    <row r="88" spans="1:14" x14ac:dyDescent="0.35">
      <c r="A88" s="2" t="s">
        <v>1085</v>
      </c>
      <c r="B88" s="2" t="s">
        <v>790</v>
      </c>
      <c r="C88" s="18" t="s">
        <v>536</v>
      </c>
      <c r="D88" s="37" t="s">
        <v>507</v>
      </c>
      <c r="E88" s="18" t="s">
        <v>2451</v>
      </c>
      <c r="F88" s="19" t="s">
        <v>2509</v>
      </c>
      <c r="G88" s="108">
        <f>3296076.3-2976000</f>
        <v>320076.29999999981</v>
      </c>
      <c r="H88" s="37" t="e">
        <f t="shared" si="6"/>
        <v>#VALUE!</v>
      </c>
      <c r="I88" s="37" t="e">
        <f t="shared" si="8"/>
        <v>#VALUE!</v>
      </c>
      <c r="J88" s="37" t="e">
        <f t="shared" si="7"/>
        <v>#VALUE!</v>
      </c>
      <c r="K88" t="s">
        <v>1730</v>
      </c>
      <c r="L88" s="66"/>
      <c r="M88" t="s">
        <v>2509</v>
      </c>
      <c r="N88" s="66">
        <v>3296076.3</v>
      </c>
    </row>
    <row r="89" spans="1:14" x14ac:dyDescent="0.35">
      <c r="A89" s="2" t="s">
        <v>1085</v>
      </c>
      <c r="B89" s="2" t="s">
        <v>790</v>
      </c>
      <c r="C89" s="18" t="s">
        <v>1086</v>
      </c>
      <c r="D89" s="37" t="s">
        <v>507</v>
      </c>
      <c r="E89" s="18" t="s">
        <v>2456</v>
      </c>
      <c r="F89" s="19" t="s">
        <v>2502</v>
      </c>
      <c r="G89" s="108">
        <v>3001173.12</v>
      </c>
      <c r="H89" s="37">
        <f t="shared" si="6"/>
        <v>298</v>
      </c>
      <c r="I89" s="37" t="str">
        <f t="shared" si="8"/>
        <v>More than 180 Days</v>
      </c>
      <c r="J89" s="37" t="str">
        <f t="shared" si="7"/>
        <v>More than 180 Days</v>
      </c>
      <c r="K89" t="s">
        <v>1730</v>
      </c>
      <c r="L89" s="66"/>
      <c r="M89" t="s">
        <v>2502</v>
      </c>
      <c r="N89" s="66">
        <v>3001173.12</v>
      </c>
    </row>
    <row r="90" spans="1:14" x14ac:dyDescent="0.35">
      <c r="A90" s="2" t="s">
        <v>1085</v>
      </c>
      <c r="B90" s="2" t="s">
        <v>790</v>
      </c>
      <c r="C90" s="18" t="s">
        <v>1086</v>
      </c>
      <c r="D90" s="37" t="s">
        <v>507</v>
      </c>
      <c r="E90" s="18" t="s">
        <v>2457</v>
      </c>
      <c r="F90" s="19" t="s">
        <v>2502</v>
      </c>
      <c r="G90" s="108">
        <v>29812.13</v>
      </c>
      <c r="H90" s="37">
        <f t="shared" si="6"/>
        <v>298</v>
      </c>
      <c r="I90" s="37" t="str">
        <f t="shared" si="8"/>
        <v>More than 180 Days</v>
      </c>
      <c r="J90" s="37" t="str">
        <f t="shared" si="7"/>
        <v>More than 180 Days</v>
      </c>
      <c r="K90" t="s">
        <v>1730</v>
      </c>
      <c r="L90" s="66"/>
      <c r="M90" t="s">
        <v>2502</v>
      </c>
      <c r="N90" s="66">
        <v>29812.13</v>
      </c>
    </row>
    <row r="91" spans="1:14" x14ac:dyDescent="0.35">
      <c r="A91" s="2" t="s">
        <v>1085</v>
      </c>
      <c r="B91" s="2" t="s">
        <v>790</v>
      </c>
      <c r="C91" s="18" t="s">
        <v>1086</v>
      </c>
      <c r="D91" s="37" t="s">
        <v>507</v>
      </c>
      <c r="E91" s="18" t="s">
        <v>2458</v>
      </c>
      <c r="F91" s="19" t="s">
        <v>2502</v>
      </c>
      <c r="G91" s="108">
        <v>2237221.52</v>
      </c>
      <c r="H91" s="37">
        <f t="shared" si="6"/>
        <v>298</v>
      </c>
      <c r="I91" s="37" t="str">
        <f t="shared" si="8"/>
        <v>More than 180 Days</v>
      </c>
      <c r="J91" s="37" t="str">
        <f t="shared" si="7"/>
        <v>More than 180 Days</v>
      </c>
      <c r="K91" t="s">
        <v>1730</v>
      </c>
      <c r="L91" s="66"/>
      <c r="M91" t="s">
        <v>2502</v>
      </c>
      <c r="N91" s="66">
        <v>2237221.52</v>
      </c>
    </row>
    <row r="92" spans="1:14" x14ac:dyDescent="0.35">
      <c r="A92" s="2" t="s">
        <v>1085</v>
      </c>
      <c r="B92" s="2" t="s">
        <v>790</v>
      </c>
      <c r="C92" s="18" t="s">
        <v>1086</v>
      </c>
      <c r="D92" s="37" t="s">
        <v>507</v>
      </c>
      <c r="E92" s="18" t="s">
        <v>2460</v>
      </c>
      <c r="F92" s="19" t="s">
        <v>2524</v>
      </c>
      <c r="G92" s="108">
        <v>24421.99</v>
      </c>
      <c r="H92" s="37">
        <f t="shared" si="6"/>
        <v>207</v>
      </c>
      <c r="I92" s="37" t="str">
        <f t="shared" si="8"/>
        <v>More than 180 Days</v>
      </c>
      <c r="J92" s="37" t="str">
        <f t="shared" si="7"/>
        <v>More than 180 Days</v>
      </c>
      <c r="K92" t="s">
        <v>1730</v>
      </c>
      <c r="L92" s="66"/>
      <c r="M92" t="s">
        <v>2524</v>
      </c>
      <c r="N92" s="66">
        <v>24421.99</v>
      </c>
    </row>
    <row r="93" spans="1:14" x14ac:dyDescent="0.35">
      <c r="A93" s="2" t="s">
        <v>1085</v>
      </c>
      <c r="B93" s="2" t="s">
        <v>790</v>
      </c>
      <c r="C93" s="18" t="s">
        <v>1086</v>
      </c>
      <c r="D93" s="37" t="s">
        <v>507</v>
      </c>
      <c r="E93" s="18" t="s">
        <v>2461</v>
      </c>
      <c r="F93" s="19" t="s">
        <v>2524</v>
      </c>
      <c r="G93" s="108">
        <v>63983.09</v>
      </c>
      <c r="H93" s="37">
        <f t="shared" si="6"/>
        <v>207</v>
      </c>
      <c r="I93" s="37" t="str">
        <f t="shared" si="8"/>
        <v>More than 180 Days</v>
      </c>
      <c r="J93" s="37" t="str">
        <f t="shared" si="7"/>
        <v>More than 180 Days</v>
      </c>
      <c r="K93" t="s">
        <v>1730</v>
      </c>
      <c r="L93" s="66"/>
      <c r="M93" t="s">
        <v>2524</v>
      </c>
      <c r="N93" s="66">
        <v>63983.09</v>
      </c>
    </row>
    <row r="94" spans="1:14" x14ac:dyDescent="0.35">
      <c r="A94" s="2" t="s">
        <v>1085</v>
      </c>
      <c r="B94" s="2" t="s">
        <v>790</v>
      </c>
      <c r="C94" s="18" t="s">
        <v>650</v>
      </c>
      <c r="D94" s="37" t="s">
        <v>507</v>
      </c>
      <c r="E94" s="18" t="s">
        <v>2463</v>
      </c>
      <c r="F94" s="19" t="s">
        <v>2524</v>
      </c>
      <c r="G94" s="108">
        <f>2887120.8-857756</f>
        <v>2029364.7999999998</v>
      </c>
      <c r="H94" s="37">
        <f t="shared" si="6"/>
        <v>207</v>
      </c>
      <c r="I94" s="37" t="str">
        <f t="shared" si="8"/>
        <v>More than 180 Days</v>
      </c>
      <c r="J94" s="37" t="str">
        <f t="shared" si="7"/>
        <v>More than 180 Days</v>
      </c>
      <c r="K94" t="s">
        <v>1730</v>
      </c>
      <c r="L94" s="66"/>
      <c r="M94" t="s">
        <v>2524</v>
      </c>
      <c r="N94" s="66">
        <v>2887120.8</v>
      </c>
    </row>
    <row r="95" spans="1:14" x14ac:dyDescent="0.35">
      <c r="A95" s="2" t="s">
        <v>1085</v>
      </c>
      <c r="B95" s="2" t="s">
        <v>790</v>
      </c>
      <c r="C95" s="18" t="s">
        <v>1086</v>
      </c>
      <c r="D95" s="37" t="s">
        <v>507</v>
      </c>
      <c r="E95" s="18" t="s">
        <v>2464</v>
      </c>
      <c r="F95" s="19" t="s">
        <v>2521</v>
      </c>
      <c r="G95" s="108">
        <v>1028226.25</v>
      </c>
      <c r="H95" s="37">
        <f t="shared" si="6"/>
        <v>176</v>
      </c>
      <c r="I95" s="37" t="str">
        <f t="shared" si="8"/>
        <v>121-180 DAYS</v>
      </c>
      <c r="J95" s="37" t="str">
        <f t="shared" si="7"/>
        <v>0-180 DAYS</v>
      </c>
      <c r="K95" t="s">
        <v>1730</v>
      </c>
      <c r="L95" s="66"/>
      <c r="M95" t="s">
        <v>2521</v>
      </c>
      <c r="N95" s="66">
        <v>1028226.25</v>
      </c>
    </row>
    <row r="96" spans="1:14" x14ac:dyDescent="0.35">
      <c r="A96" s="2" t="s">
        <v>1085</v>
      </c>
      <c r="B96" s="2" t="s">
        <v>790</v>
      </c>
      <c r="C96" s="18" t="s">
        <v>1086</v>
      </c>
      <c r="D96" s="37" t="s">
        <v>507</v>
      </c>
      <c r="E96" s="18" t="s">
        <v>2465</v>
      </c>
      <c r="F96" s="19" t="s">
        <v>2521</v>
      </c>
      <c r="G96" s="108">
        <v>1254493.2</v>
      </c>
      <c r="H96" s="37">
        <f t="shared" si="6"/>
        <v>176</v>
      </c>
      <c r="I96" s="37" t="str">
        <f t="shared" si="8"/>
        <v>121-180 DAYS</v>
      </c>
      <c r="J96" s="37" t="str">
        <f t="shared" si="7"/>
        <v>0-180 DAYS</v>
      </c>
      <c r="K96" t="s">
        <v>1730</v>
      </c>
      <c r="L96" s="66"/>
      <c r="M96" t="s">
        <v>2521</v>
      </c>
      <c r="N96" s="66">
        <v>1254493.2</v>
      </c>
    </row>
    <row r="97" spans="1:14" x14ac:dyDescent="0.35">
      <c r="A97" s="2" t="s">
        <v>1085</v>
      </c>
      <c r="B97" s="2" t="s">
        <v>790</v>
      </c>
      <c r="C97" s="18" t="s">
        <v>1086</v>
      </c>
      <c r="D97" s="37" t="s">
        <v>507</v>
      </c>
      <c r="E97" s="18" t="s">
        <v>2469</v>
      </c>
      <c r="F97" s="19" t="s">
        <v>2645</v>
      </c>
      <c r="G97" s="108">
        <v>2152352.7200000002</v>
      </c>
      <c r="H97" s="37" t="e">
        <f t="shared" si="6"/>
        <v>#VALUE!</v>
      </c>
      <c r="I97" s="37" t="e">
        <f t="shared" si="8"/>
        <v>#VALUE!</v>
      </c>
      <c r="J97" s="37" t="e">
        <f t="shared" si="7"/>
        <v>#VALUE!</v>
      </c>
      <c r="K97" t="s">
        <v>1730</v>
      </c>
      <c r="L97" s="66"/>
      <c r="M97" t="s">
        <v>2645</v>
      </c>
      <c r="N97" s="66">
        <v>2152352.7200000002</v>
      </c>
    </row>
    <row r="98" spans="1:14" x14ac:dyDescent="0.35">
      <c r="A98" s="2" t="s">
        <v>1085</v>
      </c>
      <c r="B98" s="2" t="s">
        <v>790</v>
      </c>
      <c r="C98" s="18" t="s">
        <v>650</v>
      </c>
      <c r="D98" s="37" t="s">
        <v>507</v>
      </c>
      <c r="E98" s="18" t="s">
        <v>2470</v>
      </c>
      <c r="F98" s="19" t="s">
        <v>2645</v>
      </c>
      <c r="G98" s="108">
        <v>2922468.26</v>
      </c>
      <c r="H98" s="37" t="e">
        <f t="shared" si="6"/>
        <v>#VALUE!</v>
      </c>
      <c r="I98" s="37" t="e">
        <f t="shared" si="8"/>
        <v>#VALUE!</v>
      </c>
      <c r="J98" s="37" t="e">
        <f t="shared" si="7"/>
        <v>#VALUE!</v>
      </c>
      <c r="K98" t="s">
        <v>1730</v>
      </c>
      <c r="L98" s="66"/>
      <c r="M98" t="s">
        <v>2645</v>
      </c>
      <c r="N98" s="66">
        <v>2922468.26</v>
      </c>
    </row>
    <row r="99" spans="1:14" x14ac:dyDescent="0.35">
      <c r="A99" s="2" t="s">
        <v>1085</v>
      </c>
      <c r="B99" s="2" t="s">
        <v>790</v>
      </c>
      <c r="C99" s="18" t="s">
        <v>1086</v>
      </c>
      <c r="D99" s="37" t="s">
        <v>507</v>
      </c>
      <c r="E99" s="18" t="s">
        <v>2471</v>
      </c>
      <c r="F99" s="19" t="s">
        <v>2515</v>
      </c>
      <c r="G99" s="108">
        <v>2705326.83</v>
      </c>
      <c r="H99" s="37" t="e">
        <f t="shared" si="6"/>
        <v>#VALUE!</v>
      </c>
      <c r="I99" s="37" t="e">
        <f t="shared" si="8"/>
        <v>#VALUE!</v>
      </c>
      <c r="J99" s="37" t="e">
        <f t="shared" si="7"/>
        <v>#VALUE!</v>
      </c>
      <c r="K99" t="s">
        <v>1730</v>
      </c>
      <c r="L99" s="66"/>
      <c r="M99" t="s">
        <v>2515</v>
      </c>
      <c r="N99" s="66">
        <v>2705326.83</v>
      </c>
    </row>
    <row r="100" spans="1:14" x14ac:dyDescent="0.35">
      <c r="A100" s="2" t="s">
        <v>1085</v>
      </c>
      <c r="B100" s="2" t="s">
        <v>790</v>
      </c>
      <c r="C100" s="18" t="s">
        <v>650</v>
      </c>
      <c r="D100" s="37" t="s">
        <v>507</v>
      </c>
      <c r="E100" s="18" t="s">
        <v>2472</v>
      </c>
      <c r="F100" s="19" t="s">
        <v>2515</v>
      </c>
      <c r="G100" s="108">
        <v>5591538.9299999997</v>
      </c>
      <c r="H100" s="37" t="e">
        <f t="shared" si="6"/>
        <v>#VALUE!</v>
      </c>
      <c r="I100" s="37" t="e">
        <f t="shared" si="8"/>
        <v>#VALUE!</v>
      </c>
      <c r="J100" s="37" t="e">
        <f t="shared" si="7"/>
        <v>#VALUE!</v>
      </c>
      <c r="K100" t="s">
        <v>1730</v>
      </c>
      <c r="L100" s="66"/>
      <c r="M100" t="s">
        <v>2515</v>
      </c>
      <c r="N100" s="66">
        <v>5591538.9299999997</v>
      </c>
    </row>
    <row r="101" spans="1:14" x14ac:dyDescent="0.35">
      <c r="A101" s="2" t="s">
        <v>1085</v>
      </c>
      <c r="B101" s="2" t="s">
        <v>790</v>
      </c>
      <c r="C101" s="18" t="s">
        <v>1086</v>
      </c>
      <c r="D101" s="37" t="s">
        <v>507</v>
      </c>
      <c r="E101" s="18" t="s">
        <v>2473</v>
      </c>
      <c r="F101" s="19" t="s">
        <v>2516</v>
      </c>
      <c r="G101" s="108">
        <v>2577757.2599999998</v>
      </c>
      <c r="H101" s="37" t="e">
        <f t="shared" si="6"/>
        <v>#VALUE!</v>
      </c>
      <c r="I101" s="37" t="e">
        <f t="shared" si="8"/>
        <v>#VALUE!</v>
      </c>
      <c r="J101" s="37" t="e">
        <f t="shared" si="7"/>
        <v>#VALUE!</v>
      </c>
      <c r="K101" t="s">
        <v>1730</v>
      </c>
      <c r="L101" s="66"/>
      <c r="M101" t="s">
        <v>2516</v>
      </c>
      <c r="N101" s="66">
        <v>2577757.2599999998</v>
      </c>
    </row>
    <row r="102" spans="1:14" x14ac:dyDescent="0.35">
      <c r="A102" s="2" t="s">
        <v>1085</v>
      </c>
      <c r="B102" s="2" t="s">
        <v>790</v>
      </c>
      <c r="C102" s="18" t="s">
        <v>650</v>
      </c>
      <c r="D102" s="37" t="s">
        <v>507</v>
      </c>
      <c r="E102" s="18" t="s">
        <v>2474</v>
      </c>
      <c r="F102" s="19" t="s">
        <v>2518</v>
      </c>
      <c r="G102" s="108">
        <v>3071304.08</v>
      </c>
      <c r="H102" s="37" t="e">
        <f t="shared" si="6"/>
        <v>#VALUE!</v>
      </c>
      <c r="I102" s="37" t="e">
        <f t="shared" si="8"/>
        <v>#VALUE!</v>
      </c>
      <c r="J102" s="37" t="e">
        <f t="shared" si="7"/>
        <v>#VALUE!</v>
      </c>
      <c r="K102" t="s">
        <v>1730</v>
      </c>
      <c r="L102" s="66"/>
      <c r="M102" t="s">
        <v>2518</v>
      </c>
      <c r="N102" s="66">
        <v>3071304.08</v>
      </c>
    </row>
    <row r="103" spans="1:14" x14ac:dyDescent="0.35">
      <c r="A103" s="2" t="s">
        <v>1085</v>
      </c>
      <c r="B103" s="2" t="s">
        <v>790</v>
      </c>
      <c r="C103" s="18" t="s">
        <v>650</v>
      </c>
      <c r="D103" s="37" t="s">
        <v>507</v>
      </c>
      <c r="E103" s="18" t="s">
        <v>2476</v>
      </c>
      <c r="F103" s="19" t="s">
        <v>2646</v>
      </c>
      <c r="G103" s="108">
        <v>2920872.15</v>
      </c>
      <c r="H103" s="37" t="e">
        <f t="shared" si="6"/>
        <v>#VALUE!</v>
      </c>
      <c r="I103" s="37" t="e">
        <f t="shared" si="8"/>
        <v>#VALUE!</v>
      </c>
      <c r="J103" s="37" t="e">
        <f t="shared" si="7"/>
        <v>#VALUE!</v>
      </c>
      <c r="K103" t="s">
        <v>1730</v>
      </c>
      <c r="L103" s="66"/>
      <c r="M103" t="s">
        <v>2646</v>
      </c>
      <c r="N103" s="66">
        <v>2920872.15</v>
      </c>
    </row>
    <row r="104" spans="1:14" x14ac:dyDescent="0.35">
      <c r="A104" s="2" t="s">
        <v>1085</v>
      </c>
      <c r="B104" s="2" t="s">
        <v>790</v>
      </c>
      <c r="C104" s="18" t="s">
        <v>570</v>
      </c>
      <c r="D104" s="37" t="s">
        <v>507</v>
      </c>
      <c r="E104" s="18" t="s">
        <v>2477</v>
      </c>
      <c r="F104" s="19" t="s">
        <v>2509</v>
      </c>
      <c r="G104" s="108">
        <v>3143568</v>
      </c>
      <c r="H104" s="37" t="e">
        <f t="shared" si="6"/>
        <v>#VALUE!</v>
      </c>
      <c r="I104" s="37" t="e">
        <f t="shared" si="8"/>
        <v>#VALUE!</v>
      </c>
      <c r="J104" s="37" t="e">
        <f t="shared" si="7"/>
        <v>#VALUE!</v>
      </c>
      <c r="K104" t="s">
        <v>1730</v>
      </c>
      <c r="L104" s="66"/>
      <c r="M104" t="s">
        <v>2509</v>
      </c>
      <c r="N104" s="66">
        <v>3143568</v>
      </c>
    </row>
    <row r="105" spans="1:14" x14ac:dyDescent="0.35">
      <c r="A105" s="2" t="s">
        <v>1085</v>
      </c>
      <c r="B105" s="2" t="s">
        <v>790</v>
      </c>
      <c r="C105" s="18" t="s">
        <v>1086</v>
      </c>
      <c r="D105" s="37" t="s">
        <v>507</v>
      </c>
      <c r="E105" s="18" t="s">
        <v>2479</v>
      </c>
      <c r="F105" s="19" t="s">
        <v>2510</v>
      </c>
      <c r="G105" s="108">
        <v>2173608.9900000002</v>
      </c>
      <c r="H105" s="37" t="e">
        <f t="shared" si="6"/>
        <v>#VALUE!</v>
      </c>
      <c r="I105" s="37" t="e">
        <f t="shared" si="8"/>
        <v>#VALUE!</v>
      </c>
      <c r="J105" s="37" t="e">
        <f t="shared" si="7"/>
        <v>#VALUE!</v>
      </c>
      <c r="K105" t="s">
        <v>1730</v>
      </c>
      <c r="L105" s="66"/>
      <c r="M105" t="s">
        <v>2510</v>
      </c>
      <c r="N105" s="66">
        <v>2173608.9900000002</v>
      </c>
    </row>
    <row r="106" spans="1:14" x14ac:dyDescent="0.35">
      <c r="A106" s="2" t="s">
        <v>1085</v>
      </c>
      <c r="B106" s="2" t="s">
        <v>790</v>
      </c>
      <c r="C106" s="18" t="s">
        <v>1086</v>
      </c>
      <c r="D106" s="37" t="s">
        <v>507</v>
      </c>
      <c r="E106" s="18" t="s">
        <v>2480</v>
      </c>
      <c r="F106" s="19" t="s">
        <v>2510</v>
      </c>
      <c r="G106" s="108">
        <v>187768.5</v>
      </c>
      <c r="H106" s="37" t="e">
        <f t="shared" si="6"/>
        <v>#VALUE!</v>
      </c>
      <c r="I106" s="37" t="e">
        <f t="shared" si="8"/>
        <v>#VALUE!</v>
      </c>
      <c r="J106" s="37" t="e">
        <f t="shared" si="7"/>
        <v>#VALUE!</v>
      </c>
      <c r="K106" t="s">
        <v>1730</v>
      </c>
      <c r="L106" s="66"/>
      <c r="M106" t="s">
        <v>2510</v>
      </c>
      <c r="N106" s="66">
        <v>187768.5</v>
      </c>
    </row>
    <row r="107" spans="1:14" x14ac:dyDescent="0.35">
      <c r="A107" s="2" t="s">
        <v>1085</v>
      </c>
      <c r="B107" s="2" t="s">
        <v>790</v>
      </c>
      <c r="C107" s="18" t="s">
        <v>1086</v>
      </c>
      <c r="D107" s="37" t="s">
        <v>507</v>
      </c>
      <c r="E107" s="18" t="s">
        <v>2481</v>
      </c>
      <c r="F107" s="19" t="s">
        <v>2510</v>
      </c>
      <c r="G107" s="108">
        <v>128703.91</v>
      </c>
      <c r="H107" s="37" t="e">
        <f t="shared" si="6"/>
        <v>#VALUE!</v>
      </c>
      <c r="I107" s="37" t="e">
        <f t="shared" si="8"/>
        <v>#VALUE!</v>
      </c>
      <c r="J107" s="37" t="e">
        <f t="shared" si="7"/>
        <v>#VALUE!</v>
      </c>
      <c r="K107" t="s">
        <v>1730</v>
      </c>
      <c r="L107" s="66"/>
      <c r="M107" t="s">
        <v>2510</v>
      </c>
      <c r="N107" s="66">
        <v>128703.91</v>
      </c>
    </row>
    <row r="108" spans="1:14" x14ac:dyDescent="0.35">
      <c r="A108" s="2" t="s">
        <v>1085</v>
      </c>
      <c r="B108" s="2" t="s">
        <v>790</v>
      </c>
      <c r="C108" s="18" t="s">
        <v>650</v>
      </c>
      <c r="D108" s="37" t="s">
        <v>507</v>
      </c>
      <c r="E108" s="18" t="s">
        <v>2483</v>
      </c>
      <c r="F108" s="19" t="s">
        <v>2500</v>
      </c>
      <c r="G108" s="108">
        <v>3904488</v>
      </c>
      <c r="H108" s="37" t="e">
        <f t="shared" si="6"/>
        <v>#VALUE!</v>
      </c>
      <c r="I108" s="37" t="e">
        <f t="shared" si="8"/>
        <v>#VALUE!</v>
      </c>
      <c r="J108" s="37" t="e">
        <f t="shared" si="7"/>
        <v>#VALUE!</v>
      </c>
      <c r="K108" t="s">
        <v>1730</v>
      </c>
      <c r="L108" s="66"/>
      <c r="M108" t="s">
        <v>2500</v>
      </c>
      <c r="N108" s="66">
        <v>3904488</v>
      </c>
    </row>
    <row r="109" spans="1:14" x14ac:dyDescent="0.35">
      <c r="A109" s="88" t="s">
        <v>477</v>
      </c>
      <c r="B109" s="2" t="s">
        <v>790</v>
      </c>
      <c r="C109" s="18" t="s">
        <v>2380</v>
      </c>
      <c r="D109" s="18" t="s">
        <v>1081</v>
      </c>
      <c r="E109" s="18" t="s">
        <v>101</v>
      </c>
      <c r="F109" s="19" t="s">
        <v>2655</v>
      </c>
      <c r="G109" s="18">
        <v>596150.38</v>
      </c>
      <c r="H109" s="37">
        <f t="shared" si="6"/>
        <v>267</v>
      </c>
      <c r="I109" s="37" t="str">
        <f t="shared" ref="I109:I127" si="9">IF(H109&lt;91,"1-90 DAYS",IF(H109&lt;121,"91-120DAYS",IF(H109&lt;181,"121-180 DAYS","More than 180 Days")))</f>
        <v>More than 180 Days</v>
      </c>
      <c r="J109" s="37" t="str">
        <f t="shared" si="7"/>
        <v>More than 180 Days</v>
      </c>
      <c r="K109" t="s">
        <v>1730</v>
      </c>
      <c r="L109" s="66"/>
      <c r="M109" t="s">
        <v>2655</v>
      </c>
      <c r="N109" s="66">
        <v>596150.38</v>
      </c>
    </row>
    <row r="110" spans="1:14" x14ac:dyDescent="0.35">
      <c r="A110" s="88" t="s">
        <v>477</v>
      </c>
      <c r="B110" s="2" t="s">
        <v>790</v>
      </c>
      <c r="C110" s="18" t="s">
        <v>1838</v>
      </c>
      <c r="D110" s="18" t="s">
        <v>2001</v>
      </c>
      <c r="E110" s="18" t="s">
        <v>2530</v>
      </c>
      <c r="F110" s="19" t="s">
        <v>2651</v>
      </c>
      <c r="G110" s="18">
        <f>822794.98-600347</f>
        <v>222447.97999999998</v>
      </c>
      <c r="H110" s="37">
        <f t="shared" si="6"/>
        <v>206</v>
      </c>
      <c r="I110" s="37" t="str">
        <f t="shared" si="9"/>
        <v>More than 180 Days</v>
      </c>
      <c r="J110" s="37" t="str">
        <f t="shared" si="7"/>
        <v>More than 180 Days</v>
      </c>
      <c r="K110" t="s">
        <v>1730</v>
      </c>
      <c r="L110" s="66"/>
      <c r="M110" t="s">
        <v>2651</v>
      </c>
      <c r="N110" s="66">
        <v>222447.98</v>
      </c>
    </row>
    <row r="111" spans="1:14" x14ac:dyDescent="0.35">
      <c r="A111" s="88" t="s">
        <v>477</v>
      </c>
      <c r="B111" s="2" t="s">
        <v>790</v>
      </c>
      <c r="C111" s="18" t="s">
        <v>2380</v>
      </c>
      <c r="D111" s="18" t="s">
        <v>1081</v>
      </c>
      <c r="E111" s="18" t="s">
        <v>2531</v>
      </c>
      <c r="F111" s="19" t="s">
        <v>2651</v>
      </c>
      <c r="G111" s="18">
        <v>178844.92</v>
      </c>
      <c r="H111" s="37">
        <f t="shared" si="6"/>
        <v>206</v>
      </c>
      <c r="I111" s="37" t="str">
        <f t="shared" si="9"/>
        <v>More than 180 Days</v>
      </c>
      <c r="J111" s="37" t="str">
        <f t="shared" si="7"/>
        <v>More than 180 Days</v>
      </c>
      <c r="K111" t="s">
        <v>1730</v>
      </c>
      <c r="L111" s="66"/>
      <c r="M111" t="s">
        <v>2651</v>
      </c>
      <c r="N111" s="66">
        <v>178844.92</v>
      </c>
    </row>
    <row r="112" spans="1:14" x14ac:dyDescent="0.35">
      <c r="A112" s="88" t="s">
        <v>477</v>
      </c>
      <c r="B112" s="2" t="s">
        <v>790</v>
      </c>
      <c r="C112" s="18" t="s">
        <v>2380</v>
      </c>
      <c r="D112" s="18" t="s">
        <v>1081</v>
      </c>
      <c r="E112" s="18" t="s">
        <v>105</v>
      </c>
      <c r="F112" s="19" t="s">
        <v>2651</v>
      </c>
      <c r="G112" s="18">
        <v>1311532.04</v>
      </c>
      <c r="H112" s="37">
        <f t="shared" si="6"/>
        <v>206</v>
      </c>
      <c r="I112" s="37" t="str">
        <f t="shared" si="9"/>
        <v>More than 180 Days</v>
      </c>
      <c r="J112" s="37" t="str">
        <f t="shared" si="7"/>
        <v>More than 180 Days</v>
      </c>
      <c r="K112" t="s">
        <v>1730</v>
      </c>
      <c r="L112" s="66"/>
      <c r="M112" t="s">
        <v>2651</v>
      </c>
      <c r="N112" s="66">
        <v>1311532.04</v>
      </c>
    </row>
    <row r="113" spans="1:14" x14ac:dyDescent="0.35">
      <c r="A113" s="88" t="s">
        <v>477</v>
      </c>
      <c r="B113" s="2" t="s">
        <v>790</v>
      </c>
      <c r="C113" s="18" t="s">
        <v>2380</v>
      </c>
      <c r="D113" s="18" t="s">
        <v>1081</v>
      </c>
      <c r="E113" s="18" t="s">
        <v>2532</v>
      </c>
      <c r="F113" s="19" t="s">
        <v>2656</v>
      </c>
      <c r="G113" s="18">
        <v>359135.98</v>
      </c>
      <c r="H113" s="37">
        <f t="shared" si="6"/>
        <v>175</v>
      </c>
      <c r="I113" s="37" t="str">
        <f t="shared" si="9"/>
        <v>121-180 DAYS</v>
      </c>
      <c r="J113" s="37" t="str">
        <f t="shared" si="7"/>
        <v>0-180 DAYS</v>
      </c>
      <c r="K113" t="s">
        <v>1730</v>
      </c>
      <c r="L113" s="66"/>
      <c r="M113" t="s">
        <v>2656</v>
      </c>
      <c r="N113" s="66">
        <v>359135.98</v>
      </c>
    </row>
    <row r="114" spans="1:14" x14ac:dyDescent="0.35">
      <c r="A114" s="88" t="s">
        <v>477</v>
      </c>
      <c r="B114" s="2" t="s">
        <v>790</v>
      </c>
      <c r="C114" s="18" t="s">
        <v>2380</v>
      </c>
      <c r="D114" s="18" t="s">
        <v>1081</v>
      </c>
      <c r="E114" s="18" t="s">
        <v>128</v>
      </c>
      <c r="F114" s="19" t="s">
        <v>2658</v>
      </c>
      <c r="G114" s="18">
        <v>346315.2</v>
      </c>
      <c r="H114" s="37">
        <f t="shared" si="6"/>
        <v>83</v>
      </c>
      <c r="I114" s="37" t="str">
        <f t="shared" si="9"/>
        <v>1-90 DAYS</v>
      </c>
      <c r="J114" s="37" t="str">
        <f t="shared" si="7"/>
        <v>0-180 DAYS</v>
      </c>
      <c r="K114" t="s">
        <v>1730</v>
      </c>
      <c r="L114" s="66"/>
      <c r="M114" t="s">
        <v>2658</v>
      </c>
      <c r="N114" s="66">
        <v>346315.2</v>
      </c>
    </row>
    <row r="115" spans="1:14" x14ac:dyDescent="0.35">
      <c r="A115" s="88" t="s">
        <v>477</v>
      </c>
      <c r="B115" s="2" t="s">
        <v>790</v>
      </c>
      <c r="C115" s="18" t="s">
        <v>2380</v>
      </c>
      <c r="D115" s="18" t="s">
        <v>1081</v>
      </c>
      <c r="E115" s="18" t="s">
        <v>138</v>
      </c>
      <c r="F115" s="19" t="s">
        <v>2546</v>
      </c>
      <c r="G115" s="18">
        <v>230876.79999999999</v>
      </c>
      <c r="H115" s="37" t="e">
        <f t="shared" si="6"/>
        <v>#VALUE!</v>
      </c>
      <c r="I115" s="37" t="e">
        <f t="shared" si="9"/>
        <v>#VALUE!</v>
      </c>
      <c r="J115" s="37" t="e">
        <f t="shared" si="7"/>
        <v>#VALUE!</v>
      </c>
      <c r="K115" t="s">
        <v>1730</v>
      </c>
      <c r="L115" s="66"/>
      <c r="M115" t="s">
        <v>2546</v>
      </c>
      <c r="N115" s="66">
        <v>230876.79999999999</v>
      </c>
    </row>
    <row r="116" spans="1:14" x14ac:dyDescent="0.35">
      <c r="A116" s="88" t="s">
        <v>477</v>
      </c>
      <c r="B116" s="2" t="s">
        <v>790</v>
      </c>
      <c r="C116" s="18" t="s">
        <v>2380</v>
      </c>
      <c r="D116" s="18" t="s">
        <v>1081</v>
      </c>
      <c r="E116" s="18" t="s">
        <v>147</v>
      </c>
      <c r="F116" s="19" t="s">
        <v>2659</v>
      </c>
      <c r="G116" s="18">
        <v>1490376.94</v>
      </c>
      <c r="H116" s="37" t="e">
        <f t="shared" si="6"/>
        <v>#VALUE!</v>
      </c>
      <c r="I116" s="37" t="e">
        <f t="shared" si="9"/>
        <v>#VALUE!</v>
      </c>
      <c r="J116" s="37" t="e">
        <f t="shared" si="7"/>
        <v>#VALUE!</v>
      </c>
      <c r="K116" t="s">
        <v>1730</v>
      </c>
      <c r="L116" s="66"/>
      <c r="M116" t="s">
        <v>2659</v>
      </c>
      <c r="N116" s="66">
        <v>1490376.94</v>
      </c>
    </row>
    <row r="117" spans="1:14" x14ac:dyDescent="0.35">
      <c r="A117" s="88" t="s">
        <v>477</v>
      </c>
      <c r="B117" s="2" t="s">
        <v>790</v>
      </c>
      <c r="C117" s="18" t="s">
        <v>2380</v>
      </c>
      <c r="D117" s="18" t="s">
        <v>1081</v>
      </c>
      <c r="E117" s="18" t="s">
        <v>2533</v>
      </c>
      <c r="F117" s="19" t="s">
        <v>2652</v>
      </c>
      <c r="G117" s="18">
        <v>596150.38</v>
      </c>
      <c r="H117" s="37" t="e">
        <f t="shared" si="6"/>
        <v>#VALUE!</v>
      </c>
      <c r="I117" s="37" t="e">
        <f t="shared" si="9"/>
        <v>#VALUE!</v>
      </c>
      <c r="J117" s="37" t="e">
        <f t="shared" si="7"/>
        <v>#VALUE!</v>
      </c>
      <c r="K117" t="s">
        <v>1730</v>
      </c>
      <c r="L117" s="66"/>
      <c r="M117" t="s">
        <v>2652</v>
      </c>
      <c r="N117" s="66">
        <v>596150.38</v>
      </c>
    </row>
    <row r="118" spans="1:14" x14ac:dyDescent="0.35">
      <c r="A118" s="88" t="s">
        <v>477</v>
      </c>
      <c r="B118" s="2" t="s">
        <v>790</v>
      </c>
      <c r="C118" s="18" t="s">
        <v>2380</v>
      </c>
      <c r="D118" s="18" t="s">
        <v>1081</v>
      </c>
      <c r="E118" s="18" t="s">
        <v>2534</v>
      </c>
      <c r="F118" s="19" t="s">
        <v>2660</v>
      </c>
      <c r="G118" s="18">
        <v>596150.38</v>
      </c>
      <c r="H118" s="37" t="e">
        <f t="shared" si="6"/>
        <v>#VALUE!</v>
      </c>
      <c r="I118" s="37" t="e">
        <f t="shared" si="9"/>
        <v>#VALUE!</v>
      </c>
      <c r="J118" s="37" t="e">
        <f t="shared" si="7"/>
        <v>#VALUE!</v>
      </c>
      <c r="K118" t="s">
        <v>1730</v>
      </c>
      <c r="L118" s="66"/>
      <c r="M118" t="s">
        <v>2660</v>
      </c>
      <c r="N118" s="66">
        <v>596150.38</v>
      </c>
    </row>
    <row r="119" spans="1:14" x14ac:dyDescent="0.35">
      <c r="A119" s="88" t="s">
        <v>477</v>
      </c>
      <c r="B119" s="2" t="s">
        <v>790</v>
      </c>
      <c r="C119" s="18" t="s">
        <v>1206</v>
      </c>
      <c r="D119" s="18" t="s">
        <v>1207</v>
      </c>
      <c r="E119" s="18" t="s">
        <v>2538</v>
      </c>
      <c r="F119" s="19" t="s">
        <v>2662</v>
      </c>
      <c r="G119" s="18">
        <v>5339.9</v>
      </c>
      <c r="H119" s="37" t="e">
        <f t="shared" si="6"/>
        <v>#VALUE!</v>
      </c>
      <c r="I119" s="37" t="e">
        <f t="shared" si="9"/>
        <v>#VALUE!</v>
      </c>
      <c r="J119" s="37" t="e">
        <f t="shared" si="7"/>
        <v>#VALUE!</v>
      </c>
      <c r="K119" t="s">
        <v>1730</v>
      </c>
      <c r="L119" s="66"/>
      <c r="M119" t="s">
        <v>2662</v>
      </c>
      <c r="N119" s="66">
        <v>5339.9</v>
      </c>
    </row>
    <row r="120" spans="1:14" x14ac:dyDescent="0.35">
      <c r="A120" s="88" t="s">
        <v>477</v>
      </c>
      <c r="B120" s="2" t="s">
        <v>790</v>
      </c>
      <c r="C120" s="18" t="s">
        <v>2380</v>
      </c>
      <c r="D120" s="18" t="s">
        <v>1081</v>
      </c>
      <c r="E120" s="18" t="s">
        <v>198</v>
      </c>
      <c r="F120" s="19" t="s">
        <v>2648</v>
      </c>
      <c r="G120" s="18">
        <v>1490376.94</v>
      </c>
      <c r="H120" s="37" t="e">
        <f t="shared" si="6"/>
        <v>#VALUE!</v>
      </c>
      <c r="I120" s="37" t="e">
        <f t="shared" si="9"/>
        <v>#VALUE!</v>
      </c>
      <c r="J120" s="37" t="e">
        <f t="shared" si="7"/>
        <v>#VALUE!</v>
      </c>
      <c r="K120" t="s">
        <v>1730</v>
      </c>
      <c r="L120" s="66"/>
      <c r="M120" t="s">
        <v>2648</v>
      </c>
      <c r="N120" s="66">
        <v>1490376.94</v>
      </c>
    </row>
    <row r="121" spans="1:14" x14ac:dyDescent="0.35">
      <c r="A121" s="88" t="s">
        <v>477</v>
      </c>
      <c r="B121" s="2" t="s">
        <v>790</v>
      </c>
      <c r="C121" s="18" t="s">
        <v>2380</v>
      </c>
      <c r="D121" s="18" t="s">
        <v>1081</v>
      </c>
      <c r="E121" s="18" t="s">
        <v>209</v>
      </c>
      <c r="F121" s="19" t="s">
        <v>2664</v>
      </c>
      <c r="G121" s="18">
        <v>1269823.3600000001</v>
      </c>
      <c r="H121" s="37" t="e">
        <f t="shared" si="6"/>
        <v>#VALUE!</v>
      </c>
      <c r="I121" s="37" t="e">
        <f t="shared" si="9"/>
        <v>#VALUE!</v>
      </c>
      <c r="J121" s="37" t="e">
        <f t="shared" si="7"/>
        <v>#VALUE!</v>
      </c>
      <c r="K121" t="s">
        <v>1730</v>
      </c>
      <c r="L121" s="66"/>
      <c r="M121" t="s">
        <v>2664</v>
      </c>
      <c r="N121" s="66">
        <v>1269823.3600000001</v>
      </c>
    </row>
    <row r="122" spans="1:14" x14ac:dyDescent="0.35">
      <c r="A122" s="88" t="s">
        <v>477</v>
      </c>
      <c r="B122" s="2" t="s">
        <v>790</v>
      </c>
      <c r="C122" s="18" t="s">
        <v>2380</v>
      </c>
      <c r="D122" s="18" t="s">
        <v>1081</v>
      </c>
      <c r="E122" s="18" t="s">
        <v>2539</v>
      </c>
      <c r="F122" s="19" t="s">
        <v>2547</v>
      </c>
      <c r="G122" s="18">
        <v>2799832.36</v>
      </c>
      <c r="H122" s="37" t="e">
        <f t="shared" si="6"/>
        <v>#VALUE!</v>
      </c>
      <c r="I122" s="37" t="e">
        <f t="shared" si="9"/>
        <v>#VALUE!</v>
      </c>
      <c r="J122" s="37" t="e">
        <f t="shared" si="7"/>
        <v>#VALUE!</v>
      </c>
      <c r="K122" t="s">
        <v>1730</v>
      </c>
      <c r="L122" s="66"/>
      <c r="M122" t="s">
        <v>2547</v>
      </c>
      <c r="N122" s="66">
        <v>2799832.36</v>
      </c>
    </row>
    <row r="123" spans="1:14" x14ac:dyDescent="0.35">
      <c r="A123" s="88" t="s">
        <v>477</v>
      </c>
      <c r="B123" s="2" t="s">
        <v>790</v>
      </c>
      <c r="C123" s="18" t="s">
        <v>2380</v>
      </c>
      <c r="D123" s="18" t="s">
        <v>1081</v>
      </c>
      <c r="E123" s="18" t="s">
        <v>224</v>
      </c>
      <c r="F123" s="19" t="s">
        <v>2650</v>
      </c>
      <c r="G123" s="18">
        <v>536535.74</v>
      </c>
      <c r="H123" s="37" t="e">
        <f t="shared" si="6"/>
        <v>#VALUE!</v>
      </c>
      <c r="I123" s="37" t="e">
        <f t="shared" si="9"/>
        <v>#VALUE!</v>
      </c>
      <c r="J123" s="37" t="e">
        <f t="shared" si="7"/>
        <v>#VALUE!</v>
      </c>
      <c r="K123" t="s">
        <v>1730</v>
      </c>
      <c r="L123" s="66"/>
      <c r="M123" t="s">
        <v>2650</v>
      </c>
      <c r="N123" s="66">
        <v>536535.74</v>
      </c>
    </row>
    <row r="124" spans="1:14" x14ac:dyDescent="0.35">
      <c r="A124" s="88" t="s">
        <v>477</v>
      </c>
      <c r="B124" s="2" t="s">
        <v>790</v>
      </c>
      <c r="C124" s="18" t="s">
        <v>2380</v>
      </c>
      <c r="D124" s="18" t="s">
        <v>1081</v>
      </c>
      <c r="E124" s="18" t="s">
        <v>2540</v>
      </c>
      <c r="F124" s="19" t="s">
        <v>2650</v>
      </c>
      <c r="G124" s="18">
        <v>298075.18</v>
      </c>
      <c r="H124" s="37" t="e">
        <f t="shared" si="6"/>
        <v>#VALUE!</v>
      </c>
      <c r="I124" s="37" t="e">
        <f t="shared" si="9"/>
        <v>#VALUE!</v>
      </c>
      <c r="J124" s="37" t="e">
        <f t="shared" si="7"/>
        <v>#VALUE!</v>
      </c>
      <c r="K124" t="s">
        <v>1730</v>
      </c>
      <c r="L124" s="66"/>
      <c r="M124" t="s">
        <v>2650</v>
      </c>
      <c r="N124" s="66">
        <v>298075.18</v>
      </c>
    </row>
    <row r="125" spans="1:14" x14ac:dyDescent="0.35">
      <c r="A125" s="88" t="s">
        <v>477</v>
      </c>
      <c r="B125" s="2" t="s">
        <v>790</v>
      </c>
      <c r="C125" s="18" t="s">
        <v>51</v>
      </c>
      <c r="D125" s="18" t="s">
        <v>52</v>
      </c>
      <c r="E125" s="18" t="s">
        <v>2541</v>
      </c>
      <c r="F125" s="19" t="s">
        <v>2665</v>
      </c>
      <c r="G125" s="18">
        <v>2043</v>
      </c>
      <c r="H125" s="37">
        <f t="shared" si="6"/>
        <v>297</v>
      </c>
      <c r="I125" s="37" t="str">
        <f t="shared" si="9"/>
        <v>More than 180 Days</v>
      </c>
      <c r="J125" s="37" t="str">
        <f t="shared" si="7"/>
        <v>More than 180 Days</v>
      </c>
      <c r="K125" t="s">
        <v>1730</v>
      </c>
      <c r="L125" s="66"/>
      <c r="M125" t="s">
        <v>2665</v>
      </c>
      <c r="N125" s="66">
        <v>2043</v>
      </c>
    </row>
    <row r="126" spans="1:14" x14ac:dyDescent="0.35">
      <c r="A126" s="88" t="s">
        <v>477</v>
      </c>
      <c r="B126" s="2" t="s">
        <v>790</v>
      </c>
      <c r="C126" s="18" t="s">
        <v>1082</v>
      </c>
      <c r="D126" s="18" t="s">
        <v>1083</v>
      </c>
      <c r="E126" s="18" t="s">
        <v>2543</v>
      </c>
      <c r="F126" s="19" t="s">
        <v>2659</v>
      </c>
      <c r="G126" s="18">
        <v>3709</v>
      </c>
      <c r="H126" s="37" t="e">
        <f t="shared" si="6"/>
        <v>#VALUE!</v>
      </c>
      <c r="I126" s="37" t="e">
        <f t="shared" si="9"/>
        <v>#VALUE!</v>
      </c>
      <c r="J126" s="37" t="e">
        <f t="shared" si="7"/>
        <v>#VALUE!</v>
      </c>
      <c r="K126" t="s">
        <v>1730</v>
      </c>
      <c r="L126" s="66"/>
      <c r="M126" t="s">
        <v>2659</v>
      </c>
      <c r="N126" s="66">
        <v>3709</v>
      </c>
    </row>
    <row r="127" spans="1:14" x14ac:dyDescent="0.35">
      <c r="A127" s="88" t="s">
        <v>477</v>
      </c>
      <c r="B127" s="2" t="s">
        <v>790</v>
      </c>
      <c r="C127" s="18" t="s">
        <v>263</v>
      </c>
      <c r="D127" s="18" t="s">
        <v>264</v>
      </c>
      <c r="E127" s="18" t="s">
        <v>2544</v>
      </c>
      <c r="F127" s="19" t="s">
        <v>2660</v>
      </c>
      <c r="G127" s="18">
        <f>890576.65-500000</f>
        <v>390576.65</v>
      </c>
      <c r="H127" s="37" t="e">
        <f t="shared" si="6"/>
        <v>#VALUE!</v>
      </c>
      <c r="I127" s="37" t="e">
        <f t="shared" si="9"/>
        <v>#VALUE!</v>
      </c>
      <c r="J127" s="37" t="e">
        <f t="shared" si="7"/>
        <v>#VALUE!</v>
      </c>
      <c r="K127" t="s">
        <v>1730</v>
      </c>
      <c r="L127" s="66"/>
      <c r="M127" t="s">
        <v>2660</v>
      </c>
      <c r="N127" s="66">
        <v>890576.65</v>
      </c>
    </row>
    <row r="128" spans="1:14" x14ac:dyDescent="0.35">
      <c r="A128" s="88" t="s">
        <v>1085</v>
      </c>
      <c r="B128" s="2" t="s">
        <v>790</v>
      </c>
      <c r="C128" s="18" t="s">
        <v>1328</v>
      </c>
      <c r="D128" s="2" t="s">
        <v>507</v>
      </c>
      <c r="E128" s="18" t="s">
        <v>2574</v>
      </c>
      <c r="F128" s="19" t="s">
        <v>2651</v>
      </c>
      <c r="G128" s="18">
        <v>3659325.12</v>
      </c>
      <c r="H128" s="37">
        <f t="shared" si="6"/>
        <v>206</v>
      </c>
      <c r="I128" s="37" t="str">
        <f t="shared" ref="I128:I191" si="10">IF(H128&lt;121,"0-120 DAYS",IF(H128&lt;181,"121-180 DAYS","More than 180 Days"))</f>
        <v>More than 180 Days</v>
      </c>
      <c r="J128" s="37" t="str">
        <f t="shared" si="7"/>
        <v>More than 180 Days</v>
      </c>
      <c r="K128" t="s">
        <v>1730</v>
      </c>
      <c r="L128" s="66"/>
      <c r="M128" t="s">
        <v>2651</v>
      </c>
      <c r="N128" s="66">
        <v>3659325.12</v>
      </c>
    </row>
    <row r="129" spans="1:14" x14ac:dyDescent="0.35">
      <c r="A129" s="88" t="s">
        <v>1085</v>
      </c>
      <c r="B129" s="2" t="s">
        <v>790</v>
      </c>
      <c r="C129" s="18" t="s">
        <v>573</v>
      </c>
      <c r="D129" s="2" t="s">
        <v>507</v>
      </c>
      <c r="E129" s="18" t="s">
        <v>2575</v>
      </c>
      <c r="F129" s="19" t="s">
        <v>2656</v>
      </c>
      <c r="G129" s="18">
        <v>41633.1</v>
      </c>
      <c r="H129" s="37">
        <f t="shared" si="6"/>
        <v>175</v>
      </c>
      <c r="I129" s="37" t="str">
        <f t="shared" si="10"/>
        <v>121-180 DAYS</v>
      </c>
      <c r="J129" s="37" t="str">
        <f t="shared" si="7"/>
        <v>0-180 DAYS</v>
      </c>
      <c r="K129" t="s">
        <v>1730</v>
      </c>
      <c r="L129" s="66"/>
      <c r="M129" t="s">
        <v>2656</v>
      </c>
      <c r="N129" s="66">
        <v>41633.1</v>
      </c>
    </row>
    <row r="130" spans="1:14" x14ac:dyDescent="0.35">
      <c r="A130" s="88" t="s">
        <v>1085</v>
      </c>
      <c r="B130" s="2" t="s">
        <v>790</v>
      </c>
      <c r="C130" s="18" t="s">
        <v>1244</v>
      </c>
      <c r="D130" s="2" t="s">
        <v>507</v>
      </c>
      <c r="E130" s="18" t="s">
        <v>2562</v>
      </c>
      <c r="F130" s="19" t="s">
        <v>2669</v>
      </c>
      <c r="G130" s="18">
        <v>1931857.03</v>
      </c>
      <c r="H130" s="37" t="e">
        <f t="shared" si="6"/>
        <v>#VALUE!</v>
      </c>
      <c r="I130" s="37" t="e">
        <f t="shared" si="10"/>
        <v>#VALUE!</v>
      </c>
      <c r="J130" s="37" t="e">
        <f t="shared" si="7"/>
        <v>#VALUE!</v>
      </c>
      <c r="K130" t="s">
        <v>1730</v>
      </c>
      <c r="L130" s="66"/>
      <c r="M130" t="s">
        <v>2669</v>
      </c>
      <c r="N130" s="66">
        <v>1931857.03</v>
      </c>
    </row>
    <row r="131" spans="1:14" x14ac:dyDescent="0.35">
      <c r="A131" s="88" t="s">
        <v>1085</v>
      </c>
      <c r="B131" s="2" t="s">
        <v>790</v>
      </c>
      <c r="C131" s="18" t="s">
        <v>1244</v>
      </c>
      <c r="D131" s="2" t="s">
        <v>507</v>
      </c>
      <c r="E131" s="18" t="s">
        <v>2563</v>
      </c>
      <c r="F131" s="19" t="s">
        <v>2669</v>
      </c>
      <c r="G131" s="18">
        <v>3239687.57</v>
      </c>
      <c r="H131" s="37" t="e">
        <f t="shared" si="6"/>
        <v>#VALUE!</v>
      </c>
      <c r="I131" s="37" t="e">
        <f t="shared" si="10"/>
        <v>#VALUE!</v>
      </c>
      <c r="J131" s="37" t="e">
        <f t="shared" si="7"/>
        <v>#VALUE!</v>
      </c>
      <c r="K131" t="s">
        <v>1730</v>
      </c>
      <c r="L131" s="66"/>
      <c r="M131" t="s">
        <v>2669</v>
      </c>
      <c r="N131" s="66">
        <v>3239687.57</v>
      </c>
    </row>
    <row r="132" spans="1:14" x14ac:dyDescent="0.35">
      <c r="A132" s="88" t="s">
        <v>1085</v>
      </c>
      <c r="B132" s="2" t="s">
        <v>790</v>
      </c>
      <c r="C132" s="18" t="s">
        <v>538</v>
      </c>
      <c r="D132" s="2" t="s">
        <v>507</v>
      </c>
      <c r="E132" s="18" t="s">
        <v>2576</v>
      </c>
      <c r="F132" s="19" t="s">
        <v>2546</v>
      </c>
      <c r="G132" s="18">
        <v>2904130.8</v>
      </c>
      <c r="H132" s="37" t="e">
        <f t="shared" si="6"/>
        <v>#VALUE!</v>
      </c>
      <c r="I132" s="37" t="e">
        <f t="shared" si="10"/>
        <v>#VALUE!</v>
      </c>
      <c r="J132" s="37" t="e">
        <f t="shared" si="7"/>
        <v>#VALUE!</v>
      </c>
      <c r="K132" t="s">
        <v>1730</v>
      </c>
      <c r="L132" s="66"/>
      <c r="M132" t="s">
        <v>2546</v>
      </c>
      <c r="N132" s="66">
        <v>2904130.8</v>
      </c>
    </row>
    <row r="133" spans="1:14" x14ac:dyDescent="0.35">
      <c r="A133" s="88" t="s">
        <v>1085</v>
      </c>
      <c r="B133" s="2" t="s">
        <v>790</v>
      </c>
      <c r="C133" s="18" t="s">
        <v>538</v>
      </c>
      <c r="D133" s="2" t="s">
        <v>507</v>
      </c>
      <c r="E133" s="18" t="s">
        <v>2577</v>
      </c>
      <c r="F133" s="19" t="s">
        <v>2546</v>
      </c>
      <c r="G133" s="18">
        <v>75389.399999999994</v>
      </c>
      <c r="H133" s="37" t="e">
        <f t="shared" si="6"/>
        <v>#VALUE!</v>
      </c>
      <c r="I133" s="37" t="e">
        <f t="shared" si="10"/>
        <v>#VALUE!</v>
      </c>
      <c r="J133" s="37" t="e">
        <f t="shared" si="7"/>
        <v>#VALUE!</v>
      </c>
      <c r="K133" t="s">
        <v>1730</v>
      </c>
      <c r="L133" s="66"/>
      <c r="M133" t="s">
        <v>2546</v>
      </c>
      <c r="N133" s="66">
        <v>75389.399999999994</v>
      </c>
    </row>
    <row r="134" spans="1:14" x14ac:dyDescent="0.35">
      <c r="A134" s="88" t="s">
        <v>1085</v>
      </c>
      <c r="B134" s="2" t="s">
        <v>790</v>
      </c>
      <c r="C134" s="18" t="s">
        <v>548</v>
      </c>
      <c r="D134" s="2" t="s">
        <v>507</v>
      </c>
      <c r="E134" s="18" t="s">
        <v>2578</v>
      </c>
      <c r="F134" s="19" t="s">
        <v>2670</v>
      </c>
      <c r="G134" s="18">
        <v>3391028.46</v>
      </c>
      <c r="H134" s="37" t="e">
        <f t="shared" si="6"/>
        <v>#VALUE!</v>
      </c>
      <c r="I134" s="37" t="e">
        <f t="shared" si="10"/>
        <v>#VALUE!</v>
      </c>
      <c r="J134" s="37" t="e">
        <f t="shared" si="7"/>
        <v>#VALUE!</v>
      </c>
      <c r="K134" t="s">
        <v>1730</v>
      </c>
      <c r="L134" s="66"/>
      <c r="M134" t="s">
        <v>2670</v>
      </c>
      <c r="N134" s="66">
        <v>3391028.46</v>
      </c>
    </row>
    <row r="135" spans="1:14" x14ac:dyDescent="0.35">
      <c r="A135" s="88" t="s">
        <v>1085</v>
      </c>
      <c r="B135" s="2" t="s">
        <v>790</v>
      </c>
      <c r="C135" s="18" t="s">
        <v>667</v>
      </c>
      <c r="D135" s="2" t="s">
        <v>507</v>
      </c>
      <c r="E135" s="18" t="s">
        <v>2581</v>
      </c>
      <c r="F135" s="19" t="s">
        <v>2652</v>
      </c>
      <c r="G135" s="18">
        <v>2810899.05</v>
      </c>
      <c r="H135" s="37" t="e">
        <f t="shared" si="6"/>
        <v>#VALUE!</v>
      </c>
      <c r="I135" s="37" t="e">
        <f t="shared" si="10"/>
        <v>#VALUE!</v>
      </c>
      <c r="J135" s="37" t="e">
        <f t="shared" si="7"/>
        <v>#VALUE!</v>
      </c>
      <c r="K135" t="s">
        <v>1730</v>
      </c>
      <c r="L135" s="66"/>
      <c r="M135" t="s">
        <v>2652</v>
      </c>
      <c r="N135" s="66">
        <v>2810899.05</v>
      </c>
    </row>
    <row r="136" spans="1:14" x14ac:dyDescent="0.35">
      <c r="A136" s="88" t="s">
        <v>1085</v>
      </c>
      <c r="B136" s="2" t="s">
        <v>790</v>
      </c>
      <c r="C136" s="18" t="s">
        <v>548</v>
      </c>
      <c r="D136" s="2" t="s">
        <v>507</v>
      </c>
      <c r="E136" s="18" t="s">
        <v>2582</v>
      </c>
      <c r="F136" s="19" t="s">
        <v>2652</v>
      </c>
      <c r="G136" s="18">
        <v>3248611.68</v>
      </c>
      <c r="H136" s="37" t="e">
        <f t="shared" si="6"/>
        <v>#VALUE!</v>
      </c>
      <c r="I136" s="37" t="e">
        <f t="shared" si="10"/>
        <v>#VALUE!</v>
      </c>
      <c r="J136" s="37" t="e">
        <f t="shared" si="7"/>
        <v>#VALUE!</v>
      </c>
      <c r="K136" t="s">
        <v>1730</v>
      </c>
      <c r="L136" s="66"/>
      <c r="M136" t="s">
        <v>2652</v>
      </c>
      <c r="N136" s="66">
        <v>3248611.68</v>
      </c>
    </row>
    <row r="137" spans="1:14" x14ac:dyDescent="0.35">
      <c r="A137" s="88" t="s">
        <v>1085</v>
      </c>
      <c r="B137" s="2" t="s">
        <v>790</v>
      </c>
      <c r="C137" s="18" t="s">
        <v>598</v>
      </c>
      <c r="D137" s="2" t="s">
        <v>507</v>
      </c>
      <c r="E137" s="18" t="s">
        <v>537</v>
      </c>
      <c r="F137" s="19" t="s">
        <v>2671</v>
      </c>
      <c r="G137" s="18">
        <f>4354176.32-3620742</f>
        <v>733434.3200000003</v>
      </c>
      <c r="H137" s="37" t="e">
        <f t="shared" si="6"/>
        <v>#VALUE!</v>
      </c>
      <c r="I137" s="37" t="e">
        <f t="shared" si="10"/>
        <v>#VALUE!</v>
      </c>
      <c r="J137" s="37" t="e">
        <f t="shared" si="7"/>
        <v>#VALUE!</v>
      </c>
      <c r="K137" t="s">
        <v>1730</v>
      </c>
      <c r="L137" s="66"/>
      <c r="M137" t="s">
        <v>2671</v>
      </c>
      <c r="N137" s="66">
        <v>733434.32</v>
      </c>
    </row>
    <row r="138" spans="1:14" x14ac:dyDescent="0.35">
      <c r="A138" s="88" t="s">
        <v>1085</v>
      </c>
      <c r="B138" s="2" t="s">
        <v>790</v>
      </c>
      <c r="C138" s="18" t="s">
        <v>548</v>
      </c>
      <c r="D138" s="2" t="s">
        <v>507</v>
      </c>
      <c r="E138" s="18" t="s">
        <v>2583</v>
      </c>
      <c r="F138" s="19" t="s">
        <v>2661</v>
      </c>
      <c r="G138" s="18">
        <v>78349.440000000002</v>
      </c>
      <c r="H138" s="37" t="e">
        <f t="shared" si="6"/>
        <v>#VALUE!</v>
      </c>
      <c r="I138" s="37" t="e">
        <f t="shared" si="10"/>
        <v>#VALUE!</v>
      </c>
      <c r="J138" s="37" t="e">
        <f t="shared" si="7"/>
        <v>#VALUE!</v>
      </c>
      <c r="K138" t="s">
        <v>1730</v>
      </c>
      <c r="L138" s="66"/>
      <c r="M138" t="s">
        <v>2661</v>
      </c>
      <c r="N138" s="66">
        <v>78349.440000000002</v>
      </c>
    </row>
    <row r="139" spans="1:14" x14ac:dyDescent="0.35">
      <c r="A139" s="88" t="s">
        <v>1085</v>
      </c>
      <c r="B139" s="2" t="s">
        <v>790</v>
      </c>
      <c r="C139" s="18" t="s">
        <v>2427</v>
      </c>
      <c r="D139" s="2" t="s">
        <v>507</v>
      </c>
      <c r="E139" s="18" t="s">
        <v>2584</v>
      </c>
      <c r="F139" s="19" t="s">
        <v>2661</v>
      </c>
      <c r="G139" s="18">
        <v>3663728.6400000001</v>
      </c>
      <c r="H139" s="37" t="e">
        <f t="shared" si="6"/>
        <v>#VALUE!</v>
      </c>
      <c r="I139" s="37" t="e">
        <f t="shared" si="10"/>
        <v>#VALUE!</v>
      </c>
      <c r="J139" s="37" t="e">
        <f t="shared" si="7"/>
        <v>#VALUE!</v>
      </c>
      <c r="K139" t="s">
        <v>1730</v>
      </c>
      <c r="L139" s="66"/>
      <c r="M139" t="s">
        <v>2661</v>
      </c>
      <c r="N139" s="66">
        <v>3663728.6400000001</v>
      </c>
    </row>
    <row r="140" spans="1:14" x14ac:dyDescent="0.35">
      <c r="A140" s="88" t="s">
        <v>1085</v>
      </c>
      <c r="B140" s="2" t="s">
        <v>790</v>
      </c>
      <c r="C140" s="18" t="s">
        <v>598</v>
      </c>
      <c r="D140" s="2" t="s">
        <v>507</v>
      </c>
      <c r="E140" s="18" t="s">
        <v>2586</v>
      </c>
      <c r="F140" s="19" t="s">
        <v>2649</v>
      </c>
      <c r="G140" s="18">
        <v>2039232</v>
      </c>
      <c r="H140" s="37" t="e">
        <f t="shared" ref="H140:H203" si="11">$H$9-F140+1</f>
        <v>#VALUE!</v>
      </c>
      <c r="I140" s="37" t="e">
        <f t="shared" si="10"/>
        <v>#VALUE!</v>
      </c>
      <c r="J140" s="37" t="e">
        <f t="shared" si="7"/>
        <v>#VALUE!</v>
      </c>
      <c r="K140" t="s">
        <v>1730</v>
      </c>
      <c r="L140" s="66"/>
      <c r="M140" t="s">
        <v>2649</v>
      </c>
      <c r="N140" s="66">
        <v>2039232</v>
      </c>
    </row>
    <row r="141" spans="1:14" x14ac:dyDescent="0.35">
      <c r="A141" s="88" t="s">
        <v>1085</v>
      </c>
      <c r="B141" s="2" t="s">
        <v>790</v>
      </c>
      <c r="C141" s="18" t="s">
        <v>538</v>
      </c>
      <c r="D141" s="2" t="s">
        <v>507</v>
      </c>
      <c r="E141" s="18" t="s">
        <v>2587</v>
      </c>
      <c r="F141" s="19" t="s">
        <v>2666</v>
      </c>
      <c r="G141" s="18">
        <v>3035248.89</v>
      </c>
      <c r="H141" s="37" t="e">
        <f t="shared" si="11"/>
        <v>#VALUE!</v>
      </c>
      <c r="I141" s="37" t="e">
        <f t="shared" si="10"/>
        <v>#VALUE!</v>
      </c>
      <c r="J141" s="37" t="e">
        <f t="shared" ref="J141:J204" si="12">IF(H141&lt;180,"0-180 DAYS","More than 180 Days")</f>
        <v>#VALUE!</v>
      </c>
      <c r="K141" t="s">
        <v>1730</v>
      </c>
      <c r="L141" s="66"/>
      <c r="M141" t="s">
        <v>2666</v>
      </c>
      <c r="N141" s="66">
        <v>3035248.89</v>
      </c>
    </row>
    <row r="142" spans="1:14" x14ac:dyDescent="0.35">
      <c r="A142" s="88" t="s">
        <v>1085</v>
      </c>
      <c r="B142" s="2" t="s">
        <v>790</v>
      </c>
      <c r="C142" s="18" t="s">
        <v>536</v>
      </c>
      <c r="D142" s="2" t="s">
        <v>507</v>
      </c>
      <c r="E142" s="18" t="s">
        <v>2588</v>
      </c>
      <c r="F142" s="19" t="s">
        <v>2547</v>
      </c>
      <c r="G142" s="18">
        <v>3366738.38</v>
      </c>
      <c r="H142" s="37" t="e">
        <f t="shared" si="11"/>
        <v>#VALUE!</v>
      </c>
      <c r="I142" s="37" t="e">
        <f t="shared" si="10"/>
        <v>#VALUE!</v>
      </c>
      <c r="J142" s="37" t="e">
        <f t="shared" si="12"/>
        <v>#VALUE!</v>
      </c>
      <c r="K142" t="s">
        <v>1730</v>
      </c>
      <c r="L142" s="66"/>
      <c r="M142" t="s">
        <v>2547</v>
      </c>
      <c r="N142" s="66">
        <v>3366738.38</v>
      </c>
    </row>
    <row r="143" spans="1:14" x14ac:dyDescent="0.35">
      <c r="A143" s="88" t="s">
        <v>1085</v>
      </c>
      <c r="B143" s="2" t="s">
        <v>790</v>
      </c>
      <c r="C143" s="18" t="s">
        <v>1052</v>
      </c>
      <c r="D143" s="2" t="s">
        <v>507</v>
      </c>
      <c r="E143" s="18" t="s">
        <v>2589</v>
      </c>
      <c r="F143" s="19" t="s">
        <v>2650</v>
      </c>
      <c r="G143" s="18">
        <v>3020430.4</v>
      </c>
      <c r="H143" s="37" t="e">
        <f t="shared" si="11"/>
        <v>#VALUE!</v>
      </c>
      <c r="I143" s="37" t="e">
        <f t="shared" si="10"/>
        <v>#VALUE!</v>
      </c>
      <c r="J143" s="37" t="e">
        <f t="shared" si="12"/>
        <v>#VALUE!</v>
      </c>
      <c r="K143" t="s">
        <v>1730</v>
      </c>
      <c r="L143" s="66"/>
      <c r="M143" t="s">
        <v>2650</v>
      </c>
      <c r="N143" s="66">
        <v>3020430.4</v>
      </c>
    </row>
    <row r="144" spans="1:14" x14ac:dyDescent="0.35">
      <c r="A144" s="88" t="s">
        <v>1085</v>
      </c>
      <c r="B144" s="2" t="s">
        <v>790</v>
      </c>
      <c r="C144" s="18" t="s">
        <v>1086</v>
      </c>
      <c r="D144" s="2" t="s">
        <v>507</v>
      </c>
      <c r="E144" s="18" t="s">
        <v>2590</v>
      </c>
      <c r="F144" s="19" t="s">
        <v>2654</v>
      </c>
      <c r="G144" s="18">
        <v>3153794.55</v>
      </c>
      <c r="H144" s="37">
        <f t="shared" si="11"/>
        <v>388</v>
      </c>
      <c r="I144" s="37" t="str">
        <f t="shared" si="10"/>
        <v>More than 180 Days</v>
      </c>
      <c r="J144" s="37" t="str">
        <f t="shared" si="12"/>
        <v>More than 180 Days</v>
      </c>
      <c r="K144" t="s">
        <v>1730</v>
      </c>
      <c r="L144" s="66"/>
      <c r="M144" t="s">
        <v>2654</v>
      </c>
      <c r="N144" s="66">
        <v>3153794.55</v>
      </c>
    </row>
    <row r="145" spans="1:14" x14ac:dyDescent="0.35">
      <c r="A145" s="88" t="s">
        <v>1085</v>
      </c>
      <c r="B145" s="2" t="s">
        <v>790</v>
      </c>
      <c r="C145" s="18" t="s">
        <v>1086</v>
      </c>
      <c r="D145" s="2" t="s">
        <v>507</v>
      </c>
      <c r="E145" s="18" t="s">
        <v>2591</v>
      </c>
      <c r="F145" s="19" t="s">
        <v>2654</v>
      </c>
      <c r="G145" s="18">
        <v>2816726.46</v>
      </c>
      <c r="H145" s="37">
        <f t="shared" si="11"/>
        <v>388</v>
      </c>
      <c r="I145" s="37" t="str">
        <f t="shared" si="10"/>
        <v>More than 180 Days</v>
      </c>
      <c r="J145" s="37" t="str">
        <f t="shared" si="12"/>
        <v>More than 180 Days</v>
      </c>
      <c r="K145" t="s">
        <v>1730</v>
      </c>
      <c r="L145" s="66"/>
      <c r="M145" t="s">
        <v>2654</v>
      </c>
      <c r="N145" s="66">
        <v>2816726.46</v>
      </c>
    </row>
    <row r="146" spans="1:14" x14ac:dyDescent="0.35">
      <c r="A146" s="88" t="s">
        <v>1085</v>
      </c>
      <c r="B146" s="2" t="s">
        <v>790</v>
      </c>
      <c r="C146" s="18" t="s">
        <v>650</v>
      </c>
      <c r="D146" s="2" t="s">
        <v>507</v>
      </c>
      <c r="E146" s="18" t="s">
        <v>2594</v>
      </c>
      <c r="F146" s="19" t="s">
        <v>2668</v>
      </c>
      <c r="G146" s="18">
        <v>3904488</v>
      </c>
      <c r="H146" s="37">
        <f t="shared" si="11"/>
        <v>328</v>
      </c>
      <c r="I146" s="37" t="str">
        <f t="shared" si="10"/>
        <v>More than 180 Days</v>
      </c>
      <c r="J146" s="37" t="str">
        <f t="shared" si="12"/>
        <v>More than 180 Days</v>
      </c>
      <c r="K146" t="s">
        <v>1730</v>
      </c>
      <c r="L146" s="66"/>
      <c r="M146" t="s">
        <v>2668</v>
      </c>
      <c r="N146" s="66">
        <v>3904488</v>
      </c>
    </row>
    <row r="147" spans="1:14" x14ac:dyDescent="0.35">
      <c r="A147" s="88" t="s">
        <v>1085</v>
      </c>
      <c r="B147" s="2" t="s">
        <v>790</v>
      </c>
      <c r="C147" s="18" t="s">
        <v>1086</v>
      </c>
      <c r="D147" s="2" t="s">
        <v>507</v>
      </c>
      <c r="E147" s="18" t="s">
        <v>2595</v>
      </c>
      <c r="F147" s="19" t="s">
        <v>2665</v>
      </c>
      <c r="G147" s="18">
        <v>44670.41</v>
      </c>
      <c r="H147" s="37">
        <f t="shared" si="11"/>
        <v>297</v>
      </c>
      <c r="I147" s="37" t="str">
        <f t="shared" si="10"/>
        <v>More than 180 Days</v>
      </c>
      <c r="J147" s="37" t="str">
        <f t="shared" si="12"/>
        <v>More than 180 Days</v>
      </c>
      <c r="K147" t="s">
        <v>1730</v>
      </c>
      <c r="L147" s="66"/>
      <c r="M147" t="s">
        <v>2665</v>
      </c>
      <c r="N147" s="66">
        <v>44670.41</v>
      </c>
    </row>
    <row r="148" spans="1:14" x14ac:dyDescent="0.35">
      <c r="A148" s="88" t="s">
        <v>1085</v>
      </c>
      <c r="B148" s="2" t="s">
        <v>790</v>
      </c>
      <c r="C148" s="18" t="s">
        <v>1086</v>
      </c>
      <c r="D148" s="2" t="s">
        <v>507</v>
      </c>
      <c r="E148" s="18" t="s">
        <v>2596</v>
      </c>
      <c r="F148" s="19" t="s">
        <v>2665</v>
      </c>
      <c r="G148" s="18">
        <v>33028.93</v>
      </c>
      <c r="H148" s="37">
        <f t="shared" si="11"/>
        <v>297</v>
      </c>
      <c r="I148" s="37" t="str">
        <f t="shared" si="10"/>
        <v>More than 180 Days</v>
      </c>
      <c r="J148" s="37" t="str">
        <f t="shared" si="12"/>
        <v>More than 180 Days</v>
      </c>
      <c r="K148" t="s">
        <v>1730</v>
      </c>
      <c r="L148" s="66"/>
      <c r="M148" t="s">
        <v>2665</v>
      </c>
      <c r="N148" s="66">
        <v>33028.93</v>
      </c>
    </row>
    <row r="149" spans="1:14" x14ac:dyDescent="0.35">
      <c r="A149" s="88" t="s">
        <v>1085</v>
      </c>
      <c r="B149" s="2" t="s">
        <v>790</v>
      </c>
      <c r="C149" s="18" t="s">
        <v>1086</v>
      </c>
      <c r="D149" s="2" t="s">
        <v>507</v>
      </c>
      <c r="E149" s="18" t="s">
        <v>2597</v>
      </c>
      <c r="F149" s="19" t="s">
        <v>2655</v>
      </c>
      <c r="G149" s="18">
        <v>2069937.9</v>
      </c>
      <c r="H149" s="37">
        <f t="shared" si="11"/>
        <v>267</v>
      </c>
      <c r="I149" s="37" t="str">
        <f t="shared" si="10"/>
        <v>More than 180 Days</v>
      </c>
      <c r="J149" s="37" t="str">
        <f t="shared" si="12"/>
        <v>More than 180 Days</v>
      </c>
      <c r="K149" t="s">
        <v>1730</v>
      </c>
      <c r="L149" s="66"/>
      <c r="M149" t="s">
        <v>2655</v>
      </c>
      <c r="N149" s="66">
        <v>2069937.9</v>
      </c>
    </row>
    <row r="150" spans="1:14" x14ac:dyDescent="0.35">
      <c r="A150" s="88" t="s">
        <v>1085</v>
      </c>
      <c r="B150" s="2" t="s">
        <v>790</v>
      </c>
      <c r="C150" s="18" t="s">
        <v>1086</v>
      </c>
      <c r="D150" s="2" t="s">
        <v>507</v>
      </c>
      <c r="E150" s="18" t="s">
        <v>2598</v>
      </c>
      <c r="F150" s="19" t="s">
        <v>2655</v>
      </c>
      <c r="G150" s="18">
        <v>27764.54</v>
      </c>
      <c r="H150" s="37">
        <f t="shared" si="11"/>
        <v>267</v>
      </c>
      <c r="I150" s="37" t="str">
        <f t="shared" si="10"/>
        <v>More than 180 Days</v>
      </c>
      <c r="J150" s="37" t="str">
        <f t="shared" si="12"/>
        <v>More than 180 Days</v>
      </c>
      <c r="K150" t="s">
        <v>1730</v>
      </c>
      <c r="L150" s="66"/>
      <c r="M150" t="s">
        <v>2655</v>
      </c>
      <c r="N150" s="66">
        <v>27764.54</v>
      </c>
    </row>
    <row r="151" spans="1:14" x14ac:dyDescent="0.35">
      <c r="A151" s="88" t="s">
        <v>1085</v>
      </c>
      <c r="B151" s="2" t="s">
        <v>790</v>
      </c>
      <c r="C151" s="18" t="s">
        <v>1086</v>
      </c>
      <c r="D151" s="2" t="s">
        <v>507</v>
      </c>
      <c r="E151" s="18" t="s">
        <v>2599</v>
      </c>
      <c r="F151" s="19" t="s">
        <v>2655</v>
      </c>
      <c r="G151" s="18">
        <v>31656.95</v>
      </c>
      <c r="H151" s="37">
        <f t="shared" si="11"/>
        <v>267</v>
      </c>
      <c r="I151" s="37" t="str">
        <f t="shared" si="10"/>
        <v>More than 180 Days</v>
      </c>
      <c r="J151" s="37" t="str">
        <f t="shared" si="12"/>
        <v>More than 180 Days</v>
      </c>
      <c r="K151" t="s">
        <v>1730</v>
      </c>
      <c r="L151" s="66"/>
      <c r="M151" t="s">
        <v>2655</v>
      </c>
      <c r="N151" s="66">
        <v>31656.95</v>
      </c>
    </row>
    <row r="152" spans="1:14" x14ac:dyDescent="0.35">
      <c r="A152" s="88" t="s">
        <v>1085</v>
      </c>
      <c r="B152" s="2" t="s">
        <v>790</v>
      </c>
      <c r="C152" s="18" t="s">
        <v>1086</v>
      </c>
      <c r="D152" s="2" t="s">
        <v>507</v>
      </c>
      <c r="E152" s="18" t="s">
        <v>2600</v>
      </c>
      <c r="F152" s="19" t="s">
        <v>2655</v>
      </c>
      <c r="G152" s="18">
        <v>42881.26</v>
      </c>
      <c r="H152" s="37">
        <f t="shared" si="11"/>
        <v>267</v>
      </c>
      <c r="I152" s="37" t="str">
        <f t="shared" si="10"/>
        <v>More than 180 Days</v>
      </c>
      <c r="J152" s="37" t="str">
        <f t="shared" si="12"/>
        <v>More than 180 Days</v>
      </c>
      <c r="K152" t="s">
        <v>1730</v>
      </c>
      <c r="L152" s="66"/>
      <c r="M152" t="s">
        <v>2655</v>
      </c>
      <c r="N152" s="66">
        <v>42881.26</v>
      </c>
    </row>
    <row r="153" spans="1:14" x14ac:dyDescent="0.35">
      <c r="A153" s="88" t="s">
        <v>1085</v>
      </c>
      <c r="B153" s="2" t="s">
        <v>790</v>
      </c>
      <c r="C153" s="18" t="s">
        <v>1086</v>
      </c>
      <c r="D153" s="2" t="s">
        <v>507</v>
      </c>
      <c r="E153" s="18" t="s">
        <v>2601</v>
      </c>
      <c r="F153" s="19" t="s">
        <v>2655</v>
      </c>
      <c r="G153" s="18">
        <v>113930.1</v>
      </c>
      <c r="H153" s="37">
        <f t="shared" si="11"/>
        <v>267</v>
      </c>
      <c r="I153" s="37" t="str">
        <f t="shared" si="10"/>
        <v>More than 180 Days</v>
      </c>
      <c r="J153" s="37" t="str">
        <f t="shared" si="12"/>
        <v>More than 180 Days</v>
      </c>
      <c r="K153" t="s">
        <v>1730</v>
      </c>
      <c r="L153" s="66"/>
      <c r="M153" t="s">
        <v>2655</v>
      </c>
      <c r="N153" s="66">
        <v>113930.1</v>
      </c>
    </row>
    <row r="154" spans="1:14" x14ac:dyDescent="0.35">
      <c r="A154" s="88" t="s">
        <v>1085</v>
      </c>
      <c r="B154" s="2" t="s">
        <v>790</v>
      </c>
      <c r="C154" s="18" t="s">
        <v>650</v>
      </c>
      <c r="D154" s="2" t="s">
        <v>507</v>
      </c>
      <c r="E154" s="18" t="s">
        <v>2602</v>
      </c>
      <c r="F154" s="19" t="s">
        <v>2655</v>
      </c>
      <c r="G154" s="18">
        <v>2949777.81</v>
      </c>
      <c r="H154" s="37">
        <f t="shared" si="11"/>
        <v>267</v>
      </c>
      <c r="I154" s="37" t="str">
        <f t="shared" si="10"/>
        <v>More than 180 Days</v>
      </c>
      <c r="J154" s="37" t="str">
        <f t="shared" si="12"/>
        <v>More than 180 Days</v>
      </c>
      <c r="K154" t="s">
        <v>1730</v>
      </c>
      <c r="L154" s="66"/>
      <c r="M154" t="s">
        <v>2655</v>
      </c>
      <c r="N154" s="66">
        <v>2949777.81</v>
      </c>
    </row>
    <row r="155" spans="1:14" x14ac:dyDescent="0.35">
      <c r="A155" s="88" t="s">
        <v>1085</v>
      </c>
      <c r="B155" s="2" t="s">
        <v>790</v>
      </c>
      <c r="C155" s="18" t="s">
        <v>1086</v>
      </c>
      <c r="D155" s="2" t="s">
        <v>507</v>
      </c>
      <c r="E155" s="18" t="s">
        <v>2603</v>
      </c>
      <c r="F155" s="19" t="s">
        <v>2672</v>
      </c>
      <c r="G155" s="18">
        <v>1842840.56</v>
      </c>
      <c r="H155" s="37">
        <f t="shared" si="11"/>
        <v>236</v>
      </c>
      <c r="I155" s="37" t="str">
        <f t="shared" si="10"/>
        <v>More than 180 Days</v>
      </c>
      <c r="J155" s="37" t="str">
        <f t="shared" si="12"/>
        <v>More than 180 Days</v>
      </c>
      <c r="K155" t="s">
        <v>1730</v>
      </c>
      <c r="L155" s="66"/>
      <c r="M155" t="s">
        <v>2672</v>
      </c>
      <c r="N155" s="66">
        <v>1842840.56</v>
      </c>
    </row>
    <row r="156" spans="1:14" x14ac:dyDescent="0.35">
      <c r="A156" s="88" t="s">
        <v>1085</v>
      </c>
      <c r="B156" s="2" t="s">
        <v>790</v>
      </c>
      <c r="C156" s="18" t="s">
        <v>1086</v>
      </c>
      <c r="D156" s="2" t="s">
        <v>507</v>
      </c>
      <c r="E156" s="18" t="s">
        <v>2604</v>
      </c>
      <c r="F156" s="19" t="s">
        <v>2672</v>
      </c>
      <c r="G156" s="18">
        <v>533049.93999999994</v>
      </c>
      <c r="H156" s="37">
        <f t="shared" si="11"/>
        <v>236</v>
      </c>
      <c r="I156" s="37" t="str">
        <f t="shared" si="10"/>
        <v>More than 180 Days</v>
      </c>
      <c r="J156" s="37" t="str">
        <f t="shared" si="12"/>
        <v>More than 180 Days</v>
      </c>
      <c r="K156" t="s">
        <v>1730</v>
      </c>
      <c r="L156" s="66"/>
      <c r="M156" t="s">
        <v>2672</v>
      </c>
      <c r="N156" s="66">
        <v>533049.93999999994</v>
      </c>
    </row>
    <row r="157" spans="1:14" x14ac:dyDescent="0.35">
      <c r="A157" s="88" t="s">
        <v>1085</v>
      </c>
      <c r="B157" s="2" t="s">
        <v>790</v>
      </c>
      <c r="C157" s="18" t="s">
        <v>650</v>
      </c>
      <c r="D157" s="2" t="s">
        <v>507</v>
      </c>
      <c r="E157" s="18" t="s">
        <v>2607</v>
      </c>
      <c r="F157" s="19" t="s">
        <v>2670</v>
      </c>
      <c r="G157" s="18">
        <v>2906507.31</v>
      </c>
      <c r="H157" s="37" t="e">
        <f t="shared" si="11"/>
        <v>#VALUE!</v>
      </c>
      <c r="I157" s="37" t="e">
        <f t="shared" si="10"/>
        <v>#VALUE!</v>
      </c>
      <c r="J157" s="37" t="e">
        <f t="shared" si="12"/>
        <v>#VALUE!</v>
      </c>
      <c r="K157" t="s">
        <v>1730</v>
      </c>
      <c r="L157" s="66"/>
      <c r="M157" t="s">
        <v>2670</v>
      </c>
      <c r="N157" s="66">
        <v>2906507.31</v>
      </c>
    </row>
    <row r="158" spans="1:14" x14ac:dyDescent="0.35">
      <c r="A158" s="88" t="s">
        <v>1085</v>
      </c>
      <c r="B158" s="2" t="s">
        <v>790</v>
      </c>
      <c r="C158" s="18" t="s">
        <v>650</v>
      </c>
      <c r="D158" s="2" t="s">
        <v>507</v>
      </c>
      <c r="E158" s="18" t="s">
        <v>2608</v>
      </c>
      <c r="F158" s="19" t="s">
        <v>2670</v>
      </c>
      <c r="G158" s="18">
        <v>3160791.64</v>
      </c>
      <c r="H158" s="37" t="e">
        <f t="shared" si="11"/>
        <v>#VALUE!</v>
      </c>
      <c r="I158" s="37" t="e">
        <f t="shared" si="10"/>
        <v>#VALUE!</v>
      </c>
      <c r="J158" s="37" t="e">
        <f t="shared" si="12"/>
        <v>#VALUE!</v>
      </c>
      <c r="K158" t="s">
        <v>1730</v>
      </c>
      <c r="L158" s="66"/>
      <c r="M158" t="s">
        <v>2670</v>
      </c>
      <c r="N158" s="66">
        <v>3160791.64</v>
      </c>
    </row>
    <row r="159" spans="1:14" x14ac:dyDescent="0.35">
      <c r="A159" s="88" t="s">
        <v>1085</v>
      </c>
      <c r="B159" s="2" t="s">
        <v>790</v>
      </c>
      <c r="C159" s="18" t="s">
        <v>650</v>
      </c>
      <c r="D159" s="2" t="s">
        <v>507</v>
      </c>
      <c r="E159" s="18" t="s">
        <v>2610</v>
      </c>
      <c r="F159" s="19" t="s">
        <v>2652</v>
      </c>
      <c r="G159" s="18">
        <v>3114124.03</v>
      </c>
      <c r="H159" s="37" t="e">
        <f t="shared" si="11"/>
        <v>#VALUE!</v>
      </c>
      <c r="I159" s="37" t="e">
        <f t="shared" si="10"/>
        <v>#VALUE!</v>
      </c>
      <c r="J159" s="37" t="e">
        <f t="shared" si="12"/>
        <v>#VALUE!</v>
      </c>
      <c r="K159" t="s">
        <v>1730</v>
      </c>
      <c r="L159" s="66"/>
      <c r="M159" t="s">
        <v>2652</v>
      </c>
      <c r="N159" s="66">
        <v>3114124.03</v>
      </c>
    </row>
    <row r="160" spans="1:14" x14ac:dyDescent="0.35">
      <c r="A160" s="88" t="s">
        <v>1085</v>
      </c>
      <c r="B160" s="2" t="s">
        <v>790</v>
      </c>
      <c r="C160" s="18" t="s">
        <v>538</v>
      </c>
      <c r="D160" s="2" t="s">
        <v>507</v>
      </c>
      <c r="E160" s="18" t="s">
        <v>2611</v>
      </c>
      <c r="F160" s="19" t="s">
        <v>2660</v>
      </c>
      <c r="G160" s="18">
        <v>3134106.72</v>
      </c>
      <c r="H160" s="37" t="e">
        <f t="shared" si="11"/>
        <v>#VALUE!</v>
      </c>
      <c r="I160" s="37" t="e">
        <f t="shared" si="10"/>
        <v>#VALUE!</v>
      </c>
      <c r="J160" s="37" t="e">
        <f t="shared" si="12"/>
        <v>#VALUE!</v>
      </c>
      <c r="K160" t="s">
        <v>1730</v>
      </c>
      <c r="L160" s="66"/>
      <c r="M160" t="s">
        <v>2660</v>
      </c>
      <c r="N160" s="66">
        <v>3134106.72</v>
      </c>
    </row>
    <row r="161" spans="1:14" x14ac:dyDescent="0.35">
      <c r="A161" s="88" t="s">
        <v>1085</v>
      </c>
      <c r="B161" s="2" t="s">
        <v>790</v>
      </c>
      <c r="C161" s="18" t="s">
        <v>1330</v>
      </c>
      <c r="D161" s="2" t="s">
        <v>507</v>
      </c>
      <c r="E161" s="18" t="s">
        <v>2612</v>
      </c>
      <c r="F161" s="19" t="s">
        <v>2661</v>
      </c>
      <c r="G161" s="18">
        <f>4064567.04-16124</f>
        <v>4048443.04</v>
      </c>
      <c r="H161" s="37" t="e">
        <f t="shared" si="11"/>
        <v>#VALUE!</v>
      </c>
      <c r="I161" s="37" t="e">
        <f t="shared" si="10"/>
        <v>#VALUE!</v>
      </c>
      <c r="J161" s="37" t="e">
        <f t="shared" si="12"/>
        <v>#VALUE!</v>
      </c>
      <c r="K161" t="s">
        <v>1730</v>
      </c>
      <c r="L161" s="66"/>
      <c r="M161" t="s">
        <v>2661</v>
      </c>
      <c r="N161" s="66">
        <v>4048443.04</v>
      </c>
    </row>
    <row r="162" spans="1:14" x14ac:dyDescent="0.35">
      <c r="A162" s="88" t="s">
        <v>1085</v>
      </c>
      <c r="B162" s="2" t="s">
        <v>790</v>
      </c>
      <c r="C162" s="18" t="s">
        <v>1086</v>
      </c>
      <c r="D162" s="2" t="s">
        <v>507</v>
      </c>
      <c r="E162" s="18" t="s">
        <v>2613</v>
      </c>
      <c r="F162" s="19" t="s">
        <v>2661</v>
      </c>
      <c r="G162" s="18">
        <v>23459.9</v>
      </c>
      <c r="H162" s="37" t="e">
        <f t="shared" si="11"/>
        <v>#VALUE!</v>
      </c>
      <c r="I162" s="37" t="e">
        <f t="shared" si="10"/>
        <v>#VALUE!</v>
      </c>
      <c r="J162" s="37" t="e">
        <f t="shared" si="12"/>
        <v>#VALUE!</v>
      </c>
      <c r="K162" t="s">
        <v>1730</v>
      </c>
      <c r="L162" s="66"/>
      <c r="M162" t="s">
        <v>2661</v>
      </c>
      <c r="N162" s="66">
        <v>23459.9</v>
      </c>
    </row>
    <row r="163" spans="1:14" x14ac:dyDescent="0.35">
      <c r="A163" s="88" t="s">
        <v>1085</v>
      </c>
      <c r="B163" s="2" t="s">
        <v>790</v>
      </c>
      <c r="C163" s="18" t="s">
        <v>1086</v>
      </c>
      <c r="D163" s="2" t="s">
        <v>507</v>
      </c>
      <c r="E163" s="18" t="s">
        <v>2614</v>
      </c>
      <c r="F163" s="19" t="s">
        <v>2661</v>
      </c>
      <c r="G163" s="18">
        <v>139033.01999999999</v>
      </c>
      <c r="H163" s="37" t="e">
        <f t="shared" si="11"/>
        <v>#VALUE!</v>
      </c>
      <c r="I163" s="37" t="e">
        <f t="shared" si="10"/>
        <v>#VALUE!</v>
      </c>
      <c r="J163" s="37" t="e">
        <f t="shared" si="12"/>
        <v>#VALUE!</v>
      </c>
      <c r="K163" t="s">
        <v>1730</v>
      </c>
      <c r="L163" s="66"/>
      <c r="M163" t="s">
        <v>2661</v>
      </c>
      <c r="N163" s="66">
        <v>139033.01999999999</v>
      </c>
    </row>
    <row r="164" spans="1:14" x14ac:dyDescent="0.35">
      <c r="A164" s="88" t="s">
        <v>1085</v>
      </c>
      <c r="B164" s="2" t="s">
        <v>790</v>
      </c>
      <c r="C164" s="18" t="s">
        <v>1086</v>
      </c>
      <c r="D164" s="2" t="s">
        <v>507</v>
      </c>
      <c r="E164" s="18" t="s">
        <v>2615</v>
      </c>
      <c r="F164" s="19" t="s">
        <v>2661</v>
      </c>
      <c r="G164" s="18">
        <v>502038.78</v>
      </c>
      <c r="H164" s="37" t="e">
        <f t="shared" si="11"/>
        <v>#VALUE!</v>
      </c>
      <c r="I164" s="37" t="e">
        <f t="shared" si="10"/>
        <v>#VALUE!</v>
      </c>
      <c r="J164" s="37" t="e">
        <f t="shared" si="12"/>
        <v>#VALUE!</v>
      </c>
      <c r="K164" t="s">
        <v>1730</v>
      </c>
      <c r="L164" s="66"/>
      <c r="M164" t="s">
        <v>2661</v>
      </c>
      <c r="N164" s="66">
        <v>502038.78</v>
      </c>
    </row>
    <row r="165" spans="1:14" x14ac:dyDescent="0.35">
      <c r="A165" s="88" t="s">
        <v>1085</v>
      </c>
      <c r="B165" s="2" t="s">
        <v>790</v>
      </c>
      <c r="C165" s="18" t="s">
        <v>1086</v>
      </c>
      <c r="D165" s="2" t="s">
        <v>507</v>
      </c>
      <c r="E165" s="18" t="s">
        <v>2616</v>
      </c>
      <c r="F165" s="19" t="s">
        <v>2661</v>
      </c>
      <c r="G165" s="18">
        <v>365582.46</v>
      </c>
      <c r="H165" s="37" t="e">
        <f t="shared" si="11"/>
        <v>#VALUE!</v>
      </c>
      <c r="I165" s="37" t="e">
        <f t="shared" si="10"/>
        <v>#VALUE!</v>
      </c>
      <c r="J165" s="37" t="e">
        <f t="shared" si="12"/>
        <v>#VALUE!</v>
      </c>
      <c r="K165" t="s">
        <v>1730</v>
      </c>
      <c r="L165" s="66"/>
      <c r="M165" t="s">
        <v>2661</v>
      </c>
      <c r="N165" s="66">
        <v>365582.46</v>
      </c>
    </row>
    <row r="166" spans="1:14" x14ac:dyDescent="0.35">
      <c r="A166" s="88" t="s">
        <v>1085</v>
      </c>
      <c r="B166" s="2" t="s">
        <v>790</v>
      </c>
      <c r="C166" s="18" t="s">
        <v>1086</v>
      </c>
      <c r="D166" s="2" t="s">
        <v>507</v>
      </c>
      <c r="E166" s="18" t="s">
        <v>2617</v>
      </c>
      <c r="F166" s="19" t="s">
        <v>2661</v>
      </c>
      <c r="G166" s="18">
        <v>1070581.82</v>
      </c>
      <c r="H166" s="37" t="e">
        <f t="shared" si="11"/>
        <v>#VALUE!</v>
      </c>
      <c r="I166" s="37" t="e">
        <f t="shared" si="10"/>
        <v>#VALUE!</v>
      </c>
      <c r="J166" s="37" t="e">
        <f t="shared" si="12"/>
        <v>#VALUE!</v>
      </c>
      <c r="K166" t="s">
        <v>1730</v>
      </c>
      <c r="L166" s="66"/>
      <c r="M166" t="s">
        <v>2661</v>
      </c>
      <c r="N166" s="66">
        <v>1070581.82</v>
      </c>
    </row>
    <row r="167" spans="1:14" x14ac:dyDescent="0.35">
      <c r="A167" s="88" t="s">
        <v>1085</v>
      </c>
      <c r="B167" s="2" t="s">
        <v>790</v>
      </c>
      <c r="C167" s="18" t="s">
        <v>650</v>
      </c>
      <c r="D167" s="2" t="s">
        <v>507</v>
      </c>
      <c r="E167" s="18" t="s">
        <v>2618</v>
      </c>
      <c r="F167" s="19" t="s">
        <v>2661</v>
      </c>
      <c r="G167" s="18">
        <v>2780648.39</v>
      </c>
      <c r="H167" s="37" t="e">
        <f t="shared" si="11"/>
        <v>#VALUE!</v>
      </c>
      <c r="I167" s="37" t="e">
        <f t="shared" si="10"/>
        <v>#VALUE!</v>
      </c>
      <c r="J167" s="37" t="e">
        <f t="shared" si="12"/>
        <v>#VALUE!</v>
      </c>
      <c r="K167" t="s">
        <v>1730</v>
      </c>
      <c r="L167" s="66"/>
      <c r="M167" t="s">
        <v>2661</v>
      </c>
      <c r="N167" s="66">
        <v>2780648.39</v>
      </c>
    </row>
    <row r="168" spans="1:14" x14ac:dyDescent="0.35">
      <c r="A168" s="88" t="s">
        <v>1085</v>
      </c>
      <c r="B168" s="2" t="s">
        <v>790</v>
      </c>
      <c r="C168" s="18" t="s">
        <v>650</v>
      </c>
      <c r="D168" s="2" t="s">
        <v>507</v>
      </c>
      <c r="E168" s="18" t="s">
        <v>2619</v>
      </c>
      <c r="F168" s="19" t="s">
        <v>2662</v>
      </c>
      <c r="G168" s="18">
        <v>3901836.78</v>
      </c>
      <c r="H168" s="37" t="e">
        <f t="shared" si="11"/>
        <v>#VALUE!</v>
      </c>
      <c r="I168" s="37" t="e">
        <f t="shared" si="10"/>
        <v>#VALUE!</v>
      </c>
      <c r="J168" s="37" t="e">
        <f t="shared" si="12"/>
        <v>#VALUE!</v>
      </c>
      <c r="K168" t="s">
        <v>1730</v>
      </c>
      <c r="L168" s="66"/>
      <c r="M168" t="s">
        <v>2662</v>
      </c>
      <c r="N168" s="66">
        <v>3901836.78</v>
      </c>
    </row>
    <row r="169" spans="1:14" x14ac:dyDescent="0.35">
      <c r="A169" s="88" t="s">
        <v>1085</v>
      </c>
      <c r="B169" s="2" t="s">
        <v>790</v>
      </c>
      <c r="C169" s="18" t="s">
        <v>650</v>
      </c>
      <c r="D169" s="2" t="s">
        <v>507</v>
      </c>
      <c r="E169" s="18" t="s">
        <v>2620</v>
      </c>
      <c r="F169" s="19" t="s">
        <v>2674</v>
      </c>
      <c r="G169" s="18">
        <v>3148076.6</v>
      </c>
      <c r="H169" s="37" t="e">
        <f t="shared" si="11"/>
        <v>#VALUE!</v>
      </c>
      <c r="I169" s="37" t="e">
        <f t="shared" si="10"/>
        <v>#VALUE!</v>
      </c>
      <c r="J169" s="37" t="e">
        <f t="shared" si="12"/>
        <v>#VALUE!</v>
      </c>
      <c r="K169" t="s">
        <v>1730</v>
      </c>
      <c r="L169" s="66"/>
      <c r="M169" t="s">
        <v>2674</v>
      </c>
      <c r="N169" s="66">
        <v>3148076.6</v>
      </c>
    </row>
    <row r="170" spans="1:14" x14ac:dyDescent="0.35">
      <c r="A170" s="88" t="s">
        <v>1085</v>
      </c>
      <c r="B170" s="2" t="s">
        <v>790</v>
      </c>
      <c r="C170" s="18" t="s">
        <v>650</v>
      </c>
      <c r="D170" s="2" t="s">
        <v>507</v>
      </c>
      <c r="E170" s="18" t="s">
        <v>2621</v>
      </c>
      <c r="F170" s="19" t="s">
        <v>2674</v>
      </c>
      <c r="G170" s="18">
        <v>1014307.84</v>
      </c>
      <c r="H170" s="37" t="e">
        <f t="shared" si="11"/>
        <v>#VALUE!</v>
      </c>
      <c r="I170" s="37" t="e">
        <f t="shared" si="10"/>
        <v>#VALUE!</v>
      </c>
      <c r="J170" s="37" t="e">
        <f t="shared" si="12"/>
        <v>#VALUE!</v>
      </c>
      <c r="K170" t="s">
        <v>1730</v>
      </c>
      <c r="L170" s="66"/>
      <c r="M170" t="s">
        <v>2674</v>
      </c>
      <c r="N170" s="66">
        <v>1014307.84</v>
      </c>
    </row>
    <row r="171" spans="1:14" x14ac:dyDescent="0.35">
      <c r="A171" s="88" t="s">
        <v>1085</v>
      </c>
      <c r="B171" s="2" t="s">
        <v>790</v>
      </c>
      <c r="C171" s="18" t="s">
        <v>538</v>
      </c>
      <c r="D171" s="2" t="s">
        <v>507</v>
      </c>
      <c r="E171" s="18" t="s">
        <v>2622</v>
      </c>
      <c r="F171" s="19" t="s">
        <v>2663</v>
      </c>
      <c r="G171" s="18">
        <v>3293649</v>
      </c>
      <c r="H171" s="37" t="e">
        <f t="shared" si="11"/>
        <v>#VALUE!</v>
      </c>
      <c r="I171" s="37" t="e">
        <f t="shared" si="10"/>
        <v>#VALUE!</v>
      </c>
      <c r="J171" s="37" t="e">
        <f t="shared" si="12"/>
        <v>#VALUE!</v>
      </c>
      <c r="K171" t="s">
        <v>1730</v>
      </c>
      <c r="L171" s="66"/>
      <c r="M171" t="s">
        <v>2663</v>
      </c>
      <c r="N171" s="66">
        <v>3293649</v>
      </c>
    </row>
    <row r="172" spans="1:14" s="157" customFormat="1" x14ac:dyDescent="0.35">
      <c r="A172" s="152" t="s">
        <v>1085</v>
      </c>
      <c r="B172" s="153" t="s">
        <v>790</v>
      </c>
      <c r="C172" s="154" t="s">
        <v>2273</v>
      </c>
      <c r="D172" s="153" t="s">
        <v>507</v>
      </c>
      <c r="E172" s="154" t="s">
        <v>2623</v>
      </c>
      <c r="F172" s="155" t="s">
        <v>2648</v>
      </c>
      <c r="G172" s="154">
        <f>3937922.56-1174784-1195400</f>
        <v>1567738.56</v>
      </c>
      <c r="H172" s="156" t="e">
        <f t="shared" si="11"/>
        <v>#VALUE!</v>
      </c>
      <c r="I172" s="156" t="e">
        <f t="shared" si="10"/>
        <v>#VALUE!</v>
      </c>
      <c r="J172" s="156" t="e">
        <f t="shared" si="12"/>
        <v>#VALUE!</v>
      </c>
      <c r="K172" t="s">
        <v>1730</v>
      </c>
      <c r="L172" s="158"/>
      <c r="M172" t="s">
        <v>2648</v>
      </c>
      <c r="N172" s="66">
        <v>1567738.56</v>
      </c>
    </row>
    <row r="173" spans="1:14" x14ac:dyDescent="0.35">
      <c r="A173" s="88" t="s">
        <v>1085</v>
      </c>
      <c r="B173" s="2" t="s">
        <v>790</v>
      </c>
      <c r="C173" s="18" t="s">
        <v>538</v>
      </c>
      <c r="D173" s="2" t="s">
        <v>507</v>
      </c>
      <c r="E173" s="18" t="s">
        <v>2624</v>
      </c>
      <c r="F173" s="19" t="s">
        <v>2649</v>
      </c>
      <c r="G173" s="18">
        <v>3300938.37</v>
      </c>
      <c r="H173" s="37" t="e">
        <f t="shared" si="11"/>
        <v>#VALUE!</v>
      </c>
      <c r="I173" s="37" t="e">
        <f t="shared" si="10"/>
        <v>#VALUE!</v>
      </c>
      <c r="J173" s="37" t="e">
        <f t="shared" si="12"/>
        <v>#VALUE!</v>
      </c>
      <c r="K173" t="s">
        <v>1730</v>
      </c>
      <c r="L173" s="66"/>
      <c r="M173" t="s">
        <v>2649</v>
      </c>
      <c r="N173" s="66">
        <v>3300938.37</v>
      </c>
    </row>
    <row r="174" spans="1:14" x14ac:dyDescent="0.35">
      <c r="A174" s="88" t="s">
        <v>1085</v>
      </c>
      <c r="B174" s="2" t="s">
        <v>790</v>
      </c>
      <c r="C174" s="18" t="s">
        <v>570</v>
      </c>
      <c r="D174" s="2" t="s">
        <v>507</v>
      </c>
      <c r="E174" s="18" t="s">
        <v>2625</v>
      </c>
      <c r="F174" s="19" t="s">
        <v>2664</v>
      </c>
      <c r="G174" s="18">
        <v>3245448.96</v>
      </c>
      <c r="H174" s="37" t="e">
        <f t="shared" si="11"/>
        <v>#VALUE!</v>
      </c>
      <c r="I174" s="37" t="e">
        <f t="shared" si="10"/>
        <v>#VALUE!</v>
      </c>
      <c r="J174" s="37" t="e">
        <f t="shared" si="12"/>
        <v>#VALUE!</v>
      </c>
      <c r="K174" t="s">
        <v>1730</v>
      </c>
      <c r="L174" s="66"/>
      <c r="M174" t="s">
        <v>2664</v>
      </c>
      <c r="N174" s="66">
        <v>3245448.96</v>
      </c>
    </row>
    <row r="175" spans="1:14" x14ac:dyDescent="0.35">
      <c r="A175" s="88" t="s">
        <v>1085</v>
      </c>
      <c r="B175" s="2" t="s">
        <v>790</v>
      </c>
      <c r="C175" s="18" t="s">
        <v>650</v>
      </c>
      <c r="D175" s="2" t="s">
        <v>507</v>
      </c>
      <c r="E175" s="18" t="s">
        <v>2626</v>
      </c>
      <c r="F175" s="19" t="s">
        <v>2664</v>
      </c>
      <c r="G175" s="18">
        <v>3821277.6</v>
      </c>
      <c r="H175" s="37" t="e">
        <f t="shared" si="11"/>
        <v>#VALUE!</v>
      </c>
      <c r="I175" s="37" t="e">
        <f t="shared" si="10"/>
        <v>#VALUE!</v>
      </c>
      <c r="J175" s="37" t="e">
        <f t="shared" si="12"/>
        <v>#VALUE!</v>
      </c>
      <c r="K175" t="s">
        <v>1730</v>
      </c>
      <c r="L175" s="66"/>
      <c r="M175" t="s">
        <v>2664</v>
      </c>
      <c r="N175" s="66">
        <v>3821277.6</v>
      </c>
    </row>
    <row r="176" spans="1:14" x14ac:dyDescent="0.35">
      <c r="A176" s="88" t="s">
        <v>1085</v>
      </c>
      <c r="B176" s="2" t="s">
        <v>790</v>
      </c>
      <c r="C176" s="18" t="s">
        <v>1086</v>
      </c>
      <c r="D176" s="2" t="s">
        <v>507</v>
      </c>
      <c r="E176" s="18" t="s">
        <v>2627</v>
      </c>
      <c r="F176" s="19" t="s">
        <v>2666</v>
      </c>
      <c r="G176" s="18">
        <v>4142749.31</v>
      </c>
      <c r="H176" s="37" t="e">
        <f t="shared" si="11"/>
        <v>#VALUE!</v>
      </c>
      <c r="I176" s="37" t="e">
        <f t="shared" si="10"/>
        <v>#VALUE!</v>
      </c>
      <c r="J176" s="37" t="e">
        <f t="shared" si="12"/>
        <v>#VALUE!</v>
      </c>
      <c r="K176" t="s">
        <v>1730</v>
      </c>
      <c r="L176" s="66"/>
      <c r="M176" t="s">
        <v>2666</v>
      </c>
      <c r="N176" s="66">
        <v>4142749.31</v>
      </c>
    </row>
    <row r="177" spans="1:14" x14ac:dyDescent="0.35">
      <c r="A177" s="88" t="s">
        <v>1085</v>
      </c>
      <c r="B177" s="2" t="s">
        <v>790</v>
      </c>
      <c r="C177" s="18" t="s">
        <v>2560</v>
      </c>
      <c r="D177" s="2" t="s">
        <v>507</v>
      </c>
      <c r="E177" s="18" t="s">
        <v>2567</v>
      </c>
      <c r="F177" s="19" t="s">
        <v>2547</v>
      </c>
      <c r="G177" s="18">
        <v>2962377.6</v>
      </c>
      <c r="H177" s="37" t="e">
        <f t="shared" si="11"/>
        <v>#VALUE!</v>
      </c>
      <c r="I177" s="37" t="e">
        <f t="shared" si="10"/>
        <v>#VALUE!</v>
      </c>
      <c r="J177" s="37" t="e">
        <f t="shared" si="12"/>
        <v>#VALUE!</v>
      </c>
      <c r="K177" t="s">
        <v>1730</v>
      </c>
      <c r="L177" s="66"/>
      <c r="M177" t="s">
        <v>2547</v>
      </c>
      <c r="N177" s="66">
        <v>2962377.6</v>
      </c>
    </row>
    <row r="178" spans="1:14" x14ac:dyDescent="0.35">
      <c r="A178" s="88" t="s">
        <v>1085</v>
      </c>
      <c r="B178" s="2" t="s">
        <v>790</v>
      </c>
      <c r="C178" s="18" t="s">
        <v>1086</v>
      </c>
      <c r="D178" s="2" t="s">
        <v>507</v>
      </c>
      <c r="E178" s="18" t="s">
        <v>2628</v>
      </c>
      <c r="F178" s="19" t="s">
        <v>2650</v>
      </c>
      <c r="G178" s="18">
        <v>2913664</v>
      </c>
      <c r="H178" s="37" t="e">
        <f t="shared" si="11"/>
        <v>#VALUE!</v>
      </c>
      <c r="I178" s="37" t="e">
        <f t="shared" si="10"/>
        <v>#VALUE!</v>
      </c>
      <c r="J178" s="37" t="e">
        <f t="shared" si="12"/>
        <v>#VALUE!</v>
      </c>
      <c r="K178" t="s">
        <v>1730</v>
      </c>
      <c r="L178" s="66"/>
      <c r="M178" t="s">
        <v>2650</v>
      </c>
      <c r="N178" s="66">
        <v>2913664</v>
      </c>
    </row>
    <row r="179" spans="1:14" x14ac:dyDescent="0.35">
      <c r="A179" s="88" t="s">
        <v>1085</v>
      </c>
      <c r="B179" s="2" t="s">
        <v>790</v>
      </c>
      <c r="C179" s="18" t="s">
        <v>1086</v>
      </c>
      <c r="D179" s="2" t="s">
        <v>507</v>
      </c>
      <c r="E179" s="18" t="s">
        <v>2629</v>
      </c>
      <c r="F179" s="19" t="s">
        <v>2650</v>
      </c>
      <c r="G179" s="18">
        <v>306356.55</v>
      </c>
      <c r="H179" s="37" t="e">
        <f t="shared" si="11"/>
        <v>#VALUE!</v>
      </c>
      <c r="I179" s="37" t="e">
        <f t="shared" si="10"/>
        <v>#VALUE!</v>
      </c>
      <c r="J179" s="37" t="e">
        <f t="shared" si="12"/>
        <v>#VALUE!</v>
      </c>
      <c r="K179" t="s">
        <v>1730</v>
      </c>
      <c r="L179" s="66"/>
      <c r="M179" t="s">
        <v>2650</v>
      </c>
      <c r="N179" s="66">
        <v>306356.55</v>
      </c>
    </row>
    <row r="180" spans="1:14" x14ac:dyDescent="0.35">
      <c r="A180" s="88" t="s">
        <v>1085</v>
      </c>
      <c r="B180" s="2" t="s">
        <v>790</v>
      </c>
      <c r="C180" s="18" t="s">
        <v>1086</v>
      </c>
      <c r="D180" s="2" t="s">
        <v>507</v>
      </c>
      <c r="E180" s="18" t="s">
        <v>2630</v>
      </c>
      <c r="F180" s="19" t="s">
        <v>2650</v>
      </c>
      <c r="G180" s="18">
        <v>90366.02</v>
      </c>
      <c r="H180" s="37" t="e">
        <f t="shared" si="11"/>
        <v>#VALUE!</v>
      </c>
      <c r="I180" s="37" t="e">
        <f t="shared" si="10"/>
        <v>#VALUE!</v>
      </c>
      <c r="J180" s="37" t="e">
        <f t="shared" si="12"/>
        <v>#VALUE!</v>
      </c>
      <c r="K180" t="s">
        <v>1730</v>
      </c>
      <c r="L180" s="66"/>
      <c r="M180" t="s">
        <v>2650</v>
      </c>
      <c r="N180" s="66">
        <v>90366.02</v>
      </c>
    </row>
    <row r="181" spans="1:14" x14ac:dyDescent="0.35">
      <c r="A181" s="88" t="s">
        <v>1085</v>
      </c>
      <c r="B181" s="2" t="s">
        <v>790</v>
      </c>
      <c r="C181" s="18" t="s">
        <v>1086</v>
      </c>
      <c r="D181" s="2" t="s">
        <v>507</v>
      </c>
      <c r="E181" s="18" t="s">
        <v>2631</v>
      </c>
      <c r="F181" s="19" t="s">
        <v>2650</v>
      </c>
      <c r="G181" s="18">
        <v>33825.79</v>
      </c>
      <c r="H181" s="37" t="e">
        <f t="shared" si="11"/>
        <v>#VALUE!</v>
      </c>
      <c r="I181" s="37" t="e">
        <f t="shared" si="10"/>
        <v>#VALUE!</v>
      </c>
      <c r="J181" s="37" t="e">
        <f t="shared" si="12"/>
        <v>#VALUE!</v>
      </c>
      <c r="K181" t="s">
        <v>1730</v>
      </c>
      <c r="L181" s="66"/>
      <c r="M181" t="s">
        <v>2650</v>
      </c>
      <c r="N181" s="66">
        <v>33825.79</v>
      </c>
    </row>
    <row r="182" spans="1:14" x14ac:dyDescent="0.35">
      <c r="A182" s="88" t="s">
        <v>1085</v>
      </c>
      <c r="B182" s="2" t="s">
        <v>790</v>
      </c>
      <c r="C182" s="18" t="s">
        <v>1086</v>
      </c>
      <c r="D182" s="2" t="s">
        <v>507</v>
      </c>
      <c r="E182" s="18" t="s">
        <v>2632</v>
      </c>
      <c r="F182" s="19" t="s">
        <v>2650</v>
      </c>
      <c r="G182" s="18">
        <v>2042893.63</v>
      </c>
      <c r="H182" s="37" t="e">
        <f t="shared" si="11"/>
        <v>#VALUE!</v>
      </c>
      <c r="I182" s="37" t="e">
        <f t="shared" si="10"/>
        <v>#VALUE!</v>
      </c>
      <c r="J182" s="37" t="e">
        <f t="shared" si="12"/>
        <v>#VALUE!</v>
      </c>
      <c r="K182" t="s">
        <v>1730</v>
      </c>
      <c r="L182" s="66"/>
      <c r="M182" t="s">
        <v>2650</v>
      </c>
      <c r="N182" s="66">
        <v>2042893.63</v>
      </c>
    </row>
    <row r="183" spans="1:14" x14ac:dyDescent="0.35">
      <c r="A183" s="88" t="s">
        <v>1085</v>
      </c>
      <c r="B183" s="2" t="s">
        <v>790</v>
      </c>
      <c r="C183" s="18" t="s">
        <v>577</v>
      </c>
      <c r="D183" s="2" t="s">
        <v>507</v>
      </c>
      <c r="E183" s="18" t="s">
        <v>2635</v>
      </c>
      <c r="F183" s="19" t="s">
        <v>2651</v>
      </c>
      <c r="G183" s="18">
        <v>3620108.01</v>
      </c>
      <c r="H183" s="37">
        <f t="shared" si="11"/>
        <v>206</v>
      </c>
      <c r="I183" s="37" t="str">
        <f t="shared" si="10"/>
        <v>More than 180 Days</v>
      </c>
      <c r="J183" s="37" t="str">
        <f t="shared" si="12"/>
        <v>More than 180 Days</v>
      </c>
      <c r="K183" t="s">
        <v>1730</v>
      </c>
      <c r="L183" s="66"/>
      <c r="M183" t="s">
        <v>2651</v>
      </c>
      <c r="N183" s="66">
        <v>3620108.01</v>
      </c>
    </row>
    <row r="184" spans="1:14" x14ac:dyDescent="0.35">
      <c r="A184" s="88" t="s">
        <v>1085</v>
      </c>
      <c r="B184" s="2" t="s">
        <v>790</v>
      </c>
      <c r="C184" s="18" t="s">
        <v>584</v>
      </c>
      <c r="D184" s="2" t="s">
        <v>507</v>
      </c>
      <c r="E184" s="18" t="s">
        <v>2636</v>
      </c>
      <c r="F184" s="19" t="s">
        <v>2657</v>
      </c>
      <c r="G184" s="18">
        <v>3571616.18</v>
      </c>
      <c r="H184" s="37">
        <f t="shared" si="11"/>
        <v>114</v>
      </c>
      <c r="I184" s="37" t="str">
        <f t="shared" si="10"/>
        <v>0-120 DAYS</v>
      </c>
      <c r="J184" s="37" t="str">
        <f t="shared" si="12"/>
        <v>0-180 DAYS</v>
      </c>
      <c r="K184" t="s">
        <v>1730</v>
      </c>
      <c r="L184" s="66"/>
      <c r="M184" t="s">
        <v>2657</v>
      </c>
      <c r="N184" s="66">
        <v>3571616.18</v>
      </c>
    </row>
    <row r="185" spans="1:14" x14ac:dyDescent="0.35">
      <c r="A185" s="88" t="s">
        <v>1085</v>
      </c>
      <c r="B185" s="2" t="s">
        <v>790</v>
      </c>
      <c r="C185" s="18" t="s">
        <v>2561</v>
      </c>
      <c r="D185" s="2" t="s">
        <v>507</v>
      </c>
      <c r="E185" s="18" t="s">
        <v>2568</v>
      </c>
      <c r="F185" s="19" t="s">
        <v>2660</v>
      </c>
      <c r="G185" s="18">
        <v>3198686.4</v>
      </c>
      <c r="H185" s="37" t="e">
        <f t="shared" si="11"/>
        <v>#VALUE!</v>
      </c>
      <c r="I185" s="37" t="e">
        <f t="shared" si="10"/>
        <v>#VALUE!</v>
      </c>
      <c r="J185" s="37" t="e">
        <f t="shared" si="12"/>
        <v>#VALUE!</v>
      </c>
      <c r="K185" t="s">
        <v>1730</v>
      </c>
      <c r="L185" s="66"/>
      <c r="M185" t="s">
        <v>2660</v>
      </c>
      <c r="N185" s="66">
        <v>3198686.4</v>
      </c>
    </row>
    <row r="186" spans="1:14" x14ac:dyDescent="0.35">
      <c r="A186" s="88" t="s">
        <v>1085</v>
      </c>
      <c r="B186" s="2" t="s">
        <v>790</v>
      </c>
      <c r="C186" s="18" t="s">
        <v>1055</v>
      </c>
      <c r="D186" s="2" t="s">
        <v>507</v>
      </c>
      <c r="E186" s="18" t="s">
        <v>2639</v>
      </c>
      <c r="F186" s="19" t="s">
        <v>2661</v>
      </c>
      <c r="G186" s="18">
        <v>3234816</v>
      </c>
      <c r="H186" s="37" t="e">
        <f t="shared" si="11"/>
        <v>#VALUE!</v>
      </c>
      <c r="I186" s="37" t="e">
        <f t="shared" si="10"/>
        <v>#VALUE!</v>
      </c>
      <c r="J186" s="37" t="e">
        <f t="shared" si="12"/>
        <v>#VALUE!</v>
      </c>
      <c r="K186" t="s">
        <v>1730</v>
      </c>
      <c r="L186" s="66"/>
      <c r="M186" t="s">
        <v>2661</v>
      </c>
      <c r="N186" s="66">
        <v>3234816</v>
      </c>
    </row>
    <row r="187" spans="1:14" x14ac:dyDescent="0.35">
      <c r="A187" s="88" t="s">
        <v>1085</v>
      </c>
      <c r="B187" s="2" t="s">
        <v>790</v>
      </c>
      <c r="C187" s="18" t="s">
        <v>707</v>
      </c>
      <c r="D187" s="2" t="s">
        <v>507</v>
      </c>
      <c r="E187" s="18" t="s">
        <v>2641</v>
      </c>
      <c r="F187" s="19" t="s">
        <v>2674</v>
      </c>
      <c r="G187" s="18">
        <v>1476034.5600000001</v>
      </c>
      <c r="H187" s="37" t="e">
        <f t="shared" si="11"/>
        <v>#VALUE!</v>
      </c>
      <c r="I187" s="37" t="e">
        <f t="shared" si="10"/>
        <v>#VALUE!</v>
      </c>
      <c r="J187" s="37" t="e">
        <f t="shared" si="12"/>
        <v>#VALUE!</v>
      </c>
      <c r="K187" t="s">
        <v>1730</v>
      </c>
      <c r="L187" s="66"/>
      <c r="M187" t="s">
        <v>2674</v>
      </c>
      <c r="N187" s="66">
        <v>1476034.5600000001</v>
      </c>
    </row>
    <row r="188" spans="1:14" x14ac:dyDescent="0.35">
      <c r="A188" s="88" t="s">
        <v>1085</v>
      </c>
      <c r="B188" s="2" t="s">
        <v>790</v>
      </c>
      <c r="C188" s="18" t="s">
        <v>581</v>
      </c>
      <c r="D188" s="2" t="s">
        <v>507</v>
      </c>
      <c r="E188" s="18" t="s">
        <v>2642</v>
      </c>
      <c r="F188" s="19" t="s">
        <v>2648</v>
      </c>
      <c r="G188" s="18">
        <v>3697092.34</v>
      </c>
      <c r="H188" s="37" t="e">
        <f t="shared" si="11"/>
        <v>#VALUE!</v>
      </c>
      <c r="I188" s="37" t="e">
        <f t="shared" si="10"/>
        <v>#VALUE!</v>
      </c>
      <c r="J188" s="37" t="e">
        <f t="shared" si="12"/>
        <v>#VALUE!</v>
      </c>
      <c r="K188" t="s">
        <v>1730</v>
      </c>
      <c r="L188" s="66"/>
      <c r="M188" t="s">
        <v>2648</v>
      </c>
      <c r="N188" s="66">
        <v>3697092.34</v>
      </c>
    </row>
    <row r="189" spans="1:14" x14ac:dyDescent="0.35">
      <c r="A189" s="88" t="s">
        <v>1085</v>
      </c>
      <c r="B189" s="2" t="s">
        <v>790</v>
      </c>
      <c r="C189" s="18" t="s">
        <v>522</v>
      </c>
      <c r="D189" s="2" t="s">
        <v>507</v>
      </c>
      <c r="E189" s="18" t="s">
        <v>2643</v>
      </c>
      <c r="F189" s="19" t="s">
        <v>2650</v>
      </c>
      <c r="G189" s="18">
        <v>1863410.13</v>
      </c>
      <c r="H189" s="37" t="e">
        <f t="shared" si="11"/>
        <v>#VALUE!</v>
      </c>
      <c r="I189" s="37" t="e">
        <f t="shared" si="10"/>
        <v>#VALUE!</v>
      </c>
      <c r="J189" s="37" t="e">
        <f t="shared" si="12"/>
        <v>#VALUE!</v>
      </c>
      <c r="K189" t="s">
        <v>1730</v>
      </c>
      <c r="L189" s="66"/>
      <c r="M189" t="s">
        <v>2650</v>
      </c>
      <c r="N189" s="66">
        <v>1863410.13</v>
      </c>
    </row>
    <row r="190" spans="1:14" x14ac:dyDescent="0.35">
      <c r="A190" s="88" t="s">
        <v>1085</v>
      </c>
      <c r="B190" s="2" t="s">
        <v>790</v>
      </c>
      <c r="C190" s="18" t="s">
        <v>573</v>
      </c>
      <c r="D190" s="2" t="s">
        <v>507</v>
      </c>
      <c r="E190" s="18" t="s">
        <v>828</v>
      </c>
      <c r="F190" s="19" t="s">
        <v>2662</v>
      </c>
      <c r="G190" s="18">
        <v>3474074.25</v>
      </c>
      <c r="H190" s="37" t="e">
        <f t="shared" si="11"/>
        <v>#VALUE!</v>
      </c>
      <c r="I190" s="37" t="e">
        <f t="shared" si="10"/>
        <v>#VALUE!</v>
      </c>
      <c r="J190" s="37" t="e">
        <f t="shared" si="12"/>
        <v>#VALUE!</v>
      </c>
      <c r="K190" t="s">
        <v>1730</v>
      </c>
      <c r="L190" s="66"/>
      <c r="M190" t="s">
        <v>2662</v>
      </c>
      <c r="N190" s="66">
        <v>3474074.25</v>
      </c>
    </row>
    <row r="191" spans="1:14" x14ac:dyDescent="0.35">
      <c r="A191" s="88" t="s">
        <v>1085</v>
      </c>
      <c r="B191" s="2" t="s">
        <v>790</v>
      </c>
      <c r="C191" s="18" t="s">
        <v>522</v>
      </c>
      <c r="D191" s="2" t="s">
        <v>507</v>
      </c>
      <c r="E191" s="18" t="s">
        <v>841</v>
      </c>
      <c r="F191" s="19" t="s">
        <v>2663</v>
      </c>
      <c r="G191" s="18">
        <v>3779789.08</v>
      </c>
      <c r="H191" s="37" t="e">
        <f t="shared" si="11"/>
        <v>#VALUE!</v>
      </c>
      <c r="I191" s="37" t="e">
        <f t="shared" si="10"/>
        <v>#VALUE!</v>
      </c>
      <c r="J191" s="37" t="e">
        <f t="shared" si="12"/>
        <v>#VALUE!</v>
      </c>
      <c r="K191" t="s">
        <v>1730</v>
      </c>
      <c r="L191" s="66"/>
      <c r="M191" t="s">
        <v>2663</v>
      </c>
      <c r="N191" s="66">
        <v>3779789.08</v>
      </c>
    </row>
    <row r="192" spans="1:14" x14ac:dyDescent="0.35">
      <c r="A192" s="88" t="s">
        <v>1085</v>
      </c>
      <c r="B192" s="2" t="s">
        <v>790</v>
      </c>
      <c r="C192" s="18" t="s">
        <v>573</v>
      </c>
      <c r="D192" s="2" t="s">
        <v>507</v>
      </c>
      <c r="E192" s="18" t="s">
        <v>844</v>
      </c>
      <c r="F192" s="19" t="s">
        <v>2648</v>
      </c>
      <c r="G192" s="18">
        <v>3149619.2000000002</v>
      </c>
      <c r="H192" s="37" t="e">
        <f t="shared" si="11"/>
        <v>#VALUE!</v>
      </c>
      <c r="I192" s="37" t="e">
        <f t="shared" ref="I192:I255" si="13">IF(H192&lt;121,"0-120 DAYS",IF(H192&lt;181,"121-180 DAYS","More than 180 Days"))</f>
        <v>#VALUE!</v>
      </c>
      <c r="J192" s="37" t="e">
        <f t="shared" si="12"/>
        <v>#VALUE!</v>
      </c>
      <c r="K192" t="s">
        <v>1730</v>
      </c>
      <c r="L192" s="66"/>
      <c r="M192" t="s">
        <v>2648</v>
      </c>
      <c r="N192" s="66">
        <v>3149619.2000000002</v>
      </c>
    </row>
    <row r="193" spans="1:14" x14ac:dyDescent="0.35">
      <c r="A193" s="88" t="s">
        <v>1085</v>
      </c>
      <c r="B193" s="2" t="s">
        <v>790</v>
      </c>
      <c r="C193" s="18" t="s">
        <v>573</v>
      </c>
      <c r="D193" s="2" t="s">
        <v>507</v>
      </c>
      <c r="E193" s="18" t="s">
        <v>845</v>
      </c>
      <c r="F193" s="19" t="s">
        <v>2666</v>
      </c>
      <c r="G193" s="18">
        <v>4057276.3</v>
      </c>
      <c r="H193" s="37" t="e">
        <f t="shared" si="11"/>
        <v>#VALUE!</v>
      </c>
      <c r="I193" s="37" t="e">
        <f t="shared" si="13"/>
        <v>#VALUE!</v>
      </c>
      <c r="J193" s="37" t="e">
        <f t="shared" si="12"/>
        <v>#VALUE!</v>
      </c>
      <c r="K193" t="s">
        <v>1730</v>
      </c>
      <c r="L193" s="66"/>
      <c r="M193" t="s">
        <v>2666</v>
      </c>
      <c r="N193" s="66">
        <v>4057276.3</v>
      </c>
    </row>
    <row r="194" spans="1:14" x14ac:dyDescent="0.35">
      <c r="A194" s="88" t="s">
        <v>1085</v>
      </c>
      <c r="B194" s="2" t="s">
        <v>790</v>
      </c>
      <c r="C194" s="18" t="s">
        <v>573</v>
      </c>
      <c r="D194" s="2" t="s">
        <v>507</v>
      </c>
      <c r="E194" s="18" t="s">
        <v>847</v>
      </c>
      <c r="F194" s="19" t="s">
        <v>2547</v>
      </c>
      <c r="G194" s="18">
        <v>3851552.65</v>
      </c>
      <c r="H194" s="37" t="e">
        <f t="shared" si="11"/>
        <v>#VALUE!</v>
      </c>
      <c r="I194" s="37" t="e">
        <f t="shared" si="13"/>
        <v>#VALUE!</v>
      </c>
      <c r="J194" s="37" t="e">
        <f t="shared" si="12"/>
        <v>#VALUE!</v>
      </c>
      <c r="K194" t="s">
        <v>1730</v>
      </c>
      <c r="L194" s="66"/>
      <c r="M194" t="s">
        <v>2547</v>
      </c>
      <c r="N194" s="66">
        <v>3851552.65</v>
      </c>
    </row>
    <row r="195" spans="1:14" x14ac:dyDescent="0.35">
      <c r="A195" s="88" t="s">
        <v>1085</v>
      </c>
      <c r="B195" s="2" t="s">
        <v>790</v>
      </c>
      <c r="C195" s="18" t="s">
        <v>573</v>
      </c>
      <c r="D195" s="2" t="s">
        <v>507</v>
      </c>
      <c r="E195" s="18" t="s">
        <v>848</v>
      </c>
      <c r="F195" s="19" t="s">
        <v>2547</v>
      </c>
      <c r="G195" s="18">
        <v>3972234.25</v>
      </c>
      <c r="H195" s="37" t="e">
        <f t="shared" si="11"/>
        <v>#VALUE!</v>
      </c>
      <c r="I195" s="37" t="e">
        <f t="shared" si="13"/>
        <v>#VALUE!</v>
      </c>
      <c r="J195" s="37" t="e">
        <f t="shared" si="12"/>
        <v>#VALUE!</v>
      </c>
      <c r="K195" t="s">
        <v>1730</v>
      </c>
      <c r="L195" s="66"/>
      <c r="M195" t="s">
        <v>2547</v>
      </c>
      <c r="N195" s="66">
        <v>3972234.25</v>
      </c>
    </row>
    <row r="196" spans="1:14" x14ac:dyDescent="0.35">
      <c r="A196" s="88" t="s">
        <v>1085</v>
      </c>
      <c r="B196" s="2" t="s">
        <v>790</v>
      </c>
      <c r="C196" s="18" t="s">
        <v>573</v>
      </c>
      <c r="D196" s="2" t="s">
        <v>507</v>
      </c>
      <c r="E196" s="18" t="s">
        <v>849</v>
      </c>
      <c r="F196" s="19" t="s">
        <v>2650</v>
      </c>
      <c r="G196" s="18">
        <v>3035935.44</v>
      </c>
      <c r="H196" s="37" t="e">
        <f t="shared" si="11"/>
        <v>#VALUE!</v>
      </c>
      <c r="I196" s="37" t="e">
        <f t="shared" si="13"/>
        <v>#VALUE!</v>
      </c>
      <c r="J196" s="37" t="e">
        <f t="shared" si="12"/>
        <v>#VALUE!</v>
      </c>
      <c r="K196" t="s">
        <v>1730</v>
      </c>
      <c r="L196" s="66"/>
      <c r="M196" t="s">
        <v>2650</v>
      </c>
      <c r="N196" s="66">
        <v>3035935.44</v>
      </c>
    </row>
    <row r="197" spans="1:14" x14ac:dyDescent="0.35">
      <c r="A197" s="88" t="s">
        <v>1085</v>
      </c>
      <c r="B197" s="2" t="s">
        <v>790</v>
      </c>
      <c r="C197" s="18" t="s">
        <v>1086</v>
      </c>
      <c r="D197" s="2" t="s">
        <v>507</v>
      </c>
      <c r="E197" s="18" t="s">
        <v>2679</v>
      </c>
      <c r="F197" s="19">
        <v>45601</v>
      </c>
      <c r="G197" s="18">
        <v>666430.34</v>
      </c>
      <c r="H197" s="37">
        <f t="shared" si="11"/>
        <v>88</v>
      </c>
      <c r="I197" s="37" t="str">
        <f t="shared" si="13"/>
        <v>0-120 DAYS</v>
      </c>
      <c r="J197" s="37" t="str">
        <f t="shared" si="12"/>
        <v>0-180 DAYS</v>
      </c>
      <c r="K197" t="s">
        <v>1730</v>
      </c>
      <c r="M197" t="s">
        <v>2861</v>
      </c>
      <c r="N197" s="66">
        <v>666430.34</v>
      </c>
    </row>
    <row r="198" spans="1:14" x14ac:dyDescent="0.35">
      <c r="A198" s="88" t="s">
        <v>1085</v>
      </c>
      <c r="B198" s="2" t="s">
        <v>790</v>
      </c>
      <c r="C198" s="18" t="s">
        <v>1086</v>
      </c>
      <c r="D198" s="2" t="s">
        <v>507</v>
      </c>
      <c r="E198" s="18" t="s">
        <v>2680</v>
      </c>
      <c r="F198" s="19">
        <v>45601</v>
      </c>
      <c r="G198" s="18">
        <v>1177377.3400000001</v>
      </c>
      <c r="H198" s="37">
        <f t="shared" si="11"/>
        <v>88</v>
      </c>
      <c r="I198" s="37" t="str">
        <f t="shared" si="13"/>
        <v>0-120 DAYS</v>
      </c>
      <c r="J198" s="37" t="str">
        <f t="shared" si="12"/>
        <v>0-180 DAYS</v>
      </c>
      <c r="K198" t="s">
        <v>1730</v>
      </c>
      <c r="M198" t="s">
        <v>2861</v>
      </c>
      <c r="N198" s="66">
        <v>1177377.3400000001</v>
      </c>
    </row>
    <row r="199" spans="1:14" x14ac:dyDescent="0.35">
      <c r="A199" s="88" t="s">
        <v>1085</v>
      </c>
      <c r="B199" s="2" t="s">
        <v>790</v>
      </c>
      <c r="C199" s="18" t="s">
        <v>548</v>
      </c>
      <c r="D199" s="2" t="s">
        <v>507</v>
      </c>
      <c r="E199" s="18" t="s">
        <v>2681</v>
      </c>
      <c r="F199" s="19">
        <v>45601</v>
      </c>
      <c r="G199" s="18">
        <v>3354594.88</v>
      </c>
      <c r="H199" s="37">
        <f t="shared" si="11"/>
        <v>88</v>
      </c>
      <c r="I199" s="37" t="str">
        <f t="shared" si="13"/>
        <v>0-120 DAYS</v>
      </c>
      <c r="J199" s="37" t="str">
        <f t="shared" si="12"/>
        <v>0-180 DAYS</v>
      </c>
      <c r="K199" t="s">
        <v>1730</v>
      </c>
      <c r="M199" t="s">
        <v>2861</v>
      </c>
      <c r="N199" s="66">
        <v>3354594.88</v>
      </c>
    </row>
    <row r="200" spans="1:14" x14ac:dyDescent="0.35">
      <c r="A200" s="88" t="s">
        <v>1085</v>
      </c>
      <c r="B200" s="2" t="s">
        <v>790</v>
      </c>
      <c r="C200" s="18" t="s">
        <v>548</v>
      </c>
      <c r="D200" s="2" t="s">
        <v>507</v>
      </c>
      <c r="E200" s="18" t="s">
        <v>2682</v>
      </c>
      <c r="F200" s="19">
        <v>45601</v>
      </c>
      <c r="G200" s="18">
        <v>3335670.21</v>
      </c>
      <c r="H200" s="37">
        <f t="shared" si="11"/>
        <v>88</v>
      </c>
      <c r="I200" s="37" t="str">
        <f t="shared" si="13"/>
        <v>0-120 DAYS</v>
      </c>
      <c r="J200" s="37" t="str">
        <f t="shared" si="12"/>
        <v>0-180 DAYS</v>
      </c>
      <c r="K200" t="s">
        <v>1730</v>
      </c>
      <c r="M200" t="s">
        <v>2861</v>
      </c>
      <c r="N200" s="66">
        <v>3335670.21</v>
      </c>
    </row>
    <row r="201" spans="1:14" x14ac:dyDescent="0.35">
      <c r="A201" s="88" t="s">
        <v>1085</v>
      </c>
      <c r="B201" s="2" t="s">
        <v>790</v>
      </c>
      <c r="C201" s="18" t="s">
        <v>548</v>
      </c>
      <c r="D201" s="2" t="s">
        <v>507</v>
      </c>
      <c r="E201" s="18" t="s">
        <v>2683</v>
      </c>
      <c r="F201" s="19">
        <v>45601</v>
      </c>
      <c r="G201" s="18">
        <v>134650.88</v>
      </c>
      <c r="H201" s="37">
        <f t="shared" si="11"/>
        <v>88</v>
      </c>
      <c r="I201" s="37" t="str">
        <f t="shared" si="13"/>
        <v>0-120 DAYS</v>
      </c>
      <c r="J201" s="37" t="str">
        <f t="shared" si="12"/>
        <v>0-180 DAYS</v>
      </c>
      <c r="K201" t="s">
        <v>1730</v>
      </c>
      <c r="M201" t="s">
        <v>2861</v>
      </c>
      <c r="N201" s="66">
        <v>134650.88</v>
      </c>
    </row>
    <row r="202" spans="1:14" s="157" customFormat="1" x14ac:dyDescent="0.35">
      <c r="A202" s="152" t="s">
        <v>1085</v>
      </c>
      <c r="B202" s="153" t="s">
        <v>790</v>
      </c>
      <c r="C202" s="154" t="s">
        <v>1052</v>
      </c>
      <c r="D202" s="153" t="s">
        <v>507</v>
      </c>
      <c r="E202" s="154" t="s">
        <v>2685</v>
      </c>
      <c r="F202" s="155">
        <v>45604</v>
      </c>
      <c r="G202" s="154">
        <f>2940051.99</f>
        <v>2940051.99</v>
      </c>
      <c r="H202" s="156">
        <f t="shared" si="11"/>
        <v>85</v>
      </c>
      <c r="I202" s="156" t="str">
        <f t="shared" si="13"/>
        <v>0-120 DAYS</v>
      </c>
      <c r="J202" s="156" t="str">
        <f t="shared" si="12"/>
        <v>0-180 DAYS</v>
      </c>
      <c r="K202" t="s">
        <v>1730</v>
      </c>
      <c r="M202" t="s">
        <v>2863</v>
      </c>
      <c r="N202" s="66">
        <v>2940051.99</v>
      </c>
    </row>
    <row r="203" spans="1:14" x14ac:dyDescent="0.35">
      <c r="A203" s="88" t="s">
        <v>1085</v>
      </c>
      <c r="B203" s="2" t="s">
        <v>790</v>
      </c>
      <c r="C203" s="18" t="s">
        <v>573</v>
      </c>
      <c r="D203" s="2" t="s">
        <v>507</v>
      </c>
      <c r="E203" s="18" t="s">
        <v>550</v>
      </c>
      <c r="F203" s="19">
        <v>45604</v>
      </c>
      <c r="G203" s="18">
        <v>3606144.05</v>
      </c>
      <c r="H203" s="37">
        <f t="shared" si="11"/>
        <v>85</v>
      </c>
      <c r="I203" s="37" t="str">
        <f t="shared" si="13"/>
        <v>0-120 DAYS</v>
      </c>
      <c r="J203" s="37" t="str">
        <f t="shared" si="12"/>
        <v>0-180 DAYS</v>
      </c>
      <c r="K203" t="s">
        <v>1730</v>
      </c>
      <c r="M203" t="s">
        <v>2863</v>
      </c>
      <c r="N203" s="66">
        <v>3606144.05</v>
      </c>
    </row>
    <row r="204" spans="1:14" x14ac:dyDescent="0.35">
      <c r="A204" s="88" t="s">
        <v>1085</v>
      </c>
      <c r="B204" s="2" t="s">
        <v>790</v>
      </c>
      <c r="C204" s="18" t="s">
        <v>647</v>
      </c>
      <c r="D204" s="2" t="s">
        <v>507</v>
      </c>
      <c r="E204" s="18" t="s">
        <v>599</v>
      </c>
      <c r="F204" s="19">
        <v>45605</v>
      </c>
      <c r="G204" s="18">
        <v>3690159</v>
      </c>
      <c r="H204" s="37">
        <f t="shared" ref="H204:H267" si="14">$H$9-F204+1</f>
        <v>84</v>
      </c>
      <c r="I204" s="37" t="str">
        <f t="shared" si="13"/>
        <v>0-120 DAYS</v>
      </c>
      <c r="J204" s="37" t="str">
        <f t="shared" si="12"/>
        <v>0-180 DAYS</v>
      </c>
      <c r="K204" t="s">
        <v>1730</v>
      </c>
      <c r="M204" t="s">
        <v>2864</v>
      </c>
      <c r="N204" s="66">
        <v>3690159</v>
      </c>
    </row>
    <row r="205" spans="1:14" x14ac:dyDescent="0.35">
      <c r="A205" s="88" t="s">
        <v>1085</v>
      </c>
      <c r="B205" s="2" t="s">
        <v>790</v>
      </c>
      <c r="C205" s="18" t="s">
        <v>647</v>
      </c>
      <c r="D205" s="2" t="s">
        <v>507</v>
      </c>
      <c r="E205" s="18" t="s">
        <v>594</v>
      </c>
      <c r="F205" s="19">
        <v>45605</v>
      </c>
      <c r="G205" s="18">
        <v>3799311.61</v>
      </c>
      <c r="H205" s="37">
        <f t="shared" si="14"/>
        <v>84</v>
      </c>
      <c r="I205" s="37" t="str">
        <f t="shared" si="13"/>
        <v>0-120 DAYS</v>
      </c>
      <c r="J205" s="37" t="str">
        <f t="shared" ref="J205:J268" si="15">IF(H205&lt;180,"0-180 DAYS","More than 180 Days")</f>
        <v>0-180 DAYS</v>
      </c>
      <c r="K205" t="s">
        <v>1730</v>
      </c>
      <c r="M205" t="s">
        <v>2864</v>
      </c>
      <c r="N205" s="66">
        <v>3799311.61</v>
      </c>
    </row>
    <row r="206" spans="1:14" x14ac:dyDescent="0.35">
      <c r="A206" s="88" t="s">
        <v>1085</v>
      </c>
      <c r="B206" s="2" t="s">
        <v>790</v>
      </c>
      <c r="C206" s="18" t="s">
        <v>647</v>
      </c>
      <c r="D206" s="2" t="s">
        <v>507</v>
      </c>
      <c r="E206" s="18" t="s">
        <v>597</v>
      </c>
      <c r="F206" s="19">
        <v>45605</v>
      </c>
      <c r="G206" s="18">
        <v>3690159.01</v>
      </c>
      <c r="H206" s="37">
        <f t="shared" si="14"/>
        <v>84</v>
      </c>
      <c r="I206" s="37" t="str">
        <f t="shared" si="13"/>
        <v>0-120 DAYS</v>
      </c>
      <c r="J206" s="37" t="str">
        <f t="shared" si="15"/>
        <v>0-180 DAYS</v>
      </c>
      <c r="K206" t="s">
        <v>1730</v>
      </c>
      <c r="M206" t="s">
        <v>2864</v>
      </c>
      <c r="N206" s="66">
        <v>3690159.01</v>
      </c>
    </row>
    <row r="207" spans="1:14" x14ac:dyDescent="0.35">
      <c r="A207" s="88" t="s">
        <v>1085</v>
      </c>
      <c r="B207" s="2" t="s">
        <v>790</v>
      </c>
      <c r="C207" s="18" t="s">
        <v>573</v>
      </c>
      <c r="D207" s="2" t="s">
        <v>507</v>
      </c>
      <c r="E207" s="18" t="s">
        <v>574</v>
      </c>
      <c r="F207" s="19">
        <v>45605</v>
      </c>
      <c r="G207" s="18">
        <v>4197384.79</v>
      </c>
      <c r="H207" s="37">
        <f t="shared" si="14"/>
        <v>84</v>
      </c>
      <c r="I207" s="37" t="str">
        <f t="shared" si="13"/>
        <v>0-120 DAYS</v>
      </c>
      <c r="J207" s="37" t="str">
        <f t="shared" si="15"/>
        <v>0-180 DAYS</v>
      </c>
      <c r="K207" t="s">
        <v>1730</v>
      </c>
      <c r="M207" t="s">
        <v>2864</v>
      </c>
      <c r="N207" s="66">
        <v>4197384.79</v>
      </c>
    </row>
    <row r="208" spans="1:14" x14ac:dyDescent="0.35">
      <c r="A208" s="88" t="s">
        <v>1085</v>
      </c>
      <c r="B208" s="2" t="s">
        <v>790</v>
      </c>
      <c r="C208" s="18" t="s">
        <v>573</v>
      </c>
      <c r="D208" s="2" t="s">
        <v>507</v>
      </c>
      <c r="E208" s="18" t="s">
        <v>589</v>
      </c>
      <c r="F208" s="19">
        <v>45605</v>
      </c>
      <c r="G208" s="18">
        <v>3455276.46</v>
      </c>
      <c r="H208" s="37">
        <f t="shared" si="14"/>
        <v>84</v>
      </c>
      <c r="I208" s="37" t="str">
        <f t="shared" si="13"/>
        <v>0-120 DAYS</v>
      </c>
      <c r="J208" s="37" t="str">
        <f t="shared" si="15"/>
        <v>0-180 DAYS</v>
      </c>
      <c r="K208" t="s">
        <v>1730</v>
      </c>
      <c r="M208" t="s">
        <v>2864</v>
      </c>
      <c r="N208" s="66">
        <v>3455276.46</v>
      </c>
    </row>
    <row r="209" spans="1:14" x14ac:dyDescent="0.35">
      <c r="A209" s="88" t="s">
        <v>1085</v>
      </c>
      <c r="B209" s="2" t="s">
        <v>790</v>
      </c>
      <c r="C209" s="18" t="s">
        <v>1086</v>
      </c>
      <c r="D209" s="2" t="s">
        <v>507</v>
      </c>
      <c r="E209" s="18" t="s">
        <v>2686</v>
      </c>
      <c r="F209" s="19">
        <v>45609</v>
      </c>
      <c r="G209" s="18">
        <v>1231955.6599999999</v>
      </c>
      <c r="H209" s="37">
        <f t="shared" si="14"/>
        <v>80</v>
      </c>
      <c r="I209" s="37" t="str">
        <f t="shared" si="13"/>
        <v>0-120 DAYS</v>
      </c>
      <c r="J209" s="37" t="str">
        <f t="shared" si="15"/>
        <v>0-180 DAYS</v>
      </c>
      <c r="K209" t="s">
        <v>1730</v>
      </c>
      <c r="M209" t="s">
        <v>2865</v>
      </c>
      <c r="N209" s="66">
        <v>1231955.6599999999</v>
      </c>
    </row>
    <row r="210" spans="1:14" x14ac:dyDescent="0.35">
      <c r="A210" s="88" t="s">
        <v>1085</v>
      </c>
      <c r="B210" s="2" t="s">
        <v>790</v>
      </c>
      <c r="C210" s="18" t="s">
        <v>1086</v>
      </c>
      <c r="D210" s="2" t="s">
        <v>507</v>
      </c>
      <c r="E210" s="18" t="s">
        <v>2687</v>
      </c>
      <c r="F210" s="19">
        <v>45609</v>
      </c>
      <c r="G210" s="18">
        <v>1297437.21</v>
      </c>
      <c r="H210" s="37">
        <f t="shared" si="14"/>
        <v>80</v>
      </c>
      <c r="I210" s="37" t="str">
        <f t="shared" si="13"/>
        <v>0-120 DAYS</v>
      </c>
      <c r="J210" s="37" t="str">
        <f t="shared" si="15"/>
        <v>0-180 DAYS</v>
      </c>
      <c r="K210" t="s">
        <v>1730</v>
      </c>
      <c r="M210" t="s">
        <v>2865</v>
      </c>
      <c r="N210" s="66">
        <v>1297437.21</v>
      </c>
    </row>
    <row r="211" spans="1:14" x14ac:dyDescent="0.35">
      <c r="A211" s="88" t="s">
        <v>1085</v>
      </c>
      <c r="B211" s="2" t="s">
        <v>790</v>
      </c>
      <c r="C211" s="18" t="s">
        <v>1086</v>
      </c>
      <c r="D211" s="2" t="s">
        <v>507</v>
      </c>
      <c r="E211" s="18" t="s">
        <v>2690</v>
      </c>
      <c r="F211" s="19">
        <v>45611</v>
      </c>
      <c r="G211" s="18">
        <v>1191413.7</v>
      </c>
      <c r="H211" s="37">
        <f t="shared" si="14"/>
        <v>78</v>
      </c>
      <c r="I211" s="37" t="str">
        <f t="shared" si="13"/>
        <v>0-120 DAYS</v>
      </c>
      <c r="J211" s="37" t="str">
        <f t="shared" si="15"/>
        <v>0-180 DAYS</v>
      </c>
      <c r="K211" t="s">
        <v>1730</v>
      </c>
      <c r="M211" t="s">
        <v>2867</v>
      </c>
      <c r="N211" s="66">
        <v>1191413.7</v>
      </c>
    </row>
    <row r="212" spans="1:14" x14ac:dyDescent="0.35">
      <c r="A212" s="88" t="s">
        <v>1085</v>
      </c>
      <c r="B212" s="2" t="s">
        <v>790</v>
      </c>
      <c r="C212" s="18" t="s">
        <v>1086</v>
      </c>
      <c r="D212" s="2" t="s">
        <v>507</v>
      </c>
      <c r="E212" s="18" t="s">
        <v>2691</v>
      </c>
      <c r="F212" s="19">
        <v>45611</v>
      </c>
      <c r="G212" s="18">
        <v>262817.5</v>
      </c>
      <c r="H212" s="37">
        <f t="shared" si="14"/>
        <v>78</v>
      </c>
      <c r="I212" s="37" t="str">
        <f t="shared" si="13"/>
        <v>0-120 DAYS</v>
      </c>
      <c r="J212" s="37" t="str">
        <f t="shared" si="15"/>
        <v>0-180 DAYS</v>
      </c>
      <c r="K212" t="s">
        <v>1730</v>
      </c>
      <c r="M212" t="s">
        <v>2867</v>
      </c>
      <c r="N212" s="66">
        <v>262817.5</v>
      </c>
    </row>
    <row r="213" spans="1:14" x14ac:dyDescent="0.35">
      <c r="A213" s="88" t="s">
        <v>1085</v>
      </c>
      <c r="B213" s="2" t="s">
        <v>790</v>
      </c>
      <c r="C213" s="18" t="s">
        <v>1086</v>
      </c>
      <c r="D213" s="2" t="s">
        <v>507</v>
      </c>
      <c r="E213" s="18" t="s">
        <v>2692</v>
      </c>
      <c r="F213" s="19">
        <v>45611</v>
      </c>
      <c r="G213" s="18">
        <v>454616.8</v>
      </c>
      <c r="H213" s="37">
        <f t="shared" si="14"/>
        <v>78</v>
      </c>
      <c r="I213" s="37" t="str">
        <f t="shared" si="13"/>
        <v>0-120 DAYS</v>
      </c>
      <c r="J213" s="37" t="str">
        <f t="shared" si="15"/>
        <v>0-180 DAYS</v>
      </c>
      <c r="K213" t="s">
        <v>1730</v>
      </c>
      <c r="M213" t="s">
        <v>2867</v>
      </c>
      <c r="N213" s="66">
        <v>454616.8</v>
      </c>
    </row>
    <row r="214" spans="1:14" x14ac:dyDescent="0.35">
      <c r="A214" s="88" t="s">
        <v>1085</v>
      </c>
      <c r="B214" s="2" t="s">
        <v>790</v>
      </c>
      <c r="C214" s="18" t="s">
        <v>1086</v>
      </c>
      <c r="D214" s="2" t="s">
        <v>507</v>
      </c>
      <c r="E214" s="18" t="s">
        <v>2693</v>
      </c>
      <c r="F214" s="19">
        <v>45611</v>
      </c>
      <c r="G214" s="18">
        <v>306465.06</v>
      </c>
      <c r="H214" s="37">
        <f t="shared" si="14"/>
        <v>78</v>
      </c>
      <c r="I214" s="37" t="str">
        <f t="shared" si="13"/>
        <v>0-120 DAYS</v>
      </c>
      <c r="J214" s="37" t="str">
        <f t="shared" si="15"/>
        <v>0-180 DAYS</v>
      </c>
      <c r="K214" t="s">
        <v>1730</v>
      </c>
      <c r="M214" t="s">
        <v>2867</v>
      </c>
      <c r="N214" s="66">
        <v>306465.06</v>
      </c>
    </row>
    <row r="215" spans="1:14" x14ac:dyDescent="0.35">
      <c r="A215" s="88" t="s">
        <v>1085</v>
      </c>
      <c r="B215" s="2" t="s">
        <v>790</v>
      </c>
      <c r="C215" s="18" t="s">
        <v>1086</v>
      </c>
      <c r="D215" s="2" t="s">
        <v>507</v>
      </c>
      <c r="E215" s="18" t="s">
        <v>2694</v>
      </c>
      <c r="F215" s="19">
        <v>45611</v>
      </c>
      <c r="G215" s="18">
        <v>37096.660000000003</v>
      </c>
      <c r="H215" s="37">
        <f t="shared" si="14"/>
        <v>78</v>
      </c>
      <c r="I215" s="37" t="str">
        <f t="shared" si="13"/>
        <v>0-120 DAYS</v>
      </c>
      <c r="J215" s="37" t="str">
        <f t="shared" si="15"/>
        <v>0-180 DAYS</v>
      </c>
      <c r="K215" t="s">
        <v>1730</v>
      </c>
      <c r="M215" t="s">
        <v>2867</v>
      </c>
      <c r="N215" s="66">
        <v>37096.660000000003</v>
      </c>
    </row>
    <row r="216" spans="1:14" x14ac:dyDescent="0.35">
      <c r="A216" s="88" t="s">
        <v>1085</v>
      </c>
      <c r="B216" s="2" t="s">
        <v>790</v>
      </c>
      <c r="C216" s="18" t="s">
        <v>1052</v>
      </c>
      <c r="D216" s="2" t="s">
        <v>507</v>
      </c>
      <c r="E216" s="18" t="s">
        <v>2695</v>
      </c>
      <c r="F216" s="19">
        <v>45612</v>
      </c>
      <c r="G216" s="18">
        <v>2692405.72</v>
      </c>
      <c r="H216" s="37">
        <f t="shared" si="14"/>
        <v>77</v>
      </c>
      <c r="I216" s="37" t="str">
        <f t="shared" si="13"/>
        <v>0-120 DAYS</v>
      </c>
      <c r="J216" s="37" t="str">
        <f t="shared" si="15"/>
        <v>0-180 DAYS</v>
      </c>
      <c r="K216" t="s">
        <v>1730</v>
      </c>
      <c r="M216" t="s">
        <v>2868</v>
      </c>
      <c r="N216" s="66">
        <v>2692405.72</v>
      </c>
    </row>
    <row r="217" spans="1:14" x14ac:dyDescent="0.35">
      <c r="A217" s="88" t="s">
        <v>1085</v>
      </c>
      <c r="B217" s="2" t="s">
        <v>790</v>
      </c>
      <c r="C217" s="18" t="s">
        <v>617</v>
      </c>
      <c r="D217" s="2" t="s">
        <v>507</v>
      </c>
      <c r="E217" s="18" t="s">
        <v>2696</v>
      </c>
      <c r="F217" s="19">
        <v>45612</v>
      </c>
      <c r="G217" s="18">
        <v>4175881.87</v>
      </c>
      <c r="H217" s="37">
        <f t="shared" si="14"/>
        <v>77</v>
      </c>
      <c r="I217" s="37" t="str">
        <f t="shared" si="13"/>
        <v>0-120 DAYS</v>
      </c>
      <c r="J217" s="37" t="str">
        <f t="shared" si="15"/>
        <v>0-180 DAYS</v>
      </c>
      <c r="K217" t="s">
        <v>1730</v>
      </c>
      <c r="M217" t="s">
        <v>2868</v>
      </c>
      <c r="N217" s="66">
        <v>4175881.87</v>
      </c>
    </row>
    <row r="218" spans="1:14" x14ac:dyDescent="0.35">
      <c r="A218" s="88" t="s">
        <v>1085</v>
      </c>
      <c r="B218" s="2" t="s">
        <v>790</v>
      </c>
      <c r="C218" s="18" t="s">
        <v>617</v>
      </c>
      <c r="D218" s="2" t="s">
        <v>507</v>
      </c>
      <c r="E218" s="18" t="s">
        <v>2697</v>
      </c>
      <c r="F218" s="19">
        <v>45612</v>
      </c>
      <c r="G218" s="18">
        <v>195547.92</v>
      </c>
      <c r="H218" s="37">
        <f t="shared" si="14"/>
        <v>77</v>
      </c>
      <c r="I218" s="37" t="str">
        <f t="shared" si="13"/>
        <v>0-120 DAYS</v>
      </c>
      <c r="J218" s="37" t="str">
        <f t="shared" si="15"/>
        <v>0-180 DAYS</v>
      </c>
      <c r="K218" t="s">
        <v>1730</v>
      </c>
      <c r="M218" t="s">
        <v>2868</v>
      </c>
      <c r="N218" s="66">
        <v>195547.92</v>
      </c>
    </row>
    <row r="219" spans="1:14" x14ac:dyDescent="0.35">
      <c r="A219" s="88" t="s">
        <v>1085</v>
      </c>
      <c r="B219" s="2" t="s">
        <v>790</v>
      </c>
      <c r="C219" s="18" t="s">
        <v>573</v>
      </c>
      <c r="D219" s="2" t="s">
        <v>507</v>
      </c>
      <c r="E219" s="18" t="s">
        <v>2698</v>
      </c>
      <c r="F219" s="19">
        <v>45613</v>
      </c>
      <c r="G219" s="18">
        <v>1652074.78</v>
      </c>
      <c r="H219" s="37">
        <f t="shared" si="14"/>
        <v>76</v>
      </c>
      <c r="I219" s="37" t="str">
        <f t="shared" si="13"/>
        <v>0-120 DAYS</v>
      </c>
      <c r="J219" s="37" t="str">
        <f t="shared" si="15"/>
        <v>0-180 DAYS</v>
      </c>
      <c r="K219" t="s">
        <v>1730</v>
      </c>
      <c r="M219" t="s">
        <v>2869</v>
      </c>
      <c r="N219" s="66">
        <v>1652074.78</v>
      </c>
    </row>
    <row r="220" spans="1:14" x14ac:dyDescent="0.35">
      <c r="A220" s="88" t="s">
        <v>1085</v>
      </c>
      <c r="B220" s="2" t="s">
        <v>790</v>
      </c>
      <c r="C220" s="18" t="s">
        <v>1086</v>
      </c>
      <c r="D220" s="2" t="s">
        <v>507</v>
      </c>
      <c r="E220" s="18" t="s">
        <v>2699</v>
      </c>
      <c r="F220" s="19">
        <v>45614</v>
      </c>
      <c r="G220" s="18">
        <v>2412696</v>
      </c>
      <c r="H220" s="37">
        <f t="shared" si="14"/>
        <v>75</v>
      </c>
      <c r="I220" s="37" t="str">
        <f t="shared" si="13"/>
        <v>0-120 DAYS</v>
      </c>
      <c r="J220" s="37" t="str">
        <f t="shared" si="15"/>
        <v>0-180 DAYS</v>
      </c>
      <c r="K220" t="s">
        <v>1730</v>
      </c>
      <c r="M220" t="s">
        <v>2870</v>
      </c>
      <c r="N220" s="66">
        <v>2412696</v>
      </c>
    </row>
    <row r="221" spans="1:14" x14ac:dyDescent="0.35">
      <c r="A221" s="88" t="s">
        <v>1085</v>
      </c>
      <c r="B221" s="2" t="s">
        <v>790</v>
      </c>
      <c r="C221" s="18" t="s">
        <v>600</v>
      </c>
      <c r="D221" s="2" t="s">
        <v>507</v>
      </c>
      <c r="E221" s="18" t="s">
        <v>2700</v>
      </c>
      <c r="F221" s="19">
        <v>45614</v>
      </c>
      <c r="G221" s="18">
        <v>3657282.64</v>
      </c>
      <c r="H221" s="37">
        <f t="shared" si="14"/>
        <v>75</v>
      </c>
      <c r="I221" s="37" t="str">
        <f t="shared" si="13"/>
        <v>0-120 DAYS</v>
      </c>
      <c r="J221" s="37" t="str">
        <f t="shared" si="15"/>
        <v>0-180 DAYS</v>
      </c>
      <c r="K221" t="s">
        <v>1730</v>
      </c>
      <c r="M221" t="s">
        <v>2870</v>
      </c>
      <c r="N221" s="66">
        <v>3657282.64</v>
      </c>
    </row>
    <row r="222" spans="1:14" x14ac:dyDescent="0.35">
      <c r="A222" s="88" t="s">
        <v>1085</v>
      </c>
      <c r="B222" s="2" t="s">
        <v>790</v>
      </c>
      <c r="C222" s="18" t="s">
        <v>548</v>
      </c>
      <c r="D222" s="2" t="s">
        <v>507</v>
      </c>
      <c r="E222" s="18" t="s">
        <v>2701</v>
      </c>
      <c r="F222" s="19">
        <v>45614</v>
      </c>
      <c r="G222" s="18">
        <v>3039871.56</v>
      </c>
      <c r="H222" s="37">
        <f t="shared" si="14"/>
        <v>75</v>
      </c>
      <c r="I222" s="37" t="str">
        <f t="shared" si="13"/>
        <v>0-120 DAYS</v>
      </c>
      <c r="J222" s="37" t="str">
        <f t="shared" si="15"/>
        <v>0-180 DAYS</v>
      </c>
      <c r="K222" t="s">
        <v>1730</v>
      </c>
      <c r="M222" t="s">
        <v>2870</v>
      </c>
      <c r="N222" s="66">
        <v>3039871.56</v>
      </c>
    </row>
    <row r="223" spans="1:14" x14ac:dyDescent="0.35">
      <c r="A223" s="88" t="s">
        <v>1085</v>
      </c>
      <c r="B223" s="2" t="s">
        <v>790</v>
      </c>
      <c r="C223" s="18" t="s">
        <v>548</v>
      </c>
      <c r="D223" s="2" t="s">
        <v>507</v>
      </c>
      <c r="E223" s="18" t="s">
        <v>2702</v>
      </c>
      <c r="F223" s="19">
        <v>45614</v>
      </c>
      <c r="G223" s="18">
        <v>334400</v>
      </c>
      <c r="H223" s="37">
        <f t="shared" si="14"/>
        <v>75</v>
      </c>
      <c r="I223" s="37" t="str">
        <f t="shared" si="13"/>
        <v>0-120 DAYS</v>
      </c>
      <c r="J223" s="37" t="str">
        <f t="shared" si="15"/>
        <v>0-180 DAYS</v>
      </c>
      <c r="K223" t="s">
        <v>1730</v>
      </c>
      <c r="M223" t="s">
        <v>2870</v>
      </c>
      <c r="N223" s="66">
        <v>334400</v>
      </c>
    </row>
    <row r="224" spans="1:14" x14ac:dyDescent="0.35">
      <c r="A224" s="88" t="s">
        <v>1085</v>
      </c>
      <c r="B224" s="2" t="s">
        <v>790</v>
      </c>
      <c r="C224" s="18" t="s">
        <v>1329</v>
      </c>
      <c r="D224" s="2" t="s">
        <v>507</v>
      </c>
      <c r="E224" s="18" t="s">
        <v>2703</v>
      </c>
      <c r="F224" s="19">
        <v>45617</v>
      </c>
      <c r="G224" s="18">
        <v>3206629.72</v>
      </c>
      <c r="H224" s="37">
        <f t="shared" si="14"/>
        <v>72</v>
      </c>
      <c r="I224" s="37" t="str">
        <f t="shared" si="13"/>
        <v>0-120 DAYS</v>
      </c>
      <c r="J224" s="37" t="str">
        <f t="shared" si="15"/>
        <v>0-180 DAYS</v>
      </c>
      <c r="K224" t="s">
        <v>1730</v>
      </c>
      <c r="M224" t="s">
        <v>2871</v>
      </c>
      <c r="N224" s="66">
        <v>3206629.72</v>
      </c>
    </row>
    <row r="225" spans="1:14" x14ac:dyDescent="0.35">
      <c r="A225" s="88" t="s">
        <v>1085</v>
      </c>
      <c r="B225" s="2" t="s">
        <v>790</v>
      </c>
      <c r="C225" s="18" t="s">
        <v>573</v>
      </c>
      <c r="D225" s="2" t="s">
        <v>507</v>
      </c>
      <c r="E225" s="18" t="s">
        <v>2704</v>
      </c>
      <c r="F225" s="19">
        <v>45617</v>
      </c>
      <c r="G225" s="18">
        <v>579055.4</v>
      </c>
      <c r="H225" s="37">
        <f t="shared" si="14"/>
        <v>72</v>
      </c>
      <c r="I225" s="37" t="str">
        <f t="shared" si="13"/>
        <v>0-120 DAYS</v>
      </c>
      <c r="J225" s="37" t="str">
        <f t="shared" si="15"/>
        <v>0-180 DAYS</v>
      </c>
      <c r="K225" t="s">
        <v>1730</v>
      </c>
      <c r="M225" t="s">
        <v>2871</v>
      </c>
      <c r="N225" s="66">
        <v>579055.4</v>
      </c>
    </row>
    <row r="226" spans="1:14" x14ac:dyDescent="0.35">
      <c r="A226" s="88" t="s">
        <v>1085</v>
      </c>
      <c r="B226" s="2" t="s">
        <v>790</v>
      </c>
      <c r="C226" s="18" t="s">
        <v>1052</v>
      </c>
      <c r="D226" s="2" t="s">
        <v>507</v>
      </c>
      <c r="E226" s="18" t="s">
        <v>2705</v>
      </c>
      <c r="F226" s="19">
        <v>45619</v>
      </c>
      <c r="G226" s="18">
        <v>2980657.68</v>
      </c>
      <c r="H226" s="37">
        <f t="shared" si="14"/>
        <v>70</v>
      </c>
      <c r="I226" s="37" t="str">
        <f t="shared" si="13"/>
        <v>0-120 DAYS</v>
      </c>
      <c r="J226" s="37" t="str">
        <f t="shared" si="15"/>
        <v>0-180 DAYS</v>
      </c>
      <c r="K226" t="s">
        <v>1730</v>
      </c>
      <c r="M226" t="s">
        <v>2872</v>
      </c>
      <c r="N226" s="66">
        <v>2980657.68</v>
      </c>
    </row>
    <row r="227" spans="1:14" x14ac:dyDescent="0.35">
      <c r="A227" s="88" t="s">
        <v>1085</v>
      </c>
      <c r="B227" s="2" t="s">
        <v>790</v>
      </c>
      <c r="C227" s="18" t="s">
        <v>548</v>
      </c>
      <c r="D227" s="2" t="s">
        <v>507</v>
      </c>
      <c r="E227" s="18" t="s">
        <v>2706</v>
      </c>
      <c r="F227" s="19">
        <v>45619</v>
      </c>
      <c r="G227" s="18">
        <v>3253373.42</v>
      </c>
      <c r="H227" s="37">
        <f t="shared" si="14"/>
        <v>70</v>
      </c>
      <c r="I227" s="37" t="str">
        <f t="shared" si="13"/>
        <v>0-120 DAYS</v>
      </c>
      <c r="J227" s="37" t="str">
        <f t="shared" si="15"/>
        <v>0-180 DAYS</v>
      </c>
      <c r="K227" t="s">
        <v>1730</v>
      </c>
      <c r="M227" t="s">
        <v>2872</v>
      </c>
      <c r="N227" s="66">
        <v>3253373.42</v>
      </c>
    </row>
    <row r="228" spans="1:14" s="157" customFormat="1" x14ac:dyDescent="0.35">
      <c r="A228" s="152" t="s">
        <v>1085</v>
      </c>
      <c r="B228" s="153" t="s">
        <v>790</v>
      </c>
      <c r="C228" s="154" t="s">
        <v>1243</v>
      </c>
      <c r="D228" s="153" t="s">
        <v>507</v>
      </c>
      <c r="E228" s="154" t="s">
        <v>2707</v>
      </c>
      <c r="F228" s="155">
        <v>45620</v>
      </c>
      <c r="G228" s="154">
        <f>3357598.15-969248</f>
        <v>2388350.15</v>
      </c>
      <c r="H228" s="156">
        <f t="shared" si="14"/>
        <v>69</v>
      </c>
      <c r="I228" s="156" t="str">
        <f t="shared" si="13"/>
        <v>0-120 DAYS</v>
      </c>
      <c r="J228" s="156" t="str">
        <f t="shared" si="15"/>
        <v>0-180 DAYS</v>
      </c>
      <c r="K228" t="s">
        <v>1730</v>
      </c>
      <c r="M228" t="s">
        <v>2873</v>
      </c>
      <c r="N228" s="66">
        <v>2388350.15</v>
      </c>
    </row>
    <row r="229" spans="1:14" x14ac:dyDescent="0.35">
      <c r="A229" s="88" t="s">
        <v>1085</v>
      </c>
      <c r="B229" s="2" t="s">
        <v>790</v>
      </c>
      <c r="C229" s="18" t="s">
        <v>1243</v>
      </c>
      <c r="D229" s="2" t="s">
        <v>507</v>
      </c>
      <c r="E229" s="18" t="s">
        <v>2708</v>
      </c>
      <c r="F229" s="19">
        <v>45620</v>
      </c>
      <c r="G229" s="18">
        <v>636062.31999999995</v>
      </c>
      <c r="H229" s="37">
        <f t="shared" si="14"/>
        <v>69</v>
      </c>
      <c r="I229" s="37" t="str">
        <f t="shared" si="13"/>
        <v>0-120 DAYS</v>
      </c>
      <c r="J229" s="37" t="str">
        <f t="shared" si="15"/>
        <v>0-180 DAYS</v>
      </c>
      <c r="K229" t="s">
        <v>1730</v>
      </c>
      <c r="M229" t="s">
        <v>2873</v>
      </c>
      <c r="N229" s="66">
        <v>636062.31999999995</v>
      </c>
    </row>
    <row r="230" spans="1:14" x14ac:dyDescent="0.35">
      <c r="A230" s="88" t="s">
        <v>1085</v>
      </c>
      <c r="B230" s="2" t="s">
        <v>790</v>
      </c>
      <c r="C230" s="18" t="s">
        <v>600</v>
      </c>
      <c r="D230" s="2" t="s">
        <v>507</v>
      </c>
      <c r="E230" s="18" t="s">
        <v>2710</v>
      </c>
      <c r="F230" s="19">
        <v>45622</v>
      </c>
      <c r="G230" s="18">
        <v>3822463.7</v>
      </c>
      <c r="H230" s="37">
        <f t="shared" si="14"/>
        <v>67</v>
      </c>
      <c r="I230" s="37" t="str">
        <f t="shared" si="13"/>
        <v>0-120 DAYS</v>
      </c>
      <c r="J230" s="37" t="str">
        <f t="shared" si="15"/>
        <v>0-180 DAYS</v>
      </c>
      <c r="K230" t="s">
        <v>1730</v>
      </c>
      <c r="M230" t="s">
        <v>2875</v>
      </c>
      <c r="N230" s="66">
        <v>3822463.7</v>
      </c>
    </row>
    <row r="231" spans="1:14" x14ac:dyDescent="0.35">
      <c r="A231" s="88" t="s">
        <v>1085</v>
      </c>
      <c r="B231" s="2" t="s">
        <v>790</v>
      </c>
      <c r="C231" s="18" t="s">
        <v>2675</v>
      </c>
      <c r="D231" s="2" t="s">
        <v>507</v>
      </c>
      <c r="E231" s="18" t="s">
        <v>2711</v>
      </c>
      <c r="F231" s="19">
        <v>45623</v>
      </c>
      <c r="G231" s="18">
        <f>3244348.8-648870</f>
        <v>2595478.7999999998</v>
      </c>
      <c r="H231" s="37">
        <f t="shared" si="14"/>
        <v>66</v>
      </c>
      <c r="I231" s="37" t="str">
        <f t="shared" si="13"/>
        <v>0-120 DAYS</v>
      </c>
      <c r="J231" s="37" t="str">
        <f t="shared" si="15"/>
        <v>0-180 DAYS</v>
      </c>
      <c r="K231" t="s">
        <v>1730</v>
      </c>
      <c r="M231" t="s">
        <v>2876</v>
      </c>
      <c r="N231" s="66">
        <v>2595478.7999999998</v>
      </c>
    </row>
    <row r="232" spans="1:14" x14ac:dyDescent="0.35">
      <c r="A232" s="88" t="s">
        <v>1085</v>
      </c>
      <c r="B232" s="2" t="s">
        <v>790</v>
      </c>
      <c r="C232" s="18" t="s">
        <v>1052</v>
      </c>
      <c r="D232" s="2" t="s">
        <v>507</v>
      </c>
      <c r="E232" s="18" t="s">
        <v>2712</v>
      </c>
      <c r="F232" s="19">
        <v>45625</v>
      </c>
      <c r="G232" s="18">
        <v>2792376.27</v>
      </c>
      <c r="H232" s="37">
        <f t="shared" si="14"/>
        <v>64</v>
      </c>
      <c r="I232" s="37" t="str">
        <f t="shared" si="13"/>
        <v>0-120 DAYS</v>
      </c>
      <c r="J232" s="37" t="str">
        <f t="shared" si="15"/>
        <v>0-180 DAYS</v>
      </c>
      <c r="K232" t="s">
        <v>1730</v>
      </c>
      <c r="M232" t="s">
        <v>2877</v>
      </c>
      <c r="N232" s="66">
        <v>2792376.27</v>
      </c>
    </row>
    <row r="233" spans="1:14" x14ac:dyDescent="0.35">
      <c r="A233" s="88" t="s">
        <v>1085</v>
      </c>
      <c r="B233" s="2" t="s">
        <v>790</v>
      </c>
      <c r="C233" s="18" t="s">
        <v>631</v>
      </c>
      <c r="D233" s="2" t="s">
        <v>507</v>
      </c>
      <c r="E233" s="18" t="s">
        <v>2716</v>
      </c>
      <c r="F233" s="19">
        <v>45626</v>
      </c>
      <c r="G233" s="18">
        <v>3097212.8</v>
      </c>
      <c r="H233" s="37">
        <f t="shared" si="14"/>
        <v>63</v>
      </c>
      <c r="I233" s="37" t="str">
        <f t="shared" si="13"/>
        <v>0-120 DAYS</v>
      </c>
      <c r="J233" s="37" t="str">
        <f t="shared" si="15"/>
        <v>0-180 DAYS</v>
      </c>
      <c r="K233" t="s">
        <v>1730</v>
      </c>
      <c r="M233" t="s">
        <v>2860</v>
      </c>
      <c r="N233" s="66">
        <v>3097212.8</v>
      </c>
    </row>
    <row r="234" spans="1:14" x14ac:dyDescent="0.35">
      <c r="A234" s="88" t="s">
        <v>1085</v>
      </c>
      <c r="B234" s="2" t="s">
        <v>790</v>
      </c>
      <c r="C234" s="18" t="s">
        <v>715</v>
      </c>
      <c r="D234" s="2" t="s">
        <v>507</v>
      </c>
      <c r="E234" s="18" t="s">
        <v>2717</v>
      </c>
      <c r="F234" s="19">
        <v>45601</v>
      </c>
      <c r="G234" s="18">
        <v>3453898.24</v>
      </c>
      <c r="H234" s="37">
        <f t="shared" si="14"/>
        <v>88</v>
      </c>
      <c r="I234" s="37" t="str">
        <f t="shared" si="13"/>
        <v>0-120 DAYS</v>
      </c>
      <c r="J234" s="37" t="str">
        <f t="shared" si="15"/>
        <v>0-180 DAYS</v>
      </c>
      <c r="K234" t="s">
        <v>1730</v>
      </c>
      <c r="M234" t="s">
        <v>2861</v>
      </c>
      <c r="N234" s="66">
        <v>3453898.24</v>
      </c>
    </row>
    <row r="235" spans="1:14" x14ac:dyDescent="0.35">
      <c r="A235" s="88" t="s">
        <v>1085</v>
      </c>
      <c r="B235" s="2" t="s">
        <v>790</v>
      </c>
      <c r="C235" s="18" t="s">
        <v>653</v>
      </c>
      <c r="D235" s="2" t="s">
        <v>507</v>
      </c>
      <c r="E235" s="18" t="s">
        <v>2718</v>
      </c>
      <c r="F235" s="19">
        <v>45601</v>
      </c>
      <c r="G235" s="18">
        <v>2743849.76</v>
      </c>
      <c r="H235" s="37">
        <f t="shared" si="14"/>
        <v>88</v>
      </c>
      <c r="I235" s="37" t="str">
        <f t="shared" si="13"/>
        <v>0-120 DAYS</v>
      </c>
      <c r="J235" s="37" t="str">
        <f t="shared" si="15"/>
        <v>0-180 DAYS</v>
      </c>
      <c r="K235" t="s">
        <v>1730</v>
      </c>
      <c r="M235" t="s">
        <v>2861</v>
      </c>
      <c r="N235" s="66">
        <v>2743849.76</v>
      </c>
    </row>
    <row r="236" spans="1:14" x14ac:dyDescent="0.35">
      <c r="A236" s="88" t="s">
        <v>1085</v>
      </c>
      <c r="B236" s="2" t="s">
        <v>790</v>
      </c>
      <c r="C236" s="18" t="s">
        <v>600</v>
      </c>
      <c r="D236" s="2" t="s">
        <v>507</v>
      </c>
      <c r="E236" s="18" t="s">
        <v>2719</v>
      </c>
      <c r="F236" s="19">
        <v>45602</v>
      </c>
      <c r="G236" s="18">
        <v>1760012.8</v>
      </c>
      <c r="H236" s="37">
        <f t="shared" si="14"/>
        <v>87</v>
      </c>
      <c r="I236" s="37" t="str">
        <f t="shared" si="13"/>
        <v>0-120 DAYS</v>
      </c>
      <c r="J236" s="37" t="str">
        <f t="shared" si="15"/>
        <v>0-180 DAYS</v>
      </c>
      <c r="K236" t="s">
        <v>1730</v>
      </c>
      <c r="M236" t="s">
        <v>2862</v>
      </c>
      <c r="N236" s="66">
        <v>1760012.8</v>
      </c>
    </row>
    <row r="237" spans="1:14" x14ac:dyDescent="0.35">
      <c r="A237" s="88" t="s">
        <v>1085</v>
      </c>
      <c r="B237" s="2" t="s">
        <v>790</v>
      </c>
      <c r="C237" s="18" t="s">
        <v>538</v>
      </c>
      <c r="D237" s="2" t="s">
        <v>507</v>
      </c>
      <c r="E237" s="18" t="s">
        <v>2720</v>
      </c>
      <c r="F237" s="19">
        <v>45603</v>
      </c>
      <c r="G237" s="18">
        <v>3495620.07</v>
      </c>
      <c r="H237" s="37">
        <f t="shared" si="14"/>
        <v>86</v>
      </c>
      <c r="I237" s="37" t="str">
        <f t="shared" si="13"/>
        <v>0-120 DAYS</v>
      </c>
      <c r="J237" s="37" t="str">
        <f t="shared" si="15"/>
        <v>0-180 DAYS</v>
      </c>
      <c r="K237" t="s">
        <v>1730</v>
      </c>
      <c r="M237" t="s">
        <v>2878</v>
      </c>
      <c r="N237" s="66">
        <v>3495620.07</v>
      </c>
    </row>
    <row r="238" spans="1:14" x14ac:dyDescent="0.35">
      <c r="A238" s="88" t="s">
        <v>1085</v>
      </c>
      <c r="B238" s="2" t="s">
        <v>790</v>
      </c>
      <c r="C238" s="18" t="s">
        <v>2559</v>
      </c>
      <c r="D238" s="2" t="s">
        <v>507</v>
      </c>
      <c r="E238" s="18" t="s">
        <v>2721</v>
      </c>
      <c r="F238" s="19">
        <v>45603</v>
      </c>
      <c r="G238" s="18">
        <v>3222535.68</v>
      </c>
      <c r="H238" s="37">
        <f t="shared" si="14"/>
        <v>86</v>
      </c>
      <c r="I238" s="37" t="str">
        <f t="shared" si="13"/>
        <v>0-120 DAYS</v>
      </c>
      <c r="J238" s="37" t="str">
        <f t="shared" si="15"/>
        <v>0-180 DAYS</v>
      </c>
      <c r="K238" t="s">
        <v>1730</v>
      </c>
      <c r="M238" t="s">
        <v>2878</v>
      </c>
      <c r="N238" s="66">
        <v>3222535.68</v>
      </c>
    </row>
    <row r="239" spans="1:14" x14ac:dyDescent="0.35">
      <c r="A239" s="88" t="s">
        <v>1085</v>
      </c>
      <c r="B239" s="2" t="s">
        <v>790</v>
      </c>
      <c r="C239" s="18" t="s">
        <v>570</v>
      </c>
      <c r="D239" s="2" t="s">
        <v>507</v>
      </c>
      <c r="E239" s="18" t="s">
        <v>2724</v>
      </c>
      <c r="F239" s="19">
        <v>45604</v>
      </c>
      <c r="G239" s="18">
        <v>3164424</v>
      </c>
      <c r="H239" s="37">
        <f t="shared" si="14"/>
        <v>85</v>
      </c>
      <c r="I239" s="37" t="str">
        <f t="shared" si="13"/>
        <v>0-120 DAYS</v>
      </c>
      <c r="J239" s="37" t="str">
        <f t="shared" si="15"/>
        <v>0-180 DAYS</v>
      </c>
      <c r="K239" t="s">
        <v>1730</v>
      </c>
      <c r="M239" t="s">
        <v>2863</v>
      </c>
      <c r="N239" s="66">
        <v>3164424</v>
      </c>
    </row>
    <row r="240" spans="1:14" x14ac:dyDescent="0.35">
      <c r="A240" s="88" t="s">
        <v>1085</v>
      </c>
      <c r="B240" s="2" t="s">
        <v>790</v>
      </c>
      <c r="C240" s="18" t="s">
        <v>570</v>
      </c>
      <c r="D240" s="2" t="s">
        <v>507</v>
      </c>
      <c r="E240" s="18" t="s">
        <v>2725</v>
      </c>
      <c r="F240" s="19">
        <v>45604</v>
      </c>
      <c r="G240" s="18">
        <v>3051265.89</v>
      </c>
      <c r="H240" s="37">
        <f t="shared" si="14"/>
        <v>85</v>
      </c>
      <c r="I240" s="37" t="str">
        <f t="shared" si="13"/>
        <v>0-120 DAYS</v>
      </c>
      <c r="J240" s="37" t="str">
        <f t="shared" si="15"/>
        <v>0-180 DAYS</v>
      </c>
      <c r="K240" t="s">
        <v>1730</v>
      </c>
      <c r="M240" t="s">
        <v>2863</v>
      </c>
      <c r="N240" s="66">
        <v>3051265.89</v>
      </c>
    </row>
    <row r="241" spans="1:14" x14ac:dyDescent="0.35">
      <c r="A241" s="88" t="s">
        <v>1085</v>
      </c>
      <c r="B241" s="2" t="s">
        <v>790</v>
      </c>
      <c r="C241" s="18" t="s">
        <v>600</v>
      </c>
      <c r="D241" s="2" t="s">
        <v>507</v>
      </c>
      <c r="E241" s="18" t="s">
        <v>2726</v>
      </c>
      <c r="F241" s="19">
        <v>45604</v>
      </c>
      <c r="G241" s="18">
        <v>3753205.48</v>
      </c>
      <c r="H241" s="37">
        <f t="shared" si="14"/>
        <v>85</v>
      </c>
      <c r="I241" s="37" t="str">
        <f t="shared" si="13"/>
        <v>0-120 DAYS</v>
      </c>
      <c r="J241" s="37" t="str">
        <f t="shared" si="15"/>
        <v>0-180 DAYS</v>
      </c>
      <c r="K241" t="s">
        <v>1730</v>
      </c>
      <c r="M241" t="s">
        <v>2863</v>
      </c>
      <c r="N241" s="66">
        <v>3753205.48</v>
      </c>
    </row>
    <row r="242" spans="1:14" x14ac:dyDescent="0.35">
      <c r="A242" s="88" t="s">
        <v>1085</v>
      </c>
      <c r="B242" s="2" t="s">
        <v>790</v>
      </c>
      <c r="C242" s="18" t="s">
        <v>650</v>
      </c>
      <c r="D242" s="2" t="s">
        <v>507</v>
      </c>
      <c r="E242" s="18" t="s">
        <v>2727</v>
      </c>
      <c r="F242" s="19">
        <v>45604</v>
      </c>
      <c r="G242" s="18">
        <v>3791407.2</v>
      </c>
      <c r="H242" s="37">
        <f t="shared" si="14"/>
        <v>85</v>
      </c>
      <c r="I242" s="37" t="str">
        <f t="shared" si="13"/>
        <v>0-120 DAYS</v>
      </c>
      <c r="J242" s="37" t="str">
        <f t="shared" si="15"/>
        <v>0-180 DAYS</v>
      </c>
      <c r="K242" t="s">
        <v>1730</v>
      </c>
      <c r="M242" t="s">
        <v>2863</v>
      </c>
      <c r="N242" s="66">
        <v>3791407.2</v>
      </c>
    </row>
    <row r="243" spans="1:14" x14ac:dyDescent="0.35">
      <c r="A243" s="2" t="s">
        <v>1209</v>
      </c>
      <c r="B243" s="2" t="s">
        <v>789</v>
      </c>
      <c r="C243" s="18" t="s">
        <v>506</v>
      </c>
      <c r="D243" s="2" t="s">
        <v>507</v>
      </c>
      <c r="E243" s="18" t="s">
        <v>2730</v>
      </c>
      <c r="F243" s="19">
        <v>45605</v>
      </c>
      <c r="G243" s="18">
        <f>474113.67-403606</f>
        <v>70507.669999999984</v>
      </c>
      <c r="H243" s="37">
        <f t="shared" si="14"/>
        <v>84</v>
      </c>
      <c r="I243" s="37" t="str">
        <f t="shared" si="13"/>
        <v>0-120 DAYS</v>
      </c>
      <c r="J243" s="37" t="str">
        <f t="shared" si="15"/>
        <v>0-180 DAYS</v>
      </c>
      <c r="M243" t="s">
        <v>2864</v>
      </c>
      <c r="N243" s="66">
        <v>474113.67</v>
      </c>
    </row>
    <row r="244" spans="1:14" x14ac:dyDescent="0.35">
      <c r="A244" s="2" t="s">
        <v>1209</v>
      </c>
      <c r="B244" s="2" t="s">
        <v>789</v>
      </c>
      <c r="C244" s="18" t="s">
        <v>506</v>
      </c>
      <c r="D244" s="2" t="s">
        <v>507</v>
      </c>
      <c r="E244" s="18" t="s">
        <v>2731</v>
      </c>
      <c r="F244" s="19">
        <v>45605</v>
      </c>
      <c r="G244" s="18">
        <v>2359370.16</v>
      </c>
      <c r="H244" s="37">
        <f t="shared" si="14"/>
        <v>84</v>
      </c>
      <c r="I244" s="37" t="str">
        <f t="shared" si="13"/>
        <v>0-120 DAYS</v>
      </c>
      <c r="J244" s="37" t="str">
        <f t="shared" si="15"/>
        <v>0-180 DAYS</v>
      </c>
      <c r="M244" t="s">
        <v>2864</v>
      </c>
      <c r="N244" s="66">
        <v>2359370.16</v>
      </c>
    </row>
    <row r="245" spans="1:14" x14ac:dyDescent="0.35">
      <c r="A245" s="88" t="s">
        <v>1085</v>
      </c>
      <c r="B245" s="2" t="s">
        <v>790</v>
      </c>
      <c r="C245" s="18" t="s">
        <v>2676</v>
      </c>
      <c r="D245" s="2" t="s">
        <v>507</v>
      </c>
      <c r="E245" s="18" t="s">
        <v>2732</v>
      </c>
      <c r="F245" s="19">
        <v>45607</v>
      </c>
      <c r="G245" s="18">
        <v>1802322.25</v>
      </c>
      <c r="H245" s="37">
        <f t="shared" si="14"/>
        <v>82</v>
      </c>
      <c r="I245" s="37" t="str">
        <f t="shared" si="13"/>
        <v>0-120 DAYS</v>
      </c>
      <c r="J245" s="37" t="str">
        <f t="shared" si="15"/>
        <v>0-180 DAYS</v>
      </c>
      <c r="K245" t="s">
        <v>1730</v>
      </c>
      <c r="M245" t="s">
        <v>2879</v>
      </c>
      <c r="N245" s="66">
        <v>1802322.25</v>
      </c>
    </row>
    <row r="246" spans="1:14" x14ac:dyDescent="0.35">
      <c r="A246" s="88" t="s">
        <v>1085</v>
      </c>
      <c r="B246" s="2" t="s">
        <v>790</v>
      </c>
      <c r="C246" s="18" t="s">
        <v>650</v>
      </c>
      <c r="D246" s="2" t="s">
        <v>507</v>
      </c>
      <c r="E246" s="18" t="s">
        <v>2733</v>
      </c>
      <c r="F246" s="19">
        <v>45607</v>
      </c>
      <c r="G246" s="18">
        <v>3791407.2</v>
      </c>
      <c r="H246" s="37">
        <f t="shared" si="14"/>
        <v>82</v>
      </c>
      <c r="I246" s="37" t="str">
        <f t="shared" si="13"/>
        <v>0-120 DAYS</v>
      </c>
      <c r="J246" s="37" t="str">
        <f t="shared" si="15"/>
        <v>0-180 DAYS</v>
      </c>
      <c r="K246" t="s">
        <v>1730</v>
      </c>
      <c r="M246" t="s">
        <v>2879</v>
      </c>
      <c r="N246" s="66">
        <v>3791407.2</v>
      </c>
    </row>
    <row r="247" spans="1:14" x14ac:dyDescent="0.35">
      <c r="A247" s="88" t="s">
        <v>1085</v>
      </c>
      <c r="B247" s="2" t="s">
        <v>790</v>
      </c>
      <c r="C247" s="18" t="s">
        <v>1249</v>
      </c>
      <c r="D247" s="2" t="s">
        <v>507</v>
      </c>
      <c r="E247" s="18" t="s">
        <v>2734</v>
      </c>
      <c r="F247" s="19">
        <v>45609</v>
      </c>
      <c r="G247" s="18">
        <v>3324648</v>
      </c>
      <c r="H247" s="37">
        <f t="shared" si="14"/>
        <v>80</v>
      </c>
      <c r="I247" s="37" t="str">
        <f t="shared" si="13"/>
        <v>0-120 DAYS</v>
      </c>
      <c r="J247" s="37" t="str">
        <f t="shared" si="15"/>
        <v>0-180 DAYS</v>
      </c>
      <c r="K247" t="s">
        <v>1730</v>
      </c>
      <c r="M247" t="s">
        <v>2865</v>
      </c>
      <c r="N247" s="66">
        <v>3324648</v>
      </c>
    </row>
    <row r="248" spans="1:14" x14ac:dyDescent="0.35">
      <c r="A248" s="88" t="s">
        <v>1085</v>
      </c>
      <c r="B248" s="2" t="s">
        <v>790</v>
      </c>
      <c r="C248" s="18" t="s">
        <v>1249</v>
      </c>
      <c r="D248" s="2" t="s">
        <v>507</v>
      </c>
      <c r="E248" s="18" t="s">
        <v>2735</v>
      </c>
      <c r="F248" s="19">
        <v>45609</v>
      </c>
      <c r="G248" s="18">
        <v>1810531.2</v>
      </c>
      <c r="H248" s="37">
        <f t="shared" si="14"/>
        <v>80</v>
      </c>
      <c r="I248" s="37" t="str">
        <f t="shared" si="13"/>
        <v>0-120 DAYS</v>
      </c>
      <c r="J248" s="37" t="str">
        <f t="shared" si="15"/>
        <v>0-180 DAYS</v>
      </c>
      <c r="K248" t="s">
        <v>1730</v>
      </c>
      <c r="M248" t="s">
        <v>2865</v>
      </c>
      <c r="N248" s="66">
        <v>1810531.2</v>
      </c>
    </row>
    <row r="249" spans="1:14" x14ac:dyDescent="0.35">
      <c r="A249" s="88" t="s">
        <v>1085</v>
      </c>
      <c r="B249" s="2" t="s">
        <v>790</v>
      </c>
      <c r="C249" s="18" t="s">
        <v>1086</v>
      </c>
      <c r="D249" s="2" t="s">
        <v>507</v>
      </c>
      <c r="E249" s="18" t="s">
        <v>2736</v>
      </c>
      <c r="F249" s="19">
        <v>45609</v>
      </c>
      <c r="G249" s="18">
        <v>247182.24</v>
      </c>
      <c r="H249" s="37">
        <f t="shared" si="14"/>
        <v>80</v>
      </c>
      <c r="I249" s="37" t="str">
        <f t="shared" si="13"/>
        <v>0-120 DAYS</v>
      </c>
      <c r="J249" s="37" t="str">
        <f t="shared" si="15"/>
        <v>0-180 DAYS</v>
      </c>
      <c r="K249" t="s">
        <v>1730</v>
      </c>
      <c r="M249" t="s">
        <v>2865</v>
      </c>
      <c r="N249" s="66">
        <v>247182.24</v>
      </c>
    </row>
    <row r="250" spans="1:14" x14ac:dyDescent="0.35">
      <c r="A250" s="88" t="s">
        <v>1085</v>
      </c>
      <c r="B250" s="2" t="s">
        <v>790</v>
      </c>
      <c r="C250" s="18" t="s">
        <v>1086</v>
      </c>
      <c r="D250" s="2" t="s">
        <v>507</v>
      </c>
      <c r="E250" s="18" t="s">
        <v>2737</v>
      </c>
      <c r="F250" s="19">
        <v>45609</v>
      </c>
      <c r="G250" s="18">
        <v>1857690.46</v>
      </c>
      <c r="H250" s="37">
        <f t="shared" si="14"/>
        <v>80</v>
      </c>
      <c r="I250" s="37" t="str">
        <f t="shared" si="13"/>
        <v>0-120 DAYS</v>
      </c>
      <c r="J250" s="37" t="str">
        <f t="shared" si="15"/>
        <v>0-180 DAYS</v>
      </c>
      <c r="K250" t="s">
        <v>1730</v>
      </c>
      <c r="M250" t="s">
        <v>2865</v>
      </c>
      <c r="N250" s="66">
        <v>1857690.46</v>
      </c>
    </row>
    <row r="251" spans="1:14" x14ac:dyDescent="0.35">
      <c r="A251" s="2" t="s">
        <v>1209</v>
      </c>
      <c r="B251" s="2" t="s">
        <v>789</v>
      </c>
      <c r="C251" s="18" t="s">
        <v>506</v>
      </c>
      <c r="D251" s="2" t="s">
        <v>507</v>
      </c>
      <c r="E251" s="18" t="s">
        <v>2739</v>
      </c>
      <c r="F251" s="19">
        <v>45609</v>
      </c>
      <c r="G251" s="18">
        <v>2512074.4900000002</v>
      </c>
      <c r="H251" s="37">
        <f t="shared" si="14"/>
        <v>80</v>
      </c>
      <c r="I251" s="37" t="str">
        <f t="shared" si="13"/>
        <v>0-120 DAYS</v>
      </c>
      <c r="J251" s="37" t="str">
        <f t="shared" si="15"/>
        <v>0-180 DAYS</v>
      </c>
      <c r="M251" t="s">
        <v>2865</v>
      </c>
      <c r="N251" s="66">
        <v>2512074.4900000002</v>
      </c>
    </row>
    <row r="252" spans="1:14" x14ac:dyDescent="0.35">
      <c r="A252" s="2" t="s">
        <v>1209</v>
      </c>
      <c r="B252" s="2" t="s">
        <v>789</v>
      </c>
      <c r="C252" s="18" t="s">
        <v>506</v>
      </c>
      <c r="D252" s="2" t="s">
        <v>507</v>
      </c>
      <c r="E252" s="18" t="s">
        <v>2740</v>
      </c>
      <c r="F252" s="19">
        <v>45609</v>
      </c>
      <c r="G252" s="18">
        <v>1178974.93</v>
      </c>
      <c r="H252" s="37">
        <f t="shared" si="14"/>
        <v>80</v>
      </c>
      <c r="I252" s="37" t="str">
        <f t="shared" si="13"/>
        <v>0-120 DAYS</v>
      </c>
      <c r="J252" s="37" t="str">
        <f t="shared" si="15"/>
        <v>0-180 DAYS</v>
      </c>
      <c r="M252" t="s">
        <v>2865</v>
      </c>
      <c r="N252" s="66">
        <v>1178974.93</v>
      </c>
    </row>
    <row r="253" spans="1:14" x14ac:dyDescent="0.35">
      <c r="A253" s="88" t="s">
        <v>1085</v>
      </c>
      <c r="B253" s="2" t="s">
        <v>790</v>
      </c>
      <c r="C253" s="18" t="s">
        <v>653</v>
      </c>
      <c r="D253" s="2" t="s">
        <v>507</v>
      </c>
      <c r="E253" s="18" t="s">
        <v>2741</v>
      </c>
      <c r="F253" s="19">
        <v>45609</v>
      </c>
      <c r="G253" s="18">
        <v>2446564.7200000002</v>
      </c>
      <c r="H253" s="37">
        <f t="shared" si="14"/>
        <v>80</v>
      </c>
      <c r="I253" s="37" t="str">
        <f t="shared" si="13"/>
        <v>0-120 DAYS</v>
      </c>
      <c r="J253" s="37" t="str">
        <f t="shared" si="15"/>
        <v>0-180 DAYS</v>
      </c>
      <c r="K253" t="s">
        <v>1730</v>
      </c>
      <c r="M253" t="s">
        <v>2865</v>
      </c>
      <c r="N253" s="66">
        <v>2446564.7200000002</v>
      </c>
    </row>
    <row r="254" spans="1:14" x14ac:dyDescent="0.35">
      <c r="A254" s="88" t="s">
        <v>1085</v>
      </c>
      <c r="B254" s="2" t="s">
        <v>790</v>
      </c>
      <c r="C254" s="18" t="s">
        <v>1086</v>
      </c>
      <c r="D254" s="2" t="s">
        <v>507</v>
      </c>
      <c r="E254" s="18" t="s">
        <v>2742</v>
      </c>
      <c r="F254" s="19">
        <v>45613</v>
      </c>
      <c r="G254" s="18">
        <v>75211.58</v>
      </c>
      <c r="H254" s="37">
        <f t="shared" si="14"/>
        <v>76</v>
      </c>
      <c r="I254" s="37" t="str">
        <f t="shared" si="13"/>
        <v>0-120 DAYS</v>
      </c>
      <c r="J254" s="37" t="str">
        <f t="shared" si="15"/>
        <v>0-180 DAYS</v>
      </c>
      <c r="K254" t="s">
        <v>1730</v>
      </c>
      <c r="M254" t="s">
        <v>2869</v>
      </c>
      <c r="N254" s="66">
        <v>75211.58</v>
      </c>
    </row>
    <row r="255" spans="1:14" x14ac:dyDescent="0.35">
      <c r="A255" s="88" t="s">
        <v>1085</v>
      </c>
      <c r="B255" s="2" t="s">
        <v>790</v>
      </c>
      <c r="C255" s="18" t="s">
        <v>1086</v>
      </c>
      <c r="D255" s="2" t="s">
        <v>507</v>
      </c>
      <c r="E255" s="18" t="s">
        <v>2743</v>
      </c>
      <c r="F255" s="19">
        <v>45613</v>
      </c>
      <c r="G255" s="18">
        <v>1874754.24</v>
      </c>
      <c r="H255" s="37">
        <f t="shared" si="14"/>
        <v>76</v>
      </c>
      <c r="I255" s="37" t="str">
        <f t="shared" si="13"/>
        <v>0-120 DAYS</v>
      </c>
      <c r="J255" s="37" t="str">
        <f t="shared" si="15"/>
        <v>0-180 DAYS</v>
      </c>
      <c r="K255" t="s">
        <v>1730</v>
      </c>
      <c r="M255" t="s">
        <v>2869</v>
      </c>
      <c r="N255" s="66">
        <v>1874754.24</v>
      </c>
    </row>
    <row r="256" spans="1:14" x14ac:dyDescent="0.35">
      <c r="A256" s="88" t="s">
        <v>1085</v>
      </c>
      <c r="B256" s="2" t="s">
        <v>790</v>
      </c>
      <c r="C256" s="18" t="s">
        <v>1086</v>
      </c>
      <c r="D256" s="2" t="s">
        <v>507</v>
      </c>
      <c r="E256" s="18" t="s">
        <v>2744</v>
      </c>
      <c r="F256" s="19">
        <v>45613</v>
      </c>
      <c r="G256" s="18">
        <v>249748.31</v>
      </c>
      <c r="H256" s="37">
        <f t="shared" si="14"/>
        <v>76</v>
      </c>
      <c r="I256" s="37" t="str">
        <f t="shared" ref="I256:I296" si="16">IF(H256&lt;121,"0-120 DAYS",IF(H256&lt;181,"121-180 DAYS","More than 180 Days"))</f>
        <v>0-120 DAYS</v>
      </c>
      <c r="J256" s="37" t="str">
        <f t="shared" si="15"/>
        <v>0-180 DAYS</v>
      </c>
      <c r="K256" t="s">
        <v>1730</v>
      </c>
      <c r="M256" t="s">
        <v>2869</v>
      </c>
      <c r="N256" s="66">
        <v>249748.31</v>
      </c>
    </row>
    <row r="257" spans="1:14" x14ac:dyDescent="0.35">
      <c r="A257" s="88" t="s">
        <v>1085</v>
      </c>
      <c r="B257" s="2" t="s">
        <v>790</v>
      </c>
      <c r="C257" s="18" t="s">
        <v>650</v>
      </c>
      <c r="D257" s="2" t="s">
        <v>507</v>
      </c>
      <c r="E257" s="18" t="s">
        <v>2745</v>
      </c>
      <c r="F257" s="19">
        <v>45617</v>
      </c>
      <c r="G257" s="18">
        <v>3841853.4</v>
      </c>
      <c r="H257" s="37">
        <f t="shared" si="14"/>
        <v>72</v>
      </c>
      <c r="I257" s="37" t="str">
        <f t="shared" si="16"/>
        <v>0-120 DAYS</v>
      </c>
      <c r="J257" s="37" t="str">
        <f t="shared" si="15"/>
        <v>0-180 DAYS</v>
      </c>
      <c r="K257" t="s">
        <v>1730</v>
      </c>
      <c r="M257" t="s">
        <v>2871</v>
      </c>
      <c r="N257" s="66">
        <v>3841853.4</v>
      </c>
    </row>
    <row r="258" spans="1:14" x14ac:dyDescent="0.35">
      <c r="A258" s="88" t="s">
        <v>1085</v>
      </c>
      <c r="B258" s="2" t="s">
        <v>790</v>
      </c>
      <c r="C258" s="18" t="s">
        <v>570</v>
      </c>
      <c r="D258" s="2" t="s">
        <v>507</v>
      </c>
      <c r="E258" s="18" t="s">
        <v>2746</v>
      </c>
      <c r="F258" s="19">
        <v>45618</v>
      </c>
      <c r="G258" s="18">
        <v>3170112</v>
      </c>
      <c r="H258" s="37">
        <f t="shared" si="14"/>
        <v>71</v>
      </c>
      <c r="I258" s="37" t="str">
        <f t="shared" si="16"/>
        <v>0-120 DAYS</v>
      </c>
      <c r="J258" s="37" t="str">
        <f t="shared" si="15"/>
        <v>0-180 DAYS</v>
      </c>
      <c r="K258" t="s">
        <v>1730</v>
      </c>
      <c r="M258" t="s">
        <v>2880</v>
      </c>
      <c r="N258" s="66">
        <v>3170112</v>
      </c>
    </row>
    <row r="259" spans="1:14" x14ac:dyDescent="0.35">
      <c r="A259" s="88" t="s">
        <v>1085</v>
      </c>
      <c r="B259" s="2" t="s">
        <v>790</v>
      </c>
      <c r="C259" s="18" t="s">
        <v>573</v>
      </c>
      <c r="D259" s="2" t="s">
        <v>507</v>
      </c>
      <c r="E259" s="18" t="s">
        <v>2747</v>
      </c>
      <c r="F259" s="19">
        <v>45618</v>
      </c>
      <c r="G259" s="18">
        <v>3580086.4</v>
      </c>
      <c r="H259" s="37">
        <f t="shared" si="14"/>
        <v>71</v>
      </c>
      <c r="I259" s="37" t="str">
        <f t="shared" si="16"/>
        <v>0-120 DAYS</v>
      </c>
      <c r="J259" s="37" t="str">
        <f t="shared" si="15"/>
        <v>0-180 DAYS</v>
      </c>
      <c r="K259" t="s">
        <v>1730</v>
      </c>
      <c r="M259" t="s">
        <v>2880</v>
      </c>
      <c r="N259" s="66">
        <v>3580086.4</v>
      </c>
    </row>
    <row r="260" spans="1:14" x14ac:dyDescent="0.35">
      <c r="A260" s="88" t="s">
        <v>1085</v>
      </c>
      <c r="B260" s="2" t="s">
        <v>790</v>
      </c>
      <c r="C260" s="18" t="s">
        <v>650</v>
      </c>
      <c r="D260" s="2" t="s">
        <v>507</v>
      </c>
      <c r="E260" s="18" t="s">
        <v>2748</v>
      </c>
      <c r="F260" s="19">
        <v>45618</v>
      </c>
      <c r="G260" s="18">
        <v>2644488</v>
      </c>
      <c r="H260" s="37">
        <f t="shared" si="14"/>
        <v>71</v>
      </c>
      <c r="I260" s="37" t="str">
        <f t="shared" si="16"/>
        <v>0-120 DAYS</v>
      </c>
      <c r="J260" s="37" t="str">
        <f t="shared" si="15"/>
        <v>0-180 DAYS</v>
      </c>
      <c r="K260" t="s">
        <v>1730</v>
      </c>
      <c r="M260" t="s">
        <v>2880</v>
      </c>
      <c r="N260" s="66">
        <v>2644488</v>
      </c>
    </row>
    <row r="261" spans="1:14" x14ac:dyDescent="0.35">
      <c r="A261" s="88" t="s">
        <v>1085</v>
      </c>
      <c r="B261" s="2" t="s">
        <v>790</v>
      </c>
      <c r="C261" s="18" t="s">
        <v>538</v>
      </c>
      <c r="D261" s="2" t="s">
        <v>507</v>
      </c>
      <c r="E261" s="18" t="s">
        <v>2749</v>
      </c>
      <c r="F261" s="19">
        <v>45619</v>
      </c>
      <c r="G261" s="18">
        <v>3169188</v>
      </c>
      <c r="H261" s="37">
        <f t="shared" si="14"/>
        <v>70</v>
      </c>
      <c r="I261" s="37" t="str">
        <f t="shared" si="16"/>
        <v>0-120 DAYS</v>
      </c>
      <c r="J261" s="37" t="str">
        <f t="shared" si="15"/>
        <v>0-180 DAYS</v>
      </c>
      <c r="K261" t="s">
        <v>1730</v>
      </c>
      <c r="M261" t="s">
        <v>2872</v>
      </c>
      <c r="N261" s="66">
        <v>3169188</v>
      </c>
    </row>
    <row r="262" spans="1:14" x14ac:dyDescent="0.35">
      <c r="A262" s="88" t="s">
        <v>1085</v>
      </c>
      <c r="B262" s="2" t="s">
        <v>790</v>
      </c>
      <c r="C262" s="18" t="s">
        <v>2677</v>
      </c>
      <c r="D262" s="2" t="s">
        <v>507</v>
      </c>
      <c r="E262" s="18" t="s">
        <v>2750</v>
      </c>
      <c r="F262" s="19">
        <v>45619</v>
      </c>
      <c r="G262" s="18">
        <v>3367508.32</v>
      </c>
      <c r="H262" s="37">
        <f t="shared" si="14"/>
        <v>70</v>
      </c>
      <c r="I262" s="37" t="str">
        <f t="shared" si="16"/>
        <v>0-120 DAYS</v>
      </c>
      <c r="J262" s="37" t="str">
        <f t="shared" si="15"/>
        <v>0-180 DAYS</v>
      </c>
      <c r="K262" t="s">
        <v>1730</v>
      </c>
      <c r="M262" t="s">
        <v>2872</v>
      </c>
      <c r="N262" s="66">
        <v>3367508.32</v>
      </c>
    </row>
    <row r="263" spans="1:14" s="157" customFormat="1" x14ac:dyDescent="0.35">
      <c r="A263" s="152" t="s">
        <v>1085</v>
      </c>
      <c r="B263" s="153" t="s">
        <v>790</v>
      </c>
      <c r="C263" s="154" t="s">
        <v>551</v>
      </c>
      <c r="D263" s="153" t="s">
        <v>507</v>
      </c>
      <c r="E263" s="154" t="s">
        <v>2752</v>
      </c>
      <c r="F263" s="155">
        <v>45620</v>
      </c>
      <c r="G263" s="154">
        <f>3659673.6-8828</f>
        <v>3650845.6</v>
      </c>
      <c r="H263" s="156">
        <f t="shared" si="14"/>
        <v>69</v>
      </c>
      <c r="I263" s="156" t="str">
        <f t="shared" si="16"/>
        <v>0-120 DAYS</v>
      </c>
      <c r="J263" s="156" t="str">
        <f t="shared" si="15"/>
        <v>0-180 DAYS</v>
      </c>
      <c r="K263" t="s">
        <v>1730</v>
      </c>
      <c r="M263" t="s">
        <v>2873</v>
      </c>
      <c r="N263" s="66">
        <v>3650845.6</v>
      </c>
    </row>
    <row r="264" spans="1:14" x14ac:dyDescent="0.35">
      <c r="A264" s="88" t="s">
        <v>1085</v>
      </c>
      <c r="B264" s="2" t="s">
        <v>790</v>
      </c>
      <c r="C264" s="18" t="s">
        <v>1086</v>
      </c>
      <c r="D264" s="2" t="s">
        <v>507</v>
      </c>
      <c r="E264" s="18" t="s">
        <v>2753</v>
      </c>
      <c r="F264" s="19">
        <v>45621</v>
      </c>
      <c r="G264" s="18">
        <v>784808.38</v>
      </c>
      <c r="H264" s="37">
        <f t="shared" si="14"/>
        <v>68</v>
      </c>
      <c r="I264" s="37" t="str">
        <f t="shared" si="16"/>
        <v>0-120 DAYS</v>
      </c>
      <c r="J264" s="37" t="str">
        <f t="shared" si="15"/>
        <v>0-180 DAYS</v>
      </c>
      <c r="K264" t="s">
        <v>1730</v>
      </c>
      <c r="M264" t="s">
        <v>2874</v>
      </c>
      <c r="N264" s="66">
        <v>784808.38</v>
      </c>
    </row>
    <row r="265" spans="1:14" x14ac:dyDescent="0.35">
      <c r="A265" s="88" t="s">
        <v>1085</v>
      </c>
      <c r="B265" s="2" t="s">
        <v>790</v>
      </c>
      <c r="C265" s="18" t="s">
        <v>1086</v>
      </c>
      <c r="D265" s="2" t="s">
        <v>507</v>
      </c>
      <c r="E265" s="18" t="s">
        <v>2754</v>
      </c>
      <c r="F265" s="19">
        <v>45621</v>
      </c>
      <c r="G265" s="18">
        <v>2118424</v>
      </c>
      <c r="H265" s="37">
        <f t="shared" si="14"/>
        <v>68</v>
      </c>
      <c r="I265" s="37" t="str">
        <f t="shared" si="16"/>
        <v>0-120 DAYS</v>
      </c>
      <c r="J265" s="37" t="str">
        <f t="shared" si="15"/>
        <v>0-180 DAYS</v>
      </c>
      <c r="K265" t="s">
        <v>1730</v>
      </c>
      <c r="M265" t="s">
        <v>2874</v>
      </c>
      <c r="N265" s="66">
        <v>2118424</v>
      </c>
    </row>
    <row r="266" spans="1:14" x14ac:dyDescent="0.35">
      <c r="A266" s="88" t="s">
        <v>1085</v>
      </c>
      <c r="B266" s="2" t="s">
        <v>790</v>
      </c>
      <c r="C266" s="18" t="s">
        <v>650</v>
      </c>
      <c r="D266" s="2" t="s">
        <v>507</v>
      </c>
      <c r="E266" s="18" t="s">
        <v>2755</v>
      </c>
      <c r="F266" s="19">
        <v>45621</v>
      </c>
      <c r="G266" s="18">
        <v>2735095.07</v>
      </c>
      <c r="H266" s="37">
        <f t="shared" si="14"/>
        <v>68</v>
      </c>
      <c r="I266" s="37" t="str">
        <f t="shared" si="16"/>
        <v>0-120 DAYS</v>
      </c>
      <c r="J266" s="37" t="str">
        <f t="shared" si="15"/>
        <v>0-180 DAYS</v>
      </c>
      <c r="K266" t="s">
        <v>1730</v>
      </c>
      <c r="M266" t="s">
        <v>2874</v>
      </c>
      <c r="N266" s="66">
        <v>2735095.07</v>
      </c>
    </row>
    <row r="267" spans="1:14" x14ac:dyDescent="0.35">
      <c r="A267" s="88" t="s">
        <v>1085</v>
      </c>
      <c r="B267" s="2" t="s">
        <v>790</v>
      </c>
      <c r="C267" s="18" t="s">
        <v>1086</v>
      </c>
      <c r="D267" s="2" t="s">
        <v>507</v>
      </c>
      <c r="E267" s="18" t="s">
        <v>2756</v>
      </c>
      <c r="F267" s="19">
        <v>45622</v>
      </c>
      <c r="G267" s="18">
        <v>3151679.87</v>
      </c>
      <c r="H267" s="37">
        <f t="shared" si="14"/>
        <v>67</v>
      </c>
      <c r="I267" s="37" t="str">
        <f t="shared" si="16"/>
        <v>0-120 DAYS</v>
      </c>
      <c r="J267" s="37" t="str">
        <f t="shared" si="15"/>
        <v>0-180 DAYS</v>
      </c>
      <c r="K267" t="s">
        <v>1730</v>
      </c>
      <c r="M267" t="s">
        <v>2875</v>
      </c>
      <c r="N267" s="66">
        <v>3151679.87</v>
      </c>
    </row>
    <row r="268" spans="1:14" x14ac:dyDescent="0.35">
      <c r="A268" s="88" t="s">
        <v>1085</v>
      </c>
      <c r="B268" s="2" t="s">
        <v>790</v>
      </c>
      <c r="C268" s="18" t="s">
        <v>650</v>
      </c>
      <c r="D268" s="2" t="s">
        <v>507</v>
      </c>
      <c r="E268" s="18" t="s">
        <v>2757</v>
      </c>
      <c r="F268" s="19">
        <v>45622</v>
      </c>
      <c r="G268" s="18">
        <v>2921809.47</v>
      </c>
      <c r="H268" s="37">
        <f t="shared" ref="H268:H331" si="17">$H$9-F268+1</f>
        <v>67</v>
      </c>
      <c r="I268" s="37" t="str">
        <f t="shared" si="16"/>
        <v>0-120 DAYS</v>
      </c>
      <c r="J268" s="37" t="str">
        <f t="shared" si="15"/>
        <v>0-180 DAYS</v>
      </c>
      <c r="K268" t="s">
        <v>1730</v>
      </c>
      <c r="M268" t="s">
        <v>2875</v>
      </c>
      <c r="N268" s="66">
        <v>2921809.47</v>
      </c>
    </row>
    <row r="269" spans="1:14" x14ac:dyDescent="0.35">
      <c r="A269" s="88" t="s">
        <v>1085</v>
      </c>
      <c r="B269" s="2" t="s">
        <v>790</v>
      </c>
      <c r="C269" s="18" t="s">
        <v>573</v>
      </c>
      <c r="D269" s="2" t="s">
        <v>507</v>
      </c>
      <c r="E269" s="18" t="s">
        <v>2758</v>
      </c>
      <c r="F269" s="19">
        <v>45623</v>
      </c>
      <c r="G269" s="18">
        <v>3359131.6</v>
      </c>
      <c r="H269" s="37">
        <f t="shared" si="17"/>
        <v>66</v>
      </c>
      <c r="I269" s="37" t="str">
        <f t="shared" si="16"/>
        <v>0-120 DAYS</v>
      </c>
      <c r="J269" s="37" t="str">
        <f t="shared" ref="J269:J332" si="18">IF(H269&lt;180,"0-180 DAYS","More than 180 Days")</f>
        <v>0-180 DAYS</v>
      </c>
      <c r="K269" t="s">
        <v>1730</v>
      </c>
      <c r="M269" t="s">
        <v>2876</v>
      </c>
      <c r="N269" s="66">
        <v>3359131.6</v>
      </c>
    </row>
    <row r="270" spans="1:14" x14ac:dyDescent="0.35">
      <c r="A270" s="88" t="s">
        <v>1085</v>
      </c>
      <c r="B270" s="2" t="s">
        <v>790</v>
      </c>
      <c r="C270" s="18" t="s">
        <v>1086</v>
      </c>
      <c r="D270" s="2" t="s">
        <v>507</v>
      </c>
      <c r="E270" s="18" t="s">
        <v>2759</v>
      </c>
      <c r="F270" s="19">
        <v>45624</v>
      </c>
      <c r="G270" s="18">
        <v>3676794.8799999999</v>
      </c>
      <c r="H270" s="37">
        <f t="shared" si="17"/>
        <v>65</v>
      </c>
      <c r="I270" s="37" t="str">
        <f t="shared" si="16"/>
        <v>0-120 DAYS</v>
      </c>
      <c r="J270" s="37" t="str">
        <f t="shared" si="18"/>
        <v>0-180 DAYS</v>
      </c>
      <c r="K270" t="s">
        <v>1730</v>
      </c>
      <c r="M270" t="s">
        <v>2881</v>
      </c>
      <c r="N270" s="66">
        <v>3676794.8799999999</v>
      </c>
    </row>
    <row r="271" spans="1:14" x14ac:dyDescent="0.35">
      <c r="A271" s="88" t="s">
        <v>1085</v>
      </c>
      <c r="B271" s="2" t="s">
        <v>790</v>
      </c>
      <c r="C271" s="18" t="s">
        <v>650</v>
      </c>
      <c r="D271" s="2" t="s">
        <v>507</v>
      </c>
      <c r="E271" s="18" t="s">
        <v>2761</v>
      </c>
      <c r="F271" s="19">
        <v>45626</v>
      </c>
      <c r="G271" s="18">
        <v>3789444.62</v>
      </c>
      <c r="H271" s="37">
        <f t="shared" si="17"/>
        <v>63</v>
      </c>
      <c r="I271" s="37" t="str">
        <f t="shared" si="16"/>
        <v>0-120 DAYS</v>
      </c>
      <c r="J271" s="37" t="str">
        <f t="shared" si="18"/>
        <v>0-180 DAYS</v>
      </c>
      <c r="K271" t="s">
        <v>1730</v>
      </c>
      <c r="M271" t="s">
        <v>2860</v>
      </c>
      <c r="N271" s="66">
        <v>3789444.62</v>
      </c>
    </row>
    <row r="272" spans="1:14" x14ac:dyDescent="0.35">
      <c r="A272" s="88" t="s">
        <v>1085</v>
      </c>
      <c r="B272" s="2" t="s">
        <v>790</v>
      </c>
      <c r="C272" s="18" t="s">
        <v>581</v>
      </c>
      <c r="D272" s="2" t="s">
        <v>507</v>
      </c>
      <c r="E272" s="18" t="s">
        <v>2762</v>
      </c>
      <c r="F272" s="19">
        <v>45602</v>
      </c>
      <c r="G272" s="18">
        <v>3799532.17</v>
      </c>
      <c r="H272" s="37">
        <f t="shared" si="17"/>
        <v>87</v>
      </c>
      <c r="I272" s="37" t="str">
        <f t="shared" si="16"/>
        <v>0-120 DAYS</v>
      </c>
      <c r="J272" s="37" t="str">
        <f t="shared" si="18"/>
        <v>0-180 DAYS</v>
      </c>
      <c r="K272" t="s">
        <v>1730</v>
      </c>
      <c r="M272" t="s">
        <v>2862</v>
      </c>
      <c r="N272" s="66">
        <v>3799532.17</v>
      </c>
    </row>
    <row r="273" spans="1:14" x14ac:dyDescent="0.35">
      <c r="A273" s="88" t="s">
        <v>1085</v>
      </c>
      <c r="B273" s="2" t="s">
        <v>790</v>
      </c>
      <c r="C273" s="18" t="s">
        <v>2066</v>
      </c>
      <c r="D273" s="2" t="s">
        <v>507</v>
      </c>
      <c r="E273" s="18" t="s">
        <v>2763</v>
      </c>
      <c r="F273" s="19">
        <v>45605</v>
      </c>
      <c r="G273" s="18">
        <v>4142366.48</v>
      </c>
      <c r="H273" s="37">
        <f t="shared" si="17"/>
        <v>84</v>
      </c>
      <c r="I273" s="37" t="str">
        <f t="shared" si="16"/>
        <v>0-120 DAYS</v>
      </c>
      <c r="J273" s="37" t="str">
        <f t="shared" si="18"/>
        <v>0-180 DAYS</v>
      </c>
      <c r="K273" t="s">
        <v>1730</v>
      </c>
      <c r="M273" t="s">
        <v>2864</v>
      </c>
      <c r="N273" s="66">
        <v>4142366.48</v>
      </c>
    </row>
    <row r="274" spans="1:14" x14ac:dyDescent="0.35">
      <c r="A274" s="88" t="s">
        <v>1085</v>
      </c>
      <c r="B274" s="2" t="s">
        <v>790</v>
      </c>
      <c r="C274" s="18" t="s">
        <v>584</v>
      </c>
      <c r="D274" s="2" t="s">
        <v>507</v>
      </c>
      <c r="E274" s="18" t="s">
        <v>2764</v>
      </c>
      <c r="F274" s="19">
        <v>45609</v>
      </c>
      <c r="G274" s="18">
        <v>3135528</v>
      </c>
      <c r="H274" s="37">
        <f t="shared" si="17"/>
        <v>80</v>
      </c>
      <c r="I274" s="37" t="str">
        <f t="shared" si="16"/>
        <v>0-120 DAYS</v>
      </c>
      <c r="J274" s="37" t="str">
        <f t="shared" si="18"/>
        <v>0-180 DAYS</v>
      </c>
      <c r="K274" t="s">
        <v>1730</v>
      </c>
      <c r="M274" t="s">
        <v>2865</v>
      </c>
      <c r="N274" s="66">
        <v>3135528</v>
      </c>
    </row>
    <row r="275" spans="1:14" x14ac:dyDescent="0.35">
      <c r="A275" s="88" t="s">
        <v>1085</v>
      </c>
      <c r="B275" s="2" t="s">
        <v>790</v>
      </c>
      <c r="C275" s="18" t="s">
        <v>581</v>
      </c>
      <c r="D275" s="2" t="s">
        <v>507</v>
      </c>
      <c r="E275" s="18" t="s">
        <v>2767</v>
      </c>
      <c r="F275" s="19">
        <v>45614</v>
      </c>
      <c r="G275" s="18">
        <v>4204041.57</v>
      </c>
      <c r="H275" s="37">
        <f t="shared" si="17"/>
        <v>75</v>
      </c>
      <c r="I275" s="37" t="str">
        <f t="shared" si="16"/>
        <v>0-120 DAYS</v>
      </c>
      <c r="J275" s="37" t="str">
        <f t="shared" si="18"/>
        <v>0-180 DAYS</v>
      </c>
      <c r="K275" t="s">
        <v>1730</v>
      </c>
      <c r="M275" t="s">
        <v>2870</v>
      </c>
      <c r="N275" s="66">
        <v>4204041.57</v>
      </c>
    </row>
    <row r="276" spans="1:14" x14ac:dyDescent="0.35">
      <c r="A276" s="88" t="s">
        <v>1085</v>
      </c>
      <c r="B276" s="2" t="s">
        <v>790</v>
      </c>
      <c r="C276" s="18" t="s">
        <v>2559</v>
      </c>
      <c r="D276" s="2" t="s">
        <v>507</v>
      </c>
      <c r="E276" s="18" t="s">
        <v>2768</v>
      </c>
      <c r="F276" s="19">
        <v>45614</v>
      </c>
      <c r="G276" s="18">
        <v>3004734.48</v>
      </c>
      <c r="H276" s="37">
        <f t="shared" si="17"/>
        <v>75</v>
      </c>
      <c r="I276" s="37" t="str">
        <f t="shared" si="16"/>
        <v>0-120 DAYS</v>
      </c>
      <c r="J276" s="37" t="str">
        <f t="shared" si="18"/>
        <v>0-180 DAYS</v>
      </c>
      <c r="K276" t="s">
        <v>1730</v>
      </c>
      <c r="M276" t="s">
        <v>2870</v>
      </c>
      <c r="N276" s="66">
        <v>3004734.48</v>
      </c>
    </row>
    <row r="277" spans="1:14" x14ac:dyDescent="0.35">
      <c r="A277" s="88" t="s">
        <v>1085</v>
      </c>
      <c r="B277" s="2" t="s">
        <v>790</v>
      </c>
      <c r="C277" s="18" t="s">
        <v>540</v>
      </c>
      <c r="D277" s="2" t="s">
        <v>507</v>
      </c>
      <c r="E277" s="18" t="s">
        <v>2769</v>
      </c>
      <c r="F277" s="19">
        <v>45614</v>
      </c>
      <c r="G277" s="18">
        <v>2128842.0499999998</v>
      </c>
      <c r="H277" s="37">
        <f t="shared" si="17"/>
        <v>75</v>
      </c>
      <c r="I277" s="37" t="str">
        <f t="shared" si="16"/>
        <v>0-120 DAYS</v>
      </c>
      <c r="J277" s="37" t="str">
        <f t="shared" si="18"/>
        <v>0-180 DAYS</v>
      </c>
      <c r="K277" t="s">
        <v>1730</v>
      </c>
      <c r="M277" t="s">
        <v>2870</v>
      </c>
      <c r="N277" s="66">
        <v>2128842.0499999998</v>
      </c>
    </row>
    <row r="278" spans="1:14" x14ac:dyDescent="0.35">
      <c r="A278" s="88" t="s">
        <v>1085</v>
      </c>
      <c r="B278" s="2" t="s">
        <v>790</v>
      </c>
      <c r="C278" s="18" t="s">
        <v>588</v>
      </c>
      <c r="D278" s="2" t="s">
        <v>507</v>
      </c>
      <c r="E278" s="18" t="s">
        <v>2770</v>
      </c>
      <c r="F278" s="19">
        <v>45615</v>
      </c>
      <c r="G278" s="18">
        <f>3545308.8-3298097</f>
        <v>247211.79999999981</v>
      </c>
      <c r="H278" s="37">
        <f t="shared" si="17"/>
        <v>74</v>
      </c>
      <c r="I278" s="37" t="str">
        <f t="shared" si="16"/>
        <v>0-120 DAYS</v>
      </c>
      <c r="J278" s="37" t="str">
        <f t="shared" si="18"/>
        <v>0-180 DAYS</v>
      </c>
      <c r="K278" t="s">
        <v>1730</v>
      </c>
      <c r="M278" t="s">
        <v>2882</v>
      </c>
      <c r="N278" s="66">
        <v>247211.8</v>
      </c>
    </row>
    <row r="279" spans="1:14" s="157" customFormat="1" x14ac:dyDescent="0.35">
      <c r="A279" s="152" t="s">
        <v>1085</v>
      </c>
      <c r="B279" s="153" t="s">
        <v>790</v>
      </c>
      <c r="C279" s="154" t="s">
        <v>678</v>
      </c>
      <c r="D279" s="153" t="s">
        <v>507</v>
      </c>
      <c r="E279" s="154" t="s">
        <v>2771</v>
      </c>
      <c r="F279" s="155">
        <v>45615</v>
      </c>
      <c r="G279" s="154">
        <f>3767423.75-2389522</f>
        <v>1377901.75</v>
      </c>
      <c r="H279" s="156">
        <f t="shared" si="17"/>
        <v>74</v>
      </c>
      <c r="I279" s="156" t="str">
        <f t="shared" si="16"/>
        <v>0-120 DAYS</v>
      </c>
      <c r="J279" s="156" t="str">
        <f t="shared" si="18"/>
        <v>0-180 DAYS</v>
      </c>
      <c r="K279" t="s">
        <v>1730</v>
      </c>
      <c r="M279" t="s">
        <v>2882</v>
      </c>
      <c r="N279" s="66">
        <v>1377901.75</v>
      </c>
    </row>
    <row r="280" spans="1:14" x14ac:dyDescent="0.35">
      <c r="A280" s="88" t="s">
        <v>1085</v>
      </c>
      <c r="B280" s="2" t="s">
        <v>790</v>
      </c>
      <c r="C280" s="18" t="s">
        <v>588</v>
      </c>
      <c r="D280" s="2" t="s">
        <v>507</v>
      </c>
      <c r="E280" s="18" t="s">
        <v>2772</v>
      </c>
      <c r="F280" s="19">
        <v>45616</v>
      </c>
      <c r="G280" s="18">
        <v>3474315.68</v>
      </c>
      <c r="H280" s="37">
        <f t="shared" si="17"/>
        <v>73</v>
      </c>
      <c r="I280" s="37" t="str">
        <f t="shared" si="16"/>
        <v>0-120 DAYS</v>
      </c>
      <c r="J280" s="37" t="str">
        <f t="shared" si="18"/>
        <v>0-180 DAYS</v>
      </c>
      <c r="K280" t="s">
        <v>1730</v>
      </c>
      <c r="M280" t="s">
        <v>2883</v>
      </c>
      <c r="N280" s="66">
        <v>3474315.68</v>
      </c>
    </row>
    <row r="281" spans="1:14" x14ac:dyDescent="0.35">
      <c r="A281" s="88" t="s">
        <v>1085</v>
      </c>
      <c r="B281" s="2" t="s">
        <v>790</v>
      </c>
      <c r="C281" s="18" t="s">
        <v>584</v>
      </c>
      <c r="D281" s="2" t="s">
        <v>507</v>
      </c>
      <c r="E281" s="18" t="s">
        <v>2773</v>
      </c>
      <c r="F281" s="19">
        <v>45618</v>
      </c>
      <c r="G281" s="18">
        <v>2911177.11</v>
      </c>
      <c r="H281" s="37">
        <f t="shared" si="17"/>
        <v>71</v>
      </c>
      <c r="I281" s="37" t="str">
        <f t="shared" si="16"/>
        <v>0-120 DAYS</v>
      </c>
      <c r="J281" s="37" t="str">
        <f t="shared" si="18"/>
        <v>0-180 DAYS</v>
      </c>
      <c r="K281" t="s">
        <v>1730</v>
      </c>
      <c r="M281" t="s">
        <v>2880</v>
      </c>
      <c r="N281" s="66">
        <v>2911177.11</v>
      </c>
    </row>
    <row r="282" spans="1:14" x14ac:dyDescent="0.35">
      <c r="A282" s="88" t="s">
        <v>1085</v>
      </c>
      <c r="B282" s="2" t="s">
        <v>790</v>
      </c>
      <c r="C282" s="18" t="s">
        <v>588</v>
      </c>
      <c r="D282" s="2" t="s">
        <v>507</v>
      </c>
      <c r="E282" s="18" t="s">
        <v>2774</v>
      </c>
      <c r="F282" s="19">
        <v>45619</v>
      </c>
      <c r="G282" s="18">
        <v>3383592.96</v>
      </c>
      <c r="H282" s="37">
        <f t="shared" si="17"/>
        <v>70</v>
      </c>
      <c r="I282" s="37" t="str">
        <f t="shared" si="16"/>
        <v>0-120 DAYS</v>
      </c>
      <c r="J282" s="37" t="str">
        <f t="shared" si="18"/>
        <v>0-180 DAYS</v>
      </c>
      <c r="K282" t="s">
        <v>1730</v>
      </c>
      <c r="M282" t="s">
        <v>2872</v>
      </c>
      <c r="N282" s="66">
        <v>3383592.96</v>
      </c>
    </row>
    <row r="283" spans="1:14" x14ac:dyDescent="0.35">
      <c r="A283" s="88" t="s">
        <v>1085</v>
      </c>
      <c r="B283" s="2" t="s">
        <v>790</v>
      </c>
      <c r="C283" s="18" t="s">
        <v>584</v>
      </c>
      <c r="D283" s="2" t="s">
        <v>507</v>
      </c>
      <c r="E283" s="18" t="s">
        <v>2775</v>
      </c>
      <c r="F283" s="19">
        <v>45624</v>
      </c>
      <c r="G283" s="18">
        <v>2882582.5</v>
      </c>
      <c r="H283" s="37">
        <f t="shared" si="17"/>
        <v>65</v>
      </c>
      <c r="I283" s="37" t="str">
        <f t="shared" si="16"/>
        <v>0-120 DAYS</v>
      </c>
      <c r="J283" s="37" t="str">
        <f t="shared" si="18"/>
        <v>0-180 DAYS</v>
      </c>
      <c r="K283" t="s">
        <v>1730</v>
      </c>
      <c r="M283" t="s">
        <v>2881</v>
      </c>
      <c r="N283" s="66">
        <v>2882582.5</v>
      </c>
    </row>
    <row r="284" spans="1:14" x14ac:dyDescent="0.35">
      <c r="A284" s="88" t="s">
        <v>1085</v>
      </c>
      <c r="B284" s="2" t="s">
        <v>790</v>
      </c>
      <c r="C284" s="18" t="s">
        <v>588</v>
      </c>
      <c r="D284" s="2" t="s">
        <v>507</v>
      </c>
      <c r="E284" s="18" t="s">
        <v>2776</v>
      </c>
      <c r="F284" s="19">
        <v>45624</v>
      </c>
      <c r="G284" s="18">
        <v>3443835.12</v>
      </c>
      <c r="H284" s="37">
        <f t="shared" si="17"/>
        <v>65</v>
      </c>
      <c r="I284" s="37" t="str">
        <f t="shared" si="16"/>
        <v>0-120 DAYS</v>
      </c>
      <c r="J284" s="37" t="str">
        <f t="shared" si="18"/>
        <v>0-180 DAYS</v>
      </c>
      <c r="K284" t="s">
        <v>1730</v>
      </c>
      <c r="M284" t="s">
        <v>2881</v>
      </c>
      <c r="N284" s="66">
        <v>3443835.12</v>
      </c>
    </row>
    <row r="285" spans="1:14" x14ac:dyDescent="0.35">
      <c r="A285" s="88" t="s">
        <v>1085</v>
      </c>
      <c r="B285" s="2" t="s">
        <v>790</v>
      </c>
      <c r="C285" s="18" t="s">
        <v>2678</v>
      </c>
      <c r="D285" s="2" t="s">
        <v>507</v>
      </c>
      <c r="E285" s="18" t="s">
        <v>2777</v>
      </c>
      <c r="F285" s="19">
        <v>45625</v>
      </c>
      <c r="G285" s="18">
        <v>1524663.36</v>
      </c>
      <c r="H285" s="37">
        <f t="shared" si="17"/>
        <v>64</v>
      </c>
      <c r="I285" s="37" t="str">
        <f t="shared" si="16"/>
        <v>0-120 DAYS</v>
      </c>
      <c r="J285" s="37" t="str">
        <f t="shared" si="18"/>
        <v>0-180 DAYS</v>
      </c>
      <c r="K285" t="s">
        <v>1730</v>
      </c>
      <c r="M285" t="s">
        <v>2877</v>
      </c>
      <c r="N285" s="66">
        <v>1524663.36</v>
      </c>
    </row>
    <row r="286" spans="1:14" x14ac:dyDescent="0.35">
      <c r="A286" s="88" t="s">
        <v>1085</v>
      </c>
      <c r="B286" s="2" t="s">
        <v>790</v>
      </c>
      <c r="C286" s="18" t="s">
        <v>678</v>
      </c>
      <c r="D286" s="2" t="s">
        <v>507</v>
      </c>
      <c r="E286" s="18" t="s">
        <v>2778</v>
      </c>
      <c r="F286" s="19">
        <v>45626</v>
      </c>
      <c r="G286" s="18">
        <v>3730745.7</v>
      </c>
      <c r="H286" s="37">
        <f t="shared" si="17"/>
        <v>63</v>
      </c>
      <c r="I286" s="37" t="str">
        <f t="shared" si="16"/>
        <v>0-120 DAYS</v>
      </c>
      <c r="J286" s="37" t="str">
        <f t="shared" si="18"/>
        <v>0-180 DAYS</v>
      </c>
      <c r="K286" t="s">
        <v>1730</v>
      </c>
      <c r="M286" t="s">
        <v>2860</v>
      </c>
      <c r="N286" s="66">
        <v>3730745.7</v>
      </c>
    </row>
    <row r="287" spans="1:14" x14ac:dyDescent="0.35">
      <c r="A287" s="88" t="s">
        <v>1085</v>
      </c>
      <c r="B287" s="2" t="s">
        <v>790</v>
      </c>
      <c r="C287" s="18" t="s">
        <v>681</v>
      </c>
      <c r="D287" s="2" t="s">
        <v>507</v>
      </c>
      <c r="E287" s="18" t="s">
        <v>2779</v>
      </c>
      <c r="F287" s="19">
        <v>45601</v>
      </c>
      <c r="G287" s="18">
        <v>3585225.28</v>
      </c>
      <c r="H287" s="37">
        <f t="shared" si="17"/>
        <v>88</v>
      </c>
      <c r="I287" s="37" t="str">
        <f t="shared" si="16"/>
        <v>0-120 DAYS</v>
      </c>
      <c r="J287" s="37" t="str">
        <f t="shared" si="18"/>
        <v>0-180 DAYS</v>
      </c>
      <c r="K287" t="s">
        <v>1730</v>
      </c>
      <c r="M287" t="s">
        <v>2861</v>
      </c>
      <c r="N287" s="66">
        <v>3585225.28</v>
      </c>
    </row>
    <row r="288" spans="1:14" x14ac:dyDescent="0.35">
      <c r="A288" s="88" t="s">
        <v>1085</v>
      </c>
      <c r="B288" s="2" t="s">
        <v>790</v>
      </c>
      <c r="C288" s="18" t="s">
        <v>538</v>
      </c>
      <c r="D288" s="2" t="s">
        <v>507</v>
      </c>
      <c r="E288" s="18" t="s">
        <v>2780</v>
      </c>
      <c r="F288" s="19">
        <v>45607</v>
      </c>
      <c r="G288" s="18">
        <v>3504386.16</v>
      </c>
      <c r="H288" s="37">
        <f t="shared" si="17"/>
        <v>82</v>
      </c>
      <c r="I288" s="37" t="str">
        <f t="shared" si="16"/>
        <v>0-120 DAYS</v>
      </c>
      <c r="J288" s="37" t="str">
        <f t="shared" si="18"/>
        <v>0-180 DAYS</v>
      </c>
      <c r="K288" t="s">
        <v>1730</v>
      </c>
      <c r="M288" t="s">
        <v>2879</v>
      </c>
      <c r="N288" s="66">
        <v>3504386.16</v>
      </c>
    </row>
    <row r="289" spans="1:14" x14ac:dyDescent="0.35">
      <c r="A289" s="88" t="s">
        <v>1085</v>
      </c>
      <c r="B289" s="2" t="s">
        <v>790</v>
      </c>
      <c r="C289" s="18" t="s">
        <v>573</v>
      </c>
      <c r="D289" s="2" t="s">
        <v>507</v>
      </c>
      <c r="E289" s="18" t="s">
        <v>2781</v>
      </c>
      <c r="F289" s="19">
        <v>45607</v>
      </c>
      <c r="G289" s="18">
        <v>3426966.17</v>
      </c>
      <c r="H289" s="37">
        <f t="shared" si="17"/>
        <v>82</v>
      </c>
      <c r="I289" s="37" t="str">
        <f t="shared" si="16"/>
        <v>0-120 DAYS</v>
      </c>
      <c r="J289" s="37" t="str">
        <f t="shared" si="18"/>
        <v>0-180 DAYS</v>
      </c>
      <c r="K289" t="s">
        <v>1730</v>
      </c>
      <c r="M289" t="s">
        <v>2879</v>
      </c>
      <c r="N289" s="66">
        <v>3426966.17</v>
      </c>
    </row>
    <row r="290" spans="1:14" x14ac:dyDescent="0.35">
      <c r="A290" s="88" t="s">
        <v>1085</v>
      </c>
      <c r="B290" s="2" t="s">
        <v>790</v>
      </c>
      <c r="C290" s="18" t="s">
        <v>538</v>
      </c>
      <c r="D290" s="2" t="s">
        <v>507</v>
      </c>
      <c r="E290" s="18" t="s">
        <v>2782</v>
      </c>
      <c r="F290" s="19">
        <v>45611</v>
      </c>
      <c r="G290" s="18">
        <v>3170106.22</v>
      </c>
      <c r="H290" s="37">
        <f t="shared" si="17"/>
        <v>78</v>
      </c>
      <c r="I290" s="37" t="str">
        <f t="shared" si="16"/>
        <v>0-120 DAYS</v>
      </c>
      <c r="J290" s="37" t="str">
        <f t="shared" si="18"/>
        <v>0-180 DAYS</v>
      </c>
      <c r="K290" t="s">
        <v>1730</v>
      </c>
      <c r="M290" t="s">
        <v>2867</v>
      </c>
      <c r="N290" s="66">
        <v>3170106.22</v>
      </c>
    </row>
    <row r="291" spans="1:14" x14ac:dyDescent="0.35">
      <c r="A291" s="88" t="s">
        <v>1085</v>
      </c>
      <c r="B291" s="2" t="s">
        <v>790</v>
      </c>
      <c r="C291" s="18" t="s">
        <v>647</v>
      </c>
      <c r="D291" s="2" t="s">
        <v>507</v>
      </c>
      <c r="E291" s="18" t="s">
        <v>2783</v>
      </c>
      <c r="F291" s="19">
        <v>45619</v>
      </c>
      <c r="G291" s="18">
        <v>3696792.4</v>
      </c>
      <c r="H291" s="37">
        <f t="shared" si="17"/>
        <v>70</v>
      </c>
      <c r="I291" s="37" t="str">
        <f t="shared" si="16"/>
        <v>0-120 DAYS</v>
      </c>
      <c r="J291" s="37" t="str">
        <f t="shared" si="18"/>
        <v>0-180 DAYS</v>
      </c>
      <c r="K291" t="s">
        <v>1730</v>
      </c>
      <c r="M291" t="s">
        <v>2872</v>
      </c>
      <c r="N291" s="66">
        <v>3696792.4</v>
      </c>
    </row>
    <row r="292" spans="1:14" x14ac:dyDescent="0.35">
      <c r="A292" s="88" t="s">
        <v>1085</v>
      </c>
      <c r="B292" s="2" t="s">
        <v>790</v>
      </c>
      <c r="C292" s="18" t="s">
        <v>647</v>
      </c>
      <c r="D292" s="2" t="s">
        <v>507</v>
      </c>
      <c r="E292" s="18" t="s">
        <v>2784</v>
      </c>
      <c r="F292" s="19">
        <v>45619</v>
      </c>
      <c r="G292" s="18">
        <v>3696792.01</v>
      </c>
      <c r="H292" s="37">
        <f t="shared" si="17"/>
        <v>70</v>
      </c>
      <c r="I292" s="37" t="str">
        <f t="shared" si="16"/>
        <v>0-120 DAYS</v>
      </c>
      <c r="J292" s="37" t="str">
        <f t="shared" si="18"/>
        <v>0-180 DAYS</v>
      </c>
      <c r="K292" t="s">
        <v>1730</v>
      </c>
      <c r="M292" t="s">
        <v>2872</v>
      </c>
      <c r="N292" s="66">
        <v>3696792.01</v>
      </c>
    </row>
    <row r="293" spans="1:14" x14ac:dyDescent="0.35">
      <c r="A293" s="88" t="s">
        <v>1085</v>
      </c>
      <c r="B293" s="2" t="s">
        <v>790</v>
      </c>
      <c r="C293" s="18" t="s">
        <v>573</v>
      </c>
      <c r="D293" s="2" t="s">
        <v>507</v>
      </c>
      <c r="E293" s="18" t="s">
        <v>2785</v>
      </c>
      <c r="F293" s="19">
        <v>45622</v>
      </c>
      <c r="G293" s="18">
        <v>3890175.98</v>
      </c>
      <c r="H293" s="37">
        <f t="shared" si="17"/>
        <v>67</v>
      </c>
      <c r="I293" s="37" t="str">
        <f t="shared" si="16"/>
        <v>0-120 DAYS</v>
      </c>
      <c r="J293" s="37" t="str">
        <f t="shared" si="18"/>
        <v>0-180 DAYS</v>
      </c>
      <c r="K293" t="s">
        <v>1730</v>
      </c>
      <c r="M293" t="s">
        <v>2875</v>
      </c>
      <c r="N293" s="66">
        <v>3890175.98</v>
      </c>
    </row>
    <row r="294" spans="1:14" x14ac:dyDescent="0.35">
      <c r="A294" s="88" t="s">
        <v>1085</v>
      </c>
      <c r="B294" s="2" t="s">
        <v>790</v>
      </c>
      <c r="C294" s="18" t="s">
        <v>573</v>
      </c>
      <c r="D294" s="2" t="s">
        <v>507</v>
      </c>
      <c r="E294" s="18" t="s">
        <v>2786</v>
      </c>
      <c r="F294" s="19">
        <v>45623</v>
      </c>
      <c r="G294" s="18">
        <v>3161660.04</v>
      </c>
      <c r="H294" s="37">
        <f t="shared" si="17"/>
        <v>66</v>
      </c>
      <c r="I294" s="37" t="str">
        <f t="shared" si="16"/>
        <v>0-120 DAYS</v>
      </c>
      <c r="J294" s="37" t="str">
        <f t="shared" si="18"/>
        <v>0-180 DAYS</v>
      </c>
      <c r="K294" t="s">
        <v>1730</v>
      </c>
      <c r="M294" t="s">
        <v>2876</v>
      </c>
      <c r="N294" s="66">
        <v>3161660.04</v>
      </c>
    </row>
    <row r="295" spans="1:14" x14ac:dyDescent="0.35">
      <c r="A295" s="88" t="s">
        <v>1085</v>
      </c>
      <c r="B295" s="2" t="s">
        <v>790</v>
      </c>
      <c r="C295" s="18" t="s">
        <v>647</v>
      </c>
      <c r="D295" s="2" t="s">
        <v>507</v>
      </c>
      <c r="E295" s="18" t="s">
        <v>2787</v>
      </c>
      <c r="F295" s="19">
        <v>45625</v>
      </c>
      <c r="G295" s="18">
        <v>3696792.09</v>
      </c>
      <c r="H295" s="37">
        <f t="shared" si="17"/>
        <v>64</v>
      </c>
      <c r="I295" s="37" t="str">
        <f t="shared" si="16"/>
        <v>0-120 DAYS</v>
      </c>
      <c r="J295" s="37" t="str">
        <f t="shared" si="18"/>
        <v>0-180 DAYS</v>
      </c>
      <c r="K295" t="s">
        <v>1730</v>
      </c>
      <c r="M295" t="s">
        <v>2877</v>
      </c>
      <c r="N295" s="66">
        <v>3696792.09</v>
      </c>
    </row>
    <row r="296" spans="1:14" x14ac:dyDescent="0.35">
      <c r="A296" s="88" t="s">
        <v>1085</v>
      </c>
      <c r="B296" s="2" t="s">
        <v>790</v>
      </c>
      <c r="C296" s="18" t="s">
        <v>588</v>
      </c>
      <c r="D296" s="2" t="s">
        <v>507</v>
      </c>
      <c r="E296" s="18" t="s">
        <v>2788</v>
      </c>
      <c r="F296" s="19">
        <v>45625</v>
      </c>
      <c r="G296" s="18">
        <v>3344112.86</v>
      </c>
      <c r="H296" s="37">
        <f t="shared" si="17"/>
        <v>64</v>
      </c>
      <c r="I296" s="37" t="str">
        <f t="shared" si="16"/>
        <v>0-120 DAYS</v>
      </c>
      <c r="J296" s="37" t="str">
        <f t="shared" si="18"/>
        <v>0-180 DAYS</v>
      </c>
      <c r="K296" t="s">
        <v>1730</v>
      </c>
      <c r="M296" t="s">
        <v>2877</v>
      </c>
      <c r="N296" s="66">
        <v>3344112.86</v>
      </c>
    </row>
    <row r="297" spans="1:14" x14ac:dyDescent="0.35">
      <c r="A297" s="2" t="s">
        <v>477</v>
      </c>
      <c r="B297" s="2" t="s">
        <v>790</v>
      </c>
      <c r="C297" s="18" t="s">
        <v>2380</v>
      </c>
      <c r="D297" s="18" t="s">
        <v>1081</v>
      </c>
      <c r="E297" s="18" t="s">
        <v>2790</v>
      </c>
      <c r="F297" s="19">
        <v>45607</v>
      </c>
      <c r="G297" s="18">
        <v>1490376.96</v>
      </c>
      <c r="H297" s="37">
        <f t="shared" si="17"/>
        <v>82</v>
      </c>
      <c r="I297" s="37" t="str">
        <f t="shared" ref="I297:I358" si="19">IF(H297&lt;91,"1-90 DAYS",IF(H297&lt;121,"91-120DAYS",IF(H297&lt;181,"121-180 DAYS","More than 180 Days")))</f>
        <v>1-90 DAYS</v>
      </c>
      <c r="J297" s="37" t="str">
        <f t="shared" si="18"/>
        <v>0-180 DAYS</v>
      </c>
      <c r="K297" t="s">
        <v>1730</v>
      </c>
      <c r="M297" t="s">
        <v>2879</v>
      </c>
      <c r="N297" s="66">
        <v>1490376.96</v>
      </c>
    </row>
    <row r="298" spans="1:14" x14ac:dyDescent="0.35">
      <c r="A298" s="2" t="s">
        <v>477</v>
      </c>
      <c r="B298" s="2" t="s">
        <v>790</v>
      </c>
      <c r="C298" s="18" t="s">
        <v>2789</v>
      </c>
      <c r="D298" s="18" t="s">
        <v>2801</v>
      </c>
      <c r="E298" s="18" t="s">
        <v>2791</v>
      </c>
      <c r="F298" s="19">
        <v>45607</v>
      </c>
      <c r="G298" s="18">
        <v>27803049.120000001</v>
      </c>
      <c r="H298" s="37">
        <f t="shared" si="17"/>
        <v>82</v>
      </c>
      <c r="I298" s="37" t="str">
        <f t="shared" si="19"/>
        <v>1-90 DAYS</v>
      </c>
      <c r="J298" s="37" t="str">
        <f t="shared" si="18"/>
        <v>0-180 DAYS</v>
      </c>
      <c r="K298" t="s">
        <v>1730</v>
      </c>
      <c r="M298" t="s">
        <v>2879</v>
      </c>
      <c r="N298" s="66">
        <v>27803049.120000001</v>
      </c>
    </row>
    <row r="299" spans="1:14" x14ac:dyDescent="0.35">
      <c r="A299" s="2" t="s">
        <v>477</v>
      </c>
      <c r="B299" s="2" t="s">
        <v>790</v>
      </c>
      <c r="C299" s="18" t="s">
        <v>2321</v>
      </c>
      <c r="D299" s="18" t="s">
        <v>2347</v>
      </c>
      <c r="E299" s="18" t="s">
        <v>315</v>
      </c>
      <c r="F299" s="19">
        <v>45609</v>
      </c>
      <c r="G299" s="18">
        <v>40000</v>
      </c>
      <c r="H299" s="37">
        <f t="shared" si="17"/>
        <v>80</v>
      </c>
      <c r="I299" s="37" t="str">
        <f t="shared" si="19"/>
        <v>1-90 DAYS</v>
      </c>
      <c r="J299" s="37" t="str">
        <f t="shared" si="18"/>
        <v>0-180 DAYS</v>
      </c>
      <c r="K299" t="s">
        <v>1730</v>
      </c>
      <c r="M299" t="s">
        <v>2865</v>
      </c>
      <c r="N299" s="66">
        <v>40000</v>
      </c>
    </row>
    <row r="300" spans="1:14" x14ac:dyDescent="0.35">
      <c r="A300" s="2" t="s">
        <v>477</v>
      </c>
      <c r="B300" s="2" t="s">
        <v>790</v>
      </c>
      <c r="C300" s="18" t="s">
        <v>2380</v>
      </c>
      <c r="D300" s="18" t="s">
        <v>1081</v>
      </c>
      <c r="E300" s="18" t="s">
        <v>321</v>
      </c>
      <c r="F300" s="19">
        <v>45610</v>
      </c>
      <c r="G300" s="18">
        <v>1490376.94</v>
      </c>
      <c r="H300" s="37">
        <f t="shared" si="17"/>
        <v>79</v>
      </c>
      <c r="I300" s="37" t="str">
        <f t="shared" si="19"/>
        <v>1-90 DAYS</v>
      </c>
      <c r="J300" s="37" t="str">
        <f t="shared" si="18"/>
        <v>0-180 DAYS</v>
      </c>
      <c r="K300" t="s">
        <v>1730</v>
      </c>
      <c r="M300" t="s">
        <v>2866</v>
      </c>
      <c r="N300" s="66">
        <v>1490376.94</v>
      </c>
    </row>
    <row r="301" spans="1:14" x14ac:dyDescent="0.35">
      <c r="A301" s="2" t="s">
        <v>477</v>
      </c>
      <c r="B301" s="2" t="s">
        <v>790</v>
      </c>
      <c r="C301" s="18" t="s">
        <v>2380</v>
      </c>
      <c r="D301" s="18" t="s">
        <v>1081</v>
      </c>
      <c r="E301" s="18" t="s">
        <v>2792</v>
      </c>
      <c r="F301" s="19">
        <v>45610</v>
      </c>
      <c r="G301" s="18">
        <v>465526.58</v>
      </c>
      <c r="H301" s="37">
        <f t="shared" si="17"/>
        <v>79</v>
      </c>
      <c r="I301" s="37" t="str">
        <f t="shared" si="19"/>
        <v>1-90 DAYS</v>
      </c>
      <c r="J301" s="37" t="str">
        <f t="shared" si="18"/>
        <v>0-180 DAYS</v>
      </c>
      <c r="K301" t="s">
        <v>1730</v>
      </c>
      <c r="M301" t="s">
        <v>2866</v>
      </c>
      <c r="N301" s="66">
        <v>465526.58</v>
      </c>
    </row>
    <row r="302" spans="1:14" x14ac:dyDescent="0.35">
      <c r="A302" s="2" t="s">
        <v>477</v>
      </c>
      <c r="B302" s="2" t="s">
        <v>790</v>
      </c>
      <c r="C302" s="18" t="s">
        <v>2380</v>
      </c>
      <c r="D302" s="18" t="s">
        <v>1081</v>
      </c>
      <c r="E302" s="18" t="s">
        <v>327</v>
      </c>
      <c r="F302" s="19">
        <v>45611</v>
      </c>
      <c r="G302" s="18">
        <v>698290.38</v>
      </c>
      <c r="H302" s="37">
        <f t="shared" si="17"/>
        <v>78</v>
      </c>
      <c r="I302" s="37" t="str">
        <f t="shared" si="19"/>
        <v>1-90 DAYS</v>
      </c>
      <c r="J302" s="37" t="str">
        <f t="shared" si="18"/>
        <v>0-180 DAYS</v>
      </c>
      <c r="K302" t="s">
        <v>1730</v>
      </c>
      <c r="M302" t="s">
        <v>2867</v>
      </c>
      <c r="N302" s="66">
        <v>698290.38</v>
      </c>
    </row>
    <row r="303" spans="1:14" x14ac:dyDescent="0.35">
      <c r="A303" s="2" t="s">
        <v>477</v>
      </c>
      <c r="B303" s="2" t="s">
        <v>790</v>
      </c>
      <c r="C303" s="18" t="s">
        <v>2380</v>
      </c>
      <c r="D303" s="18" t="s">
        <v>1081</v>
      </c>
      <c r="E303" s="18" t="s">
        <v>2793</v>
      </c>
      <c r="F303" s="19">
        <v>45614</v>
      </c>
      <c r="G303" s="18">
        <v>1156339.3999999999</v>
      </c>
      <c r="H303" s="37">
        <f t="shared" si="17"/>
        <v>75</v>
      </c>
      <c r="I303" s="37" t="str">
        <f t="shared" si="19"/>
        <v>1-90 DAYS</v>
      </c>
      <c r="J303" s="37" t="str">
        <f t="shared" si="18"/>
        <v>0-180 DAYS</v>
      </c>
      <c r="K303" t="s">
        <v>1730</v>
      </c>
      <c r="M303" t="s">
        <v>2870</v>
      </c>
      <c r="N303" s="66">
        <v>1156339.3999999999</v>
      </c>
    </row>
    <row r="304" spans="1:14" x14ac:dyDescent="0.35">
      <c r="A304" s="2" t="s">
        <v>477</v>
      </c>
      <c r="B304" s="2" t="s">
        <v>790</v>
      </c>
      <c r="C304" s="18" t="s">
        <v>2380</v>
      </c>
      <c r="D304" s="18" t="s">
        <v>1081</v>
      </c>
      <c r="E304" s="18" t="s">
        <v>369</v>
      </c>
      <c r="F304" s="19">
        <v>45621</v>
      </c>
      <c r="G304" s="18">
        <v>1490376.94</v>
      </c>
      <c r="H304" s="37">
        <f t="shared" si="17"/>
        <v>68</v>
      </c>
      <c r="I304" s="37" t="str">
        <f t="shared" si="19"/>
        <v>1-90 DAYS</v>
      </c>
      <c r="J304" s="37" t="str">
        <f t="shared" si="18"/>
        <v>0-180 DAYS</v>
      </c>
      <c r="K304" t="s">
        <v>1730</v>
      </c>
      <c r="M304" t="s">
        <v>2874</v>
      </c>
      <c r="N304" s="66">
        <v>1490376.94</v>
      </c>
    </row>
    <row r="305" spans="1:14" x14ac:dyDescent="0.35">
      <c r="A305" s="2" t="s">
        <v>477</v>
      </c>
      <c r="B305" s="2" t="s">
        <v>790</v>
      </c>
      <c r="C305" s="18" t="s">
        <v>2380</v>
      </c>
      <c r="D305" s="18" t="s">
        <v>1081</v>
      </c>
      <c r="E305" s="18" t="s">
        <v>376</v>
      </c>
      <c r="F305" s="19">
        <v>45622</v>
      </c>
      <c r="G305" s="18">
        <v>1387607.48</v>
      </c>
      <c r="H305" s="37">
        <f t="shared" si="17"/>
        <v>67</v>
      </c>
      <c r="I305" s="37" t="str">
        <f t="shared" si="19"/>
        <v>1-90 DAYS</v>
      </c>
      <c r="J305" s="37" t="str">
        <f t="shared" si="18"/>
        <v>0-180 DAYS</v>
      </c>
      <c r="K305" t="s">
        <v>1730</v>
      </c>
      <c r="M305" t="s">
        <v>2875</v>
      </c>
      <c r="N305" s="66">
        <v>1387607.48</v>
      </c>
    </row>
    <row r="306" spans="1:14" x14ac:dyDescent="0.35">
      <c r="A306" s="2" t="s">
        <v>477</v>
      </c>
      <c r="B306" s="2" t="s">
        <v>790</v>
      </c>
      <c r="C306" s="18" t="s">
        <v>2380</v>
      </c>
      <c r="D306" s="18" t="s">
        <v>1081</v>
      </c>
      <c r="E306" s="18" t="s">
        <v>377</v>
      </c>
      <c r="F306" s="19">
        <v>45622</v>
      </c>
      <c r="G306" s="18">
        <v>1248065.3999999999</v>
      </c>
      <c r="H306" s="37">
        <f t="shared" si="17"/>
        <v>67</v>
      </c>
      <c r="I306" s="37" t="str">
        <f t="shared" si="19"/>
        <v>1-90 DAYS</v>
      </c>
      <c r="J306" s="37" t="str">
        <f t="shared" si="18"/>
        <v>0-180 DAYS</v>
      </c>
      <c r="K306" t="s">
        <v>1730</v>
      </c>
      <c r="M306" t="s">
        <v>2875</v>
      </c>
      <c r="N306" s="66">
        <v>1248065.3999999999</v>
      </c>
    </row>
    <row r="307" spans="1:14" x14ac:dyDescent="0.35">
      <c r="A307" s="2" t="s">
        <v>477</v>
      </c>
      <c r="B307" s="2" t="s">
        <v>790</v>
      </c>
      <c r="C307" s="18" t="s">
        <v>2380</v>
      </c>
      <c r="D307" s="18" t="s">
        <v>1081</v>
      </c>
      <c r="E307" s="18" t="s">
        <v>387</v>
      </c>
      <c r="F307" s="19">
        <v>45623</v>
      </c>
      <c r="G307" s="18">
        <v>230876.79999999999</v>
      </c>
      <c r="H307" s="37">
        <f t="shared" si="17"/>
        <v>66</v>
      </c>
      <c r="I307" s="37" t="str">
        <f t="shared" si="19"/>
        <v>1-90 DAYS</v>
      </c>
      <c r="J307" s="37" t="str">
        <f t="shared" si="18"/>
        <v>0-180 DAYS</v>
      </c>
      <c r="K307" t="s">
        <v>1730</v>
      </c>
      <c r="M307" t="s">
        <v>2876</v>
      </c>
      <c r="N307" s="66">
        <v>230876.79999999999</v>
      </c>
    </row>
    <row r="308" spans="1:14" x14ac:dyDescent="0.35">
      <c r="A308" s="2" t="s">
        <v>477</v>
      </c>
      <c r="B308" s="2" t="s">
        <v>790</v>
      </c>
      <c r="C308" s="18" t="s">
        <v>2380</v>
      </c>
      <c r="D308" s="18" t="s">
        <v>1081</v>
      </c>
      <c r="E308" s="18" t="s">
        <v>388</v>
      </c>
      <c r="F308" s="19">
        <v>45623</v>
      </c>
      <c r="G308" s="18">
        <v>57719.199999999997</v>
      </c>
      <c r="H308" s="37">
        <f t="shared" si="17"/>
        <v>66</v>
      </c>
      <c r="I308" s="37" t="str">
        <f t="shared" si="19"/>
        <v>1-90 DAYS</v>
      </c>
      <c r="J308" s="37" t="str">
        <f t="shared" si="18"/>
        <v>0-180 DAYS</v>
      </c>
      <c r="K308" t="s">
        <v>1730</v>
      </c>
      <c r="M308" t="s">
        <v>2876</v>
      </c>
      <c r="N308" s="66">
        <v>57719.199999999997</v>
      </c>
    </row>
    <row r="309" spans="1:14" x14ac:dyDescent="0.35">
      <c r="A309" s="2" t="s">
        <v>477</v>
      </c>
      <c r="B309" s="2" t="s">
        <v>790</v>
      </c>
      <c r="C309" s="18" t="s">
        <v>2380</v>
      </c>
      <c r="D309" s="18" t="s">
        <v>1081</v>
      </c>
      <c r="E309" s="18" t="s">
        <v>389</v>
      </c>
      <c r="F309" s="19">
        <v>45623</v>
      </c>
      <c r="G309" s="18">
        <v>1156929.3999999999</v>
      </c>
      <c r="H309" s="37">
        <f t="shared" si="17"/>
        <v>66</v>
      </c>
      <c r="I309" s="37" t="str">
        <f t="shared" si="19"/>
        <v>1-90 DAYS</v>
      </c>
      <c r="J309" s="37" t="str">
        <f t="shared" si="18"/>
        <v>0-180 DAYS</v>
      </c>
      <c r="K309" t="s">
        <v>1730</v>
      </c>
      <c r="M309" t="s">
        <v>2876</v>
      </c>
      <c r="N309" s="66">
        <v>1156929.3999999999</v>
      </c>
    </row>
    <row r="310" spans="1:14" x14ac:dyDescent="0.35">
      <c r="A310" s="2" t="s">
        <v>477</v>
      </c>
      <c r="B310" s="2" t="s">
        <v>790</v>
      </c>
      <c r="C310" s="18" t="s">
        <v>2526</v>
      </c>
      <c r="D310" s="18" t="s">
        <v>2528</v>
      </c>
      <c r="E310" s="18" t="s">
        <v>381</v>
      </c>
      <c r="F310" s="19">
        <v>45623</v>
      </c>
      <c r="G310" s="18">
        <v>102256.44</v>
      </c>
      <c r="H310" s="37">
        <f t="shared" si="17"/>
        <v>66</v>
      </c>
      <c r="I310" s="37" t="str">
        <f t="shared" si="19"/>
        <v>1-90 DAYS</v>
      </c>
      <c r="J310" s="37" t="str">
        <f t="shared" si="18"/>
        <v>0-180 DAYS</v>
      </c>
      <c r="K310" t="s">
        <v>1730</v>
      </c>
      <c r="M310" t="s">
        <v>2876</v>
      </c>
      <c r="N310" s="66">
        <v>102256.44</v>
      </c>
    </row>
    <row r="311" spans="1:14" x14ac:dyDescent="0.35">
      <c r="A311" s="2" t="s">
        <v>477</v>
      </c>
      <c r="B311" s="2" t="s">
        <v>790</v>
      </c>
      <c r="C311" s="18" t="s">
        <v>2380</v>
      </c>
      <c r="D311" s="18" t="s">
        <v>1081</v>
      </c>
      <c r="E311" s="18" t="s">
        <v>396</v>
      </c>
      <c r="F311" s="19">
        <v>45624</v>
      </c>
      <c r="G311" s="18">
        <v>115693.04</v>
      </c>
      <c r="H311" s="37">
        <f t="shared" si="17"/>
        <v>65</v>
      </c>
      <c r="I311" s="37" t="str">
        <f t="shared" si="19"/>
        <v>1-90 DAYS</v>
      </c>
      <c r="J311" s="37" t="str">
        <f t="shared" si="18"/>
        <v>0-180 DAYS</v>
      </c>
      <c r="K311" t="s">
        <v>1730</v>
      </c>
      <c r="M311" t="s">
        <v>2881</v>
      </c>
      <c r="N311" s="66">
        <v>115693.04</v>
      </c>
    </row>
    <row r="312" spans="1:14" x14ac:dyDescent="0.35">
      <c r="A312" s="2" t="s">
        <v>477</v>
      </c>
      <c r="B312" s="2" t="s">
        <v>790</v>
      </c>
      <c r="C312" s="18" t="s">
        <v>2380</v>
      </c>
      <c r="D312" s="18" t="s">
        <v>1081</v>
      </c>
      <c r="E312" s="18" t="s">
        <v>398</v>
      </c>
      <c r="F312" s="19">
        <v>45625</v>
      </c>
      <c r="G312" s="18">
        <v>1041236.36</v>
      </c>
      <c r="H312" s="37">
        <f t="shared" si="17"/>
        <v>64</v>
      </c>
      <c r="I312" s="37" t="str">
        <f t="shared" si="19"/>
        <v>1-90 DAYS</v>
      </c>
      <c r="J312" s="37" t="str">
        <f t="shared" si="18"/>
        <v>0-180 DAYS</v>
      </c>
      <c r="K312" t="s">
        <v>1730</v>
      </c>
      <c r="M312" t="s">
        <v>2877</v>
      </c>
      <c r="N312" s="66">
        <v>1041236.36</v>
      </c>
    </row>
    <row r="313" spans="1:14" x14ac:dyDescent="0.35">
      <c r="A313" s="2" t="s">
        <v>477</v>
      </c>
      <c r="B313" s="2" t="s">
        <v>790</v>
      </c>
      <c r="C313" s="18" t="s">
        <v>2380</v>
      </c>
      <c r="D313" s="18" t="s">
        <v>1081</v>
      </c>
      <c r="E313" s="18" t="s">
        <v>399</v>
      </c>
      <c r="F313" s="19">
        <v>45625</v>
      </c>
      <c r="G313" s="18">
        <v>349145.18</v>
      </c>
      <c r="H313" s="37">
        <f t="shared" si="17"/>
        <v>64</v>
      </c>
      <c r="I313" s="37" t="str">
        <f t="shared" si="19"/>
        <v>1-90 DAYS</v>
      </c>
      <c r="J313" s="37" t="str">
        <f t="shared" si="18"/>
        <v>0-180 DAYS</v>
      </c>
      <c r="K313" t="s">
        <v>1730</v>
      </c>
      <c r="M313" t="s">
        <v>2877</v>
      </c>
      <c r="N313" s="66">
        <v>349145.18</v>
      </c>
    </row>
    <row r="314" spans="1:14" x14ac:dyDescent="0.35">
      <c r="A314" s="2" t="s">
        <v>477</v>
      </c>
      <c r="B314" s="2" t="s">
        <v>790</v>
      </c>
      <c r="C314" s="18" t="s">
        <v>2380</v>
      </c>
      <c r="D314" s="18" t="s">
        <v>1081</v>
      </c>
      <c r="E314" s="18" t="s">
        <v>400</v>
      </c>
      <c r="F314" s="19">
        <v>45625</v>
      </c>
      <c r="G314" s="18">
        <v>2892323</v>
      </c>
      <c r="H314" s="37">
        <f t="shared" si="17"/>
        <v>64</v>
      </c>
      <c r="I314" s="37" t="str">
        <f t="shared" si="19"/>
        <v>1-90 DAYS</v>
      </c>
      <c r="J314" s="37" t="str">
        <f t="shared" si="18"/>
        <v>0-180 DAYS</v>
      </c>
      <c r="K314" t="s">
        <v>1730</v>
      </c>
      <c r="M314" t="s">
        <v>2877</v>
      </c>
      <c r="N314" s="66">
        <v>2892323</v>
      </c>
    </row>
    <row r="315" spans="1:14" x14ac:dyDescent="0.35">
      <c r="A315" s="2" t="s">
        <v>477</v>
      </c>
      <c r="B315" s="2" t="s">
        <v>790</v>
      </c>
      <c r="C315" s="18" t="s">
        <v>2380</v>
      </c>
      <c r="D315" s="18" t="s">
        <v>1081</v>
      </c>
      <c r="E315" s="18" t="s">
        <v>2795</v>
      </c>
      <c r="F315" s="19">
        <v>45626</v>
      </c>
      <c r="G315" s="18">
        <v>465526.58</v>
      </c>
      <c r="H315" s="37">
        <f t="shared" si="17"/>
        <v>63</v>
      </c>
      <c r="I315" s="37" t="str">
        <f t="shared" si="19"/>
        <v>1-90 DAYS</v>
      </c>
      <c r="J315" s="37" t="str">
        <f t="shared" si="18"/>
        <v>0-180 DAYS</v>
      </c>
      <c r="K315" t="s">
        <v>1730</v>
      </c>
      <c r="M315" t="s">
        <v>2860</v>
      </c>
      <c r="N315" s="66">
        <v>465526.58</v>
      </c>
    </row>
    <row r="316" spans="1:14" x14ac:dyDescent="0.35">
      <c r="A316" s="2" t="s">
        <v>477</v>
      </c>
      <c r="B316" s="2" t="s">
        <v>790</v>
      </c>
      <c r="C316" s="18" t="s">
        <v>2380</v>
      </c>
      <c r="D316" s="18" t="s">
        <v>1081</v>
      </c>
      <c r="E316" s="18" t="s">
        <v>408</v>
      </c>
      <c r="F316" s="19">
        <v>45626</v>
      </c>
      <c r="G316" s="18">
        <v>349145.18</v>
      </c>
      <c r="H316" s="37">
        <f t="shared" si="17"/>
        <v>63</v>
      </c>
      <c r="I316" s="37" t="str">
        <f t="shared" si="19"/>
        <v>1-90 DAYS</v>
      </c>
      <c r="J316" s="37" t="str">
        <f t="shared" si="18"/>
        <v>0-180 DAYS</v>
      </c>
      <c r="K316" t="s">
        <v>1730</v>
      </c>
      <c r="M316" t="s">
        <v>2860</v>
      </c>
      <c r="N316" s="66">
        <v>349145.18</v>
      </c>
    </row>
    <row r="317" spans="1:14" x14ac:dyDescent="0.35">
      <c r="A317" s="2" t="s">
        <v>477</v>
      </c>
      <c r="B317" s="2" t="s">
        <v>790</v>
      </c>
      <c r="C317" s="18" t="s">
        <v>2380</v>
      </c>
      <c r="D317" s="18" t="s">
        <v>1081</v>
      </c>
      <c r="E317" s="18" t="s">
        <v>409</v>
      </c>
      <c r="F317" s="19">
        <v>45626</v>
      </c>
      <c r="G317" s="18">
        <v>1039644.36</v>
      </c>
      <c r="H317" s="37">
        <f t="shared" si="17"/>
        <v>63</v>
      </c>
      <c r="I317" s="37" t="str">
        <f t="shared" si="19"/>
        <v>1-90 DAYS</v>
      </c>
      <c r="J317" s="37" t="str">
        <f t="shared" si="18"/>
        <v>0-180 DAYS</v>
      </c>
      <c r="K317" t="s">
        <v>1730</v>
      </c>
      <c r="M317" t="s">
        <v>2860</v>
      </c>
      <c r="N317" s="66">
        <v>1039644.36</v>
      </c>
    </row>
    <row r="318" spans="1:14" x14ac:dyDescent="0.35">
      <c r="A318" s="2" t="s">
        <v>477</v>
      </c>
      <c r="B318" s="2" t="s">
        <v>790</v>
      </c>
      <c r="C318" s="18" t="s">
        <v>2382</v>
      </c>
      <c r="D318" s="18" t="s">
        <v>2424</v>
      </c>
      <c r="E318" s="18" t="s">
        <v>2797</v>
      </c>
      <c r="F318" s="19">
        <v>45611</v>
      </c>
      <c r="G318" s="18">
        <v>80240</v>
      </c>
      <c r="H318" s="37">
        <f t="shared" si="17"/>
        <v>78</v>
      </c>
      <c r="I318" s="37" t="str">
        <f t="shared" si="19"/>
        <v>1-90 DAYS</v>
      </c>
      <c r="J318" s="37" t="str">
        <f t="shared" si="18"/>
        <v>0-180 DAYS</v>
      </c>
      <c r="K318" t="s">
        <v>1730</v>
      </c>
      <c r="M318" t="s">
        <v>2867</v>
      </c>
      <c r="N318" s="66">
        <v>80240</v>
      </c>
    </row>
    <row r="319" spans="1:14" x14ac:dyDescent="0.35">
      <c r="A319" s="2" t="s">
        <v>477</v>
      </c>
      <c r="B319" s="2" t="s">
        <v>790</v>
      </c>
      <c r="C319" s="18" t="s">
        <v>3</v>
      </c>
      <c r="D319" s="18" t="s">
        <v>4</v>
      </c>
      <c r="E319" s="18" t="s">
        <v>2799</v>
      </c>
      <c r="F319" s="19">
        <v>45623</v>
      </c>
      <c r="G319" s="18">
        <v>1495149.46</v>
      </c>
      <c r="H319" s="37">
        <f t="shared" si="17"/>
        <v>66</v>
      </c>
      <c r="I319" s="37" t="str">
        <f t="shared" si="19"/>
        <v>1-90 DAYS</v>
      </c>
      <c r="J319" s="37" t="str">
        <f t="shared" si="18"/>
        <v>0-180 DAYS</v>
      </c>
      <c r="K319" t="s">
        <v>1730</v>
      </c>
      <c r="M319" t="s">
        <v>2876</v>
      </c>
      <c r="N319" s="66">
        <v>1495149.46</v>
      </c>
    </row>
    <row r="320" spans="1:14" x14ac:dyDescent="0.35">
      <c r="A320" s="2" t="s">
        <v>477</v>
      </c>
      <c r="B320" s="2" t="s">
        <v>790</v>
      </c>
      <c r="C320" s="18" t="s">
        <v>26</v>
      </c>
      <c r="D320" s="18" t="s">
        <v>27</v>
      </c>
      <c r="E320" s="18" t="s">
        <v>2800</v>
      </c>
      <c r="F320" s="19">
        <v>45625</v>
      </c>
      <c r="G320" s="18">
        <v>509925.2</v>
      </c>
      <c r="H320" s="37">
        <f t="shared" si="17"/>
        <v>64</v>
      </c>
      <c r="I320" s="37" t="str">
        <f t="shared" si="19"/>
        <v>1-90 DAYS</v>
      </c>
      <c r="J320" s="37" t="str">
        <f t="shared" si="18"/>
        <v>0-180 DAYS</v>
      </c>
      <c r="K320" t="s">
        <v>1730</v>
      </c>
      <c r="M320" t="s">
        <v>2877</v>
      </c>
      <c r="N320" s="66">
        <v>509925.2</v>
      </c>
    </row>
    <row r="321" spans="1:14" x14ac:dyDescent="0.35">
      <c r="A321" s="88" t="s">
        <v>477</v>
      </c>
      <c r="B321" s="88" t="s">
        <v>790</v>
      </c>
      <c r="C321" s="18" t="s">
        <v>2888</v>
      </c>
      <c r="D321" s="18" t="s">
        <v>1088</v>
      </c>
      <c r="E321" s="18" t="s">
        <v>414</v>
      </c>
      <c r="F321" s="19">
        <v>45628</v>
      </c>
      <c r="G321" s="18">
        <v>46338.6</v>
      </c>
      <c r="H321" s="37">
        <f t="shared" si="17"/>
        <v>61</v>
      </c>
      <c r="I321" s="37" t="str">
        <f t="shared" si="19"/>
        <v>1-90 DAYS</v>
      </c>
      <c r="J321" s="37" t="str">
        <f t="shared" si="18"/>
        <v>0-180 DAYS</v>
      </c>
      <c r="K321" t="s">
        <v>1730</v>
      </c>
      <c r="M321" t="s">
        <v>3066</v>
      </c>
      <c r="N321" s="66">
        <v>46466.6</v>
      </c>
    </row>
    <row r="322" spans="1:14" x14ac:dyDescent="0.35">
      <c r="A322" s="88" t="s">
        <v>477</v>
      </c>
      <c r="B322" s="88" t="s">
        <v>790</v>
      </c>
      <c r="C322" s="18" t="s">
        <v>1838</v>
      </c>
      <c r="D322" s="18" t="s">
        <v>2001</v>
      </c>
      <c r="E322" s="18" t="s">
        <v>422</v>
      </c>
      <c r="F322" s="19">
        <v>45629</v>
      </c>
      <c r="G322" s="18">
        <v>1097931.7</v>
      </c>
      <c r="H322" s="37">
        <f t="shared" si="17"/>
        <v>60</v>
      </c>
      <c r="I322" s="37" t="str">
        <f t="shared" si="19"/>
        <v>1-90 DAYS</v>
      </c>
      <c r="J322" s="37" t="str">
        <f t="shared" si="18"/>
        <v>0-180 DAYS</v>
      </c>
      <c r="K322" t="s">
        <v>1730</v>
      </c>
      <c r="M322" t="s">
        <v>3067</v>
      </c>
      <c r="N322" s="66">
        <v>1097931.7</v>
      </c>
    </row>
    <row r="323" spans="1:14" x14ac:dyDescent="0.35">
      <c r="A323" s="88" t="s">
        <v>477</v>
      </c>
      <c r="B323" s="88" t="s">
        <v>790</v>
      </c>
      <c r="C323" s="18" t="s">
        <v>2380</v>
      </c>
      <c r="D323" s="18" t="s">
        <v>1081</v>
      </c>
      <c r="E323" s="18" t="s">
        <v>420</v>
      </c>
      <c r="F323" s="19">
        <v>45630</v>
      </c>
      <c r="G323" s="18">
        <v>1085391.72</v>
      </c>
      <c r="H323" s="37">
        <f t="shared" si="17"/>
        <v>59</v>
      </c>
      <c r="I323" s="37" t="str">
        <f t="shared" si="19"/>
        <v>1-90 DAYS</v>
      </c>
      <c r="J323" s="37" t="str">
        <f t="shared" si="18"/>
        <v>0-180 DAYS</v>
      </c>
      <c r="K323" t="s">
        <v>1730</v>
      </c>
      <c r="M323" t="s">
        <v>3068</v>
      </c>
      <c r="N323" s="66">
        <v>1085391.72</v>
      </c>
    </row>
    <row r="324" spans="1:14" x14ac:dyDescent="0.35">
      <c r="A324" s="88" t="s">
        <v>477</v>
      </c>
      <c r="B324" s="88" t="s">
        <v>790</v>
      </c>
      <c r="C324" s="18" t="s">
        <v>2380</v>
      </c>
      <c r="D324" s="18" t="s">
        <v>1081</v>
      </c>
      <c r="E324" s="18" t="s">
        <v>880</v>
      </c>
      <c r="F324" s="19">
        <v>45631</v>
      </c>
      <c r="G324" s="18">
        <v>581414.56000000006</v>
      </c>
      <c r="H324" s="37">
        <f t="shared" si="17"/>
        <v>58</v>
      </c>
      <c r="I324" s="37" t="str">
        <f t="shared" si="19"/>
        <v>1-90 DAYS</v>
      </c>
      <c r="J324" s="37" t="str">
        <f t="shared" si="18"/>
        <v>0-180 DAYS</v>
      </c>
      <c r="K324" t="s">
        <v>1730</v>
      </c>
      <c r="M324" t="s">
        <v>3069</v>
      </c>
      <c r="N324" s="66">
        <v>581414.56000000006</v>
      </c>
    </row>
    <row r="325" spans="1:14" x14ac:dyDescent="0.35">
      <c r="A325" s="88" t="s">
        <v>477</v>
      </c>
      <c r="B325" s="88" t="s">
        <v>790</v>
      </c>
      <c r="C325" s="18" t="s">
        <v>2380</v>
      </c>
      <c r="D325" s="18" t="s">
        <v>1081</v>
      </c>
      <c r="E325" s="18" t="s">
        <v>881</v>
      </c>
      <c r="F325" s="19">
        <v>45631</v>
      </c>
      <c r="G325" s="18">
        <v>162808.9</v>
      </c>
      <c r="H325" s="37">
        <f t="shared" si="17"/>
        <v>58</v>
      </c>
      <c r="I325" s="37" t="str">
        <f t="shared" si="19"/>
        <v>1-90 DAYS</v>
      </c>
      <c r="J325" s="37" t="str">
        <f t="shared" si="18"/>
        <v>0-180 DAYS</v>
      </c>
      <c r="K325" t="s">
        <v>1730</v>
      </c>
      <c r="M325" t="s">
        <v>3069</v>
      </c>
      <c r="N325" s="66">
        <v>162808.9</v>
      </c>
    </row>
    <row r="326" spans="1:14" x14ac:dyDescent="0.35">
      <c r="A326" s="88" t="s">
        <v>477</v>
      </c>
      <c r="B326" s="88" t="s">
        <v>790</v>
      </c>
      <c r="C326" s="18" t="s">
        <v>2380</v>
      </c>
      <c r="D326" s="18" t="s">
        <v>1081</v>
      </c>
      <c r="E326" s="18" t="s">
        <v>886</v>
      </c>
      <c r="F326" s="19">
        <v>45631</v>
      </c>
      <c r="G326" s="18">
        <v>707120.1</v>
      </c>
      <c r="H326" s="37">
        <f t="shared" si="17"/>
        <v>58</v>
      </c>
      <c r="I326" s="37" t="str">
        <f t="shared" si="19"/>
        <v>1-90 DAYS</v>
      </c>
      <c r="J326" s="37" t="str">
        <f t="shared" si="18"/>
        <v>0-180 DAYS</v>
      </c>
      <c r="K326" t="s">
        <v>1730</v>
      </c>
      <c r="M326" t="s">
        <v>3069</v>
      </c>
      <c r="N326" s="66">
        <v>707120.1</v>
      </c>
    </row>
    <row r="327" spans="1:14" x14ac:dyDescent="0.35">
      <c r="A327" s="88" t="s">
        <v>477</v>
      </c>
      <c r="B327" s="88" t="s">
        <v>790</v>
      </c>
      <c r="C327" s="18" t="s">
        <v>1838</v>
      </c>
      <c r="D327" s="18" t="s">
        <v>2001</v>
      </c>
      <c r="E327" s="18" t="s">
        <v>907</v>
      </c>
      <c r="F327" s="19">
        <v>45635</v>
      </c>
      <c r="G327" s="18">
        <v>639885.68000000005</v>
      </c>
      <c r="H327" s="37">
        <f t="shared" si="17"/>
        <v>54</v>
      </c>
      <c r="I327" s="37" t="str">
        <f t="shared" si="19"/>
        <v>1-90 DAYS</v>
      </c>
      <c r="J327" s="37" t="str">
        <f t="shared" si="18"/>
        <v>0-180 DAYS</v>
      </c>
      <c r="K327" t="s">
        <v>1730</v>
      </c>
      <c r="M327" t="s">
        <v>3072</v>
      </c>
      <c r="N327" s="66">
        <v>639885.68000000005</v>
      </c>
    </row>
    <row r="328" spans="1:14" x14ac:dyDescent="0.35">
      <c r="A328" s="88" t="s">
        <v>477</v>
      </c>
      <c r="B328" s="88" t="s">
        <v>790</v>
      </c>
      <c r="C328" s="18" t="s">
        <v>2380</v>
      </c>
      <c r="D328" s="18" t="s">
        <v>1081</v>
      </c>
      <c r="E328" s="18" t="s">
        <v>2900</v>
      </c>
      <c r="F328" s="19">
        <v>45638</v>
      </c>
      <c r="G328" s="18">
        <v>232565.08</v>
      </c>
      <c r="H328" s="37">
        <f t="shared" si="17"/>
        <v>51</v>
      </c>
      <c r="I328" s="37" t="str">
        <f t="shared" si="19"/>
        <v>1-90 DAYS</v>
      </c>
      <c r="J328" s="37" t="str">
        <f t="shared" si="18"/>
        <v>0-180 DAYS</v>
      </c>
      <c r="K328" t="s">
        <v>1730</v>
      </c>
      <c r="M328" t="s">
        <v>3075</v>
      </c>
      <c r="N328" s="66">
        <v>232565.08</v>
      </c>
    </row>
    <row r="329" spans="1:14" x14ac:dyDescent="0.35">
      <c r="A329" s="88" t="s">
        <v>477</v>
      </c>
      <c r="B329" s="88" t="s">
        <v>790</v>
      </c>
      <c r="C329" s="18" t="s">
        <v>2380</v>
      </c>
      <c r="D329" s="18" t="s">
        <v>1081</v>
      </c>
      <c r="E329" s="18" t="s">
        <v>923</v>
      </c>
      <c r="F329" s="19">
        <v>45639</v>
      </c>
      <c r="G329" s="18">
        <v>465131.04</v>
      </c>
      <c r="H329" s="37">
        <f t="shared" si="17"/>
        <v>50</v>
      </c>
      <c r="I329" s="37" t="str">
        <f t="shared" si="19"/>
        <v>1-90 DAYS</v>
      </c>
      <c r="J329" s="37" t="str">
        <f t="shared" si="18"/>
        <v>0-180 DAYS</v>
      </c>
      <c r="K329" t="s">
        <v>1730</v>
      </c>
      <c r="M329" t="s">
        <v>3076</v>
      </c>
      <c r="N329" s="66">
        <v>465131.04</v>
      </c>
    </row>
    <row r="330" spans="1:14" x14ac:dyDescent="0.35">
      <c r="A330" s="88" t="s">
        <v>477</v>
      </c>
      <c r="B330" s="88" t="s">
        <v>790</v>
      </c>
      <c r="C330" s="18" t="s">
        <v>2380</v>
      </c>
      <c r="D330" s="18" t="s">
        <v>1081</v>
      </c>
      <c r="E330" s="18" t="s">
        <v>2904</v>
      </c>
      <c r="F330" s="19">
        <v>45642</v>
      </c>
      <c r="G330" s="18">
        <v>1453535.9</v>
      </c>
      <c r="H330" s="37">
        <f t="shared" si="17"/>
        <v>47</v>
      </c>
      <c r="I330" s="37" t="str">
        <f t="shared" si="19"/>
        <v>1-90 DAYS</v>
      </c>
      <c r="J330" s="37" t="str">
        <f t="shared" si="18"/>
        <v>0-180 DAYS</v>
      </c>
      <c r="K330" t="s">
        <v>1730</v>
      </c>
      <c r="M330" t="s">
        <v>3079</v>
      </c>
      <c r="N330" s="66">
        <v>1453535.9</v>
      </c>
    </row>
    <row r="331" spans="1:14" x14ac:dyDescent="0.35">
      <c r="A331" s="88" t="s">
        <v>477</v>
      </c>
      <c r="B331" s="88" t="s">
        <v>790</v>
      </c>
      <c r="C331" s="18" t="s">
        <v>2380</v>
      </c>
      <c r="D331" s="18" t="s">
        <v>1081</v>
      </c>
      <c r="E331" s="18" t="s">
        <v>948</v>
      </c>
      <c r="F331" s="19">
        <v>45645</v>
      </c>
      <c r="G331" s="18">
        <v>581414.56000000006</v>
      </c>
      <c r="H331" s="37">
        <f t="shared" si="17"/>
        <v>44</v>
      </c>
      <c r="I331" s="37" t="str">
        <f t="shared" si="19"/>
        <v>1-90 DAYS</v>
      </c>
      <c r="J331" s="37" t="str">
        <f t="shared" si="18"/>
        <v>0-180 DAYS</v>
      </c>
      <c r="K331" t="s">
        <v>1730</v>
      </c>
      <c r="M331" t="s">
        <v>3082</v>
      </c>
      <c r="N331" s="66">
        <v>581414.56000000006</v>
      </c>
    </row>
    <row r="332" spans="1:14" x14ac:dyDescent="0.35">
      <c r="A332" s="88" t="s">
        <v>477</v>
      </c>
      <c r="B332" s="88" t="s">
        <v>790</v>
      </c>
      <c r="C332" s="18" t="s">
        <v>2380</v>
      </c>
      <c r="D332" s="18" t="s">
        <v>1081</v>
      </c>
      <c r="E332" s="18" t="s">
        <v>2908</v>
      </c>
      <c r="F332" s="19">
        <v>45645</v>
      </c>
      <c r="G332" s="18">
        <v>228048.26</v>
      </c>
      <c r="H332" s="37">
        <f t="shared" ref="H332:H395" si="20">$H$9-F332+1</f>
        <v>44</v>
      </c>
      <c r="I332" s="37" t="str">
        <f t="shared" si="19"/>
        <v>1-90 DAYS</v>
      </c>
      <c r="J332" s="37" t="str">
        <f t="shared" si="18"/>
        <v>0-180 DAYS</v>
      </c>
      <c r="K332" t="s">
        <v>1730</v>
      </c>
      <c r="M332" t="s">
        <v>3082</v>
      </c>
      <c r="N332" s="66">
        <v>228048.26</v>
      </c>
    </row>
    <row r="333" spans="1:14" x14ac:dyDescent="0.35">
      <c r="A333" s="88" t="s">
        <v>477</v>
      </c>
      <c r="B333" s="88" t="s">
        <v>790</v>
      </c>
      <c r="C333" s="18" t="s">
        <v>2380</v>
      </c>
      <c r="D333" s="18" t="s">
        <v>1081</v>
      </c>
      <c r="E333" s="18" t="s">
        <v>959</v>
      </c>
      <c r="F333" s="19">
        <v>45646</v>
      </c>
      <c r="G333" s="18">
        <v>1140239.32</v>
      </c>
      <c r="H333" s="37">
        <f t="shared" si="20"/>
        <v>43</v>
      </c>
      <c r="I333" s="37" t="str">
        <f t="shared" si="19"/>
        <v>1-90 DAYS</v>
      </c>
      <c r="J333" s="37" t="str">
        <f t="shared" ref="J333:J396" si="21">IF(H333&lt;180,"0-180 DAYS","More than 180 Days")</f>
        <v>0-180 DAYS</v>
      </c>
      <c r="K333" t="s">
        <v>1730</v>
      </c>
      <c r="M333" t="s">
        <v>3083</v>
      </c>
      <c r="N333" s="66">
        <v>1140239.32</v>
      </c>
    </row>
    <row r="334" spans="1:14" x14ac:dyDescent="0.35">
      <c r="A334" s="88" t="s">
        <v>477</v>
      </c>
      <c r="B334" s="88" t="s">
        <v>790</v>
      </c>
      <c r="C334" s="18" t="s">
        <v>2380</v>
      </c>
      <c r="D334" s="18" t="s">
        <v>1081</v>
      </c>
      <c r="E334" s="18" t="s">
        <v>962</v>
      </c>
      <c r="F334" s="19">
        <v>45647</v>
      </c>
      <c r="G334" s="18">
        <v>1453535.9</v>
      </c>
      <c r="H334" s="37">
        <f t="shared" si="20"/>
        <v>42</v>
      </c>
      <c r="I334" s="37" t="str">
        <f t="shared" si="19"/>
        <v>1-90 DAYS</v>
      </c>
      <c r="J334" s="37" t="str">
        <f t="shared" si="21"/>
        <v>0-180 DAYS</v>
      </c>
      <c r="K334" t="s">
        <v>1730</v>
      </c>
      <c r="M334" t="s">
        <v>3084</v>
      </c>
      <c r="N334" s="66">
        <v>1453535.9</v>
      </c>
    </row>
    <row r="335" spans="1:14" x14ac:dyDescent="0.35">
      <c r="A335" s="88" t="s">
        <v>477</v>
      </c>
      <c r="B335" s="88" t="s">
        <v>790</v>
      </c>
      <c r="C335" s="18" t="s">
        <v>2889</v>
      </c>
      <c r="D335" s="18" t="s">
        <v>2965</v>
      </c>
      <c r="E335" s="18" t="s">
        <v>972</v>
      </c>
      <c r="F335" s="19">
        <v>45650</v>
      </c>
      <c r="G335" s="18">
        <v>104180.08</v>
      </c>
      <c r="H335" s="37">
        <f t="shared" si="20"/>
        <v>39</v>
      </c>
      <c r="I335" s="37" t="str">
        <f t="shared" si="19"/>
        <v>1-90 DAYS</v>
      </c>
      <c r="J335" s="37" t="str">
        <f t="shared" si="21"/>
        <v>0-180 DAYS</v>
      </c>
      <c r="K335" t="s">
        <v>1730</v>
      </c>
      <c r="M335" t="s">
        <v>3086</v>
      </c>
      <c r="N335" s="66">
        <v>104180.08</v>
      </c>
    </row>
    <row r="336" spans="1:14" x14ac:dyDescent="0.35">
      <c r="A336" s="88" t="s">
        <v>477</v>
      </c>
      <c r="B336" s="88" t="s">
        <v>790</v>
      </c>
      <c r="C336" s="18" t="s">
        <v>2380</v>
      </c>
      <c r="D336" s="18" t="s">
        <v>1081</v>
      </c>
      <c r="E336" s="18" t="s">
        <v>987</v>
      </c>
      <c r="F336" s="19">
        <v>45652</v>
      </c>
      <c r="G336" s="18">
        <v>57012.32</v>
      </c>
      <c r="H336" s="37">
        <f t="shared" si="20"/>
        <v>37</v>
      </c>
      <c r="I336" s="37" t="str">
        <f t="shared" si="19"/>
        <v>1-90 DAYS</v>
      </c>
      <c r="J336" s="37" t="str">
        <f t="shared" si="21"/>
        <v>0-180 DAYS</v>
      </c>
      <c r="K336" t="s">
        <v>1730</v>
      </c>
      <c r="M336" t="s">
        <v>3088</v>
      </c>
      <c r="N336" s="66">
        <v>57012.32</v>
      </c>
    </row>
    <row r="337" spans="1:14" x14ac:dyDescent="0.35">
      <c r="A337" s="88" t="s">
        <v>477</v>
      </c>
      <c r="B337" s="88" t="s">
        <v>790</v>
      </c>
      <c r="C337" s="18" t="s">
        <v>1838</v>
      </c>
      <c r="D337" s="18" t="s">
        <v>2001</v>
      </c>
      <c r="E337" s="18" t="s">
        <v>992</v>
      </c>
      <c r="F337" s="19">
        <v>45653</v>
      </c>
      <c r="G337" s="18">
        <v>935637.1</v>
      </c>
      <c r="H337" s="37">
        <f t="shared" si="20"/>
        <v>36</v>
      </c>
      <c r="I337" s="37" t="str">
        <f t="shared" si="19"/>
        <v>1-90 DAYS</v>
      </c>
      <c r="J337" s="37" t="str">
        <f t="shared" si="21"/>
        <v>0-180 DAYS</v>
      </c>
      <c r="K337" t="s">
        <v>1730</v>
      </c>
      <c r="M337" t="s">
        <v>3089</v>
      </c>
      <c r="N337" s="66">
        <v>935637.1</v>
      </c>
    </row>
    <row r="338" spans="1:14" x14ac:dyDescent="0.35">
      <c r="A338" s="88" t="s">
        <v>477</v>
      </c>
      <c r="B338" s="88" t="s">
        <v>790</v>
      </c>
      <c r="C338" s="18" t="s">
        <v>2380</v>
      </c>
      <c r="D338" s="18" t="s">
        <v>1081</v>
      </c>
      <c r="E338" s="18" t="s">
        <v>2918</v>
      </c>
      <c r="F338" s="19">
        <v>45653</v>
      </c>
      <c r="G338" s="18">
        <v>452322.52</v>
      </c>
      <c r="H338" s="37">
        <f t="shared" si="20"/>
        <v>36</v>
      </c>
      <c r="I338" s="37" t="str">
        <f t="shared" si="19"/>
        <v>1-90 DAYS</v>
      </c>
      <c r="J338" s="37" t="str">
        <f t="shared" si="21"/>
        <v>0-180 DAYS</v>
      </c>
      <c r="K338" t="s">
        <v>1730</v>
      </c>
      <c r="M338" t="s">
        <v>3089</v>
      </c>
      <c r="N338" s="66">
        <v>452322.52</v>
      </c>
    </row>
    <row r="339" spans="1:14" x14ac:dyDescent="0.35">
      <c r="A339" s="88" t="s">
        <v>477</v>
      </c>
      <c r="B339" s="88" t="s">
        <v>790</v>
      </c>
      <c r="C339" s="18" t="s">
        <v>2380</v>
      </c>
      <c r="D339" s="18" t="s">
        <v>1081</v>
      </c>
      <c r="E339" s="18" t="s">
        <v>2919</v>
      </c>
      <c r="F339" s="19">
        <v>45653</v>
      </c>
      <c r="G339" s="18">
        <v>565403.16</v>
      </c>
      <c r="H339" s="37">
        <f t="shared" si="20"/>
        <v>36</v>
      </c>
      <c r="I339" s="37" t="str">
        <f t="shared" si="19"/>
        <v>1-90 DAYS</v>
      </c>
      <c r="J339" s="37" t="str">
        <f t="shared" si="21"/>
        <v>0-180 DAYS</v>
      </c>
      <c r="K339" t="s">
        <v>1730</v>
      </c>
      <c r="M339" t="s">
        <v>3089</v>
      </c>
      <c r="N339" s="66">
        <v>565403.16</v>
      </c>
    </row>
    <row r="340" spans="1:14" x14ac:dyDescent="0.35">
      <c r="A340" s="88" t="s">
        <v>477</v>
      </c>
      <c r="B340" s="88" t="s">
        <v>790</v>
      </c>
      <c r="C340" s="18" t="s">
        <v>2380</v>
      </c>
      <c r="D340" s="18" t="s">
        <v>1081</v>
      </c>
      <c r="E340" s="18" t="s">
        <v>994</v>
      </c>
      <c r="F340" s="19">
        <v>45653</v>
      </c>
      <c r="G340" s="18">
        <v>610559.16</v>
      </c>
      <c r="H340" s="37">
        <f t="shared" si="20"/>
        <v>36</v>
      </c>
      <c r="I340" s="37" t="str">
        <f t="shared" si="19"/>
        <v>1-90 DAYS</v>
      </c>
      <c r="J340" s="37" t="str">
        <f t="shared" si="21"/>
        <v>0-180 DAYS</v>
      </c>
      <c r="K340" t="s">
        <v>1730</v>
      </c>
      <c r="M340" t="s">
        <v>3089</v>
      </c>
      <c r="N340" s="66">
        <v>610559.16</v>
      </c>
    </row>
    <row r="341" spans="1:14" x14ac:dyDescent="0.35">
      <c r="A341" s="88" t="s">
        <v>477</v>
      </c>
      <c r="B341" s="88" t="s">
        <v>790</v>
      </c>
      <c r="C341" s="18" t="s">
        <v>2380</v>
      </c>
      <c r="D341" s="18" t="s">
        <v>1081</v>
      </c>
      <c r="E341" s="18" t="s">
        <v>2920</v>
      </c>
      <c r="F341" s="19">
        <v>45654</v>
      </c>
      <c r="G341" s="18">
        <v>232566.04</v>
      </c>
      <c r="H341" s="37">
        <f t="shared" si="20"/>
        <v>35</v>
      </c>
      <c r="I341" s="37" t="str">
        <f t="shared" si="19"/>
        <v>1-90 DAYS</v>
      </c>
      <c r="J341" s="37" t="str">
        <f t="shared" si="21"/>
        <v>0-180 DAYS</v>
      </c>
      <c r="K341" t="s">
        <v>1730</v>
      </c>
      <c r="M341" t="s">
        <v>3090</v>
      </c>
      <c r="N341" s="66">
        <v>232566.04</v>
      </c>
    </row>
    <row r="342" spans="1:14" x14ac:dyDescent="0.35">
      <c r="A342" s="88" t="s">
        <v>477</v>
      </c>
      <c r="B342" s="88" t="s">
        <v>790</v>
      </c>
      <c r="C342" s="18" t="s">
        <v>2380</v>
      </c>
      <c r="D342" s="18" t="s">
        <v>1081</v>
      </c>
      <c r="E342" s="18" t="s">
        <v>2921</v>
      </c>
      <c r="F342" s="19">
        <v>45654</v>
      </c>
      <c r="G342" s="18">
        <v>1221118.32</v>
      </c>
      <c r="H342" s="37">
        <f t="shared" si="20"/>
        <v>35</v>
      </c>
      <c r="I342" s="37" t="str">
        <f t="shared" si="19"/>
        <v>1-90 DAYS</v>
      </c>
      <c r="J342" s="37" t="str">
        <f t="shared" si="21"/>
        <v>0-180 DAYS</v>
      </c>
      <c r="K342" t="s">
        <v>1730</v>
      </c>
      <c r="M342" t="s">
        <v>3090</v>
      </c>
      <c r="N342" s="66">
        <v>1221118.32</v>
      </c>
    </row>
    <row r="343" spans="1:14" x14ac:dyDescent="0.35">
      <c r="A343" s="88" t="s">
        <v>477</v>
      </c>
      <c r="B343" s="88" t="s">
        <v>790</v>
      </c>
      <c r="C343" s="18" t="s">
        <v>2380</v>
      </c>
      <c r="D343" s="18" t="s">
        <v>1081</v>
      </c>
      <c r="E343" s="18" t="s">
        <v>2922</v>
      </c>
      <c r="F343" s="19">
        <v>45654</v>
      </c>
      <c r="G343" s="18">
        <v>1221118.32</v>
      </c>
      <c r="H343" s="37">
        <f t="shared" si="20"/>
        <v>35</v>
      </c>
      <c r="I343" s="37" t="str">
        <f t="shared" si="19"/>
        <v>1-90 DAYS</v>
      </c>
      <c r="J343" s="37" t="str">
        <f t="shared" si="21"/>
        <v>0-180 DAYS</v>
      </c>
      <c r="K343" t="s">
        <v>1730</v>
      </c>
      <c r="M343" t="s">
        <v>3090</v>
      </c>
      <c r="N343" s="66">
        <v>1221118.32</v>
      </c>
    </row>
    <row r="344" spans="1:14" x14ac:dyDescent="0.35">
      <c r="A344" s="88" t="s">
        <v>477</v>
      </c>
      <c r="B344" s="88" t="s">
        <v>790</v>
      </c>
      <c r="C344" s="18" t="s">
        <v>2380</v>
      </c>
      <c r="D344" s="18" t="s">
        <v>1081</v>
      </c>
      <c r="E344" s="18" t="s">
        <v>2928</v>
      </c>
      <c r="F344" s="19">
        <v>45655</v>
      </c>
      <c r="G344" s="18">
        <v>2320125.2000000002</v>
      </c>
      <c r="H344" s="37">
        <f t="shared" si="20"/>
        <v>34</v>
      </c>
      <c r="I344" s="37" t="str">
        <f t="shared" si="19"/>
        <v>1-90 DAYS</v>
      </c>
      <c r="J344" s="37" t="str">
        <f t="shared" si="21"/>
        <v>0-180 DAYS</v>
      </c>
      <c r="K344" t="s">
        <v>1730</v>
      </c>
      <c r="M344" t="s">
        <v>3091</v>
      </c>
      <c r="N344" s="66">
        <v>2320125.2000000002</v>
      </c>
    </row>
    <row r="345" spans="1:14" x14ac:dyDescent="0.35">
      <c r="A345" s="88" t="s">
        <v>477</v>
      </c>
      <c r="B345" s="88" t="s">
        <v>790</v>
      </c>
      <c r="C345" s="18" t="s">
        <v>2380</v>
      </c>
      <c r="D345" s="18" t="s">
        <v>1081</v>
      </c>
      <c r="E345" s="18" t="s">
        <v>2932</v>
      </c>
      <c r="F345" s="19">
        <v>45656</v>
      </c>
      <c r="G345" s="18">
        <v>2198013.7799999998</v>
      </c>
      <c r="H345" s="37">
        <f t="shared" si="20"/>
        <v>33</v>
      </c>
      <c r="I345" s="37" t="str">
        <f t="shared" si="19"/>
        <v>1-90 DAYS</v>
      </c>
      <c r="J345" s="37" t="str">
        <f t="shared" si="21"/>
        <v>0-180 DAYS</v>
      </c>
      <c r="K345" t="s">
        <v>1730</v>
      </c>
      <c r="M345" t="s">
        <v>3092</v>
      </c>
      <c r="N345" s="66">
        <v>2198013.7799999998</v>
      </c>
    </row>
    <row r="346" spans="1:14" x14ac:dyDescent="0.35">
      <c r="A346" s="88" t="s">
        <v>477</v>
      </c>
      <c r="B346" s="88" t="s">
        <v>790</v>
      </c>
      <c r="C346" s="18" t="s">
        <v>2380</v>
      </c>
      <c r="D346" s="18" t="s">
        <v>1081</v>
      </c>
      <c r="E346" s="18" t="s">
        <v>2933</v>
      </c>
      <c r="F346" s="19">
        <v>45656</v>
      </c>
      <c r="G346" s="18">
        <v>1465342.18</v>
      </c>
      <c r="H346" s="37">
        <f t="shared" si="20"/>
        <v>33</v>
      </c>
      <c r="I346" s="37" t="str">
        <f t="shared" si="19"/>
        <v>1-90 DAYS</v>
      </c>
      <c r="J346" s="37" t="str">
        <f t="shared" si="21"/>
        <v>0-180 DAYS</v>
      </c>
      <c r="K346" t="s">
        <v>1730</v>
      </c>
      <c r="M346" t="s">
        <v>3092</v>
      </c>
      <c r="N346" s="66">
        <v>1465342.18</v>
      </c>
    </row>
    <row r="347" spans="1:14" x14ac:dyDescent="0.35">
      <c r="A347" s="88" t="s">
        <v>477</v>
      </c>
      <c r="B347" s="88" t="s">
        <v>790</v>
      </c>
      <c r="C347" s="18" t="s">
        <v>2380</v>
      </c>
      <c r="D347" s="18" t="s">
        <v>1081</v>
      </c>
      <c r="E347" s="18" t="s">
        <v>2934</v>
      </c>
      <c r="F347" s="19">
        <v>45656</v>
      </c>
      <c r="G347" s="18">
        <v>581414.56000000006</v>
      </c>
      <c r="H347" s="37">
        <f t="shared" si="20"/>
        <v>33</v>
      </c>
      <c r="I347" s="37" t="str">
        <f t="shared" si="19"/>
        <v>1-90 DAYS</v>
      </c>
      <c r="J347" s="37" t="str">
        <f t="shared" si="21"/>
        <v>0-180 DAYS</v>
      </c>
      <c r="K347" t="s">
        <v>1730</v>
      </c>
      <c r="M347" t="s">
        <v>3092</v>
      </c>
      <c r="N347" s="66">
        <v>581414.56000000006</v>
      </c>
    </row>
    <row r="348" spans="1:14" x14ac:dyDescent="0.35">
      <c r="A348" s="88" t="s">
        <v>477</v>
      </c>
      <c r="B348" s="88" t="s">
        <v>790</v>
      </c>
      <c r="C348" s="18" t="s">
        <v>2380</v>
      </c>
      <c r="D348" s="18" t="s">
        <v>1081</v>
      </c>
      <c r="E348" s="18" t="s">
        <v>1315</v>
      </c>
      <c r="F348" s="19">
        <v>45657</v>
      </c>
      <c r="G348" s="18">
        <v>1142781.3999999999</v>
      </c>
      <c r="H348" s="37">
        <f t="shared" si="20"/>
        <v>32</v>
      </c>
      <c r="I348" s="37" t="str">
        <f t="shared" si="19"/>
        <v>1-90 DAYS</v>
      </c>
      <c r="J348" s="37" t="str">
        <f t="shared" si="21"/>
        <v>0-180 DAYS</v>
      </c>
      <c r="K348" t="s">
        <v>1730</v>
      </c>
      <c r="M348" t="s">
        <v>3064</v>
      </c>
      <c r="N348" s="66">
        <v>1142781.3999999999</v>
      </c>
    </row>
    <row r="349" spans="1:14" x14ac:dyDescent="0.35">
      <c r="A349" s="88" t="s">
        <v>477</v>
      </c>
      <c r="B349" s="88" t="s">
        <v>790</v>
      </c>
      <c r="C349" s="18" t="s">
        <v>263</v>
      </c>
      <c r="D349" s="18" t="s">
        <v>264</v>
      </c>
      <c r="E349" s="18" t="s">
        <v>2941</v>
      </c>
      <c r="F349" s="19">
        <v>45629</v>
      </c>
      <c r="G349" s="18">
        <v>854786.89</v>
      </c>
      <c r="H349" s="37">
        <f t="shared" si="20"/>
        <v>60</v>
      </c>
      <c r="I349" s="37" t="str">
        <f t="shared" si="19"/>
        <v>1-90 DAYS</v>
      </c>
      <c r="J349" s="37" t="str">
        <f t="shared" si="21"/>
        <v>0-180 DAYS</v>
      </c>
      <c r="K349" t="s">
        <v>1730</v>
      </c>
      <c r="M349" t="s">
        <v>3067</v>
      </c>
      <c r="N349" s="66">
        <v>854786.89</v>
      </c>
    </row>
    <row r="350" spans="1:14" x14ac:dyDescent="0.35">
      <c r="A350" s="88" t="s">
        <v>477</v>
      </c>
      <c r="B350" s="88" t="s">
        <v>790</v>
      </c>
      <c r="C350" s="18" t="s">
        <v>26</v>
      </c>
      <c r="D350" s="18" t="s">
        <v>27</v>
      </c>
      <c r="E350" s="18" t="s">
        <v>2945</v>
      </c>
      <c r="F350" s="19">
        <v>45636</v>
      </c>
      <c r="G350" s="18">
        <v>780639.26</v>
      </c>
      <c r="H350" s="37">
        <f t="shared" si="20"/>
        <v>53</v>
      </c>
      <c r="I350" s="37" t="str">
        <f t="shared" si="19"/>
        <v>1-90 DAYS</v>
      </c>
      <c r="J350" s="37" t="str">
        <f t="shared" si="21"/>
        <v>0-180 DAYS</v>
      </c>
      <c r="K350" t="s">
        <v>1730</v>
      </c>
      <c r="M350" t="s">
        <v>3073</v>
      </c>
      <c r="N350" s="66">
        <v>780639.26</v>
      </c>
    </row>
    <row r="351" spans="1:14" x14ac:dyDescent="0.35">
      <c r="A351" s="88" t="s">
        <v>477</v>
      </c>
      <c r="B351" s="88" t="s">
        <v>790</v>
      </c>
      <c r="C351" s="18" t="s">
        <v>2322</v>
      </c>
      <c r="D351" s="18" t="s">
        <v>2348</v>
      </c>
      <c r="E351" s="18" t="s">
        <v>2948</v>
      </c>
      <c r="F351" s="19">
        <v>45638</v>
      </c>
      <c r="G351" s="18">
        <v>41117.1</v>
      </c>
      <c r="H351" s="37">
        <f t="shared" si="20"/>
        <v>51</v>
      </c>
      <c r="I351" s="37" t="str">
        <f t="shared" si="19"/>
        <v>1-90 DAYS</v>
      </c>
      <c r="J351" s="37" t="str">
        <f t="shared" si="21"/>
        <v>0-180 DAYS</v>
      </c>
      <c r="K351" t="s">
        <v>1730</v>
      </c>
      <c r="M351" t="s">
        <v>3075</v>
      </c>
      <c r="N351" s="66">
        <v>41117.1</v>
      </c>
    </row>
    <row r="352" spans="1:14" x14ac:dyDescent="0.35">
      <c r="A352" s="88" t="s">
        <v>477</v>
      </c>
      <c r="B352" s="88" t="s">
        <v>790</v>
      </c>
      <c r="C352" s="18" t="s">
        <v>259</v>
      </c>
      <c r="D352" s="18" t="s">
        <v>260</v>
      </c>
      <c r="E352" s="18" t="s">
        <v>2949</v>
      </c>
      <c r="F352" s="19">
        <v>45643</v>
      </c>
      <c r="G352" s="18">
        <v>1628754</v>
      </c>
      <c r="H352" s="37">
        <f t="shared" si="20"/>
        <v>46</v>
      </c>
      <c r="I352" s="37" t="str">
        <f t="shared" si="19"/>
        <v>1-90 DAYS</v>
      </c>
      <c r="J352" s="37" t="str">
        <f t="shared" si="21"/>
        <v>0-180 DAYS</v>
      </c>
      <c r="K352" t="s">
        <v>1730</v>
      </c>
      <c r="M352" t="s">
        <v>3080</v>
      </c>
      <c r="N352" s="66">
        <v>1628754</v>
      </c>
    </row>
    <row r="353" spans="1:14" x14ac:dyDescent="0.35">
      <c r="A353" s="88" t="s">
        <v>477</v>
      </c>
      <c r="B353" s="88" t="s">
        <v>790</v>
      </c>
      <c r="C353" s="18" t="s">
        <v>5</v>
      </c>
      <c r="D353" s="18" t="s">
        <v>6</v>
      </c>
      <c r="E353" s="18" t="s">
        <v>2950</v>
      </c>
      <c r="F353" s="19">
        <v>45644</v>
      </c>
      <c r="G353" s="18">
        <v>92040</v>
      </c>
      <c r="H353" s="37">
        <f t="shared" si="20"/>
        <v>45</v>
      </c>
      <c r="I353" s="37" t="str">
        <f t="shared" si="19"/>
        <v>1-90 DAYS</v>
      </c>
      <c r="J353" s="37" t="str">
        <f t="shared" si="21"/>
        <v>0-180 DAYS</v>
      </c>
      <c r="K353" t="s">
        <v>1730</v>
      </c>
      <c r="M353" t="s">
        <v>3081</v>
      </c>
      <c r="N353" s="66">
        <v>92040</v>
      </c>
    </row>
    <row r="354" spans="1:14" x14ac:dyDescent="0.35">
      <c r="A354" s="88" t="s">
        <v>477</v>
      </c>
      <c r="B354" s="88" t="s">
        <v>790</v>
      </c>
      <c r="C354" s="18" t="s">
        <v>259</v>
      </c>
      <c r="D354" s="18" t="s">
        <v>260</v>
      </c>
      <c r="E354" s="18" t="s">
        <v>2951</v>
      </c>
      <c r="F354" s="19">
        <v>45645</v>
      </c>
      <c r="G354" s="18">
        <v>1551328.2</v>
      </c>
      <c r="H354" s="37">
        <f t="shared" si="20"/>
        <v>44</v>
      </c>
      <c r="I354" s="37" t="str">
        <f t="shared" si="19"/>
        <v>1-90 DAYS</v>
      </c>
      <c r="J354" s="37" t="str">
        <f t="shared" si="21"/>
        <v>0-180 DAYS</v>
      </c>
      <c r="K354" t="s">
        <v>1730</v>
      </c>
      <c r="M354" t="s">
        <v>3082</v>
      </c>
      <c r="N354" s="66">
        <v>1551328.2</v>
      </c>
    </row>
    <row r="355" spans="1:14" x14ac:dyDescent="0.35">
      <c r="A355" s="88" t="s">
        <v>477</v>
      </c>
      <c r="B355" s="88" t="s">
        <v>790</v>
      </c>
      <c r="C355" s="18" t="s">
        <v>2890</v>
      </c>
      <c r="D355" s="18" t="s">
        <v>2966</v>
      </c>
      <c r="E355" s="18" t="s">
        <v>2954</v>
      </c>
      <c r="F355" s="19">
        <v>45646</v>
      </c>
      <c r="G355" s="18">
        <v>291342</v>
      </c>
      <c r="H355" s="37">
        <f t="shared" si="20"/>
        <v>43</v>
      </c>
      <c r="I355" s="37" t="str">
        <f t="shared" si="19"/>
        <v>1-90 DAYS</v>
      </c>
      <c r="J355" s="37" t="str">
        <f t="shared" si="21"/>
        <v>0-180 DAYS</v>
      </c>
      <c r="K355" t="s">
        <v>1730</v>
      </c>
      <c r="M355" t="s">
        <v>3083</v>
      </c>
      <c r="N355" s="66">
        <v>291342</v>
      </c>
    </row>
    <row r="356" spans="1:14" x14ac:dyDescent="0.35">
      <c r="A356" s="88" t="s">
        <v>477</v>
      </c>
      <c r="B356" s="88" t="s">
        <v>790</v>
      </c>
      <c r="C356" s="18" t="s">
        <v>3</v>
      </c>
      <c r="D356" s="18" t="s">
        <v>4</v>
      </c>
      <c r="E356" s="18" t="s">
        <v>2956</v>
      </c>
      <c r="F356" s="19">
        <v>45649</v>
      </c>
      <c r="G356" s="18">
        <v>612276.46</v>
      </c>
      <c r="H356" s="37">
        <f t="shared" si="20"/>
        <v>40</v>
      </c>
      <c r="I356" s="37" t="str">
        <f t="shared" si="19"/>
        <v>1-90 DAYS</v>
      </c>
      <c r="J356" s="37" t="str">
        <f t="shared" si="21"/>
        <v>0-180 DAYS</v>
      </c>
      <c r="K356" t="s">
        <v>1730</v>
      </c>
      <c r="M356" t="s">
        <v>3085</v>
      </c>
      <c r="N356" s="66">
        <v>612276.46</v>
      </c>
    </row>
    <row r="357" spans="1:14" x14ac:dyDescent="0.35">
      <c r="A357" s="88" t="s">
        <v>477</v>
      </c>
      <c r="B357" s="88" t="s">
        <v>790</v>
      </c>
      <c r="C357" s="18" t="s">
        <v>2891</v>
      </c>
      <c r="D357" s="18" t="s">
        <v>2967</v>
      </c>
      <c r="E357" s="18" t="s">
        <v>2957</v>
      </c>
      <c r="F357" s="19">
        <v>45651</v>
      </c>
      <c r="G357" s="18">
        <v>337924.68</v>
      </c>
      <c r="H357" s="37">
        <f t="shared" si="20"/>
        <v>38</v>
      </c>
      <c r="I357" s="37" t="str">
        <f t="shared" si="19"/>
        <v>1-90 DAYS</v>
      </c>
      <c r="J357" s="37" t="str">
        <f t="shared" si="21"/>
        <v>0-180 DAYS</v>
      </c>
      <c r="K357" t="s">
        <v>1730</v>
      </c>
      <c r="M357" t="s">
        <v>3087</v>
      </c>
      <c r="N357" s="66">
        <v>680124.68</v>
      </c>
    </row>
    <row r="358" spans="1:14" x14ac:dyDescent="0.35">
      <c r="A358" s="88" t="s">
        <v>477</v>
      </c>
      <c r="B358" s="88" t="s">
        <v>790</v>
      </c>
      <c r="C358" s="18" t="s">
        <v>2890</v>
      </c>
      <c r="D358" s="18" t="s">
        <v>2966</v>
      </c>
      <c r="E358" s="18" t="s">
        <v>2960</v>
      </c>
      <c r="F358" s="19">
        <v>45652</v>
      </c>
      <c r="G358" s="18">
        <v>1068254</v>
      </c>
      <c r="H358" s="37">
        <f t="shared" si="20"/>
        <v>37</v>
      </c>
      <c r="I358" s="37" t="str">
        <f t="shared" si="19"/>
        <v>1-90 DAYS</v>
      </c>
      <c r="J358" s="37" t="str">
        <f t="shared" si="21"/>
        <v>0-180 DAYS</v>
      </c>
      <c r="K358" t="s">
        <v>1730</v>
      </c>
      <c r="M358" t="s">
        <v>3088</v>
      </c>
      <c r="N358" s="66">
        <v>1068254</v>
      </c>
    </row>
    <row r="359" spans="1:14" x14ac:dyDescent="0.35">
      <c r="A359" s="88" t="s">
        <v>3058</v>
      </c>
      <c r="B359" s="88" t="s">
        <v>790</v>
      </c>
      <c r="C359" s="18" t="s">
        <v>1086</v>
      </c>
      <c r="D359" t="s">
        <v>507</v>
      </c>
      <c r="E359" s="18" t="s">
        <v>2971</v>
      </c>
      <c r="F359" s="19">
        <v>45628</v>
      </c>
      <c r="G359" s="18">
        <v>1785361.6</v>
      </c>
      <c r="H359" s="37">
        <f t="shared" si="20"/>
        <v>61</v>
      </c>
      <c r="I359" s="37" t="str">
        <f t="shared" ref="I359:I422" si="22">IF(H359&lt;121,"0-120 DAYS",IF(H359&lt;181,"121-180 DAYS","More than 180 Days"))</f>
        <v>0-120 DAYS</v>
      </c>
      <c r="J359" s="37" t="str">
        <f t="shared" si="21"/>
        <v>0-180 DAYS</v>
      </c>
      <c r="K359" t="s">
        <v>1730</v>
      </c>
      <c r="M359" t="s">
        <v>3066</v>
      </c>
      <c r="N359" s="66">
        <v>1785361.6</v>
      </c>
    </row>
    <row r="360" spans="1:14" x14ac:dyDescent="0.35">
      <c r="A360" s="88" t="s">
        <v>3058</v>
      </c>
      <c r="B360" s="88" t="s">
        <v>790</v>
      </c>
      <c r="C360" s="18" t="s">
        <v>1086</v>
      </c>
      <c r="D360" t="s">
        <v>507</v>
      </c>
      <c r="E360" s="18" t="s">
        <v>2972</v>
      </c>
      <c r="F360" s="19">
        <v>45628</v>
      </c>
      <c r="G360" s="18">
        <v>718920.71</v>
      </c>
      <c r="H360" s="37">
        <f t="shared" si="20"/>
        <v>61</v>
      </c>
      <c r="I360" s="37" t="str">
        <f t="shared" si="22"/>
        <v>0-120 DAYS</v>
      </c>
      <c r="J360" s="37" t="str">
        <f t="shared" si="21"/>
        <v>0-180 DAYS</v>
      </c>
      <c r="K360" t="s">
        <v>1730</v>
      </c>
      <c r="M360" t="s">
        <v>3066</v>
      </c>
      <c r="N360" s="66">
        <v>718920.71</v>
      </c>
    </row>
    <row r="361" spans="1:14" x14ac:dyDescent="0.35">
      <c r="A361" s="88" t="s">
        <v>3058</v>
      </c>
      <c r="B361" s="88" t="s">
        <v>790</v>
      </c>
      <c r="C361" s="18" t="s">
        <v>647</v>
      </c>
      <c r="D361" t="s">
        <v>507</v>
      </c>
      <c r="E361" s="18" t="s">
        <v>595</v>
      </c>
      <c r="F361" s="19">
        <v>45629</v>
      </c>
      <c r="G361" s="18">
        <v>3696792</v>
      </c>
      <c r="H361" s="37">
        <f t="shared" si="20"/>
        <v>60</v>
      </c>
      <c r="I361" s="37" t="str">
        <f t="shared" si="22"/>
        <v>0-120 DAYS</v>
      </c>
      <c r="J361" s="37" t="str">
        <f t="shared" si="21"/>
        <v>0-180 DAYS</v>
      </c>
      <c r="K361" t="s">
        <v>1730</v>
      </c>
      <c r="M361" t="s">
        <v>3067</v>
      </c>
      <c r="N361" s="66">
        <v>3696792</v>
      </c>
    </row>
    <row r="362" spans="1:14" x14ac:dyDescent="0.35">
      <c r="A362" s="88" t="s">
        <v>3058</v>
      </c>
      <c r="B362" s="88" t="s">
        <v>790</v>
      </c>
      <c r="C362" s="18" t="s">
        <v>573</v>
      </c>
      <c r="D362" t="s">
        <v>507</v>
      </c>
      <c r="E362" s="18" t="s">
        <v>2973</v>
      </c>
      <c r="F362" s="19">
        <v>45629</v>
      </c>
      <c r="G362" s="18">
        <v>2442374</v>
      </c>
      <c r="H362" s="37">
        <f t="shared" si="20"/>
        <v>60</v>
      </c>
      <c r="I362" s="37" t="str">
        <f t="shared" si="22"/>
        <v>0-120 DAYS</v>
      </c>
      <c r="J362" s="37" t="str">
        <f t="shared" si="21"/>
        <v>0-180 DAYS</v>
      </c>
      <c r="K362" t="s">
        <v>1730</v>
      </c>
      <c r="M362" t="s">
        <v>3067</v>
      </c>
      <c r="N362" s="66">
        <v>2442374</v>
      </c>
    </row>
    <row r="363" spans="1:14" x14ac:dyDescent="0.35">
      <c r="A363" s="88" t="s">
        <v>3058</v>
      </c>
      <c r="B363" s="88" t="s">
        <v>790</v>
      </c>
      <c r="C363" s="18" t="s">
        <v>573</v>
      </c>
      <c r="D363" t="s">
        <v>507</v>
      </c>
      <c r="E363" s="18" t="s">
        <v>2974</v>
      </c>
      <c r="F363" s="19">
        <v>45629</v>
      </c>
      <c r="G363" s="18">
        <v>214910.52</v>
      </c>
      <c r="H363" s="37">
        <f t="shared" si="20"/>
        <v>60</v>
      </c>
      <c r="I363" s="37" t="str">
        <f t="shared" si="22"/>
        <v>0-120 DAYS</v>
      </c>
      <c r="J363" s="37" t="str">
        <f t="shared" si="21"/>
        <v>0-180 DAYS</v>
      </c>
      <c r="K363" t="s">
        <v>1730</v>
      </c>
      <c r="M363" t="s">
        <v>3067</v>
      </c>
      <c r="N363" s="66">
        <v>214910.52</v>
      </c>
    </row>
    <row r="364" spans="1:14" x14ac:dyDescent="0.35">
      <c r="A364" s="88" t="s">
        <v>3058</v>
      </c>
      <c r="B364" s="88" t="s">
        <v>790</v>
      </c>
      <c r="C364" s="18" t="s">
        <v>1052</v>
      </c>
      <c r="D364" t="s">
        <v>507</v>
      </c>
      <c r="E364" s="18" t="s">
        <v>2976</v>
      </c>
      <c r="F364" s="19">
        <v>45631</v>
      </c>
      <c r="G364" s="18">
        <v>2961638.68</v>
      </c>
      <c r="H364" s="37">
        <f t="shared" si="20"/>
        <v>58</v>
      </c>
      <c r="I364" s="37" t="str">
        <f t="shared" si="22"/>
        <v>0-120 DAYS</v>
      </c>
      <c r="J364" s="37" t="str">
        <f t="shared" si="21"/>
        <v>0-180 DAYS</v>
      </c>
      <c r="K364" t="s">
        <v>1730</v>
      </c>
      <c r="M364" t="s">
        <v>3069</v>
      </c>
      <c r="N364" s="66">
        <v>2961638.68</v>
      </c>
    </row>
    <row r="365" spans="1:14" x14ac:dyDescent="0.35">
      <c r="A365" s="88" t="s">
        <v>3058</v>
      </c>
      <c r="B365" s="88" t="s">
        <v>790</v>
      </c>
      <c r="C365" s="18" t="s">
        <v>1086</v>
      </c>
      <c r="D365" t="s">
        <v>507</v>
      </c>
      <c r="E365" s="18" t="s">
        <v>2977</v>
      </c>
      <c r="F365" s="19">
        <v>45632</v>
      </c>
      <c r="G365" s="18">
        <v>1727039.55</v>
      </c>
      <c r="H365" s="37">
        <f t="shared" si="20"/>
        <v>57</v>
      </c>
      <c r="I365" s="37" t="str">
        <f t="shared" si="22"/>
        <v>0-120 DAYS</v>
      </c>
      <c r="J365" s="37" t="str">
        <f t="shared" si="21"/>
        <v>0-180 DAYS</v>
      </c>
      <c r="K365" t="s">
        <v>1730</v>
      </c>
      <c r="M365" t="s">
        <v>3070</v>
      </c>
      <c r="N365" s="66">
        <v>1727039.55</v>
      </c>
    </row>
    <row r="366" spans="1:14" x14ac:dyDescent="0.35">
      <c r="A366" s="88" t="s">
        <v>3058</v>
      </c>
      <c r="B366" s="88" t="s">
        <v>790</v>
      </c>
      <c r="C366" s="18" t="s">
        <v>1086</v>
      </c>
      <c r="D366" t="s">
        <v>507</v>
      </c>
      <c r="E366" s="18" t="s">
        <v>2978</v>
      </c>
      <c r="F366" s="19">
        <v>45632</v>
      </c>
      <c r="G366" s="18">
        <v>388496.43</v>
      </c>
      <c r="H366" s="37">
        <f t="shared" si="20"/>
        <v>57</v>
      </c>
      <c r="I366" s="37" t="str">
        <f t="shared" si="22"/>
        <v>0-120 DAYS</v>
      </c>
      <c r="J366" s="37" t="str">
        <f t="shared" si="21"/>
        <v>0-180 DAYS</v>
      </c>
      <c r="K366" t="s">
        <v>1730</v>
      </c>
      <c r="M366" t="s">
        <v>3070</v>
      </c>
      <c r="N366" s="66">
        <v>388496.43</v>
      </c>
    </row>
    <row r="367" spans="1:14" x14ac:dyDescent="0.35">
      <c r="A367" s="88" t="s">
        <v>3058</v>
      </c>
      <c r="B367" s="88" t="s">
        <v>790</v>
      </c>
      <c r="C367" s="18" t="s">
        <v>1086</v>
      </c>
      <c r="D367" t="s">
        <v>507</v>
      </c>
      <c r="E367" s="18" t="s">
        <v>2979</v>
      </c>
      <c r="F367" s="19">
        <v>45632</v>
      </c>
      <c r="G367" s="18">
        <v>122888.33</v>
      </c>
      <c r="H367" s="37">
        <f t="shared" si="20"/>
        <v>57</v>
      </c>
      <c r="I367" s="37" t="str">
        <f t="shared" si="22"/>
        <v>0-120 DAYS</v>
      </c>
      <c r="J367" s="37" t="str">
        <f t="shared" si="21"/>
        <v>0-180 DAYS</v>
      </c>
      <c r="K367" t="s">
        <v>1730</v>
      </c>
      <c r="M367" t="s">
        <v>3070</v>
      </c>
      <c r="N367" s="66">
        <v>122888.33</v>
      </c>
    </row>
    <row r="368" spans="1:14" x14ac:dyDescent="0.35">
      <c r="A368" s="88" t="s">
        <v>3058</v>
      </c>
      <c r="B368" s="88" t="s">
        <v>790</v>
      </c>
      <c r="C368" s="18" t="s">
        <v>1052</v>
      </c>
      <c r="D368" t="s">
        <v>507</v>
      </c>
      <c r="E368" s="18" t="s">
        <v>2980</v>
      </c>
      <c r="F368" s="19">
        <v>45633</v>
      </c>
      <c r="G368" s="18">
        <v>2987209.16</v>
      </c>
      <c r="H368" s="37">
        <f t="shared" si="20"/>
        <v>56</v>
      </c>
      <c r="I368" s="37" t="str">
        <f t="shared" si="22"/>
        <v>0-120 DAYS</v>
      </c>
      <c r="J368" s="37" t="str">
        <f t="shared" si="21"/>
        <v>0-180 DAYS</v>
      </c>
      <c r="K368" t="s">
        <v>1730</v>
      </c>
      <c r="M368" t="s">
        <v>3071</v>
      </c>
      <c r="N368" s="66">
        <v>2987209.16</v>
      </c>
    </row>
    <row r="369" spans="1:14" x14ac:dyDescent="0.35">
      <c r="A369" s="88" t="s">
        <v>3058</v>
      </c>
      <c r="B369" s="88" t="s">
        <v>790</v>
      </c>
      <c r="C369" s="18" t="s">
        <v>548</v>
      </c>
      <c r="D369" t="s">
        <v>507</v>
      </c>
      <c r="E369" s="18" t="s">
        <v>2981</v>
      </c>
      <c r="F369" s="19">
        <v>45635</v>
      </c>
      <c r="G369" s="18">
        <v>3213495.85</v>
      </c>
      <c r="H369" s="37">
        <f t="shared" si="20"/>
        <v>54</v>
      </c>
      <c r="I369" s="37" t="str">
        <f t="shared" si="22"/>
        <v>0-120 DAYS</v>
      </c>
      <c r="J369" s="37" t="str">
        <f t="shared" si="21"/>
        <v>0-180 DAYS</v>
      </c>
      <c r="K369" t="s">
        <v>1730</v>
      </c>
      <c r="M369" t="s">
        <v>3072</v>
      </c>
      <c r="N369" s="66">
        <v>3213495.85</v>
      </c>
    </row>
    <row r="370" spans="1:14" x14ac:dyDescent="0.35">
      <c r="A370" s="88" t="s">
        <v>3058</v>
      </c>
      <c r="B370" s="88" t="s">
        <v>790</v>
      </c>
      <c r="C370" s="18" t="s">
        <v>647</v>
      </c>
      <c r="D370" t="s">
        <v>507</v>
      </c>
      <c r="E370" s="18" t="s">
        <v>605</v>
      </c>
      <c r="F370" s="19">
        <v>45637</v>
      </c>
      <c r="G370" s="18">
        <v>3710058.01</v>
      </c>
      <c r="H370" s="37">
        <f t="shared" si="20"/>
        <v>52</v>
      </c>
      <c r="I370" s="37" t="str">
        <f t="shared" si="22"/>
        <v>0-120 DAYS</v>
      </c>
      <c r="J370" s="37" t="str">
        <f t="shared" si="21"/>
        <v>0-180 DAYS</v>
      </c>
      <c r="K370" t="s">
        <v>1730</v>
      </c>
      <c r="M370" t="s">
        <v>3074</v>
      </c>
      <c r="N370" s="66">
        <v>3710058.01</v>
      </c>
    </row>
    <row r="371" spans="1:14" x14ac:dyDescent="0.35">
      <c r="A371" s="88" t="s">
        <v>3058</v>
      </c>
      <c r="B371" s="88" t="s">
        <v>790</v>
      </c>
      <c r="C371" s="18" t="s">
        <v>548</v>
      </c>
      <c r="D371" t="s">
        <v>507</v>
      </c>
      <c r="E371" s="18" t="s">
        <v>604</v>
      </c>
      <c r="F371" s="19">
        <v>45637</v>
      </c>
      <c r="G371" s="18">
        <v>3042037.93</v>
      </c>
      <c r="H371" s="37">
        <f t="shared" si="20"/>
        <v>52</v>
      </c>
      <c r="I371" s="37" t="str">
        <f t="shared" si="22"/>
        <v>0-120 DAYS</v>
      </c>
      <c r="J371" s="37" t="str">
        <f t="shared" si="21"/>
        <v>0-180 DAYS</v>
      </c>
      <c r="K371" t="s">
        <v>1730</v>
      </c>
      <c r="M371" t="s">
        <v>3074</v>
      </c>
      <c r="N371" s="66">
        <v>3042037.93</v>
      </c>
    </row>
    <row r="372" spans="1:14" x14ac:dyDescent="0.35">
      <c r="A372" s="2" t="s">
        <v>1209</v>
      </c>
      <c r="B372" s="2" t="s">
        <v>789</v>
      </c>
      <c r="C372" s="18" t="s">
        <v>506</v>
      </c>
      <c r="D372" t="s">
        <v>507</v>
      </c>
      <c r="E372" s="18" t="s">
        <v>2982</v>
      </c>
      <c r="F372" s="19">
        <v>45637</v>
      </c>
      <c r="G372" s="18">
        <v>2912928.29</v>
      </c>
      <c r="H372" s="37">
        <f t="shared" si="20"/>
        <v>52</v>
      </c>
      <c r="I372" s="37" t="str">
        <f t="shared" si="22"/>
        <v>0-120 DAYS</v>
      </c>
      <c r="J372" s="37" t="str">
        <f t="shared" si="21"/>
        <v>0-180 DAYS</v>
      </c>
      <c r="M372" t="s">
        <v>3074</v>
      </c>
      <c r="N372" s="66">
        <v>2912928.29</v>
      </c>
    </row>
    <row r="373" spans="1:14" x14ac:dyDescent="0.35">
      <c r="A373" s="2" t="s">
        <v>1209</v>
      </c>
      <c r="B373" s="2" t="s">
        <v>789</v>
      </c>
      <c r="C373" s="18" t="s">
        <v>506</v>
      </c>
      <c r="D373" t="s">
        <v>507</v>
      </c>
      <c r="E373" s="18" t="s">
        <v>2983</v>
      </c>
      <c r="F373" s="19">
        <v>45637</v>
      </c>
      <c r="G373" s="18">
        <v>316593.28999999998</v>
      </c>
      <c r="H373" s="37">
        <f t="shared" si="20"/>
        <v>52</v>
      </c>
      <c r="I373" s="37" t="str">
        <f t="shared" si="22"/>
        <v>0-120 DAYS</v>
      </c>
      <c r="J373" s="37" t="str">
        <f t="shared" si="21"/>
        <v>0-180 DAYS</v>
      </c>
      <c r="M373" t="s">
        <v>3074</v>
      </c>
      <c r="N373" s="66">
        <v>316593.28999999998</v>
      </c>
    </row>
    <row r="374" spans="1:14" x14ac:dyDescent="0.35">
      <c r="A374" s="88" t="s">
        <v>3058</v>
      </c>
      <c r="B374" s="88" t="s">
        <v>790</v>
      </c>
      <c r="C374" s="18" t="s">
        <v>1052</v>
      </c>
      <c r="D374" t="s">
        <v>507</v>
      </c>
      <c r="E374" s="18" t="s">
        <v>2984</v>
      </c>
      <c r="F374" s="19">
        <v>45638</v>
      </c>
      <c r="G374" s="18">
        <v>2781024.91</v>
      </c>
      <c r="H374" s="37">
        <f t="shared" si="20"/>
        <v>51</v>
      </c>
      <c r="I374" s="37" t="str">
        <f t="shared" si="22"/>
        <v>0-120 DAYS</v>
      </c>
      <c r="J374" s="37" t="str">
        <f t="shared" si="21"/>
        <v>0-180 DAYS</v>
      </c>
      <c r="K374" t="s">
        <v>1730</v>
      </c>
      <c r="M374" t="s">
        <v>3075</v>
      </c>
      <c r="N374" s="66">
        <v>2781024.91</v>
      </c>
    </row>
    <row r="375" spans="1:14" x14ac:dyDescent="0.35">
      <c r="A375" s="88" t="s">
        <v>3058</v>
      </c>
      <c r="B375" s="88" t="s">
        <v>790</v>
      </c>
      <c r="C375" s="18" t="s">
        <v>2969</v>
      </c>
      <c r="D375" t="s">
        <v>507</v>
      </c>
      <c r="E375" s="18" t="s">
        <v>2985</v>
      </c>
      <c r="F375" s="19">
        <v>45639</v>
      </c>
      <c r="G375" s="18">
        <v>3349804.82</v>
      </c>
      <c r="H375" s="37">
        <f t="shared" si="20"/>
        <v>50</v>
      </c>
      <c r="I375" s="37" t="str">
        <f t="shared" si="22"/>
        <v>0-120 DAYS</v>
      </c>
      <c r="J375" s="37" t="str">
        <f t="shared" si="21"/>
        <v>0-180 DAYS</v>
      </c>
      <c r="K375" t="s">
        <v>1730</v>
      </c>
      <c r="M375" t="s">
        <v>3076</v>
      </c>
      <c r="N375" s="66">
        <v>3349804.82</v>
      </c>
    </row>
    <row r="376" spans="1:14" x14ac:dyDescent="0.35">
      <c r="A376" s="88" t="s">
        <v>3058</v>
      </c>
      <c r="B376" s="88" t="s">
        <v>790</v>
      </c>
      <c r="C376" s="18" t="s">
        <v>575</v>
      </c>
      <c r="D376" t="s">
        <v>507</v>
      </c>
      <c r="E376" s="18" t="s">
        <v>2986</v>
      </c>
      <c r="F376" s="19">
        <v>45642</v>
      </c>
      <c r="G376" s="18">
        <v>3241004.38</v>
      </c>
      <c r="H376" s="37">
        <f t="shared" si="20"/>
        <v>47</v>
      </c>
      <c r="I376" s="37" t="str">
        <f t="shared" si="22"/>
        <v>0-120 DAYS</v>
      </c>
      <c r="J376" s="37" t="str">
        <f t="shared" si="21"/>
        <v>0-180 DAYS</v>
      </c>
      <c r="K376" t="s">
        <v>1730</v>
      </c>
      <c r="M376" t="s">
        <v>3079</v>
      </c>
      <c r="N376" s="66">
        <v>3241004.38</v>
      </c>
    </row>
    <row r="377" spans="1:14" x14ac:dyDescent="0.35">
      <c r="A377" s="88" t="s">
        <v>3058</v>
      </c>
      <c r="B377" s="88" t="s">
        <v>790</v>
      </c>
      <c r="C377" s="18" t="s">
        <v>1052</v>
      </c>
      <c r="D377" t="s">
        <v>507</v>
      </c>
      <c r="E377" s="18" t="s">
        <v>2987</v>
      </c>
      <c r="F377" s="19">
        <v>45644</v>
      </c>
      <c r="G377" s="18">
        <v>2994643.54</v>
      </c>
      <c r="H377" s="37">
        <f t="shared" si="20"/>
        <v>45</v>
      </c>
      <c r="I377" s="37" t="str">
        <f t="shared" si="22"/>
        <v>0-120 DAYS</v>
      </c>
      <c r="J377" s="37" t="str">
        <f t="shared" si="21"/>
        <v>0-180 DAYS</v>
      </c>
      <c r="K377" t="s">
        <v>1730</v>
      </c>
      <c r="M377" t="s">
        <v>3081</v>
      </c>
      <c r="N377" s="66">
        <v>2994643.54</v>
      </c>
    </row>
    <row r="378" spans="1:14" x14ac:dyDescent="0.35">
      <c r="A378" s="88" t="s">
        <v>3058</v>
      </c>
      <c r="B378" s="88" t="s">
        <v>790</v>
      </c>
      <c r="C378" s="18" t="s">
        <v>1052</v>
      </c>
      <c r="D378" t="s">
        <v>507</v>
      </c>
      <c r="E378" s="18" t="s">
        <v>2989</v>
      </c>
      <c r="F378" s="19">
        <v>45645</v>
      </c>
      <c r="G378" s="18">
        <v>2986093.29</v>
      </c>
      <c r="H378" s="37">
        <f t="shared" si="20"/>
        <v>44</v>
      </c>
      <c r="I378" s="37" t="str">
        <f t="shared" si="22"/>
        <v>0-120 DAYS</v>
      </c>
      <c r="J378" s="37" t="str">
        <f t="shared" si="21"/>
        <v>0-180 DAYS</v>
      </c>
      <c r="K378" t="s">
        <v>1730</v>
      </c>
      <c r="M378" t="s">
        <v>3082</v>
      </c>
      <c r="N378" s="66">
        <v>2986093.29</v>
      </c>
    </row>
    <row r="379" spans="1:14" x14ac:dyDescent="0.35">
      <c r="A379" s="88" t="s">
        <v>3058</v>
      </c>
      <c r="B379" s="88" t="s">
        <v>790</v>
      </c>
      <c r="C379" s="18" t="s">
        <v>1243</v>
      </c>
      <c r="D379" t="s">
        <v>507</v>
      </c>
      <c r="E379" s="18" t="s">
        <v>2990</v>
      </c>
      <c r="F379" s="19">
        <v>45645</v>
      </c>
      <c r="G379" s="18">
        <v>3448471.25</v>
      </c>
      <c r="H379" s="37">
        <f t="shared" si="20"/>
        <v>44</v>
      </c>
      <c r="I379" s="37" t="str">
        <f t="shared" si="22"/>
        <v>0-120 DAYS</v>
      </c>
      <c r="J379" s="37" t="str">
        <f t="shared" si="21"/>
        <v>0-180 DAYS</v>
      </c>
      <c r="K379" t="s">
        <v>1730</v>
      </c>
      <c r="M379" t="s">
        <v>3082</v>
      </c>
      <c r="N379" s="66">
        <v>3448471.25</v>
      </c>
    </row>
    <row r="380" spans="1:14" x14ac:dyDescent="0.35">
      <c r="A380" s="88" t="s">
        <v>3058</v>
      </c>
      <c r="B380" s="88" t="s">
        <v>790</v>
      </c>
      <c r="C380" s="18" t="s">
        <v>1243</v>
      </c>
      <c r="D380" t="s">
        <v>507</v>
      </c>
      <c r="E380" s="18" t="s">
        <v>2991</v>
      </c>
      <c r="F380" s="19">
        <v>45645</v>
      </c>
      <c r="G380" s="18">
        <v>402553.38</v>
      </c>
      <c r="H380" s="37">
        <f t="shared" si="20"/>
        <v>44</v>
      </c>
      <c r="I380" s="37" t="str">
        <f t="shared" si="22"/>
        <v>0-120 DAYS</v>
      </c>
      <c r="J380" s="37" t="str">
        <f t="shared" si="21"/>
        <v>0-180 DAYS</v>
      </c>
      <c r="K380" t="s">
        <v>1730</v>
      </c>
      <c r="M380" t="s">
        <v>3082</v>
      </c>
      <c r="N380" s="66">
        <v>402553.38</v>
      </c>
    </row>
    <row r="381" spans="1:14" x14ac:dyDescent="0.35">
      <c r="A381" s="88" t="s">
        <v>3058</v>
      </c>
      <c r="B381" s="88" t="s">
        <v>790</v>
      </c>
      <c r="C381" s="18" t="s">
        <v>1052</v>
      </c>
      <c r="D381" t="s">
        <v>507</v>
      </c>
      <c r="E381" s="18" t="s">
        <v>2992</v>
      </c>
      <c r="F381" s="19">
        <v>45647</v>
      </c>
      <c r="G381" s="18">
        <v>2987573.24</v>
      </c>
      <c r="H381" s="37">
        <f t="shared" si="20"/>
        <v>42</v>
      </c>
      <c r="I381" s="37" t="str">
        <f t="shared" si="22"/>
        <v>0-120 DAYS</v>
      </c>
      <c r="J381" s="37" t="str">
        <f t="shared" si="21"/>
        <v>0-180 DAYS</v>
      </c>
      <c r="K381" t="s">
        <v>1730</v>
      </c>
      <c r="M381" t="s">
        <v>3084</v>
      </c>
      <c r="N381" s="66">
        <v>2987573.24</v>
      </c>
    </row>
    <row r="382" spans="1:14" x14ac:dyDescent="0.35">
      <c r="A382" s="88" t="s">
        <v>3058</v>
      </c>
      <c r="B382" s="88" t="s">
        <v>790</v>
      </c>
      <c r="C382" s="18" t="s">
        <v>548</v>
      </c>
      <c r="D382" t="s">
        <v>507</v>
      </c>
      <c r="E382" s="18" t="s">
        <v>2993</v>
      </c>
      <c r="F382" s="19">
        <v>45647</v>
      </c>
      <c r="G382" s="18">
        <v>3264868.64</v>
      </c>
      <c r="H382" s="37">
        <f t="shared" si="20"/>
        <v>42</v>
      </c>
      <c r="I382" s="37" t="str">
        <f t="shared" si="22"/>
        <v>0-120 DAYS</v>
      </c>
      <c r="J382" s="37" t="str">
        <f t="shared" si="21"/>
        <v>0-180 DAYS</v>
      </c>
      <c r="K382" t="s">
        <v>1730</v>
      </c>
      <c r="M382" t="s">
        <v>3084</v>
      </c>
      <c r="N382" s="66">
        <v>3264868.64</v>
      </c>
    </row>
    <row r="383" spans="1:14" x14ac:dyDescent="0.35">
      <c r="A383" s="88" t="s">
        <v>3058</v>
      </c>
      <c r="B383" s="88" t="s">
        <v>790</v>
      </c>
      <c r="C383" s="18" t="s">
        <v>1052</v>
      </c>
      <c r="D383" t="s">
        <v>507</v>
      </c>
      <c r="E383" s="18" t="s">
        <v>2995</v>
      </c>
      <c r="F383" s="19">
        <v>45652</v>
      </c>
      <c r="G383" s="18">
        <v>2991159.77</v>
      </c>
      <c r="H383" s="37">
        <f t="shared" si="20"/>
        <v>37</v>
      </c>
      <c r="I383" s="37" t="str">
        <f t="shared" si="22"/>
        <v>0-120 DAYS</v>
      </c>
      <c r="J383" s="37" t="str">
        <f t="shared" si="21"/>
        <v>0-180 DAYS</v>
      </c>
      <c r="K383" t="s">
        <v>1730</v>
      </c>
      <c r="M383" t="s">
        <v>3088</v>
      </c>
      <c r="N383" s="66">
        <v>2991159.77</v>
      </c>
    </row>
    <row r="384" spans="1:14" x14ac:dyDescent="0.35">
      <c r="A384" s="88" t="s">
        <v>3058</v>
      </c>
      <c r="B384" s="88" t="s">
        <v>790</v>
      </c>
      <c r="C384" s="18" t="s">
        <v>1052</v>
      </c>
      <c r="D384" t="s">
        <v>507</v>
      </c>
      <c r="E384" s="18" t="s">
        <v>2996</v>
      </c>
      <c r="F384" s="19">
        <v>45652</v>
      </c>
      <c r="G384" s="18">
        <v>2704204.27</v>
      </c>
      <c r="H384" s="37">
        <f t="shared" si="20"/>
        <v>37</v>
      </c>
      <c r="I384" s="37" t="str">
        <f t="shared" si="22"/>
        <v>0-120 DAYS</v>
      </c>
      <c r="J384" s="37" t="str">
        <f t="shared" si="21"/>
        <v>0-180 DAYS</v>
      </c>
      <c r="K384" t="s">
        <v>1730</v>
      </c>
      <c r="M384" t="s">
        <v>3088</v>
      </c>
      <c r="N384" s="66">
        <v>2704204.27</v>
      </c>
    </row>
    <row r="385" spans="1:14" x14ac:dyDescent="0.35">
      <c r="A385" s="88" t="s">
        <v>3058</v>
      </c>
      <c r="B385" s="88" t="s">
        <v>790</v>
      </c>
      <c r="C385" s="18" t="s">
        <v>617</v>
      </c>
      <c r="D385" t="s">
        <v>507</v>
      </c>
      <c r="E385" s="18" t="s">
        <v>2997</v>
      </c>
      <c r="F385" s="19">
        <v>45654</v>
      </c>
      <c r="G385" s="18">
        <v>4279229.37</v>
      </c>
      <c r="H385" s="37">
        <f t="shared" si="20"/>
        <v>35</v>
      </c>
      <c r="I385" s="37" t="str">
        <f t="shared" si="22"/>
        <v>0-120 DAYS</v>
      </c>
      <c r="J385" s="37" t="str">
        <f t="shared" si="21"/>
        <v>0-180 DAYS</v>
      </c>
      <c r="K385" t="s">
        <v>1730</v>
      </c>
      <c r="M385" t="s">
        <v>3090</v>
      </c>
      <c r="N385" s="66">
        <v>4279229.37</v>
      </c>
    </row>
    <row r="386" spans="1:14" x14ac:dyDescent="0.35">
      <c r="A386" s="88" t="s">
        <v>3058</v>
      </c>
      <c r="B386" s="88" t="s">
        <v>790</v>
      </c>
      <c r="C386" s="18" t="s">
        <v>1330</v>
      </c>
      <c r="D386" t="s">
        <v>507</v>
      </c>
      <c r="E386" s="18" t="s">
        <v>2998</v>
      </c>
      <c r="F386" s="19">
        <v>45657</v>
      </c>
      <c r="G386" s="18">
        <v>3297738.54</v>
      </c>
      <c r="H386" s="37">
        <f t="shared" si="20"/>
        <v>32</v>
      </c>
      <c r="I386" s="37" t="str">
        <f t="shared" si="22"/>
        <v>0-120 DAYS</v>
      </c>
      <c r="J386" s="37" t="str">
        <f t="shared" si="21"/>
        <v>0-180 DAYS</v>
      </c>
      <c r="K386" t="s">
        <v>1730</v>
      </c>
      <c r="M386" t="s">
        <v>3064</v>
      </c>
      <c r="N386" s="66">
        <v>3297738.54</v>
      </c>
    </row>
    <row r="387" spans="1:14" x14ac:dyDescent="0.35">
      <c r="A387" s="88" t="s">
        <v>3058</v>
      </c>
      <c r="B387" s="88" t="s">
        <v>790</v>
      </c>
      <c r="C387" s="18" t="s">
        <v>573</v>
      </c>
      <c r="D387" t="s">
        <v>507</v>
      </c>
      <c r="E387" s="18" t="s">
        <v>2999</v>
      </c>
      <c r="F387" s="19">
        <v>45627</v>
      </c>
      <c r="G387" s="18">
        <v>1653205.88</v>
      </c>
      <c r="H387" s="37">
        <f t="shared" si="20"/>
        <v>62</v>
      </c>
      <c r="I387" s="37" t="str">
        <f t="shared" si="22"/>
        <v>0-120 DAYS</v>
      </c>
      <c r="J387" s="37" t="str">
        <f t="shared" si="21"/>
        <v>0-180 DAYS</v>
      </c>
      <c r="K387" t="s">
        <v>1730</v>
      </c>
      <c r="M387" t="s">
        <v>3065</v>
      </c>
      <c r="N387" s="66">
        <v>1653205.88</v>
      </c>
    </row>
    <row r="388" spans="1:14" x14ac:dyDescent="0.35">
      <c r="A388" s="88" t="s">
        <v>3058</v>
      </c>
      <c r="B388" s="88" t="s">
        <v>790</v>
      </c>
      <c r="C388" s="18" t="s">
        <v>650</v>
      </c>
      <c r="D388" t="s">
        <v>507</v>
      </c>
      <c r="E388" s="18" t="s">
        <v>3000</v>
      </c>
      <c r="F388" s="19">
        <v>45627</v>
      </c>
      <c r="G388" s="18">
        <v>2916401.2</v>
      </c>
      <c r="H388" s="37">
        <f t="shared" si="20"/>
        <v>62</v>
      </c>
      <c r="I388" s="37" t="str">
        <f t="shared" si="22"/>
        <v>0-120 DAYS</v>
      </c>
      <c r="J388" s="37" t="str">
        <f t="shared" si="21"/>
        <v>0-180 DAYS</v>
      </c>
      <c r="K388" t="s">
        <v>1730</v>
      </c>
      <c r="M388" t="s">
        <v>3065</v>
      </c>
      <c r="N388" s="66">
        <v>2916401.2</v>
      </c>
    </row>
    <row r="389" spans="1:14" x14ac:dyDescent="0.35">
      <c r="A389" s="88" t="s">
        <v>3058</v>
      </c>
      <c r="B389" s="88" t="s">
        <v>790</v>
      </c>
      <c r="C389" s="18" t="s">
        <v>650</v>
      </c>
      <c r="D389" t="s">
        <v>507</v>
      </c>
      <c r="E389" s="18" t="s">
        <v>3001</v>
      </c>
      <c r="F389" s="19">
        <v>45627</v>
      </c>
      <c r="G389" s="18">
        <v>3415312.06</v>
      </c>
      <c r="H389" s="37">
        <f t="shared" si="20"/>
        <v>62</v>
      </c>
      <c r="I389" s="37" t="str">
        <f t="shared" si="22"/>
        <v>0-120 DAYS</v>
      </c>
      <c r="J389" s="37" t="str">
        <f t="shared" si="21"/>
        <v>0-180 DAYS</v>
      </c>
      <c r="K389" t="s">
        <v>1730</v>
      </c>
      <c r="M389" t="s">
        <v>3065</v>
      </c>
      <c r="N389" s="66">
        <v>3415312.06</v>
      </c>
    </row>
    <row r="390" spans="1:14" x14ac:dyDescent="0.35">
      <c r="A390" s="88" t="s">
        <v>3058</v>
      </c>
      <c r="B390" s="88" t="s">
        <v>790</v>
      </c>
      <c r="C390" s="18" t="s">
        <v>570</v>
      </c>
      <c r="D390" t="s">
        <v>507</v>
      </c>
      <c r="E390" s="18" t="s">
        <v>3002</v>
      </c>
      <c r="F390" s="19">
        <v>45628</v>
      </c>
      <c r="G390" s="18">
        <v>3170112</v>
      </c>
      <c r="H390" s="37">
        <f t="shared" si="20"/>
        <v>61</v>
      </c>
      <c r="I390" s="37" t="str">
        <f t="shared" si="22"/>
        <v>0-120 DAYS</v>
      </c>
      <c r="J390" s="37" t="str">
        <f t="shared" si="21"/>
        <v>0-180 DAYS</v>
      </c>
      <c r="K390" t="s">
        <v>1730</v>
      </c>
      <c r="M390" t="s">
        <v>3066</v>
      </c>
      <c r="N390" s="66">
        <v>3170112</v>
      </c>
    </row>
    <row r="391" spans="1:14" x14ac:dyDescent="0.35">
      <c r="A391" s="88" t="s">
        <v>3058</v>
      </c>
      <c r="B391" s="88" t="s">
        <v>790</v>
      </c>
      <c r="C391" s="18" t="s">
        <v>1086</v>
      </c>
      <c r="D391" t="s">
        <v>507</v>
      </c>
      <c r="E391" s="18" t="s">
        <v>3003</v>
      </c>
      <c r="F391" s="19">
        <v>45628</v>
      </c>
      <c r="G391" s="18">
        <v>726734.8</v>
      </c>
      <c r="H391" s="37">
        <f t="shared" si="20"/>
        <v>61</v>
      </c>
      <c r="I391" s="37" t="str">
        <f t="shared" si="22"/>
        <v>0-120 DAYS</v>
      </c>
      <c r="J391" s="37" t="str">
        <f t="shared" si="21"/>
        <v>0-180 DAYS</v>
      </c>
      <c r="K391" t="s">
        <v>1730</v>
      </c>
      <c r="M391" t="s">
        <v>3066</v>
      </c>
      <c r="N391" s="66">
        <v>726734.8</v>
      </c>
    </row>
    <row r="392" spans="1:14" x14ac:dyDescent="0.35">
      <c r="A392" s="88" t="s">
        <v>3058</v>
      </c>
      <c r="B392" s="88" t="s">
        <v>790</v>
      </c>
      <c r="C392" s="18" t="s">
        <v>1086</v>
      </c>
      <c r="D392" t="s">
        <v>507</v>
      </c>
      <c r="E392" s="18" t="s">
        <v>3004</v>
      </c>
      <c r="F392" s="19">
        <v>45628</v>
      </c>
      <c r="G392" s="18">
        <v>2308421.7200000002</v>
      </c>
      <c r="H392" s="37">
        <f t="shared" si="20"/>
        <v>61</v>
      </c>
      <c r="I392" s="37" t="str">
        <f t="shared" si="22"/>
        <v>0-120 DAYS</v>
      </c>
      <c r="J392" s="37" t="str">
        <f t="shared" si="21"/>
        <v>0-180 DAYS</v>
      </c>
      <c r="K392" t="s">
        <v>1730</v>
      </c>
      <c r="M392" t="s">
        <v>3066</v>
      </c>
      <c r="N392" s="66">
        <v>2308421.7200000002</v>
      </c>
    </row>
    <row r="393" spans="1:14" x14ac:dyDescent="0.35">
      <c r="A393" s="88" t="s">
        <v>3058</v>
      </c>
      <c r="B393" s="88" t="s">
        <v>790</v>
      </c>
      <c r="C393" s="18" t="s">
        <v>728</v>
      </c>
      <c r="D393" t="s">
        <v>507</v>
      </c>
      <c r="E393" s="18" t="s">
        <v>3005</v>
      </c>
      <c r="F393" s="19">
        <v>45630</v>
      </c>
      <c r="G393" s="18">
        <v>3214252.8</v>
      </c>
      <c r="H393" s="37">
        <f t="shared" si="20"/>
        <v>59</v>
      </c>
      <c r="I393" s="37" t="str">
        <f t="shared" si="22"/>
        <v>0-120 DAYS</v>
      </c>
      <c r="J393" s="37" t="str">
        <f t="shared" si="21"/>
        <v>0-180 DAYS</v>
      </c>
      <c r="K393" t="s">
        <v>1730</v>
      </c>
      <c r="M393" t="s">
        <v>3068</v>
      </c>
      <c r="N393" s="66">
        <v>3214252.8</v>
      </c>
    </row>
    <row r="394" spans="1:14" s="157" customFormat="1" x14ac:dyDescent="0.35">
      <c r="A394" s="152" t="s">
        <v>3058</v>
      </c>
      <c r="B394" s="152" t="s">
        <v>790</v>
      </c>
      <c r="C394" s="154" t="s">
        <v>2970</v>
      </c>
      <c r="D394" t="s">
        <v>507</v>
      </c>
      <c r="E394" s="154" t="s">
        <v>3006</v>
      </c>
      <c r="F394" s="155">
        <v>45630</v>
      </c>
      <c r="G394" s="154">
        <f>3830246.86-1652463</f>
        <v>2177783.86</v>
      </c>
      <c r="H394" s="156">
        <f t="shared" si="20"/>
        <v>59</v>
      </c>
      <c r="I394" s="156" t="str">
        <f t="shared" si="22"/>
        <v>0-120 DAYS</v>
      </c>
      <c r="J394" s="156" t="str">
        <f t="shared" si="21"/>
        <v>0-180 DAYS</v>
      </c>
      <c r="K394" t="s">
        <v>1730</v>
      </c>
      <c r="M394" t="s">
        <v>3068</v>
      </c>
      <c r="N394" s="66">
        <v>2177783.86</v>
      </c>
    </row>
    <row r="395" spans="1:14" x14ac:dyDescent="0.35">
      <c r="A395" s="88" t="s">
        <v>3058</v>
      </c>
      <c r="B395" s="88" t="s">
        <v>790</v>
      </c>
      <c r="C395" s="18" t="s">
        <v>570</v>
      </c>
      <c r="D395" t="s">
        <v>507</v>
      </c>
      <c r="E395" s="18" t="s">
        <v>3008</v>
      </c>
      <c r="F395" s="19">
        <v>45632</v>
      </c>
      <c r="G395" s="18">
        <v>3181488</v>
      </c>
      <c r="H395" s="37">
        <f t="shared" si="20"/>
        <v>57</v>
      </c>
      <c r="I395" s="37" t="str">
        <f t="shared" si="22"/>
        <v>0-120 DAYS</v>
      </c>
      <c r="J395" s="37" t="str">
        <f t="shared" si="21"/>
        <v>0-180 DAYS</v>
      </c>
      <c r="K395" t="s">
        <v>1730</v>
      </c>
      <c r="M395" t="s">
        <v>3070</v>
      </c>
      <c r="N395" s="66">
        <v>3181488</v>
      </c>
    </row>
    <row r="396" spans="1:14" s="157" customFormat="1" x14ac:dyDescent="0.35">
      <c r="A396" s="152" t="s">
        <v>3058</v>
      </c>
      <c r="B396" s="152" t="s">
        <v>790</v>
      </c>
      <c r="C396" s="154" t="s">
        <v>635</v>
      </c>
      <c r="D396" t="s">
        <v>507</v>
      </c>
      <c r="E396" s="154" t="s">
        <v>3009</v>
      </c>
      <c r="F396" s="155">
        <v>45633</v>
      </c>
      <c r="G396" s="154">
        <f>2971091.97-2658232</f>
        <v>312859.9700000002</v>
      </c>
      <c r="H396" s="156">
        <f t="shared" ref="H396:H459" si="23">$H$9-F396+1</f>
        <v>56</v>
      </c>
      <c r="I396" s="156" t="str">
        <f t="shared" si="22"/>
        <v>0-120 DAYS</v>
      </c>
      <c r="J396" s="156" t="str">
        <f t="shared" si="21"/>
        <v>0-180 DAYS</v>
      </c>
      <c r="K396" t="s">
        <v>1730</v>
      </c>
      <c r="M396" t="s">
        <v>3071</v>
      </c>
      <c r="N396" s="66">
        <v>312859.96999999997</v>
      </c>
    </row>
    <row r="397" spans="1:14" x14ac:dyDescent="0.35">
      <c r="A397" s="88" t="s">
        <v>3058</v>
      </c>
      <c r="B397" s="88" t="s">
        <v>790</v>
      </c>
      <c r="C397" s="18" t="s">
        <v>635</v>
      </c>
      <c r="D397" t="s">
        <v>507</v>
      </c>
      <c r="E397" s="18" t="s">
        <v>3010</v>
      </c>
      <c r="F397" s="19">
        <v>45635</v>
      </c>
      <c r="G397" s="18">
        <v>3086646.6</v>
      </c>
      <c r="H397" s="37">
        <f t="shared" si="23"/>
        <v>54</v>
      </c>
      <c r="I397" s="37" t="str">
        <f t="shared" si="22"/>
        <v>0-120 DAYS</v>
      </c>
      <c r="J397" s="37" t="str">
        <f t="shared" ref="J397:J460" si="24">IF(H397&lt;180,"0-180 DAYS","More than 180 Days")</f>
        <v>0-180 DAYS</v>
      </c>
      <c r="K397" t="s">
        <v>1730</v>
      </c>
      <c r="M397" t="s">
        <v>3072</v>
      </c>
      <c r="N397" s="66">
        <v>3086646.6</v>
      </c>
    </row>
    <row r="398" spans="1:14" x14ac:dyDescent="0.35">
      <c r="A398" s="88" t="s">
        <v>3058</v>
      </c>
      <c r="B398" s="88" t="s">
        <v>790</v>
      </c>
      <c r="C398" s="18" t="s">
        <v>600</v>
      </c>
      <c r="D398" t="s">
        <v>507</v>
      </c>
      <c r="E398" s="18" t="s">
        <v>3011</v>
      </c>
      <c r="F398" s="19">
        <v>45637</v>
      </c>
      <c r="G398" s="18">
        <v>3933500.48</v>
      </c>
      <c r="H398" s="37">
        <f t="shared" si="23"/>
        <v>52</v>
      </c>
      <c r="I398" s="37" t="str">
        <f t="shared" si="22"/>
        <v>0-120 DAYS</v>
      </c>
      <c r="J398" s="37" t="str">
        <f t="shared" si="24"/>
        <v>0-180 DAYS</v>
      </c>
      <c r="K398" t="s">
        <v>1730</v>
      </c>
      <c r="M398" t="s">
        <v>3074</v>
      </c>
      <c r="N398" s="66">
        <v>3933500.48</v>
      </c>
    </row>
    <row r="399" spans="1:14" x14ac:dyDescent="0.35">
      <c r="A399" s="88" t="s">
        <v>3058</v>
      </c>
      <c r="B399" s="88" t="s">
        <v>790</v>
      </c>
      <c r="C399" s="18" t="s">
        <v>1086</v>
      </c>
      <c r="D399" t="s">
        <v>507</v>
      </c>
      <c r="E399" s="18" t="s">
        <v>3012</v>
      </c>
      <c r="F399" s="19">
        <v>45638</v>
      </c>
      <c r="G399" s="18">
        <v>1585290.5</v>
      </c>
      <c r="H399" s="37">
        <f t="shared" si="23"/>
        <v>51</v>
      </c>
      <c r="I399" s="37" t="str">
        <f t="shared" si="22"/>
        <v>0-120 DAYS</v>
      </c>
      <c r="J399" s="37" t="str">
        <f t="shared" si="24"/>
        <v>0-180 DAYS</v>
      </c>
      <c r="K399" t="s">
        <v>1730</v>
      </c>
      <c r="M399" t="s">
        <v>3075</v>
      </c>
      <c r="N399" s="66">
        <v>1585290.5</v>
      </c>
    </row>
    <row r="400" spans="1:14" x14ac:dyDescent="0.35">
      <c r="A400" s="88" t="s">
        <v>3058</v>
      </c>
      <c r="B400" s="88" t="s">
        <v>790</v>
      </c>
      <c r="C400" s="18" t="s">
        <v>1086</v>
      </c>
      <c r="D400" t="s">
        <v>507</v>
      </c>
      <c r="E400" s="18" t="s">
        <v>3013</v>
      </c>
      <c r="F400" s="19">
        <v>45638</v>
      </c>
      <c r="G400" s="18">
        <v>1499303.07</v>
      </c>
      <c r="H400" s="37">
        <f t="shared" si="23"/>
        <v>51</v>
      </c>
      <c r="I400" s="37" t="str">
        <f t="shared" si="22"/>
        <v>0-120 DAYS</v>
      </c>
      <c r="J400" s="37" t="str">
        <f t="shared" si="24"/>
        <v>0-180 DAYS</v>
      </c>
      <c r="K400" t="s">
        <v>1730</v>
      </c>
      <c r="M400" t="s">
        <v>3075</v>
      </c>
      <c r="N400" s="66">
        <v>1499303.07</v>
      </c>
    </row>
    <row r="401" spans="1:14" x14ac:dyDescent="0.35">
      <c r="A401" s="88" t="s">
        <v>3058</v>
      </c>
      <c r="B401" s="88" t="s">
        <v>790</v>
      </c>
      <c r="C401" s="18" t="s">
        <v>570</v>
      </c>
      <c r="D401" t="s">
        <v>507</v>
      </c>
      <c r="E401" s="18" t="s">
        <v>3014</v>
      </c>
      <c r="F401" s="19">
        <v>45639</v>
      </c>
      <c r="G401" s="18">
        <v>3181488</v>
      </c>
      <c r="H401" s="37">
        <f t="shared" si="23"/>
        <v>50</v>
      </c>
      <c r="I401" s="37" t="str">
        <f t="shared" si="22"/>
        <v>0-120 DAYS</v>
      </c>
      <c r="J401" s="37" t="str">
        <f t="shared" si="24"/>
        <v>0-180 DAYS</v>
      </c>
      <c r="K401" t="s">
        <v>1730</v>
      </c>
      <c r="M401" t="s">
        <v>3076</v>
      </c>
      <c r="N401" s="66">
        <v>3181488</v>
      </c>
    </row>
    <row r="402" spans="1:14" x14ac:dyDescent="0.35">
      <c r="A402" s="88" t="s">
        <v>3058</v>
      </c>
      <c r="B402" s="88" t="s">
        <v>790</v>
      </c>
      <c r="C402" s="18" t="s">
        <v>551</v>
      </c>
      <c r="D402" t="s">
        <v>507</v>
      </c>
      <c r="E402" s="18" t="s">
        <v>3015</v>
      </c>
      <c r="F402" s="19">
        <v>45640</v>
      </c>
      <c r="G402" s="18">
        <v>3672806.4</v>
      </c>
      <c r="H402" s="37">
        <f t="shared" si="23"/>
        <v>49</v>
      </c>
      <c r="I402" s="37" t="str">
        <f t="shared" si="22"/>
        <v>0-120 DAYS</v>
      </c>
      <c r="J402" s="37" t="str">
        <f t="shared" si="24"/>
        <v>0-180 DAYS</v>
      </c>
      <c r="K402" t="s">
        <v>1730</v>
      </c>
      <c r="M402" t="s">
        <v>3077</v>
      </c>
      <c r="N402" s="66">
        <v>3672806.4</v>
      </c>
    </row>
    <row r="403" spans="1:14" x14ac:dyDescent="0.35">
      <c r="A403" s="88" t="s">
        <v>3058</v>
      </c>
      <c r="B403" s="88" t="s">
        <v>790</v>
      </c>
      <c r="C403" s="18" t="s">
        <v>551</v>
      </c>
      <c r="D403" t="s">
        <v>507</v>
      </c>
      <c r="E403" s="18" t="s">
        <v>3016</v>
      </c>
      <c r="F403" s="19">
        <v>45641</v>
      </c>
      <c r="G403" s="18">
        <v>3672806.4</v>
      </c>
      <c r="H403" s="37">
        <f t="shared" si="23"/>
        <v>48</v>
      </c>
      <c r="I403" s="37" t="str">
        <f t="shared" si="22"/>
        <v>0-120 DAYS</v>
      </c>
      <c r="J403" s="37" t="str">
        <f t="shared" si="24"/>
        <v>0-180 DAYS</v>
      </c>
      <c r="K403" t="s">
        <v>1730</v>
      </c>
      <c r="M403" t="s">
        <v>3078</v>
      </c>
      <c r="N403" s="66">
        <v>3672806.4</v>
      </c>
    </row>
    <row r="404" spans="1:14" x14ac:dyDescent="0.35">
      <c r="A404" s="88" t="s">
        <v>3058</v>
      </c>
      <c r="B404" s="88" t="s">
        <v>790</v>
      </c>
      <c r="C404" s="18" t="s">
        <v>635</v>
      </c>
      <c r="D404" t="s">
        <v>507</v>
      </c>
      <c r="E404" s="18" t="s">
        <v>3017</v>
      </c>
      <c r="F404" s="19">
        <v>45642</v>
      </c>
      <c r="G404" s="18">
        <v>3085646.51</v>
      </c>
      <c r="H404" s="37">
        <f t="shared" si="23"/>
        <v>47</v>
      </c>
      <c r="I404" s="37" t="str">
        <f t="shared" si="22"/>
        <v>0-120 DAYS</v>
      </c>
      <c r="J404" s="37" t="str">
        <f t="shared" si="24"/>
        <v>0-180 DAYS</v>
      </c>
      <c r="K404" t="s">
        <v>1730</v>
      </c>
      <c r="M404" t="s">
        <v>3079</v>
      </c>
      <c r="N404" s="66">
        <v>3085646.51</v>
      </c>
    </row>
    <row r="405" spans="1:14" x14ac:dyDescent="0.35">
      <c r="A405" s="88" t="s">
        <v>3058</v>
      </c>
      <c r="B405" s="88" t="s">
        <v>790</v>
      </c>
      <c r="C405" s="18" t="s">
        <v>570</v>
      </c>
      <c r="D405" t="s">
        <v>507</v>
      </c>
      <c r="E405" s="18" t="s">
        <v>3018</v>
      </c>
      <c r="F405" s="19">
        <v>45643</v>
      </c>
      <c r="G405" s="18">
        <v>4203473.9000000004</v>
      </c>
      <c r="H405" s="37">
        <f t="shared" si="23"/>
        <v>46</v>
      </c>
      <c r="I405" s="37" t="str">
        <f t="shared" si="22"/>
        <v>0-120 DAYS</v>
      </c>
      <c r="J405" s="37" t="str">
        <f t="shared" si="24"/>
        <v>0-180 DAYS</v>
      </c>
      <c r="K405" t="s">
        <v>1730</v>
      </c>
      <c r="M405" t="s">
        <v>3080</v>
      </c>
      <c r="N405" s="66">
        <v>4203473.9000000004</v>
      </c>
    </row>
    <row r="406" spans="1:14" x14ac:dyDescent="0.35">
      <c r="A406" s="88" t="s">
        <v>3058</v>
      </c>
      <c r="B406" s="88" t="s">
        <v>790</v>
      </c>
      <c r="C406" s="18" t="s">
        <v>650</v>
      </c>
      <c r="D406" t="s">
        <v>507</v>
      </c>
      <c r="E406" s="18" t="s">
        <v>3019</v>
      </c>
      <c r="F406" s="19">
        <v>45643</v>
      </c>
      <c r="G406" s="18">
        <v>3757332.25</v>
      </c>
      <c r="H406" s="37">
        <f t="shared" si="23"/>
        <v>46</v>
      </c>
      <c r="I406" s="37" t="str">
        <f t="shared" si="22"/>
        <v>0-120 DAYS</v>
      </c>
      <c r="J406" s="37" t="str">
        <f t="shared" si="24"/>
        <v>0-180 DAYS</v>
      </c>
      <c r="K406" t="s">
        <v>1730</v>
      </c>
      <c r="M406" t="s">
        <v>3080</v>
      </c>
      <c r="N406" s="66">
        <v>3757332.25</v>
      </c>
    </row>
    <row r="407" spans="1:14" x14ac:dyDescent="0.35">
      <c r="A407" s="88" t="s">
        <v>3058</v>
      </c>
      <c r="B407" s="88" t="s">
        <v>790</v>
      </c>
      <c r="C407" s="18" t="s">
        <v>538</v>
      </c>
      <c r="D407" t="s">
        <v>507</v>
      </c>
      <c r="E407" s="18" t="s">
        <v>3020</v>
      </c>
      <c r="F407" s="19">
        <v>45644</v>
      </c>
      <c r="G407" s="18">
        <v>3075716</v>
      </c>
      <c r="H407" s="37">
        <f t="shared" si="23"/>
        <v>45</v>
      </c>
      <c r="I407" s="37" t="str">
        <f t="shared" si="22"/>
        <v>0-120 DAYS</v>
      </c>
      <c r="J407" s="37" t="str">
        <f t="shared" si="24"/>
        <v>0-180 DAYS</v>
      </c>
      <c r="K407" t="s">
        <v>1730</v>
      </c>
      <c r="M407" t="s">
        <v>3081</v>
      </c>
      <c r="N407" s="66">
        <v>3075716</v>
      </c>
    </row>
    <row r="408" spans="1:14" x14ac:dyDescent="0.35">
      <c r="A408" s="88" t="s">
        <v>3058</v>
      </c>
      <c r="B408" s="88" t="s">
        <v>790</v>
      </c>
      <c r="C408" s="18" t="s">
        <v>1249</v>
      </c>
      <c r="D408" t="s">
        <v>507</v>
      </c>
      <c r="E408" s="18" t="s">
        <v>3021</v>
      </c>
      <c r="F408" s="19">
        <v>45645</v>
      </c>
      <c r="G408" s="18">
        <v>3420372.28</v>
      </c>
      <c r="H408" s="37">
        <f t="shared" si="23"/>
        <v>44</v>
      </c>
      <c r="I408" s="37" t="str">
        <f t="shared" si="22"/>
        <v>0-120 DAYS</v>
      </c>
      <c r="J408" s="37" t="str">
        <f t="shared" si="24"/>
        <v>0-180 DAYS</v>
      </c>
      <c r="K408" t="s">
        <v>1730</v>
      </c>
      <c r="M408" t="s">
        <v>3082</v>
      </c>
      <c r="N408" s="66">
        <v>3420372.28</v>
      </c>
    </row>
    <row r="409" spans="1:14" x14ac:dyDescent="0.35">
      <c r="A409" s="88" t="s">
        <v>3058</v>
      </c>
      <c r="B409" s="88" t="s">
        <v>790</v>
      </c>
      <c r="C409" s="18" t="s">
        <v>1086</v>
      </c>
      <c r="D409" t="s">
        <v>507</v>
      </c>
      <c r="E409" s="18" t="s">
        <v>3023</v>
      </c>
      <c r="F409" s="19">
        <v>45646</v>
      </c>
      <c r="G409" s="18">
        <v>1730579.25</v>
      </c>
      <c r="H409" s="37">
        <f t="shared" si="23"/>
        <v>43</v>
      </c>
      <c r="I409" s="37" t="str">
        <f t="shared" si="22"/>
        <v>0-120 DAYS</v>
      </c>
      <c r="J409" s="37" t="str">
        <f t="shared" si="24"/>
        <v>0-180 DAYS</v>
      </c>
      <c r="K409" t="s">
        <v>1730</v>
      </c>
      <c r="M409" t="s">
        <v>3083</v>
      </c>
      <c r="N409" s="66">
        <v>1730579.25</v>
      </c>
    </row>
    <row r="410" spans="1:14" x14ac:dyDescent="0.35">
      <c r="A410" s="88" t="s">
        <v>3058</v>
      </c>
      <c r="B410" s="88" t="s">
        <v>790</v>
      </c>
      <c r="C410" s="18" t="s">
        <v>1086</v>
      </c>
      <c r="D410" t="s">
        <v>507</v>
      </c>
      <c r="E410" s="18" t="s">
        <v>3024</v>
      </c>
      <c r="F410" s="19">
        <v>45646</v>
      </c>
      <c r="G410" s="18">
        <v>1452807</v>
      </c>
      <c r="H410" s="37">
        <f t="shared" si="23"/>
        <v>43</v>
      </c>
      <c r="I410" s="37" t="str">
        <f t="shared" si="22"/>
        <v>0-120 DAYS</v>
      </c>
      <c r="J410" s="37" t="str">
        <f t="shared" si="24"/>
        <v>0-180 DAYS</v>
      </c>
      <c r="K410" t="s">
        <v>1730</v>
      </c>
      <c r="M410" t="s">
        <v>3083</v>
      </c>
      <c r="N410" s="66">
        <v>1452807</v>
      </c>
    </row>
    <row r="411" spans="1:14" x14ac:dyDescent="0.35">
      <c r="A411" s="88" t="s">
        <v>3058</v>
      </c>
      <c r="B411" s="88" t="s">
        <v>790</v>
      </c>
      <c r="C411" s="18" t="s">
        <v>1086</v>
      </c>
      <c r="D411" t="s">
        <v>507</v>
      </c>
      <c r="E411" s="18" t="s">
        <v>3025</v>
      </c>
      <c r="F411" s="19">
        <v>45647</v>
      </c>
      <c r="G411" s="18">
        <v>2812506.8</v>
      </c>
      <c r="H411" s="37">
        <f t="shared" si="23"/>
        <v>42</v>
      </c>
      <c r="I411" s="37" t="str">
        <f t="shared" si="22"/>
        <v>0-120 DAYS</v>
      </c>
      <c r="J411" s="37" t="str">
        <f t="shared" si="24"/>
        <v>0-180 DAYS</v>
      </c>
      <c r="K411" t="s">
        <v>1730</v>
      </c>
      <c r="M411" t="s">
        <v>3084</v>
      </c>
      <c r="N411" s="66">
        <v>2812506.8</v>
      </c>
    </row>
    <row r="412" spans="1:14" x14ac:dyDescent="0.35">
      <c r="A412" s="88" t="s">
        <v>3058</v>
      </c>
      <c r="B412" s="88" t="s">
        <v>790</v>
      </c>
      <c r="C412" s="18" t="s">
        <v>1086</v>
      </c>
      <c r="D412" t="s">
        <v>507</v>
      </c>
      <c r="E412" s="18" t="s">
        <v>3026</v>
      </c>
      <c r="F412" s="19">
        <v>45647</v>
      </c>
      <c r="G412" s="18">
        <v>632985.42000000004</v>
      </c>
      <c r="H412" s="37">
        <f t="shared" si="23"/>
        <v>42</v>
      </c>
      <c r="I412" s="37" t="str">
        <f t="shared" si="22"/>
        <v>0-120 DAYS</v>
      </c>
      <c r="J412" s="37" t="str">
        <f t="shared" si="24"/>
        <v>0-180 DAYS</v>
      </c>
      <c r="K412" t="s">
        <v>1730</v>
      </c>
      <c r="M412" t="s">
        <v>3084</v>
      </c>
      <c r="N412" s="66">
        <v>632985.42000000004</v>
      </c>
    </row>
    <row r="413" spans="1:14" x14ac:dyDescent="0.35">
      <c r="A413" s="2" t="s">
        <v>1209</v>
      </c>
      <c r="B413" s="2" t="s">
        <v>789</v>
      </c>
      <c r="C413" s="18" t="s">
        <v>506</v>
      </c>
      <c r="D413" t="s">
        <v>507</v>
      </c>
      <c r="E413" s="18" t="s">
        <v>3027</v>
      </c>
      <c r="F413" s="19">
        <v>45647</v>
      </c>
      <c r="G413" s="18">
        <v>2957785.82</v>
      </c>
      <c r="H413" s="37">
        <f t="shared" si="23"/>
        <v>42</v>
      </c>
      <c r="I413" s="37" t="str">
        <f t="shared" si="22"/>
        <v>0-120 DAYS</v>
      </c>
      <c r="J413" s="37" t="str">
        <f t="shared" si="24"/>
        <v>0-180 DAYS</v>
      </c>
      <c r="M413" t="s">
        <v>3084</v>
      </c>
      <c r="N413" s="66">
        <v>2957785.82</v>
      </c>
    </row>
    <row r="414" spans="1:14" x14ac:dyDescent="0.35">
      <c r="A414" s="88" t="s">
        <v>3058</v>
      </c>
      <c r="B414" s="88" t="s">
        <v>790</v>
      </c>
      <c r="C414" s="18" t="s">
        <v>570</v>
      </c>
      <c r="D414" t="s">
        <v>507</v>
      </c>
      <c r="E414" s="18" t="s">
        <v>3028</v>
      </c>
      <c r="F414" s="19">
        <v>45649</v>
      </c>
      <c r="G414" s="18">
        <v>3194760</v>
      </c>
      <c r="H414" s="37">
        <f t="shared" si="23"/>
        <v>40</v>
      </c>
      <c r="I414" s="37" t="str">
        <f t="shared" si="22"/>
        <v>0-120 DAYS</v>
      </c>
      <c r="J414" s="37" t="str">
        <f t="shared" si="24"/>
        <v>0-180 DAYS</v>
      </c>
      <c r="K414" t="s">
        <v>1730</v>
      </c>
      <c r="M414" t="s">
        <v>3085</v>
      </c>
      <c r="N414" s="66">
        <v>3194760</v>
      </c>
    </row>
    <row r="415" spans="1:14" x14ac:dyDescent="0.35">
      <c r="A415" s="88" t="s">
        <v>3058</v>
      </c>
      <c r="B415" s="88" t="s">
        <v>790</v>
      </c>
      <c r="C415" s="18" t="s">
        <v>635</v>
      </c>
      <c r="D415" t="s">
        <v>507</v>
      </c>
      <c r="E415" s="18" t="s">
        <v>3029</v>
      </c>
      <c r="F415" s="19">
        <v>45649</v>
      </c>
      <c r="G415" s="18">
        <v>3096837.07</v>
      </c>
      <c r="H415" s="37">
        <f t="shared" si="23"/>
        <v>40</v>
      </c>
      <c r="I415" s="37" t="str">
        <f t="shared" si="22"/>
        <v>0-120 DAYS</v>
      </c>
      <c r="J415" s="37" t="str">
        <f t="shared" si="24"/>
        <v>0-180 DAYS</v>
      </c>
      <c r="K415" t="s">
        <v>1730</v>
      </c>
      <c r="M415" t="s">
        <v>3085</v>
      </c>
      <c r="N415" s="66">
        <v>3096837.07</v>
      </c>
    </row>
    <row r="416" spans="1:14" x14ac:dyDescent="0.35">
      <c r="A416" s="88" t="s">
        <v>3058</v>
      </c>
      <c r="B416" s="88" t="s">
        <v>790</v>
      </c>
      <c r="C416" s="18" t="s">
        <v>650</v>
      </c>
      <c r="D416" t="s">
        <v>507</v>
      </c>
      <c r="E416" s="18" t="s">
        <v>3030</v>
      </c>
      <c r="F416" s="19">
        <v>45649</v>
      </c>
      <c r="G416" s="18">
        <v>2767646.07</v>
      </c>
      <c r="H416" s="37">
        <f t="shared" si="23"/>
        <v>40</v>
      </c>
      <c r="I416" s="37" t="str">
        <f t="shared" si="22"/>
        <v>0-120 DAYS</v>
      </c>
      <c r="J416" s="37" t="str">
        <f t="shared" si="24"/>
        <v>0-180 DAYS</v>
      </c>
      <c r="K416" t="s">
        <v>1730</v>
      </c>
      <c r="M416" t="s">
        <v>3085</v>
      </c>
      <c r="N416" s="66">
        <v>2767646.07</v>
      </c>
    </row>
    <row r="417" spans="1:14" x14ac:dyDescent="0.35">
      <c r="A417" s="88" t="s">
        <v>3058</v>
      </c>
      <c r="B417" s="88" t="s">
        <v>790</v>
      </c>
      <c r="C417" s="18" t="s">
        <v>650</v>
      </c>
      <c r="D417" t="s">
        <v>507</v>
      </c>
      <c r="E417" s="18" t="s">
        <v>3031</v>
      </c>
      <c r="F417" s="19">
        <v>45650</v>
      </c>
      <c r="G417" s="18">
        <v>3515550.65</v>
      </c>
      <c r="H417" s="37">
        <f t="shared" si="23"/>
        <v>39</v>
      </c>
      <c r="I417" s="37" t="str">
        <f t="shared" si="22"/>
        <v>0-120 DAYS</v>
      </c>
      <c r="J417" s="37" t="str">
        <f t="shared" si="24"/>
        <v>0-180 DAYS</v>
      </c>
      <c r="K417" t="s">
        <v>1730</v>
      </c>
      <c r="M417" t="s">
        <v>3086</v>
      </c>
      <c r="N417" s="66">
        <v>3515550.65</v>
      </c>
    </row>
    <row r="418" spans="1:14" x14ac:dyDescent="0.35">
      <c r="A418" s="88" t="s">
        <v>3058</v>
      </c>
      <c r="B418" s="88" t="s">
        <v>790</v>
      </c>
      <c r="C418" s="18" t="s">
        <v>538</v>
      </c>
      <c r="D418" t="s">
        <v>507</v>
      </c>
      <c r="E418" s="18" t="s">
        <v>3032</v>
      </c>
      <c r="F418" s="19">
        <v>45652</v>
      </c>
      <c r="G418" s="18">
        <v>2907918</v>
      </c>
      <c r="H418" s="37">
        <f t="shared" si="23"/>
        <v>37</v>
      </c>
      <c r="I418" s="37" t="str">
        <f t="shared" si="22"/>
        <v>0-120 DAYS</v>
      </c>
      <c r="J418" s="37" t="str">
        <f t="shared" si="24"/>
        <v>0-180 DAYS</v>
      </c>
      <c r="K418" t="s">
        <v>1730</v>
      </c>
      <c r="M418" t="s">
        <v>3088</v>
      </c>
      <c r="N418" s="66">
        <v>2907918</v>
      </c>
    </row>
    <row r="419" spans="1:14" x14ac:dyDescent="0.35">
      <c r="A419" s="88" t="s">
        <v>3058</v>
      </c>
      <c r="B419" s="88" t="s">
        <v>790</v>
      </c>
      <c r="C419" s="18" t="s">
        <v>551</v>
      </c>
      <c r="D419" t="s">
        <v>507</v>
      </c>
      <c r="E419" s="18" t="s">
        <v>3033</v>
      </c>
      <c r="F419" s="19">
        <v>45653</v>
      </c>
      <c r="G419" s="18">
        <v>3688128</v>
      </c>
      <c r="H419" s="37">
        <f t="shared" si="23"/>
        <v>36</v>
      </c>
      <c r="I419" s="37" t="str">
        <f t="shared" si="22"/>
        <v>0-120 DAYS</v>
      </c>
      <c r="J419" s="37" t="str">
        <f t="shared" si="24"/>
        <v>0-180 DAYS</v>
      </c>
      <c r="K419" t="s">
        <v>1730</v>
      </c>
      <c r="M419" t="s">
        <v>3089</v>
      </c>
      <c r="N419" s="66">
        <v>3688128</v>
      </c>
    </row>
    <row r="420" spans="1:14" x14ac:dyDescent="0.35">
      <c r="A420" s="88" t="s">
        <v>3058</v>
      </c>
      <c r="B420" s="88" t="s">
        <v>790</v>
      </c>
      <c r="C420" s="18" t="s">
        <v>715</v>
      </c>
      <c r="D420" t="s">
        <v>507</v>
      </c>
      <c r="E420" s="18" t="s">
        <v>3034</v>
      </c>
      <c r="F420" s="19">
        <v>45654</v>
      </c>
      <c r="G420" s="18">
        <v>3272607</v>
      </c>
      <c r="H420" s="37">
        <f t="shared" si="23"/>
        <v>35</v>
      </c>
      <c r="I420" s="37" t="str">
        <f t="shared" si="22"/>
        <v>0-120 DAYS</v>
      </c>
      <c r="J420" s="37" t="str">
        <f t="shared" si="24"/>
        <v>0-180 DAYS</v>
      </c>
      <c r="K420" t="s">
        <v>1730</v>
      </c>
      <c r="M420" t="s">
        <v>3090</v>
      </c>
      <c r="N420" s="66">
        <v>3272607</v>
      </c>
    </row>
    <row r="421" spans="1:14" x14ac:dyDescent="0.35">
      <c r="A421" s="88" t="s">
        <v>3058</v>
      </c>
      <c r="B421" s="88" t="s">
        <v>790</v>
      </c>
      <c r="C421" s="18" t="s">
        <v>570</v>
      </c>
      <c r="D421" t="s">
        <v>507</v>
      </c>
      <c r="E421" s="18" t="s">
        <v>3035</v>
      </c>
      <c r="F421" s="19">
        <v>45654</v>
      </c>
      <c r="G421" s="18">
        <v>1521521.3</v>
      </c>
      <c r="H421" s="37">
        <f t="shared" si="23"/>
        <v>35</v>
      </c>
      <c r="I421" s="37" t="str">
        <f t="shared" si="22"/>
        <v>0-120 DAYS</v>
      </c>
      <c r="J421" s="37" t="str">
        <f t="shared" si="24"/>
        <v>0-180 DAYS</v>
      </c>
      <c r="K421" t="s">
        <v>1730</v>
      </c>
      <c r="M421" t="s">
        <v>3090</v>
      </c>
      <c r="N421" s="66">
        <v>1521521.3</v>
      </c>
    </row>
    <row r="422" spans="1:14" x14ac:dyDescent="0.35">
      <c r="A422" s="88" t="s">
        <v>3058</v>
      </c>
      <c r="B422" s="88" t="s">
        <v>790</v>
      </c>
      <c r="C422" s="18" t="s">
        <v>551</v>
      </c>
      <c r="D422" t="s">
        <v>507</v>
      </c>
      <c r="E422" s="18" t="s">
        <v>3036</v>
      </c>
      <c r="F422" s="19">
        <v>45654</v>
      </c>
      <c r="G422" s="18">
        <v>3688128</v>
      </c>
      <c r="H422" s="37">
        <f t="shared" si="23"/>
        <v>35</v>
      </c>
      <c r="I422" s="37" t="str">
        <f t="shared" si="22"/>
        <v>0-120 DAYS</v>
      </c>
      <c r="J422" s="37" t="str">
        <f t="shared" si="24"/>
        <v>0-180 DAYS</v>
      </c>
      <c r="K422" t="s">
        <v>1730</v>
      </c>
      <c r="M422" t="s">
        <v>3090</v>
      </c>
      <c r="N422" s="66">
        <v>3688128</v>
      </c>
    </row>
    <row r="423" spans="1:14" x14ac:dyDescent="0.35">
      <c r="A423" s="88" t="s">
        <v>3058</v>
      </c>
      <c r="B423" s="88" t="s">
        <v>790</v>
      </c>
      <c r="C423" s="18" t="s">
        <v>1086</v>
      </c>
      <c r="D423" t="s">
        <v>507</v>
      </c>
      <c r="E423" s="18" t="s">
        <v>3037</v>
      </c>
      <c r="F423" s="19">
        <v>45655</v>
      </c>
      <c r="G423" s="18">
        <v>2468434.0099999998</v>
      </c>
      <c r="H423" s="37">
        <f t="shared" si="23"/>
        <v>34</v>
      </c>
      <c r="I423" s="37" t="str">
        <f t="shared" ref="I423:I443" si="25">IF(H423&lt;121,"0-120 DAYS",IF(H423&lt;181,"121-180 DAYS","More than 180 Days"))</f>
        <v>0-120 DAYS</v>
      </c>
      <c r="J423" s="37" t="str">
        <f t="shared" si="24"/>
        <v>0-180 DAYS</v>
      </c>
      <c r="K423" t="s">
        <v>1730</v>
      </c>
      <c r="M423" t="s">
        <v>3091</v>
      </c>
      <c r="N423" s="66">
        <v>2468434.0099999998</v>
      </c>
    </row>
    <row r="424" spans="1:14" x14ac:dyDescent="0.35">
      <c r="A424" s="88" t="s">
        <v>3058</v>
      </c>
      <c r="B424" s="88" t="s">
        <v>790</v>
      </c>
      <c r="C424" s="18" t="s">
        <v>650</v>
      </c>
      <c r="D424" t="s">
        <v>507</v>
      </c>
      <c r="E424" s="18" t="s">
        <v>3038</v>
      </c>
      <c r="F424" s="19">
        <v>45657</v>
      </c>
      <c r="G424" s="18">
        <v>2658612.15</v>
      </c>
      <c r="H424" s="37">
        <f t="shared" si="23"/>
        <v>32</v>
      </c>
      <c r="I424" s="37" t="str">
        <f t="shared" si="25"/>
        <v>0-120 DAYS</v>
      </c>
      <c r="J424" s="37" t="str">
        <f t="shared" si="24"/>
        <v>0-180 DAYS</v>
      </c>
      <c r="K424" t="s">
        <v>1730</v>
      </c>
      <c r="M424" t="s">
        <v>3064</v>
      </c>
      <c r="N424" s="66">
        <v>2658612.15</v>
      </c>
    </row>
    <row r="425" spans="1:14" x14ac:dyDescent="0.35">
      <c r="A425" s="88" t="s">
        <v>3058</v>
      </c>
      <c r="B425" s="88" t="s">
        <v>790</v>
      </c>
      <c r="C425" s="18" t="s">
        <v>536</v>
      </c>
      <c r="D425" t="s">
        <v>507</v>
      </c>
      <c r="E425" s="18" t="s">
        <v>3039</v>
      </c>
      <c r="F425" s="19">
        <v>45628</v>
      </c>
      <c r="G425" s="18">
        <v>3158223.2</v>
      </c>
      <c r="H425" s="37">
        <f t="shared" si="23"/>
        <v>61</v>
      </c>
      <c r="I425" s="37" t="str">
        <f t="shared" si="25"/>
        <v>0-120 DAYS</v>
      </c>
      <c r="J425" s="37" t="str">
        <f t="shared" si="24"/>
        <v>0-180 DAYS</v>
      </c>
      <c r="K425" t="s">
        <v>1730</v>
      </c>
      <c r="M425" t="s">
        <v>3066</v>
      </c>
      <c r="N425" s="66">
        <v>3158223.2</v>
      </c>
    </row>
    <row r="426" spans="1:14" x14ac:dyDescent="0.35">
      <c r="A426" s="88" t="s">
        <v>3058</v>
      </c>
      <c r="B426" s="88" t="s">
        <v>790</v>
      </c>
      <c r="C426" s="18" t="s">
        <v>581</v>
      </c>
      <c r="D426" t="s">
        <v>507</v>
      </c>
      <c r="E426" s="18" t="s">
        <v>3040</v>
      </c>
      <c r="F426" s="19">
        <v>45631</v>
      </c>
      <c r="G426" s="18">
        <v>3633920.03</v>
      </c>
      <c r="H426" s="37">
        <f t="shared" si="23"/>
        <v>58</v>
      </c>
      <c r="I426" s="37" t="str">
        <f t="shared" si="25"/>
        <v>0-120 DAYS</v>
      </c>
      <c r="J426" s="37" t="str">
        <f t="shared" si="24"/>
        <v>0-180 DAYS</v>
      </c>
      <c r="K426" t="s">
        <v>1730</v>
      </c>
      <c r="M426" t="s">
        <v>3069</v>
      </c>
      <c r="N426" s="66">
        <v>3633920.03</v>
      </c>
    </row>
    <row r="427" spans="1:14" x14ac:dyDescent="0.35">
      <c r="A427" s="88" t="s">
        <v>3058</v>
      </c>
      <c r="B427" s="88" t="s">
        <v>790</v>
      </c>
      <c r="C427" s="18" t="s">
        <v>584</v>
      </c>
      <c r="D427" t="s">
        <v>507</v>
      </c>
      <c r="E427" s="18" t="s">
        <v>3041</v>
      </c>
      <c r="F427" s="19">
        <v>45631</v>
      </c>
      <c r="G427" s="18">
        <v>3078385.2</v>
      </c>
      <c r="H427" s="37">
        <f t="shared" si="23"/>
        <v>58</v>
      </c>
      <c r="I427" s="37" t="str">
        <f t="shared" si="25"/>
        <v>0-120 DAYS</v>
      </c>
      <c r="J427" s="37" t="str">
        <f t="shared" si="24"/>
        <v>0-180 DAYS</v>
      </c>
      <c r="K427" t="s">
        <v>1730</v>
      </c>
      <c r="M427" t="s">
        <v>3069</v>
      </c>
      <c r="N427" s="66">
        <v>3078385.2</v>
      </c>
    </row>
    <row r="428" spans="1:14" x14ac:dyDescent="0.35">
      <c r="A428" s="88" t="s">
        <v>3058</v>
      </c>
      <c r="B428" s="88" t="s">
        <v>790</v>
      </c>
      <c r="C428" s="18" t="s">
        <v>588</v>
      </c>
      <c r="D428" t="s">
        <v>507</v>
      </c>
      <c r="E428" s="18" t="s">
        <v>3042</v>
      </c>
      <c r="F428" s="19">
        <v>45632</v>
      </c>
      <c r="G428" s="18">
        <v>3232834.8</v>
      </c>
      <c r="H428" s="37">
        <f t="shared" si="23"/>
        <v>57</v>
      </c>
      <c r="I428" s="37" t="str">
        <f t="shared" si="25"/>
        <v>0-120 DAYS</v>
      </c>
      <c r="J428" s="37" t="str">
        <f t="shared" si="24"/>
        <v>0-180 DAYS</v>
      </c>
      <c r="K428" t="s">
        <v>1730</v>
      </c>
      <c r="M428" t="s">
        <v>3070</v>
      </c>
      <c r="N428" s="66">
        <v>3232834.8</v>
      </c>
    </row>
    <row r="429" spans="1:14" x14ac:dyDescent="0.35">
      <c r="A429" s="88" t="s">
        <v>3058</v>
      </c>
      <c r="B429" s="88" t="s">
        <v>790</v>
      </c>
      <c r="C429" s="18" t="s">
        <v>667</v>
      </c>
      <c r="D429" t="s">
        <v>507</v>
      </c>
      <c r="E429" s="18" t="s">
        <v>3043</v>
      </c>
      <c r="F429" s="19">
        <v>45635</v>
      </c>
      <c r="G429" s="18">
        <v>2866980.46</v>
      </c>
      <c r="H429" s="37">
        <f t="shared" si="23"/>
        <v>54</v>
      </c>
      <c r="I429" s="37" t="str">
        <f t="shared" si="25"/>
        <v>0-120 DAYS</v>
      </c>
      <c r="J429" s="37" t="str">
        <f t="shared" si="24"/>
        <v>0-180 DAYS</v>
      </c>
      <c r="K429" t="s">
        <v>1730</v>
      </c>
      <c r="M429" t="s">
        <v>3072</v>
      </c>
      <c r="N429" s="66">
        <v>2866980.46</v>
      </c>
    </row>
    <row r="430" spans="1:14" x14ac:dyDescent="0.35">
      <c r="A430" s="88" t="s">
        <v>3058</v>
      </c>
      <c r="B430" s="88" t="s">
        <v>790</v>
      </c>
      <c r="C430" s="18" t="s">
        <v>581</v>
      </c>
      <c r="D430" t="s">
        <v>507</v>
      </c>
      <c r="E430" s="18" t="s">
        <v>3044</v>
      </c>
      <c r="F430" s="19">
        <v>45639</v>
      </c>
      <c r="G430" s="18">
        <v>3904461.75</v>
      </c>
      <c r="H430" s="37">
        <f t="shared" si="23"/>
        <v>50</v>
      </c>
      <c r="I430" s="37" t="str">
        <f t="shared" si="25"/>
        <v>0-120 DAYS</v>
      </c>
      <c r="J430" s="37" t="str">
        <f t="shared" si="24"/>
        <v>0-180 DAYS</v>
      </c>
      <c r="K430" t="s">
        <v>1730</v>
      </c>
      <c r="M430" t="s">
        <v>3076</v>
      </c>
      <c r="N430" s="66">
        <v>3904461.75</v>
      </c>
    </row>
    <row r="431" spans="1:14" x14ac:dyDescent="0.35">
      <c r="A431" s="88" t="s">
        <v>3058</v>
      </c>
      <c r="B431" s="88" t="s">
        <v>790</v>
      </c>
      <c r="C431" s="18" t="s">
        <v>2273</v>
      </c>
      <c r="D431" t="s">
        <v>507</v>
      </c>
      <c r="E431" s="18" t="s">
        <v>3045</v>
      </c>
      <c r="F431" s="19">
        <v>45640</v>
      </c>
      <c r="G431" s="18">
        <v>3597363.52</v>
      </c>
      <c r="H431" s="37">
        <f t="shared" si="23"/>
        <v>49</v>
      </c>
      <c r="I431" s="37" t="str">
        <f t="shared" si="25"/>
        <v>0-120 DAYS</v>
      </c>
      <c r="J431" s="37" t="str">
        <f t="shared" si="24"/>
        <v>0-180 DAYS</v>
      </c>
      <c r="K431" t="s">
        <v>1730</v>
      </c>
      <c r="M431" t="s">
        <v>3077</v>
      </c>
      <c r="N431" s="66">
        <v>3597363.52</v>
      </c>
    </row>
    <row r="432" spans="1:14" x14ac:dyDescent="0.35">
      <c r="A432" s="88" t="s">
        <v>3058</v>
      </c>
      <c r="B432" s="88" t="s">
        <v>790</v>
      </c>
      <c r="C432" s="18" t="s">
        <v>588</v>
      </c>
      <c r="D432" t="s">
        <v>507</v>
      </c>
      <c r="E432" s="18" t="s">
        <v>3046</v>
      </c>
      <c r="F432" s="19">
        <v>45640</v>
      </c>
      <c r="G432" s="18">
        <v>3232834.8</v>
      </c>
      <c r="H432" s="37">
        <f t="shared" si="23"/>
        <v>49</v>
      </c>
      <c r="I432" s="37" t="str">
        <f t="shared" si="25"/>
        <v>0-120 DAYS</v>
      </c>
      <c r="J432" s="37" t="str">
        <f t="shared" si="24"/>
        <v>0-180 DAYS</v>
      </c>
      <c r="K432" t="s">
        <v>1730</v>
      </c>
      <c r="M432" t="s">
        <v>3077</v>
      </c>
      <c r="N432" s="66">
        <v>3232834.8</v>
      </c>
    </row>
    <row r="433" spans="1:14" x14ac:dyDescent="0.35">
      <c r="A433" s="88" t="s">
        <v>3058</v>
      </c>
      <c r="B433" s="88" t="s">
        <v>790</v>
      </c>
      <c r="C433" s="18" t="s">
        <v>584</v>
      </c>
      <c r="D433" t="s">
        <v>507</v>
      </c>
      <c r="E433" s="18" t="s">
        <v>3047</v>
      </c>
      <c r="F433" s="19">
        <v>45645</v>
      </c>
      <c r="G433" s="18">
        <v>3085760.37</v>
      </c>
      <c r="H433" s="37">
        <f t="shared" si="23"/>
        <v>44</v>
      </c>
      <c r="I433" s="37" t="str">
        <f t="shared" si="25"/>
        <v>0-120 DAYS</v>
      </c>
      <c r="J433" s="37" t="str">
        <f t="shared" si="24"/>
        <v>0-180 DAYS</v>
      </c>
      <c r="K433" t="s">
        <v>1730</v>
      </c>
      <c r="M433" t="s">
        <v>3082</v>
      </c>
      <c r="N433" s="66">
        <v>3085760.37</v>
      </c>
    </row>
    <row r="434" spans="1:14" x14ac:dyDescent="0.35">
      <c r="A434" s="88" t="s">
        <v>3058</v>
      </c>
      <c r="B434" s="88" t="s">
        <v>790</v>
      </c>
      <c r="C434" s="18" t="s">
        <v>588</v>
      </c>
      <c r="D434" t="s">
        <v>507</v>
      </c>
      <c r="E434" s="18" t="s">
        <v>3048</v>
      </c>
      <c r="F434" s="19">
        <v>45646</v>
      </c>
      <c r="G434" s="18">
        <v>3246321</v>
      </c>
      <c r="H434" s="37">
        <f t="shared" si="23"/>
        <v>43</v>
      </c>
      <c r="I434" s="37" t="str">
        <f t="shared" si="25"/>
        <v>0-120 DAYS</v>
      </c>
      <c r="J434" s="37" t="str">
        <f t="shared" si="24"/>
        <v>0-180 DAYS</v>
      </c>
      <c r="K434" t="s">
        <v>1730</v>
      </c>
      <c r="M434" t="s">
        <v>3083</v>
      </c>
      <c r="N434" s="66">
        <v>3246321</v>
      </c>
    </row>
    <row r="435" spans="1:14" x14ac:dyDescent="0.35">
      <c r="A435" s="88" t="s">
        <v>3058</v>
      </c>
      <c r="B435" s="88" t="s">
        <v>790</v>
      </c>
      <c r="C435" s="18" t="s">
        <v>1055</v>
      </c>
      <c r="D435" t="s">
        <v>507</v>
      </c>
      <c r="E435" s="18" t="s">
        <v>3049</v>
      </c>
      <c r="F435" s="19">
        <v>45650</v>
      </c>
      <c r="G435" s="18">
        <v>2429433</v>
      </c>
      <c r="H435" s="37">
        <f t="shared" si="23"/>
        <v>39</v>
      </c>
      <c r="I435" s="37" t="str">
        <f t="shared" si="25"/>
        <v>0-120 DAYS</v>
      </c>
      <c r="J435" s="37" t="str">
        <f t="shared" si="24"/>
        <v>0-180 DAYS</v>
      </c>
      <c r="K435" t="s">
        <v>1730</v>
      </c>
      <c r="M435" t="s">
        <v>3086</v>
      </c>
      <c r="N435" s="66">
        <v>2429433</v>
      </c>
    </row>
    <row r="436" spans="1:14" x14ac:dyDescent="0.35">
      <c r="A436" s="88" t="s">
        <v>3058</v>
      </c>
      <c r="B436" s="88" t="s">
        <v>790</v>
      </c>
      <c r="C436" s="18" t="s">
        <v>1055</v>
      </c>
      <c r="D436" t="s">
        <v>507</v>
      </c>
      <c r="E436" s="18" t="s">
        <v>3050</v>
      </c>
      <c r="F436" s="19">
        <v>45650</v>
      </c>
      <c r="G436" s="18">
        <v>725898</v>
      </c>
      <c r="H436" s="37">
        <f t="shared" si="23"/>
        <v>39</v>
      </c>
      <c r="I436" s="37" t="str">
        <f t="shared" si="25"/>
        <v>0-120 DAYS</v>
      </c>
      <c r="J436" s="37" t="str">
        <f t="shared" si="24"/>
        <v>0-180 DAYS</v>
      </c>
      <c r="K436" t="s">
        <v>1730</v>
      </c>
      <c r="M436" t="s">
        <v>3086</v>
      </c>
      <c r="N436" s="66">
        <v>725898</v>
      </c>
    </row>
    <row r="437" spans="1:14" x14ac:dyDescent="0.35">
      <c r="A437" s="88" t="s">
        <v>3058</v>
      </c>
      <c r="B437" s="88" t="s">
        <v>790</v>
      </c>
      <c r="C437" s="18" t="s">
        <v>588</v>
      </c>
      <c r="D437" t="s">
        <v>507</v>
      </c>
      <c r="E437" s="18" t="s">
        <v>3051</v>
      </c>
      <c r="F437" s="19">
        <v>45651</v>
      </c>
      <c r="G437" s="18">
        <v>3393122.42</v>
      </c>
      <c r="H437" s="37">
        <f t="shared" si="23"/>
        <v>38</v>
      </c>
      <c r="I437" s="37" t="str">
        <f t="shared" si="25"/>
        <v>0-120 DAYS</v>
      </c>
      <c r="J437" s="37" t="str">
        <f t="shared" si="24"/>
        <v>0-180 DAYS</v>
      </c>
      <c r="K437" t="s">
        <v>1730</v>
      </c>
      <c r="M437" t="s">
        <v>3087</v>
      </c>
      <c r="N437" s="66">
        <v>3393122.42</v>
      </c>
    </row>
    <row r="438" spans="1:14" x14ac:dyDescent="0.35">
      <c r="A438" s="88" t="s">
        <v>3058</v>
      </c>
      <c r="B438" s="88" t="s">
        <v>790</v>
      </c>
      <c r="C438" s="18" t="s">
        <v>588</v>
      </c>
      <c r="D438" t="s">
        <v>507</v>
      </c>
      <c r="E438" s="18" t="s">
        <v>3052</v>
      </c>
      <c r="F438" s="19">
        <v>45651</v>
      </c>
      <c r="G438" s="18">
        <v>3354249.47</v>
      </c>
      <c r="H438" s="37">
        <f t="shared" si="23"/>
        <v>38</v>
      </c>
      <c r="I438" s="37" t="str">
        <f t="shared" si="25"/>
        <v>0-120 DAYS</v>
      </c>
      <c r="J438" s="37" t="str">
        <f t="shared" si="24"/>
        <v>0-180 DAYS</v>
      </c>
      <c r="K438" t="s">
        <v>1730</v>
      </c>
      <c r="M438" t="s">
        <v>3087</v>
      </c>
      <c r="N438" s="66">
        <v>3354249.47</v>
      </c>
    </row>
    <row r="439" spans="1:14" x14ac:dyDescent="0.35">
      <c r="A439" s="88" t="s">
        <v>3058</v>
      </c>
      <c r="B439" s="88" t="s">
        <v>790</v>
      </c>
      <c r="C439" s="18" t="s">
        <v>664</v>
      </c>
      <c r="D439" t="s">
        <v>507</v>
      </c>
      <c r="E439" s="18" t="s">
        <v>3053</v>
      </c>
      <c r="F439" s="19">
        <v>45653</v>
      </c>
      <c r="G439" s="18">
        <v>1094049.44</v>
      </c>
      <c r="H439" s="37">
        <f t="shared" si="23"/>
        <v>36</v>
      </c>
      <c r="I439" s="37" t="str">
        <f t="shared" si="25"/>
        <v>0-120 DAYS</v>
      </c>
      <c r="J439" s="37" t="str">
        <f t="shared" si="24"/>
        <v>0-180 DAYS</v>
      </c>
      <c r="K439" t="s">
        <v>1730</v>
      </c>
      <c r="M439" t="s">
        <v>3089</v>
      </c>
      <c r="N439" s="66">
        <v>1094049.44</v>
      </c>
    </row>
    <row r="440" spans="1:14" x14ac:dyDescent="0.35">
      <c r="A440" s="88" t="s">
        <v>3058</v>
      </c>
      <c r="B440" s="88" t="s">
        <v>790</v>
      </c>
      <c r="C440" s="18" t="s">
        <v>664</v>
      </c>
      <c r="D440" t="s">
        <v>507</v>
      </c>
      <c r="E440" s="18" t="s">
        <v>3054</v>
      </c>
      <c r="F440" s="19">
        <v>45653</v>
      </c>
      <c r="G440" s="18">
        <v>287062.5</v>
      </c>
      <c r="H440" s="37">
        <f t="shared" si="23"/>
        <v>36</v>
      </c>
      <c r="I440" s="37" t="str">
        <f t="shared" si="25"/>
        <v>0-120 DAYS</v>
      </c>
      <c r="J440" s="37" t="str">
        <f t="shared" si="24"/>
        <v>0-180 DAYS</v>
      </c>
      <c r="K440" t="s">
        <v>1730</v>
      </c>
      <c r="M440" t="s">
        <v>3089</v>
      </c>
      <c r="N440" s="66">
        <v>287062.5</v>
      </c>
    </row>
    <row r="441" spans="1:14" x14ac:dyDescent="0.35">
      <c r="A441" s="88" t="s">
        <v>3058</v>
      </c>
      <c r="B441" s="88" t="s">
        <v>790</v>
      </c>
      <c r="C441" s="18" t="s">
        <v>600</v>
      </c>
      <c r="D441" t="s">
        <v>507</v>
      </c>
      <c r="E441" s="18" t="s">
        <v>3055</v>
      </c>
      <c r="F441" s="19">
        <v>45651</v>
      </c>
      <c r="G441" s="18">
        <v>3937676.5</v>
      </c>
      <c r="H441" s="37">
        <f t="shared" si="23"/>
        <v>38</v>
      </c>
      <c r="I441" s="37" t="str">
        <f t="shared" si="25"/>
        <v>0-120 DAYS</v>
      </c>
      <c r="J441" s="37" t="str">
        <f t="shared" si="24"/>
        <v>0-180 DAYS</v>
      </c>
      <c r="K441" t="s">
        <v>1730</v>
      </c>
      <c r="M441" t="s">
        <v>3087</v>
      </c>
      <c r="N441" s="66">
        <v>3937676.5</v>
      </c>
    </row>
    <row r="442" spans="1:14" x14ac:dyDescent="0.35">
      <c r="A442" s="88" t="s">
        <v>3058</v>
      </c>
      <c r="B442" s="88" t="s">
        <v>790</v>
      </c>
      <c r="C442" s="18" t="s">
        <v>681</v>
      </c>
      <c r="D442" t="s">
        <v>507</v>
      </c>
      <c r="E442" s="18" t="s">
        <v>3056</v>
      </c>
      <c r="F442" s="19">
        <v>45656</v>
      </c>
      <c r="G442" s="18">
        <v>3518604.41</v>
      </c>
      <c r="H442" s="37">
        <f t="shared" si="23"/>
        <v>33</v>
      </c>
      <c r="I442" s="37" t="str">
        <f t="shared" si="25"/>
        <v>0-120 DAYS</v>
      </c>
      <c r="J442" s="37" t="str">
        <f t="shared" si="24"/>
        <v>0-180 DAYS</v>
      </c>
      <c r="K442" t="s">
        <v>1730</v>
      </c>
      <c r="M442" t="s">
        <v>3092</v>
      </c>
      <c r="N442" s="66">
        <v>3518604.41</v>
      </c>
    </row>
    <row r="443" spans="1:14" x14ac:dyDescent="0.35">
      <c r="A443" s="88" t="s">
        <v>3058</v>
      </c>
      <c r="B443" s="88" t="s">
        <v>790</v>
      </c>
      <c r="C443" s="18" t="s">
        <v>598</v>
      </c>
      <c r="D443" t="s">
        <v>507</v>
      </c>
      <c r="E443" s="18" t="s">
        <v>3057</v>
      </c>
      <c r="F443" s="19">
        <v>45656</v>
      </c>
      <c r="G443" s="18">
        <v>3369528.2</v>
      </c>
      <c r="H443" s="37">
        <f t="shared" si="23"/>
        <v>33</v>
      </c>
      <c r="I443" s="37" t="str">
        <f t="shared" si="25"/>
        <v>0-120 DAYS</v>
      </c>
      <c r="J443" s="37" t="str">
        <f t="shared" si="24"/>
        <v>0-180 DAYS</v>
      </c>
      <c r="K443" t="s">
        <v>1730</v>
      </c>
      <c r="M443" t="s">
        <v>3092</v>
      </c>
      <c r="N443" s="66">
        <v>3369528.2</v>
      </c>
    </row>
    <row r="444" spans="1:14" x14ac:dyDescent="0.35">
      <c r="A444" s="2" t="s">
        <v>477</v>
      </c>
      <c r="B444" s="2" t="s">
        <v>790</v>
      </c>
      <c r="C444" s="18" t="s">
        <v>2380</v>
      </c>
      <c r="D444" s="18" t="s">
        <v>1081</v>
      </c>
      <c r="E444" s="18" t="s">
        <v>3102</v>
      </c>
      <c r="F444" s="19">
        <v>45658</v>
      </c>
      <c r="G444" s="18">
        <v>1099006.8799999999</v>
      </c>
      <c r="H444" s="37">
        <f t="shared" si="23"/>
        <v>31</v>
      </c>
      <c r="I444" s="37" t="str">
        <f t="shared" ref="I444:I489" si="26">IF(H444&lt;91,"1-90 DAYS",IF(H444&lt;121,"91-120DAYS",IF(H444&lt;181,"121-180 DAYS","More than 180 Days")))</f>
        <v>1-90 DAYS</v>
      </c>
      <c r="J444" s="37" t="str">
        <f t="shared" si="24"/>
        <v>0-180 DAYS</v>
      </c>
    </row>
    <row r="445" spans="1:14" x14ac:dyDescent="0.35">
      <c r="A445" s="2" t="s">
        <v>477</v>
      </c>
      <c r="B445" s="2" t="s">
        <v>790</v>
      </c>
      <c r="C445" s="18" t="s">
        <v>2380</v>
      </c>
      <c r="D445" s="18" t="s">
        <v>1081</v>
      </c>
      <c r="E445" s="18" t="s">
        <v>3103</v>
      </c>
      <c r="F445" s="19">
        <v>45660</v>
      </c>
      <c r="G445" s="18">
        <v>348848.54</v>
      </c>
      <c r="H445" s="37">
        <f t="shared" si="23"/>
        <v>29</v>
      </c>
      <c r="I445" s="37" t="str">
        <f t="shared" si="26"/>
        <v>1-90 DAYS</v>
      </c>
      <c r="J445" s="37" t="str">
        <f t="shared" si="24"/>
        <v>0-180 DAYS</v>
      </c>
    </row>
    <row r="446" spans="1:14" x14ac:dyDescent="0.35">
      <c r="A446" s="2" t="s">
        <v>477</v>
      </c>
      <c r="B446" s="2" t="s">
        <v>790</v>
      </c>
      <c r="C446" s="18" t="s">
        <v>3093</v>
      </c>
      <c r="D446" s="18" t="s">
        <v>3098</v>
      </c>
      <c r="E446" s="18" t="s">
        <v>3104</v>
      </c>
      <c r="F446" s="19">
        <v>45660</v>
      </c>
      <c r="G446" s="18">
        <v>6987.96</v>
      </c>
      <c r="H446" s="37">
        <f t="shared" si="23"/>
        <v>29</v>
      </c>
      <c r="I446" s="37" t="str">
        <f t="shared" si="26"/>
        <v>1-90 DAYS</v>
      </c>
      <c r="J446" s="37" t="str">
        <f t="shared" si="24"/>
        <v>0-180 DAYS</v>
      </c>
    </row>
    <row r="447" spans="1:14" x14ac:dyDescent="0.35">
      <c r="A447" s="2" t="s">
        <v>477</v>
      </c>
      <c r="B447" s="2" t="s">
        <v>790</v>
      </c>
      <c r="C447" s="18" t="s">
        <v>2380</v>
      </c>
      <c r="D447" s="18" t="s">
        <v>1081</v>
      </c>
      <c r="E447" s="18" t="s">
        <v>3105</v>
      </c>
      <c r="F447" s="19">
        <v>45664</v>
      </c>
      <c r="G447" s="18">
        <v>1453535.9</v>
      </c>
      <c r="H447" s="37">
        <f t="shared" si="23"/>
        <v>25</v>
      </c>
      <c r="I447" s="37" t="str">
        <f t="shared" si="26"/>
        <v>1-90 DAYS</v>
      </c>
      <c r="J447" s="37" t="str">
        <f t="shared" si="24"/>
        <v>0-180 DAYS</v>
      </c>
    </row>
    <row r="448" spans="1:14" x14ac:dyDescent="0.35">
      <c r="A448" s="2" t="s">
        <v>477</v>
      </c>
      <c r="B448" s="2" t="s">
        <v>790</v>
      </c>
      <c r="C448" s="18" t="s">
        <v>2380</v>
      </c>
      <c r="D448" s="18" t="s">
        <v>1081</v>
      </c>
      <c r="E448" s="18" t="s">
        <v>3106</v>
      </c>
      <c r="F448" s="19">
        <v>45665</v>
      </c>
      <c r="G448" s="18">
        <v>808199.28</v>
      </c>
      <c r="H448" s="37">
        <f t="shared" si="23"/>
        <v>24</v>
      </c>
      <c r="I448" s="37" t="str">
        <f t="shared" si="26"/>
        <v>1-90 DAYS</v>
      </c>
      <c r="J448" s="37" t="str">
        <f t="shared" si="24"/>
        <v>0-180 DAYS</v>
      </c>
    </row>
    <row r="449" spans="1:10" x14ac:dyDescent="0.35">
      <c r="A449" s="2" t="s">
        <v>477</v>
      </c>
      <c r="B449" s="2" t="s">
        <v>790</v>
      </c>
      <c r="C449" s="18" t="s">
        <v>2380</v>
      </c>
      <c r="D449" s="18" t="s">
        <v>1081</v>
      </c>
      <c r="E449" s="18" t="s">
        <v>3107</v>
      </c>
      <c r="F449" s="19">
        <v>45666</v>
      </c>
      <c r="G449" s="18">
        <v>348848.54</v>
      </c>
      <c r="H449" s="37">
        <f t="shared" si="23"/>
        <v>23</v>
      </c>
      <c r="I449" s="37" t="str">
        <f t="shared" si="26"/>
        <v>1-90 DAYS</v>
      </c>
      <c r="J449" s="37" t="str">
        <f t="shared" si="24"/>
        <v>0-180 DAYS</v>
      </c>
    </row>
    <row r="450" spans="1:10" x14ac:dyDescent="0.35">
      <c r="A450" s="2" t="s">
        <v>477</v>
      </c>
      <c r="B450" s="2" t="s">
        <v>790</v>
      </c>
      <c r="C450" s="18" t="s">
        <v>2033</v>
      </c>
      <c r="D450" s="18" t="s">
        <v>1499</v>
      </c>
      <c r="E450" s="18" t="s">
        <v>3108</v>
      </c>
      <c r="F450" s="19">
        <v>45668</v>
      </c>
      <c r="G450" s="18">
        <v>9593397</v>
      </c>
      <c r="H450" s="37">
        <f t="shared" si="23"/>
        <v>21</v>
      </c>
      <c r="I450" s="37" t="str">
        <f t="shared" si="26"/>
        <v>1-90 DAYS</v>
      </c>
      <c r="J450" s="37" t="str">
        <f t="shared" si="24"/>
        <v>0-180 DAYS</v>
      </c>
    </row>
    <row r="451" spans="1:10" x14ac:dyDescent="0.35">
      <c r="A451" s="2" t="s">
        <v>477</v>
      </c>
      <c r="B451" s="2" t="s">
        <v>790</v>
      </c>
      <c r="C451" s="18" t="s">
        <v>2033</v>
      </c>
      <c r="D451" s="18" t="s">
        <v>1499</v>
      </c>
      <c r="E451" s="18" t="s">
        <v>3109</v>
      </c>
      <c r="F451" s="19">
        <v>45668</v>
      </c>
      <c r="G451" s="18">
        <v>4796698.5</v>
      </c>
      <c r="H451" s="37">
        <f t="shared" si="23"/>
        <v>21</v>
      </c>
      <c r="I451" s="37" t="str">
        <f t="shared" si="26"/>
        <v>1-90 DAYS</v>
      </c>
      <c r="J451" s="37" t="str">
        <f t="shared" si="24"/>
        <v>0-180 DAYS</v>
      </c>
    </row>
    <row r="452" spans="1:10" x14ac:dyDescent="0.35">
      <c r="A452" s="2" t="s">
        <v>477</v>
      </c>
      <c r="B452" s="2" t="s">
        <v>790</v>
      </c>
      <c r="C452" s="18" t="s">
        <v>2033</v>
      </c>
      <c r="D452" s="18" t="s">
        <v>1499</v>
      </c>
      <c r="E452" s="18" t="s">
        <v>3110</v>
      </c>
      <c r="F452" s="19">
        <v>45668</v>
      </c>
      <c r="G452" s="18">
        <v>6761232</v>
      </c>
      <c r="H452" s="37">
        <f t="shared" si="23"/>
        <v>21</v>
      </c>
      <c r="I452" s="37" t="str">
        <f t="shared" si="26"/>
        <v>1-90 DAYS</v>
      </c>
      <c r="J452" s="37" t="str">
        <f t="shared" si="24"/>
        <v>0-180 DAYS</v>
      </c>
    </row>
    <row r="453" spans="1:10" x14ac:dyDescent="0.35">
      <c r="A453" s="2" t="s">
        <v>477</v>
      </c>
      <c r="B453" s="2" t="s">
        <v>790</v>
      </c>
      <c r="C453" s="18" t="s">
        <v>3094</v>
      </c>
      <c r="D453" s="18" t="s">
        <v>3099</v>
      </c>
      <c r="E453" s="18" t="s">
        <v>3111</v>
      </c>
      <c r="F453" s="19">
        <v>45672</v>
      </c>
      <c r="G453" s="18">
        <v>16300.43</v>
      </c>
      <c r="H453" s="37">
        <f t="shared" si="23"/>
        <v>17</v>
      </c>
      <c r="I453" s="37" t="str">
        <f t="shared" si="26"/>
        <v>1-90 DAYS</v>
      </c>
      <c r="J453" s="37" t="str">
        <f t="shared" si="24"/>
        <v>0-180 DAYS</v>
      </c>
    </row>
    <row r="454" spans="1:10" x14ac:dyDescent="0.35">
      <c r="A454" s="2" t="s">
        <v>477</v>
      </c>
      <c r="B454" s="2" t="s">
        <v>790</v>
      </c>
      <c r="C454" s="18" t="s">
        <v>1196</v>
      </c>
      <c r="D454" s="18" t="s">
        <v>1208</v>
      </c>
      <c r="E454" s="18" t="s">
        <v>3112</v>
      </c>
      <c r="F454" s="19">
        <v>45673</v>
      </c>
      <c r="G454" s="18">
        <v>1966664.7</v>
      </c>
      <c r="H454" s="37">
        <f t="shared" si="23"/>
        <v>16</v>
      </c>
      <c r="I454" s="37" t="str">
        <f t="shared" si="26"/>
        <v>1-90 DAYS</v>
      </c>
      <c r="J454" s="37" t="str">
        <f t="shared" si="24"/>
        <v>0-180 DAYS</v>
      </c>
    </row>
    <row r="455" spans="1:10" x14ac:dyDescent="0.35">
      <c r="A455" s="2" t="s">
        <v>477</v>
      </c>
      <c r="B455" s="2" t="s">
        <v>790</v>
      </c>
      <c r="C455" s="18" t="s">
        <v>2380</v>
      </c>
      <c r="D455" s="18" t="s">
        <v>1081</v>
      </c>
      <c r="E455" s="18" t="s">
        <v>3113</v>
      </c>
      <c r="F455" s="19">
        <v>45677</v>
      </c>
      <c r="G455" s="18">
        <v>207221.74</v>
      </c>
      <c r="H455" s="37">
        <f t="shared" si="23"/>
        <v>12</v>
      </c>
      <c r="I455" s="37" t="str">
        <f t="shared" si="26"/>
        <v>1-90 DAYS</v>
      </c>
      <c r="J455" s="37" t="str">
        <f t="shared" si="24"/>
        <v>0-180 DAYS</v>
      </c>
    </row>
    <row r="456" spans="1:10" x14ac:dyDescent="0.35">
      <c r="A456" s="2" t="s">
        <v>477</v>
      </c>
      <c r="B456" s="2" t="s">
        <v>790</v>
      </c>
      <c r="C456" s="18" t="s">
        <v>1087</v>
      </c>
      <c r="D456" s="18" t="s">
        <v>1088</v>
      </c>
      <c r="E456" s="18" t="s">
        <v>3114</v>
      </c>
      <c r="F456" s="19">
        <v>45678</v>
      </c>
      <c r="G456" s="18">
        <f>346920-46032</f>
        <v>300888</v>
      </c>
      <c r="H456" s="37">
        <f t="shared" si="23"/>
        <v>11</v>
      </c>
      <c r="I456" s="37" t="str">
        <f t="shared" si="26"/>
        <v>1-90 DAYS</v>
      </c>
      <c r="J456" s="37" t="str">
        <f t="shared" si="24"/>
        <v>0-180 DAYS</v>
      </c>
    </row>
    <row r="457" spans="1:10" x14ac:dyDescent="0.35">
      <c r="A457" s="2" t="s">
        <v>477</v>
      </c>
      <c r="B457" s="2" t="s">
        <v>790</v>
      </c>
      <c r="C457" s="18" t="s">
        <v>2380</v>
      </c>
      <c r="D457" s="18" t="s">
        <v>1081</v>
      </c>
      <c r="E457" s="18" t="s">
        <v>3115</v>
      </c>
      <c r="F457" s="19">
        <v>45678</v>
      </c>
      <c r="G457" s="18">
        <v>1474295.74</v>
      </c>
      <c r="H457" s="37">
        <f t="shared" si="23"/>
        <v>11</v>
      </c>
      <c r="I457" s="37" t="str">
        <f t="shared" si="26"/>
        <v>1-90 DAYS</v>
      </c>
      <c r="J457" s="37" t="str">
        <f t="shared" si="24"/>
        <v>0-180 DAYS</v>
      </c>
    </row>
    <row r="458" spans="1:10" x14ac:dyDescent="0.35">
      <c r="A458" s="2" t="s">
        <v>477</v>
      </c>
      <c r="B458" s="2" t="s">
        <v>790</v>
      </c>
      <c r="C458" s="18" t="s">
        <v>2380</v>
      </c>
      <c r="D458" s="18" t="s">
        <v>1081</v>
      </c>
      <c r="E458" s="18" t="s">
        <v>3116</v>
      </c>
      <c r="F458" s="19">
        <v>45678</v>
      </c>
      <c r="G458" s="18">
        <v>233707.26</v>
      </c>
      <c r="H458" s="37">
        <f t="shared" si="23"/>
        <v>11</v>
      </c>
      <c r="I458" s="37" t="str">
        <f t="shared" si="26"/>
        <v>1-90 DAYS</v>
      </c>
      <c r="J458" s="37" t="str">
        <f t="shared" si="24"/>
        <v>0-180 DAYS</v>
      </c>
    </row>
    <row r="459" spans="1:10" x14ac:dyDescent="0.35">
      <c r="A459" s="2" t="s">
        <v>477</v>
      </c>
      <c r="B459" s="2" t="s">
        <v>790</v>
      </c>
      <c r="C459" s="18" t="s">
        <v>2380</v>
      </c>
      <c r="D459" s="18" t="s">
        <v>1081</v>
      </c>
      <c r="E459" s="18" t="s">
        <v>3117</v>
      </c>
      <c r="F459" s="19">
        <v>45678</v>
      </c>
      <c r="G459" s="18">
        <v>1052000.28</v>
      </c>
      <c r="H459" s="37">
        <f t="shared" si="23"/>
        <v>11</v>
      </c>
      <c r="I459" s="37" t="str">
        <f t="shared" si="26"/>
        <v>1-90 DAYS</v>
      </c>
      <c r="J459" s="37" t="str">
        <f t="shared" si="24"/>
        <v>0-180 DAYS</v>
      </c>
    </row>
    <row r="460" spans="1:10" x14ac:dyDescent="0.35">
      <c r="A460" s="2" t="s">
        <v>477</v>
      </c>
      <c r="B460" s="2" t="s">
        <v>790</v>
      </c>
      <c r="C460" s="18" t="s">
        <v>2380</v>
      </c>
      <c r="D460" s="18" t="s">
        <v>1081</v>
      </c>
      <c r="E460" s="18" t="s">
        <v>3118</v>
      </c>
      <c r="F460" s="19">
        <v>45678</v>
      </c>
      <c r="G460" s="18">
        <v>1052000.28</v>
      </c>
      <c r="H460" s="37">
        <f t="shared" ref="H460:H523" si="27">$H$9-F460+1</f>
        <v>11</v>
      </c>
      <c r="I460" s="37" t="str">
        <f t="shared" si="26"/>
        <v>1-90 DAYS</v>
      </c>
      <c r="J460" s="37" t="str">
        <f t="shared" si="24"/>
        <v>0-180 DAYS</v>
      </c>
    </row>
    <row r="461" spans="1:10" x14ac:dyDescent="0.35">
      <c r="A461" s="2" t="s">
        <v>477</v>
      </c>
      <c r="B461" s="2" t="s">
        <v>790</v>
      </c>
      <c r="C461" s="18" t="s">
        <v>2380</v>
      </c>
      <c r="D461" s="18" t="s">
        <v>1081</v>
      </c>
      <c r="E461" s="18" t="s">
        <v>3119</v>
      </c>
      <c r="F461" s="19">
        <v>45678</v>
      </c>
      <c r="G461" s="18">
        <v>350560.9</v>
      </c>
      <c r="H461" s="37">
        <f t="shared" si="27"/>
        <v>11</v>
      </c>
      <c r="I461" s="37" t="str">
        <f t="shared" si="26"/>
        <v>1-90 DAYS</v>
      </c>
      <c r="J461" s="37" t="str">
        <f t="shared" ref="J461:J524" si="28">IF(H461&lt;180,"0-180 DAYS","More than 180 Days")</f>
        <v>0-180 DAYS</v>
      </c>
    </row>
    <row r="462" spans="1:10" x14ac:dyDescent="0.35">
      <c r="A462" s="2" t="s">
        <v>477</v>
      </c>
      <c r="B462" s="2" t="s">
        <v>790</v>
      </c>
      <c r="C462" s="18" t="s">
        <v>2380</v>
      </c>
      <c r="D462" s="18" t="s">
        <v>1081</v>
      </c>
      <c r="E462" s="18" t="s">
        <v>3120</v>
      </c>
      <c r="F462" s="19">
        <v>45679</v>
      </c>
      <c r="G462" s="18">
        <v>578464.19999999995</v>
      </c>
      <c r="H462" s="37">
        <f t="shared" si="27"/>
        <v>10</v>
      </c>
      <c r="I462" s="37" t="str">
        <f t="shared" si="26"/>
        <v>1-90 DAYS</v>
      </c>
      <c r="J462" s="37" t="str">
        <f t="shared" si="28"/>
        <v>0-180 DAYS</v>
      </c>
    </row>
    <row r="463" spans="1:10" x14ac:dyDescent="0.35">
      <c r="A463" s="2" t="s">
        <v>477</v>
      </c>
      <c r="B463" s="2" t="s">
        <v>790</v>
      </c>
      <c r="C463" s="18" t="s">
        <v>2380</v>
      </c>
      <c r="D463" s="18" t="s">
        <v>1081</v>
      </c>
      <c r="E463" s="18" t="s">
        <v>3121</v>
      </c>
      <c r="F463" s="19">
        <v>45679</v>
      </c>
      <c r="G463" s="18">
        <v>578464.19999999995</v>
      </c>
      <c r="H463" s="37">
        <f t="shared" si="27"/>
        <v>10</v>
      </c>
      <c r="I463" s="37" t="str">
        <f t="shared" si="26"/>
        <v>1-90 DAYS</v>
      </c>
      <c r="J463" s="37" t="str">
        <f t="shared" si="28"/>
        <v>0-180 DAYS</v>
      </c>
    </row>
    <row r="464" spans="1:10" x14ac:dyDescent="0.35">
      <c r="A464" s="2" t="s">
        <v>477</v>
      </c>
      <c r="B464" s="2" t="s">
        <v>790</v>
      </c>
      <c r="C464" s="18" t="s">
        <v>2380</v>
      </c>
      <c r="D464" s="18" t="s">
        <v>1081</v>
      </c>
      <c r="E464" s="18" t="s">
        <v>3122</v>
      </c>
      <c r="F464" s="19">
        <v>45680</v>
      </c>
      <c r="G464" s="18">
        <v>578464.19999999995</v>
      </c>
      <c r="H464" s="37">
        <f t="shared" si="27"/>
        <v>9</v>
      </c>
      <c r="I464" s="37" t="str">
        <f t="shared" si="26"/>
        <v>1-90 DAYS</v>
      </c>
      <c r="J464" s="37" t="str">
        <f t="shared" si="28"/>
        <v>0-180 DAYS</v>
      </c>
    </row>
    <row r="465" spans="1:10" x14ac:dyDescent="0.35">
      <c r="A465" s="2" t="s">
        <v>477</v>
      </c>
      <c r="B465" s="2" t="s">
        <v>790</v>
      </c>
      <c r="C465" s="18" t="s">
        <v>2380</v>
      </c>
      <c r="D465" s="18" t="s">
        <v>1081</v>
      </c>
      <c r="E465" s="18" t="s">
        <v>3123</v>
      </c>
      <c r="F465" s="19">
        <v>45680</v>
      </c>
      <c r="G465" s="18">
        <v>852448.62</v>
      </c>
      <c r="H465" s="37">
        <f t="shared" si="27"/>
        <v>9</v>
      </c>
      <c r="I465" s="37" t="str">
        <f t="shared" si="26"/>
        <v>1-90 DAYS</v>
      </c>
      <c r="J465" s="37" t="str">
        <f t="shared" si="28"/>
        <v>0-180 DAYS</v>
      </c>
    </row>
    <row r="466" spans="1:10" x14ac:dyDescent="0.35">
      <c r="A466" s="2" t="s">
        <v>477</v>
      </c>
      <c r="B466" s="2" t="s">
        <v>790</v>
      </c>
      <c r="C466" s="18" t="s">
        <v>2380</v>
      </c>
      <c r="D466" s="18" t="s">
        <v>1081</v>
      </c>
      <c r="E466" s="18" t="s">
        <v>3124</v>
      </c>
      <c r="F466" s="19">
        <v>45681</v>
      </c>
      <c r="G466" s="18">
        <v>1166177.32</v>
      </c>
      <c r="H466" s="37">
        <f t="shared" si="27"/>
        <v>8</v>
      </c>
      <c r="I466" s="37" t="str">
        <f t="shared" si="26"/>
        <v>1-90 DAYS</v>
      </c>
      <c r="J466" s="37" t="str">
        <f t="shared" si="28"/>
        <v>0-180 DAYS</v>
      </c>
    </row>
    <row r="467" spans="1:10" x14ac:dyDescent="0.35">
      <c r="A467" s="2" t="s">
        <v>477</v>
      </c>
      <c r="B467" s="2" t="s">
        <v>790</v>
      </c>
      <c r="C467" s="18" t="s">
        <v>2380</v>
      </c>
      <c r="D467" s="18" t="s">
        <v>1081</v>
      </c>
      <c r="E467" s="18" t="s">
        <v>3125</v>
      </c>
      <c r="F467" s="19">
        <v>45682</v>
      </c>
      <c r="G467" s="18">
        <v>235122.26</v>
      </c>
      <c r="H467" s="37">
        <f t="shared" si="27"/>
        <v>7</v>
      </c>
      <c r="I467" s="37" t="str">
        <f t="shared" si="26"/>
        <v>1-90 DAYS</v>
      </c>
      <c r="J467" s="37" t="str">
        <f t="shared" si="28"/>
        <v>0-180 DAYS</v>
      </c>
    </row>
    <row r="468" spans="1:10" x14ac:dyDescent="0.35">
      <c r="A468" s="2" t="s">
        <v>477</v>
      </c>
      <c r="B468" s="2" t="s">
        <v>790</v>
      </c>
      <c r="C468" s="18" t="s">
        <v>2380</v>
      </c>
      <c r="D468" s="18" t="s">
        <v>1081</v>
      </c>
      <c r="E468" s="18" t="s">
        <v>3126</v>
      </c>
      <c r="F468" s="19">
        <v>45684</v>
      </c>
      <c r="G468" s="18">
        <v>58780.32</v>
      </c>
      <c r="H468" s="37">
        <f t="shared" si="27"/>
        <v>5</v>
      </c>
      <c r="I468" s="37" t="str">
        <f t="shared" si="26"/>
        <v>1-90 DAYS</v>
      </c>
      <c r="J468" s="37" t="str">
        <f t="shared" si="28"/>
        <v>0-180 DAYS</v>
      </c>
    </row>
    <row r="469" spans="1:10" x14ac:dyDescent="0.35">
      <c r="A469" s="2" t="s">
        <v>477</v>
      </c>
      <c r="B469" s="2" t="s">
        <v>790</v>
      </c>
      <c r="C469" s="18" t="s">
        <v>2380</v>
      </c>
      <c r="D469" s="18" t="s">
        <v>1081</v>
      </c>
      <c r="E469" s="18" t="s">
        <v>3127</v>
      </c>
      <c r="F469" s="19">
        <v>45684</v>
      </c>
      <c r="G469" s="18">
        <v>291544.58</v>
      </c>
      <c r="H469" s="37">
        <f t="shared" si="27"/>
        <v>5</v>
      </c>
      <c r="I469" s="37" t="str">
        <f t="shared" si="26"/>
        <v>1-90 DAYS</v>
      </c>
      <c r="J469" s="37" t="str">
        <f t="shared" si="28"/>
        <v>0-180 DAYS</v>
      </c>
    </row>
    <row r="470" spans="1:10" x14ac:dyDescent="0.35">
      <c r="A470" s="2" t="s">
        <v>477</v>
      </c>
      <c r="B470" s="2" t="s">
        <v>790</v>
      </c>
      <c r="C470" s="18" t="s">
        <v>2380</v>
      </c>
      <c r="D470" s="18" t="s">
        <v>1081</v>
      </c>
      <c r="E470" s="18" t="s">
        <v>3128</v>
      </c>
      <c r="F470" s="19">
        <v>45684</v>
      </c>
      <c r="G470" s="18">
        <v>116617.64</v>
      </c>
      <c r="H470" s="37">
        <f t="shared" si="27"/>
        <v>5</v>
      </c>
      <c r="I470" s="37" t="str">
        <f t="shared" si="26"/>
        <v>1-90 DAYS</v>
      </c>
      <c r="J470" s="37" t="str">
        <f t="shared" si="28"/>
        <v>0-180 DAYS</v>
      </c>
    </row>
    <row r="471" spans="1:10" x14ac:dyDescent="0.35">
      <c r="A471" s="2" t="s">
        <v>477</v>
      </c>
      <c r="B471" s="2" t="s">
        <v>790</v>
      </c>
      <c r="C471" s="18" t="s">
        <v>2380</v>
      </c>
      <c r="D471" s="18" t="s">
        <v>1081</v>
      </c>
      <c r="E471" s="18" t="s">
        <v>3129</v>
      </c>
      <c r="F471" s="19">
        <v>45685</v>
      </c>
      <c r="G471" s="18">
        <v>587309.56000000006</v>
      </c>
      <c r="H471" s="37">
        <f t="shared" si="27"/>
        <v>4</v>
      </c>
      <c r="I471" s="37" t="str">
        <f t="shared" si="26"/>
        <v>1-90 DAYS</v>
      </c>
      <c r="J471" s="37" t="str">
        <f t="shared" si="28"/>
        <v>0-180 DAYS</v>
      </c>
    </row>
    <row r="472" spans="1:10" x14ac:dyDescent="0.35">
      <c r="A472" s="2" t="s">
        <v>477</v>
      </c>
      <c r="B472" s="2" t="s">
        <v>790</v>
      </c>
      <c r="C472" s="18" t="s">
        <v>2380</v>
      </c>
      <c r="D472" s="18" t="s">
        <v>1081</v>
      </c>
      <c r="E472" s="18" t="s">
        <v>3130</v>
      </c>
      <c r="F472" s="19">
        <v>45685</v>
      </c>
      <c r="G472" s="18">
        <v>1166177.32</v>
      </c>
      <c r="H472" s="37">
        <f t="shared" si="27"/>
        <v>4</v>
      </c>
      <c r="I472" s="37" t="str">
        <f t="shared" si="26"/>
        <v>1-90 DAYS</v>
      </c>
      <c r="J472" s="37" t="str">
        <f t="shared" si="28"/>
        <v>0-180 DAYS</v>
      </c>
    </row>
    <row r="473" spans="1:10" x14ac:dyDescent="0.35">
      <c r="A473" s="2" t="s">
        <v>477</v>
      </c>
      <c r="B473" s="2" t="s">
        <v>790</v>
      </c>
      <c r="C473" s="18" t="s">
        <v>2380</v>
      </c>
      <c r="D473" s="18" t="s">
        <v>1081</v>
      </c>
      <c r="E473" s="18" t="s">
        <v>3131</v>
      </c>
      <c r="F473" s="19">
        <v>45685</v>
      </c>
      <c r="G473" s="18">
        <v>349852.9</v>
      </c>
      <c r="H473" s="37">
        <f t="shared" si="27"/>
        <v>4</v>
      </c>
      <c r="I473" s="37" t="str">
        <f t="shared" si="26"/>
        <v>1-90 DAYS</v>
      </c>
      <c r="J473" s="37" t="str">
        <f t="shared" si="28"/>
        <v>0-180 DAYS</v>
      </c>
    </row>
    <row r="474" spans="1:10" x14ac:dyDescent="0.35">
      <c r="A474" s="2" t="s">
        <v>477</v>
      </c>
      <c r="B474" s="2" t="s">
        <v>790</v>
      </c>
      <c r="C474" s="18" t="s">
        <v>1087</v>
      </c>
      <c r="D474" s="18" t="s">
        <v>1088</v>
      </c>
      <c r="E474" s="18" t="s">
        <v>3132</v>
      </c>
      <c r="F474" s="19">
        <v>45686</v>
      </c>
      <c r="G474" s="18">
        <v>322140</v>
      </c>
      <c r="H474" s="37">
        <f t="shared" si="27"/>
        <v>3</v>
      </c>
      <c r="I474" s="37" t="str">
        <f t="shared" si="26"/>
        <v>1-90 DAYS</v>
      </c>
      <c r="J474" s="37" t="str">
        <f t="shared" si="28"/>
        <v>0-180 DAYS</v>
      </c>
    </row>
    <row r="475" spans="1:10" x14ac:dyDescent="0.35">
      <c r="A475" s="2" t="s">
        <v>477</v>
      </c>
      <c r="B475" s="2" t="s">
        <v>790</v>
      </c>
      <c r="C475" s="18" t="s">
        <v>2380</v>
      </c>
      <c r="D475" s="18" t="s">
        <v>1081</v>
      </c>
      <c r="E475" s="18" t="s">
        <v>3133</v>
      </c>
      <c r="F475" s="19">
        <v>45686</v>
      </c>
      <c r="G475" s="18">
        <v>470243.52</v>
      </c>
      <c r="H475" s="37">
        <f t="shared" si="27"/>
        <v>3</v>
      </c>
      <c r="I475" s="37" t="str">
        <f t="shared" si="26"/>
        <v>1-90 DAYS</v>
      </c>
      <c r="J475" s="37" t="str">
        <f t="shared" si="28"/>
        <v>0-180 DAYS</v>
      </c>
    </row>
    <row r="476" spans="1:10" x14ac:dyDescent="0.35">
      <c r="A476" s="2" t="s">
        <v>477</v>
      </c>
      <c r="B476" s="2" t="s">
        <v>790</v>
      </c>
      <c r="C476" s="18" t="s">
        <v>2380</v>
      </c>
      <c r="D476" s="18" t="s">
        <v>1081</v>
      </c>
      <c r="E476" s="18" t="s">
        <v>3134</v>
      </c>
      <c r="F476" s="19">
        <v>45686</v>
      </c>
      <c r="G476" s="18">
        <v>699918.2</v>
      </c>
      <c r="H476" s="37">
        <f t="shared" si="27"/>
        <v>3</v>
      </c>
      <c r="I476" s="37" t="str">
        <f t="shared" si="26"/>
        <v>1-90 DAYS</v>
      </c>
      <c r="J476" s="37" t="str">
        <f t="shared" si="28"/>
        <v>0-180 DAYS</v>
      </c>
    </row>
    <row r="477" spans="1:10" x14ac:dyDescent="0.35">
      <c r="A477" s="2" t="s">
        <v>477</v>
      </c>
      <c r="B477" s="2" t="s">
        <v>790</v>
      </c>
      <c r="C477" s="18" t="s">
        <v>2380</v>
      </c>
      <c r="D477" s="18" t="s">
        <v>1081</v>
      </c>
      <c r="E477" s="18" t="s">
        <v>3135</v>
      </c>
      <c r="F477" s="19">
        <v>45687</v>
      </c>
      <c r="G477" s="18">
        <v>352385.18</v>
      </c>
      <c r="H477" s="37">
        <f t="shared" si="27"/>
        <v>2</v>
      </c>
      <c r="I477" s="37" t="str">
        <f t="shared" si="26"/>
        <v>1-90 DAYS</v>
      </c>
      <c r="J477" s="37" t="str">
        <f t="shared" si="28"/>
        <v>0-180 DAYS</v>
      </c>
    </row>
    <row r="478" spans="1:10" x14ac:dyDescent="0.35">
      <c r="A478" s="2" t="s">
        <v>477</v>
      </c>
      <c r="B478" s="2" t="s">
        <v>790</v>
      </c>
      <c r="C478" s="18" t="s">
        <v>2380</v>
      </c>
      <c r="D478" s="18" t="s">
        <v>1081</v>
      </c>
      <c r="E478" s="18" t="s">
        <v>3136</v>
      </c>
      <c r="F478" s="19">
        <v>45688</v>
      </c>
      <c r="G478" s="18">
        <v>101020.41</v>
      </c>
      <c r="H478" s="37">
        <f t="shared" si="27"/>
        <v>1</v>
      </c>
      <c r="I478" s="37" t="str">
        <f t="shared" si="26"/>
        <v>1-90 DAYS</v>
      </c>
      <c r="J478" s="37" t="str">
        <f t="shared" si="28"/>
        <v>0-180 DAYS</v>
      </c>
    </row>
    <row r="479" spans="1:10" x14ac:dyDescent="0.35">
      <c r="A479" s="2" t="s">
        <v>477</v>
      </c>
      <c r="B479" s="2" t="s">
        <v>790</v>
      </c>
      <c r="C479" s="18" t="s">
        <v>2380</v>
      </c>
      <c r="D479" s="18" t="s">
        <v>1081</v>
      </c>
      <c r="E479" s="18" t="s">
        <v>3137</v>
      </c>
      <c r="F479" s="19">
        <v>45688</v>
      </c>
      <c r="G479" s="18">
        <v>352682.9</v>
      </c>
      <c r="H479" s="37">
        <f t="shared" si="27"/>
        <v>1</v>
      </c>
      <c r="I479" s="37" t="str">
        <f t="shared" si="26"/>
        <v>1-90 DAYS</v>
      </c>
      <c r="J479" s="37" t="str">
        <f t="shared" si="28"/>
        <v>0-180 DAYS</v>
      </c>
    </row>
    <row r="480" spans="1:10" x14ac:dyDescent="0.35">
      <c r="A480" s="2" t="s">
        <v>477</v>
      </c>
      <c r="B480" s="2" t="s">
        <v>790</v>
      </c>
      <c r="C480" s="18" t="s">
        <v>5</v>
      </c>
      <c r="D480" s="18" t="s">
        <v>6</v>
      </c>
      <c r="E480" s="18" t="s">
        <v>97</v>
      </c>
      <c r="F480" s="19">
        <v>45658</v>
      </c>
      <c r="G480" s="18">
        <v>368160</v>
      </c>
      <c r="H480" s="37">
        <f t="shared" si="27"/>
        <v>31</v>
      </c>
      <c r="I480" s="37" t="str">
        <f t="shared" si="26"/>
        <v>1-90 DAYS</v>
      </c>
      <c r="J480" s="37" t="str">
        <f t="shared" si="28"/>
        <v>0-180 DAYS</v>
      </c>
    </row>
    <row r="481" spans="1:10" x14ac:dyDescent="0.35">
      <c r="A481" s="2" t="s">
        <v>477</v>
      </c>
      <c r="B481" s="2" t="s">
        <v>790</v>
      </c>
      <c r="C481" s="18" t="s">
        <v>3095</v>
      </c>
      <c r="D481" s="18" t="s">
        <v>1057</v>
      </c>
      <c r="E481" s="18" t="s">
        <v>3138</v>
      </c>
      <c r="F481" s="19">
        <v>45661</v>
      </c>
      <c r="G481" s="18">
        <v>41117.1</v>
      </c>
      <c r="H481" s="37">
        <f t="shared" si="27"/>
        <v>28</v>
      </c>
      <c r="I481" s="37" t="str">
        <f t="shared" si="26"/>
        <v>1-90 DAYS</v>
      </c>
      <c r="J481" s="37" t="str">
        <f t="shared" si="28"/>
        <v>0-180 DAYS</v>
      </c>
    </row>
    <row r="482" spans="1:10" x14ac:dyDescent="0.35">
      <c r="A482" s="2" t="s">
        <v>477</v>
      </c>
      <c r="B482" s="2" t="s">
        <v>790</v>
      </c>
      <c r="C482" s="18" t="s">
        <v>263</v>
      </c>
      <c r="D482" s="18" t="s">
        <v>264</v>
      </c>
      <c r="E482" s="18" t="s">
        <v>3139</v>
      </c>
      <c r="F482" s="19">
        <v>45664</v>
      </c>
      <c r="G482" s="18">
        <v>801428.27</v>
      </c>
      <c r="H482" s="37">
        <f t="shared" si="27"/>
        <v>25</v>
      </c>
      <c r="I482" s="37" t="str">
        <f t="shared" si="26"/>
        <v>1-90 DAYS</v>
      </c>
      <c r="J482" s="37" t="str">
        <f t="shared" si="28"/>
        <v>0-180 DAYS</v>
      </c>
    </row>
    <row r="483" spans="1:10" x14ac:dyDescent="0.35">
      <c r="A483" s="2" t="s">
        <v>477</v>
      </c>
      <c r="B483" s="2" t="s">
        <v>790</v>
      </c>
      <c r="C483" s="18" t="s">
        <v>3096</v>
      </c>
      <c r="D483" s="18" t="s">
        <v>3100</v>
      </c>
      <c r="E483" s="18" t="s">
        <v>3140</v>
      </c>
      <c r="F483" s="19">
        <v>45666</v>
      </c>
      <c r="G483" s="18">
        <v>259600</v>
      </c>
      <c r="H483" s="37">
        <f t="shared" si="27"/>
        <v>23</v>
      </c>
      <c r="I483" s="37" t="str">
        <f t="shared" si="26"/>
        <v>1-90 DAYS</v>
      </c>
      <c r="J483" s="37" t="str">
        <f t="shared" si="28"/>
        <v>0-180 DAYS</v>
      </c>
    </row>
    <row r="484" spans="1:10" x14ac:dyDescent="0.35">
      <c r="A484" s="2" t="s">
        <v>477</v>
      </c>
      <c r="B484" s="2" t="s">
        <v>790</v>
      </c>
      <c r="C484" s="18" t="s">
        <v>3</v>
      </c>
      <c r="D484" s="18" t="s">
        <v>4</v>
      </c>
      <c r="E484" s="18" t="s">
        <v>3141</v>
      </c>
      <c r="F484" s="19">
        <v>45670</v>
      </c>
      <c r="G484" s="18">
        <v>1495149.46</v>
      </c>
      <c r="H484" s="37">
        <f t="shared" si="27"/>
        <v>19</v>
      </c>
      <c r="I484" s="37" t="str">
        <f t="shared" si="26"/>
        <v>1-90 DAYS</v>
      </c>
      <c r="J484" s="37" t="str">
        <f t="shared" si="28"/>
        <v>0-180 DAYS</v>
      </c>
    </row>
    <row r="485" spans="1:10" x14ac:dyDescent="0.35">
      <c r="A485" s="2" t="s">
        <v>477</v>
      </c>
      <c r="B485" s="2" t="s">
        <v>790</v>
      </c>
      <c r="C485" s="18" t="s">
        <v>1840</v>
      </c>
      <c r="D485" s="18" t="s">
        <v>2003</v>
      </c>
      <c r="E485" s="18" t="s">
        <v>3142</v>
      </c>
      <c r="F485" s="19">
        <v>45670</v>
      </c>
      <c r="G485" s="18">
        <v>325680</v>
      </c>
      <c r="H485" s="37">
        <f t="shared" si="27"/>
        <v>19</v>
      </c>
      <c r="I485" s="37" t="str">
        <f t="shared" si="26"/>
        <v>1-90 DAYS</v>
      </c>
      <c r="J485" s="37" t="str">
        <f t="shared" si="28"/>
        <v>0-180 DAYS</v>
      </c>
    </row>
    <row r="486" spans="1:10" x14ac:dyDescent="0.35">
      <c r="A486" s="2" t="s">
        <v>477</v>
      </c>
      <c r="B486" s="2" t="s">
        <v>790</v>
      </c>
      <c r="C486" s="18" t="s">
        <v>2381</v>
      </c>
      <c r="D486" s="18" t="s">
        <v>2423</v>
      </c>
      <c r="E486" s="18" t="s">
        <v>3143</v>
      </c>
      <c r="F486" s="19">
        <v>45670</v>
      </c>
      <c r="G486" s="18">
        <v>619694.28</v>
      </c>
      <c r="H486" s="37">
        <f t="shared" si="27"/>
        <v>19</v>
      </c>
      <c r="I486" s="37" t="str">
        <f t="shared" si="26"/>
        <v>1-90 DAYS</v>
      </c>
      <c r="J486" s="37" t="str">
        <f t="shared" si="28"/>
        <v>0-180 DAYS</v>
      </c>
    </row>
    <row r="487" spans="1:10" x14ac:dyDescent="0.35">
      <c r="A487" s="2" t="s">
        <v>477</v>
      </c>
      <c r="B487" s="2" t="s">
        <v>790</v>
      </c>
      <c r="C487" s="18" t="s">
        <v>2527</v>
      </c>
      <c r="D487" s="18" t="s">
        <v>2529</v>
      </c>
      <c r="E487" s="18" t="s">
        <v>3144</v>
      </c>
      <c r="F487" s="19">
        <v>45673</v>
      </c>
      <c r="G487" s="18">
        <v>4030.3</v>
      </c>
      <c r="H487" s="37">
        <f t="shared" si="27"/>
        <v>16</v>
      </c>
      <c r="I487" s="37" t="str">
        <f t="shared" si="26"/>
        <v>1-90 DAYS</v>
      </c>
      <c r="J487" s="37" t="str">
        <f t="shared" si="28"/>
        <v>0-180 DAYS</v>
      </c>
    </row>
    <row r="488" spans="1:10" x14ac:dyDescent="0.35">
      <c r="A488" s="2" t="s">
        <v>477</v>
      </c>
      <c r="B488" s="2" t="s">
        <v>790</v>
      </c>
      <c r="C488" s="18" t="s">
        <v>2527</v>
      </c>
      <c r="D488" s="18" t="s">
        <v>2529</v>
      </c>
      <c r="E488" s="18" t="s">
        <v>3145</v>
      </c>
      <c r="F488" s="19">
        <v>45688</v>
      </c>
      <c r="G488" s="18">
        <v>24018.9</v>
      </c>
      <c r="H488" s="37">
        <f t="shared" si="27"/>
        <v>1</v>
      </c>
      <c r="I488" s="37" t="str">
        <f t="shared" si="26"/>
        <v>1-90 DAYS</v>
      </c>
      <c r="J488" s="37" t="str">
        <f t="shared" si="28"/>
        <v>0-180 DAYS</v>
      </c>
    </row>
    <row r="489" spans="1:10" x14ac:dyDescent="0.35">
      <c r="A489" s="2" t="s">
        <v>477</v>
      </c>
      <c r="B489" s="2" t="s">
        <v>790</v>
      </c>
      <c r="C489" s="18" t="s">
        <v>3097</v>
      </c>
      <c r="D489" s="18" t="s">
        <v>3101</v>
      </c>
      <c r="E489" s="18" t="s">
        <v>3146</v>
      </c>
      <c r="F489" s="19">
        <v>45688</v>
      </c>
      <c r="G489" s="18">
        <v>587.27</v>
      </c>
      <c r="H489" s="37">
        <f t="shared" si="27"/>
        <v>1</v>
      </c>
      <c r="I489" s="37" t="str">
        <f t="shared" si="26"/>
        <v>1-90 DAYS</v>
      </c>
      <c r="J489" s="37" t="str">
        <f t="shared" si="28"/>
        <v>0-180 DAYS</v>
      </c>
    </row>
    <row r="490" spans="1:10" x14ac:dyDescent="0.35">
      <c r="A490" s="2" t="s">
        <v>1085</v>
      </c>
      <c r="B490" s="2" t="s">
        <v>790</v>
      </c>
      <c r="C490" s="18" t="s">
        <v>1052</v>
      </c>
      <c r="E490" s="18" t="s">
        <v>3148</v>
      </c>
      <c r="F490" s="19">
        <v>45658</v>
      </c>
      <c r="G490" s="18">
        <v>2985290.91</v>
      </c>
      <c r="H490" s="37">
        <f t="shared" si="27"/>
        <v>31</v>
      </c>
      <c r="I490" s="37" t="str">
        <f t="shared" ref="I490:I553" si="29">IF(H490&lt;121,"0-120 DAYS",IF(H490&lt;181,"121-180 DAYS","More than 180 Days"))</f>
        <v>0-120 DAYS</v>
      </c>
      <c r="J490" s="37" t="str">
        <f t="shared" si="28"/>
        <v>0-180 DAYS</v>
      </c>
    </row>
    <row r="491" spans="1:10" x14ac:dyDescent="0.35">
      <c r="A491" s="2" t="s">
        <v>1085</v>
      </c>
      <c r="B491" s="2" t="s">
        <v>790</v>
      </c>
      <c r="C491" s="18" t="s">
        <v>2273</v>
      </c>
      <c r="E491" s="18" t="s">
        <v>3149</v>
      </c>
      <c r="F491" s="19">
        <v>45658</v>
      </c>
      <c r="G491" s="18">
        <v>3981756.1</v>
      </c>
      <c r="H491" s="37">
        <f t="shared" si="27"/>
        <v>31</v>
      </c>
      <c r="I491" s="37" t="str">
        <f t="shared" si="29"/>
        <v>0-120 DAYS</v>
      </c>
      <c r="J491" s="37" t="str">
        <f t="shared" si="28"/>
        <v>0-180 DAYS</v>
      </c>
    </row>
    <row r="492" spans="1:10" x14ac:dyDescent="0.35">
      <c r="A492" s="2" t="s">
        <v>1085</v>
      </c>
      <c r="B492" s="2" t="s">
        <v>790</v>
      </c>
      <c r="C492" s="18" t="s">
        <v>1052</v>
      </c>
      <c r="E492" s="18" t="s">
        <v>3150</v>
      </c>
      <c r="F492" s="19">
        <v>45659</v>
      </c>
      <c r="G492" s="18">
        <v>2980726.25</v>
      </c>
      <c r="H492" s="37">
        <f t="shared" si="27"/>
        <v>30</v>
      </c>
      <c r="I492" s="37" t="str">
        <f t="shared" si="29"/>
        <v>0-120 DAYS</v>
      </c>
      <c r="J492" s="37" t="str">
        <f t="shared" si="28"/>
        <v>0-180 DAYS</v>
      </c>
    </row>
    <row r="493" spans="1:10" x14ac:dyDescent="0.35">
      <c r="A493" s="2" t="s">
        <v>1085</v>
      </c>
      <c r="B493" s="2" t="s">
        <v>790</v>
      </c>
      <c r="C493" s="18" t="s">
        <v>3147</v>
      </c>
      <c r="E493" s="18" t="s">
        <v>3151</v>
      </c>
      <c r="F493" s="19">
        <v>45661</v>
      </c>
      <c r="G493" s="18">
        <v>2985660</v>
      </c>
      <c r="H493" s="37">
        <f t="shared" si="27"/>
        <v>28</v>
      </c>
      <c r="I493" s="37" t="str">
        <f t="shared" si="29"/>
        <v>0-120 DAYS</v>
      </c>
      <c r="J493" s="37" t="str">
        <f t="shared" si="28"/>
        <v>0-180 DAYS</v>
      </c>
    </row>
    <row r="494" spans="1:10" x14ac:dyDescent="0.35">
      <c r="A494" s="2" t="s">
        <v>1085</v>
      </c>
      <c r="B494" s="2" t="s">
        <v>790</v>
      </c>
      <c r="C494" s="18" t="s">
        <v>538</v>
      </c>
      <c r="E494" s="18" t="s">
        <v>3152</v>
      </c>
      <c r="F494" s="19">
        <v>45665</v>
      </c>
      <c r="G494" s="18">
        <v>2954232</v>
      </c>
      <c r="H494" s="37">
        <f t="shared" si="27"/>
        <v>24</v>
      </c>
      <c r="I494" s="37" t="str">
        <f t="shared" si="29"/>
        <v>0-120 DAYS</v>
      </c>
      <c r="J494" s="37" t="str">
        <f t="shared" si="28"/>
        <v>0-180 DAYS</v>
      </c>
    </row>
    <row r="495" spans="1:10" x14ac:dyDescent="0.35">
      <c r="A495" s="2" t="s">
        <v>1085</v>
      </c>
      <c r="B495" s="2" t="s">
        <v>790</v>
      </c>
      <c r="C495" s="18" t="s">
        <v>1329</v>
      </c>
      <c r="E495" s="18" t="s">
        <v>3153</v>
      </c>
      <c r="F495" s="19">
        <v>45666</v>
      </c>
      <c r="G495" s="18">
        <v>1797358.59</v>
      </c>
      <c r="H495" s="37">
        <f t="shared" si="27"/>
        <v>23</v>
      </c>
      <c r="I495" s="37" t="str">
        <f t="shared" si="29"/>
        <v>0-120 DAYS</v>
      </c>
      <c r="J495" s="37" t="str">
        <f t="shared" si="28"/>
        <v>0-180 DAYS</v>
      </c>
    </row>
    <row r="496" spans="1:10" x14ac:dyDescent="0.35">
      <c r="A496" s="2" t="s">
        <v>1085</v>
      </c>
      <c r="B496" s="2" t="s">
        <v>790</v>
      </c>
      <c r="C496" s="18" t="s">
        <v>1329</v>
      </c>
      <c r="E496" s="18" t="s">
        <v>3154</v>
      </c>
      <c r="F496" s="19">
        <v>45666</v>
      </c>
      <c r="G496" s="18">
        <v>1317989.93</v>
      </c>
      <c r="H496" s="37">
        <f t="shared" si="27"/>
        <v>23</v>
      </c>
      <c r="I496" s="37" t="str">
        <f t="shared" si="29"/>
        <v>0-120 DAYS</v>
      </c>
      <c r="J496" s="37" t="str">
        <f t="shared" si="28"/>
        <v>0-180 DAYS</v>
      </c>
    </row>
    <row r="497" spans="1:10" x14ac:dyDescent="0.35">
      <c r="A497" s="2" t="s">
        <v>1209</v>
      </c>
      <c r="B497" s="2" t="s">
        <v>789</v>
      </c>
      <c r="C497" s="18" t="s">
        <v>506</v>
      </c>
      <c r="D497" t="s">
        <v>507</v>
      </c>
      <c r="E497" s="18" t="s">
        <v>3155</v>
      </c>
      <c r="F497" s="19">
        <v>45666</v>
      </c>
      <c r="G497" s="18">
        <v>3233676.3</v>
      </c>
      <c r="H497" s="37">
        <f t="shared" si="27"/>
        <v>23</v>
      </c>
      <c r="I497" s="37" t="str">
        <f t="shared" si="29"/>
        <v>0-120 DAYS</v>
      </c>
      <c r="J497" s="37" t="str">
        <f t="shared" si="28"/>
        <v>0-180 DAYS</v>
      </c>
    </row>
    <row r="498" spans="1:10" x14ac:dyDescent="0.35">
      <c r="A498" s="2" t="s">
        <v>1209</v>
      </c>
      <c r="B498" s="2" t="s">
        <v>789</v>
      </c>
      <c r="C498" s="18" t="s">
        <v>506</v>
      </c>
      <c r="D498" t="s">
        <v>507</v>
      </c>
      <c r="E498" s="18" t="s">
        <v>3156</v>
      </c>
      <c r="F498" s="19">
        <v>45666</v>
      </c>
      <c r="G498" s="18">
        <v>174278.48</v>
      </c>
      <c r="H498" s="37">
        <f t="shared" si="27"/>
        <v>23</v>
      </c>
      <c r="I498" s="37" t="str">
        <f t="shared" si="29"/>
        <v>0-120 DAYS</v>
      </c>
      <c r="J498" s="37" t="str">
        <f t="shared" si="28"/>
        <v>0-180 DAYS</v>
      </c>
    </row>
    <row r="499" spans="1:10" x14ac:dyDescent="0.35">
      <c r="A499" s="2" t="s">
        <v>1085</v>
      </c>
      <c r="B499" s="2" t="s">
        <v>790</v>
      </c>
      <c r="C499" s="18" t="s">
        <v>548</v>
      </c>
      <c r="E499" s="18" t="s">
        <v>3157</v>
      </c>
      <c r="F499" s="19">
        <v>45667</v>
      </c>
      <c r="G499" s="18">
        <v>1316900.8799999999</v>
      </c>
      <c r="H499" s="37">
        <f t="shared" si="27"/>
        <v>22</v>
      </c>
      <c r="I499" s="37" t="str">
        <f t="shared" si="29"/>
        <v>0-120 DAYS</v>
      </c>
      <c r="J499" s="37" t="str">
        <f t="shared" si="28"/>
        <v>0-180 DAYS</v>
      </c>
    </row>
    <row r="500" spans="1:10" x14ac:dyDescent="0.35">
      <c r="A500" s="2" t="s">
        <v>1085</v>
      </c>
      <c r="B500" s="2" t="s">
        <v>790</v>
      </c>
      <c r="C500" s="18" t="s">
        <v>1052</v>
      </c>
      <c r="E500" s="18" t="s">
        <v>3158</v>
      </c>
      <c r="F500" s="19">
        <v>45668</v>
      </c>
      <c r="G500" s="18">
        <v>3095206.94</v>
      </c>
      <c r="H500" s="37">
        <f t="shared" si="27"/>
        <v>21</v>
      </c>
      <c r="I500" s="37" t="str">
        <f t="shared" si="29"/>
        <v>0-120 DAYS</v>
      </c>
      <c r="J500" s="37" t="str">
        <f t="shared" si="28"/>
        <v>0-180 DAYS</v>
      </c>
    </row>
    <row r="501" spans="1:10" x14ac:dyDescent="0.35">
      <c r="A501" s="2" t="s">
        <v>1085</v>
      </c>
      <c r="B501" s="2" t="s">
        <v>790</v>
      </c>
      <c r="C501" s="18" t="s">
        <v>1052</v>
      </c>
      <c r="E501" s="18" t="s">
        <v>3159</v>
      </c>
      <c r="F501" s="19">
        <v>45668</v>
      </c>
      <c r="G501" s="18">
        <v>3008255.76</v>
      </c>
      <c r="H501" s="37">
        <f t="shared" si="27"/>
        <v>21</v>
      </c>
      <c r="I501" s="37" t="str">
        <f t="shared" si="29"/>
        <v>0-120 DAYS</v>
      </c>
      <c r="J501" s="37" t="str">
        <f t="shared" si="28"/>
        <v>0-180 DAYS</v>
      </c>
    </row>
    <row r="502" spans="1:10" x14ac:dyDescent="0.35">
      <c r="A502" s="2" t="s">
        <v>1085</v>
      </c>
      <c r="B502" s="2" t="s">
        <v>790</v>
      </c>
      <c r="C502" s="18" t="s">
        <v>647</v>
      </c>
      <c r="E502" s="18" t="s">
        <v>612</v>
      </c>
      <c r="F502" s="19">
        <v>45668</v>
      </c>
      <c r="G502" s="18">
        <v>3744090.67</v>
      </c>
      <c r="H502" s="37">
        <f t="shared" si="27"/>
        <v>21</v>
      </c>
      <c r="I502" s="37" t="str">
        <f t="shared" si="29"/>
        <v>0-120 DAYS</v>
      </c>
      <c r="J502" s="37" t="str">
        <f t="shared" si="28"/>
        <v>0-180 DAYS</v>
      </c>
    </row>
    <row r="503" spans="1:10" x14ac:dyDescent="0.35">
      <c r="A503" s="2" t="s">
        <v>1085</v>
      </c>
      <c r="B503" s="2" t="s">
        <v>790</v>
      </c>
      <c r="C503" s="18" t="s">
        <v>536</v>
      </c>
      <c r="E503" s="18" t="s">
        <v>3160</v>
      </c>
      <c r="F503" s="19">
        <v>45668</v>
      </c>
      <c r="G503" s="18">
        <v>2632798</v>
      </c>
      <c r="H503" s="37">
        <f t="shared" si="27"/>
        <v>21</v>
      </c>
      <c r="I503" s="37" t="str">
        <f t="shared" si="29"/>
        <v>0-120 DAYS</v>
      </c>
      <c r="J503" s="37" t="str">
        <f t="shared" si="28"/>
        <v>0-180 DAYS</v>
      </c>
    </row>
    <row r="504" spans="1:10" x14ac:dyDescent="0.35">
      <c r="A504" s="2" t="s">
        <v>1209</v>
      </c>
      <c r="B504" s="2" t="s">
        <v>789</v>
      </c>
      <c r="C504" s="18" t="s">
        <v>506</v>
      </c>
      <c r="D504" t="s">
        <v>507</v>
      </c>
      <c r="E504" s="18" t="s">
        <v>3161</v>
      </c>
      <c r="F504" s="19">
        <v>45668</v>
      </c>
      <c r="G504" s="18">
        <v>3435579.53</v>
      </c>
      <c r="H504" s="37">
        <f t="shared" si="27"/>
        <v>21</v>
      </c>
      <c r="I504" s="37" t="str">
        <f t="shared" si="29"/>
        <v>0-120 DAYS</v>
      </c>
      <c r="J504" s="37" t="str">
        <f t="shared" si="28"/>
        <v>0-180 DAYS</v>
      </c>
    </row>
    <row r="505" spans="1:10" x14ac:dyDescent="0.35">
      <c r="A505" s="2" t="s">
        <v>1085</v>
      </c>
      <c r="B505" s="2" t="s">
        <v>790</v>
      </c>
      <c r="C505" s="18" t="s">
        <v>814</v>
      </c>
      <c r="E505" s="18" t="s">
        <v>3162</v>
      </c>
      <c r="F505" s="19">
        <v>45668</v>
      </c>
      <c r="G505" s="18">
        <v>711</v>
      </c>
      <c r="H505" s="37">
        <f t="shared" si="27"/>
        <v>21</v>
      </c>
      <c r="I505" s="37" t="str">
        <f t="shared" si="29"/>
        <v>0-120 DAYS</v>
      </c>
      <c r="J505" s="37" t="str">
        <f t="shared" si="28"/>
        <v>0-180 DAYS</v>
      </c>
    </row>
    <row r="506" spans="1:10" x14ac:dyDescent="0.35">
      <c r="A506" s="2" t="s">
        <v>1085</v>
      </c>
      <c r="B506" s="2" t="s">
        <v>790</v>
      </c>
      <c r="C506" s="18" t="s">
        <v>538</v>
      </c>
      <c r="E506" s="18" t="s">
        <v>3163</v>
      </c>
      <c r="F506" s="19">
        <v>45670</v>
      </c>
      <c r="G506" s="18">
        <v>2966829.39</v>
      </c>
      <c r="H506" s="37">
        <f t="shared" si="27"/>
        <v>19</v>
      </c>
      <c r="I506" s="37" t="str">
        <f t="shared" si="29"/>
        <v>0-120 DAYS</v>
      </c>
      <c r="J506" s="37" t="str">
        <f t="shared" si="28"/>
        <v>0-180 DAYS</v>
      </c>
    </row>
    <row r="507" spans="1:10" x14ac:dyDescent="0.35">
      <c r="A507" s="2" t="s">
        <v>1085</v>
      </c>
      <c r="B507" s="2" t="s">
        <v>790</v>
      </c>
      <c r="C507" s="18" t="s">
        <v>1086</v>
      </c>
      <c r="E507" s="18" t="s">
        <v>3164</v>
      </c>
      <c r="F507" s="19">
        <v>45671</v>
      </c>
      <c r="G507" s="18">
        <v>1570825.74</v>
      </c>
      <c r="H507" s="37">
        <f t="shared" si="27"/>
        <v>18</v>
      </c>
      <c r="I507" s="37" t="str">
        <f t="shared" si="29"/>
        <v>0-120 DAYS</v>
      </c>
      <c r="J507" s="37" t="str">
        <f t="shared" si="28"/>
        <v>0-180 DAYS</v>
      </c>
    </row>
    <row r="508" spans="1:10" x14ac:dyDescent="0.35">
      <c r="A508" s="2" t="s">
        <v>1085</v>
      </c>
      <c r="B508" s="2" t="s">
        <v>790</v>
      </c>
      <c r="C508" s="18" t="s">
        <v>1086</v>
      </c>
      <c r="E508" s="18" t="s">
        <v>3165</v>
      </c>
      <c r="F508" s="19">
        <v>45671</v>
      </c>
      <c r="G508" s="18">
        <v>467380.44</v>
      </c>
      <c r="H508" s="37">
        <f t="shared" si="27"/>
        <v>18</v>
      </c>
      <c r="I508" s="37" t="str">
        <f t="shared" si="29"/>
        <v>0-120 DAYS</v>
      </c>
      <c r="J508" s="37" t="str">
        <f t="shared" si="28"/>
        <v>0-180 DAYS</v>
      </c>
    </row>
    <row r="509" spans="1:10" x14ac:dyDescent="0.35">
      <c r="A509" s="2" t="s">
        <v>1085</v>
      </c>
      <c r="B509" s="2" t="s">
        <v>790</v>
      </c>
      <c r="C509" s="18" t="s">
        <v>631</v>
      </c>
      <c r="E509" s="18" t="s">
        <v>3166</v>
      </c>
      <c r="F509" s="19">
        <v>45671</v>
      </c>
      <c r="G509" s="18">
        <v>3108019.2</v>
      </c>
      <c r="H509" s="37">
        <f t="shared" si="27"/>
        <v>18</v>
      </c>
      <c r="I509" s="37" t="str">
        <f t="shared" si="29"/>
        <v>0-120 DAYS</v>
      </c>
      <c r="J509" s="37" t="str">
        <f t="shared" si="28"/>
        <v>0-180 DAYS</v>
      </c>
    </row>
    <row r="510" spans="1:10" x14ac:dyDescent="0.35">
      <c r="A510" s="2" t="s">
        <v>1085</v>
      </c>
      <c r="B510" s="2" t="s">
        <v>790</v>
      </c>
      <c r="C510" s="18" t="s">
        <v>1086</v>
      </c>
      <c r="E510" s="18" t="s">
        <v>3167</v>
      </c>
      <c r="F510" s="19">
        <v>45672</v>
      </c>
      <c r="G510" s="18">
        <v>1953139.78</v>
      </c>
      <c r="H510" s="37">
        <f t="shared" si="27"/>
        <v>17</v>
      </c>
      <c r="I510" s="37" t="str">
        <f t="shared" si="29"/>
        <v>0-120 DAYS</v>
      </c>
      <c r="J510" s="37" t="str">
        <f t="shared" si="28"/>
        <v>0-180 DAYS</v>
      </c>
    </row>
    <row r="511" spans="1:10" x14ac:dyDescent="0.35">
      <c r="A511" s="2" t="s">
        <v>1085</v>
      </c>
      <c r="B511" s="2" t="s">
        <v>790</v>
      </c>
      <c r="C511" s="18" t="s">
        <v>1086</v>
      </c>
      <c r="E511" s="18" t="s">
        <v>3168</v>
      </c>
      <c r="F511" s="19">
        <v>45672</v>
      </c>
      <c r="G511" s="18">
        <v>763441.18</v>
      </c>
      <c r="H511" s="37">
        <f t="shared" si="27"/>
        <v>17</v>
      </c>
      <c r="I511" s="37" t="str">
        <f t="shared" si="29"/>
        <v>0-120 DAYS</v>
      </c>
      <c r="J511" s="37" t="str">
        <f t="shared" si="28"/>
        <v>0-180 DAYS</v>
      </c>
    </row>
    <row r="512" spans="1:10" x14ac:dyDescent="0.35">
      <c r="A512" s="2" t="s">
        <v>1085</v>
      </c>
      <c r="B512" s="2" t="s">
        <v>790</v>
      </c>
      <c r="C512" s="18" t="s">
        <v>1086</v>
      </c>
      <c r="E512" s="18" t="s">
        <v>3169</v>
      </c>
      <c r="F512" s="19">
        <v>45672</v>
      </c>
      <c r="G512" s="18">
        <v>88834.27</v>
      </c>
      <c r="H512" s="37">
        <f t="shared" si="27"/>
        <v>17</v>
      </c>
      <c r="I512" s="37" t="str">
        <f t="shared" si="29"/>
        <v>0-120 DAYS</v>
      </c>
      <c r="J512" s="37" t="str">
        <f t="shared" si="28"/>
        <v>0-180 DAYS</v>
      </c>
    </row>
    <row r="513" spans="1:10" x14ac:dyDescent="0.35">
      <c r="A513" s="2" t="s">
        <v>1085</v>
      </c>
      <c r="B513" s="2" t="s">
        <v>790</v>
      </c>
      <c r="C513" s="18" t="s">
        <v>1086</v>
      </c>
      <c r="E513" s="18" t="s">
        <v>3170</v>
      </c>
      <c r="F513" s="19">
        <v>45673</v>
      </c>
      <c r="G513" s="18">
        <v>397976.39</v>
      </c>
      <c r="H513" s="37">
        <f t="shared" si="27"/>
        <v>16</v>
      </c>
      <c r="I513" s="37" t="str">
        <f t="shared" si="29"/>
        <v>0-120 DAYS</v>
      </c>
      <c r="J513" s="37" t="str">
        <f t="shared" si="28"/>
        <v>0-180 DAYS</v>
      </c>
    </row>
    <row r="514" spans="1:10" x14ac:dyDescent="0.35">
      <c r="A514" s="2" t="s">
        <v>1085</v>
      </c>
      <c r="B514" s="2" t="s">
        <v>790</v>
      </c>
      <c r="C514" s="18" t="s">
        <v>1086</v>
      </c>
      <c r="E514" s="18" t="s">
        <v>3171</v>
      </c>
      <c r="F514" s="19">
        <v>45673</v>
      </c>
      <c r="G514" s="18">
        <v>1448933.12</v>
      </c>
      <c r="H514" s="37">
        <f t="shared" si="27"/>
        <v>16</v>
      </c>
      <c r="I514" s="37" t="str">
        <f t="shared" si="29"/>
        <v>0-120 DAYS</v>
      </c>
      <c r="J514" s="37" t="str">
        <f t="shared" si="28"/>
        <v>0-180 DAYS</v>
      </c>
    </row>
    <row r="515" spans="1:10" x14ac:dyDescent="0.35">
      <c r="A515" s="2" t="s">
        <v>1085</v>
      </c>
      <c r="B515" s="2" t="s">
        <v>790</v>
      </c>
      <c r="C515" s="18" t="s">
        <v>1086</v>
      </c>
      <c r="E515" s="18" t="s">
        <v>3172</v>
      </c>
      <c r="F515" s="19">
        <v>45673</v>
      </c>
      <c r="G515" s="18">
        <v>991102.22</v>
      </c>
      <c r="H515" s="37">
        <f t="shared" si="27"/>
        <v>16</v>
      </c>
      <c r="I515" s="37" t="str">
        <f t="shared" si="29"/>
        <v>0-120 DAYS</v>
      </c>
      <c r="J515" s="37" t="str">
        <f t="shared" si="28"/>
        <v>0-180 DAYS</v>
      </c>
    </row>
    <row r="516" spans="1:10" x14ac:dyDescent="0.35">
      <c r="A516" s="2" t="s">
        <v>1085</v>
      </c>
      <c r="B516" s="2" t="s">
        <v>790</v>
      </c>
      <c r="C516" s="18" t="s">
        <v>1086</v>
      </c>
      <c r="E516" s="18" t="s">
        <v>3173</v>
      </c>
      <c r="F516" s="19">
        <v>45673</v>
      </c>
      <c r="G516" s="18">
        <v>760075.74</v>
      </c>
      <c r="H516" s="37">
        <f t="shared" si="27"/>
        <v>16</v>
      </c>
      <c r="I516" s="37" t="str">
        <f t="shared" si="29"/>
        <v>0-120 DAYS</v>
      </c>
      <c r="J516" s="37" t="str">
        <f t="shared" si="28"/>
        <v>0-180 DAYS</v>
      </c>
    </row>
    <row r="517" spans="1:10" x14ac:dyDescent="0.35">
      <c r="A517" s="2" t="s">
        <v>1085</v>
      </c>
      <c r="B517" s="2" t="s">
        <v>790</v>
      </c>
      <c r="C517" s="18" t="s">
        <v>1243</v>
      </c>
      <c r="E517" s="18" t="s">
        <v>3174</v>
      </c>
      <c r="F517" s="19">
        <v>45673</v>
      </c>
      <c r="G517" s="18">
        <v>3533127.03</v>
      </c>
      <c r="H517" s="37">
        <f t="shared" si="27"/>
        <v>16</v>
      </c>
      <c r="I517" s="37" t="str">
        <f t="shared" si="29"/>
        <v>0-120 DAYS</v>
      </c>
      <c r="J517" s="37" t="str">
        <f t="shared" si="28"/>
        <v>0-180 DAYS</v>
      </c>
    </row>
    <row r="518" spans="1:10" x14ac:dyDescent="0.35">
      <c r="A518" s="2" t="s">
        <v>1085</v>
      </c>
      <c r="B518" s="2" t="s">
        <v>790</v>
      </c>
      <c r="C518" s="18" t="s">
        <v>1243</v>
      </c>
      <c r="E518" s="18" t="s">
        <v>3175</v>
      </c>
      <c r="F518" s="19">
        <v>45673</v>
      </c>
      <c r="G518" s="18">
        <v>156335.09</v>
      </c>
      <c r="H518" s="37">
        <f t="shared" si="27"/>
        <v>16</v>
      </c>
      <c r="I518" s="37" t="str">
        <f t="shared" si="29"/>
        <v>0-120 DAYS</v>
      </c>
      <c r="J518" s="37" t="str">
        <f t="shared" si="28"/>
        <v>0-180 DAYS</v>
      </c>
    </row>
    <row r="519" spans="1:10" x14ac:dyDescent="0.35">
      <c r="A519" s="2" t="s">
        <v>1085</v>
      </c>
      <c r="B519" s="2" t="s">
        <v>790</v>
      </c>
      <c r="C519" s="18" t="s">
        <v>1052</v>
      </c>
      <c r="E519" s="18" t="s">
        <v>3176</v>
      </c>
      <c r="F519" s="19">
        <v>45674</v>
      </c>
      <c r="G519" s="18">
        <v>3031778.57</v>
      </c>
      <c r="H519" s="37">
        <f t="shared" si="27"/>
        <v>15</v>
      </c>
      <c r="I519" s="37" t="str">
        <f t="shared" si="29"/>
        <v>0-120 DAYS</v>
      </c>
      <c r="J519" s="37" t="str">
        <f t="shared" si="28"/>
        <v>0-180 DAYS</v>
      </c>
    </row>
    <row r="520" spans="1:10" x14ac:dyDescent="0.35">
      <c r="A520" s="2" t="s">
        <v>1085</v>
      </c>
      <c r="B520" s="2" t="s">
        <v>790</v>
      </c>
      <c r="C520" s="18" t="s">
        <v>548</v>
      </c>
      <c r="E520" s="18" t="s">
        <v>3177</v>
      </c>
      <c r="F520" s="19">
        <v>45678</v>
      </c>
      <c r="G520" s="18">
        <v>3320138.5</v>
      </c>
      <c r="H520" s="37">
        <f t="shared" si="27"/>
        <v>11</v>
      </c>
      <c r="I520" s="37" t="str">
        <f t="shared" si="29"/>
        <v>0-120 DAYS</v>
      </c>
      <c r="J520" s="37" t="str">
        <f t="shared" si="28"/>
        <v>0-180 DAYS</v>
      </c>
    </row>
    <row r="521" spans="1:10" x14ac:dyDescent="0.35">
      <c r="A521" s="2" t="s">
        <v>1085</v>
      </c>
      <c r="B521" s="2" t="s">
        <v>790</v>
      </c>
      <c r="C521" s="18" t="s">
        <v>814</v>
      </c>
      <c r="E521" s="18" t="s">
        <v>3178</v>
      </c>
      <c r="F521" s="19">
        <v>45678</v>
      </c>
      <c r="G521" s="18">
        <v>713</v>
      </c>
      <c r="H521" s="37">
        <f t="shared" si="27"/>
        <v>11</v>
      </c>
      <c r="I521" s="37" t="str">
        <f t="shared" si="29"/>
        <v>0-120 DAYS</v>
      </c>
      <c r="J521" s="37" t="str">
        <f t="shared" si="28"/>
        <v>0-180 DAYS</v>
      </c>
    </row>
    <row r="522" spans="1:10" x14ac:dyDescent="0.35">
      <c r="A522" s="2" t="s">
        <v>1085</v>
      </c>
      <c r="B522" s="2" t="s">
        <v>790</v>
      </c>
      <c r="C522" s="18" t="s">
        <v>814</v>
      </c>
      <c r="E522" s="18" t="s">
        <v>3179</v>
      </c>
      <c r="F522" s="19">
        <v>45679</v>
      </c>
      <c r="G522" s="18">
        <v>2688098</v>
      </c>
      <c r="H522" s="37">
        <f t="shared" si="27"/>
        <v>10</v>
      </c>
      <c r="I522" s="37" t="str">
        <f t="shared" si="29"/>
        <v>0-120 DAYS</v>
      </c>
      <c r="J522" s="37" t="str">
        <f t="shared" si="28"/>
        <v>0-180 DAYS</v>
      </c>
    </row>
    <row r="523" spans="1:10" x14ac:dyDescent="0.35">
      <c r="A523" s="2" t="s">
        <v>1085</v>
      </c>
      <c r="B523" s="2" t="s">
        <v>790</v>
      </c>
      <c r="C523" s="18" t="s">
        <v>538</v>
      </c>
      <c r="E523" s="18" t="s">
        <v>3180</v>
      </c>
      <c r="F523" s="19">
        <v>45680</v>
      </c>
      <c r="G523" s="18">
        <v>3064077.72</v>
      </c>
      <c r="H523" s="37">
        <f t="shared" si="27"/>
        <v>9</v>
      </c>
      <c r="I523" s="37" t="str">
        <f t="shared" si="29"/>
        <v>0-120 DAYS</v>
      </c>
      <c r="J523" s="37" t="str">
        <f t="shared" si="28"/>
        <v>0-180 DAYS</v>
      </c>
    </row>
    <row r="524" spans="1:10" x14ac:dyDescent="0.35">
      <c r="A524" s="2" t="s">
        <v>1085</v>
      </c>
      <c r="B524" s="2" t="s">
        <v>790</v>
      </c>
      <c r="C524" s="18" t="s">
        <v>1052</v>
      </c>
      <c r="E524" s="18" t="s">
        <v>3181</v>
      </c>
      <c r="F524" s="19">
        <v>45681</v>
      </c>
      <c r="G524" s="18">
        <v>3274481.1</v>
      </c>
      <c r="H524" s="37">
        <f t="shared" ref="H524:H587" si="30">$H$9-F524+1</f>
        <v>8</v>
      </c>
      <c r="I524" s="37" t="str">
        <f t="shared" si="29"/>
        <v>0-120 DAYS</v>
      </c>
      <c r="J524" s="37" t="str">
        <f t="shared" si="28"/>
        <v>0-180 DAYS</v>
      </c>
    </row>
    <row r="525" spans="1:10" x14ac:dyDescent="0.35">
      <c r="A525" s="2" t="s">
        <v>1085</v>
      </c>
      <c r="B525" s="2" t="s">
        <v>790</v>
      </c>
      <c r="C525" s="18" t="s">
        <v>600</v>
      </c>
      <c r="E525" s="18" t="s">
        <v>3182</v>
      </c>
      <c r="F525" s="19">
        <v>45681</v>
      </c>
      <c r="G525" s="18">
        <v>4158177.24</v>
      </c>
      <c r="H525" s="37">
        <f t="shared" si="30"/>
        <v>8</v>
      </c>
      <c r="I525" s="37" t="str">
        <f t="shared" si="29"/>
        <v>0-120 DAYS</v>
      </c>
      <c r="J525" s="37" t="str">
        <f t="shared" ref="J525:J588" si="31">IF(H525&lt;180,"0-180 DAYS","More than 180 Days")</f>
        <v>0-180 DAYS</v>
      </c>
    </row>
    <row r="526" spans="1:10" x14ac:dyDescent="0.35">
      <c r="A526" s="2" t="s">
        <v>1085</v>
      </c>
      <c r="B526" s="2" t="s">
        <v>790</v>
      </c>
      <c r="C526" s="18" t="s">
        <v>538</v>
      </c>
      <c r="E526" s="18" t="s">
        <v>3183</v>
      </c>
      <c r="F526" s="19">
        <v>45681</v>
      </c>
      <c r="G526" s="18">
        <v>2928852</v>
      </c>
      <c r="H526" s="37">
        <f t="shared" si="30"/>
        <v>8</v>
      </c>
      <c r="I526" s="37" t="str">
        <f t="shared" si="29"/>
        <v>0-120 DAYS</v>
      </c>
      <c r="J526" s="37" t="str">
        <f t="shared" si="31"/>
        <v>0-180 DAYS</v>
      </c>
    </row>
    <row r="527" spans="1:10" x14ac:dyDescent="0.35">
      <c r="A527" s="2" t="s">
        <v>1209</v>
      </c>
      <c r="B527" s="2" t="s">
        <v>789</v>
      </c>
      <c r="C527" s="18" t="s">
        <v>506</v>
      </c>
      <c r="D527" t="s">
        <v>507</v>
      </c>
      <c r="E527" s="18" t="s">
        <v>3184</v>
      </c>
      <c r="F527" s="19">
        <v>45681</v>
      </c>
      <c r="G527" s="18">
        <v>4140192</v>
      </c>
      <c r="H527" s="37">
        <f t="shared" si="30"/>
        <v>8</v>
      </c>
      <c r="I527" s="37" t="str">
        <f t="shared" si="29"/>
        <v>0-120 DAYS</v>
      </c>
      <c r="J527" s="37" t="str">
        <f t="shared" si="31"/>
        <v>0-180 DAYS</v>
      </c>
    </row>
    <row r="528" spans="1:10" x14ac:dyDescent="0.35">
      <c r="A528" s="2" t="s">
        <v>1209</v>
      </c>
      <c r="B528" s="2" t="s">
        <v>789</v>
      </c>
      <c r="C528" s="18" t="s">
        <v>506</v>
      </c>
      <c r="D528" t="s">
        <v>507</v>
      </c>
      <c r="E528" s="18" t="s">
        <v>3185</v>
      </c>
      <c r="F528" s="19">
        <v>45681</v>
      </c>
      <c r="G528" s="18">
        <v>3159009.2</v>
      </c>
      <c r="H528" s="37">
        <f t="shared" si="30"/>
        <v>8</v>
      </c>
      <c r="I528" s="37" t="str">
        <f t="shared" si="29"/>
        <v>0-120 DAYS</v>
      </c>
      <c r="J528" s="37" t="str">
        <f t="shared" si="31"/>
        <v>0-180 DAYS</v>
      </c>
    </row>
    <row r="529" spans="1:10" x14ac:dyDescent="0.35">
      <c r="A529" s="2" t="s">
        <v>1085</v>
      </c>
      <c r="B529" s="2" t="s">
        <v>790</v>
      </c>
      <c r="C529" s="18" t="s">
        <v>814</v>
      </c>
      <c r="E529" s="18" t="s">
        <v>3186</v>
      </c>
      <c r="F529" s="19">
        <v>45681</v>
      </c>
      <c r="G529" s="18">
        <v>3297</v>
      </c>
      <c r="H529" s="37">
        <f t="shared" si="30"/>
        <v>8</v>
      </c>
      <c r="I529" s="37" t="str">
        <f t="shared" si="29"/>
        <v>0-120 DAYS</v>
      </c>
      <c r="J529" s="37" t="str">
        <f t="shared" si="31"/>
        <v>0-180 DAYS</v>
      </c>
    </row>
    <row r="530" spans="1:10" x14ac:dyDescent="0.35">
      <c r="A530" s="2" t="s">
        <v>1085</v>
      </c>
      <c r="B530" s="2" t="s">
        <v>790</v>
      </c>
      <c r="C530" s="18" t="s">
        <v>647</v>
      </c>
      <c r="E530" s="18" t="s">
        <v>620</v>
      </c>
      <c r="F530" s="19">
        <v>45685</v>
      </c>
      <c r="G530" s="18">
        <v>3766140.14</v>
      </c>
      <c r="H530" s="37">
        <f t="shared" si="30"/>
        <v>4</v>
      </c>
      <c r="I530" s="37" t="str">
        <f t="shared" si="29"/>
        <v>0-120 DAYS</v>
      </c>
      <c r="J530" s="37" t="str">
        <f t="shared" si="31"/>
        <v>0-180 DAYS</v>
      </c>
    </row>
    <row r="531" spans="1:10" x14ac:dyDescent="0.35">
      <c r="A531" s="2" t="s">
        <v>1085</v>
      </c>
      <c r="B531" s="2" t="s">
        <v>790</v>
      </c>
      <c r="C531" s="18" t="s">
        <v>596</v>
      </c>
      <c r="E531" s="18" t="s">
        <v>624</v>
      </c>
      <c r="F531" s="19">
        <v>45685</v>
      </c>
      <c r="G531" s="18">
        <v>3266071.79</v>
      </c>
      <c r="H531" s="37">
        <f t="shared" si="30"/>
        <v>4</v>
      </c>
      <c r="I531" s="37" t="str">
        <f t="shared" si="29"/>
        <v>0-120 DAYS</v>
      </c>
      <c r="J531" s="37" t="str">
        <f t="shared" si="31"/>
        <v>0-180 DAYS</v>
      </c>
    </row>
    <row r="532" spans="1:10" x14ac:dyDescent="0.35">
      <c r="A532" s="2" t="s">
        <v>1085</v>
      </c>
      <c r="B532" s="2" t="s">
        <v>790</v>
      </c>
      <c r="C532" s="18" t="s">
        <v>814</v>
      </c>
      <c r="E532" s="18" t="s">
        <v>3187</v>
      </c>
      <c r="F532" s="19">
        <v>45686</v>
      </c>
      <c r="G532" s="18">
        <v>509</v>
      </c>
      <c r="H532" s="37">
        <f t="shared" si="30"/>
        <v>3</v>
      </c>
      <c r="I532" s="37" t="str">
        <f t="shared" si="29"/>
        <v>0-120 DAYS</v>
      </c>
      <c r="J532" s="37" t="str">
        <f t="shared" si="31"/>
        <v>0-180 DAYS</v>
      </c>
    </row>
    <row r="533" spans="1:10" x14ac:dyDescent="0.35">
      <c r="A533" s="2" t="s">
        <v>1085</v>
      </c>
      <c r="B533" s="2" t="s">
        <v>790</v>
      </c>
      <c r="C533" s="18" t="s">
        <v>1647</v>
      </c>
      <c r="E533" s="18" t="s">
        <v>3188</v>
      </c>
      <c r="F533" s="19">
        <v>45686</v>
      </c>
      <c r="G533" s="18">
        <v>1870260</v>
      </c>
      <c r="H533" s="37">
        <f t="shared" si="30"/>
        <v>3</v>
      </c>
      <c r="I533" s="37" t="str">
        <f t="shared" si="29"/>
        <v>0-120 DAYS</v>
      </c>
      <c r="J533" s="37" t="str">
        <f t="shared" si="31"/>
        <v>0-180 DAYS</v>
      </c>
    </row>
    <row r="534" spans="1:10" x14ac:dyDescent="0.35">
      <c r="A534" s="2" t="s">
        <v>1085</v>
      </c>
      <c r="B534" s="2" t="s">
        <v>790</v>
      </c>
      <c r="C534" s="18" t="s">
        <v>1647</v>
      </c>
      <c r="E534" s="18" t="s">
        <v>3189</v>
      </c>
      <c r="F534" s="19">
        <v>45686</v>
      </c>
      <c r="G534" s="18">
        <v>5359277</v>
      </c>
      <c r="H534" s="37">
        <f t="shared" si="30"/>
        <v>3</v>
      </c>
      <c r="I534" s="37" t="str">
        <f t="shared" si="29"/>
        <v>0-120 DAYS</v>
      </c>
      <c r="J534" s="37" t="str">
        <f t="shared" si="31"/>
        <v>0-180 DAYS</v>
      </c>
    </row>
    <row r="535" spans="1:10" x14ac:dyDescent="0.35">
      <c r="A535" s="2" t="s">
        <v>1085</v>
      </c>
      <c r="B535" s="2" t="s">
        <v>790</v>
      </c>
      <c r="C535" s="18" t="s">
        <v>1052</v>
      </c>
      <c r="E535" s="18" t="s">
        <v>3190</v>
      </c>
      <c r="F535" s="19">
        <v>45687</v>
      </c>
      <c r="G535" s="18">
        <v>2990853.18</v>
      </c>
      <c r="H535" s="37">
        <f t="shared" si="30"/>
        <v>2</v>
      </c>
      <c r="I535" s="37" t="str">
        <f t="shared" si="29"/>
        <v>0-120 DAYS</v>
      </c>
      <c r="J535" s="37" t="str">
        <f t="shared" si="31"/>
        <v>0-180 DAYS</v>
      </c>
    </row>
    <row r="536" spans="1:10" x14ac:dyDescent="0.35">
      <c r="A536" s="2" t="s">
        <v>1085</v>
      </c>
      <c r="B536" s="2" t="s">
        <v>790</v>
      </c>
      <c r="C536" s="18" t="s">
        <v>536</v>
      </c>
      <c r="E536" s="18" t="s">
        <v>3191</v>
      </c>
      <c r="F536" s="19">
        <v>45687</v>
      </c>
      <c r="G536" s="18">
        <v>2686476.9</v>
      </c>
      <c r="H536" s="37">
        <f t="shared" si="30"/>
        <v>2</v>
      </c>
      <c r="I536" s="37" t="str">
        <f t="shared" si="29"/>
        <v>0-120 DAYS</v>
      </c>
      <c r="J536" s="37" t="str">
        <f t="shared" si="31"/>
        <v>0-180 DAYS</v>
      </c>
    </row>
    <row r="537" spans="1:10" x14ac:dyDescent="0.35">
      <c r="A537" s="2" t="s">
        <v>1085</v>
      </c>
      <c r="B537" s="2" t="s">
        <v>790</v>
      </c>
      <c r="C537" s="18" t="s">
        <v>814</v>
      </c>
      <c r="E537" s="18" t="s">
        <v>3192</v>
      </c>
      <c r="F537" s="19">
        <v>45687</v>
      </c>
      <c r="G537" s="18">
        <v>4484</v>
      </c>
      <c r="H537" s="37">
        <f t="shared" si="30"/>
        <v>2</v>
      </c>
      <c r="I537" s="37" t="str">
        <f t="shared" si="29"/>
        <v>0-120 DAYS</v>
      </c>
      <c r="J537" s="37" t="str">
        <f t="shared" si="31"/>
        <v>0-180 DAYS</v>
      </c>
    </row>
    <row r="538" spans="1:10" x14ac:dyDescent="0.35">
      <c r="A538" s="2" t="s">
        <v>1085</v>
      </c>
      <c r="B538" s="2" t="s">
        <v>790</v>
      </c>
      <c r="C538" s="18" t="s">
        <v>1243</v>
      </c>
      <c r="E538" s="18" t="s">
        <v>3193</v>
      </c>
      <c r="F538" s="19">
        <v>45688</v>
      </c>
      <c r="G538" s="18">
        <v>3726097.8</v>
      </c>
      <c r="H538" s="37">
        <f t="shared" si="30"/>
        <v>1</v>
      </c>
      <c r="I538" s="37" t="str">
        <f t="shared" si="29"/>
        <v>0-120 DAYS</v>
      </c>
      <c r="J538" s="37" t="str">
        <f t="shared" si="31"/>
        <v>0-180 DAYS</v>
      </c>
    </row>
    <row r="539" spans="1:10" x14ac:dyDescent="0.35">
      <c r="A539" s="2" t="s">
        <v>1085</v>
      </c>
      <c r="B539" s="2" t="s">
        <v>790</v>
      </c>
      <c r="C539" s="18" t="s">
        <v>1243</v>
      </c>
      <c r="E539" s="18" t="s">
        <v>3194</v>
      </c>
      <c r="F539" s="19">
        <v>45688</v>
      </c>
      <c r="G539" s="18">
        <v>67231.179999999993</v>
      </c>
      <c r="H539" s="37">
        <f t="shared" si="30"/>
        <v>1</v>
      </c>
      <c r="I539" s="37" t="str">
        <f t="shared" si="29"/>
        <v>0-120 DAYS</v>
      </c>
      <c r="J539" s="37" t="str">
        <f t="shared" si="31"/>
        <v>0-180 DAYS</v>
      </c>
    </row>
    <row r="540" spans="1:10" x14ac:dyDescent="0.35">
      <c r="A540" s="2" t="s">
        <v>1085</v>
      </c>
      <c r="B540" s="2" t="s">
        <v>790</v>
      </c>
      <c r="C540" s="18" t="s">
        <v>538</v>
      </c>
      <c r="E540" s="18" t="s">
        <v>3195</v>
      </c>
      <c r="F540" s="19">
        <v>45658</v>
      </c>
      <c r="G540" s="18">
        <v>3015417.33</v>
      </c>
      <c r="H540" s="37">
        <f t="shared" si="30"/>
        <v>31</v>
      </c>
      <c r="I540" s="37" t="str">
        <f t="shared" si="29"/>
        <v>0-120 DAYS</v>
      </c>
      <c r="J540" s="37" t="str">
        <f t="shared" si="31"/>
        <v>0-180 DAYS</v>
      </c>
    </row>
    <row r="541" spans="1:10" x14ac:dyDescent="0.35">
      <c r="A541" s="2" t="s">
        <v>1085</v>
      </c>
      <c r="B541" s="2" t="s">
        <v>790</v>
      </c>
      <c r="C541" s="18" t="s">
        <v>2970</v>
      </c>
      <c r="E541" s="18" t="s">
        <v>3196</v>
      </c>
      <c r="F541" s="19">
        <v>45660</v>
      </c>
      <c r="G541" s="18">
        <v>3891000.96</v>
      </c>
      <c r="H541" s="37">
        <f t="shared" si="30"/>
        <v>29</v>
      </c>
      <c r="I541" s="37" t="str">
        <f t="shared" si="29"/>
        <v>0-120 DAYS</v>
      </c>
      <c r="J541" s="37" t="str">
        <f t="shared" si="31"/>
        <v>0-180 DAYS</v>
      </c>
    </row>
    <row r="542" spans="1:10" x14ac:dyDescent="0.35">
      <c r="A542" s="2" t="s">
        <v>1085</v>
      </c>
      <c r="B542" s="2" t="s">
        <v>790</v>
      </c>
      <c r="C542" s="18" t="s">
        <v>635</v>
      </c>
      <c r="E542" s="18" t="s">
        <v>3197</v>
      </c>
      <c r="F542" s="19">
        <v>45661</v>
      </c>
      <c r="G542" s="18">
        <v>3184792.57</v>
      </c>
      <c r="H542" s="37">
        <f t="shared" si="30"/>
        <v>28</v>
      </c>
      <c r="I542" s="37" t="str">
        <f t="shared" si="29"/>
        <v>0-120 DAYS</v>
      </c>
      <c r="J542" s="37" t="str">
        <f t="shared" si="31"/>
        <v>0-180 DAYS</v>
      </c>
    </row>
    <row r="543" spans="1:10" x14ac:dyDescent="0.35">
      <c r="A543" s="2" t="s">
        <v>1085</v>
      </c>
      <c r="B543" s="2" t="s">
        <v>790</v>
      </c>
      <c r="C543" s="18" t="s">
        <v>570</v>
      </c>
      <c r="E543" s="18" t="s">
        <v>3198</v>
      </c>
      <c r="F543" s="19">
        <v>45669</v>
      </c>
      <c r="G543" s="18">
        <v>3219408</v>
      </c>
      <c r="H543" s="37">
        <f t="shared" si="30"/>
        <v>20</v>
      </c>
      <c r="I543" s="37" t="str">
        <f t="shared" si="29"/>
        <v>0-120 DAYS</v>
      </c>
      <c r="J543" s="37" t="str">
        <f t="shared" si="31"/>
        <v>0-180 DAYS</v>
      </c>
    </row>
    <row r="544" spans="1:10" x14ac:dyDescent="0.35">
      <c r="A544" s="2" t="s">
        <v>1085</v>
      </c>
      <c r="B544" s="2" t="s">
        <v>790</v>
      </c>
      <c r="C544" s="18" t="s">
        <v>693</v>
      </c>
      <c r="E544" s="18" t="s">
        <v>3199</v>
      </c>
      <c r="F544" s="19">
        <v>45670</v>
      </c>
      <c r="G544" s="18">
        <v>3993696</v>
      </c>
      <c r="H544" s="37">
        <f t="shared" si="30"/>
        <v>19</v>
      </c>
      <c r="I544" s="37" t="str">
        <f t="shared" si="29"/>
        <v>0-120 DAYS</v>
      </c>
      <c r="J544" s="37" t="str">
        <f t="shared" si="31"/>
        <v>0-180 DAYS</v>
      </c>
    </row>
    <row r="545" spans="1:10" x14ac:dyDescent="0.35">
      <c r="A545" s="2" t="s">
        <v>1085</v>
      </c>
      <c r="B545" s="2" t="s">
        <v>790</v>
      </c>
      <c r="C545" s="18" t="s">
        <v>570</v>
      </c>
      <c r="E545" s="18" t="s">
        <v>3200</v>
      </c>
      <c r="F545" s="19">
        <v>45673</v>
      </c>
      <c r="G545" s="18">
        <v>3719027.52</v>
      </c>
      <c r="H545" s="37">
        <f t="shared" si="30"/>
        <v>16</v>
      </c>
      <c r="I545" s="37" t="str">
        <f t="shared" si="29"/>
        <v>0-120 DAYS</v>
      </c>
      <c r="J545" s="37" t="str">
        <f t="shared" si="31"/>
        <v>0-180 DAYS</v>
      </c>
    </row>
    <row r="546" spans="1:10" x14ac:dyDescent="0.35">
      <c r="A546" s="2" t="s">
        <v>1085</v>
      </c>
      <c r="B546" s="2" t="s">
        <v>790</v>
      </c>
      <c r="C546" s="18" t="s">
        <v>1247</v>
      </c>
      <c r="E546" s="18" t="s">
        <v>3201</v>
      </c>
      <c r="F546" s="19">
        <v>45674</v>
      </c>
      <c r="G546" s="18">
        <v>4269726.72</v>
      </c>
      <c r="H546" s="37">
        <f t="shared" si="30"/>
        <v>15</v>
      </c>
      <c r="I546" s="37" t="str">
        <f t="shared" si="29"/>
        <v>0-120 DAYS</v>
      </c>
      <c r="J546" s="37" t="str">
        <f t="shared" si="31"/>
        <v>0-180 DAYS</v>
      </c>
    </row>
    <row r="547" spans="1:10" x14ac:dyDescent="0.35">
      <c r="A547" s="2" t="s">
        <v>1085</v>
      </c>
      <c r="B547" s="2" t="s">
        <v>790</v>
      </c>
      <c r="C547" s="18" t="s">
        <v>2559</v>
      </c>
      <c r="E547" s="18" t="s">
        <v>3202</v>
      </c>
      <c r="F547" s="19">
        <v>45675</v>
      </c>
      <c r="G547" s="18">
        <v>3154197.76</v>
      </c>
      <c r="H547" s="37">
        <f t="shared" si="30"/>
        <v>14</v>
      </c>
      <c r="I547" s="37" t="str">
        <f t="shared" si="29"/>
        <v>0-120 DAYS</v>
      </c>
      <c r="J547" s="37" t="str">
        <f t="shared" si="31"/>
        <v>0-180 DAYS</v>
      </c>
    </row>
    <row r="548" spans="1:10" x14ac:dyDescent="0.35">
      <c r="A548" s="2" t="s">
        <v>1085</v>
      </c>
      <c r="B548" s="2" t="s">
        <v>790</v>
      </c>
      <c r="C548" s="18" t="s">
        <v>650</v>
      </c>
      <c r="E548" s="18" t="s">
        <v>3203</v>
      </c>
      <c r="F548" s="19">
        <v>45675</v>
      </c>
      <c r="G548" s="18">
        <v>2967903.36</v>
      </c>
      <c r="H548" s="37">
        <f t="shared" si="30"/>
        <v>14</v>
      </c>
      <c r="I548" s="37" t="str">
        <f t="shared" si="29"/>
        <v>0-120 DAYS</v>
      </c>
      <c r="J548" s="37" t="str">
        <f t="shared" si="31"/>
        <v>0-180 DAYS</v>
      </c>
    </row>
    <row r="549" spans="1:10" x14ac:dyDescent="0.35">
      <c r="A549" s="2" t="s">
        <v>1085</v>
      </c>
      <c r="B549" s="2" t="s">
        <v>790</v>
      </c>
      <c r="C549" s="18" t="s">
        <v>1086</v>
      </c>
      <c r="E549" s="18" t="s">
        <v>3204</v>
      </c>
      <c r="F549" s="19">
        <v>45683</v>
      </c>
      <c r="G549" s="18">
        <v>3374273.56</v>
      </c>
      <c r="H549" s="37">
        <f t="shared" si="30"/>
        <v>6</v>
      </c>
      <c r="I549" s="37" t="str">
        <f t="shared" si="29"/>
        <v>0-120 DAYS</v>
      </c>
      <c r="J549" s="37" t="str">
        <f t="shared" si="31"/>
        <v>0-180 DAYS</v>
      </c>
    </row>
    <row r="550" spans="1:10" x14ac:dyDescent="0.35">
      <c r="A550" s="2" t="s">
        <v>1085</v>
      </c>
      <c r="B550" s="2" t="s">
        <v>790</v>
      </c>
      <c r="C550" s="18" t="s">
        <v>538</v>
      </c>
      <c r="E550" s="18" t="s">
        <v>3205</v>
      </c>
      <c r="F550" s="19">
        <v>45683</v>
      </c>
      <c r="G550" s="18">
        <v>3100415.74</v>
      </c>
      <c r="H550" s="37">
        <f t="shared" si="30"/>
        <v>6</v>
      </c>
      <c r="I550" s="37" t="str">
        <f t="shared" si="29"/>
        <v>0-120 DAYS</v>
      </c>
      <c r="J550" s="37" t="str">
        <f t="shared" si="31"/>
        <v>0-180 DAYS</v>
      </c>
    </row>
    <row r="551" spans="1:10" x14ac:dyDescent="0.35">
      <c r="A551" s="2" t="s">
        <v>1085</v>
      </c>
      <c r="B551" s="2" t="s">
        <v>790</v>
      </c>
      <c r="C551" s="18" t="s">
        <v>1086</v>
      </c>
      <c r="E551" s="18" t="s">
        <v>3206</v>
      </c>
      <c r="F551" s="19">
        <v>45685</v>
      </c>
      <c r="G551" s="18">
        <v>2725114</v>
      </c>
      <c r="H551" s="37">
        <f t="shared" si="30"/>
        <v>4</v>
      </c>
      <c r="I551" s="37" t="str">
        <f t="shared" si="29"/>
        <v>0-120 DAYS</v>
      </c>
      <c r="J551" s="37" t="str">
        <f t="shared" si="31"/>
        <v>0-180 DAYS</v>
      </c>
    </row>
    <row r="552" spans="1:10" x14ac:dyDescent="0.35">
      <c r="A552" s="2" t="s">
        <v>1085</v>
      </c>
      <c r="B552" s="2" t="s">
        <v>790</v>
      </c>
      <c r="C552" s="18" t="s">
        <v>522</v>
      </c>
      <c r="E552" s="18" t="s">
        <v>3207</v>
      </c>
      <c r="F552" s="19">
        <v>45685</v>
      </c>
      <c r="G552" s="18">
        <v>3302310.92</v>
      </c>
      <c r="H552" s="37">
        <f t="shared" si="30"/>
        <v>4</v>
      </c>
      <c r="I552" s="37" t="str">
        <f t="shared" si="29"/>
        <v>0-120 DAYS</v>
      </c>
      <c r="J552" s="37" t="str">
        <f t="shared" si="31"/>
        <v>0-180 DAYS</v>
      </c>
    </row>
    <row r="553" spans="1:10" x14ac:dyDescent="0.35">
      <c r="A553" s="2" t="s">
        <v>1085</v>
      </c>
      <c r="B553" s="2" t="s">
        <v>790</v>
      </c>
      <c r="C553" s="18" t="s">
        <v>650</v>
      </c>
      <c r="E553" s="18" t="s">
        <v>3208</v>
      </c>
      <c r="F553" s="19">
        <v>45685</v>
      </c>
      <c r="G553" s="18">
        <v>3166837.01</v>
      </c>
      <c r="H553" s="37">
        <f t="shared" si="30"/>
        <v>4</v>
      </c>
      <c r="I553" s="37" t="str">
        <f t="shared" si="29"/>
        <v>0-120 DAYS</v>
      </c>
      <c r="J553" s="37" t="str">
        <f t="shared" si="31"/>
        <v>0-180 DAYS</v>
      </c>
    </row>
    <row r="554" spans="1:10" x14ac:dyDescent="0.35">
      <c r="A554" s="2" t="s">
        <v>1085</v>
      </c>
      <c r="B554" s="2" t="s">
        <v>790</v>
      </c>
      <c r="C554" s="18" t="s">
        <v>635</v>
      </c>
      <c r="E554" s="18" t="s">
        <v>3209</v>
      </c>
      <c r="F554" s="19">
        <v>45686</v>
      </c>
      <c r="G554" s="18">
        <v>3307393.4</v>
      </c>
      <c r="H554" s="37">
        <f t="shared" si="30"/>
        <v>3</v>
      </c>
      <c r="I554" s="37" t="str">
        <f t="shared" ref="I554:I581" si="32">IF(H554&lt;121,"0-120 DAYS",IF(H554&lt;181,"121-180 DAYS","More than 180 Days"))</f>
        <v>0-120 DAYS</v>
      </c>
      <c r="J554" s="37" t="str">
        <f t="shared" si="31"/>
        <v>0-180 DAYS</v>
      </c>
    </row>
    <row r="555" spans="1:10" x14ac:dyDescent="0.35">
      <c r="A555" s="2" t="s">
        <v>1085</v>
      </c>
      <c r="B555" s="2" t="s">
        <v>790</v>
      </c>
      <c r="C555" s="18" t="s">
        <v>653</v>
      </c>
      <c r="E555" s="18" t="s">
        <v>3210</v>
      </c>
      <c r="F555" s="19">
        <v>45686</v>
      </c>
      <c r="G555" s="18">
        <v>3039744.44</v>
      </c>
      <c r="H555" s="37">
        <f t="shared" si="30"/>
        <v>3</v>
      </c>
      <c r="I555" s="37" t="str">
        <f t="shared" si="32"/>
        <v>0-120 DAYS</v>
      </c>
      <c r="J555" s="37" t="str">
        <f t="shared" si="31"/>
        <v>0-180 DAYS</v>
      </c>
    </row>
    <row r="556" spans="1:10" x14ac:dyDescent="0.35">
      <c r="A556" s="2" t="s">
        <v>1085</v>
      </c>
      <c r="B556" s="2" t="s">
        <v>790</v>
      </c>
      <c r="C556" s="18" t="s">
        <v>635</v>
      </c>
      <c r="E556" s="18" t="s">
        <v>3211</v>
      </c>
      <c r="F556" s="19">
        <v>45687</v>
      </c>
      <c r="G556" s="18">
        <v>3605349.73</v>
      </c>
      <c r="H556" s="37">
        <f t="shared" si="30"/>
        <v>2</v>
      </c>
      <c r="I556" s="37" t="str">
        <f t="shared" si="32"/>
        <v>0-120 DAYS</v>
      </c>
      <c r="J556" s="37" t="str">
        <f t="shared" si="31"/>
        <v>0-180 DAYS</v>
      </c>
    </row>
    <row r="557" spans="1:10" x14ac:dyDescent="0.35">
      <c r="A557" s="2" t="s">
        <v>1085</v>
      </c>
      <c r="B557" s="2" t="s">
        <v>790</v>
      </c>
      <c r="C557" s="18" t="s">
        <v>650</v>
      </c>
      <c r="E557" s="18" t="s">
        <v>3212</v>
      </c>
      <c r="F557" s="19">
        <v>45688</v>
      </c>
      <c r="G557" s="18">
        <v>2284054.6</v>
      </c>
      <c r="H557" s="37">
        <f t="shared" si="30"/>
        <v>1</v>
      </c>
      <c r="I557" s="37" t="str">
        <f t="shared" si="32"/>
        <v>0-120 DAYS</v>
      </c>
      <c r="J557" s="37" t="str">
        <f t="shared" si="31"/>
        <v>0-180 DAYS</v>
      </c>
    </row>
    <row r="558" spans="1:10" x14ac:dyDescent="0.35">
      <c r="A558" s="2" t="s">
        <v>1085</v>
      </c>
      <c r="B558" s="2" t="s">
        <v>790</v>
      </c>
      <c r="C558" s="18" t="s">
        <v>650</v>
      </c>
      <c r="E558" s="18" t="s">
        <v>3213</v>
      </c>
      <c r="F558" s="19">
        <v>45688</v>
      </c>
      <c r="G558" s="18">
        <v>1245132.03</v>
      </c>
      <c r="H558" s="37">
        <f t="shared" si="30"/>
        <v>1</v>
      </c>
      <c r="I558" s="37" t="str">
        <f t="shared" si="32"/>
        <v>0-120 DAYS</v>
      </c>
      <c r="J558" s="37" t="str">
        <f t="shared" si="31"/>
        <v>0-180 DAYS</v>
      </c>
    </row>
    <row r="559" spans="1:10" x14ac:dyDescent="0.35">
      <c r="A559" s="2" t="s">
        <v>1085</v>
      </c>
      <c r="B559" s="2" t="s">
        <v>790</v>
      </c>
      <c r="C559" s="18" t="s">
        <v>588</v>
      </c>
      <c r="E559" s="18" t="s">
        <v>3214</v>
      </c>
      <c r="F559" s="19">
        <v>45660</v>
      </c>
      <c r="G559" s="18">
        <v>3579010.44</v>
      </c>
      <c r="H559" s="37">
        <f t="shared" si="30"/>
        <v>29</v>
      </c>
      <c r="I559" s="37" t="str">
        <f t="shared" si="32"/>
        <v>0-120 DAYS</v>
      </c>
      <c r="J559" s="37" t="str">
        <f t="shared" si="31"/>
        <v>0-180 DAYS</v>
      </c>
    </row>
    <row r="560" spans="1:10" x14ac:dyDescent="0.35">
      <c r="A560" s="2" t="s">
        <v>1085</v>
      </c>
      <c r="B560" s="2" t="s">
        <v>790</v>
      </c>
      <c r="C560" s="18" t="s">
        <v>584</v>
      </c>
      <c r="E560" s="18" t="s">
        <v>3215</v>
      </c>
      <c r="F560" s="19">
        <v>45666</v>
      </c>
      <c r="G560" s="18">
        <v>3136917.54</v>
      </c>
      <c r="H560" s="37">
        <f t="shared" si="30"/>
        <v>23</v>
      </c>
      <c r="I560" s="37" t="str">
        <f t="shared" si="32"/>
        <v>0-120 DAYS</v>
      </c>
      <c r="J560" s="37" t="str">
        <f t="shared" si="31"/>
        <v>0-180 DAYS</v>
      </c>
    </row>
    <row r="561" spans="1:10" x14ac:dyDescent="0.35">
      <c r="A561" s="2" t="s">
        <v>1085</v>
      </c>
      <c r="B561" s="2" t="s">
        <v>790</v>
      </c>
      <c r="C561" s="18" t="s">
        <v>1055</v>
      </c>
      <c r="E561" s="18" t="s">
        <v>3216</v>
      </c>
      <c r="F561" s="19">
        <v>45667</v>
      </c>
      <c r="G561" s="18">
        <v>2856205.8</v>
      </c>
      <c r="H561" s="37">
        <f t="shared" si="30"/>
        <v>22</v>
      </c>
      <c r="I561" s="37" t="str">
        <f t="shared" si="32"/>
        <v>0-120 DAYS</v>
      </c>
      <c r="J561" s="37" t="str">
        <f t="shared" si="31"/>
        <v>0-180 DAYS</v>
      </c>
    </row>
    <row r="562" spans="1:10" x14ac:dyDescent="0.35">
      <c r="A562" s="2" t="s">
        <v>1085</v>
      </c>
      <c r="B562" s="2" t="s">
        <v>790</v>
      </c>
      <c r="C562" s="18" t="s">
        <v>1055</v>
      </c>
      <c r="E562" s="18" t="s">
        <v>3217</v>
      </c>
      <c r="F562" s="19">
        <v>45667</v>
      </c>
      <c r="G562" s="18">
        <v>365749.2</v>
      </c>
      <c r="H562" s="37">
        <f t="shared" si="30"/>
        <v>22</v>
      </c>
      <c r="I562" s="37" t="str">
        <f t="shared" si="32"/>
        <v>0-120 DAYS</v>
      </c>
      <c r="J562" s="37" t="str">
        <f t="shared" si="31"/>
        <v>0-180 DAYS</v>
      </c>
    </row>
    <row r="563" spans="1:10" x14ac:dyDescent="0.35">
      <c r="A563" s="2" t="s">
        <v>1085</v>
      </c>
      <c r="B563" s="2" t="s">
        <v>790</v>
      </c>
      <c r="C563" s="18" t="s">
        <v>1055</v>
      </c>
      <c r="E563" s="18" t="s">
        <v>3218</v>
      </c>
      <c r="F563" s="19">
        <v>45672</v>
      </c>
      <c r="G563" s="18">
        <v>2856205.8</v>
      </c>
      <c r="H563" s="37">
        <f t="shared" si="30"/>
        <v>17</v>
      </c>
      <c r="I563" s="37" t="str">
        <f t="shared" si="32"/>
        <v>0-120 DAYS</v>
      </c>
      <c r="J563" s="37" t="str">
        <f t="shared" si="31"/>
        <v>0-180 DAYS</v>
      </c>
    </row>
    <row r="564" spans="1:10" x14ac:dyDescent="0.35">
      <c r="A564" s="2" t="s">
        <v>1085</v>
      </c>
      <c r="B564" s="2" t="s">
        <v>790</v>
      </c>
      <c r="C564" s="18" t="s">
        <v>1055</v>
      </c>
      <c r="E564" s="18" t="s">
        <v>3219</v>
      </c>
      <c r="F564" s="19">
        <v>45672</v>
      </c>
      <c r="G564" s="18">
        <v>365749.2</v>
      </c>
      <c r="H564" s="37">
        <f t="shared" si="30"/>
        <v>17</v>
      </c>
      <c r="I564" s="37" t="str">
        <f t="shared" si="32"/>
        <v>0-120 DAYS</v>
      </c>
      <c r="J564" s="37" t="str">
        <f t="shared" si="31"/>
        <v>0-180 DAYS</v>
      </c>
    </row>
    <row r="565" spans="1:10" x14ac:dyDescent="0.35">
      <c r="A565" s="2" t="s">
        <v>1085</v>
      </c>
      <c r="B565" s="2" t="s">
        <v>790</v>
      </c>
      <c r="C565" s="18" t="s">
        <v>540</v>
      </c>
      <c r="E565" s="18" t="s">
        <v>3220</v>
      </c>
      <c r="F565" s="19">
        <v>45673</v>
      </c>
      <c r="G565" s="18">
        <v>3231942.03</v>
      </c>
      <c r="H565" s="37">
        <f t="shared" si="30"/>
        <v>16</v>
      </c>
      <c r="I565" s="37" t="str">
        <f t="shared" si="32"/>
        <v>0-120 DAYS</v>
      </c>
      <c r="J565" s="37" t="str">
        <f t="shared" si="31"/>
        <v>0-180 DAYS</v>
      </c>
    </row>
    <row r="566" spans="1:10" x14ac:dyDescent="0.35">
      <c r="A566" s="2" t="s">
        <v>1085</v>
      </c>
      <c r="B566" s="2" t="s">
        <v>790</v>
      </c>
      <c r="C566" s="18" t="s">
        <v>584</v>
      </c>
      <c r="E566" s="18" t="s">
        <v>3221</v>
      </c>
      <c r="F566" s="19">
        <v>45673</v>
      </c>
      <c r="G566" s="18">
        <v>3225547.32</v>
      </c>
      <c r="H566" s="37">
        <f t="shared" si="30"/>
        <v>16</v>
      </c>
      <c r="I566" s="37" t="str">
        <f t="shared" si="32"/>
        <v>0-120 DAYS</v>
      </c>
      <c r="J566" s="37" t="str">
        <f t="shared" si="31"/>
        <v>0-180 DAYS</v>
      </c>
    </row>
    <row r="567" spans="1:10" x14ac:dyDescent="0.35">
      <c r="A567" s="2" t="s">
        <v>1085</v>
      </c>
      <c r="B567" s="2" t="s">
        <v>790</v>
      </c>
      <c r="C567" s="18" t="s">
        <v>584</v>
      </c>
      <c r="E567" s="18" t="s">
        <v>3222</v>
      </c>
      <c r="F567" s="19">
        <v>45673</v>
      </c>
      <c r="G567" s="18">
        <v>3353774.73</v>
      </c>
      <c r="H567" s="37">
        <f t="shared" si="30"/>
        <v>16</v>
      </c>
      <c r="I567" s="37" t="str">
        <f t="shared" si="32"/>
        <v>0-120 DAYS</v>
      </c>
      <c r="J567" s="37" t="str">
        <f t="shared" si="31"/>
        <v>0-180 DAYS</v>
      </c>
    </row>
    <row r="568" spans="1:10" x14ac:dyDescent="0.35">
      <c r="A568" s="2" t="s">
        <v>1085</v>
      </c>
      <c r="B568" s="2" t="s">
        <v>790</v>
      </c>
      <c r="C568" s="18" t="s">
        <v>581</v>
      </c>
      <c r="E568" s="18" t="s">
        <v>3223</v>
      </c>
      <c r="F568" s="19">
        <v>45674</v>
      </c>
      <c r="G568" s="18">
        <v>3431523.14</v>
      </c>
      <c r="H568" s="37">
        <f t="shared" si="30"/>
        <v>15</v>
      </c>
      <c r="I568" s="37" t="str">
        <f t="shared" si="32"/>
        <v>0-120 DAYS</v>
      </c>
      <c r="J568" s="37" t="str">
        <f t="shared" si="31"/>
        <v>0-180 DAYS</v>
      </c>
    </row>
    <row r="569" spans="1:10" x14ac:dyDescent="0.35">
      <c r="A569" s="2" t="s">
        <v>1085</v>
      </c>
      <c r="B569" s="2" t="s">
        <v>790</v>
      </c>
      <c r="C569" s="18" t="s">
        <v>2561</v>
      </c>
      <c r="E569" s="18" t="s">
        <v>3224</v>
      </c>
      <c r="F569" s="19">
        <v>45675</v>
      </c>
      <c r="G569" s="18">
        <v>1567132.7</v>
      </c>
      <c r="H569" s="37">
        <f t="shared" si="30"/>
        <v>14</v>
      </c>
      <c r="I569" s="37" t="str">
        <f t="shared" si="32"/>
        <v>0-120 DAYS</v>
      </c>
      <c r="J569" s="37" t="str">
        <f t="shared" si="31"/>
        <v>0-180 DAYS</v>
      </c>
    </row>
    <row r="570" spans="1:10" x14ac:dyDescent="0.35">
      <c r="A570" s="2" t="s">
        <v>1085</v>
      </c>
      <c r="B570" s="2" t="s">
        <v>790</v>
      </c>
      <c r="C570" s="18" t="s">
        <v>588</v>
      </c>
      <c r="E570" s="18" t="s">
        <v>3225</v>
      </c>
      <c r="F570" s="19">
        <v>45676</v>
      </c>
      <c r="G570" s="18">
        <v>3641285.2</v>
      </c>
      <c r="H570" s="37">
        <f t="shared" si="30"/>
        <v>13</v>
      </c>
      <c r="I570" s="37" t="str">
        <f t="shared" si="32"/>
        <v>0-120 DAYS</v>
      </c>
      <c r="J570" s="37" t="str">
        <f t="shared" si="31"/>
        <v>0-180 DAYS</v>
      </c>
    </row>
    <row r="571" spans="1:10" x14ac:dyDescent="0.35">
      <c r="A571" s="2" t="s">
        <v>1085</v>
      </c>
      <c r="B571" s="2" t="s">
        <v>790</v>
      </c>
      <c r="C571" s="18" t="s">
        <v>588</v>
      </c>
      <c r="E571" s="18" t="s">
        <v>3226</v>
      </c>
      <c r="F571" s="19">
        <v>45677</v>
      </c>
      <c r="G571" s="18">
        <v>3426845.8</v>
      </c>
      <c r="H571" s="37">
        <f t="shared" si="30"/>
        <v>12</v>
      </c>
      <c r="I571" s="37" t="str">
        <f t="shared" si="32"/>
        <v>0-120 DAYS</v>
      </c>
      <c r="J571" s="37" t="str">
        <f t="shared" si="31"/>
        <v>0-180 DAYS</v>
      </c>
    </row>
    <row r="572" spans="1:10" x14ac:dyDescent="0.35">
      <c r="A572" s="2" t="s">
        <v>1085</v>
      </c>
      <c r="B572" s="2" t="s">
        <v>790</v>
      </c>
      <c r="C572" s="18" t="s">
        <v>540</v>
      </c>
      <c r="E572" s="18" t="s">
        <v>3227</v>
      </c>
      <c r="F572" s="19">
        <v>45679</v>
      </c>
      <c r="G572" s="18">
        <v>3262865.76</v>
      </c>
      <c r="H572" s="37">
        <f t="shared" si="30"/>
        <v>10</v>
      </c>
      <c r="I572" s="37" t="str">
        <f t="shared" si="32"/>
        <v>0-120 DAYS</v>
      </c>
      <c r="J572" s="37" t="str">
        <f t="shared" si="31"/>
        <v>0-180 DAYS</v>
      </c>
    </row>
    <row r="573" spans="1:10" x14ac:dyDescent="0.35">
      <c r="A573" s="2" t="s">
        <v>1085</v>
      </c>
      <c r="B573" s="2" t="s">
        <v>790</v>
      </c>
      <c r="C573" s="18" t="s">
        <v>584</v>
      </c>
      <c r="E573" s="18" t="s">
        <v>3228</v>
      </c>
      <c r="F573" s="19">
        <v>45684</v>
      </c>
      <c r="G573" s="18">
        <v>3355801.8</v>
      </c>
      <c r="H573" s="37">
        <f t="shared" si="30"/>
        <v>5</v>
      </c>
      <c r="I573" s="37" t="str">
        <f t="shared" si="32"/>
        <v>0-120 DAYS</v>
      </c>
      <c r="J573" s="37" t="str">
        <f t="shared" si="31"/>
        <v>0-180 DAYS</v>
      </c>
    </row>
    <row r="574" spans="1:10" x14ac:dyDescent="0.35">
      <c r="A574" s="2" t="s">
        <v>1085</v>
      </c>
      <c r="B574" s="2" t="s">
        <v>790</v>
      </c>
      <c r="C574" s="18" t="s">
        <v>707</v>
      </c>
      <c r="E574" s="18" t="s">
        <v>3229</v>
      </c>
      <c r="F574" s="19">
        <v>45685</v>
      </c>
      <c r="G574" s="18">
        <v>2974097.7</v>
      </c>
      <c r="H574" s="37">
        <f t="shared" si="30"/>
        <v>4</v>
      </c>
      <c r="I574" s="37" t="str">
        <f t="shared" si="32"/>
        <v>0-120 DAYS</v>
      </c>
      <c r="J574" s="37" t="str">
        <f t="shared" si="31"/>
        <v>0-180 DAYS</v>
      </c>
    </row>
    <row r="575" spans="1:10" x14ac:dyDescent="0.35">
      <c r="A575" s="2" t="s">
        <v>1085</v>
      </c>
      <c r="B575" s="2" t="s">
        <v>790</v>
      </c>
      <c r="C575" s="18" t="s">
        <v>588</v>
      </c>
      <c r="E575" s="18" t="s">
        <v>3230</v>
      </c>
      <c r="F575" s="19">
        <v>45685</v>
      </c>
      <c r="G575" s="18">
        <v>3830326.64</v>
      </c>
      <c r="H575" s="37">
        <f t="shared" si="30"/>
        <v>4</v>
      </c>
      <c r="I575" s="37" t="str">
        <f t="shared" si="32"/>
        <v>0-120 DAYS</v>
      </c>
      <c r="J575" s="37" t="str">
        <f t="shared" si="31"/>
        <v>0-180 DAYS</v>
      </c>
    </row>
    <row r="576" spans="1:10" x14ac:dyDescent="0.35">
      <c r="A576" s="2" t="s">
        <v>1085</v>
      </c>
      <c r="B576" s="2" t="s">
        <v>790</v>
      </c>
      <c r="C576" s="18" t="s">
        <v>588</v>
      </c>
      <c r="E576" s="18" t="s">
        <v>3231</v>
      </c>
      <c r="F576" s="19">
        <v>45688</v>
      </c>
      <c r="G576" s="18">
        <v>3548421.24</v>
      </c>
      <c r="H576" s="37">
        <f t="shared" si="30"/>
        <v>1</v>
      </c>
      <c r="I576" s="37" t="str">
        <f t="shared" si="32"/>
        <v>0-120 DAYS</v>
      </c>
      <c r="J576" s="37" t="str">
        <f t="shared" si="31"/>
        <v>0-180 DAYS</v>
      </c>
    </row>
    <row r="577" spans="1:10" x14ac:dyDescent="0.35">
      <c r="A577" s="2" t="s">
        <v>1085</v>
      </c>
      <c r="B577" s="2" t="s">
        <v>790</v>
      </c>
      <c r="C577" s="18" t="s">
        <v>647</v>
      </c>
      <c r="E577" s="18" t="s">
        <v>3232</v>
      </c>
      <c r="F577" s="19">
        <v>45659</v>
      </c>
      <c r="G577" s="18">
        <v>3715425.01</v>
      </c>
      <c r="H577" s="37">
        <f t="shared" si="30"/>
        <v>30</v>
      </c>
      <c r="I577" s="37" t="str">
        <f t="shared" si="32"/>
        <v>0-120 DAYS</v>
      </c>
      <c r="J577" s="37" t="str">
        <f t="shared" si="31"/>
        <v>0-180 DAYS</v>
      </c>
    </row>
    <row r="578" spans="1:10" x14ac:dyDescent="0.35">
      <c r="A578" s="2" t="s">
        <v>1085</v>
      </c>
      <c r="B578" s="2" t="s">
        <v>790</v>
      </c>
      <c r="C578" s="18" t="s">
        <v>548</v>
      </c>
      <c r="E578" s="18" t="s">
        <v>3233</v>
      </c>
      <c r="F578" s="19">
        <v>45659</v>
      </c>
      <c r="G578" s="18">
        <v>3294377.2</v>
      </c>
      <c r="H578" s="37">
        <f t="shared" si="30"/>
        <v>30</v>
      </c>
      <c r="I578" s="37" t="str">
        <f t="shared" si="32"/>
        <v>0-120 DAYS</v>
      </c>
      <c r="J578" s="37" t="str">
        <f t="shared" si="31"/>
        <v>0-180 DAYS</v>
      </c>
    </row>
    <row r="579" spans="1:10" x14ac:dyDescent="0.35">
      <c r="A579" s="2" t="s">
        <v>1085</v>
      </c>
      <c r="B579" s="2" t="s">
        <v>790</v>
      </c>
      <c r="C579" s="18" t="s">
        <v>530</v>
      </c>
      <c r="E579" s="18" t="s">
        <v>3234</v>
      </c>
      <c r="F579" s="19">
        <v>45665</v>
      </c>
      <c r="G579" s="18">
        <v>4021684.98</v>
      </c>
      <c r="H579" s="37">
        <f t="shared" si="30"/>
        <v>24</v>
      </c>
      <c r="I579" s="37" t="str">
        <f t="shared" si="32"/>
        <v>0-120 DAYS</v>
      </c>
      <c r="J579" s="37" t="str">
        <f t="shared" si="31"/>
        <v>0-180 DAYS</v>
      </c>
    </row>
    <row r="580" spans="1:10" x14ac:dyDescent="0.35">
      <c r="A580" s="2" t="s">
        <v>1085</v>
      </c>
      <c r="B580" s="2" t="s">
        <v>790</v>
      </c>
      <c r="C580" s="18" t="s">
        <v>596</v>
      </c>
      <c r="E580" s="18" t="s">
        <v>3235</v>
      </c>
      <c r="F580" s="19">
        <v>45675</v>
      </c>
      <c r="G580" s="18">
        <v>4227394.5999999996</v>
      </c>
      <c r="H580" s="37">
        <f t="shared" si="30"/>
        <v>14</v>
      </c>
      <c r="I580" s="37" t="str">
        <f t="shared" si="32"/>
        <v>0-120 DAYS</v>
      </c>
      <c r="J580" s="37" t="str">
        <f t="shared" si="31"/>
        <v>0-180 DAYS</v>
      </c>
    </row>
    <row r="581" spans="1:10" x14ac:dyDescent="0.35">
      <c r="A581" s="2" t="s">
        <v>1085</v>
      </c>
      <c r="B581" s="2" t="s">
        <v>790</v>
      </c>
      <c r="C581" s="18" t="s">
        <v>647</v>
      </c>
      <c r="E581" s="18" t="s">
        <v>3236</v>
      </c>
      <c r="F581" s="19">
        <v>45679</v>
      </c>
      <c r="G581" s="18">
        <v>3766140.32</v>
      </c>
      <c r="H581" s="37">
        <f t="shared" si="30"/>
        <v>10</v>
      </c>
      <c r="I581" s="37" t="str">
        <f t="shared" si="32"/>
        <v>0-120 DAYS</v>
      </c>
      <c r="J581" s="37" t="str">
        <f t="shared" si="31"/>
        <v>0-180 DAYS</v>
      </c>
    </row>
    <row r="582" spans="1:10" x14ac:dyDescent="0.35">
      <c r="A582" s="88" t="s">
        <v>477</v>
      </c>
      <c r="B582" s="2" t="s">
        <v>790</v>
      </c>
      <c r="C582" s="18" t="s">
        <v>3237</v>
      </c>
      <c r="E582" s="18" t="s">
        <v>3238</v>
      </c>
      <c r="F582" s="19">
        <v>45681</v>
      </c>
      <c r="G582" s="18">
        <v>885962</v>
      </c>
      <c r="H582" s="37">
        <f t="shared" si="30"/>
        <v>8</v>
      </c>
      <c r="I582" s="37" t="str">
        <f t="shared" ref="I582:I588" si="33">IF(H582&lt;91,"1-90 DAYS",IF(H582&lt;121,"91-120DAYS",IF(H582&lt;181,"121-180 DAYS","More than 180 Days")))</f>
        <v>1-90 DAYS</v>
      </c>
      <c r="J582" s="37" t="str">
        <f t="shared" si="31"/>
        <v>0-180 DAYS</v>
      </c>
    </row>
    <row r="583" spans="1:10" x14ac:dyDescent="0.35">
      <c r="A583" s="88" t="s">
        <v>477</v>
      </c>
      <c r="B583" s="2" t="s">
        <v>790</v>
      </c>
      <c r="C583" s="18" t="s">
        <v>3237</v>
      </c>
      <c r="E583" s="18" t="s">
        <v>3239</v>
      </c>
      <c r="F583" s="19">
        <v>45682</v>
      </c>
      <c r="G583" s="18">
        <v>992437.75</v>
      </c>
      <c r="H583" s="37">
        <f t="shared" si="30"/>
        <v>7</v>
      </c>
      <c r="I583" s="37" t="str">
        <f t="shared" si="33"/>
        <v>1-90 DAYS</v>
      </c>
      <c r="J583" s="37" t="str">
        <f t="shared" si="31"/>
        <v>0-180 DAYS</v>
      </c>
    </row>
    <row r="584" spans="1:10" x14ac:dyDescent="0.35">
      <c r="A584" s="88" t="s">
        <v>477</v>
      </c>
      <c r="B584" s="2" t="s">
        <v>790</v>
      </c>
      <c r="C584" s="18" t="s">
        <v>3237</v>
      </c>
      <c r="E584" s="18" t="s">
        <v>267</v>
      </c>
      <c r="F584" s="19">
        <v>45682</v>
      </c>
      <c r="G584" s="18">
        <v>908319.44</v>
      </c>
      <c r="H584" s="37">
        <f t="shared" si="30"/>
        <v>7</v>
      </c>
      <c r="I584" s="37" t="str">
        <f t="shared" si="33"/>
        <v>1-90 DAYS</v>
      </c>
      <c r="J584" s="37" t="str">
        <f t="shared" si="31"/>
        <v>0-180 DAYS</v>
      </c>
    </row>
    <row r="585" spans="1:10" x14ac:dyDescent="0.35">
      <c r="A585" s="88" t="s">
        <v>477</v>
      </c>
      <c r="B585" s="2" t="s">
        <v>790</v>
      </c>
      <c r="C585" s="18" t="s">
        <v>3237</v>
      </c>
      <c r="E585" s="18" t="s">
        <v>3240</v>
      </c>
      <c r="F585" s="19">
        <v>45684</v>
      </c>
      <c r="G585" s="18">
        <v>1099500.54</v>
      </c>
      <c r="H585" s="37">
        <f t="shared" si="30"/>
        <v>5</v>
      </c>
      <c r="I585" s="37" t="str">
        <f t="shared" si="33"/>
        <v>1-90 DAYS</v>
      </c>
      <c r="J585" s="37" t="str">
        <f t="shared" si="31"/>
        <v>0-180 DAYS</v>
      </c>
    </row>
    <row r="586" spans="1:10" x14ac:dyDescent="0.35">
      <c r="A586" s="88" t="s">
        <v>477</v>
      </c>
      <c r="B586" s="2" t="s">
        <v>790</v>
      </c>
      <c r="C586" s="18" t="s">
        <v>3237</v>
      </c>
      <c r="E586" s="18" t="s">
        <v>3241</v>
      </c>
      <c r="F586" s="19">
        <v>45685</v>
      </c>
      <c r="G586" s="18">
        <v>3876512.7</v>
      </c>
      <c r="H586" s="37">
        <f t="shared" si="30"/>
        <v>4</v>
      </c>
      <c r="I586" s="37" t="str">
        <f t="shared" si="33"/>
        <v>1-90 DAYS</v>
      </c>
      <c r="J586" s="37" t="str">
        <f t="shared" si="31"/>
        <v>0-180 DAYS</v>
      </c>
    </row>
    <row r="587" spans="1:10" x14ac:dyDescent="0.35">
      <c r="A587" s="88" t="s">
        <v>477</v>
      </c>
      <c r="B587" s="2" t="s">
        <v>790</v>
      </c>
      <c r="C587" s="18" t="s">
        <v>3237</v>
      </c>
      <c r="E587" s="18" t="s">
        <v>3242</v>
      </c>
      <c r="F587" s="19">
        <v>45686</v>
      </c>
      <c r="G587" s="18">
        <v>833051.72</v>
      </c>
      <c r="H587" s="37">
        <f t="shared" si="30"/>
        <v>3</v>
      </c>
      <c r="I587" s="37" t="str">
        <f t="shared" si="33"/>
        <v>1-90 DAYS</v>
      </c>
      <c r="J587" s="37" t="str">
        <f t="shared" si="31"/>
        <v>0-180 DAYS</v>
      </c>
    </row>
    <row r="588" spans="1:10" x14ac:dyDescent="0.35">
      <c r="A588" s="88" t="s">
        <v>477</v>
      </c>
      <c r="B588" s="2" t="s">
        <v>790</v>
      </c>
      <c r="C588" s="18" t="s">
        <v>3237</v>
      </c>
      <c r="E588" s="18" t="s">
        <v>3243</v>
      </c>
      <c r="F588" s="19">
        <v>45687</v>
      </c>
      <c r="G588" s="18">
        <v>602111.18000000005</v>
      </c>
      <c r="H588" s="37">
        <f t="shared" ref="H588:H651" si="34">$H$9-F588+1</f>
        <v>2</v>
      </c>
      <c r="I588" s="37" t="str">
        <f t="shared" si="33"/>
        <v>1-90 DAYS</v>
      </c>
      <c r="J588" s="37" t="str">
        <f t="shared" si="31"/>
        <v>0-180 DAYS</v>
      </c>
    </row>
    <row r="589" spans="1:10" x14ac:dyDescent="0.35">
      <c r="A589" s="88" t="s">
        <v>1209</v>
      </c>
      <c r="B589" s="2" t="s">
        <v>790</v>
      </c>
      <c r="C589" s="18" t="s">
        <v>125</v>
      </c>
      <c r="D589" s="18" t="s">
        <v>57</v>
      </c>
      <c r="E589" s="18" t="s">
        <v>3255</v>
      </c>
      <c r="F589" s="19">
        <v>45658</v>
      </c>
      <c r="G589" s="108">
        <v>403819.5</v>
      </c>
      <c r="H589" s="37">
        <f t="shared" si="34"/>
        <v>31</v>
      </c>
      <c r="I589" s="37" t="str">
        <f t="shared" ref="I589:I608" si="35">IF(H589&lt;91,"1-90 DAYS",IF(H39&lt;121,"91-120DAYS",IF(H39&lt;181,"121-180 DAYS","More than 180 Days")))</f>
        <v>1-90 DAYS</v>
      </c>
      <c r="J589" s="37" t="str">
        <f t="shared" ref="J589:J652" si="36">IF(H589&lt;180,"0-180 DAYS","More than 180 Days")</f>
        <v>0-180 DAYS</v>
      </c>
    </row>
    <row r="590" spans="1:10" x14ac:dyDescent="0.35">
      <c r="A590" s="88" t="s">
        <v>1209</v>
      </c>
      <c r="B590" s="2" t="s">
        <v>790</v>
      </c>
      <c r="C590" s="18" t="s">
        <v>125</v>
      </c>
      <c r="D590" s="18" t="s">
        <v>57</v>
      </c>
      <c r="E590" s="18" t="s">
        <v>3256</v>
      </c>
      <c r="F590" s="19">
        <v>45658</v>
      </c>
      <c r="G590" s="108">
        <v>17416.53</v>
      </c>
      <c r="H590" s="37">
        <f t="shared" si="34"/>
        <v>31</v>
      </c>
      <c r="I590" s="37" t="str">
        <f t="shared" si="35"/>
        <v>1-90 DAYS</v>
      </c>
      <c r="J590" s="37" t="str">
        <f t="shared" si="36"/>
        <v>0-180 DAYS</v>
      </c>
    </row>
    <row r="591" spans="1:10" x14ac:dyDescent="0.35">
      <c r="A591" s="88" t="s">
        <v>1209</v>
      </c>
      <c r="B591" s="2" t="s">
        <v>790</v>
      </c>
      <c r="C591" s="18" t="s">
        <v>125</v>
      </c>
      <c r="D591" s="18" t="s">
        <v>57</v>
      </c>
      <c r="E591" s="18" t="s">
        <v>3257</v>
      </c>
      <c r="F591" s="19">
        <v>45658</v>
      </c>
      <c r="G591" s="108">
        <v>10412.76</v>
      </c>
      <c r="H591" s="37">
        <f t="shared" si="34"/>
        <v>31</v>
      </c>
      <c r="I591" s="37" t="str">
        <f t="shared" si="35"/>
        <v>1-90 DAYS</v>
      </c>
      <c r="J591" s="37" t="str">
        <f t="shared" si="36"/>
        <v>0-180 DAYS</v>
      </c>
    </row>
    <row r="592" spans="1:10" x14ac:dyDescent="0.35">
      <c r="A592" s="88" t="s">
        <v>1209</v>
      </c>
      <c r="B592" s="2" t="s">
        <v>790</v>
      </c>
      <c r="C592" s="18" t="s">
        <v>125</v>
      </c>
      <c r="D592" s="18" t="s">
        <v>57</v>
      </c>
      <c r="E592" s="18" t="s">
        <v>3258</v>
      </c>
      <c r="F592" s="19">
        <v>45658</v>
      </c>
      <c r="G592" s="108">
        <v>909061.48</v>
      </c>
      <c r="H592" s="37">
        <f t="shared" si="34"/>
        <v>31</v>
      </c>
      <c r="I592" s="37" t="str">
        <f t="shared" si="35"/>
        <v>1-90 DAYS</v>
      </c>
      <c r="J592" s="37" t="str">
        <f t="shared" si="36"/>
        <v>0-180 DAYS</v>
      </c>
    </row>
    <row r="593" spans="1:10" x14ac:dyDescent="0.35">
      <c r="A593" s="88" t="s">
        <v>1209</v>
      </c>
      <c r="B593" s="2" t="s">
        <v>790</v>
      </c>
      <c r="C593" s="18" t="s">
        <v>125</v>
      </c>
      <c r="D593" s="18" t="s">
        <v>57</v>
      </c>
      <c r="E593" s="18" t="s">
        <v>3259</v>
      </c>
      <c r="F593" s="19">
        <v>45659</v>
      </c>
      <c r="G593" s="108">
        <v>238673.19</v>
      </c>
      <c r="H593" s="37">
        <f t="shared" si="34"/>
        <v>30</v>
      </c>
      <c r="I593" s="37" t="str">
        <f t="shared" si="35"/>
        <v>1-90 DAYS</v>
      </c>
      <c r="J593" s="37" t="str">
        <f t="shared" si="36"/>
        <v>0-180 DAYS</v>
      </c>
    </row>
    <row r="594" spans="1:10" x14ac:dyDescent="0.35">
      <c r="A594" s="88" t="s">
        <v>1209</v>
      </c>
      <c r="B594" s="2" t="s">
        <v>790</v>
      </c>
      <c r="C594" s="18" t="s">
        <v>125</v>
      </c>
      <c r="D594" s="18" t="s">
        <v>57</v>
      </c>
      <c r="E594" s="18" t="s">
        <v>3260</v>
      </c>
      <c r="F594" s="19">
        <v>45659</v>
      </c>
      <c r="G594" s="108">
        <v>3225.48</v>
      </c>
      <c r="H594" s="37">
        <f t="shared" si="34"/>
        <v>30</v>
      </c>
      <c r="I594" s="37" t="str">
        <f t="shared" si="35"/>
        <v>1-90 DAYS</v>
      </c>
      <c r="J594" s="37" t="str">
        <f t="shared" si="36"/>
        <v>0-180 DAYS</v>
      </c>
    </row>
    <row r="595" spans="1:10" x14ac:dyDescent="0.35">
      <c r="A595" s="88" t="s">
        <v>1209</v>
      </c>
      <c r="B595" s="2" t="s">
        <v>790</v>
      </c>
      <c r="C595" s="18" t="s">
        <v>125</v>
      </c>
      <c r="D595" s="18" t="s">
        <v>57</v>
      </c>
      <c r="E595" s="18" t="s">
        <v>3261</v>
      </c>
      <c r="F595" s="19">
        <v>45660</v>
      </c>
      <c r="G595" s="108">
        <v>2854.96</v>
      </c>
      <c r="H595" s="37">
        <f t="shared" si="34"/>
        <v>29</v>
      </c>
      <c r="I595" s="37" t="str">
        <f t="shared" si="35"/>
        <v>1-90 DAYS</v>
      </c>
      <c r="J595" s="37" t="str">
        <f t="shared" si="36"/>
        <v>0-180 DAYS</v>
      </c>
    </row>
    <row r="596" spans="1:10" x14ac:dyDescent="0.35">
      <c r="A596" s="88" t="s">
        <v>1209</v>
      </c>
      <c r="B596" s="2" t="s">
        <v>790</v>
      </c>
      <c r="C596" s="18" t="s">
        <v>125</v>
      </c>
      <c r="D596" s="18" t="s">
        <v>57</v>
      </c>
      <c r="E596" s="18" t="s">
        <v>3262</v>
      </c>
      <c r="F596" s="19">
        <v>45660</v>
      </c>
      <c r="G596" s="108">
        <v>124524</v>
      </c>
      <c r="H596" s="37">
        <f t="shared" si="34"/>
        <v>29</v>
      </c>
      <c r="I596" s="37" t="str">
        <f t="shared" si="35"/>
        <v>1-90 DAYS</v>
      </c>
      <c r="J596" s="37" t="str">
        <f t="shared" si="36"/>
        <v>0-180 DAYS</v>
      </c>
    </row>
    <row r="597" spans="1:10" x14ac:dyDescent="0.35">
      <c r="A597" s="88" t="s">
        <v>1209</v>
      </c>
      <c r="B597" s="2" t="s">
        <v>790</v>
      </c>
      <c r="C597" s="18" t="s">
        <v>125</v>
      </c>
      <c r="D597" s="18" t="s">
        <v>57</v>
      </c>
      <c r="E597" s="18" t="s">
        <v>3263</v>
      </c>
      <c r="F597" s="19">
        <v>45660</v>
      </c>
      <c r="G597" s="108">
        <v>8205.7999999999993</v>
      </c>
      <c r="H597" s="37">
        <f t="shared" si="34"/>
        <v>29</v>
      </c>
      <c r="I597" s="37" t="str">
        <f t="shared" si="35"/>
        <v>1-90 DAYS</v>
      </c>
      <c r="J597" s="37" t="str">
        <f t="shared" si="36"/>
        <v>0-180 DAYS</v>
      </c>
    </row>
    <row r="598" spans="1:10" x14ac:dyDescent="0.35">
      <c r="A598" s="88" t="s">
        <v>1209</v>
      </c>
      <c r="B598" s="2" t="s">
        <v>790</v>
      </c>
      <c r="C598" s="18" t="s">
        <v>125</v>
      </c>
      <c r="D598" s="18" t="s">
        <v>57</v>
      </c>
      <c r="E598" s="18" t="s">
        <v>3264</v>
      </c>
      <c r="F598" s="19">
        <v>45660</v>
      </c>
      <c r="G598" s="108">
        <v>646619.76</v>
      </c>
      <c r="H598" s="37">
        <f t="shared" si="34"/>
        <v>29</v>
      </c>
      <c r="I598" s="37" t="str">
        <f t="shared" si="35"/>
        <v>1-90 DAYS</v>
      </c>
      <c r="J598" s="37" t="str">
        <f t="shared" si="36"/>
        <v>0-180 DAYS</v>
      </c>
    </row>
    <row r="599" spans="1:10" x14ac:dyDescent="0.35">
      <c r="A599" s="88" t="s">
        <v>1209</v>
      </c>
      <c r="B599" s="2" t="s">
        <v>790</v>
      </c>
      <c r="C599" s="18" t="s">
        <v>125</v>
      </c>
      <c r="D599" s="18" t="s">
        <v>57</v>
      </c>
      <c r="E599" s="18" t="s">
        <v>3265</v>
      </c>
      <c r="F599" s="19">
        <v>45661</v>
      </c>
      <c r="G599" s="108">
        <v>47749</v>
      </c>
      <c r="H599" s="37">
        <f t="shared" si="34"/>
        <v>28</v>
      </c>
      <c r="I599" s="37" t="str">
        <f t="shared" si="35"/>
        <v>1-90 DAYS</v>
      </c>
      <c r="J599" s="37" t="str">
        <f t="shared" si="36"/>
        <v>0-180 DAYS</v>
      </c>
    </row>
    <row r="600" spans="1:10" x14ac:dyDescent="0.35">
      <c r="A600" s="88" t="s">
        <v>1209</v>
      </c>
      <c r="B600" s="2" t="s">
        <v>790</v>
      </c>
      <c r="C600" s="18" t="s">
        <v>125</v>
      </c>
      <c r="D600" s="18" t="s">
        <v>57</v>
      </c>
      <c r="E600" s="18" t="s">
        <v>3266</v>
      </c>
      <c r="F600" s="19">
        <v>45661</v>
      </c>
      <c r="G600" s="108">
        <v>31951</v>
      </c>
      <c r="H600" s="37">
        <f t="shared" si="34"/>
        <v>28</v>
      </c>
      <c r="I600" s="37" t="str">
        <f t="shared" si="35"/>
        <v>1-90 DAYS</v>
      </c>
      <c r="J600" s="37" t="str">
        <f t="shared" si="36"/>
        <v>0-180 DAYS</v>
      </c>
    </row>
    <row r="601" spans="1:10" x14ac:dyDescent="0.35">
      <c r="A601" s="88" t="s">
        <v>1209</v>
      </c>
      <c r="B601" s="2" t="s">
        <v>790</v>
      </c>
      <c r="C601" s="18" t="s">
        <v>125</v>
      </c>
      <c r="D601" s="18" t="s">
        <v>57</v>
      </c>
      <c r="E601" s="18" t="s">
        <v>3267</v>
      </c>
      <c r="F601" s="19">
        <v>45661</v>
      </c>
      <c r="G601" s="108">
        <v>4923.68</v>
      </c>
      <c r="H601" s="37">
        <f t="shared" si="34"/>
        <v>28</v>
      </c>
      <c r="I601" s="37" t="str">
        <f t="shared" si="35"/>
        <v>1-90 DAYS</v>
      </c>
      <c r="J601" s="37" t="str">
        <f t="shared" si="36"/>
        <v>0-180 DAYS</v>
      </c>
    </row>
    <row r="602" spans="1:10" x14ac:dyDescent="0.35">
      <c r="A602" s="88" t="s">
        <v>1209</v>
      </c>
      <c r="B602" s="2" t="s">
        <v>790</v>
      </c>
      <c r="C602" s="18" t="s">
        <v>125</v>
      </c>
      <c r="D602" s="18" t="s">
        <v>57</v>
      </c>
      <c r="E602" s="18" t="s">
        <v>3268</v>
      </c>
      <c r="F602" s="19">
        <v>45661</v>
      </c>
      <c r="G602" s="108">
        <v>427832.62</v>
      </c>
      <c r="H602" s="37">
        <f t="shared" si="34"/>
        <v>28</v>
      </c>
      <c r="I602" s="37" t="str">
        <f t="shared" si="35"/>
        <v>1-90 DAYS</v>
      </c>
      <c r="J602" s="37" t="str">
        <f t="shared" si="36"/>
        <v>0-180 DAYS</v>
      </c>
    </row>
    <row r="603" spans="1:10" x14ac:dyDescent="0.35">
      <c r="A603" s="88" t="s">
        <v>1209</v>
      </c>
      <c r="B603" s="2" t="s">
        <v>790</v>
      </c>
      <c r="C603" s="18" t="s">
        <v>125</v>
      </c>
      <c r="D603" s="18" t="s">
        <v>57</v>
      </c>
      <c r="E603" s="18" t="s">
        <v>3269</v>
      </c>
      <c r="F603" s="19">
        <v>45661</v>
      </c>
      <c r="G603" s="108">
        <v>2712959.24</v>
      </c>
      <c r="H603" s="37">
        <f t="shared" si="34"/>
        <v>28</v>
      </c>
      <c r="I603" s="37" t="str">
        <f t="shared" si="35"/>
        <v>1-90 DAYS</v>
      </c>
      <c r="J603" s="37" t="str">
        <f t="shared" si="36"/>
        <v>0-180 DAYS</v>
      </c>
    </row>
    <row r="604" spans="1:10" x14ac:dyDescent="0.35">
      <c r="A604" s="88" t="s">
        <v>1209</v>
      </c>
      <c r="B604" s="2" t="s">
        <v>790</v>
      </c>
      <c r="C604" s="18" t="s">
        <v>125</v>
      </c>
      <c r="D604" s="18" t="s">
        <v>57</v>
      </c>
      <c r="E604" s="18" t="s">
        <v>3270</v>
      </c>
      <c r="F604" s="19">
        <v>45662</v>
      </c>
      <c r="G604" s="108">
        <v>282.36</v>
      </c>
      <c r="H604" s="37">
        <f t="shared" si="34"/>
        <v>27</v>
      </c>
      <c r="I604" s="37" t="str">
        <f t="shared" si="35"/>
        <v>1-90 DAYS</v>
      </c>
      <c r="J604" s="37" t="str">
        <f t="shared" si="36"/>
        <v>0-180 DAYS</v>
      </c>
    </row>
    <row r="605" spans="1:10" x14ac:dyDescent="0.35">
      <c r="A605" s="88" t="s">
        <v>1209</v>
      </c>
      <c r="B605" s="2" t="s">
        <v>790</v>
      </c>
      <c r="C605" s="18" t="s">
        <v>125</v>
      </c>
      <c r="D605" s="18" t="s">
        <v>57</v>
      </c>
      <c r="E605" s="18" t="s">
        <v>3271</v>
      </c>
      <c r="F605" s="19">
        <v>45662</v>
      </c>
      <c r="G605" s="108">
        <v>5263.52</v>
      </c>
      <c r="H605" s="37">
        <f t="shared" si="34"/>
        <v>27</v>
      </c>
      <c r="I605" s="37" t="str">
        <f t="shared" si="35"/>
        <v>1-90 DAYS</v>
      </c>
      <c r="J605" s="37" t="str">
        <f t="shared" si="36"/>
        <v>0-180 DAYS</v>
      </c>
    </row>
    <row r="606" spans="1:10" x14ac:dyDescent="0.35">
      <c r="A606" s="88" t="s">
        <v>1209</v>
      </c>
      <c r="B606" s="2" t="s">
        <v>790</v>
      </c>
      <c r="C606" s="18" t="s">
        <v>125</v>
      </c>
      <c r="D606" s="18" t="s">
        <v>57</v>
      </c>
      <c r="E606" s="18" t="s">
        <v>3272</v>
      </c>
      <c r="F606" s="19">
        <v>45662</v>
      </c>
      <c r="G606" s="108">
        <v>481648.46</v>
      </c>
      <c r="H606" s="37">
        <f t="shared" si="34"/>
        <v>27</v>
      </c>
      <c r="I606" s="37" t="str">
        <f t="shared" si="35"/>
        <v>1-90 DAYS</v>
      </c>
      <c r="J606" s="37" t="str">
        <f t="shared" si="36"/>
        <v>0-180 DAYS</v>
      </c>
    </row>
    <row r="607" spans="1:10" x14ac:dyDescent="0.35">
      <c r="A607" s="88" t="s">
        <v>1209</v>
      </c>
      <c r="B607" s="2" t="s">
        <v>790</v>
      </c>
      <c r="C607" s="18" t="s">
        <v>125</v>
      </c>
      <c r="D607" s="18" t="s">
        <v>57</v>
      </c>
      <c r="E607" s="18" t="s">
        <v>3273</v>
      </c>
      <c r="F607" s="19">
        <v>45663</v>
      </c>
      <c r="G607" s="108">
        <v>658247.04</v>
      </c>
      <c r="H607" s="37">
        <f t="shared" si="34"/>
        <v>26</v>
      </c>
      <c r="I607" s="37" t="str">
        <f t="shared" si="35"/>
        <v>1-90 DAYS</v>
      </c>
      <c r="J607" s="37" t="str">
        <f t="shared" si="36"/>
        <v>0-180 DAYS</v>
      </c>
    </row>
    <row r="608" spans="1:10" x14ac:dyDescent="0.35">
      <c r="A608" s="88" t="s">
        <v>1209</v>
      </c>
      <c r="B608" s="2" t="s">
        <v>790</v>
      </c>
      <c r="C608" s="18" t="s">
        <v>125</v>
      </c>
      <c r="D608" s="18" t="s">
        <v>57</v>
      </c>
      <c r="E608" s="18" t="s">
        <v>3274</v>
      </c>
      <c r="F608" s="19">
        <v>45663</v>
      </c>
      <c r="G608" s="108">
        <v>90518.51</v>
      </c>
      <c r="H608" s="37">
        <f t="shared" si="34"/>
        <v>26</v>
      </c>
      <c r="I608" s="37" t="str">
        <f t="shared" si="35"/>
        <v>1-90 DAYS</v>
      </c>
      <c r="J608" s="37" t="str">
        <f t="shared" si="36"/>
        <v>0-180 DAYS</v>
      </c>
    </row>
    <row r="609" spans="1:10" x14ac:dyDescent="0.35">
      <c r="A609" s="88" t="s">
        <v>1209</v>
      </c>
      <c r="B609" s="2" t="s">
        <v>790</v>
      </c>
      <c r="C609" s="18" t="s">
        <v>125</v>
      </c>
      <c r="D609" s="18" t="s">
        <v>57</v>
      </c>
      <c r="E609" s="18" t="s">
        <v>3275</v>
      </c>
      <c r="F609" s="19">
        <v>45663</v>
      </c>
      <c r="G609" s="108">
        <v>10045.08</v>
      </c>
      <c r="H609" s="37">
        <f t="shared" si="34"/>
        <v>26</v>
      </c>
      <c r="I609" s="37" t="str">
        <f>IF(H609&lt;91,"1-90 DAYS",IF(#REF!&lt;121,"91-120DAYS",IF(#REF!&lt;181,"121-180 DAYS","More than 180 Days")))</f>
        <v>1-90 DAYS</v>
      </c>
      <c r="J609" s="37" t="str">
        <f t="shared" si="36"/>
        <v>0-180 DAYS</v>
      </c>
    </row>
    <row r="610" spans="1:10" x14ac:dyDescent="0.35">
      <c r="A610" s="88" t="s">
        <v>1209</v>
      </c>
      <c r="B610" s="2" t="s">
        <v>790</v>
      </c>
      <c r="C610" s="18" t="s">
        <v>125</v>
      </c>
      <c r="D610" s="18" t="s">
        <v>57</v>
      </c>
      <c r="E610" s="18" t="s">
        <v>3276</v>
      </c>
      <c r="F610" s="19">
        <v>45664</v>
      </c>
      <c r="G610" s="108">
        <v>11714.48</v>
      </c>
      <c r="H610" s="37">
        <f t="shared" si="34"/>
        <v>25</v>
      </c>
      <c r="I610" s="37" t="str">
        <f>IF(H610&lt;91,"1-90 DAYS",IF(H59&lt;121,"91-120DAYS",IF(H59&lt;181,"121-180 DAYS","More than 180 Days")))</f>
        <v>1-90 DAYS</v>
      </c>
      <c r="J610" s="37" t="str">
        <f t="shared" si="36"/>
        <v>0-180 DAYS</v>
      </c>
    </row>
    <row r="611" spans="1:10" x14ac:dyDescent="0.35">
      <c r="A611" s="88" t="s">
        <v>1209</v>
      </c>
      <c r="B611" s="2" t="s">
        <v>790</v>
      </c>
      <c r="C611" s="18" t="s">
        <v>125</v>
      </c>
      <c r="D611" s="18" t="s">
        <v>57</v>
      </c>
      <c r="E611" s="18" t="s">
        <v>3277</v>
      </c>
      <c r="F611" s="19">
        <v>45664</v>
      </c>
      <c r="G611" s="108">
        <v>1827383.09</v>
      </c>
      <c r="H611" s="37">
        <f t="shared" si="34"/>
        <v>25</v>
      </c>
      <c r="I611" s="37" t="str">
        <f>IF(H611&lt;91,"1-90 DAYS",IF(H60&lt;121,"91-120DAYS",IF(H60&lt;181,"121-180 DAYS","More than 180 Days")))</f>
        <v>1-90 DAYS</v>
      </c>
      <c r="J611" s="37" t="str">
        <f t="shared" si="36"/>
        <v>0-180 DAYS</v>
      </c>
    </row>
    <row r="612" spans="1:10" x14ac:dyDescent="0.35">
      <c r="A612" s="88" t="s">
        <v>1209</v>
      </c>
      <c r="B612" s="2" t="s">
        <v>790</v>
      </c>
      <c r="C612" s="18" t="s">
        <v>125</v>
      </c>
      <c r="D612" s="18" t="s">
        <v>57</v>
      </c>
      <c r="E612" s="18" t="s">
        <v>3278</v>
      </c>
      <c r="F612" s="19">
        <v>45664</v>
      </c>
      <c r="G612" s="108">
        <v>1022890.32</v>
      </c>
      <c r="H612" s="37">
        <f t="shared" si="34"/>
        <v>25</v>
      </c>
      <c r="I612" s="37" t="str">
        <f>IF(H612&lt;91,"1-90 DAYS",IF(H61&lt;121,"91-120DAYS",IF(H61&lt;181,"121-180 DAYS","More than 180 Days")))</f>
        <v>1-90 DAYS</v>
      </c>
      <c r="J612" s="37" t="str">
        <f t="shared" si="36"/>
        <v>0-180 DAYS</v>
      </c>
    </row>
    <row r="613" spans="1:10" x14ac:dyDescent="0.35">
      <c r="A613" s="88" t="s">
        <v>1209</v>
      </c>
      <c r="B613" s="2" t="s">
        <v>790</v>
      </c>
      <c r="C613" s="18" t="s">
        <v>125</v>
      </c>
      <c r="D613" s="18" t="s">
        <v>57</v>
      </c>
      <c r="E613" s="18" t="s">
        <v>3279</v>
      </c>
      <c r="F613" s="19">
        <v>45664</v>
      </c>
      <c r="G613" s="108">
        <v>5659</v>
      </c>
      <c r="H613" s="37">
        <f t="shared" si="34"/>
        <v>25</v>
      </c>
      <c r="I613" s="37" t="str">
        <f>IF(H613&lt;91,"1-90 DAYS",IF(H62&lt;121,"91-120DAYS",IF(H62&lt;181,"121-180 DAYS","More than 180 Days")))</f>
        <v>1-90 DAYS</v>
      </c>
      <c r="J613" s="37" t="str">
        <f t="shared" si="36"/>
        <v>0-180 DAYS</v>
      </c>
    </row>
    <row r="614" spans="1:10" x14ac:dyDescent="0.35">
      <c r="A614" s="88" t="s">
        <v>1209</v>
      </c>
      <c r="B614" s="2" t="s">
        <v>790</v>
      </c>
      <c r="C614" s="18" t="s">
        <v>125</v>
      </c>
      <c r="D614" s="18" t="s">
        <v>57</v>
      </c>
      <c r="E614" s="18" t="s">
        <v>3280</v>
      </c>
      <c r="F614" s="19">
        <v>45664</v>
      </c>
      <c r="G614" s="108">
        <v>364163.23</v>
      </c>
      <c r="H614" s="37">
        <f t="shared" si="34"/>
        <v>25</v>
      </c>
      <c r="I614" s="37" t="str">
        <f>IF(H614&lt;91,"1-90 DAYS",IF(H63&lt;121,"91-120DAYS",IF(H63&lt;181,"121-180 DAYS","More than 180 Days")))</f>
        <v>1-90 DAYS</v>
      </c>
      <c r="J614" s="37" t="str">
        <f t="shared" si="36"/>
        <v>0-180 DAYS</v>
      </c>
    </row>
    <row r="615" spans="1:10" x14ac:dyDescent="0.35">
      <c r="A615" s="88" t="s">
        <v>1209</v>
      </c>
      <c r="B615" s="2" t="s">
        <v>790</v>
      </c>
      <c r="C615" s="18" t="s">
        <v>125</v>
      </c>
      <c r="D615" s="18" t="s">
        <v>57</v>
      </c>
      <c r="E615" s="18" t="s">
        <v>3281</v>
      </c>
      <c r="F615" s="19">
        <v>45664</v>
      </c>
      <c r="G615" s="108">
        <v>3282.12</v>
      </c>
      <c r="H615" s="37">
        <f t="shared" si="34"/>
        <v>25</v>
      </c>
      <c r="I615" s="37" t="str">
        <f>IF(H615&lt;91,"1-90 DAYS",IF(#REF!&lt;121,"91-120DAYS",IF(#REF!&lt;181,"121-180 DAYS","More than 180 Days")))</f>
        <v>1-90 DAYS</v>
      </c>
      <c r="J615" s="37" t="str">
        <f t="shared" si="36"/>
        <v>0-180 DAYS</v>
      </c>
    </row>
    <row r="616" spans="1:10" x14ac:dyDescent="0.35">
      <c r="A616" s="88" t="s">
        <v>1209</v>
      </c>
      <c r="B616" s="2" t="s">
        <v>790</v>
      </c>
      <c r="C616" s="18" t="s">
        <v>125</v>
      </c>
      <c r="D616" s="18" t="s">
        <v>57</v>
      </c>
      <c r="E616" s="18" t="s">
        <v>3282</v>
      </c>
      <c r="F616" s="19">
        <v>45665</v>
      </c>
      <c r="G616" s="108">
        <v>239000.26</v>
      </c>
      <c r="H616" s="37">
        <f t="shared" si="34"/>
        <v>24</v>
      </c>
      <c r="I616" s="37" t="str">
        <f>IF(H616&lt;91,"1-90 DAYS",IF(H64&lt;121,"91-120DAYS",IF(H64&lt;181,"121-180 DAYS","More than 180 Days")))</f>
        <v>1-90 DAYS</v>
      </c>
      <c r="J616" s="37" t="str">
        <f t="shared" si="36"/>
        <v>0-180 DAYS</v>
      </c>
    </row>
    <row r="617" spans="1:10" x14ac:dyDescent="0.35">
      <c r="A617" s="88" t="s">
        <v>1209</v>
      </c>
      <c r="B617" s="2" t="s">
        <v>790</v>
      </c>
      <c r="C617" s="18" t="s">
        <v>125</v>
      </c>
      <c r="D617" s="18" t="s">
        <v>57</v>
      </c>
      <c r="E617" s="18" t="s">
        <v>3283</v>
      </c>
      <c r="F617" s="19">
        <v>45665</v>
      </c>
      <c r="G617" s="108">
        <v>2716.72</v>
      </c>
      <c r="H617" s="37">
        <f t="shared" si="34"/>
        <v>24</v>
      </c>
      <c r="I617" s="37" t="str">
        <f>IF(H617&lt;91,"1-90 DAYS",IF(#REF!&lt;121,"91-120DAYS",IF(#REF!&lt;181,"121-180 DAYS","More than 180 Days")))</f>
        <v>1-90 DAYS</v>
      </c>
      <c r="J617" s="37" t="str">
        <f t="shared" si="36"/>
        <v>0-180 DAYS</v>
      </c>
    </row>
    <row r="618" spans="1:10" x14ac:dyDescent="0.35">
      <c r="A618" s="88" t="s">
        <v>1209</v>
      </c>
      <c r="B618" s="2" t="s">
        <v>790</v>
      </c>
      <c r="C618" s="18" t="s">
        <v>125</v>
      </c>
      <c r="D618" s="18" t="s">
        <v>57</v>
      </c>
      <c r="E618" s="18" t="s">
        <v>3284</v>
      </c>
      <c r="F618" s="19">
        <v>45666</v>
      </c>
      <c r="G618" s="108">
        <v>674839.54</v>
      </c>
      <c r="H618" s="37">
        <f t="shared" si="34"/>
        <v>23</v>
      </c>
      <c r="I618" s="37" t="str">
        <f>IF(H618&lt;91,"1-90 DAYS",IF(#REF!&lt;121,"91-120DAYS",IF(#REF!&lt;181,"121-180 DAYS","More than 180 Days")))</f>
        <v>1-90 DAYS</v>
      </c>
      <c r="J618" s="37" t="str">
        <f t="shared" si="36"/>
        <v>0-180 DAYS</v>
      </c>
    </row>
    <row r="619" spans="1:10" x14ac:dyDescent="0.35">
      <c r="A619" s="88" t="s">
        <v>1209</v>
      </c>
      <c r="B619" s="2" t="s">
        <v>790</v>
      </c>
      <c r="C619" s="18" t="s">
        <v>125</v>
      </c>
      <c r="D619" s="18" t="s">
        <v>57</v>
      </c>
      <c r="E619" s="18" t="s">
        <v>3285</v>
      </c>
      <c r="F619" s="19">
        <v>45666</v>
      </c>
      <c r="G619" s="108">
        <v>8715.56</v>
      </c>
      <c r="H619" s="37">
        <f t="shared" si="34"/>
        <v>23</v>
      </c>
      <c r="I619" s="37" t="str">
        <f>IF(H619&lt;91,"1-90 DAYS",IF(H65&lt;121,"91-120DAYS",IF(H65&lt;181,"121-180 DAYS","More than 180 Days")))</f>
        <v>1-90 DAYS</v>
      </c>
      <c r="J619" s="37" t="str">
        <f t="shared" si="36"/>
        <v>0-180 DAYS</v>
      </c>
    </row>
    <row r="620" spans="1:10" x14ac:dyDescent="0.35">
      <c r="A620" s="88" t="s">
        <v>1209</v>
      </c>
      <c r="B620" s="2" t="s">
        <v>790</v>
      </c>
      <c r="C620" s="18" t="s">
        <v>125</v>
      </c>
      <c r="D620" s="18" t="s">
        <v>57</v>
      </c>
      <c r="E620" s="18" t="s">
        <v>3286</v>
      </c>
      <c r="F620" s="19">
        <v>45667</v>
      </c>
      <c r="G620" s="108">
        <v>532014.29</v>
      </c>
      <c r="H620" s="37">
        <f t="shared" si="34"/>
        <v>22</v>
      </c>
      <c r="I620" s="37" t="str">
        <f>IF(H620&lt;91,"1-90 DAYS",IF(H66&lt;121,"91-120DAYS",IF(H66&lt;181,"121-180 DAYS","More than 180 Days")))</f>
        <v>1-90 DAYS</v>
      </c>
      <c r="J620" s="37" t="str">
        <f t="shared" si="36"/>
        <v>0-180 DAYS</v>
      </c>
    </row>
    <row r="621" spans="1:10" x14ac:dyDescent="0.35">
      <c r="A621" s="88" t="s">
        <v>1209</v>
      </c>
      <c r="B621" s="2" t="s">
        <v>790</v>
      </c>
      <c r="C621" s="18" t="s">
        <v>125</v>
      </c>
      <c r="D621" s="18" t="s">
        <v>57</v>
      </c>
      <c r="E621" s="18" t="s">
        <v>3287</v>
      </c>
      <c r="F621" s="19">
        <v>45667</v>
      </c>
      <c r="G621" s="108">
        <v>5263.52</v>
      </c>
      <c r="H621" s="37">
        <f t="shared" si="34"/>
        <v>22</v>
      </c>
      <c r="I621" s="37" t="str">
        <f>IF(H621&lt;91,"1-90 DAYS",IF(#REF!&lt;121,"91-120DAYS",IF(#REF!&lt;181,"121-180 DAYS","More than 180 Days")))</f>
        <v>1-90 DAYS</v>
      </c>
      <c r="J621" s="37" t="str">
        <f t="shared" si="36"/>
        <v>0-180 DAYS</v>
      </c>
    </row>
    <row r="622" spans="1:10" x14ac:dyDescent="0.35">
      <c r="A622" s="88" t="s">
        <v>1209</v>
      </c>
      <c r="B622" s="2" t="s">
        <v>790</v>
      </c>
      <c r="C622" s="18" t="s">
        <v>125</v>
      </c>
      <c r="D622" s="18" t="s">
        <v>57</v>
      </c>
      <c r="E622" s="18" t="s">
        <v>3288</v>
      </c>
      <c r="F622" s="19">
        <v>45668</v>
      </c>
      <c r="G622" s="108">
        <v>413744.6</v>
      </c>
      <c r="H622" s="37">
        <f t="shared" si="34"/>
        <v>21</v>
      </c>
      <c r="I622" s="37" t="str">
        <f>IF(H622&lt;91,"1-90 DAYS",IF(#REF!&lt;121,"91-120DAYS",IF(#REF!&lt;181,"121-180 DAYS","More than 180 Days")))</f>
        <v>1-90 DAYS</v>
      </c>
      <c r="J622" s="37" t="str">
        <f t="shared" si="36"/>
        <v>0-180 DAYS</v>
      </c>
    </row>
    <row r="623" spans="1:10" x14ac:dyDescent="0.35">
      <c r="A623" s="88" t="s">
        <v>1209</v>
      </c>
      <c r="B623" s="2" t="s">
        <v>790</v>
      </c>
      <c r="C623" s="18" t="s">
        <v>125</v>
      </c>
      <c r="D623" s="18" t="s">
        <v>57</v>
      </c>
      <c r="E623" s="18" t="s">
        <v>3289</v>
      </c>
      <c r="F623" s="19">
        <v>45668</v>
      </c>
      <c r="G623" s="108">
        <v>2805.22</v>
      </c>
      <c r="H623" s="37">
        <f t="shared" si="34"/>
        <v>21</v>
      </c>
      <c r="I623" s="37" t="str">
        <f>IF(H623&lt;91,"1-90 DAYS",IF(#REF!&lt;121,"91-120DAYS",IF(#REF!&lt;181,"121-180 DAYS","More than 180 Days")))</f>
        <v>1-90 DAYS</v>
      </c>
      <c r="J623" s="37" t="str">
        <f t="shared" si="36"/>
        <v>0-180 DAYS</v>
      </c>
    </row>
    <row r="624" spans="1:10" x14ac:dyDescent="0.35">
      <c r="A624" s="88" t="s">
        <v>1209</v>
      </c>
      <c r="B624" s="2" t="s">
        <v>790</v>
      </c>
      <c r="C624" s="18" t="s">
        <v>125</v>
      </c>
      <c r="D624" s="18" t="s">
        <v>57</v>
      </c>
      <c r="E624" s="18" t="s">
        <v>3290</v>
      </c>
      <c r="F624" s="19">
        <v>45668</v>
      </c>
      <c r="G624" s="108">
        <v>28403.62</v>
      </c>
      <c r="H624" s="37">
        <f t="shared" si="34"/>
        <v>21</v>
      </c>
      <c r="I624" s="37" t="str">
        <f t="shared" ref="I624:I630" si="37">IF(H624&lt;91,"1-90 DAYS",IF(H67&lt;121,"91-120DAYS",IF(H67&lt;181,"121-180 DAYS","More than 180 Days")))</f>
        <v>1-90 DAYS</v>
      </c>
      <c r="J624" s="37" t="str">
        <f t="shared" si="36"/>
        <v>0-180 DAYS</v>
      </c>
    </row>
    <row r="625" spans="1:10" x14ac:dyDescent="0.35">
      <c r="A625" s="88" t="s">
        <v>1209</v>
      </c>
      <c r="B625" s="2" t="s">
        <v>790</v>
      </c>
      <c r="C625" s="18" t="s">
        <v>125</v>
      </c>
      <c r="D625" s="18" t="s">
        <v>57</v>
      </c>
      <c r="E625" s="18" t="s">
        <v>1320</v>
      </c>
      <c r="F625" s="19">
        <v>45668</v>
      </c>
      <c r="G625" s="108">
        <v>44786.239999999998</v>
      </c>
      <c r="H625" s="37">
        <f t="shared" si="34"/>
        <v>21</v>
      </c>
      <c r="I625" s="37" t="str">
        <f t="shared" si="37"/>
        <v>1-90 DAYS</v>
      </c>
      <c r="J625" s="37" t="str">
        <f t="shared" si="36"/>
        <v>0-180 DAYS</v>
      </c>
    </row>
    <row r="626" spans="1:10" x14ac:dyDescent="0.35">
      <c r="A626" s="88" t="s">
        <v>1209</v>
      </c>
      <c r="B626" s="2" t="s">
        <v>790</v>
      </c>
      <c r="C626" s="18" t="s">
        <v>125</v>
      </c>
      <c r="D626" s="18" t="s">
        <v>57</v>
      </c>
      <c r="E626" s="18" t="s">
        <v>3291</v>
      </c>
      <c r="F626" s="19">
        <v>45668</v>
      </c>
      <c r="G626" s="108">
        <v>276445.93</v>
      </c>
      <c r="H626" s="37">
        <f t="shared" si="34"/>
        <v>21</v>
      </c>
      <c r="I626" s="37" t="str">
        <f t="shared" si="37"/>
        <v>1-90 DAYS</v>
      </c>
      <c r="J626" s="37" t="str">
        <f t="shared" si="36"/>
        <v>0-180 DAYS</v>
      </c>
    </row>
    <row r="627" spans="1:10" x14ac:dyDescent="0.35">
      <c r="A627" s="88" t="s">
        <v>1209</v>
      </c>
      <c r="B627" s="2" t="s">
        <v>790</v>
      </c>
      <c r="C627" s="18" t="s">
        <v>125</v>
      </c>
      <c r="D627" s="18" t="s">
        <v>57</v>
      </c>
      <c r="E627" s="18" t="s">
        <v>3292</v>
      </c>
      <c r="F627" s="19">
        <v>45668</v>
      </c>
      <c r="G627" s="108">
        <v>2546.8000000000002</v>
      </c>
      <c r="H627" s="37">
        <f t="shared" si="34"/>
        <v>21</v>
      </c>
      <c r="I627" s="37" t="str">
        <f t="shared" si="37"/>
        <v>1-90 DAYS</v>
      </c>
      <c r="J627" s="37" t="str">
        <f t="shared" si="36"/>
        <v>0-180 DAYS</v>
      </c>
    </row>
    <row r="628" spans="1:10" x14ac:dyDescent="0.35">
      <c r="A628" s="88" t="s">
        <v>1209</v>
      </c>
      <c r="B628" s="2" t="s">
        <v>790</v>
      </c>
      <c r="C628" s="18" t="s">
        <v>125</v>
      </c>
      <c r="D628" s="18" t="s">
        <v>57</v>
      </c>
      <c r="E628" s="18" t="s">
        <v>3293</v>
      </c>
      <c r="F628" s="19">
        <v>45669</v>
      </c>
      <c r="G628" s="108">
        <v>31951</v>
      </c>
      <c r="H628" s="37">
        <f t="shared" si="34"/>
        <v>20</v>
      </c>
      <c r="I628" s="37" t="str">
        <f t="shared" si="37"/>
        <v>1-90 DAYS</v>
      </c>
      <c r="J628" s="37" t="str">
        <f t="shared" si="36"/>
        <v>0-180 DAYS</v>
      </c>
    </row>
    <row r="629" spans="1:10" x14ac:dyDescent="0.35">
      <c r="A629" s="88" t="s">
        <v>1209</v>
      </c>
      <c r="B629" s="2" t="s">
        <v>790</v>
      </c>
      <c r="C629" s="18" t="s">
        <v>125</v>
      </c>
      <c r="D629" s="18" t="s">
        <v>57</v>
      </c>
      <c r="E629" s="18" t="s">
        <v>3294</v>
      </c>
      <c r="F629" s="19">
        <v>45669</v>
      </c>
      <c r="G629" s="108">
        <v>320802.75</v>
      </c>
      <c r="H629" s="37">
        <f t="shared" si="34"/>
        <v>20</v>
      </c>
      <c r="I629" s="37" t="str">
        <f t="shared" si="37"/>
        <v>1-90 DAYS</v>
      </c>
      <c r="J629" s="37" t="str">
        <f t="shared" si="36"/>
        <v>0-180 DAYS</v>
      </c>
    </row>
    <row r="630" spans="1:10" x14ac:dyDescent="0.35">
      <c r="A630" s="88" t="s">
        <v>1209</v>
      </c>
      <c r="B630" s="2" t="s">
        <v>790</v>
      </c>
      <c r="C630" s="18" t="s">
        <v>125</v>
      </c>
      <c r="D630" s="18" t="s">
        <v>57</v>
      </c>
      <c r="E630" s="18" t="s">
        <v>3295</v>
      </c>
      <c r="F630" s="19">
        <v>45669</v>
      </c>
      <c r="G630" s="108">
        <v>530713.76</v>
      </c>
      <c r="H630" s="37">
        <f t="shared" si="34"/>
        <v>20</v>
      </c>
      <c r="I630" s="37" t="str">
        <f t="shared" si="37"/>
        <v>1-90 DAYS</v>
      </c>
      <c r="J630" s="37" t="str">
        <f t="shared" si="36"/>
        <v>0-180 DAYS</v>
      </c>
    </row>
    <row r="631" spans="1:10" x14ac:dyDescent="0.35">
      <c r="A631" s="88" t="s">
        <v>1209</v>
      </c>
      <c r="B631" s="2" t="s">
        <v>790</v>
      </c>
      <c r="C631" s="18" t="s">
        <v>125</v>
      </c>
      <c r="D631" s="18" t="s">
        <v>57</v>
      </c>
      <c r="E631" s="18" t="s">
        <v>3296</v>
      </c>
      <c r="F631" s="19">
        <v>45669</v>
      </c>
      <c r="G631" s="108">
        <v>4130.72</v>
      </c>
      <c r="H631" s="37">
        <f t="shared" si="34"/>
        <v>20</v>
      </c>
      <c r="I631" s="37" t="str">
        <f>IF(H631&lt;91,"1-90 DAYS",IF(#REF!&lt;121,"91-120DAYS",IF(#REF!&lt;181,"121-180 DAYS","More than 180 Days")))</f>
        <v>1-90 DAYS</v>
      </c>
      <c r="J631" s="37" t="str">
        <f t="shared" si="36"/>
        <v>0-180 DAYS</v>
      </c>
    </row>
    <row r="632" spans="1:10" x14ac:dyDescent="0.35">
      <c r="A632" s="88" t="s">
        <v>1209</v>
      </c>
      <c r="B632" s="2" t="s">
        <v>790</v>
      </c>
      <c r="C632" s="18" t="s">
        <v>125</v>
      </c>
      <c r="D632" s="18" t="s">
        <v>57</v>
      </c>
      <c r="E632" s="18" t="s">
        <v>3297</v>
      </c>
      <c r="F632" s="19">
        <v>45670</v>
      </c>
      <c r="G632" s="108">
        <v>261176.7</v>
      </c>
      <c r="H632" s="37">
        <f t="shared" si="34"/>
        <v>19</v>
      </c>
      <c r="I632" s="37" t="str">
        <f t="shared" ref="I632:I644" si="38">IF(H632&lt;91,"1-90 DAYS",IF(H74&lt;121,"91-120DAYS",IF(H74&lt;181,"121-180 DAYS","More than 180 Days")))</f>
        <v>1-90 DAYS</v>
      </c>
      <c r="J632" s="37" t="str">
        <f t="shared" si="36"/>
        <v>0-180 DAYS</v>
      </c>
    </row>
    <row r="633" spans="1:10" x14ac:dyDescent="0.35">
      <c r="A633" s="88" t="s">
        <v>1209</v>
      </c>
      <c r="B633" s="2" t="s">
        <v>790</v>
      </c>
      <c r="C633" s="18" t="s">
        <v>125</v>
      </c>
      <c r="D633" s="18" t="s">
        <v>57</v>
      </c>
      <c r="E633" s="18" t="s">
        <v>3298</v>
      </c>
      <c r="F633" s="19">
        <v>45670</v>
      </c>
      <c r="G633" s="108">
        <v>613008.39</v>
      </c>
      <c r="H633" s="37">
        <f t="shared" si="34"/>
        <v>19</v>
      </c>
      <c r="I633" s="37" t="str">
        <f t="shared" si="38"/>
        <v>1-90 DAYS</v>
      </c>
      <c r="J633" s="37" t="str">
        <f t="shared" si="36"/>
        <v>0-180 DAYS</v>
      </c>
    </row>
    <row r="634" spans="1:10" x14ac:dyDescent="0.35">
      <c r="A634" s="88" t="s">
        <v>1209</v>
      </c>
      <c r="B634" s="2" t="s">
        <v>790</v>
      </c>
      <c r="C634" s="18" t="s">
        <v>125</v>
      </c>
      <c r="D634" s="18" t="s">
        <v>57</v>
      </c>
      <c r="E634" s="18" t="s">
        <v>3299</v>
      </c>
      <c r="F634" s="19">
        <v>45670</v>
      </c>
      <c r="G634" s="108">
        <v>6904.08</v>
      </c>
      <c r="H634" s="37">
        <f t="shared" si="34"/>
        <v>19</v>
      </c>
      <c r="I634" s="37" t="str">
        <f t="shared" si="38"/>
        <v>1-90 DAYS</v>
      </c>
      <c r="J634" s="37" t="str">
        <f t="shared" si="36"/>
        <v>0-180 DAYS</v>
      </c>
    </row>
    <row r="635" spans="1:10" x14ac:dyDescent="0.35">
      <c r="A635" s="88" t="s">
        <v>1209</v>
      </c>
      <c r="B635" s="2" t="s">
        <v>790</v>
      </c>
      <c r="C635" s="18" t="s">
        <v>125</v>
      </c>
      <c r="D635" s="18" t="s">
        <v>57</v>
      </c>
      <c r="E635" s="18" t="s">
        <v>3300</v>
      </c>
      <c r="F635" s="19">
        <v>45670</v>
      </c>
      <c r="G635" s="108">
        <v>126916.16</v>
      </c>
      <c r="H635" s="37">
        <f t="shared" si="34"/>
        <v>19</v>
      </c>
      <c r="I635" s="37" t="str">
        <f t="shared" si="38"/>
        <v>1-90 DAYS</v>
      </c>
      <c r="J635" s="37" t="str">
        <f t="shared" si="36"/>
        <v>0-180 DAYS</v>
      </c>
    </row>
    <row r="636" spans="1:10" x14ac:dyDescent="0.35">
      <c r="A636" s="88" t="s">
        <v>1209</v>
      </c>
      <c r="B636" s="2" t="s">
        <v>790</v>
      </c>
      <c r="C636" s="18" t="s">
        <v>125</v>
      </c>
      <c r="D636" s="18" t="s">
        <v>57</v>
      </c>
      <c r="E636" s="18" t="s">
        <v>3301</v>
      </c>
      <c r="F636" s="19">
        <v>45671</v>
      </c>
      <c r="G636" s="108">
        <v>1278183.72</v>
      </c>
      <c r="H636" s="37">
        <f t="shared" si="34"/>
        <v>18</v>
      </c>
      <c r="I636" s="37" t="str">
        <f t="shared" si="38"/>
        <v>1-90 DAYS</v>
      </c>
      <c r="J636" s="37" t="str">
        <f t="shared" si="36"/>
        <v>0-180 DAYS</v>
      </c>
    </row>
    <row r="637" spans="1:10" x14ac:dyDescent="0.35">
      <c r="A637" s="88" t="s">
        <v>1209</v>
      </c>
      <c r="B637" s="2" t="s">
        <v>790</v>
      </c>
      <c r="C637" s="18" t="s">
        <v>125</v>
      </c>
      <c r="D637" s="18" t="s">
        <v>57</v>
      </c>
      <c r="E637" s="18" t="s">
        <v>3302</v>
      </c>
      <c r="F637" s="19">
        <v>45671</v>
      </c>
      <c r="G637" s="108">
        <v>7979.24</v>
      </c>
      <c r="H637" s="37">
        <f t="shared" si="34"/>
        <v>18</v>
      </c>
      <c r="I637" s="37" t="str">
        <f t="shared" si="38"/>
        <v>1-90 DAYS</v>
      </c>
      <c r="J637" s="37" t="str">
        <f t="shared" si="36"/>
        <v>0-180 DAYS</v>
      </c>
    </row>
    <row r="638" spans="1:10" x14ac:dyDescent="0.35">
      <c r="A638" s="88" t="s">
        <v>1209</v>
      </c>
      <c r="B638" s="2" t="s">
        <v>790</v>
      </c>
      <c r="C638" s="18" t="s">
        <v>125</v>
      </c>
      <c r="D638" s="18" t="s">
        <v>57</v>
      </c>
      <c r="E638" s="18" t="s">
        <v>3303</v>
      </c>
      <c r="F638" s="19">
        <v>45672</v>
      </c>
      <c r="G638" s="108">
        <v>117027.33</v>
      </c>
      <c r="H638" s="37">
        <f t="shared" si="34"/>
        <v>17</v>
      </c>
      <c r="I638" s="37" t="str">
        <f t="shared" si="38"/>
        <v>1-90 DAYS</v>
      </c>
      <c r="J638" s="37" t="str">
        <f t="shared" si="36"/>
        <v>0-180 DAYS</v>
      </c>
    </row>
    <row r="639" spans="1:10" x14ac:dyDescent="0.35">
      <c r="A639" s="88" t="s">
        <v>1209</v>
      </c>
      <c r="B639" s="2" t="s">
        <v>790</v>
      </c>
      <c r="C639" s="18" t="s">
        <v>125</v>
      </c>
      <c r="D639" s="18" t="s">
        <v>57</v>
      </c>
      <c r="E639" s="18" t="s">
        <v>3304</v>
      </c>
      <c r="F639" s="19">
        <v>45672</v>
      </c>
      <c r="G639" s="108">
        <v>272827.42</v>
      </c>
      <c r="H639" s="37">
        <f t="shared" si="34"/>
        <v>17</v>
      </c>
      <c r="I639" s="37" t="str">
        <f t="shared" si="38"/>
        <v>1-90 DAYS</v>
      </c>
      <c r="J639" s="37" t="str">
        <f t="shared" si="36"/>
        <v>0-180 DAYS</v>
      </c>
    </row>
    <row r="640" spans="1:10" x14ac:dyDescent="0.35">
      <c r="A640" s="88" t="s">
        <v>1209</v>
      </c>
      <c r="B640" s="2" t="s">
        <v>790</v>
      </c>
      <c r="C640" s="18" t="s">
        <v>125</v>
      </c>
      <c r="D640" s="18" t="s">
        <v>57</v>
      </c>
      <c r="E640" s="18" t="s">
        <v>3305</v>
      </c>
      <c r="F640" s="19">
        <v>45672</v>
      </c>
      <c r="G640" s="108">
        <v>3452.04</v>
      </c>
      <c r="H640" s="37">
        <f t="shared" si="34"/>
        <v>17</v>
      </c>
      <c r="I640" s="37" t="str">
        <f t="shared" si="38"/>
        <v>1-90 DAYS</v>
      </c>
      <c r="J640" s="37" t="str">
        <f t="shared" si="36"/>
        <v>0-180 DAYS</v>
      </c>
    </row>
    <row r="641" spans="1:10" x14ac:dyDescent="0.35">
      <c r="A641" s="88" t="s">
        <v>1209</v>
      </c>
      <c r="B641" s="2" t="s">
        <v>790</v>
      </c>
      <c r="C641" s="18" t="s">
        <v>125</v>
      </c>
      <c r="D641" s="18" t="s">
        <v>57</v>
      </c>
      <c r="E641" s="18" t="s">
        <v>3306</v>
      </c>
      <c r="F641" s="19">
        <v>45673</v>
      </c>
      <c r="G641" s="108">
        <v>169.01</v>
      </c>
      <c r="H641" s="37">
        <f t="shared" si="34"/>
        <v>16</v>
      </c>
      <c r="I641" s="37" t="str">
        <f t="shared" si="38"/>
        <v>1-90 DAYS</v>
      </c>
      <c r="J641" s="37" t="str">
        <f t="shared" si="36"/>
        <v>0-180 DAYS</v>
      </c>
    </row>
    <row r="642" spans="1:10" x14ac:dyDescent="0.35">
      <c r="A642" s="88" t="s">
        <v>1209</v>
      </c>
      <c r="B642" s="2" t="s">
        <v>790</v>
      </c>
      <c r="C642" s="18" t="s">
        <v>125</v>
      </c>
      <c r="D642" s="18" t="s">
        <v>57</v>
      </c>
      <c r="E642" s="18" t="s">
        <v>3307</v>
      </c>
      <c r="F642" s="19">
        <v>45673</v>
      </c>
      <c r="G642" s="108">
        <v>678152.32</v>
      </c>
      <c r="H642" s="37">
        <f t="shared" si="34"/>
        <v>16</v>
      </c>
      <c r="I642" s="37" t="str">
        <f t="shared" si="38"/>
        <v>1-90 DAYS</v>
      </c>
      <c r="J642" s="37" t="str">
        <f t="shared" si="36"/>
        <v>0-180 DAYS</v>
      </c>
    </row>
    <row r="643" spans="1:10" x14ac:dyDescent="0.35">
      <c r="A643" s="88" t="s">
        <v>1209</v>
      </c>
      <c r="B643" s="2" t="s">
        <v>790</v>
      </c>
      <c r="C643" s="18" t="s">
        <v>125</v>
      </c>
      <c r="D643" s="18" t="s">
        <v>57</v>
      </c>
      <c r="E643" s="18" t="s">
        <v>3308</v>
      </c>
      <c r="F643" s="19">
        <v>45673</v>
      </c>
      <c r="G643" s="108">
        <v>8149.16</v>
      </c>
      <c r="H643" s="37">
        <f t="shared" si="34"/>
        <v>16</v>
      </c>
      <c r="I643" s="37" t="str">
        <f t="shared" si="38"/>
        <v>1-90 DAYS</v>
      </c>
      <c r="J643" s="37" t="str">
        <f t="shared" si="36"/>
        <v>0-180 DAYS</v>
      </c>
    </row>
    <row r="644" spans="1:10" x14ac:dyDescent="0.35">
      <c r="A644" s="88" t="s">
        <v>1209</v>
      </c>
      <c r="B644" s="2" t="s">
        <v>790</v>
      </c>
      <c r="C644" s="18" t="s">
        <v>125</v>
      </c>
      <c r="D644" s="18" t="s">
        <v>57</v>
      </c>
      <c r="E644" s="18" t="s">
        <v>3309</v>
      </c>
      <c r="F644" s="19">
        <v>45673</v>
      </c>
      <c r="G644" s="108">
        <v>58065.18</v>
      </c>
      <c r="H644" s="37">
        <f t="shared" si="34"/>
        <v>16</v>
      </c>
      <c r="I644" s="37" t="str">
        <f t="shared" si="38"/>
        <v>1-90 DAYS</v>
      </c>
      <c r="J644" s="37" t="str">
        <f t="shared" si="36"/>
        <v>0-180 DAYS</v>
      </c>
    </row>
    <row r="645" spans="1:10" x14ac:dyDescent="0.35">
      <c r="A645" s="88" t="s">
        <v>1209</v>
      </c>
      <c r="B645" s="2" t="s">
        <v>790</v>
      </c>
      <c r="C645" s="18" t="s">
        <v>125</v>
      </c>
      <c r="D645" s="18" t="s">
        <v>57</v>
      </c>
      <c r="E645" s="18" t="s">
        <v>3310</v>
      </c>
      <c r="F645" s="19">
        <v>45674</v>
      </c>
      <c r="G645" s="108">
        <v>3434062.51</v>
      </c>
      <c r="H645" s="37">
        <f t="shared" si="34"/>
        <v>15</v>
      </c>
      <c r="I645" s="37" t="str">
        <f>IF(H645&lt;91,"1-90 DAYS",IF(#REF!&lt;121,"91-120DAYS",IF(#REF!&lt;181,"121-180 DAYS","More than 180 Days")))</f>
        <v>1-90 DAYS</v>
      </c>
      <c r="J645" s="37" t="str">
        <f t="shared" si="36"/>
        <v>0-180 DAYS</v>
      </c>
    </row>
    <row r="646" spans="1:10" x14ac:dyDescent="0.35">
      <c r="A646" s="88" t="s">
        <v>1209</v>
      </c>
      <c r="B646" s="2" t="s">
        <v>790</v>
      </c>
      <c r="C646" s="18" t="s">
        <v>125</v>
      </c>
      <c r="D646" s="18" t="s">
        <v>57</v>
      </c>
      <c r="E646" s="18" t="s">
        <v>3311</v>
      </c>
      <c r="F646" s="19">
        <v>45674</v>
      </c>
      <c r="G646" s="108">
        <v>604867.44999999995</v>
      </c>
      <c r="H646" s="37">
        <f t="shared" si="34"/>
        <v>15</v>
      </c>
      <c r="I646" s="37" t="str">
        <f>IF(H646&lt;91,"1-90 DAYS",IF(#REF!&lt;121,"91-120DAYS",IF(#REF!&lt;181,"121-180 DAYS","More than 180 Days")))</f>
        <v>1-90 DAYS</v>
      </c>
      <c r="J646" s="37" t="str">
        <f t="shared" si="36"/>
        <v>0-180 DAYS</v>
      </c>
    </row>
    <row r="647" spans="1:10" x14ac:dyDescent="0.35">
      <c r="A647" s="88" t="s">
        <v>1209</v>
      </c>
      <c r="B647" s="2" t="s">
        <v>790</v>
      </c>
      <c r="C647" s="18" t="s">
        <v>125</v>
      </c>
      <c r="D647" s="18" t="s">
        <v>57</v>
      </c>
      <c r="E647" s="18" t="s">
        <v>3312</v>
      </c>
      <c r="F647" s="19">
        <v>45674</v>
      </c>
      <c r="G647" s="108">
        <v>2546.8000000000002</v>
      </c>
      <c r="H647" s="37">
        <f t="shared" si="34"/>
        <v>15</v>
      </c>
      <c r="I647" s="37" t="str">
        <f>IF(H647&lt;91,"1-90 DAYS",IF(H87&lt;121,"91-120DAYS",IF(H87&lt;181,"121-180 DAYS","More than 180 Days")))</f>
        <v>1-90 DAYS</v>
      </c>
      <c r="J647" s="37" t="str">
        <f t="shared" si="36"/>
        <v>0-180 DAYS</v>
      </c>
    </row>
    <row r="648" spans="1:10" x14ac:dyDescent="0.35">
      <c r="A648" s="88" t="s">
        <v>1209</v>
      </c>
      <c r="B648" s="2" t="s">
        <v>790</v>
      </c>
      <c r="C648" s="18" t="s">
        <v>125</v>
      </c>
      <c r="D648" s="18" t="s">
        <v>57</v>
      </c>
      <c r="E648" s="18" t="s">
        <v>3313</v>
      </c>
      <c r="F648" s="19">
        <v>45675</v>
      </c>
      <c r="G648" s="108">
        <v>268812</v>
      </c>
      <c r="H648" s="37">
        <f t="shared" si="34"/>
        <v>14</v>
      </c>
      <c r="I648" s="37" t="str">
        <f>IF(H648&lt;91,"1-90 DAYS",IF(#REF!&lt;121,"91-120DAYS",IF(#REF!&lt;181,"121-180 DAYS","More than 180 Days")))</f>
        <v>1-90 DAYS</v>
      </c>
      <c r="J648" s="37" t="str">
        <f t="shared" si="36"/>
        <v>0-180 DAYS</v>
      </c>
    </row>
    <row r="649" spans="1:10" x14ac:dyDescent="0.35">
      <c r="A649" s="88" t="s">
        <v>1209</v>
      </c>
      <c r="B649" s="2" t="s">
        <v>790</v>
      </c>
      <c r="C649" s="18" t="s">
        <v>125</v>
      </c>
      <c r="D649" s="18" t="s">
        <v>57</v>
      </c>
      <c r="E649" s="18" t="s">
        <v>3314</v>
      </c>
      <c r="F649" s="19">
        <v>45675</v>
      </c>
      <c r="G649" s="108">
        <v>838186.05</v>
      </c>
      <c r="H649" s="37">
        <f t="shared" si="34"/>
        <v>14</v>
      </c>
      <c r="I649" s="37" t="str">
        <f>IF(H649&lt;91,"1-90 DAYS",IF(#REF!&lt;121,"91-120DAYS",IF(#REF!&lt;181,"121-180 DAYS","More than 180 Days")))</f>
        <v>1-90 DAYS</v>
      </c>
      <c r="J649" s="37" t="str">
        <f t="shared" si="36"/>
        <v>0-180 DAYS</v>
      </c>
    </row>
    <row r="650" spans="1:10" x14ac:dyDescent="0.35">
      <c r="A650" s="88" t="s">
        <v>1209</v>
      </c>
      <c r="B650" s="2" t="s">
        <v>790</v>
      </c>
      <c r="C650" s="18" t="s">
        <v>125</v>
      </c>
      <c r="D650" s="18" t="s">
        <v>57</v>
      </c>
      <c r="E650" s="18" t="s">
        <v>3315</v>
      </c>
      <c r="F650" s="19">
        <v>45675</v>
      </c>
      <c r="G650" s="108">
        <v>876172.05</v>
      </c>
      <c r="H650" s="37">
        <f t="shared" si="34"/>
        <v>14</v>
      </c>
      <c r="I650" s="37" t="str">
        <f>IF(H650&lt;91,"1-90 DAYS",IF(#REF!&lt;121,"91-120DAYS",IF(#REF!&lt;181,"121-180 DAYS","More than 180 Days")))</f>
        <v>1-90 DAYS</v>
      </c>
      <c r="J650" s="37" t="str">
        <f t="shared" si="36"/>
        <v>0-180 DAYS</v>
      </c>
    </row>
    <row r="651" spans="1:10" x14ac:dyDescent="0.35">
      <c r="A651" s="88" t="s">
        <v>1209</v>
      </c>
      <c r="B651" s="2" t="s">
        <v>790</v>
      </c>
      <c r="C651" s="18" t="s">
        <v>125</v>
      </c>
      <c r="D651" s="18" t="s">
        <v>57</v>
      </c>
      <c r="E651" s="18" t="s">
        <v>3316</v>
      </c>
      <c r="F651" s="19">
        <v>45675</v>
      </c>
      <c r="G651" s="108">
        <v>41486.36</v>
      </c>
      <c r="H651" s="37">
        <f t="shared" si="34"/>
        <v>14</v>
      </c>
      <c r="I651" s="37" t="str">
        <f>IF(H651&lt;91,"1-90 DAYS",IF(#REF!&lt;121,"91-120DAYS",IF(#REF!&lt;181,"121-180 DAYS","More than 180 Days")))</f>
        <v>1-90 DAYS</v>
      </c>
      <c r="J651" s="37" t="str">
        <f t="shared" si="36"/>
        <v>0-180 DAYS</v>
      </c>
    </row>
    <row r="652" spans="1:10" x14ac:dyDescent="0.35">
      <c r="A652" s="88" t="s">
        <v>1209</v>
      </c>
      <c r="B652" s="2" t="s">
        <v>790</v>
      </c>
      <c r="C652" s="18" t="s">
        <v>125</v>
      </c>
      <c r="D652" s="18" t="s">
        <v>57</v>
      </c>
      <c r="E652" s="18" t="s">
        <v>3317</v>
      </c>
      <c r="F652" s="19">
        <v>45675</v>
      </c>
      <c r="G652" s="108">
        <v>193140.17</v>
      </c>
      <c r="H652" s="37">
        <f t="shared" ref="H652:H713" si="39">$H$9-F652+1</f>
        <v>14</v>
      </c>
      <c r="I652" s="37" t="str">
        <f>IF(H652&lt;91,"1-90 DAYS",IF(H88&lt;121,"91-120DAYS",IF(H88&lt;181,"121-180 DAYS","More than 180 Days")))</f>
        <v>1-90 DAYS</v>
      </c>
      <c r="J652" s="37" t="str">
        <f t="shared" si="36"/>
        <v>0-180 DAYS</v>
      </c>
    </row>
    <row r="653" spans="1:10" x14ac:dyDescent="0.35">
      <c r="A653" s="88" t="s">
        <v>1209</v>
      </c>
      <c r="B653" s="2" t="s">
        <v>790</v>
      </c>
      <c r="C653" s="18" t="s">
        <v>125</v>
      </c>
      <c r="D653" s="18" t="s">
        <v>57</v>
      </c>
      <c r="E653" s="18" t="s">
        <v>3318</v>
      </c>
      <c r="F653" s="19">
        <v>45675</v>
      </c>
      <c r="G653" s="108">
        <v>208912.74</v>
      </c>
      <c r="H653" s="37">
        <f t="shared" si="39"/>
        <v>14</v>
      </c>
      <c r="I653" s="37" t="str">
        <f>IF(H653&lt;91,"1-90 DAYS",IF(#REF!&lt;121,"91-120DAYS",IF(#REF!&lt;181,"121-180 DAYS","More than 180 Days")))</f>
        <v>1-90 DAYS</v>
      </c>
      <c r="J653" s="37" t="str">
        <f t="shared" ref="J653:J713" si="40">IF(H653&lt;180,"0-180 DAYS","More than 180 Days")</f>
        <v>0-180 DAYS</v>
      </c>
    </row>
    <row r="654" spans="1:10" x14ac:dyDescent="0.35">
      <c r="A654" s="88" t="s">
        <v>1209</v>
      </c>
      <c r="B654" s="2" t="s">
        <v>790</v>
      </c>
      <c r="C654" s="18" t="s">
        <v>125</v>
      </c>
      <c r="D654" s="18" t="s">
        <v>57</v>
      </c>
      <c r="E654" s="18" t="s">
        <v>3319</v>
      </c>
      <c r="F654" s="19">
        <v>45676</v>
      </c>
      <c r="G654" s="108">
        <v>208685.06</v>
      </c>
      <c r="H654" s="37">
        <f t="shared" si="39"/>
        <v>13</v>
      </c>
      <c r="I654" s="37" t="str">
        <f>IF(H654&lt;91,"1-90 DAYS",IF(#REF!&lt;121,"91-120DAYS",IF(#REF!&lt;181,"121-180 DAYS","More than 180 Days")))</f>
        <v>1-90 DAYS</v>
      </c>
      <c r="J654" s="37" t="str">
        <f t="shared" si="40"/>
        <v>0-180 DAYS</v>
      </c>
    </row>
    <row r="655" spans="1:10" x14ac:dyDescent="0.35">
      <c r="A655" s="88" t="s">
        <v>1209</v>
      </c>
      <c r="B655" s="2" t="s">
        <v>790</v>
      </c>
      <c r="C655" s="18" t="s">
        <v>125</v>
      </c>
      <c r="D655" s="18" t="s">
        <v>57</v>
      </c>
      <c r="E655" s="18" t="s">
        <v>3320</v>
      </c>
      <c r="F655" s="19">
        <v>45676</v>
      </c>
      <c r="G655" s="108">
        <v>7865.96</v>
      </c>
      <c r="H655" s="37">
        <f t="shared" si="39"/>
        <v>13</v>
      </c>
      <c r="I655" s="37" t="str">
        <f>IF(H655&lt;91,"1-90 DAYS",IF(H89&lt;121,"91-120DAYS",IF(H89&lt;181,"121-180 DAYS","More than 180 Days")))</f>
        <v>1-90 DAYS</v>
      </c>
      <c r="J655" s="37" t="str">
        <f t="shared" si="40"/>
        <v>0-180 DAYS</v>
      </c>
    </row>
    <row r="656" spans="1:10" x14ac:dyDescent="0.35">
      <c r="A656" s="88" t="s">
        <v>1209</v>
      </c>
      <c r="B656" s="2" t="s">
        <v>790</v>
      </c>
      <c r="C656" s="18" t="s">
        <v>125</v>
      </c>
      <c r="D656" s="18" t="s">
        <v>57</v>
      </c>
      <c r="E656" s="18" t="s">
        <v>3321</v>
      </c>
      <c r="F656" s="19">
        <v>45676</v>
      </c>
      <c r="G656" s="108">
        <v>908226.09</v>
      </c>
      <c r="H656" s="37">
        <f t="shared" si="39"/>
        <v>13</v>
      </c>
      <c r="I656" s="37" t="str">
        <f>IF(H656&lt;91,"1-90 DAYS",IF(H90&lt;121,"91-120DAYS",IF(H90&lt;181,"121-180 DAYS","More than 180 Days")))</f>
        <v>1-90 DAYS</v>
      </c>
      <c r="J656" s="37" t="str">
        <f t="shared" si="40"/>
        <v>0-180 DAYS</v>
      </c>
    </row>
    <row r="657" spans="1:10" x14ac:dyDescent="0.35">
      <c r="A657" s="88" t="s">
        <v>1209</v>
      </c>
      <c r="B657" s="2" t="s">
        <v>790</v>
      </c>
      <c r="C657" s="18" t="s">
        <v>125</v>
      </c>
      <c r="D657" s="18" t="s">
        <v>57</v>
      </c>
      <c r="E657" s="18" t="s">
        <v>3322</v>
      </c>
      <c r="F657" s="19">
        <v>45677</v>
      </c>
      <c r="G657" s="108">
        <v>278253.74</v>
      </c>
      <c r="H657" s="37">
        <f t="shared" si="39"/>
        <v>12</v>
      </c>
      <c r="I657" s="37" t="str">
        <f>IF(H657&lt;91,"1-90 DAYS",IF(H91&lt;121,"91-120DAYS",IF(H91&lt;181,"121-180 DAYS","More than 180 Days")))</f>
        <v>1-90 DAYS</v>
      </c>
      <c r="J657" s="37" t="str">
        <f t="shared" si="40"/>
        <v>0-180 DAYS</v>
      </c>
    </row>
    <row r="658" spans="1:10" x14ac:dyDescent="0.35">
      <c r="A658" s="88" t="s">
        <v>1209</v>
      </c>
      <c r="B658" s="2" t="s">
        <v>790</v>
      </c>
      <c r="C658" s="18" t="s">
        <v>125</v>
      </c>
      <c r="D658" s="18" t="s">
        <v>57</v>
      </c>
      <c r="E658" s="18" t="s">
        <v>3323</v>
      </c>
      <c r="F658" s="19">
        <v>45677</v>
      </c>
      <c r="G658" s="108">
        <v>7130.64</v>
      </c>
      <c r="H658" s="37">
        <f t="shared" si="39"/>
        <v>12</v>
      </c>
      <c r="I658" s="37" t="str">
        <f>IF(H658&lt;91,"1-90 DAYS",IF(#REF!&lt;121,"91-120DAYS",IF(#REF!&lt;181,"121-180 DAYS","More than 180 Days")))</f>
        <v>1-90 DAYS</v>
      </c>
      <c r="J658" s="37" t="str">
        <f t="shared" si="40"/>
        <v>0-180 DAYS</v>
      </c>
    </row>
    <row r="659" spans="1:10" x14ac:dyDescent="0.35">
      <c r="A659" s="88" t="s">
        <v>1209</v>
      </c>
      <c r="B659" s="2" t="s">
        <v>790</v>
      </c>
      <c r="C659" s="18" t="s">
        <v>125</v>
      </c>
      <c r="D659" s="18" t="s">
        <v>57</v>
      </c>
      <c r="E659" s="18" t="s">
        <v>3324</v>
      </c>
      <c r="F659" s="19">
        <v>45677</v>
      </c>
      <c r="G659" s="108">
        <v>813771.6</v>
      </c>
      <c r="H659" s="37">
        <f t="shared" si="39"/>
        <v>12</v>
      </c>
      <c r="I659" s="37" t="str">
        <f>IF(H659&lt;91,"1-90 DAYS",IF(#REF!&lt;121,"91-120DAYS",IF(#REF!&lt;181,"121-180 DAYS","More than 180 Days")))</f>
        <v>1-90 DAYS</v>
      </c>
      <c r="J659" s="37" t="str">
        <f t="shared" si="40"/>
        <v>0-180 DAYS</v>
      </c>
    </row>
    <row r="660" spans="1:10" x14ac:dyDescent="0.35">
      <c r="A660" s="88" t="s">
        <v>1209</v>
      </c>
      <c r="B660" s="2" t="s">
        <v>790</v>
      </c>
      <c r="C660" s="18" t="s">
        <v>125</v>
      </c>
      <c r="D660" s="18" t="s">
        <v>57</v>
      </c>
      <c r="E660" s="18" t="s">
        <v>3325</v>
      </c>
      <c r="F660" s="19">
        <v>45678</v>
      </c>
      <c r="G660" s="108">
        <v>384354</v>
      </c>
      <c r="H660" s="37">
        <f t="shared" si="39"/>
        <v>11</v>
      </c>
      <c r="I660" s="37" t="str">
        <f>IF(H660&lt;91,"1-90 DAYS",IF(H92&lt;121,"91-120DAYS",IF(H92&lt;181,"121-180 DAYS","More than 180 Days")))</f>
        <v>1-90 DAYS</v>
      </c>
      <c r="J660" s="37" t="str">
        <f t="shared" si="40"/>
        <v>0-180 DAYS</v>
      </c>
    </row>
    <row r="661" spans="1:10" x14ac:dyDescent="0.35">
      <c r="A661" s="88" t="s">
        <v>1209</v>
      </c>
      <c r="B661" s="2" t="s">
        <v>790</v>
      </c>
      <c r="C661" s="18" t="s">
        <v>125</v>
      </c>
      <c r="D661" s="18" t="s">
        <v>57</v>
      </c>
      <c r="E661" s="18" t="s">
        <v>3326</v>
      </c>
      <c r="F661" s="19">
        <v>45678</v>
      </c>
      <c r="G661" s="108">
        <v>477704.1</v>
      </c>
      <c r="H661" s="37">
        <f t="shared" si="39"/>
        <v>11</v>
      </c>
      <c r="I661" s="37" t="str">
        <f>IF(H661&lt;91,"1-90 DAYS",IF(H93&lt;121,"91-120DAYS",IF(H93&lt;181,"121-180 DAYS","More than 180 Days")))</f>
        <v>1-90 DAYS</v>
      </c>
      <c r="J661" s="37" t="str">
        <f t="shared" si="40"/>
        <v>0-180 DAYS</v>
      </c>
    </row>
    <row r="662" spans="1:10" x14ac:dyDescent="0.35">
      <c r="A662" s="88" t="s">
        <v>1209</v>
      </c>
      <c r="B662" s="2" t="s">
        <v>790</v>
      </c>
      <c r="C662" s="18" t="s">
        <v>125</v>
      </c>
      <c r="D662" s="18" t="s">
        <v>57</v>
      </c>
      <c r="E662" s="18" t="s">
        <v>3327</v>
      </c>
      <c r="F662" s="19">
        <v>45678</v>
      </c>
      <c r="G662" s="108">
        <v>4753.76</v>
      </c>
      <c r="H662" s="37">
        <f t="shared" si="39"/>
        <v>11</v>
      </c>
      <c r="I662" s="37" t="str">
        <f>IF(H662&lt;91,"1-90 DAYS",IF(H94&lt;121,"91-120DAYS",IF(H94&lt;181,"121-180 DAYS","More than 180 Days")))</f>
        <v>1-90 DAYS</v>
      </c>
      <c r="J662" s="37" t="str">
        <f t="shared" si="40"/>
        <v>0-180 DAYS</v>
      </c>
    </row>
    <row r="663" spans="1:10" x14ac:dyDescent="0.35">
      <c r="A663" s="88" t="s">
        <v>1209</v>
      </c>
      <c r="B663" s="2" t="s">
        <v>790</v>
      </c>
      <c r="C663" s="18" t="s">
        <v>125</v>
      </c>
      <c r="D663" s="18" t="s">
        <v>57</v>
      </c>
      <c r="E663" s="18" t="s">
        <v>3328</v>
      </c>
      <c r="F663" s="19">
        <v>45679</v>
      </c>
      <c r="G663" s="108">
        <v>643284.39</v>
      </c>
      <c r="H663" s="37">
        <f t="shared" si="39"/>
        <v>10</v>
      </c>
      <c r="I663" s="37" t="str">
        <f>IF(H663&lt;91,"1-90 DAYS",IF(H95&lt;121,"91-120DAYS",IF(H95&lt;181,"121-180 DAYS","More than 180 Days")))</f>
        <v>1-90 DAYS</v>
      </c>
      <c r="J663" s="37" t="str">
        <f t="shared" si="40"/>
        <v>0-180 DAYS</v>
      </c>
    </row>
    <row r="664" spans="1:10" x14ac:dyDescent="0.35">
      <c r="A664" s="88" t="s">
        <v>1209</v>
      </c>
      <c r="B664" s="2" t="s">
        <v>790</v>
      </c>
      <c r="C664" s="18" t="s">
        <v>125</v>
      </c>
      <c r="D664" s="18" t="s">
        <v>57</v>
      </c>
      <c r="E664" s="18" t="s">
        <v>3329</v>
      </c>
      <c r="F664" s="19">
        <v>45679</v>
      </c>
      <c r="G664" s="108">
        <v>5954</v>
      </c>
      <c r="H664" s="37">
        <f t="shared" si="39"/>
        <v>10</v>
      </c>
      <c r="I664" s="37" t="str">
        <f>IF(H664&lt;91,"1-90 DAYS",IF(H96&lt;121,"91-120DAYS",IF(H96&lt;181,"121-180 DAYS","More than 180 Days")))</f>
        <v>1-90 DAYS</v>
      </c>
      <c r="J664" s="37" t="str">
        <f t="shared" si="40"/>
        <v>0-180 DAYS</v>
      </c>
    </row>
    <row r="665" spans="1:10" x14ac:dyDescent="0.35">
      <c r="A665" s="88" t="s">
        <v>1209</v>
      </c>
      <c r="B665" s="2" t="s">
        <v>790</v>
      </c>
      <c r="C665" s="18" t="s">
        <v>125</v>
      </c>
      <c r="D665" s="18" t="s">
        <v>57</v>
      </c>
      <c r="E665" s="18" t="s">
        <v>3330</v>
      </c>
      <c r="F665" s="19">
        <v>45679</v>
      </c>
      <c r="G665" s="108">
        <v>10582.68</v>
      </c>
      <c r="H665" s="37">
        <f t="shared" si="39"/>
        <v>10</v>
      </c>
      <c r="I665" s="37" t="str">
        <f>IF(H665&lt;91,"1-90 DAYS",IF(#REF!&lt;121,"91-120DAYS",IF(#REF!&lt;181,"121-180 DAYS","More than 180 Days")))</f>
        <v>1-90 DAYS</v>
      </c>
      <c r="J665" s="37" t="str">
        <f t="shared" si="40"/>
        <v>0-180 DAYS</v>
      </c>
    </row>
    <row r="666" spans="1:10" x14ac:dyDescent="0.35">
      <c r="A666" s="88" t="s">
        <v>1209</v>
      </c>
      <c r="B666" s="2" t="s">
        <v>790</v>
      </c>
      <c r="C666" s="18" t="s">
        <v>125</v>
      </c>
      <c r="D666" s="18" t="s">
        <v>57</v>
      </c>
      <c r="E666" s="18" t="s">
        <v>3331</v>
      </c>
      <c r="F666" s="19">
        <v>45679</v>
      </c>
      <c r="G666" s="108">
        <v>990544.01</v>
      </c>
      <c r="H666" s="37">
        <f t="shared" si="39"/>
        <v>10</v>
      </c>
      <c r="I666" s="37" t="str">
        <f>IF(H666&lt;91,"1-90 DAYS",IF(#REF!&lt;121,"91-120DAYS",IF(#REF!&lt;181,"121-180 DAYS","More than 180 Days")))</f>
        <v>1-90 DAYS</v>
      </c>
      <c r="J666" s="37" t="str">
        <f t="shared" si="40"/>
        <v>0-180 DAYS</v>
      </c>
    </row>
    <row r="667" spans="1:10" x14ac:dyDescent="0.35">
      <c r="A667" s="88" t="s">
        <v>1209</v>
      </c>
      <c r="B667" s="2" t="s">
        <v>790</v>
      </c>
      <c r="C667" s="18" t="s">
        <v>125</v>
      </c>
      <c r="D667" s="18" t="s">
        <v>57</v>
      </c>
      <c r="E667" s="18" t="s">
        <v>3332</v>
      </c>
      <c r="F667" s="19">
        <v>45680</v>
      </c>
      <c r="G667" s="108">
        <v>454062.7</v>
      </c>
      <c r="H667" s="37">
        <f t="shared" si="39"/>
        <v>9</v>
      </c>
      <c r="I667" s="37" t="str">
        <f t="shared" ref="I667:I674" si="41">IF(H667&lt;91,"1-90 DAYS",IF(H97&lt;121,"91-120DAYS",IF(H97&lt;181,"121-180 DAYS","More than 180 Days")))</f>
        <v>1-90 DAYS</v>
      </c>
      <c r="J667" s="37" t="str">
        <f t="shared" si="40"/>
        <v>0-180 DAYS</v>
      </c>
    </row>
    <row r="668" spans="1:10" x14ac:dyDescent="0.35">
      <c r="A668" s="88" t="s">
        <v>1209</v>
      </c>
      <c r="B668" s="2" t="s">
        <v>790</v>
      </c>
      <c r="C668" s="18" t="s">
        <v>125</v>
      </c>
      <c r="D668" s="18" t="s">
        <v>57</v>
      </c>
      <c r="E668" s="18" t="s">
        <v>3333</v>
      </c>
      <c r="F668" s="19">
        <v>45680</v>
      </c>
      <c r="G668" s="108">
        <v>3395.4</v>
      </c>
      <c r="H668" s="37">
        <f t="shared" si="39"/>
        <v>9</v>
      </c>
      <c r="I668" s="37" t="str">
        <f t="shared" si="41"/>
        <v>1-90 DAYS</v>
      </c>
      <c r="J668" s="37" t="str">
        <f t="shared" si="40"/>
        <v>0-180 DAYS</v>
      </c>
    </row>
    <row r="669" spans="1:10" x14ac:dyDescent="0.35">
      <c r="A669" s="88" t="s">
        <v>1209</v>
      </c>
      <c r="B669" s="2" t="s">
        <v>790</v>
      </c>
      <c r="C669" s="18" t="s">
        <v>125</v>
      </c>
      <c r="D669" s="18" t="s">
        <v>57</v>
      </c>
      <c r="E669" s="18" t="s">
        <v>3334</v>
      </c>
      <c r="F669" s="19">
        <v>45680</v>
      </c>
      <c r="G669" s="108">
        <v>823332.36</v>
      </c>
      <c r="H669" s="37">
        <f t="shared" si="39"/>
        <v>9</v>
      </c>
      <c r="I669" s="37" t="str">
        <f t="shared" si="41"/>
        <v>1-90 DAYS</v>
      </c>
      <c r="J669" s="37" t="str">
        <f t="shared" si="40"/>
        <v>0-180 DAYS</v>
      </c>
    </row>
    <row r="670" spans="1:10" x14ac:dyDescent="0.35">
      <c r="A670" s="88" t="s">
        <v>1209</v>
      </c>
      <c r="B670" s="2" t="s">
        <v>790</v>
      </c>
      <c r="C670" s="18" t="s">
        <v>125</v>
      </c>
      <c r="D670" s="18" t="s">
        <v>57</v>
      </c>
      <c r="E670" s="18" t="s">
        <v>3335</v>
      </c>
      <c r="F670" s="19">
        <v>45681</v>
      </c>
      <c r="G670" s="108">
        <v>318127.38</v>
      </c>
      <c r="H670" s="37">
        <f t="shared" si="39"/>
        <v>8</v>
      </c>
      <c r="I670" s="37" t="str">
        <f t="shared" si="41"/>
        <v>1-90 DAYS</v>
      </c>
      <c r="J670" s="37" t="str">
        <f t="shared" si="40"/>
        <v>0-180 DAYS</v>
      </c>
    </row>
    <row r="671" spans="1:10" x14ac:dyDescent="0.35">
      <c r="A671" s="88" t="s">
        <v>1209</v>
      </c>
      <c r="B671" s="2" t="s">
        <v>790</v>
      </c>
      <c r="C671" s="18" t="s">
        <v>125</v>
      </c>
      <c r="D671" s="18" t="s">
        <v>57</v>
      </c>
      <c r="E671" s="18" t="s">
        <v>3336</v>
      </c>
      <c r="F671" s="19">
        <v>45681</v>
      </c>
      <c r="G671" s="108">
        <v>326309.15999999997</v>
      </c>
      <c r="H671" s="37">
        <f t="shared" si="39"/>
        <v>8</v>
      </c>
      <c r="I671" s="37" t="str">
        <f t="shared" si="41"/>
        <v>1-90 DAYS</v>
      </c>
      <c r="J671" s="37" t="str">
        <f t="shared" si="40"/>
        <v>0-180 DAYS</v>
      </c>
    </row>
    <row r="672" spans="1:10" x14ac:dyDescent="0.35">
      <c r="A672" s="88" t="s">
        <v>1209</v>
      </c>
      <c r="B672" s="2" t="s">
        <v>790</v>
      </c>
      <c r="C672" s="18" t="s">
        <v>125</v>
      </c>
      <c r="D672" s="18" t="s">
        <v>57</v>
      </c>
      <c r="E672" s="18" t="s">
        <v>3337</v>
      </c>
      <c r="F672" s="19">
        <v>45681</v>
      </c>
      <c r="G672" s="108">
        <v>2206.96</v>
      </c>
      <c r="H672" s="37">
        <f t="shared" si="39"/>
        <v>8</v>
      </c>
      <c r="I672" s="37" t="str">
        <f t="shared" si="41"/>
        <v>1-90 DAYS</v>
      </c>
      <c r="J672" s="37" t="str">
        <f t="shared" si="40"/>
        <v>0-180 DAYS</v>
      </c>
    </row>
    <row r="673" spans="1:10" x14ac:dyDescent="0.35">
      <c r="A673" s="88" t="s">
        <v>1209</v>
      </c>
      <c r="B673" s="2" t="s">
        <v>790</v>
      </c>
      <c r="C673" s="18" t="s">
        <v>125</v>
      </c>
      <c r="D673" s="18" t="s">
        <v>57</v>
      </c>
      <c r="E673" s="18" t="s">
        <v>3338</v>
      </c>
      <c r="F673" s="19">
        <v>45682</v>
      </c>
      <c r="G673" s="108">
        <v>8319.08</v>
      </c>
      <c r="H673" s="37">
        <f t="shared" si="39"/>
        <v>7</v>
      </c>
      <c r="I673" s="37" t="str">
        <f t="shared" si="41"/>
        <v>1-90 DAYS</v>
      </c>
      <c r="J673" s="37" t="str">
        <f t="shared" si="40"/>
        <v>0-180 DAYS</v>
      </c>
    </row>
    <row r="674" spans="1:10" x14ac:dyDescent="0.35">
      <c r="A674" s="88" t="s">
        <v>1209</v>
      </c>
      <c r="B674" s="2" t="s">
        <v>790</v>
      </c>
      <c r="C674" s="18" t="s">
        <v>125</v>
      </c>
      <c r="D674" s="18" t="s">
        <v>57</v>
      </c>
      <c r="E674" s="18" t="s">
        <v>3339</v>
      </c>
      <c r="F674" s="19">
        <v>45682</v>
      </c>
      <c r="G674" s="108">
        <v>733330.1</v>
      </c>
      <c r="H674" s="37">
        <f t="shared" si="39"/>
        <v>7</v>
      </c>
      <c r="I674" s="37" t="str">
        <f t="shared" si="41"/>
        <v>1-90 DAYS</v>
      </c>
      <c r="J674" s="37" t="str">
        <f t="shared" si="40"/>
        <v>0-180 DAYS</v>
      </c>
    </row>
    <row r="675" spans="1:10" x14ac:dyDescent="0.35">
      <c r="A675" s="88" t="s">
        <v>1209</v>
      </c>
      <c r="B675" s="2" t="s">
        <v>790</v>
      </c>
      <c r="C675" s="18" t="s">
        <v>125</v>
      </c>
      <c r="D675" s="18" t="s">
        <v>57</v>
      </c>
      <c r="E675" s="18" t="s">
        <v>3340</v>
      </c>
      <c r="F675" s="19">
        <v>45683</v>
      </c>
      <c r="G675" s="108">
        <v>519268.09</v>
      </c>
      <c r="H675" s="37">
        <f t="shared" si="39"/>
        <v>6</v>
      </c>
      <c r="I675" s="37" t="str">
        <f>IF(H675&lt;91,"1-90 DAYS",IF(#REF!&lt;121,"91-120DAYS",IF(#REF!&lt;181,"121-180 DAYS","More than 180 Days")))</f>
        <v>1-90 DAYS</v>
      </c>
      <c r="J675" s="37" t="str">
        <f t="shared" si="40"/>
        <v>0-180 DAYS</v>
      </c>
    </row>
    <row r="676" spans="1:10" x14ac:dyDescent="0.35">
      <c r="A676" s="88" t="s">
        <v>1209</v>
      </c>
      <c r="B676" s="2" t="s">
        <v>790</v>
      </c>
      <c r="C676" s="18" t="s">
        <v>125</v>
      </c>
      <c r="D676" s="18" t="s">
        <v>57</v>
      </c>
      <c r="E676" s="18" t="s">
        <v>3341</v>
      </c>
      <c r="F676" s="19">
        <v>45683</v>
      </c>
      <c r="G676" s="108">
        <v>5942.2</v>
      </c>
      <c r="H676" s="37">
        <f t="shared" si="39"/>
        <v>6</v>
      </c>
      <c r="I676" s="37" t="str">
        <f>IF(H676&lt;91,"1-90 DAYS",IF(H105&lt;121,"91-120DAYS",IF(H105&lt;181,"121-180 DAYS","More than 180 Days")))</f>
        <v>1-90 DAYS</v>
      </c>
      <c r="J676" s="37" t="str">
        <f t="shared" si="40"/>
        <v>0-180 DAYS</v>
      </c>
    </row>
    <row r="677" spans="1:10" x14ac:dyDescent="0.35">
      <c r="A677" s="88" t="s">
        <v>1209</v>
      </c>
      <c r="B677" s="2" t="s">
        <v>790</v>
      </c>
      <c r="C677" s="18" t="s">
        <v>125</v>
      </c>
      <c r="D677" s="18" t="s">
        <v>57</v>
      </c>
      <c r="E677" s="18" t="s">
        <v>3342</v>
      </c>
      <c r="F677" s="19">
        <v>45683</v>
      </c>
      <c r="G677" s="108">
        <v>160203.9</v>
      </c>
      <c r="H677" s="37">
        <f t="shared" si="39"/>
        <v>6</v>
      </c>
      <c r="I677" s="37" t="str">
        <f>IF(H677&lt;91,"1-90 DAYS",IF(H106&lt;121,"91-120DAYS",IF(H106&lt;181,"121-180 DAYS","More than 180 Days")))</f>
        <v>1-90 DAYS</v>
      </c>
      <c r="J677" s="37" t="str">
        <f t="shared" si="40"/>
        <v>0-180 DAYS</v>
      </c>
    </row>
    <row r="678" spans="1:10" x14ac:dyDescent="0.35">
      <c r="A678" s="88" t="s">
        <v>1209</v>
      </c>
      <c r="B678" s="2" t="s">
        <v>790</v>
      </c>
      <c r="C678" s="18" t="s">
        <v>125</v>
      </c>
      <c r="D678" s="18" t="s">
        <v>57</v>
      </c>
      <c r="E678" s="18" t="s">
        <v>3343</v>
      </c>
      <c r="F678" s="19">
        <v>45684</v>
      </c>
      <c r="G678" s="108">
        <v>544698</v>
      </c>
      <c r="H678" s="37">
        <f t="shared" si="39"/>
        <v>5</v>
      </c>
      <c r="I678" s="37" t="str">
        <f>IF(H678&lt;91,"1-90 DAYS",IF(H107&lt;121,"91-120DAYS",IF(H107&lt;181,"121-180 DAYS","More than 180 Days")))</f>
        <v>1-90 DAYS</v>
      </c>
      <c r="J678" s="37" t="str">
        <f t="shared" si="40"/>
        <v>0-180 DAYS</v>
      </c>
    </row>
    <row r="679" spans="1:10" x14ac:dyDescent="0.35">
      <c r="A679" s="88" t="s">
        <v>1209</v>
      </c>
      <c r="B679" s="2" t="s">
        <v>790</v>
      </c>
      <c r="C679" s="18" t="s">
        <v>125</v>
      </c>
      <c r="D679" s="18" t="s">
        <v>57</v>
      </c>
      <c r="E679" s="18" t="s">
        <v>3344</v>
      </c>
      <c r="F679" s="19">
        <v>45684</v>
      </c>
      <c r="G679" s="108">
        <v>588928.05000000005</v>
      </c>
      <c r="H679" s="37">
        <f t="shared" si="39"/>
        <v>5</v>
      </c>
      <c r="I679" s="37" t="str">
        <f>IF(H679&lt;91,"1-90 DAYS",IF(H108&lt;121,"91-120DAYS",IF(H108&lt;181,"121-180 DAYS","More than 180 Days")))</f>
        <v>1-90 DAYS</v>
      </c>
      <c r="J679" s="37" t="str">
        <f t="shared" si="40"/>
        <v>0-180 DAYS</v>
      </c>
    </row>
    <row r="680" spans="1:10" x14ac:dyDescent="0.35">
      <c r="A680" s="88" t="s">
        <v>1209</v>
      </c>
      <c r="B680" s="2" t="s">
        <v>790</v>
      </c>
      <c r="C680" s="18" t="s">
        <v>125</v>
      </c>
      <c r="D680" s="18" t="s">
        <v>57</v>
      </c>
      <c r="E680" s="18" t="s">
        <v>3345</v>
      </c>
      <c r="F680" s="19">
        <v>45684</v>
      </c>
      <c r="G680" s="108">
        <v>2093.6799999999998</v>
      </c>
      <c r="H680" s="37">
        <f t="shared" si="39"/>
        <v>5</v>
      </c>
      <c r="I680" s="37" t="str">
        <f>IF(H680&lt;91,"1-90 DAYS",IF(#REF!&lt;121,"91-120DAYS",IF(#REF!&lt;181,"121-180 DAYS","More than 180 Days")))</f>
        <v>1-90 DAYS</v>
      </c>
      <c r="J680" s="37" t="str">
        <f t="shared" si="40"/>
        <v>0-180 DAYS</v>
      </c>
    </row>
    <row r="681" spans="1:10" x14ac:dyDescent="0.35">
      <c r="A681" s="88" t="s">
        <v>1209</v>
      </c>
      <c r="B681" s="2" t="s">
        <v>790</v>
      </c>
      <c r="C681" s="18" t="s">
        <v>125</v>
      </c>
      <c r="D681" s="18" t="s">
        <v>57</v>
      </c>
      <c r="E681" s="18" t="s">
        <v>3346</v>
      </c>
      <c r="F681" s="19">
        <v>45685</v>
      </c>
      <c r="G681" s="108">
        <v>8319.08</v>
      </c>
      <c r="H681" s="37">
        <f t="shared" si="39"/>
        <v>4</v>
      </c>
      <c r="I681" s="37" t="str">
        <f>IF(H681&lt;91,"1-90 DAYS",IF(#REF!&lt;121,"91-120DAYS",IF(#REF!&lt;181,"121-180 DAYS","More than 180 Days")))</f>
        <v>1-90 DAYS</v>
      </c>
      <c r="J681" s="37" t="str">
        <f t="shared" si="40"/>
        <v>0-180 DAYS</v>
      </c>
    </row>
    <row r="682" spans="1:10" x14ac:dyDescent="0.35">
      <c r="A682" s="88" t="s">
        <v>1209</v>
      </c>
      <c r="B682" s="2" t="s">
        <v>790</v>
      </c>
      <c r="C682" s="18" t="s">
        <v>125</v>
      </c>
      <c r="D682" s="18" t="s">
        <v>57</v>
      </c>
      <c r="E682" s="18" t="s">
        <v>3347</v>
      </c>
      <c r="F682" s="19">
        <v>45685</v>
      </c>
      <c r="G682" s="108">
        <v>743674.76</v>
      </c>
      <c r="H682" s="37">
        <f t="shared" si="39"/>
        <v>4</v>
      </c>
      <c r="I682" s="37" t="str">
        <f>IF(H682&lt;91,"1-90 DAYS",IF(#REF!&lt;121,"91-120DAYS",IF(#REF!&lt;181,"121-180 DAYS","More than 180 Days")))</f>
        <v>1-90 DAYS</v>
      </c>
      <c r="J682" s="37" t="str">
        <f t="shared" si="40"/>
        <v>0-180 DAYS</v>
      </c>
    </row>
    <row r="683" spans="1:10" x14ac:dyDescent="0.35">
      <c r="A683" s="88" t="s">
        <v>1209</v>
      </c>
      <c r="B683" s="2" t="s">
        <v>790</v>
      </c>
      <c r="C683" s="18" t="s">
        <v>125</v>
      </c>
      <c r="D683" s="18" t="s">
        <v>57</v>
      </c>
      <c r="E683" s="18" t="s">
        <v>3348</v>
      </c>
      <c r="F683" s="19">
        <v>45685</v>
      </c>
      <c r="G683" s="108">
        <v>110431.65</v>
      </c>
      <c r="H683" s="37">
        <f t="shared" si="39"/>
        <v>4</v>
      </c>
      <c r="I683" s="37" t="str">
        <f>IF(H683&lt;91,"1-90 DAYS",IF(#REF!&lt;121,"91-120DAYS",IF(#REF!&lt;181,"121-180 DAYS","More than 180 Days")))</f>
        <v>1-90 DAYS</v>
      </c>
      <c r="J683" s="37" t="str">
        <f t="shared" si="40"/>
        <v>0-180 DAYS</v>
      </c>
    </row>
    <row r="684" spans="1:10" x14ac:dyDescent="0.35">
      <c r="A684" s="88" t="s">
        <v>1209</v>
      </c>
      <c r="B684" s="2" t="s">
        <v>790</v>
      </c>
      <c r="C684" s="18" t="s">
        <v>125</v>
      </c>
      <c r="D684" s="18" t="s">
        <v>57</v>
      </c>
      <c r="E684" s="18" t="s">
        <v>3349</v>
      </c>
      <c r="F684" s="19">
        <v>45685</v>
      </c>
      <c r="G684" s="108">
        <v>204556.79</v>
      </c>
      <c r="H684" s="37">
        <f t="shared" si="39"/>
        <v>4</v>
      </c>
      <c r="I684" s="37" t="str">
        <f>IF(H684&lt;91,"1-90 DAYS",IF(#REF!&lt;121,"91-120DAYS",IF(#REF!&lt;181,"121-180 DAYS","More than 180 Days")))</f>
        <v>1-90 DAYS</v>
      </c>
      <c r="J684" s="37" t="str">
        <f t="shared" si="40"/>
        <v>0-180 DAYS</v>
      </c>
    </row>
    <row r="685" spans="1:10" x14ac:dyDescent="0.35">
      <c r="A685" s="88" t="s">
        <v>1209</v>
      </c>
      <c r="B685" s="2" t="s">
        <v>790</v>
      </c>
      <c r="C685" s="18" t="s">
        <v>125</v>
      </c>
      <c r="D685" s="18" t="s">
        <v>57</v>
      </c>
      <c r="E685" s="18" t="s">
        <v>3350</v>
      </c>
      <c r="F685" s="19">
        <v>45686</v>
      </c>
      <c r="G685" s="108">
        <v>463545.63</v>
      </c>
      <c r="H685" s="37">
        <f t="shared" si="39"/>
        <v>3</v>
      </c>
      <c r="I685" s="37" t="str">
        <f>IF(H685&lt;91,"1-90 DAYS",IF(#REF!&lt;121,"91-120DAYS",IF(#REF!&lt;181,"121-180 DAYS","More than 180 Days")))</f>
        <v>1-90 DAYS</v>
      </c>
      <c r="J685" s="37" t="str">
        <f t="shared" si="40"/>
        <v>0-180 DAYS</v>
      </c>
    </row>
    <row r="686" spans="1:10" x14ac:dyDescent="0.35">
      <c r="A686" s="88" t="s">
        <v>1209</v>
      </c>
      <c r="B686" s="2" t="s">
        <v>790</v>
      </c>
      <c r="C686" s="18" t="s">
        <v>125</v>
      </c>
      <c r="D686" s="18" t="s">
        <v>57</v>
      </c>
      <c r="E686" s="18" t="s">
        <v>3351</v>
      </c>
      <c r="F686" s="19">
        <v>45686</v>
      </c>
      <c r="G686" s="108">
        <v>709489.09</v>
      </c>
      <c r="H686" s="37">
        <f t="shared" si="39"/>
        <v>3</v>
      </c>
      <c r="I686" s="37" t="str">
        <f>IF(H686&lt;91,"1-90 DAYS",IF(#REF!&lt;121,"91-120DAYS",IF(#REF!&lt;181,"121-180 DAYS","More than 180 Days")))</f>
        <v>1-90 DAYS</v>
      </c>
      <c r="J686" s="37" t="str">
        <f t="shared" si="40"/>
        <v>0-180 DAYS</v>
      </c>
    </row>
    <row r="687" spans="1:10" x14ac:dyDescent="0.35">
      <c r="A687" s="88" t="s">
        <v>1209</v>
      </c>
      <c r="B687" s="2" t="s">
        <v>790</v>
      </c>
      <c r="C687" s="18" t="s">
        <v>125</v>
      </c>
      <c r="D687" s="18" t="s">
        <v>57</v>
      </c>
      <c r="E687" s="18" t="s">
        <v>3352</v>
      </c>
      <c r="F687" s="19">
        <v>45686</v>
      </c>
      <c r="G687" s="108">
        <v>8772.2000000000007</v>
      </c>
      <c r="H687" s="37">
        <f t="shared" si="39"/>
        <v>3</v>
      </c>
      <c r="I687" s="37" t="str">
        <f>IF(H687&lt;91,"1-90 DAYS",IF(#REF!&lt;121,"91-120DAYS",IF(#REF!&lt;181,"121-180 DAYS","More than 180 Days")))</f>
        <v>1-90 DAYS</v>
      </c>
      <c r="J687" s="37" t="str">
        <f t="shared" si="40"/>
        <v>0-180 DAYS</v>
      </c>
    </row>
    <row r="688" spans="1:10" x14ac:dyDescent="0.35">
      <c r="A688" s="88" t="s">
        <v>1209</v>
      </c>
      <c r="B688" s="2" t="s">
        <v>790</v>
      </c>
      <c r="C688" s="18" t="s">
        <v>125</v>
      </c>
      <c r="D688" s="18" t="s">
        <v>57</v>
      </c>
      <c r="E688" s="18" t="s">
        <v>3353</v>
      </c>
      <c r="F688" s="19">
        <v>45687</v>
      </c>
      <c r="G688" s="108">
        <v>176858.75</v>
      </c>
      <c r="H688" s="37">
        <f t="shared" si="39"/>
        <v>2</v>
      </c>
      <c r="I688" s="37" t="str">
        <f t="shared" ref="I688:I706" si="42">IF(H688&lt;91,"1-90 DAYS",IF(H109&lt;121,"91-120DAYS",IF(H109&lt;181,"121-180 DAYS","More than 180 Days")))</f>
        <v>1-90 DAYS</v>
      </c>
      <c r="J688" s="37" t="str">
        <f t="shared" si="40"/>
        <v>0-180 DAYS</v>
      </c>
    </row>
    <row r="689" spans="1:10" x14ac:dyDescent="0.35">
      <c r="A689" s="88" t="s">
        <v>1209</v>
      </c>
      <c r="B689" s="2" t="s">
        <v>790</v>
      </c>
      <c r="C689" s="18" t="s">
        <v>125</v>
      </c>
      <c r="D689" s="18" t="s">
        <v>57</v>
      </c>
      <c r="E689" s="18" t="s">
        <v>3354</v>
      </c>
      <c r="F689" s="19">
        <v>45687</v>
      </c>
      <c r="G689" s="108">
        <v>9450.8799999999992</v>
      </c>
      <c r="H689" s="37">
        <f t="shared" si="39"/>
        <v>2</v>
      </c>
      <c r="I689" s="37" t="str">
        <f t="shared" si="42"/>
        <v>1-90 DAYS</v>
      </c>
      <c r="J689" s="37" t="str">
        <f t="shared" si="40"/>
        <v>0-180 DAYS</v>
      </c>
    </row>
    <row r="690" spans="1:10" x14ac:dyDescent="0.35">
      <c r="A690" s="88" t="s">
        <v>1209</v>
      </c>
      <c r="B690" s="2" t="s">
        <v>790</v>
      </c>
      <c r="C690" s="18" t="s">
        <v>125</v>
      </c>
      <c r="D690" s="18" t="s">
        <v>57</v>
      </c>
      <c r="E690" s="18" t="s">
        <v>3355</v>
      </c>
      <c r="F690" s="19">
        <v>45687</v>
      </c>
      <c r="G690" s="108">
        <v>759908.58</v>
      </c>
      <c r="H690" s="37">
        <f t="shared" si="39"/>
        <v>2</v>
      </c>
      <c r="I690" s="37" t="str">
        <f t="shared" si="42"/>
        <v>1-90 DAYS</v>
      </c>
      <c r="J690" s="37" t="str">
        <f t="shared" si="40"/>
        <v>0-180 DAYS</v>
      </c>
    </row>
    <row r="691" spans="1:10" x14ac:dyDescent="0.35">
      <c r="A691" s="88" t="s">
        <v>1209</v>
      </c>
      <c r="B691" s="2" t="s">
        <v>790</v>
      </c>
      <c r="C691" s="18" t="s">
        <v>125</v>
      </c>
      <c r="D691" s="18" t="s">
        <v>57</v>
      </c>
      <c r="E691" s="18" t="s">
        <v>3356</v>
      </c>
      <c r="F691" s="19">
        <v>45688</v>
      </c>
      <c r="G691" s="108">
        <v>565211.74</v>
      </c>
      <c r="H691" s="37">
        <f t="shared" si="39"/>
        <v>1</v>
      </c>
      <c r="I691" s="37" t="str">
        <f t="shared" si="42"/>
        <v>1-90 DAYS</v>
      </c>
      <c r="J691" s="37" t="str">
        <f t="shared" si="40"/>
        <v>0-180 DAYS</v>
      </c>
    </row>
    <row r="692" spans="1:10" x14ac:dyDescent="0.35">
      <c r="A692" s="88" t="s">
        <v>1209</v>
      </c>
      <c r="B692" s="2" t="s">
        <v>790</v>
      </c>
      <c r="C692" s="18" t="s">
        <v>125</v>
      </c>
      <c r="D692" s="18" t="s">
        <v>57</v>
      </c>
      <c r="E692" s="18" t="s">
        <v>3357</v>
      </c>
      <c r="F692" s="19">
        <v>45688</v>
      </c>
      <c r="G692" s="108">
        <v>8319.08</v>
      </c>
      <c r="H692" s="37">
        <f t="shared" si="39"/>
        <v>1</v>
      </c>
      <c r="I692" s="37" t="str">
        <f t="shared" si="42"/>
        <v>1-90 DAYS</v>
      </c>
      <c r="J692" s="37" t="str">
        <f t="shared" si="40"/>
        <v>0-180 DAYS</v>
      </c>
    </row>
    <row r="693" spans="1:10" x14ac:dyDescent="0.35">
      <c r="A693" s="88" t="s">
        <v>1209</v>
      </c>
      <c r="B693" s="2" t="s">
        <v>790</v>
      </c>
      <c r="C693" s="18" t="s">
        <v>125</v>
      </c>
      <c r="D693" s="18" t="s">
        <v>57</v>
      </c>
      <c r="E693" s="18" t="s">
        <v>3358</v>
      </c>
      <c r="F693" s="19">
        <v>45688</v>
      </c>
      <c r="G693" s="108">
        <v>119883.2</v>
      </c>
      <c r="H693" s="37">
        <f t="shared" si="39"/>
        <v>1</v>
      </c>
      <c r="I693" s="37" t="str">
        <f t="shared" si="42"/>
        <v>1-90 DAYS</v>
      </c>
      <c r="J693" s="37" t="str">
        <f t="shared" si="40"/>
        <v>0-180 DAYS</v>
      </c>
    </row>
    <row r="694" spans="1:10" x14ac:dyDescent="0.35">
      <c r="A694" s="88" t="s">
        <v>1209</v>
      </c>
      <c r="B694" s="2" t="s">
        <v>790</v>
      </c>
      <c r="C694" s="18" t="s">
        <v>125</v>
      </c>
      <c r="D694" s="18" t="s">
        <v>57</v>
      </c>
      <c r="E694" s="18" t="s">
        <v>3359</v>
      </c>
      <c r="F694" s="19">
        <v>45688</v>
      </c>
      <c r="G694" s="108">
        <v>35207.57</v>
      </c>
      <c r="H694" s="37">
        <f t="shared" si="39"/>
        <v>1</v>
      </c>
      <c r="I694" s="37" t="str">
        <f t="shared" si="42"/>
        <v>1-90 DAYS</v>
      </c>
      <c r="J694" s="37" t="str">
        <f t="shared" si="40"/>
        <v>0-180 DAYS</v>
      </c>
    </row>
    <row r="695" spans="1:10" x14ac:dyDescent="0.35">
      <c r="A695" s="88" t="s">
        <v>1209</v>
      </c>
      <c r="B695" s="2" t="s">
        <v>790</v>
      </c>
      <c r="C695" s="18" t="s">
        <v>125</v>
      </c>
      <c r="D695" s="18" t="s">
        <v>57</v>
      </c>
      <c r="E695" s="18" t="s">
        <v>3360</v>
      </c>
      <c r="F695" s="19">
        <v>45659</v>
      </c>
      <c r="G695" s="108">
        <v>704818.19</v>
      </c>
      <c r="H695" s="37">
        <f t="shared" si="39"/>
        <v>30</v>
      </c>
      <c r="I695" s="37" t="str">
        <f t="shared" si="42"/>
        <v>1-90 DAYS</v>
      </c>
      <c r="J695" s="37" t="str">
        <f t="shared" si="40"/>
        <v>0-180 DAYS</v>
      </c>
    </row>
    <row r="696" spans="1:10" x14ac:dyDescent="0.35">
      <c r="A696" s="88" t="s">
        <v>1209</v>
      </c>
      <c r="B696" s="2" t="s">
        <v>790</v>
      </c>
      <c r="C696" s="18" t="s">
        <v>125</v>
      </c>
      <c r="D696" s="18" t="s">
        <v>57</v>
      </c>
      <c r="E696" s="18" t="s">
        <v>3361</v>
      </c>
      <c r="F696" s="19">
        <v>45663</v>
      </c>
      <c r="G696" s="108">
        <v>481612.29</v>
      </c>
      <c r="H696" s="37">
        <f t="shared" si="39"/>
        <v>26</v>
      </c>
      <c r="I696" s="37" t="str">
        <f t="shared" si="42"/>
        <v>1-90 DAYS</v>
      </c>
      <c r="J696" s="37" t="str">
        <f t="shared" si="40"/>
        <v>0-180 DAYS</v>
      </c>
    </row>
    <row r="697" spans="1:10" x14ac:dyDescent="0.35">
      <c r="A697" s="88" t="s">
        <v>1209</v>
      </c>
      <c r="B697" s="2" t="s">
        <v>790</v>
      </c>
      <c r="C697" s="18" t="s">
        <v>125</v>
      </c>
      <c r="D697" s="18" t="s">
        <v>57</v>
      </c>
      <c r="E697" s="18" t="s">
        <v>3362</v>
      </c>
      <c r="F697" s="19">
        <v>45663</v>
      </c>
      <c r="G697" s="108">
        <v>1471.39</v>
      </c>
      <c r="H697" s="37">
        <f t="shared" si="39"/>
        <v>26</v>
      </c>
      <c r="I697" s="37" t="str">
        <f t="shared" si="42"/>
        <v>1-90 DAYS</v>
      </c>
      <c r="J697" s="37" t="str">
        <f t="shared" si="40"/>
        <v>0-180 DAYS</v>
      </c>
    </row>
    <row r="698" spans="1:10" x14ac:dyDescent="0.35">
      <c r="A698" s="88" t="s">
        <v>1209</v>
      </c>
      <c r="B698" s="2" t="s">
        <v>790</v>
      </c>
      <c r="C698" s="18" t="s">
        <v>125</v>
      </c>
      <c r="D698" s="18" t="s">
        <v>57</v>
      </c>
      <c r="E698" s="18" t="s">
        <v>3363</v>
      </c>
      <c r="F698" s="19">
        <v>45665</v>
      </c>
      <c r="G698" s="108">
        <v>996255</v>
      </c>
      <c r="H698" s="37">
        <f t="shared" si="39"/>
        <v>24</v>
      </c>
      <c r="I698" s="37" t="str">
        <f t="shared" si="42"/>
        <v>1-90 DAYS</v>
      </c>
      <c r="J698" s="37" t="str">
        <f t="shared" si="40"/>
        <v>0-180 DAYS</v>
      </c>
    </row>
    <row r="699" spans="1:10" x14ac:dyDescent="0.35">
      <c r="A699" s="88" t="s">
        <v>1209</v>
      </c>
      <c r="B699" s="2" t="s">
        <v>790</v>
      </c>
      <c r="C699" s="18" t="s">
        <v>125</v>
      </c>
      <c r="D699" s="18" t="s">
        <v>57</v>
      </c>
      <c r="E699" s="18" t="s">
        <v>123</v>
      </c>
      <c r="F699" s="19">
        <v>45667</v>
      </c>
      <c r="G699" s="108">
        <v>3931884.34</v>
      </c>
      <c r="H699" s="37">
        <f t="shared" si="39"/>
        <v>22</v>
      </c>
      <c r="I699" s="37" t="str">
        <f t="shared" si="42"/>
        <v>1-90 DAYS</v>
      </c>
      <c r="J699" s="37" t="str">
        <f t="shared" si="40"/>
        <v>0-180 DAYS</v>
      </c>
    </row>
    <row r="700" spans="1:10" x14ac:dyDescent="0.35">
      <c r="A700" s="88" t="s">
        <v>1209</v>
      </c>
      <c r="B700" s="2" t="s">
        <v>790</v>
      </c>
      <c r="C700" s="18" t="s">
        <v>125</v>
      </c>
      <c r="D700" s="18" t="s">
        <v>57</v>
      </c>
      <c r="E700" s="18" t="s">
        <v>3364</v>
      </c>
      <c r="F700" s="19">
        <v>45668</v>
      </c>
      <c r="G700" s="108">
        <v>235042.14</v>
      </c>
      <c r="H700" s="37">
        <f t="shared" si="39"/>
        <v>21</v>
      </c>
      <c r="I700" s="37" t="str">
        <f t="shared" si="42"/>
        <v>1-90 DAYS</v>
      </c>
      <c r="J700" s="37" t="str">
        <f t="shared" si="40"/>
        <v>0-180 DAYS</v>
      </c>
    </row>
    <row r="701" spans="1:10" x14ac:dyDescent="0.35">
      <c r="A701" s="88" t="s">
        <v>1209</v>
      </c>
      <c r="B701" s="2" t="s">
        <v>790</v>
      </c>
      <c r="C701" s="18" t="s">
        <v>125</v>
      </c>
      <c r="D701" s="18" t="s">
        <v>57</v>
      </c>
      <c r="E701" s="18" t="s">
        <v>3365</v>
      </c>
      <c r="F701" s="19">
        <v>45670</v>
      </c>
      <c r="G701" s="108">
        <v>238988.27</v>
      </c>
      <c r="H701" s="37">
        <f t="shared" si="39"/>
        <v>19</v>
      </c>
      <c r="I701" s="37" t="str">
        <f t="shared" si="42"/>
        <v>1-90 DAYS</v>
      </c>
      <c r="J701" s="37" t="str">
        <f t="shared" si="40"/>
        <v>0-180 DAYS</v>
      </c>
    </row>
    <row r="702" spans="1:10" x14ac:dyDescent="0.35">
      <c r="A702" s="88" t="s">
        <v>1209</v>
      </c>
      <c r="B702" s="2" t="s">
        <v>790</v>
      </c>
      <c r="C702" s="18" t="s">
        <v>125</v>
      </c>
      <c r="D702" s="18" t="s">
        <v>57</v>
      </c>
      <c r="E702" s="18" t="s">
        <v>3366</v>
      </c>
      <c r="F702" s="19">
        <v>45673</v>
      </c>
      <c r="G702" s="108">
        <v>286406.46000000002</v>
      </c>
      <c r="H702" s="37">
        <f t="shared" si="39"/>
        <v>16</v>
      </c>
      <c r="I702" s="37" t="str">
        <f t="shared" si="42"/>
        <v>1-90 DAYS</v>
      </c>
      <c r="J702" s="37" t="str">
        <f t="shared" si="40"/>
        <v>0-180 DAYS</v>
      </c>
    </row>
    <row r="703" spans="1:10" x14ac:dyDescent="0.35">
      <c r="A703" s="88" t="s">
        <v>1209</v>
      </c>
      <c r="B703" s="2" t="s">
        <v>790</v>
      </c>
      <c r="C703" s="18" t="s">
        <v>125</v>
      </c>
      <c r="D703" s="18" t="s">
        <v>57</v>
      </c>
      <c r="E703" s="18" t="s">
        <v>3367</v>
      </c>
      <c r="F703" s="19">
        <v>45674</v>
      </c>
      <c r="G703" s="108">
        <v>516426.36</v>
      </c>
      <c r="H703" s="37">
        <f t="shared" si="39"/>
        <v>15</v>
      </c>
      <c r="I703" s="37" t="str">
        <f t="shared" si="42"/>
        <v>1-90 DAYS</v>
      </c>
      <c r="J703" s="37" t="str">
        <f t="shared" si="40"/>
        <v>0-180 DAYS</v>
      </c>
    </row>
    <row r="704" spans="1:10" x14ac:dyDescent="0.35">
      <c r="A704" s="88" t="s">
        <v>1209</v>
      </c>
      <c r="B704" s="2" t="s">
        <v>790</v>
      </c>
      <c r="C704" s="18" t="s">
        <v>125</v>
      </c>
      <c r="D704" s="18" t="s">
        <v>57</v>
      </c>
      <c r="E704" s="18" t="s">
        <v>3368</v>
      </c>
      <c r="F704" s="19">
        <v>45674</v>
      </c>
      <c r="G704" s="108">
        <v>5149.87</v>
      </c>
      <c r="H704" s="37">
        <f t="shared" si="39"/>
        <v>15</v>
      </c>
      <c r="I704" s="37" t="str">
        <f t="shared" si="42"/>
        <v>1-90 DAYS</v>
      </c>
      <c r="J704" s="37" t="str">
        <f t="shared" si="40"/>
        <v>0-180 DAYS</v>
      </c>
    </row>
    <row r="705" spans="1:10" x14ac:dyDescent="0.35">
      <c r="A705" s="88" t="s">
        <v>1209</v>
      </c>
      <c r="B705" s="2" t="s">
        <v>790</v>
      </c>
      <c r="C705" s="18" t="s">
        <v>125</v>
      </c>
      <c r="D705" s="18" t="s">
        <v>57</v>
      </c>
      <c r="E705" s="18" t="s">
        <v>258</v>
      </c>
      <c r="F705" s="19">
        <v>45676</v>
      </c>
      <c r="G705" s="108">
        <v>3850643.99</v>
      </c>
      <c r="H705" s="37">
        <f t="shared" si="39"/>
        <v>13</v>
      </c>
      <c r="I705" s="37" t="str">
        <f t="shared" si="42"/>
        <v>1-90 DAYS</v>
      </c>
      <c r="J705" s="37" t="str">
        <f t="shared" si="40"/>
        <v>0-180 DAYS</v>
      </c>
    </row>
    <row r="706" spans="1:10" x14ac:dyDescent="0.35">
      <c r="A706" s="88" t="s">
        <v>1209</v>
      </c>
      <c r="B706" s="2" t="s">
        <v>790</v>
      </c>
      <c r="C706" s="18" t="s">
        <v>125</v>
      </c>
      <c r="D706" s="18" t="s">
        <v>57</v>
      </c>
      <c r="E706" s="18" t="s">
        <v>3369</v>
      </c>
      <c r="F706" s="19">
        <v>45684</v>
      </c>
      <c r="G706" s="108">
        <v>503847.3</v>
      </c>
      <c r="H706" s="37">
        <f t="shared" si="39"/>
        <v>5</v>
      </c>
      <c r="I706" s="37" t="str">
        <f t="shared" si="42"/>
        <v>1-90 DAYS</v>
      </c>
      <c r="J706" s="37" t="str">
        <f t="shared" si="40"/>
        <v>0-180 DAYS</v>
      </c>
    </row>
    <row r="707" spans="1:10" x14ac:dyDescent="0.35">
      <c r="A707" s="88" t="s">
        <v>1209</v>
      </c>
      <c r="B707" s="2" t="s">
        <v>790</v>
      </c>
      <c r="C707" s="18" t="s">
        <v>125</v>
      </c>
      <c r="D707" s="18" t="s">
        <v>57</v>
      </c>
      <c r="E707" s="18" t="s">
        <v>3370</v>
      </c>
      <c r="F707" s="19">
        <v>45684</v>
      </c>
      <c r="G707" s="108">
        <v>5149.87</v>
      </c>
      <c r="H707" s="37">
        <f t="shared" si="39"/>
        <v>5</v>
      </c>
      <c r="I707" s="37" t="str">
        <f>IF(H707&lt;91,"1-90 DAYS",IF(#REF!&lt;121,"91-120DAYS",IF(#REF!&lt;181,"121-180 DAYS","More than 180 Days")))</f>
        <v>1-90 DAYS</v>
      </c>
      <c r="J707" s="37" t="str">
        <f t="shared" si="40"/>
        <v>0-180 DAYS</v>
      </c>
    </row>
    <row r="708" spans="1:10" x14ac:dyDescent="0.35">
      <c r="A708" s="88" t="s">
        <v>1209</v>
      </c>
      <c r="B708" s="2" t="s">
        <v>790</v>
      </c>
      <c r="C708" s="18" t="s">
        <v>125</v>
      </c>
      <c r="D708" s="18" t="s">
        <v>57</v>
      </c>
      <c r="E708" s="18" t="s">
        <v>268</v>
      </c>
      <c r="F708" s="19">
        <v>45684</v>
      </c>
      <c r="G708" s="108">
        <v>531885.1</v>
      </c>
      <c r="H708" s="37">
        <f t="shared" si="39"/>
        <v>5</v>
      </c>
      <c r="I708" s="37" t="str">
        <f>IF(H708&lt;91,"1-90 DAYS",IF(#REF!&lt;121,"91-120DAYS",IF(#REF!&lt;181,"121-180 DAYS","More than 180 Days")))</f>
        <v>1-90 DAYS</v>
      </c>
      <c r="J708" s="37" t="str">
        <f t="shared" si="40"/>
        <v>0-180 DAYS</v>
      </c>
    </row>
    <row r="709" spans="1:10" x14ac:dyDescent="0.35">
      <c r="A709" s="88" t="s">
        <v>1209</v>
      </c>
      <c r="B709" s="2" t="s">
        <v>790</v>
      </c>
      <c r="C709" s="18" t="s">
        <v>125</v>
      </c>
      <c r="D709" s="18" t="s">
        <v>57</v>
      </c>
      <c r="E709" s="18" t="s">
        <v>3371</v>
      </c>
      <c r="F709" s="19">
        <v>45688</v>
      </c>
      <c r="G709" s="108">
        <v>1321891.6000000001</v>
      </c>
      <c r="H709" s="37">
        <f t="shared" si="39"/>
        <v>1</v>
      </c>
      <c r="I709" s="37" t="str">
        <f>IF(H709&lt;91,"1-90 DAYS",IF(H128&lt;121,"91-120DAYS",IF(H128&lt;181,"121-180 DAYS","More than 180 Days")))</f>
        <v>1-90 DAYS</v>
      </c>
      <c r="J709" s="37" t="str">
        <f t="shared" si="40"/>
        <v>0-180 DAYS</v>
      </c>
    </row>
    <row r="710" spans="1:10" x14ac:dyDescent="0.35">
      <c r="A710" s="88" t="s">
        <v>1209</v>
      </c>
      <c r="B710" s="2" t="s">
        <v>790</v>
      </c>
      <c r="C710" s="18" t="s">
        <v>125</v>
      </c>
      <c r="D710" s="18" t="s">
        <v>57</v>
      </c>
      <c r="E710" s="18" t="s">
        <v>3372</v>
      </c>
      <c r="F710" s="19">
        <v>45688</v>
      </c>
      <c r="G710" s="108">
        <v>3395.52</v>
      </c>
      <c r="H710" s="37">
        <f t="shared" si="39"/>
        <v>1</v>
      </c>
      <c r="I710" s="37" t="str">
        <f>IF(H710&lt;91,"1-90 DAYS",IF(H129&lt;121,"91-120DAYS",IF(H129&lt;181,"121-180 DAYS","More than 180 Days")))</f>
        <v>1-90 DAYS</v>
      </c>
      <c r="J710" s="37" t="str">
        <f t="shared" si="40"/>
        <v>0-180 DAYS</v>
      </c>
    </row>
    <row r="711" spans="1:10" x14ac:dyDescent="0.35">
      <c r="A711" s="88" t="s">
        <v>1209</v>
      </c>
      <c r="B711" s="2" t="s">
        <v>790</v>
      </c>
      <c r="C711" s="18" t="s">
        <v>125</v>
      </c>
      <c r="D711" s="18" t="s">
        <v>57</v>
      </c>
      <c r="E711" s="18" t="s">
        <v>3373</v>
      </c>
      <c r="F711" s="19">
        <v>45688</v>
      </c>
      <c r="G711" s="108">
        <v>1691323.84</v>
      </c>
      <c r="H711" s="37">
        <f t="shared" si="39"/>
        <v>1</v>
      </c>
      <c r="I711" s="37" t="str">
        <f>IF(H711&lt;91,"1-90 DAYS",IF(H130&lt;121,"91-120DAYS",IF(H130&lt;181,"121-180 DAYS","More than 180 Days")))</f>
        <v>1-90 DAYS</v>
      </c>
      <c r="J711" s="37" t="str">
        <f t="shared" si="40"/>
        <v>0-180 DAYS</v>
      </c>
    </row>
    <row r="712" spans="1:10" x14ac:dyDescent="0.35">
      <c r="A712" s="88" t="s">
        <v>1209</v>
      </c>
      <c r="B712" s="2" t="s">
        <v>790</v>
      </c>
      <c r="C712" s="18" t="s">
        <v>125</v>
      </c>
      <c r="D712" s="18" t="s">
        <v>57</v>
      </c>
      <c r="E712" s="18" t="s">
        <v>3374</v>
      </c>
      <c r="F712" s="19">
        <v>45667</v>
      </c>
      <c r="G712" s="108">
        <v>69081.67</v>
      </c>
      <c r="H712" s="37">
        <f t="shared" si="39"/>
        <v>22</v>
      </c>
      <c r="I712" s="37" t="str">
        <f>IF(H712&lt;91,"1-90 DAYS",IF(H131&lt;121,"91-120DAYS",IF(H131&lt;181,"121-180 DAYS","More than 180 Days")))</f>
        <v>1-90 DAYS</v>
      </c>
      <c r="J712" s="37" t="str">
        <f t="shared" si="40"/>
        <v>0-180 DAYS</v>
      </c>
    </row>
    <row r="713" spans="1:10" x14ac:dyDescent="0.35">
      <c r="A713" s="88" t="s">
        <v>1209</v>
      </c>
      <c r="B713" s="2" t="s">
        <v>790</v>
      </c>
      <c r="C713" s="18" t="s">
        <v>125</v>
      </c>
      <c r="D713" s="18" t="s">
        <v>57</v>
      </c>
      <c r="E713" s="18" t="s">
        <v>3375</v>
      </c>
      <c r="F713" s="19">
        <v>45682</v>
      </c>
      <c r="G713" s="108">
        <v>1370478.64</v>
      </c>
      <c r="H713" s="37">
        <f t="shared" si="39"/>
        <v>7</v>
      </c>
      <c r="I713" s="37" t="str">
        <f>IF(H713&lt;91,"1-90 DAYS",IF(H132&lt;121,"91-120DAYS",IF(H132&lt;181,"121-180 DAYS","More than 180 Days")))</f>
        <v>1-90 DAYS</v>
      </c>
      <c r="J713" s="37" t="str">
        <f t="shared" si="40"/>
        <v>0-180 DAYS</v>
      </c>
    </row>
  </sheetData>
  <autoFilter ref="A11:K713" xr:uid="{F01D9CDB-6CEC-4BE0-B41A-9250C41CF7AF}"/>
  <conditionalFormatting sqref="E11">
    <cfRule type="duplicateValues" dxfId="66" priority="1"/>
    <cfRule type="duplicateValues" dxfId="65" priority="2"/>
  </conditionalFormatting>
  <conditionalFormatting sqref="E12">
    <cfRule type="duplicateValues" dxfId="64" priority="3"/>
  </conditionalFormatting>
  <conditionalFormatting sqref="E12:E13">
    <cfRule type="duplicateValues" dxfId="63" priority="6"/>
    <cfRule type="duplicateValues" dxfId="62" priority="7"/>
  </conditionalFormatting>
  <conditionalFormatting sqref="E24:E27">
    <cfRule type="duplicateValues" dxfId="61" priority="4"/>
  </conditionalFormatting>
  <conditionalFormatting sqref="E24:E29">
    <cfRule type="duplicateValues" dxfId="60" priority="5"/>
  </conditionalFormatting>
  <conditionalFormatting sqref="E24:E36">
    <cfRule type="duplicateValues" dxfId="59" priority="8"/>
    <cfRule type="duplicateValues" dxfId="58" priority="9"/>
  </conditionalFormatting>
  <dataValidations count="2">
    <dataValidation type="textLength" allowBlank="1" showInputMessage="1" showErrorMessage="1" error="GST Number, please update 15 characters" sqref="D12 D24:D29 D87:D108" xr:uid="{245CD9CF-6C13-4094-BE55-B3B7BD2BF236}">
      <formula1>15</formula1>
      <formula2>15</formula2>
    </dataValidation>
    <dataValidation type="textLength" operator="lessThanOrEqual" allowBlank="1" showInputMessage="1" showErrorMessage="1" error="Invoice number cannot be greater 18 characters" sqref="E12 E24:E29" xr:uid="{95B37AEE-07D4-457A-AF5B-0CA2A4F96544}">
      <formula1>18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9B1F-7D80-42CE-8B75-F93B7B96EF7F}">
  <sheetPr codeName="Sheet12">
    <tabColor rgb="FFFFC000"/>
  </sheetPr>
  <dimension ref="A2:F103"/>
  <sheetViews>
    <sheetView topLeftCell="A21" workbookViewId="0">
      <selection activeCell="E40" sqref="E40"/>
    </sheetView>
  </sheetViews>
  <sheetFormatPr defaultRowHeight="14.5" x14ac:dyDescent="0.35"/>
  <cols>
    <col min="1" max="1" width="36.1796875" bestFit="1" customWidth="1"/>
    <col min="2" max="2" width="17.54296875" bestFit="1" customWidth="1"/>
    <col min="3" max="3" width="17.7265625" style="59" customWidth="1"/>
    <col min="4" max="4" width="10.453125" bestFit="1" customWidth="1"/>
    <col min="5" max="5" width="14.6328125" style="67" bestFit="1" customWidth="1"/>
    <col min="6" max="6" width="13.6328125" bestFit="1" customWidth="1"/>
  </cols>
  <sheetData>
    <row r="2" spans="1:6" x14ac:dyDescent="0.35">
      <c r="F2" s="73"/>
    </row>
    <row r="3" spans="1:6" x14ac:dyDescent="0.35">
      <c r="A3" s="92" t="s">
        <v>1069</v>
      </c>
      <c r="B3" s="92" t="s">
        <v>1070</v>
      </c>
      <c r="C3" s="93" t="s">
        <v>1071</v>
      </c>
      <c r="D3" s="92" t="s">
        <v>1072</v>
      </c>
      <c r="E3" s="94" t="s">
        <v>1073</v>
      </c>
    </row>
    <row r="4" spans="1:6" x14ac:dyDescent="0.35">
      <c r="A4" s="147" t="s">
        <v>1405</v>
      </c>
      <c r="B4" s="148" t="s">
        <v>1074</v>
      </c>
      <c r="C4" s="91" t="s">
        <v>1075</v>
      </c>
      <c r="D4" s="161" t="s">
        <v>1493</v>
      </c>
      <c r="E4" s="171">
        <v>315368</v>
      </c>
      <c r="F4" s="171">
        <v>315368</v>
      </c>
    </row>
    <row r="5" spans="1:6" x14ac:dyDescent="0.35">
      <c r="A5" s="18" t="s">
        <v>3059</v>
      </c>
      <c r="B5" s="18" t="s">
        <v>3060</v>
      </c>
      <c r="C5" s="160" t="s">
        <v>3246</v>
      </c>
      <c r="D5" s="19">
        <v>45677</v>
      </c>
      <c r="E5" s="172">
        <f>527460-126970-108000</f>
        <v>292490</v>
      </c>
      <c r="F5" s="172">
        <f>527460-126970-108000</f>
        <v>292490</v>
      </c>
    </row>
    <row r="6" spans="1:6" x14ac:dyDescent="0.35">
      <c r="A6" s="18" t="s">
        <v>3059</v>
      </c>
      <c r="B6" s="18" t="s">
        <v>3060</v>
      </c>
      <c r="C6" s="160" t="s">
        <v>3247</v>
      </c>
      <c r="D6" s="19">
        <v>45677</v>
      </c>
      <c r="E6" s="172">
        <v>341295</v>
      </c>
      <c r="F6" s="172">
        <v>341295</v>
      </c>
    </row>
    <row r="7" spans="1:6" x14ac:dyDescent="0.35">
      <c r="A7" s="18" t="s">
        <v>3059</v>
      </c>
      <c r="B7" s="18" t="s">
        <v>3060</v>
      </c>
      <c r="C7" s="160" t="s">
        <v>3248</v>
      </c>
      <c r="D7" s="19">
        <v>45686</v>
      </c>
      <c r="E7" s="172">
        <v>342559</v>
      </c>
      <c r="F7" s="172">
        <v>342559</v>
      </c>
    </row>
    <row r="8" spans="1:6" x14ac:dyDescent="0.35">
      <c r="A8" s="18" t="s">
        <v>3059</v>
      </c>
      <c r="B8" s="18" t="s">
        <v>3060</v>
      </c>
      <c r="C8" s="160" t="s">
        <v>3249</v>
      </c>
      <c r="D8" s="19">
        <v>45686</v>
      </c>
      <c r="E8" s="172">
        <v>461751</v>
      </c>
      <c r="F8" s="172">
        <v>461751</v>
      </c>
    </row>
    <row r="9" spans="1:6" x14ac:dyDescent="0.35">
      <c r="A9" s="18" t="s">
        <v>3059</v>
      </c>
      <c r="B9" s="18" t="s">
        <v>3060</v>
      </c>
      <c r="C9" s="160" t="s">
        <v>3250</v>
      </c>
      <c r="D9" s="19">
        <v>45687</v>
      </c>
      <c r="E9" s="172">
        <v>385933</v>
      </c>
      <c r="F9" s="172">
        <v>385933</v>
      </c>
    </row>
    <row r="10" spans="1:6" x14ac:dyDescent="0.35">
      <c r="A10" s="18" t="s">
        <v>3059</v>
      </c>
      <c r="B10" s="18" t="s">
        <v>3060</v>
      </c>
      <c r="C10" s="160" t="s">
        <v>3251</v>
      </c>
      <c r="D10" s="19">
        <v>45688</v>
      </c>
      <c r="E10" s="172">
        <v>245105</v>
      </c>
      <c r="F10" s="172">
        <v>245105</v>
      </c>
    </row>
    <row r="11" spans="1:6" x14ac:dyDescent="0.35">
      <c r="A11" s="18" t="s">
        <v>1078</v>
      </c>
      <c r="B11" t="s">
        <v>1077</v>
      </c>
      <c r="C11" s="160" t="s">
        <v>3505</v>
      </c>
      <c r="D11" s="19">
        <v>45701</v>
      </c>
      <c r="E11" s="173">
        <f>2464110-1939206</f>
        <v>524904</v>
      </c>
      <c r="F11" s="173">
        <f>2464110-1939206</f>
        <v>524904</v>
      </c>
    </row>
    <row r="12" spans="1:6" x14ac:dyDescent="0.35">
      <c r="A12" s="18" t="s">
        <v>3245</v>
      </c>
      <c r="B12" t="s">
        <v>507</v>
      </c>
      <c r="C12" s="160">
        <v>90087649</v>
      </c>
      <c r="D12" s="19">
        <v>45720</v>
      </c>
      <c r="E12" s="172">
        <v>14256</v>
      </c>
      <c r="F12" s="172">
        <v>14256</v>
      </c>
    </row>
    <row r="13" spans="1:6" x14ac:dyDescent="0.35">
      <c r="A13" s="18" t="s">
        <v>1096</v>
      </c>
      <c r="B13" s="18" t="s">
        <v>1097</v>
      </c>
      <c r="C13" s="160" t="s">
        <v>3758</v>
      </c>
      <c r="D13" s="19">
        <v>45721</v>
      </c>
      <c r="E13" s="172">
        <v>218237.98</v>
      </c>
      <c r="F13" s="172">
        <v>218237.98</v>
      </c>
    </row>
    <row r="14" spans="1:6" x14ac:dyDescent="0.35">
      <c r="A14" s="18" t="s">
        <v>1403</v>
      </c>
      <c r="B14" s="18" t="s">
        <v>1404</v>
      </c>
      <c r="C14" s="160">
        <v>9325100156</v>
      </c>
      <c r="D14" s="19">
        <v>45774</v>
      </c>
      <c r="E14" s="172">
        <v>682641</v>
      </c>
      <c r="F14" s="172">
        <v>682641</v>
      </c>
    </row>
    <row r="15" spans="1:6" s="67" customFormat="1" x14ac:dyDescent="0.35">
      <c r="A15" s="18" t="s">
        <v>1076</v>
      </c>
      <c r="B15" s="18" t="s">
        <v>1077</v>
      </c>
      <c r="C15" s="160" t="s">
        <v>3834</v>
      </c>
      <c r="D15" s="19">
        <v>45781</v>
      </c>
      <c r="E15" s="108">
        <f>175081.5-170804</f>
        <v>4277.5</v>
      </c>
      <c r="F15" s="108">
        <f>175081.5-170804</f>
        <v>4277.5</v>
      </c>
    </row>
    <row r="16" spans="1:6" x14ac:dyDescent="0.35">
      <c r="A16" s="18" t="s">
        <v>3833</v>
      </c>
      <c r="B16" t="s">
        <v>507</v>
      </c>
      <c r="C16" s="160" t="s">
        <v>3777</v>
      </c>
      <c r="D16" s="19">
        <v>45796</v>
      </c>
      <c r="E16" s="108">
        <v>109797.12</v>
      </c>
      <c r="F16" s="108">
        <v>109797.12</v>
      </c>
    </row>
    <row r="17" spans="1:6" x14ac:dyDescent="0.35">
      <c r="A17" s="18" t="s">
        <v>2858</v>
      </c>
      <c r="B17" t="s">
        <v>507</v>
      </c>
      <c r="C17" s="160">
        <v>9925879200</v>
      </c>
      <c r="D17" s="19">
        <v>45792</v>
      </c>
      <c r="E17" s="108">
        <v>41654</v>
      </c>
      <c r="F17" s="108">
        <v>41654</v>
      </c>
    </row>
    <row r="18" spans="1:6" x14ac:dyDescent="0.35">
      <c r="A18" s="18" t="s">
        <v>3775</v>
      </c>
      <c r="B18" s="18" t="s">
        <v>3776</v>
      </c>
      <c r="C18" s="160" t="s">
        <v>3835</v>
      </c>
      <c r="D18" s="19">
        <v>45800</v>
      </c>
      <c r="E18" s="108">
        <v>2992.51</v>
      </c>
      <c r="F18" s="108">
        <v>2992.51</v>
      </c>
    </row>
    <row r="19" spans="1:6" x14ac:dyDescent="0.35">
      <c r="A19" s="18" t="s">
        <v>3911</v>
      </c>
      <c r="B19" s="18" t="s">
        <v>3921</v>
      </c>
      <c r="C19" s="160" t="s">
        <v>3914</v>
      </c>
      <c r="D19" s="19">
        <v>45817</v>
      </c>
      <c r="E19" s="108">
        <v>85875</v>
      </c>
      <c r="F19" s="108">
        <v>85875</v>
      </c>
    </row>
    <row r="20" spans="1:6" x14ac:dyDescent="0.35">
      <c r="A20" s="18" t="s">
        <v>1076</v>
      </c>
      <c r="B20" s="18" t="s">
        <v>1077</v>
      </c>
      <c r="C20" s="160" t="s">
        <v>3915</v>
      </c>
      <c r="D20" s="19">
        <v>45821</v>
      </c>
      <c r="E20" s="108">
        <v>159695.54999999999</v>
      </c>
      <c r="F20" s="108">
        <v>159695.54999999999</v>
      </c>
    </row>
    <row r="21" spans="1:6" x14ac:dyDescent="0.35">
      <c r="A21" s="18" t="s">
        <v>1076</v>
      </c>
      <c r="B21" s="18" t="s">
        <v>1077</v>
      </c>
      <c r="C21" s="160" t="s">
        <v>3916</v>
      </c>
      <c r="D21" s="19">
        <v>45821</v>
      </c>
      <c r="E21" s="108">
        <v>14678.55</v>
      </c>
      <c r="F21" s="108">
        <v>14678.55</v>
      </c>
    </row>
    <row r="22" spans="1:6" x14ac:dyDescent="0.35">
      <c r="A22" s="18" t="s">
        <v>3912</v>
      </c>
      <c r="B22" s="18" t="s">
        <v>3098</v>
      </c>
      <c r="C22" s="160" t="s">
        <v>3917</v>
      </c>
      <c r="D22" s="19">
        <v>45822</v>
      </c>
      <c r="E22" s="108">
        <v>20798</v>
      </c>
      <c r="F22" s="108">
        <v>20798</v>
      </c>
    </row>
    <row r="23" spans="1:6" x14ac:dyDescent="0.35">
      <c r="A23" s="18" t="s">
        <v>1403</v>
      </c>
      <c r="B23" s="18" t="s">
        <v>1404</v>
      </c>
      <c r="C23" s="160">
        <v>9325100470</v>
      </c>
      <c r="D23" s="19">
        <v>45824</v>
      </c>
      <c r="E23" s="108">
        <v>165060</v>
      </c>
      <c r="F23" s="108">
        <v>165060</v>
      </c>
    </row>
    <row r="24" spans="1:6" x14ac:dyDescent="0.35">
      <c r="A24" s="18" t="s">
        <v>3913</v>
      </c>
      <c r="B24" t="s">
        <v>507</v>
      </c>
      <c r="C24" s="160">
        <v>1015043040</v>
      </c>
      <c r="D24" s="19">
        <v>45830</v>
      </c>
      <c r="E24" s="108">
        <v>29680</v>
      </c>
      <c r="F24" s="108">
        <v>29680</v>
      </c>
    </row>
    <row r="25" spans="1:6" x14ac:dyDescent="0.35">
      <c r="A25" s="18" t="s">
        <v>3782</v>
      </c>
      <c r="B25" t="s">
        <v>507</v>
      </c>
      <c r="C25" s="160" t="s">
        <v>3945</v>
      </c>
      <c r="D25" s="19">
        <v>45830</v>
      </c>
      <c r="E25" s="108">
        <v>268976.27</v>
      </c>
      <c r="F25" s="108">
        <v>268976.27</v>
      </c>
    </row>
    <row r="26" spans="1:6" x14ac:dyDescent="0.35">
      <c r="A26" s="18" t="s">
        <v>1189</v>
      </c>
      <c r="B26" s="18" t="s">
        <v>1190</v>
      </c>
      <c r="C26" s="160" t="s">
        <v>3918</v>
      </c>
      <c r="D26" s="19">
        <v>45834</v>
      </c>
      <c r="E26" s="108">
        <v>142780</v>
      </c>
      <c r="F26" s="108">
        <v>142780</v>
      </c>
    </row>
    <row r="27" spans="1:6" x14ac:dyDescent="0.35">
      <c r="A27" s="18" t="s">
        <v>1403</v>
      </c>
      <c r="B27" s="18" t="s">
        <v>1404</v>
      </c>
      <c r="C27" s="160">
        <v>9125103989</v>
      </c>
      <c r="D27" s="19">
        <v>45835</v>
      </c>
      <c r="E27" s="108">
        <v>6927.12</v>
      </c>
      <c r="F27" s="108">
        <v>6927.12</v>
      </c>
    </row>
    <row r="28" spans="1:6" x14ac:dyDescent="0.35">
      <c r="A28" s="18" t="s">
        <v>1403</v>
      </c>
      <c r="B28" s="18" t="s">
        <v>1404</v>
      </c>
      <c r="C28" s="160">
        <v>9325100518</v>
      </c>
      <c r="D28" s="19">
        <v>45836</v>
      </c>
      <c r="E28" s="108">
        <v>25466.400000000001</v>
      </c>
      <c r="F28" s="108">
        <v>25466.400000000001</v>
      </c>
    </row>
    <row r="29" spans="1:6" x14ac:dyDescent="0.35">
      <c r="A29" s="18" t="s">
        <v>1403</v>
      </c>
      <c r="B29" s="18" t="s">
        <v>1404</v>
      </c>
      <c r="C29" s="160">
        <v>9125104258</v>
      </c>
      <c r="D29" s="19">
        <v>45838</v>
      </c>
      <c r="E29" s="108">
        <v>672030</v>
      </c>
      <c r="F29" s="108">
        <v>672030</v>
      </c>
    </row>
    <row r="30" spans="1:6" x14ac:dyDescent="0.35">
      <c r="A30" s="18" t="s">
        <v>1194</v>
      </c>
      <c r="B30" s="18" t="s">
        <v>1195</v>
      </c>
      <c r="C30" s="160" t="s">
        <v>3919</v>
      </c>
      <c r="D30" s="19">
        <v>45838</v>
      </c>
      <c r="E30" s="108">
        <v>103516</v>
      </c>
      <c r="F30" s="108">
        <v>103516</v>
      </c>
    </row>
    <row r="31" spans="1:6" x14ac:dyDescent="0.35">
      <c r="A31" s="18" t="s">
        <v>1403</v>
      </c>
      <c r="B31" s="18" t="s">
        <v>1404</v>
      </c>
      <c r="C31" s="160">
        <v>9325100564</v>
      </c>
      <c r="D31" s="19">
        <v>45847</v>
      </c>
      <c r="E31" s="108">
        <v>6927.12</v>
      </c>
      <c r="F31" s="108">
        <v>6927.12</v>
      </c>
    </row>
    <row r="32" spans="1:6" x14ac:dyDescent="0.35">
      <c r="A32" s="18" t="s">
        <v>2250</v>
      </c>
      <c r="B32" s="18" t="s">
        <v>2251</v>
      </c>
      <c r="C32" s="160" t="s">
        <v>4036</v>
      </c>
      <c r="D32" s="19">
        <v>45847</v>
      </c>
      <c r="E32" s="108">
        <f>1195859.7-1087943</f>
        <v>107916.69999999995</v>
      </c>
      <c r="F32" s="108">
        <f>1195859.7-1087943</f>
        <v>107916.69999999995</v>
      </c>
    </row>
    <row r="33" spans="1:6" x14ac:dyDescent="0.35">
      <c r="A33" s="18" t="s">
        <v>2250</v>
      </c>
      <c r="B33" s="18" t="s">
        <v>2251</v>
      </c>
      <c r="C33" s="160" t="s">
        <v>4037</v>
      </c>
      <c r="D33" s="19">
        <v>45854</v>
      </c>
      <c r="E33" s="108"/>
      <c r="F33" s="108">
        <v>1195859.7</v>
      </c>
    </row>
    <row r="34" spans="1:6" x14ac:dyDescent="0.35">
      <c r="A34" s="18" t="s">
        <v>1403</v>
      </c>
      <c r="B34" s="18" t="s">
        <v>1404</v>
      </c>
      <c r="C34" s="160">
        <v>9125105041</v>
      </c>
      <c r="D34" s="19">
        <v>45856</v>
      </c>
      <c r="E34" s="108">
        <v>398502</v>
      </c>
      <c r="F34" s="108">
        <v>398502</v>
      </c>
    </row>
    <row r="35" spans="1:6" x14ac:dyDescent="0.35">
      <c r="A35" s="18" t="s">
        <v>1189</v>
      </c>
      <c r="B35" s="18" t="s">
        <v>1190</v>
      </c>
      <c r="C35" s="160" t="s">
        <v>4038</v>
      </c>
      <c r="D35" s="19">
        <v>45857</v>
      </c>
      <c r="E35" s="108">
        <v>71390</v>
      </c>
      <c r="F35" s="108">
        <v>71390</v>
      </c>
    </row>
    <row r="36" spans="1:6" x14ac:dyDescent="0.35">
      <c r="A36" s="18" t="s">
        <v>1403</v>
      </c>
      <c r="B36" s="18" t="s">
        <v>1404</v>
      </c>
      <c r="C36" s="160">
        <v>9325100768</v>
      </c>
      <c r="D36" s="19">
        <v>45864</v>
      </c>
      <c r="E36" s="108">
        <v>153859.5</v>
      </c>
      <c r="F36" s="108">
        <v>153859.5</v>
      </c>
    </row>
    <row r="37" spans="1:6" x14ac:dyDescent="0.35">
      <c r="A37" s="18" t="s">
        <v>1403</v>
      </c>
      <c r="B37" s="18" t="s">
        <v>1404</v>
      </c>
      <c r="C37" s="160">
        <v>9325100790</v>
      </c>
      <c r="D37" s="19">
        <v>45867</v>
      </c>
      <c r="E37" s="108">
        <v>159165</v>
      </c>
      <c r="F37" s="108">
        <v>159165</v>
      </c>
    </row>
    <row r="38" spans="1:6" x14ac:dyDescent="0.35">
      <c r="A38" s="18" t="s">
        <v>2250</v>
      </c>
      <c r="B38" s="18" t="s">
        <v>2251</v>
      </c>
      <c r="C38" s="160" t="s">
        <v>4039</v>
      </c>
      <c r="D38" s="19">
        <v>45868</v>
      </c>
      <c r="E38" s="108">
        <v>586729.35</v>
      </c>
      <c r="F38" s="108">
        <v>586729.35</v>
      </c>
    </row>
    <row r="39" spans="1:6" x14ac:dyDescent="0.35">
      <c r="A39" s="18" t="s">
        <v>2250</v>
      </c>
      <c r="B39" s="18" t="s">
        <v>2251</v>
      </c>
      <c r="C39" s="160" t="s">
        <v>4040</v>
      </c>
      <c r="D39" s="19">
        <v>45869</v>
      </c>
      <c r="E39" s="108">
        <v>591445.35</v>
      </c>
      <c r="F39" s="108">
        <v>591445.35</v>
      </c>
    </row>
    <row r="40" spans="1:6" x14ac:dyDescent="0.35">
      <c r="A40" s="18" t="s">
        <v>2250</v>
      </c>
      <c r="B40" s="18" t="s">
        <v>2251</v>
      </c>
      <c r="C40" s="160" t="s">
        <v>4041</v>
      </c>
      <c r="D40" s="19">
        <v>45869</v>
      </c>
      <c r="E40" s="108">
        <v>586729.35</v>
      </c>
      <c r="F40" s="108">
        <v>586729.35</v>
      </c>
    </row>
    <row r="41" spans="1:6" x14ac:dyDescent="0.35">
      <c r="A41" s="18" t="s">
        <v>3912</v>
      </c>
      <c r="B41" s="18" t="s">
        <v>3098</v>
      </c>
      <c r="C41" s="160" t="s">
        <v>4042</v>
      </c>
      <c r="D41" s="19">
        <v>45869</v>
      </c>
      <c r="E41" s="108">
        <v>10634</v>
      </c>
      <c r="F41" s="108">
        <v>10634</v>
      </c>
    </row>
    <row r="42" spans="1:6" x14ac:dyDescent="0.35">
      <c r="A42" s="18" t="s">
        <v>1194</v>
      </c>
      <c r="B42" s="18" t="s">
        <v>1195</v>
      </c>
      <c r="C42" s="160" t="s">
        <v>4043</v>
      </c>
      <c r="D42" s="19">
        <v>45846</v>
      </c>
      <c r="E42" s="108">
        <v>134001</v>
      </c>
      <c r="F42" s="108">
        <v>134001</v>
      </c>
    </row>
    <row r="43" spans="1:6" x14ac:dyDescent="0.35">
      <c r="A43" s="18" t="s">
        <v>1079</v>
      </c>
      <c r="B43" t="s">
        <v>507</v>
      </c>
      <c r="C43" s="160" t="s">
        <v>3923</v>
      </c>
      <c r="D43" s="19">
        <v>45857</v>
      </c>
      <c r="E43" s="108"/>
      <c r="F43" s="108">
        <v>9482000</v>
      </c>
    </row>
    <row r="44" spans="1:6" x14ac:dyDescent="0.35">
      <c r="A44" s="18" t="s">
        <v>1194</v>
      </c>
      <c r="B44" s="18" t="s">
        <v>1195</v>
      </c>
      <c r="C44" s="160" t="s">
        <v>4044</v>
      </c>
      <c r="D44" s="19">
        <v>45866</v>
      </c>
      <c r="E44" s="108">
        <v>111935</v>
      </c>
      <c r="F44" s="108">
        <v>111935</v>
      </c>
    </row>
    <row r="45" spans="1:6" x14ac:dyDescent="0.35">
      <c r="A45" s="18" t="s">
        <v>1726</v>
      </c>
      <c r="B45" s="18" t="s">
        <v>2005</v>
      </c>
      <c r="C45" s="18">
        <v>12598</v>
      </c>
      <c r="D45" s="19">
        <v>45870</v>
      </c>
      <c r="E45" s="108">
        <v>78071.839999999997</v>
      </c>
      <c r="F45" s="108">
        <v>78071.839999999997</v>
      </c>
    </row>
    <row r="46" spans="1:6" x14ac:dyDescent="0.35">
      <c r="A46" s="18" t="s">
        <v>1189</v>
      </c>
      <c r="B46" s="18" t="s">
        <v>1190</v>
      </c>
      <c r="C46" s="18" t="s">
        <v>4159</v>
      </c>
      <c r="D46" s="19">
        <v>45873</v>
      </c>
      <c r="E46" s="108">
        <v>132072</v>
      </c>
      <c r="F46" s="108">
        <v>132072</v>
      </c>
    </row>
    <row r="47" spans="1:6" x14ac:dyDescent="0.35">
      <c r="A47" s="18" t="s">
        <v>4155</v>
      </c>
      <c r="B47" s="18" t="s">
        <v>4185</v>
      </c>
      <c r="C47" s="18" t="s">
        <v>4160</v>
      </c>
      <c r="D47" s="19">
        <v>45874</v>
      </c>
      <c r="E47" s="108">
        <v>80119.199999999997</v>
      </c>
      <c r="F47" s="108">
        <v>80119.199999999997</v>
      </c>
    </row>
    <row r="48" spans="1:6" x14ac:dyDescent="0.35">
      <c r="A48" s="18" t="s">
        <v>3911</v>
      </c>
      <c r="B48" s="18" t="s">
        <v>3921</v>
      </c>
      <c r="C48" s="18" t="s">
        <v>4161</v>
      </c>
      <c r="D48" s="19">
        <v>45875</v>
      </c>
      <c r="E48" s="108">
        <v>48622</v>
      </c>
      <c r="F48" s="108">
        <v>48622</v>
      </c>
    </row>
    <row r="49" spans="1:6" x14ac:dyDescent="0.35">
      <c r="A49" s="18" t="s">
        <v>4156</v>
      </c>
      <c r="B49" s="18" t="s">
        <v>4186</v>
      </c>
      <c r="C49" s="18" t="s">
        <v>4162</v>
      </c>
      <c r="D49" s="19">
        <v>45876</v>
      </c>
      <c r="E49" s="108">
        <v>820000</v>
      </c>
      <c r="F49" s="108">
        <v>820000</v>
      </c>
    </row>
    <row r="50" spans="1:6" x14ac:dyDescent="0.35">
      <c r="A50" s="18" t="s">
        <v>1403</v>
      </c>
      <c r="B50" s="18" t="s">
        <v>1404</v>
      </c>
      <c r="C50" s="18">
        <v>9325100831</v>
      </c>
      <c r="D50" s="19">
        <v>45876</v>
      </c>
      <c r="E50" s="108">
        <v>175081.5</v>
      </c>
      <c r="F50" s="108">
        <v>175081.5</v>
      </c>
    </row>
    <row r="51" spans="1:6" x14ac:dyDescent="0.35">
      <c r="A51" s="18" t="s">
        <v>1326</v>
      </c>
      <c r="B51" s="18" t="s">
        <v>1327</v>
      </c>
      <c r="C51" s="18">
        <v>397</v>
      </c>
      <c r="D51" s="19">
        <v>45876</v>
      </c>
      <c r="E51" s="108">
        <v>325890.59000000003</v>
      </c>
      <c r="F51" s="108">
        <v>325890.59000000003</v>
      </c>
    </row>
    <row r="52" spans="1:6" x14ac:dyDescent="0.35">
      <c r="A52" s="18" t="s">
        <v>1194</v>
      </c>
      <c r="B52" s="18" t="s">
        <v>1195</v>
      </c>
      <c r="C52" s="18" t="s">
        <v>4163</v>
      </c>
      <c r="D52" s="19">
        <v>45876</v>
      </c>
      <c r="E52" s="108">
        <v>98848.6</v>
      </c>
      <c r="F52" s="108">
        <v>98848.6</v>
      </c>
    </row>
    <row r="53" spans="1:6" x14ac:dyDescent="0.35">
      <c r="A53" s="18" t="s">
        <v>4045</v>
      </c>
      <c r="B53" s="18" t="s">
        <v>4185</v>
      </c>
      <c r="C53" s="18" t="s">
        <v>4164</v>
      </c>
      <c r="D53" s="19">
        <v>45877</v>
      </c>
      <c r="E53" s="108">
        <v>18971.990000000002</v>
      </c>
      <c r="F53" s="108">
        <v>18971.990000000002</v>
      </c>
    </row>
    <row r="54" spans="1:6" x14ac:dyDescent="0.35">
      <c r="A54" s="18" t="s">
        <v>1724</v>
      </c>
      <c r="B54" s="18" t="s">
        <v>1725</v>
      </c>
      <c r="C54" s="18" t="s">
        <v>4165</v>
      </c>
      <c r="D54" s="19">
        <v>45879</v>
      </c>
      <c r="E54" s="108">
        <f>1046952-76064</f>
        <v>970888</v>
      </c>
      <c r="F54" s="108">
        <f>1046952-76064</f>
        <v>970888</v>
      </c>
    </row>
    <row r="55" spans="1:6" x14ac:dyDescent="0.35">
      <c r="A55" s="18" t="s">
        <v>4157</v>
      </c>
      <c r="B55" s="18" t="s">
        <v>4187</v>
      </c>
      <c r="C55" s="18" t="s">
        <v>4166</v>
      </c>
      <c r="D55" s="19">
        <v>45881</v>
      </c>
      <c r="E55" s="108"/>
      <c r="F55" s="108">
        <v>19594985.399999999</v>
      </c>
    </row>
    <row r="56" spans="1:6" x14ac:dyDescent="0.35">
      <c r="A56" s="18" t="s">
        <v>1403</v>
      </c>
      <c r="B56" s="18" t="s">
        <v>1404</v>
      </c>
      <c r="C56" s="18">
        <v>9325100924</v>
      </c>
      <c r="D56" s="19">
        <v>45883</v>
      </c>
      <c r="E56" s="108">
        <v>119668.5</v>
      </c>
      <c r="F56" s="108">
        <v>119668.5</v>
      </c>
    </row>
    <row r="57" spans="1:6" x14ac:dyDescent="0.35">
      <c r="A57" s="18" t="s">
        <v>1403</v>
      </c>
      <c r="B57" s="18" t="s">
        <v>1404</v>
      </c>
      <c r="C57" s="18">
        <v>9125106542</v>
      </c>
      <c r="D57" s="19">
        <v>45887</v>
      </c>
      <c r="E57" s="108">
        <v>668493</v>
      </c>
      <c r="F57" s="108">
        <v>668493</v>
      </c>
    </row>
    <row r="58" spans="1:6" x14ac:dyDescent="0.35">
      <c r="A58" s="18" t="s">
        <v>1189</v>
      </c>
      <c r="B58" s="18" t="s">
        <v>1190</v>
      </c>
      <c r="C58" s="18" t="s">
        <v>4167</v>
      </c>
      <c r="D58" s="19">
        <v>45888</v>
      </c>
      <c r="E58" s="108">
        <v>142780</v>
      </c>
      <c r="F58" s="108">
        <v>142780</v>
      </c>
    </row>
    <row r="59" spans="1:6" x14ac:dyDescent="0.35">
      <c r="A59" s="18" t="s">
        <v>4154</v>
      </c>
      <c r="B59" s="18" t="s">
        <v>4185</v>
      </c>
      <c r="C59" s="18" t="s">
        <v>4168</v>
      </c>
      <c r="D59" s="19">
        <v>45891</v>
      </c>
      <c r="E59" s="108">
        <v>98975.25</v>
      </c>
      <c r="F59" s="108">
        <v>98975.25</v>
      </c>
    </row>
    <row r="60" spans="1:6" x14ac:dyDescent="0.35">
      <c r="A60" s="18" t="s">
        <v>1326</v>
      </c>
      <c r="B60" s="18" t="s">
        <v>1327</v>
      </c>
      <c r="C60" s="18">
        <v>471</v>
      </c>
      <c r="D60" s="19">
        <v>45892</v>
      </c>
      <c r="E60" s="108">
        <v>445662</v>
      </c>
      <c r="F60" s="108">
        <v>445662</v>
      </c>
    </row>
    <row r="61" spans="1:6" x14ac:dyDescent="0.35">
      <c r="A61" s="18" t="s">
        <v>2859</v>
      </c>
      <c r="B61" s="18" t="s">
        <v>4185</v>
      </c>
      <c r="C61" s="18" t="s">
        <v>4169</v>
      </c>
      <c r="D61" s="19">
        <v>45892</v>
      </c>
      <c r="E61" s="108"/>
      <c r="F61" s="108">
        <v>3040169.9</v>
      </c>
    </row>
    <row r="62" spans="1:6" x14ac:dyDescent="0.35">
      <c r="A62" s="18" t="s">
        <v>1095</v>
      </c>
      <c r="B62" s="18" t="s">
        <v>2352</v>
      </c>
      <c r="C62" s="18">
        <v>24183001067941</v>
      </c>
      <c r="D62" s="19">
        <v>45893</v>
      </c>
      <c r="E62" s="108">
        <f>3082141.8-2951667</f>
        <v>130474.79999999981</v>
      </c>
      <c r="F62" s="108">
        <f>3082141.8-2951667</f>
        <v>130474.79999999981</v>
      </c>
    </row>
    <row r="63" spans="1:6" x14ac:dyDescent="0.35">
      <c r="A63" s="18" t="s">
        <v>1095</v>
      </c>
      <c r="B63" s="18" t="s">
        <v>2352</v>
      </c>
      <c r="C63" s="18">
        <v>24183001067940</v>
      </c>
      <c r="D63" s="19">
        <v>45893</v>
      </c>
      <c r="E63" s="108">
        <v>616428.36</v>
      </c>
      <c r="F63" s="108">
        <v>616428.36</v>
      </c>
    </row>
    <row r="64" spans="1:6" x14ac:dyDescent="0.35">
      <c r="A64" s="18" t="s">
        <v>1403</v>
      </c>
      <c r="B64" s="18" t="s">
        <v>1404</v>
      </c>
      <c r="C64" s="18">
        <v>9325100982</v>
      </c>
      <c r="D64" s="19">
        <v>45895</v>
      </c>
      <c r="E64" s="108">
        <v>204556.5</v>
      </c>
      <c r="F64" s="108">
        <v>204556.5</v>
      </c>
    </row>
    <row r="65" spans="1:6" x14ac:dyDescent="0.35">
      <c r="A65" s="18" t="s">
        <v>1724</v>
      </c>
      <c r="B65" s="18" t="s">
        <v>1725</v>
      </c>
      <c r="C65" s="18" t="s">
        <v>4170</v>
      </c>
      <c r="D65" s="19">
        <v>45895</v>
      </c>
      <c r="E65" s="108">
        <v>1046952</v>
      </c>
      <c r="F65" s="108">
        <v>1046952</v>
      </c>
    </row>
    <row r="66" spans="1:6" x14ac:dyDescent="0.35">
      <c r="A66" s="18" t="s">
        <v>1189</v>
      </c>
      <c r="B66" s="18" t="s">
        <v>1190</v>
      </c>
      <c r="C66" s="18" t="s">
        <v>4171</v>
      </c>
      <c r="D66" s="19">
        <v>45897</v>
      </c>
      <c r="E66" s="108">
        <v>142780</v>
      </c>
      <c r="F66" s="108">
        <v>142780</v>
      </c>
    </row>
    <row r="67" spans="1:6" x14ac:dyDescent="0.35">
      <c r="A67" s="18" t="s">
        <v>1095</v>
      </c>
      <c r="B67" s="18" t="s">
        <v>2352</v>
      </c>
      <c r="C67" s="18">
        <v>24183001070076</v>
      </c>
      <c r="D67" s="19">
        <v>45897</v>
      </c>
      <c r="E67" s="108">
        <v>2331314.5099999998</v>
      </c>
      <c r="F67" s="108">
        <v>2331314.5099999998</v>
      </c>
    </row>
    <row r="68" spans="1:6" x14ac:dyDescent="0.35">
      <c r="A68" s="18" t="s">
        <v>1095</v>
      </c>
      <c r="B68" s="18" t="s">
        <v>2352</v>
      </c>
      <c r="C68" s="18">
        <v>24183001070077</v>
      </c>
      <c r="D68" s="19">
        <v>45897</v>
      </c>
      <c r="E68" s="108">
        <v>676833.25</v>
      </c>
      <c r="F68" s="108">
        <v>676833.25</v>
      </c>
    </row>
    <row r="69" spans="1:6" x14ac:dyDescent="0.35">
      <c r="A69" s="18" t="s">
        <v>4158</v>
      </c>
      <c r="B69" s="18" t="s">
        <v>4188</v>
      </c>
      <c r="C69" s="18" t="s">
        <v>4172</v>
      </c>
      <c r="D69" s="19">
        <v>45898</v>
      </c>
      <c r="E69" s="108">
        <v>1243720</v>
      </c>
      <c r="F69" s="108">
        <v>1243720</v>
      </c>
    </row>
    <row r="70" spans="1:6" x14ac:dyDescent="0.35">
      <c r="A70" s="18" t="s">
        <v>1095</v>
      </c>
      <c r="B70" s="18" t="s">
        <v>2352</v>
      </c>
      <c r="C70" s="18">
        <v>24183001070238</v>
      </c>
      <c r="D70" s="19">
        <v>45898</v>
      </c>
      <c r="E70" s="108">
        <v>1212106.32</v>
      </c>
      <c r="F70" s="108">
        <v>1212106.32</v>
      </c>
    </row>
    <row r="71" spans="1:6" x14ac:dyDescent="0.35">
      <c r="A71" s="18" t="s">
        <v>1095</v>
      </c>
      <c r="B71" s="18" t="s">
        <v>2352</v>
      </c>
      <c r="C71" s="18">
        <v>2418300101070230</v>
      </c>
      <c r="D71" s="19">
        <v>45898</v>
      </c>
      <c r="E71" s="108">
        <v>1849285.08</v>
      </c>
      <c r="F71" s="108">
        <v>1849285.08</v>
      </c>
    </row>
    <row r="72" spans="1:6" x14ac:dyDescent="0.35">
      <c r="A72" s="18" t="s">
        <v>2250</v>
      </c>
      <c r="B72" s="18" t="s">
        <v>2251</v>
      </c>
      <c r="C72" s="18" t="s">
        <v>4173</v>
      </c>
      <c r="D72" s="19">
        <v>45899</v>
      </c>
      <c r="E72" s="108">
        <v>580244.85</v>
      </c>
      <c r="F72" s="108">
        <v>580244.85</v>
      </c>
    </row>
    <row r="73" spans="1:6" x14ac:dyDescent="0.35">
      <c r="A73" s="18" t="s">
        <v>2250</v>
      </c>
      <c r="B73" s="18" t="s">
        <v>2251</v>
      </c>
      <c r="C73" s="18" t="s">
        <v>4174</v>
      </c>
      <c r="D73" s="19">
        <v>45899</v>
      </c>
      <c r="E73" s="108">
        <v>1160489.7</v>
      </c>
      <c r="F73" s="108">
        <v>1160489.7</v>
      </c>
    </row>
    <row r="74" spans="1:6" x14ac:dyDescent="0.35">
      <c r="A74" s="18" t="s">
        <v>2859</v>
      </c>
      <c r="B74" s="18" t="s">
        <v>4185</v>
      </c>
      <c r="C74" s="18" t="s">
        <v>4175</v>
      </c>
      <c r="D74" s="19">
        <v>45899</v>
      </c>
      <c r="E74" s="108">
        <v>2999671.01</v>
      </c>
      <c r="F74" s="108">
        <v>2999671.01</v>
      </c>
    </row>
    <row r="75" spans="1:6" x14ac:dyDescent="0.35">
      <c r="A75" s="18" t="s">
        <v>1095</v>
      </c>
      <c r="B75" s="18" t="s">
        <v>2352</v>
      </c>
      <c r="C75" s="18">
        <v>24183001071470</v>
      </c>
      <c r="D75" s="19">
        <v>45900</v>
      </c>
      <c r="E75" s="108">
        <v>2506789.7999999998</v>
      </c>
      <c r="F75" s="108">
        <v>2506789.7999999998</v>
      </c>
    </row>
    <row r="76" spans="1:6" x14ac:dyDescent="0.35">
      <c r="A76" s="18" t="s">
        <v>1726</v>
      </c>
      <c r="B76" s="18" t="s">
        <v>2005</v>
      </c>
      <c r="C76" s="18">
        <v>12641</v>
      </c>
      <c r="D76" s="19">
        <v>45870</v>
      </c>
      <c r="E76" s="108">
        <v>0</v>
      </c>
      <c r="F76" s="108">
        <v>223881.28</v>
      </c>
    </row>
    <row r="77" spans="1:6" x14ac:dyDescent="0.35">
      <c r="A77" s="18" t="s">
        <v>1724</v>
      </c>
      <c r="B77" s="18" t="s">
        <v>1725</v>
      </c>
      <c r="C77" s="18" t="s">
        <v>4176</v>
      </c>
      <c r="D77" s="19">
        <v>45872</v>
      </c>
      <c r="E77" s="108">
        <v>0</v>
      </c>
      <c r="F77" s="108">
        <v>881302.5</v>
      </c>
    </row>
    <row r="78" spans="1:6" x14ac:dyDescent="0.35">
      <c r="A78" s="18" t="s">
        <v>3775</v>
      </c>
      <c r="B78" s="18" t="s">
        <v>3776</v>
      </c>
      <c r="C78" s="18" t="s">
        <v>4177</v>
      </c>
      <c r="D78" s="19">
        <v>45875</v>
      </c>
      <c r="E78" s="108">
        <v>589517</v>
      </c>
      <c r="F78" s="108">
        <v>589517</v>
      </c>
    </row>
    <row r="79" spans="1:6" x14ac:dyDescent="0.35">
      <c r="A79" s="18" t="s">
        <v>1095</v>
      </c>
      <c r="B79" s="18" t="s">
        <v>2352</v>
      </c>
      <c r="C79" s="18">
        <v>24183001062162</v>
      </c>
      <c r="D79" s="19">
        <v>45880</v>
      </c>
      <c r="E79" s="108">
        <v>2552269.73</v>
      </c>
      <c r="F79" s="108">
        <v>2552269.73</v>
      </c>
    </row>
    <row r="80" spans="1:6" x14ac:dyDescent="0.35">
      <c r="A80" s="18" t="s">
        <v>3910</v>
      </c>
      <c r="B80" s="18" t="s">
        <v>3920</v>
      </c>
      <c r="C80" s="18" t="s">
        <v>4178</v>
      </c>
      <c r="D80" s="19">
        <v>45880</v>
      </c>
      <c r="E80" s="108">
        <f>2533663.8-661</f>
        <v>2533002.7999999998</v>
      </c>
      <c r="F80" s="108">
        <f>2533663.8-661</f>
        <v>2533002.7999999998</v>
      </c>
    </row>
    <row r="81" spans="1:6" x14ac:dyDescent="0.35">
      <c r="A81" s="18" t="s">
        <v>1724</v>
      </c>
      <c r="B81" s="18" t="s">
        <v>1725</v>
      </c>
      <c r="C81" s="18" t="s">
        <v>4179</v>
      </c>
      <c r="D81" s="19">
        <v>45884</v>
      </c>
      <c r="E81" s="108">
        <v>1046987.52</v>
      </c>
      <c r="F81" s="108">
        <v>1046987.52</v>
      </c>
    </row>
    <row r="82" spans="1:6" x14ac:dyDescent="0.35">
      <c r="A82" s="18" t="s">
        <v>1194</v>
      </c>
      <c r="B82" s="18" t="s">
        <v>1195</v>
      </c>
      <c r="C82" s="18" t="s">
        <v>4180</v>
      </c>
      <c r="D82" s="19">
        <v>45887</v>
      </c>
      <c r="E82" s="108">
        <v>122986</v>
      </c>
      <c r="F82" s="108">
        <v>122986</v>
      </c>
    </row>
    <row r="83" spans="1:6" x14ac:dyDescent="0.35">
      <c r="A83" s="18" t="s">
        <v>1194</v>
      </c>
      <c r="B83" s="18" t="s">
        <v>1195</v>
      </c>
      <c r="C83" s="18" t="s">
        <v>4181</v>
      </c>
      <c r="D83" s="19">
        <v>45888</v>
      </c>
      <c r="E83" s="108">
        <v>111935</v>
      </c>
      <c r="F83" s="108">
        <v>111935</v>
      </c>
    </row>
    <row r="84" spans="1:6" x14ac:dyDescent="0.35">
      <c r="A84" s="18" t="s">
        <v>3775</v>
      </c>
      <c r="B84" s="18" t="s">
        <v>3776</v>
      </c>
      <c r="C84" s="18" t="s">
        <v>4182</v>
      </c>
      <c r="D84" s="19">
        <v>45890</v>
      </c>
      <c r="E84" s="108">
        <v>1248385</v>
      </c>
      <c r="F84" s="108">
        <v>1248385</v>
      </c>
    </row>
    <row r="85" spans="1:6" x14ac:dyDescent="0.35">
      <c r="A85" s="18" t="s">
        <v>1095</v>
      </c>
      <c r="B85" s="18" t="s">
        <v>2352</v>
      </c>
      <c r="C85" s="18">
        <v>24183001067820</v>
      </c>
      <c r="D85" s="19">
        <v>45892</v>
      </c>
      <c r="E85" s="108">
        <v>2037335.58</v>
      </c>
      <c r="F85" s="108">
        <v>2037335.58</v>
      </c>
    </row>
    <row r="86" spans="1:6" x14ac:dyDescent="0.35">
      <c r="A86" s="18" t="s">
        <v>1079</v>
      </c>
      <c r="B86" s="18" t="s">
        <v>4185</v>
      </c>
      <c r="C86" s="18" t="s">
        <v>4183</v>
      </c>
      <c r="D86" s="19">
        <v>45892</v>
      </c>
      <c r="E86" s="108"/>
      <c r="F86" s="108">
        <v>9746000</v>
      </c>
    </row>
    <row r="87" spans="1:6" x14ac:dyDescent="0.35">
      <c r="A87" s="18" t="s">
        <v>1095</v>
      </c>
      <c r="B87" s="18" t="s">
        <v>2352</v>
      </c>
      <c r="C87" s="18">
        <v>24183025019812</v>
      </c>
      <c r="D87" s="19">
        <v>45895</v>
      </c>
      <c r="E87" s="108">
        <v>820183.14</v>
      </c>
      <c r="F87" s="108">
        <v>820183.14</v>
      </c>
    </row>
    <row r="88" spans="1:6" x14ac:dyDescent="0.35">
      <c r="A88" s="18" t="s">
        <v>1095</v>
      </c>
      <c r="B88" s="18" t="s">
        <v>2352</v>
      </c>
      <c r="C88" s="18">
        <v>24183025019813</v>
      </c>
      <c r="D88" s="19">
        <v>45895</v>
      </c>
      <c r="E88" s="108">
        <v>459279.45</v>
      </c>
      <c r="F88" s="108">
        <v>459279.45</v>
      </c>
    </row>
    <row r="89" spans="1:6" x14ac:dyDescent="0.35">
      <c r="A89" s="18" t="s">
        <v>1726</v>
      </c>
      <c r="B89" s="18" t="s">
        <v>2005</v>
      </c>
      <c r="C89" s="18">
        <v>12690</v>
      </c>
      <c r="D89" s="19">
        <v>45896</v>
      </c>
      <c r="E89" s="108">
        <v>84842.240000000005</v>
      </c>
      <c r="F89" s="108">
        <v>84842.240000000005</v>
      </c>
    </row>
    <row r="90" spans="1:6" x14ac:dyDescent="0.35">
      <c r="A90" s="18" t="s">
        <v>1095</v>
      </c>
      <c r="B90" s="18" t="s">
        <v>2352</v>
      </c>
      <c r="C90" s="18">
        <v>24183002009615</v>
      </c>
      <c r="D90" s="19">
        <v>45896</v>
      </c>
      <c r="E90" s="108">
        <v>2259897.19</v>
      </c>
      <c r="F90" s="108">
        <v>2259897.19</v>
      </c>
    </row>
    <row r="91" spans="1:6" x14ac:dyDescent="0.35">
      <c r="A91" s="18" t="s">
        <v>1095</v>
      </c>
      <c r="B91" s="18" t="s">
        <v>2352</v>
      </c>
      <c r="C91" s="18">
        <v>24183002009796</v>
      </c>
      <c r="D91" s="19">
        <v>45899</v>
      </c>
      <c r="E91" s="108">
        <v>637406.91</v>
      </c>
      <c r="F91" s="108">
        <v>637406.91</v>
      </c>
    </row>
    <row r="92" spans="1:6" x14ac:dyDescent="0.35">
      <c r="A92" s="18" t="s">
        <v>1095</v>
      </c>
      <c r="B92" s="18" t="s">
        <v>2352</v>
      </c>
      <c r="C92" s="18">
        <v>24183002009797</v>
      </c>
      <c r="D92" s="19">
        <v>45899</v>
      </c>
      <c r="E92" s="108">
        <v>1680436.37</v>
      </c>
      <c r="F92" s="108">
        <v>1680436.37</v>
      </c>
    </row>
    <row r="93" spans="1:6" x14ac:dyDescent="0.35">
      <c r="A93" s="18" t="s">
        <v>1095</v>
      </c>
      <c r="B93" s="18" t="s">
        <v>2352</v>
      </c>
      <c r="C93" s="18">
        <v>24183025020522</v>
      </c>
      <c r="D93" s="19">
        <v>45900</v>
      </c>
      <c r="E93" s="108">
        <v>658825.19999999995</v>
      </c>
      <c r="F93" s="108">
        <v>658825.19999999995</v>
      </c>
    </row>
    <row r="94" spans="1:6" x14ac:dyDescent="0.35">
      <c r="A94" s="18" t="s">
        <v>3910</v>
      </c>
      <c r="B94" s="18" t="s">
        <v>3920</v>
      </c>
      <c r="C94" s="18" t="s">
        <v>4184</v>
      </c>
      <c r="D94" s="19">
        <v>45900</v>
      </c>
      <c r="E94" s="108">
        <v>2922094.98</v>
      </c>
      <c r="F94" s="108">
        <v>2922094.98</v>
      </c>
    </row>
    <row r="95" spans="1:6" x14ac:dyDescent="0.35">
      <c r="A95" s="169" t="s">
        <v>3922</v>
      </c>
      <c r="B95" t="s">
        <v>507</v>
      </c>
      <c r="C95" s="169" t="s">
        <v>4196</v>
      </c>
      <c r="D95" t="s">
        <v>4190</v>
      </c>
      <c r="E95" s="67">
        <v>9132340</v>
      </c>
      <c r="F95" t="s">
        <v>3781</v>
      </c>
    </row>
    <row r="96" spans="1:6" x14ac:dyDescent="0.35">
      <c r="A96" s="169" t="s">
        <v>3922</v>
      </c>
      <c r="B96" t="s">
        <v>507</v>
      </c>
      <c r="C96" s="169" t="s">
        <v>4197</v>
      </c>
      <c r="D96" t="s">
        <v>4190</v>
      </c>
      <c r="E96" s="67">
        <v>9132340</v>
      </c>
      <c r="F96" t="s">
        <v>3781</v>
      </c>
    </row>
    <row r="97" spans="1:6" x14ac:dyDescent="0.35">
      <c r="A97" s="169" t="s">
        <v>4200</v>
      </c>
      <c r="B97" t="s">
        <v>507</v>
      </c>
      <c r="C97" s="169">
        <v>90193923</v>
      </c>
      <c r="D97" t="s">
        <v>4191</v>
      </c>
      <c r="E97" s="67">
        <v>4101619.5000000005</v>
      </c>
      <c r="F97" t="s">
        <v>3781</v>
      </c>
    </row>
    <row r="98" spans="1:6" x14ac:dyDescent="0.35">
      <c r="A98" s="169" t="s">
        <v>4200</v>
      </c>
      <c r="B98" t="s">
        <v>507</v>
      </c>
      <c r="C98" s="169">
        <v>90194008</v>
      </c>
      <c r="D98" t="s">
        <v>4192</v>
      </c>
      <c r="E98" s="67">
        <v>7679628.0000000009</v>
      </c>
      <c r="F98" t="s">
        <v>3781</v>
      </c>
    </row>
    <row r="99" spans="1:6" x14ac:dyDescent="0.35">
      <c r="A99" s="169" t="s">
        <v>4200</v>
      </c>
      <c r="B99" t="s">
        <v>507</v>
      </c>
      <c r="C99" s="169">
        <v>90194373</v>
      </c>
      <c r="D99" t="s">
        <v>4193</v>
      </c>
      <c r="E99" s="67">
        <v>4254339.375</v>
      </c>
      <c r="F99" t="s">
        <v>3781</v>
      </c>
    </row>
    <row r="100" spans="1:6" x14ac:dyDescent="0.35">
      <c r="A100" s="169" t="s">
        <v>4201</v>
      </c>
      <c r="B100" t="s">
        <v>507</v>
      </c>
      <c r="C100" s="169" t="s">
        <v>4198</v>
      </c>
      <c r="D100" t="s">
        <v>4192</v>
      </c>
      <c r="E100" s="67">
        <v>6938110.2000000002</v>
      </c>
      <c r="F100" t="s">
        <v>3781</v>
      </c>
    </row>
    <row r="101" spans="1:6" x14ac:dyDescent="0.35">
      <c r="A101" s="169" t="s">
        <v>4202</v>
      </c>
      <c r="B101" t="s">
        <v>507</v>
      </c>
      <c r="C101" s="169" t="s">
        <v>4199</v>
      </c>
      <c r="D101" t="s">
        <v>4194</v>
      </c>
      <c r="E101" s="67">
        <v>5454281.25</v>
      </c>
      <c r="F101" t="s">
        <v>3781</v>
      </c>
    </row>
    <row r="102" spans="1:6" x14ac:dyDescent="0.35">
      <c r="A102" s="169" t="s">
        <v>4203</v>
      </c>
      <c r="B102" t="s">
        <v>507</v>
      </c>
      <c r="C102" s="169">
        <v>6060083010</v>
      </c>
      <c r="D102" t="s">
        <v>4195</v>
      </c>
      <c r="E102" s="67">
        <v>4712499</v>
      </c>
      <c r="F102" t="s">
        <v>3781</v>
      </c>
    </row>
    <row r="103" spans="1:6" x14ac:dyDescent="0.35">
      <c r="E103" s="67">
        <f>SUM(E4:E102)</f>
        <v>100694310.455</v>
      </c>
    </row>
  </sheetData>
  <autoFilter ref="A3:F94" xr:uid="{E85884B5-E379-4DD2-A74C-87D9028395C4}"/>
  <conditionalFormatting sqref="C3">
    <cfRule type="duplicateValues" dxfId="57" priority="1"/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51C3-B717-4546-B0C6-17633E69C7FC}">
  <sheetPr codeName="Sheet13">
    <tabColor theme="7"/>
  </sheetPr>
  <dimension ref="A1:N499"/>
  <sheetViews>
    <sheetView topLeftCell="A8" workbookViewId="0">
      <selection activeCell="H20" sqref="H20"/>
    </sheetView>
  </sheetViews>
  <sheetFormatPr defaultRowHeight="14.5" x14ac:dyDescent="0.35"/>
  <cols>
    <col min="3" max="3" width="38.7265625" bestFit="1" customWidth="1"/>
    <col min="4" max="4" width="16.7265625" bestFit="1" customWidth="1"/>
    <col min="5" max="5" width="16.6328125" bestFit="1" customWidth="1"/>
    <col min="6" max="6" width="17.453125" bestFit="1" customWidth="1"/>
    <col min="7" max="7" width="16.08984375" style="97" bestFit="1" customWidth="1"/>
    <col min="8" max="8" width="14.6328125" bestFit="1" customWidth="1"/>
    <col min="9" max="9" width="12.54296875" bestFit="1" customWidth="1"/>
    <col min="10" max="10" width="16.1796875" bestFit="1" customWidth="1"/>
    <col min="12" max="14" width="10" bestFit="1" customWidth="1"/>
  </cols>
  <sheetData>
    <row r="1" spans="1:14" x14ac:dyDescent="0.35">
      <c r="C1" s="149" t="s">
        <v>1052</v>
      </c>
      <c r="D1" s="168">
        <v>24555753.57</v>
      </c>
    </row>
    <row r="2" spans="1:14" x14ac:dyDescent="0.35">
      <c r="C2" s="149" t="s">
        <v>1086</v>
      </c>
      <c r="D2" s="168">
        <v>3194086.2499999995</v>
      </c>
    </row>
    <row r="3" spans="1:14" x14ac:dyDescent="0.35">
      <c r="C3" s="149" t="s">
        <v>577</v>
      </c>
      <c r="D3" s="168">
        <v>105694141.96999998</v>
      </c>
    </row>
    <row r="4" spans="1:14" x14ac:dyDescent="0.35">
      <c r="C4" s="149" t="s">
        <v>573</v>
      </c>
      <c r="D4" s="168">
        <v>17878609.009999998</v>
      </c>
    </row>
    <row r="5" spans="1:14" x14ac:dyDescent="0.35">
      <c r="C5" s="149" t="s">
        <v>588</v>
      </c>
      <c r="D5" s="168">
        <v>7353599.2699999996</v>
      </c>
    </row>
    <row r="6" spans="1:14" x14ac:dyDescent="0.35">
      <c r="C6" s="149" t="s">
        <v>596</v>
      </c>
      <c r="D6" s="168">
        <v>9729637.120000001</v>
      </c>
    </row>
    <row r="7" spans="1:14" x14ac:dyDescent="0.35">
      <c r="C7" s="149" t="s">
        <v>3761</v>
      </c>
      <c r="D7" s="168">
        <v>8480856</v>
      </c>
    </row>
    <row r="8" spans="1:14" x14ac:dyDescent="0.35">
      <c r="H8" s="97"/>
      <c r="I8" s="73"/>
    </row>
    <row r="9" spans="1:14" x14ac:dyDescent="0.35">
      <c r="E9" s="66"/>
      <c r="F9" s="66"/>
      <c r="H9" s="174">
        <v>45930</v>
      </c>
    </row>
    <row r="10" spans="1:14" x14ac:dyDescent="0.35">
      <c r="E10" s="66"/>
      <c r="F10" s="66"/>
      <c r="G10" s="97">
        <f>SUBTOTAL(9,G12:G499)</f>
        <v>898112394.48779476</v>
      </c>
      <c r="H10" s="35"/>
      <c r="L10" s="66"/>
    </row>
    <row r="11" spans="1:14" x14ac:dyDescent="0.35">
      <c r="A11" s="2" t="s">
        <v>478</v>
      </c>
      <c r="B11" s="2" t="s">
        <v>787</v>
      </c>
      <c r="C11" s="80" t="s">
        <v>472</v>
      </c>
      <c r="D11" s="80" t="s">
        <v>473</v>
      </c>
      <c r="E11" s="81" t="s">
        <v>474</v>
      </c>
      <c r="F11" s="80" t="s">
        <v>475</v>
      </c>
      <c r="G11" s="86" t="s">
        <v>476</v>
      </c>
      <c r="H11" s="83" t="s">
        <v>483</v>
      </c>
      <c r="I11" s="83" t="s">
        <v>484</v>
      </c>
      <c r="J11" s="83" t="s">
        <v>1051</v>
      </c>
      <c r="K11" s="89"/>
    </row>
    <row r="12" spans="1:14" x14ac:dyDescent="0.35">
      <c r="A12" s="2" t="s">
        <v>1085</v>
      </c>
      <c r="B12" s="2" t="s">
        <v>790</v>
      </c>
      <c r="C12" s="37" t="s">
        <v>518</v>
      </c>
      <c r="D12" s="37" t="s">
        <v>507</v>
      </c>
      <c r="E12" s="37" t="s">
        <v>519</v>
      </c>
      <c r="F12" s="174" t="s">
        <v>1406</v>
      </c>
      <c r="G12" s="67">
        <v>3151699.2</v>
      </c>
      <c r="H12" s="37">
        <f t="shared" ref="H12:H75" si="0">$H$9-F12+1</f>
        <v>1063</v>
      </c>
      <c r="I12" s="37" t="str">
        <f>IF(H12&lt;121,"0-120 DAYS",IF(H12&lt;181,"121-180 DAYS","More than 180 Days"))</f>
        <v>More than 180 Days</v>
      </c>
      <c r="J12" s="37" t="str">
        <f>IF(H12&lt;180,"0-180 DAYS","More than 180 Days")</f>
        <v>More than 180 Days</v>
      </c>
      <c r="L12" s="66" t="s">
        <v>1406</v>
      </c>
      <c r="M12" s="66">
        <v>3151699.2</v>
      </c>
      <c r="N12" s="66"/>
    </row>
    <row r="13" spans="1:14" x14ac:dyDescent="0.35">
      <c r="A13" s="2" t="s">
        <v>1085</v>
      </c>
      <c r="B13" s="2" t="s">
        <v>790</v>
      </c>
      <c r="C13" s="37" t="s">
        <v>520</v>
      </c>
      <c r="D13" s="37" t="s">
        <v>507</v>
      </c>
      <c r="E13" s="37" t="s">
        <v>521</v>
      </c>
      <c r="F13" s="174" t="s">
        <v>1406</v>
      </c>
      <c r="G13" s="67">
        <v>3151699.2</v>
      </c>
      <c r="H13" s="37">
        <f t="shared" si="0"/>
        <v>1063</v>
      </c>
      <c r="I13" s="37" t="str">
        <f>IF(H13&lt;121,"0-120 DAYS",IF(H13&lt;181,"121-180 DAYS","More than 180 Days"))</f>
        <v>More than 180 Days</v>
      </c>
      <c r="J13" s="37" t="str">
        <f>IF(H13&lt;180,"0-180 DAYS","More than 180 Days")</f>
        <v>More than 180 Days</v>
      </c>
      <c r="L13" s="66" t="s">
        <v>1406</v>
      </c>
      <c r="M13" s="66">
        <v>3151699.2</v>
      </c>
      <c r="N13" s="66"/>
    </row>
    <row r="14" spans="1:14" x14ac:dyDescent="0.35">
      <c r="A14" s="2" t="s">
        <v>1727</v>
      </c>
      <c r="B14" s="2" t="s">
        <v>788</v>
      </c>
      <c r="C14" s="44" t="s">
        <v>1729</v>
      </c>
      <c r="D14" s="2" t="s">
        <v>507</v>
      </c>
      <c r="E14" s="140" t="s">
        <v>4189</v>
      </c>
      <c r="F14" s="174">
        <v>45900</v>
      </c>
      <c r="G14" s="114">
        <f>384.387435377947*10^5</f>
        <v>38438743.537794702</v>
      </c>
      <c r="H14" s="37">
        <f t="shared" si="0"/>
        <v>31</v>
      </c>
      <c r="I14" s="37" t="str">
        <f>IF(H14&lt;91,"1-90 DAYS",IF(H14&lt;121,"91-120DAYS",IF(H14&lt;181,"121-180 DAYS","More than 180 Days")))</f>
        <v>1-90 DAYS</v>
      </c>
      <c r="J14" s="37" t="str">
        <f t="shared" ref="J14:J77" si="1">IF(H14&lt;180,"0-180 DAYS","More than 180 Days")</f>
        <v>0-180 DAYS</v>
      </c>
      <c r="K14" t="s">
        <v>1730</v>
      </c>
      <c r="L14" s="66" t="s">
        <v>4204</v>
      </c>
      <c r="M14" s="66">
        <v>38438743.539999999</v>
      </c>
      <c r="N14" s="66"/>
    </row>
    <row r="15" spans="1:14" x14ac:dyDescent="0.35">
      <c r="A15" s="2" t="s">
        <v>477</v>
      </c>
      <c r="B15" s="2" t="s">
        <v>790</v>
      </c>
      <c r="C15" s="2" t="s">
        <v>0</v>
      </c>
      <c r="D15" s="2" t="s">
        <v>1</v>
      </c>
      <c r="E15" s="3" t="s">
        <v>1058</v>
      </c>
      <c r="F15" s="174" t="s">
        <v>1425</v>
      </c>
      <c r="G15" s="67">
        <v>82517.399999999994</v>
      </c>
      <c r="H15" s="37">
        <f t="shared" si="0"/>
        <v>1335</v>
      </c>
      <c r="I15" s="37" t="str">
        <f>IF(H15&lt;91,"1-90 DAYS",IF(H15&lt;121,"91-120DAYS",IF(H15&lt;181,"121-180 DAYS","More than 180 Days")))</f>
        <v>More than 180 Days</v>
      </c>
      <c r="J15" s="37" t="str">
        <f t="shared" si="1"/>
        <v>More than 180 Days</v>
      </c>
      <c r="L15" s="66" t="s">
        <v>1425</v>
      </c>
      <c r="M15" s="66">
        <v>82517.399999999994</v>
      </c>
      <c r="N15" s="66"/>
    </row>
    <row r="16" spans="1:14" x14ac:dyDescent="0.35">
      <c r="A16" s="2" t="s">
        <v>477</v>
      </c>
      <c r="B16" s="2" t="s">
        <v>790</v>
      </c>
      <c r="C16" s="44" t="s">
        <v>0</v>
      </c>
      <c r="D16" s="44" t="s">
        <v>1</v>
      </c>
      <c r="E16" s="44" t="s">
        <v>1059</v>
      </c>
      <c r="F16" s="174" t="s">
        <v>1426</v>
      </c>
      <c r="G16" s="67">
        <v>49754.7</v>
      </c>
      <c r="H16" s="37">
        <f t="shared" si="0"/>
        <v>911</v>
      </c>
      <c r="I16" s="37" t="str">
        <f t="shared" ref="I16:I24" si="2">IF(H16&lt;91,"1-90 DAYS",IF(H16&lt;121,"91-120DAYS",IF(H16&lt;181,"121-180 DAYS","More than 180 Days")))</f>
        <v>More than 180 Days</v>
      </c>
      <c r="J16" s="37" t="str">
        <f t="shared" si="1"/>
        <v>More than 180 Days</v>
      </c>
      <c r="L16" s="66" t="s">
        <v>1426</v>
      </c>
      <c r="M16" s="66">
        <v>49754.7</v>
      </c>
      <c r="N16" s="66"/>
    </row>
    <row r="17" spans="1:14" x14ac:dyDescent="0.35">
      <c r="A17" s="2" t="s">
        <v>477</v>
      </c>
      <c r="B17" s="2" t="s">
        <v>790</v>
      </c>
      <c r="C17" s="44" t="s">
        <v>35</v>
      </c>
      <c r="D17" s="44" t="s">
        <v>36</v>
      </c>
      <c r="E17" s="44" t="s">
        <v>1192</v>
      </c>
      <c r="F17" s="174" t="s">
        <v>1436</v>
      </c>
      <c r="G17" s="67">
        <v>580857.09</v>
      </c>
      <c r="H17" s="37">
        <f t="shared" si="0"/>
        <v>689</v>
      </c>
      <c r="I17" s="37" t="str">
        <f t="shared" si="2"/>
        <v>More than 180 Days</v>
      </c>
      <c r="J17" s="37" t="str">
        <f t="shared" si="1"/>
        <v>More than 180 Days</v>
      </c>
      <c r="L17" s="66" t="s">
        <v>1436</v>
      </c>
      <c r="M17" s="66">
        <v>580857.09</v>
      </c>
      <c r="N17" s="66"/>
    </row>
    <row r="18" spans="1:14" x14ac:dyDescent="0.35">
      <c r="A18" s="2" t="s">
        <v>477</v>
      </c>
      <c r="B18" s="2" t="s">
        <v>790</v>
      </c>
      <c r="C18" s="2" t="s">
        <v>38</v>
      </c>
      <c r="D18" s="2" t="s">
        <v>39</v>
      </c>
      <c r="E18" s="2" t="s">
        <v>40</v>
      </c>
      <c r="F18" s="174">
        <v>42760</v>
      </c>
      <c r="G18" s="67">
        <v>1507988</v>
      </c>
      <c r="H18" s="37">
        <f t="shared" si="0"/>
        <v>3171</v>
      </c>
      <c r="I18" s="37" t="str">
        <f t="shared" si="2"/>
        <v>More than 180 Days</v>
      </c>
      <c r="J18" s="37" t="str">
        <f t="shared" si="1"/>
        <v>More than 180 Days</v>
      </c>
      <c r="L18" s="66" t="s">
        <v>1437</v>
      </c>
      <c r="M18" s="66">
        <v>1507988</v>
      </c>
      <c r="N18" s="66"/>
    </row>
    <row r="19" spans="1:14" x14ac:dyDescent="0.35">
      <c r="A19" s="2" t="s">
        <v>477</v>
      </c>
      <c r="B19" s="2" t="s">
        <v>790</v>
      </c>
      <c r="C19" s="2" t="s">
        <v>38</v>
      </c>
      <c r="D19" s="2" t="s">
        <v>39</v>
      </c>
      <c r="E19" s="2" t="s">
        <v>41</v>
      </c>
      <c r="F19" s="174" t="s">
        <v>1438</v>
      </c>
      <c r="G19" s="67">
        <v>2089970</v>
      </c>
      <c r="H19" s="37">
        <f t="shared" si="0"/>
        <v>2921</v>
      </c>
      <c r="I19" s="37" t="str">
        <f t="shared" si="2"/>
        <v>More than 180 Days</v>
      </c>
      <c r="J19" s="37" t="str">
        <f t="shared" si="1"/>
        <v>More than 180 Days</v>
      </c>
      <c r="L19" s="66" t="s">
        <v>1438</v>
      </c>
      <c r="M19" s="66">
        <v>2089970</v>
      </c>
      <c r="N19" s="66"/>
    </row>
    <row r="20" spans="1:14" x14ac:dyDescent="0.35">
      <c r="A20" s="2" t="s">
        <v>477</v>
      </c>
      <c r="B20" s="2" t="s">
        <v>790</v>
      </c>
      <c r="C20" s="44" t="s">
        <v>0</v>
      </c>
      <c r="D20" s="44" t="s">
        <v>1</v>
      </c>
      <c r="E20" s="44" t="s">
        <v>1610</v>
      </c>
      <c r="F20" s="174" t="s">
        <v>1739</v>
      </c>
      <c r="G20" s="67">
        <v>52321.2</v>
      </c>
      <c r="H20" s="37">
        <f t="shared" si="0"/>
        <v>330</v>
      </c>
      <c r="I20" s="37" t="str">
        <f t="shared" si="2"/>
        <v>More than 180 Days</v>
      </c>
      <c r="J20" s="37" t="str">
        <f t="shared" si="1"/>
        <v>More than 180 Days</v>
      </c>
      <c r="L20" s="66" t="s">
        <v>1739</v>
      </c>
      <c r="M20" s="66">
        <v>52321.2</v>
      </c>
      <c r="N20" s="66"/>
    </row>
    <row r="21" spans="1:14" x14ac:dyDescent="0.35">
      <c r="A21" s="2" t="s">
        <v>477</v>
      </c>
      <c r="B21" s="2" t="s">
        <v>790</v>
      </c>
      <c r="C21" s="44" t="s">
        <v>430</v>
      </c>
      <c r="D21" s="44" t="s">
        <v>431</v>
      </c>
      <c r="E21" s="44" t="s">
        <v>1986</v>
      </c>
      <c r="F21" s="174">
        <v>45462</v>
      </c>
      <c r="G21" s="67">
        <v>78690.48</v>
      </c>
      <c r="H21" s="37">
        <f t="shared" si="0"/>
        <v>469</v>
      </c>
      <c r="I21" s="37" t="str">
        <f t="shared" si="2"/>
        <v>More than 180 Days</v>
      </c>
      <c r="J21" s="37" t="str">
        <f t="shared" si="1"/>
        <v>More than 180 Days</v>
      </c>
      <c r="L21" s="66" t="s">
        <v>2013</v>
      </c>
      <c r="M21" s="66">
        <v>78690.48</v>
      </c>
      <c r="N21" s="66"/>
    </row>
    <row r="22" spans="1:14" x14ac:dyDescent="0.35">
      <c r="A22" s="88" t="s">
        <v>477</v>
      </c>
      <c r="B22" s="2" t="s">
        <v>790</v>
      </c>
      <c r="C22" s="18" t="s">
        <v>1206</v>
      </c>
      <c r="D22" s="18" t="s">
        <v>1207</v>
      </c>
      <c r="E22" s="18" t="s">
        <v>2538</v>
      </c>
      <c r="F22" s="175">
        <v>45587</v>
      </c>
      <c r="G22" s="108">
        <v>5339.9</v>
      </c>
      <c r="H22" s="37">
        <f t="shared" si="0"/>
        <v>344</v>
      </c>
      <c r="I22" s="37" t="str">
        <f t="shared" si="2"/>
        <v>More than 180 Days</v>
      </c>
      <c r="J22" s="37" t="str">
        <f t="shared" si="1"/>
        <v>More than 180 Days</v>
      </c>
      <c r="L22" s="66" t="s">
        <v>2662</v>
      </c>
      <c r="M22" s="66">
        <v>5339.9</v>
      </c>
      <c r="N22" s="66"/>
    </row>
    <row r="23" spans="1:14" x14ac:dyDescent="0.35">
      <c r="A23" s="88" t="s">
        <v>477</v>
      </c>
      <c r="B23" s="2" t="s">
        <v>790</v>
      </c>
      <c r="C23" s="18" t="s">
        <v>51</v>
      </c>
      <c r="D23" s="18" t="s">
        <v>52</v>
      </c>
      <c r="E23" s="18" t="s">
        <v>2541</v>
      </c>
      <c r="F23" s="175" t="s">
        <v>2665</v>
      </c>
      <c r="G23" s="108">
        <v>2043</v>
      </c>
      <c r="H23" s="37">
        <f t="shared" si="0"/>
        <v>539</v>
      </c>
      <c r="I23" s="37" t="str">
        <f t="shared" si="2"/>
        <v>More than 180 Days</v>
      </c>
      <c r="J23" s="37" t="str">
        <f t="shared" si="1"/>
        <v>More than 180 Days</v>
      </c>
      <c r="L23" s="66" t="s">
        <v>2665</v>
      </c>
      <c r="M23" s="66">
        <v>2043</v>
      </c>
      <c r="N23" s="66"/>
    </row>
    <row r="24" spans="1:14" x14ac:dyDescent="0.35">
      <c r="A24" s="2" t="s">
        <v>477</v>
      </c>
      <c r="B24" s="2" t="s">
        <v>790</v>
      </c>
      <c r="C24" s="18" t="s">
        <v>2321</v>
      </c>
      <c r="D24" s="18" t="s">
        <v>2347</v>
      </c>
      <c r="E24" s="18" t="s">
        <v>315</v>
      </c>
      <c r="F24" s="175">
        <v>45609</v>
      </c>
      <c r="G24" s="108">
        <v>40000</v>
      </c>
      <c r="H24" s="37">
        <f t="shared" si="0"/>
        <v>322</v>
      </c>
      <c r="I24" s="37" t="str">
        <f t="shared" si="2"/>
        <v>More than 180 Days</v>
      </c>
      <c r="J24" s="37" t="str">
        <f t="shared" si="1"/>
        <v>More than 180 Days</v>
      </c>
      <c r="L24" s="66" t="s">
        <v>2865</v>
      </c>
      <c r="M24" s="66">
        <v>40000</v>
      </c>
      <c r="N24" s="66"/>
    </row>
    <row r="25" spans="1:14" x14ac:dyDescent="0.35">
      <c r="A25" s="2" t="s">
        <v>1209</v>
      </c>
      <c r="B25" s="2" t="s">
        <v>789</v>
      </c>
      <c r="C25" s="18" t="s">
        <v>506</v>
      </c>
      <c r="D25" t="s">
        <v>507</v>
      </c>
      <c r="E25" s="18" t="s">
        <v>3027</v>
      </c>
      <c r="F25" s="175">
        <v>45647</v>
      </c>
      <c r="G25" s="108">
        <f>2957785.82-2039258</f>
        <v>918527.81999999983</v>
      </c>
      <c r="H25" s="37">
        <f t="shared" si="0"/>
        <v>284</v>
      </c>
      <c r="I25" s="37" t="str">
        <f t="shared" ref="I25:I28" si="3">IF(H25&lt;121,"0-120 DAYS",IF(H25&lt;181,"121-180 DAYS","More than 180 Days"))</f>
        <v>More than 180 Days</v>
      </c>
      <c r="J25" s="37" t="str">
        <f t="shared" si="1"/>
        <v>More than 180 Days</v>
      </c>
      <c r="L25" s="66" t="s">
        <v>3084</v>
      </c>
      <c r="M25" s="66">
        <v>918527.82</v>
      </c>
      <c r="N25" s="66"/>
    </row>
    <row r="26" spans="1:14" x14ac:dyDescent="0.35">
      <c r="A26" s="2" t="s">
        <v>1209</v>
      </c>
      <c r="B26" s="2" t="s">
        <v>789</v>
      </c>
      <c r="C26" s="18" t="s">
        <v>506</v>
      </c>
      <c r="D26" t="s">
        <v>507</v>
      </c>
      <c r="E26" s="18" t="s">
        <v>3155</v>
      </c>
      <c r="F26" s="175">
        <v>45666</v>
      </c>
      <c r="G26" s="108">
        <f>3233676.3-74926</f>
        <v>3158750.3</v>
      </c>
      <c r="H26" s="37">
        <f t="shared" si="0"/>
        <v>265</v>
      </c>
      <c r="I26" s="37" t="str">
        <f t="shared" si="3"/>
        <v>More than 180 Days</v>
      </c>
      <c r="J26" s="37" t="str">
        <f t="shared" si="1"/>
        <v>More than 180 Days</v>
      </c>
      <c r="L26" s="66" t="s">
        <v>3379</v>
      </c>
      <c r="M26" s="66">
        <v>3158750.3</v>
      </c>
      <c r="N26" s="66"/>
    </row>
    <row r="27" spans="1:14" x14ac:dyDescent="0.35">
      <c r="A27" s="2" t="s">
        <v>1209</v>
      </c>
      <c r="B27" s="2" t="s">
        <v>789</v>
      </c>
      <c r="C27" s="18" t="s">
        <v>506</v>
      </c>
      <c r="D27" t="s">
        <v>507</v>
      </c>
      <c r="E27" s="18" t="s">
        <v>3184</v>
      </c>
      <c r="F27" s="175">
        <v>45681</v>
      </c>
      <c r="G27" s="108">
        <f>4140192-4057165</f>
        <v>83027</v>
      </c>
      <c r="H27" s="37">
        <f t="shared" si="0"/>
        <v>250</v>
      </c>
      <c r="I27" s="37" t="str">
        <f t="shared" si="3"/>
        <v>More than 180 Days</v>
      </c>
      <c r="J27" s="37" t="str">
        <f t="shared" si="1"/>
        <v>More than 180 Days</v>
      </c>
      <c r="L27" s="66" t="s">
        <v>3253</v>
      </c>
      <c r="M27" s="66">
        <v>83027</v>
      </c>
      <c r="N27" s="66"/>
    </row>
    <row r="28" spans="1:14" x14ac:dyDescent="0.35">
      <c r="A28" s="2" t="s">
        <v>1209</v>
      </c>
      <c r="B28" s="2" t="s">
        <v>789</v>
      </c>
      <c r="C28" s="18" t="s">
        <v>506</v>
      </c>
      <c r="D28" t="s">
        <v>507</v>
      </c>
      <c r="E28" s="18" t="s">
        <v>3185</v>
      </c>
      <c r="F28" s="175">
        <v>45681</v>
      </c>
      <c r="G28" s="108">
        <v>3159009.2</v>
      </c>
      <c r="H28" s="37">
        <f t="shared" si="0"/>
        <v>250</v>
      </c>
      <c r="I28" s="37" t="str">
        <f t="shared" si="3"/>
        <v>More than 180 Days</v>
      </c>
      <c r="J28" s="37" t="str">
        <f t="shared" si="1"/>
        <v>More than 180 Days</v>
      </c>
      <c r="L28" s="66" t="s">
        <v>3253</v>
      </c>
      <c r="M28" s="66">
        <v>3159009.2</v>
      </c>
      <c r="N28" s="66"/>
    </row>
    <row r="29" spans="1:14" x14ac:dyDescent="0.35">
      <c r="A29" s="2" t="s">
        <v>477</v>
      </c>
      <c r="B29" s="2" t="s">
        <v>790</v>
      </c>
      <c r="C29" s="18" t="s">
        <v>2382</v>
      </c>
      <c r="D29" s="18" t="s">
        <v>2424</v>
      </c>
      <c r="E29" s="18" t="s">
        <v>272</v>
      </c>
      <c r="F29" s="175">
        <v>45693</v>
      </c>
      <c r="G29" s="108">
        <v>94164</v>
      </c>
      <c r="H29" s="37">
        <f t="shared" si="0"/>
        <v>238</v>
      </c>
      <c r="I29" s="37" t="str">
        <f t="shared" ref="I29" si="4">IF(H29&lt;91,"1-90 DAYS",IF(H29&lt;121,"91-120DAYS",IF(H29&lt;181,"121-180 DAYS","More than 180 Days")))</f>
        <v>More than 180 Days</v>
      </c>
      <c r="J29" s="37" t="str">
        <f t="shared" si="1"/>
        <v>More than 180 Days</v>
      </c>
      <c r="L29" s="66" t="s">
        <v>3532</v>
      </c>
      <c r="M29" s="66">
        <v>94164</v>
      </c>
      <c r="N29" s="66"/>
    </row>
    <row r="30" spans="1:14" x14ac:dyDescent="0.35">
      <c r="A30" s="2" t="s">
        <v>1209</v>
      </c>
      <c r="B30" s="2" t="s">
        <v>789</v>
      </c>
      <c r="C30" s="18" t="s">
        <v>506</v>
      </c>
      <c r="D30" t="s">
        <v>507</v>
      </c>
      <c r="E30" s="18" t="s">
        <v>3437</v>
      </c>
      <c r="F30" s="175">
        <v>45701</v>
      </c>
      <c r="G30" s="97">
        <v>3260837.29</v>
      </c>
      <c r="H30" s="37">
        <f t="shared" si="0"/>
        <v>230</v>
      </c>
      <c r="I30" s="37" t="str">
        <f t="shared" ref="I30:I35" si="5">IF(H30&lt;121,"0-120 DAYS",IF(H30&lt;181,"121-180 DAYS","More than 180 Days"))</f>
        <v>More than 180 Days</v>
      </c>
      <c r="J30" s="37" t="str">
        <f t="shared" si="1"/>
        <v>More than 180 Days</v>
      </c>
      <c r="L30" s="66" t="s">
        <v>3516</v>
      </c>
      <c r="M30" s="66">
        <v>3260837.29</v>
      </c>
      <c r="N30" s="66"/>
    </row>
    <row r="31" spans="1:14" x14ac:dyDescent="0.35">
      <c r="A31" s="2" t="s">
        <v>1209</v>
      </c>
      <c r="B31" s="2" t="s">
        <v>789</v>
      </c>
      <c r="C31" s="18" t="s">
        <v>506</v>
      </c>
      <c r="D31" t="s">
        <v>507</v>
      </c>
      <c r="E31" s="18" t="s">
        <v>3447</v>
      </c>
      <c r="F31" s="175">
        <v>45714</v>
      </c>
      <c r="G31" s="97">
        <v>2794948.74</v>
      </c>
      <c r="H31" s="37">
        <f t="shared" si="0"/>
        <v>217</v>
      </c>
      <c r="I31" s="37" t="str">
        <f t="shared" si="5"/>
        <v>More than 180 Days</v>
      </c>
      <c r="J31" s="37" t="str">
        <f t="shared" si="1"/>
        <v>More than 180 Days</v>
      </c>
      <c r="L31" s="66" t="s">
        <v>3527</v>
      </c>
      <c r="M31" s="66">
        <v>2794948.74</v>
      </c>
      <c r="N31" s="66"/>
    </row>
    <row r="32" spans="1:14" x14ac:dyDescent="0.35">
      <c r="A32" s="2" t="s">
        <v>1209</v>
      </c>
      <c r="B32" s="2" t="s">
        <v>789</v>
      </c>
      <c r="C32" s="18" t="s">
        <v>506</v>
      </c>
      <c r="D32" t="s">
        <v>507</v>
      </c>
      <c r="E32" s="18" t="s">
        <v>3448</v>
      </c>
      <c r="F32" s="175">
        <v>45714</v>
      </c>
      <c r="G32" s="97">
        <v>215191.26</v>
      </c>
      <c r="H32" s="37">
        <f t="shared" si="0"/>
        <v>217</v>
      </c>
      <c r="I32" s="37" t="str">
        <f t="shared" si="5"/>
        <v>More than 180 Days</v>
      </c>
      <c r="J32" s="37" t="str">
        <f t="shared" si="1"/>
        <v>More than 180 Days</v>
      </c>
      <c r="L32" s="66" t="s">
        <v>3527</v>
      </c>
      <c r="M32" s="66">
        <v>215191.26</v>
      </c>
      <c r="N32" s="66"/>
    </row>
    <row r="33" spans="1:14" x14ac:dyDescent="0.35">
      <c r="A33" s="2" t="s">
        <v>1209</v>
      </c>
      <c r="B33" s="2" t="s">
        <v>789</v>
      </c>
      <c r="C33" s="18" t="s">
        <v>506</v>
      </c>
      <c r="D33" t="s">
        <v>507</v>
      </c>
      <c r="E33" s="18" t="s">
        <v>3453</v>
      </c>
      <c r="F33" s="175">
        <v>45716</v>
      </c>
      <c r="G33" s="97">
        <v>2879593.55</v>
      </c>
      <c r="H33" s="37">
        <f t="shared" si="0"/>
        <v>215</v>
      </c>
      <c r="I33" s="37" t="str">
        <f t="shared" si="5"/>
        <v>More than 180 Days</v>
      </c>
      <c r="J33" s="37" t="str">
        <f t="shared" si="1"/>
        <v>More than 180 Days</v>
      </c>
      <c r="L33" s="66" t="s">
        <v>3529</v>
      </c>
      <c r="M33" s="66">
        <v>2879593.55</v>
      </c>
      <c r="N33" s="66"/>
    </row>
    <row r="34" spans="1:14" x14ac:dyDescent="0.35">
      <c r="A34" s="2" t="s">
        <v>1209</v>
      </c>
      <c r="B34" s="2" t="s">
        <v>789</v>
      </c>
      <c r="C34" s="18" t="s">
        <v>506</v>
      </c>
      <c r="D34" t="s">
        <v>507</v>
      </c>
      <c r="E34" s="18" t="s">
        <v>3463</v>
      </c>
      <c r="F34" s="175">
        <v>45702</v>
      </c>
      <c r="G34" s="97">
        <v>2253903.4900000002</v>
      </c>
      <c r="H34" s="37">
        <f t="shared" si="0"/>
        <v>229</v>
      </c>
      <c r="I34" s="37" t="str">
        <f t="shared" si="5"/>
        <v>More than 180 Days</v>
      </c>
      <c r="J34" s="37" t="str">
        <f t="shared" si="1"/>
        <v>More than 180 Days</v>
      </c>
      <c r="L34" s="66" t="s">
        <v>3508</v>
      </c>
      <c r="M34" s="66">
        <v>2253903.4900000002</v>
      </c>
      <c r="N34" s="66"/>
    </row>
    <row r="35" spans="1:14" x14ac:dyDescent="0.35">
      <c r="A35" s="2" t="s">
        <v>1209</v>
      </c>
      <c r="B35" s="2" t="s">
        <v>789</v>
      </c>
      <c r="C35" s="18" t="s">
        <v>506</v>
      </c>
      <c r="D35" t="s">
        <v>507</v>
      </c>
      <c r="E35" s="18" t="s">
        <v>3464</v>
      </c>
      <c r="F35" s="175">
        <v>45702</v>
      </c>
      <c r="G35" s="97">
        <v>248789.98</v>
      </c>
      <c r="H35" s="37">
        <f t="shared" si="0"/>
        <v>229</v>
      </c>
      <c r="I35" s="37" t="str">
        <f t="shared" si="5"/>
        <v>More than 180 Days</v>
      </c>
      <c r="J35" s="37" t="str">
        <f t="shared" si="1"/>
        <v>More than 180 Days</v>
      </c>
      <c r="L35" s="66" t="s">
        <v>3508</v>
      </c>
      <c r="M35" s="66">
        <v>248789.98</v>
      </c>
      <c r="N35" s="66"/>
    </row>
    <row r="36" spans="1:14" x14ac:dyDescent="0.35">
      <c r="A36" s="88" t="s">
        <v>477</v>
      </c>
      <c r="B36" s="2" t="s">
        <v>790</v>
      </c>
      <c r="C36" s="18" t="s">
        <v>263</v>
      </c>
      <c r="D36" s="18" t="s">
        <v>264</v>
      </c>
      <c r="E36" s="18" t="s">
        <v>3555</v>
      </c>
      <c r="F36" s="175">
        <v>45717</v>
      </c>
      <c r="G36" s="108">
        <f>729558.19-701366</f>
        <v>28192.189999999944</v>
      </c>
      <c r="H36" s="37">
        <f t="shared" si="0"/>
        <v>214</v>
      </c>
      <c r="I36" s="37" t="str">
        <f t="shared" ref="I36:I38" si="6">IF(H36&lt;91,"1-90 DAYS",IF(H36&lt;121,"91-120DAYS",IF(H36&lt;181,"121-180 DAYS","More than 180 Days")))</f>
        <v>More than 180 Days</v>
      </c>
      <c r="J36" s="37" t="str">
        <f t="shared" si="1"/>
        <v>More than 180 Days</v>
      </c>
      <c r="L36" s="66" t="s">
        <v>3755</v>
      </c>
      <c r="M36" s="66">
        <v>28192.19</v>
      </c>
      <c r="N36" s="66"/>
    </row>
    <row r="37" spans="1:14" x14ac:dyDescent="0.35">
      <c r="A37" s="88" t="s">
        <v>477</v>
      </c>
      <c r="B37" s="2" t="s">
        <v>790</v>
      </c>
      <c r="C37" s="18" t="s">
        <v>263</v>
      </c>
      <c r="D37" s="18" t="s">
        <v>264</v>
      </c>
      <c r="E37" s="18" t="s">
        <v>3564</v>
      </c>
      <c r="F37" s="175">
        <v>45738</v>
      </c>
      <c r="G37" s="108">
        <v>1059178.28</v>
      </c>
      <c r="H37" s="37">
        <f t="shared" si="0"/>
        <v>193</v>
      </c>
      <c r="I37" s="37" t="str">
        <f t="shared" si="6"/>
        <v>More than 180 Days</v>
      </c>
      <c r="J37" s="37" t="str">
        <f t="shared" si="1"/>
        <v>More than 180 Days</v>
      </c>
      <c r="L37" s="66" t="s">
        <v>3757</v>
      </c>
      <c r="M37" s="66">
        <v>1059178.28</v>
      </c>
      <c r="N37" s="66"/>
    </row>
    <row r="38" spans="1:14" x14ac:dyDescent="0.35">
      <c r="A38" s="88" t="s">
        <v>477</v>
      </c>
      <c r="B38" s="2" t="s">
        <v>790</v>
      </c>
      <c r="C38" s="18" t="s">
        <v>263</v>
      </c>
      <c r="D38" s="18" t="s">
        <v>264</v>
      </c>
      <c r="E38" s="18" t="s">
        <v>3566</v>
      </c>
      <c r="F38" s="175">
        <v>45745</v>
      </c>
      <c r="G38" s="108">
        <v>376210.55</v>
      </c>
      <c r="H38" s="37">
        <f t="shared" si="0"/>
        <v>186</v>
      </c>
      <c r="I38" s="37" t="str">
        <f t="shared" si="6"/>
        <v>More than 180 Days</v>
      </c>
      <c r="J38" s="37" t="str">
        <f t="shared" si="1"/>
        <v>More than 180 Days</v>
      </c>
      <c r="L38" s="66" t="s">
        <v>3754</v>
      </c>
      <c r="M38" s="66">
        <v>376210.55</v>
      </c>
      <c r="N38" s="66"/>
    </row>
    <row r="39" spans="1:14" x14ac:dyDescent="0.35">
      <c r="A39" s="2" t="s">
        <v>1085</v>
      </c>
      <c r="B39" s="2" t="s">
        <v>790</v>
      </c>
      <c r="C39" s="18" t="s">
        <v>573</v>
      </c>
      <c r="D39" t="s">
        <v>507</v>
      </c>
      <c r="E39" s="18" t="s">
        <v>1310</v>
      </c>
      <c r="F39" s="175">
        <v>45719</v>
      </c>
      <c r="G39" s="108">
        <f>4502183.33-4416716</f>
        <v>85467.330000000075</v>
      </c>
      <c r="H39" s="37">
        <f t="shared" si="0"/>
        <v>212</v>
      </c>
      <c r="I39" s="37" t="str">
        <f t="shared" ref="I39" si="7">IF(H39&lt;121,"0-120 DAYS",IF(H39&lt;181,"121-180 DAYS","More than 180 Days"))</f>
        <v>More than 180 Days</v>
      </c>
      <c r="J39" s="37" t="str">
        <f t="shared" si="1"/>
        <v>More than 180 Days</v>
      </c>
      <c r="L39" s="66" t="s">
        <v>3756</v>
      </c>
      <c r="M39" s="66">
        <v>85467.33</v>
      </c>
      <c r="N39" s="66"/>
    </row>
    <row r="40" spans="1:14" x14ac:dyDescent="0.35">
      <c r="A40" s="88" t="s">
        <v>477</v>
      </c>
      <c r="B40" s="2" t="s">
        <v>790</v>
      </c>
      <c r="C40" s="18" t="s">
        <v>263</v>
      </c>
      <c r="D40" s="18" t="s">
        <v>264</v>
      </c>
      <c r="E40" s="18" t="s">
        <v>3762</v>
      </c>
      <c r="F40" s="175">
        <v>45763</v>
      </c>
      <c r="G40" s="108">
        <v>568249.16</v>
      </c>
      <c r="H40" s="37">
        <f t="shared" si="0"/>
        <v>168</v>
      </c>
      <c r="I40" s="37" t="str">
        <f t="shared" ref="I40:I41" si="8">IF(H40&lt;91,"1-90 DAYS",IF(H40&lt;121,"91-120DAYS",IF(H40&lt;181,"121-180 DAYS","More than 180 Days")))</f>
        <v>121-180 DAYS</v>
      </c>
      <c r="J40" s="37" t="str">
        <f t="shared" si="1"/>
        <v>0-180 DAYS</v>
      </c>
      <c r="L40" s="66" t="s">
        <v>3787</v>
      </c>
      <c r="M40" s="66">
        <v>568249.16</v>
      </c>
      <c r="N40" s="66"/>
    </row>
    <row r="41" spans="1:14" x14ac:dyDescent="0.35">
      <c r="A41" s="88" t="s">
        <v>477</v>
      </c>
      <c r="B41" s="2" t="s">
        <v>790</v>
      </c>
      <c r="C41" s="18" t="s">
        <v>263</v>
      </c>
      <c r="D41" s="18" t="s">
        <v>264</v>
      </c>
      <c r="E41" s="18" t="s">
        <v>3763</v>
      </c>
      <c r="F41" s="175">
        <v>45777</v>
      </c>
      <c r="G41" s="108">
        <v>389194.68</v>
      </c>
      <c r="H41" s="37">
        <f t="shared" si="0"/>
        <v>154</v>
      </c>
      <c r="I41" s="37" t="str">
        <f t="shared" si="8"/>
        <v>121-180 DAYS</v>
      </c>
      <c r="J41" s="37" t="str">
        <f t="shared" si="1"/>
        <v>0-180 DAYS</v>
      </c>
      <c r="L41" s="66" t="s">
        <v>3786</v>
      </c>
      <c r="M41" s="66">
        <v>389194.68</v>
      </c>
      <c r="N41" s="66"/>
    </row>
    <row r="42" spans="1:14" x14ac:dyDescent="0.35">
      <c r="A42" t="s">
        <v>1085</v>
      </c>
      <c r="B42" s="2" t="s">
        <v>790</v>
      </c>
      <c r="C42" s="18" t="s">
        <v>3764</v>
      </c>
      <c r="D42" t="s">
        <v>507</v>
      </c>
      <c r="E42" s="18" t="s">
        <v>3765</v>
      </c>
      <c r="F42" s="175">
        <v>45752</v>
      </c>
      <c r="G42" s="108">
        <f>1358658.1-1353857</f>
        <v>4801.1000000000931</v>
      </c>
      <c r="H42" s="37">
        <f t="shared" si="0"/>
        <v>179</v>
      </c>
      <c r="I42" s="37" t="str">
        <f t="shared" ref="I42:I53" si="9">IF(H42&lt;121,"0-120 DAYS",IF(H42&lt;181,"121-180 DAYS","More than 180 Days"))</f>
        <v>121-180 DAYS</v>
      </c>
      <c r="J42" s="37" t="str">
        <f t="shared" si="1"/>
        <v>0-180 DAYS</v>
      </c>
      <c r="L42" s="66" t="s">
        <v>3783</v>
      </c>
      <c r="M42" s="66">
        <v>4801.1000000000004</v>
      </c>
      <c r="N42" s="66"/>
    </row>
    <row r="43" spans="1:14" x14ac:dyDescent="0.35">
      <c r="A43" t="s">
        <v>1085</v>
      </c>
      <c r="B43" s="2" t="s">
        <v>790</v>
      </c>
      <c r="C43" s="18" t="s">
        <v>548</v>
      </c>
      <c r="D43" t="s">
        <v>507</v>
      </c>
      <c r="E43" s="18" t="s">
        <v>3766</v>
      </c>
      <c r="F43" s="175">
        <v>45754</v>
      </c>
      <c r="G43" s="108">
        <f>3285388.04-45000-3174945</f>
        <v>65443.040000000037</v>
      </c>
      <c r="H43" s="37">
        <f t="shared" si="0"/>
        <v>177</v>
      </c>
      <c r="I43" s="37" t="str">
        <f t="shared" si="9"/>
        <v>121-180 DAYS</v>
      </c>
      <c r="J43" s="37" t="str">
        <f t="shared" si="1"/>
        <v>0-180 DAYS</v>
      </c>
      <c r="L43" s="66" t="s">
        <v>3784</v>
      </c>
      <c r="M43" s="66">
        <v>65443.040000000001</v>
      </c>
      <c r="N43" s="66"/>
    </row>
    <row r="44" spans="1:14" x14ac:dyDescent="0.35">
      <c r="A44" s="2" t="s">
        <v>1209</v>
      </c>
      <c r="B44" s="2" t="s">
        <v>789</v>
      </c>
      <c r="C44" s="18" t="s">
        <v>506</v>
      </c>
      <c r="D44" t="s">
        <v>507</v>
      </c>
      <c r="E44" s="18" t="s">
        <v>3767</v>
      </c>
      <c r="F44" s="175">
        <v>45765</v>
      </c>
      <c r="G44" s="108">
        <v>1601616.87</v>
      </c>
      <c r="H44" s="37">
        <f t="shared" si="0"/>
        <v>166</v>
      </c>
      <c r="I44" s="37" t="str">
        <f t="shared" si="9"/>
        <v>121-180 DAYS</v>
      </c>
      <c r="J44" s="37" t="str">
        <f t="shared" si="1"/>
        <v>0-180 DAYS</v>
      </c>
      <c r="L44" s="66" t="s">
        <v>3780</v>
      </c>
      <c r="M44" s="66">
        <v>1601616.87</v>
      </c>
      <c r="N44" s="66"/>
    </row>
    <row r="45" spans="1:14" x14ac:dyDescent="0.35">
      <c r="A45" s="2" t="s">
        <v>1209</v>
      </c>
      <c r="B45" s="2" t="s">
        <v>789</v>
      </c>
      <c r="C45" s="18" t="s">
        <v>506</v>
      </c>
      <c r="D45" t="s">
        <v>507</v>
      </c>
      <c r="E45" s="18" t="s">
        <v>3768</v>
      </c>
      <c r="F45" s="175">
        <v>45765</v>
      </c>
      <c r="G45" s="108">
        <v>587621.5</v>
      </c>
      <c r="H45" s="37">
        <f t="shared" si="0"/>
        <v>166</v>
      </c>
      <c r="I45" s="37" t="str">
        <f t="shared" si="9"/>
        <v>121-180 DAYS</v>
      </c>
      <c r="J45" s="37" t="str">
        <f t="shared" si="1"/>
        <v>0-180 DAYS</v>
      </c>
      <c r="L45" s="66" t="s">
        <v>3780</v>
      </c>
      <c r="M45" s="66">
        <v>587621.5</v>
      </c>
      <c r="N45" s="66"/>
    </row>
    <row r="46" spans="1:14" x14ac:dyDescent="0.35">
      <c r="A46" s="2" t="s">
        <v>1209</v>
      </c>
      <c r="B46" s="2" t="s">
        <v>789</v>
      </c>
      <c r="C46" s="18" t="s">
        <v>506</v>
      </c>
      <c r="D46" t="s">
        <v>507</v>
      </c>
      <c r="E46" s="18" t="s">
        <v>3769</v>
      </c>
      <c r="F46" s="175">
        <v>45765</v>
      </c>
      <c r="G46" s="108">
        <v>731889.31</v>
      </c>
      <c r="H46" s="37">
        <f t="shared" si="0"/>
        <v>166</v>
      </c>
      <c r="I46" s="37" t="str">
        <f t="shared" si="9"/>
        <v>121-180 DAYS</v>
      </c>
      <c r="J46" s="37" t="str">
        <f t="shared" si="1"/>
        <v>0-180 DAYS</v>
      </c>
      <c r="L46" s="66" t="s">
        <v>3780</v>
      </c>
      <c r="M46" s="66">
        <v>731889.31</v>
      </c>
      <c r="N46" s="66"/>
    </row>
    <row r="47" spans="1:14" x14ac:dyDescent="0.35">
      <c r="A47" t="s">
        <v>1085</v>
      </c>
      <c r="B47" s="2" t="s">
        <v>790</v>
      </c>
      <c r="C47" s="18" t="s">
        <v>573</v>
      </c>
      <c r="D47" t="s">
        <v>507</v>
      </c>
      <c r="E47" s="18" t="s">
        <v>3770</v>
      </c>
      <c r="F47" s="175">
        <v>45776</v>
      </c>
      <c r="G47" s="108">
        <v>102780.06</v>
      </c>
      <c r="H47" s="37">
        <f t="shared" si="0"/>
        <v>155</v>
      </c>
      <c r="I47" s="37" t="str">
        <f t="shared" si="9"/>
        <v>121-180 DAYS</v>
      </c>
      <c r="J47" s="37" t="str">
        <f t="shared" si="1"/>
        <v>0-180 DAYS</v>
      </c>
      <c r="L47" s="66" t="s">
        <v>3789</v>
      </c>
      <c r="M47" s="66">
        <v>102780.06</v>
      </c>
      <c r="N47" s="66"/>
    </row>
    <row r="48" spans="1:14" x14ac:dyDescent="0.35">
      <c r="A48" t="s">
        <v>1085</v>
      </c>
      <c r="B48" s="2" t="s">
        <v>790</v>
      </c>
      <c r="C48" s="18" t="s">
        <v>650</v>
      </c>
      <c r="D48" t="s">
        <v>507</v>
      </c>
      <c r="E48" s="18" t="s">
        <v>3771</v>
      </c>
      <c r="F48" s="175">
        <v>45753</v>
      </c>
      <c r="G48" s="108">
        <f>3151361.28-1680914</f>
        <v>1470447.2799999998</v>
      </c>
      <c r="H48" s="37">
        <f t="shared" si="0"/>
        <v>178</v>
      </c>
      <c r="I48" s="37" t="str">
        <f t="shared" si="9"/>
        <v>121-180 DAYS</v>
      </c>
      <c r="J48" s="37" t="str">
        <f t="shared" si="1"/>
        <v>0-180 DAYS</v>
      </c>
      <c r="L48" s="66" t="s">
        <v>3788</v>
      </c>
      <c r="M48" s="66">
        <v>1470447.28</v>
      </c>
      <c r="N48" s="66"/>
    </row>
    <row r="49" spans="1:14" x14ac:dyDescent="0.35">
      <c r="A49" t="s">
        <v>1085</v>
      </c>
      <c r="B49" s="2" t="s">
        <v>790</v>
      </c>
      <c r="C49" s="18" t="s">
        <v>570</v>
      </c>
      <c r="D49" t="s">
        <v>507</v>
      </c>
      <c r="E49" s="18" t="s">
        <v>3772</v>
      </c>
      <c r="F49" s="175">
        <v>45764</v>
      </c>
      <c r="G49" s="108">
        <f>3219408-21902</f>
        <v>3197506</v>
      </c>
      <c r="H49" s="37">
        <f t="shared" si="0"/>
        <v>167</v>
      </c>
      <c r="I49" s="37" t="str">
        <f t="shared" si="9"/>
        <v>121-180 DAYS</v>
      </c>
      <c r="J49" s="37" t="str">
        <f t="shared" si="1"/>
        <v>0-180 DAYS</v>
      </c>
      <c r="L49" s="66" t="s">
        <v>3778</v>
      </c>
      <c r="M49" s="66">
        <v>3197506</v>
      </c>
      <c r="N49" s="66"/>
    </row>
    <row r="50" spans="1:14" x14ac:dyDescent="0.35">
      <c r="A50" t="s">
        <v>1085</v>
      </c>
      <c r="B50" s="2" t="s">
        <v>790</v>
      </c>
      <c r="C50" s="18" t="s">
        <v>650</v>
      </c>
      <c r="D50" t="s">
        <v>507</v>
      </c>
      <c r="E50" s="18" t="s">
        <v>735</v>
      </c>
      <c r="F50" s="175">
        <v>45772</v>
      </c>
      <c r="G50" s="108">
        <v>3607799.47</v>
      </c>
      <c r="H50" s="37">
        <f t="shared" si="0"/>
        <v>159</v>
      </c>
      <c r="I50" s="37" t="str">
        <f t="shared" si="9"/>
        <v>121-180 DAYS</v>
      </c>
      <c r="J50" s="37" t="str">
        <f t="shared" si="1"/>
        <v>0-180 DAYS</v>
      </c>
      <c r="L50" s="66" t="s">
        <v>3779</v>
      </c>
      <c r="M50" s="66">
        <v>3607799.47</v>
      </c>
      <c r="N50" s="66"/>
    </row>
    <row r="51" spans="1:14" x14ac:dyDescent="0.35">
      <c r="A51" t="s">
        <v>1085</v>
      </c>
      <c r="B51" s="2" t="s">
        <v>790</v>
      </c>
      <c r="C51" s="18" t="s">
        <v>650</v>
      </c>
      <c r="D51" t="s">
        <v>507</v>
      </c>
      <c r="E51" s="18" t="s">
        <v>3773</v>
      </c>
      <c r="F51" s="175">
        <v>45773</v>
      </c>
      <c r="G51" s="108">
        <v>3619013.58</v>
      </c>
      <c r="H51" s="37">
        <f t="shared" si="0"/>
        <v>158</v>
      </c>
      <c r="I51" s="37" t="str">
        <f t="shared" si="9"/>
        <v>121-180 DAYS</v>
      </c>
      <c r="J51" s="37" t="str">
        <f t="shared" si="1"/>
        <v>0-180 DAYS</v>
      </c>
      <c r="L51" s="66" t="s">
        <v>3785</v>
      </c>
      <c r="M51" s="66">
        <v>3619013.58</v>
      </c>
      <c r="N51" s="66"/>
    </row>
    <row r="52" spans="1:14" x14ac:dyDescent="0.35">
      <c r="A52" t="s">
        <v>1085</v>
      </c>
      <c r="B52" s="2" t="s">
        <v>790</v>
      </c>
      <c r="C52" s="18" t="s">
        <v>650</v>
      </c>
      <c r="D52" t="s">
        <v>507</v>
      </c>
      <c r="E52" s="18" t="s">
        <v>3774</v>
      </c>
      <c r="F52" s="175">
        <v>45776</v>
      </c>
      <c r="G52" s="108">
        <v>2889432</v>
      </c>
      <c r="H52" s="37">
        <f t="shared" si="0"/>
        <v>155</v>
      </c>
      <c r="I52" s="37" t="str">
        <f t="shared" si="9"/>
        <v>121-180 DAYS</v>
      </c>
      <c r="J52" s="37" t="str">
        <f t="shared" si="1"/>
        <v>0-180 DAYS</v>
      </c>
      <c r="L52" s="66" t="s">
        <v>3789</v>
      </c>
      <c r="M52" s="66">
        <v>2889432</v>
      </c>
      <c r="N52" s="66"/>
    </row>
    <row r="53" spans="1:14" x14ac:dyDescent="0.35">
      <c r="A53" t="s">
        <v>1085</v>
      </c>
      <c r="B53" s="2" t="s">
        <v>790</v>
      </c>
      <c r="C53" s="18" t="s">
        <v>650</v>
      </c>
      <c r="D53" t="s">
        <v>507</v>
      </c>
      <c r="E53" s="18" t="s">
        <v>1708</v>
      </c>
      <c r="F53" s="175">
        <v>45777</v>
      </c>
      <c r="G53" s="108">
        <v>3440514.01</v>
      </c>
      <c r="H53" s="37">
        <f t="shared" si="0"/>
        <v>154</v>
      </c>
      <c r="I53" s="37" t="str">
        <f t="shared" si="9"/>
        <v>121-180 DAYS</v>
      </c>
      <c r="J53" s="37" t="str">
        <f t="shared" si="1"/>
        <v>0-180 DAYS</v>
      </c>
      <c r="L53" s="66" t="s">
        <v>3786</v>
      </c>
      <c r="M53" s="66">
        <v>3440514.01</v>
      </c>
      <c r="N53" s="66"/>
    </row>
    <row r="54" spans="1:14" x14ac:dyDescent="0.35">
      <c r="A54" s="88" t="s">
        <v>477</v>
      </c>
      <c r="B54" s="2" t="s">
        <v>790</v>
      </c>
      <c r="C54" s="18" t="s">
        <v>221</v>
      </c>
      <c r="D54" t="str">
        <f>_xlfn.XLOOKUP(C54,[4]Sheet1!$D:$D,[4]Sheet1!$AB:$AB)</f>
        <v>24AIGPD1030P1ZK</v>
      </c>
      <c r="E54" s="18" t="s">
        <v>3794</v>
      </c>
      <c r="F54" s="175">
        <v>45783</v>
      </c>
      <c r="G54" s="108">
        <v>252256.39</v>
      </c>
      <c r="H54" s="37">
        <f t="shared" si="0"/>
        <v>148</v>
      </c>
      <c r="I54" s="37" t="str">
        <f t="shared" ref="I54:I55" si="10">IF(H54&lt;91,"1-90 DAYS",IF(H54&lt;121,"91-120DAYS",IF(H54&lt;181,"121-180 DAYS","More than 180 Days")))</f>
        <v>121-180 DAYS</v>
      </c>
      <c r="J54" s="37" t="str">
        <f t="shared" si="1"/>
        <v>0-180 DAYS</v>
      </c>
      <c r="L54" s="66" t="s">
        <v>3840</v>
      </c>
      <c r="M54" s="66">
        <v>252256.39</v>
      </c>
    </row>
    <row r="55" spans="1:14" x14ac:dyDescent="0.35">
      <c r="A55" s="88" t="s">
        <v>477</v>
      </c>
      <c r="B55" s="2" t="s">
        <v>790</v>
      </c>
      <c r="C55" s="18" t="s">
        <v>1838</v>
      </c>
      <c r="D55" t="str">
        <f>_xlfn.XLOOKUP(C55,[4]Sheet1!$D:$D,[4]Sheet1!$AB:$AB)</f>
        <v>24AGUPS7962F1ZO</v>
      </c>
      <c r="E55" s="18" t="s">
        <v>3795</v>
      </c>
      <c r="F55" s="175">
        <v>45808</v>
      </c>
      <c r="G55" s="108">
        <f>1619861.16-1397616</f>
        <v>222245.15999999992</v>
      </c>
      <c r="H55" s="37">
        <f t="shared" si="0"/>
        <v>123</v>
      </c>
      <c r="I55" s="37" t="str">
        <f t="shared" si="10"/>
        <v>121-180 DAYS</v>
      </c>
      <c r="J55" s="37" t="str">
        <f t="shared" si="1"/>
        <v>0-180 DAYS</v>
      </c>
      <c r="L55" s="66" t="s">
        <v>3838</v>
      </c>
      <c r="M55" s="66">
        <v>222245.16</v>
      </c>
    </row>
    <row r="56" spans="1:14" x14ac:dyDescent="0.35">
      <c r="A56" s="2" t="s">
        <v>1085</v>
      </c>
      <c r="B56" s="2" t="s">
        <v>790</v>
      </c>
      <c r="C56" s="18" t="s">
        <v>1086</v>
      </c>
      <c r="D56" s="2" t="s">
        <v>507</v>
      </c>
      <c r="E56" s="18" t="s">
        <v>3798</v>
      </c>
      <c r="F56" s="175">
        <v>45781</v>
      </c>
      <c r="G56" s="108">
        <v>1424411.1</v>
      </c>
      <c r="H56" s="37">
        <f t="shared" si="0"/>
        <v>150</v>
      </c>
      <c r="I56" s="37" t="str">
        <f t="shared" ref="I56:I119" si="11">IF(H56&lt;121,"0-120 DAYS",IF(H56&lt;181,"121-180 DAYS","More than 180 Days"))</f>
        <v>121-180 DAYS</v>
      </c>
      <c r="J56" s="37" t="str">
        <f t="shared" si="1"/>
        <v>0-180 DAYS</v>
      </c>
      <c r="K56" t="s">
        <v>1730</v>
      </c>
      <c r="L56" s="66" t="s">
        <v>3839</v>
      </c>
      <c r="M56" s="66">
        <v>1424411.1</v>
      </c>
    </row>
    <row r="57" spans="1:14" x14ac:dyDescent="0.35">
      <c r="A57" s="2" t="s">
        <v>1085</v>
      </c>
      <c r="B57" s="2" t="s">
        <v>790</v>
      </c>
      <c r="C57" s="18" t="s">
        <v>1086</v>
      </c>
      <c r="D57" s="2" t="s">
        <v>507</v>
      </c>
      <c r="E57" s="18" t="s">
        <v>3799</v>
      </c>
      <c r="F57" s="175">
        <v>45781</v>
      </c>
      <c r="G57" s="108">
        <v>81899.649999999994</v>
      </c>
      <c r="H57" s="37">
        <f t="shared" si="0"/>
        <v>150</v>
      </c>
      <c r="I57" s="37" t="str">
        <f t="shared" si="11"/>
        <v>121-180 DAYS</v>
      </c>
      <c r="J57" s="37" t="str">
        <f t="shared" si="1"/>
        <v>0-180 DAYS</v>
      </c>
      <c r="K57" t="s">
        <v>1730</v>
      </c>
      <c r="L57" s="66" t="s">
        <v>3839</v>
      </c>
      <c r="M57" s="66">
        <v>81899.649999999994</v>
      </c>
    </row>
    <row r="58" spans="1:14" x14ac:dyDescent="0.35">
      <c r="A58" s="2" t="s">
        <v>1085</v>
      </c>
      <c r="B58" s="2" t="s">
        <v>790</v>
      </c>
      <c r="C58" s="18" t="s">
        <v>1086</v>
      </c>
      <c r="D58" s="2" t="s">
        <v>507</v>
      </c>
      <c r="E58" s="18" t="s">
        <v>3800</v>
      </c>
      <c r="F58" s="175">
        <v>45781</v>
      </c>
      <c r="G58" s="108">
        <v>304682.39</v>
      </c>
      <c r="H58" s="37">
        <f t="shared" si="0"/>
        <v>150</v>
      </c>
      <c r="I58" s="37" t="str">
        <f t="shared" si="11"/>
        <v>121-180 DAYS</v>
      </c>
      <c r="J58" s="37" t="str">
        <f t="shared" si="1"/>
        <v>0-180 DAYS</v>
      </c>
      <c r="K58" t="s">
        <v>1730</v>
      </c>
      <c r="L58" s="66" t="s">
        <v>3839</v>
      </c>
      <c r="M58" s="66">
        <v>304682.39</v>
      </c>
    </row>
    <row r="59" spans="1:14" x14ac:dyDescent="0.35">
      <c r="A59" s="2" t="s">
        <v>1085</v>
      </c>
      <c r="B59" s="2" t="s">
        <v>790</v>
      </c>
      <c r="C59" s="18" t="s">
        <v>1086</v>
      </c>
      <c r="D59" s="2" t="s">
        <v>507</v>
      </c>
      <c r="E59" s="18" t="s">
        <v>3801</v>
      </c>
      <c r="F59" s="175">
        <v>45781</v>
      </c>
      <c r="G59" s="108">
        <v>255115.3</v>
      </c>
      <c r="H59" s="37">
        <f t="shared" si="0"/>
        <v>150</v>
      </c>
      <c r="I59" s="37" t="str">
        <f t="shared" si="11"/>
        <v>121-180 DAYS</v>
      </c>
      <c r="J59" s="37" t="str">
        <f t="shared" si="1"/>
        <v>0-180 DAYS</v>
      </c>
      <c r="K59" t="s">
        <v>1730</v>
      </c>
      <c r="L59" s="66" t="s">
        <v>3839</v>
      </c>
      <c r="M59" s="66">
        <v>255115.3</v>
      </c>
    </row>
    <row r="60" spans="1:14" x14ac:dyDescent="0.35">
      <c r="A60" s="2" t="s">
        <v>1085</v>
      </c>
      <c r="B60" s="2" t="s">
        <v>790</v>
      </c>
      <c r="C60" s="18" t="s">
        <v>1086</v>
      </c>
      <c r="D60" s="2" t="s">
        <v>507</v>
      </c>
      <c r="E60" s="18" t="s">
        <v>3802</v>
      </c>
      <c r="F60" s="175">
        <v>45786</v>
      </c>
      <c r="G60" s="108">
        <v>1158167.22</v>
      </c>
      <c r="H60" s="37">
        <f t="shared" si="0"/>
        <v>145</v>
      </c>
      <c r="I60" s="37" t="str">
        <f t="shared" si="11"/>
        <v>121-180 DAYS</v>
      </c>
      <c r="J60" s="37" t="str">
        <f t="shared" si="1"/>
        <v>0-180 DAYS</v>
      </c>
      <c r="K60" t="s">
        <v>1730</v>
      </c>
      <c r="L60" s="66" t="s">
        <v>3841</v>
      </c>
      <c r="M60" s="66">
        <v>1158167.22</v>
      </c>
    </row>
    <row r="61" spans="1:14" x14ac:dyDescent="0.35">
      <c r="A61" s="2" t="s">
        <v>1085</v>
      </c>
      <c r="B61" s="2" t="s">
        <v>790</v>
      </c>
      <c r="C61" s="18" t="s">
        <v>1086</v>
      </c>
      <c r="D61" s="2" t="s">
        <v>507</v>
      </c>
      <c r="E61" s="18" t="s">
        <v>3803</v>
      </c>
      <c r="F61" s="175">
        <v>45786</v>
      </c>
      <c r="G61" s="108">
        <v>479727.65</v>
      </c>
      <c r="H61" s="37">
        <f t="shared" si="0"/>
        <v>145</v>
      </c>
      <c r="I61" s="37" t="str">
        <f t="shared" si="11"/>
        <v>121-180 DAYS</v>
      </c>
      <c r="J61" s="37" t="str">
        <f t="shared" si="1"/>
        <v>0-180 DAYS</v>
      </c>
      <c r="K61" t="s">
        <v>1730</v>
      </c>
      <c r="L61" s="66" t="s">
        <v>3841</v>
      </c>
      <c r="M61" s="66">
        <v>479727.65</v>
      </c>
    </row>
    <row r="62" spans="1:14" x14ac:dyDescent="0.35">
      <c r="A62" s="2" t="s">
        <v>1085</v>
      </c>
      <c r="B62" s="2" t="s">
        <v>790</v>
      </c>
      <c r="C62" s="18" t="s">
        <v>1086</v>
      </c>
      <c r="D62" s="2" t="s">
        <v>507</v>
      </c>
      <c r="E62" s="18" t="s">
        <v>3804</v>
      </c>
      <c r="F62" s="175">
        <v>45786</v>
      </c>
      <c r="G62" s="108">
        <v>268469.25</v>
      </c>
      <c r="H62" s="37">
        <f t="shared" si="0"/>
        <v>145</v>
      </c>
      <c r="I62" s="37" t="str">
        <f t="shared" si="11"/>
        <v>121-180 DAYS</v>
      </c>
      <c r="J62" s="37" t="str">
        <f t="shared" si="1"/>
        <v>0-180 DAYS</v>
      </c>
      <c r="K62" t="s">
        <v>1730</v>
      </c>
      <c r="L62" s="66" t="s">
        <v>3841</v>
      </c>
      <c r="M62" s="66">
        <v>268469.25</v>
      </c>
    </row>
    <row r="63" spans="1:14" x14ac:dyDescent="0.35">
      <c r="A63" s="2" t="s">
        <v>1085</v>
      </c>
      <c r="B63" s="2" t="s">
        <v>790</v>
      </c>
      <c r="C63" s="18" t="s">
        <v>1086</v>
      </c>
      <c r="D63" s="2" t="s">
        <v>507</v>
      </c>
      <c r="E63" s="18" t="s">
        <v>3805</v>
      </c>
      <c r="F63" s="175">
        <v>45786</v>
      </c>
      <c r="G63" s="108">
        <v>126747.66</v>
      </c>
      <c r="H63" s="37">
        <f t="shared" si="0"/>
        <v>145</v>
      </c>
      <c r="I63" s="37" t="str">
        <f t="shared" si="11"/>
        <v>121-180 DAYS</v>
      </c>
      <c r="J63" s="37" t="str">
        <f t="shared" si="1"/>
        <v>0-180 DAYS</v>
      </c>
      <c r="K63" t="s">
        <v>1730</v>
      </c>
      <c r="L63" s="66" t="s">
        <v>3841</v>
      </c>
      <c r="M63" s="66">
        <v>126747.66</v>
      </c>
    </row>
    <row r="64" spans="1:14" x14ac:dyDescent="0.35">
      <c r="A64" s="2" t="s">
        <v>1085</v>
      </c>
      <c r="B64" s="2" t="s">
        <v>790</v>
      </c>
      <c r="C64" s="18" t="s">
        <v>1086</v>
      </c>
      <c r="D64" s="2" t="s">
        <v>507</v>
      </c>
      <c r="E64" s="18" t="s">
        <v>3806</v>
      </c>
      <c r="F64" s="175">
        <v>45786</v>
      </c>
      <c r="G64" s="108">
        <v>96008.25</v>
      </c>
      <c r="H64" s="37">
        <f t="shared" si="0"/>
        <v>145</v>
      </c>
      <c r="I64" s="37" t="str">
        <f t="shared" si="11"/>
        <v>121-180 DAYS</v>
      </c>
      <c r="J64" s="37" t="str">
        <f t="shared" si="1"/>
        <v>0-180 DAYS</v>
      </c>
      <c r="K64" t="s">
        <v>1730</v>
      </c>
      <c r="L64" s="66" t="s">
        <v>3841</v>
      </c>
      <c r="M64" s="66">
        <v>96008.25</v>
      </c>
    </row>
    <row r="65" spans="1:13" x14ac:dyDescent="0.35">
      <c r="A65" s="2" t="s">
        <v>1085</v>
      </c>
      <c r="B65" s="2" t="s">
        <v>790</v>
      </c>
      <c r="C65" s="18" t="s">
        <v>1086</v>
      </c>
      <c r="D65" s="2" t="s">
        <v>507</v>
      </c>
      <c r="E65" s="18" t="s">
        <v>3807</v>
      </c>
      <c r="F65" s="175">
        <v>45786</v>
      </c>
      <c r="G65" s="108">
        <v>259630.62</v>
      </c>
      <c r="H65" s="37">
        <f t="shared" si="0"/>
        <v>145</v>
      </c>
      <c r="I65" s="37" t="str">
        <f t="shared" si="11"/>
        <v>121-180 DAYS</v>
      </c>
      <c r="J65" s="37" t="str">
        <f t="shared" si="1"/>
        <v>0-180 DAYS</v>
      </c>
      <c r="K65" t="s">
        <v>1730</v>
      </c>
      <c r="L65" s="66" t="s">
        <v>3841</v>
      </c>
      <c r="M65" s="66">
        <v>259630.62</v>
      </c>
    </row>
    <row r="66" spans="1:13" x14ac:dyDescent="0.35">
      <c r="A66" s="2" t="s">
        <v>1085</v>
      </c>
      <c r="B66" s="2" t="s">
        <v>790</v>
      </c>
      <c r="C66" s="18" t="s">
        <v>1086</v>
      </c>
      <c r="D66" s="2" t="s">
        <v>507</v>
      </c>
      <c r="E66" s="18" t="s">
        <v>3808</v>
      </c>
      <c r="F66" s="175">
        <v>45786</v>
      </c>
      <c r="G66" s="108">
        <v>30192.71</v>
      </c>
      <c r="H66" s="37">
        <f t="shared" si="0"/>
        <v>145</v>
      </c>
      <c r="I66" s="37" t="str">
        <f t="shared" si="11"/>
        <v>121-180 DAYS</v>
      </c>
      <c r="J66" s="37" t="str">
        <f t="shared" si="1"/>
        <v>0-180 DAYS</v>
      </c>
      <c r="K66" t="s">
        <v>1730</v>
      </c>
      <c r="L66" s="66" t="s">
        <v>3841</v>
      </c>
      <c r="M66" s="66">
        <v>30192.71</v>
      </c>
    </row>
    <row r="67" spans="1:13" x14ac:dyDescent="0.35">
      <c r="A67" s="2" t="s">
        <v>1085</v>
      </c>
      <c r="B67" s="2" t="s">
        <v>790</v>
      </c>
      <c r="C67" s="18" t="s">
        <v>1055</v>
      </c>
      <c r="D67" s="2" t="s">
        <v>507</v>
      </c>
      <c r="E67" s="18" t="s">
        <v>3809</v>
      </c>
      <c r="F67" s="175">
        <v>45801</v>
      </c>
      <c r="G67" s="108">
        <v>2401795.5499999998</v>
      </c>
      <c r="H67" s="37">
        <f t="shared" si="0"/>
        <v>130</v>
      </c>
      <c r="I67" s="37" t="str">
        <f t="shared" si="11"/>
        <v>121-180 DAYS</v>
      </c>
      <c r="J67" s="37" t="str">
        <f t="shared" si="1"/>
        <v>0-180 DAYS</v>
      </c>
      <c r="K67" t="s">
        <v>1730</v>
      </c>
      <c r="L67" s="66" t="s">
        <v>3837</v>
      </c>
      <c r="M67" s="66">
        <v>2401795.5499999998</v>
      </c>
    </row>
    <row r="68" spans="1:13" x14ac:dyDescent="0.35">
      <c r="A68" s="2" t="s">
        <v>1085</v>
      </c>
      <c r="B68" s="2" t="s">
        <v>790</v>
      </c>
      <c r="C68" s="18" t="s">
        <v>1055</v>
      </c>
      <c r="D68" s="2" t="s">
        <v>507</v>
      </c>
      <c r="E68" s="18" t="s">
        <v>3810</v>
      </c>
      <c r="F68" s="175">
        <v>45801</v>
      </c>
      <c r="G68" s="108">
        <v>664640.9</v>
      </c>
      <c r="H68" s="37">
        <f t="shared" si="0"/>
        <v>130</v>
      </c>
      <c r="I68" s="37" t="str">
        <f t="shared" si="11"/>
        <v>121-180 DAYS</v>
      </c>
      <c r="J68" s="37" t="str">
        <f t="shared" si="1"/>
        <v>0-180 DAYS</v>
      </c>
      <c r="K68" t="s">
        <v>1730</v>
      </c>
      <c r="L68" s="66" t="s">
        <v>3837</v>
      </c>
      <c r="M68" s="66">
        <v>664640.9</v>
      </c>
    </row>
    <row r="69" spans="1:13" x14ac:dyDescent="0.35">
      <c r="A69" s="2" t="s">
        <v>1085</v>
      </c>
      <c r="B69" s="2" t="s">
        <v>790</v>
      </c>
      <c r="C69" s="18" t="s">
        <v>1086</v>
      </c>
      <c r="D69" s="2" t="s">
        <v>507</v>
      </c>
      <c r="E69" s="18" t="s">
        <v>3811</v>
      </c>
      <c r="F69" s="175">
        <v>45807</v>
      </c>
      <c r="G69" s="108">
        <v>208243.42</v>
      </c>
      <c r="H69" s="37">
        <f t="shared" si="0"/>
        <v>124</v>
      </c>
      <c r="I69" s="37" t="str">
        <f t="shared" si="11"/>
        <v>121-180 DAYS</v>
      </c>
      <c r="J69" s="37" t="str">
        <f t="shared" si="1"/>
        <v>0-180 DAYS</v>
      </c>
      <c r="K69" t="s">
        <v>1730</v>
      </c>
      <c r="L69" s="66" t="s">
        <v>3849</v>
      </c>
      <c r="M69" s="66">
        <v>208243.42</v>
      </c>
    </row>
    <row r="70" spans="1:13" x14ac:dyDescent="0.35">
      <c r="A70" s="2" t="s">
        <v>1085</v>
      </c>
      <c r="B70" s="2" t="s">
        <v>790</v>
      </c>
      <c r="C70" s="18" t="s">
        <v>1086</v>
      </c>
      <c r="D70" s="2" t="s">
        <v>507</v>
      </c>
      <c r="E70" s="18" t="s">
        <v>3812</v>
      </c>
      <c r="F70" s="175">
        <v>45807</v>
      </c>
      <c r="G70" s="108">
        <v>573966.16</v>
      </c>
      <c r="H70" s="37">
        <f t="shared" si="0"/>
        <v>124</v>
      </c>
      <c r="I70" s="37" t="str">
        <f t="shared" si="11"/>
        <v>121-180 DAYS</v>
      </c>
      <c r="J70" s="37" t="str">
        <f t="shared" si="1"/>
        <v>0-180 DAYS</v>
      </c>
      <c r="K70" t="s">
        <v>1730</v>
      </c>
      <c r="L70" s="66" t="s">
        <v>3849</v>
      </c>
      <c r="M70" s="66">
        <v>573966.16</v>
      </c>
    </row>
    <row r="71" spans="1:13" x14ac:dyDescent="0.35">
      <c r="A71" s="2" t="s">
        <v>1085</v>
      </c>
      <c r="B71" s="2" t="s">
        <v>790</v>
      </c>
      <c r="C71" s="18" t="s">
        <v>1086</v>
      </c>
      <c r="D71" s="2" t="s">
        <v>507</v>
      </c>
      <c r="E71" s="18" t="s">
        <v>3813</v>
      </c>
      <c r="F71" s="175">
        <v>45807</v>
      </c>
      <c r="G71" s="108">
        <v>483603.12</v>
      </c>
      <c r="H71" s="37">
        <f t="shared" si="0"/>
        <v>124</v>
      </c>
      <c r="I71" s="37" t="str">
        <f t="shared" si="11"/>
        <v>121-180 DAYS</v>
      </c>
      <c r="J71" s="37" t="str">
        <f t="shared" si="1"/>
        <v>0-180 DAYS</v>
      </c>
      <c r="K71" t="s">
        <v>1730</v>
      </c>
      <c r="L71" s="66" t="s">
        <v>3849</v>
      </c>
      <c r="M71" s="66">
        <v>483603.12</v>
      </c>
    </row>
    <row r="72" spans="1:13" x14ac:dyDescent="0.35">
      <c r="A72" s="2" t="s">
        <v>1085</v>
      </c>
      <c r="B72" s="2" t="s">
        <v>790</v>
      </c>
      <c r="C72" s="18" t="s">
        <v>1086</v>
      </c>
      <c r="D72" s="2" t="s">
        <v>507</v>
      </c>
      <c r="E72" s="18" t="s">
        <v>3814</v>
      </c>
      <c r="F72" s="175">
        <v>45807</v>
      </c>
      <c r="G72" s="108">
        <v>1553359.89</v>
      </c>
      <c r="H72" s="37">
        <f t="shared" si="0"/>
        <v>124</v>
      </c>
      <c r="I72" s="37" t="str">
        <f t="shared" si="11"/>
        <v>121-180 DAYS</v>
      </c>
      <c r="J72" s="37" t="str">
        <f t="shared" si="1"/>
        <v>0-180 DAYS</v>
      </c>
      <c r="K72" t="s">
        <v>1730</v>
      </c>
      <c r="L72" s="66" t="s">
        <v>3849</v>
      </c>
      <c r="M72" s="66">
        <v>1553359.89</v>
      </c>
    </row>
    <row r="73" spans="1:13" x14ac:dyDescent="0.35">
      <c r="A73" s="2" t="s">
        <v>1085</v>
      </c>
      <c r="B73" s="2" t="s">
        <v>790</v>
      </c>
      <c r="C73" s="18" t="s">
        <v>1086</v>
      </c>
      <c r="D73" s="2" t="s">
        <v>507</v>
      </c>
      <c r="E73" s="18" t="s">
        <v>3815</v>
      </c>
      <c r="F73" s="175">
        <v>45807</v>
      </c>
      <c r="G73" s="108">
        <v>17928.45</v>
      </c>
      <c r="H73" s="37">
        <f t="shared" si="0"/>
        <v>124</v>
      </c>
      <c r="I73" s="37" t="str">
        <f t="shared" si="11"/>
        <v>121-180 DAYS</v>
      </c>
      <c r="J73" s="37" t="str">
        <f t="shared" si="1"/>
        <v>0-180 DAYS</v>
      </c>
      <c r="K73" t="s">
        <v>1730</v>
      </c>
      <c r="L73" s="66" t="s">
        <v>3849</v>
      </c>
      <c r="M73" s="66">
        <v>17928.45</v>
      </c>
    </row>
    <row r="74" spans="1:13" x14ac:dyDescent="0.35">
      <c r="A74" s="2" t="s">
        <v>1085</v>
      </c>
      <c r="B74" s="2" t="s">
        <v>790</v>
      </c>
      <c r="C74" s="18" t="s">
        <v>650</v>
      </c>
      <c r="D74" s="2" t="s">
        <v>507</v>
      </c>
      <c r="E74" s="18" t="s">
        <v>3816</v>
      </c>
      <c r="F74" s="175">
        <v>45788</v>
      </c>
      <c r="G74" s="108">
        <v>1193800</v>
      </c>
      <c r="H74" s="37">
        <f t="shared" si="0"/>
        <v>143</v>
      </c>
      <c r="I74" s="37" t="str">
        <f t="shared" si="11"/>
        <v>121-180 DAYS</v>
      </c>
      <c r="J74" s="37" t="str">
        <f t="shared" si="1"/>
        <v>0-180 DAYS</v>
      </c>
      <c r="K74" t="s">
        <v>1730</v>
      </c>
      <c r="L74" s="66" t="s">
        <v>3836</v>
      </c>
      <c r="M74" s="66">
        <v>1193800</v>
      </c>
    </row>
    <row r="75" spans="1:13" x14ac:dyDescent="0.35">
      <c r="A75" s="2" t="s">
        <v>1085</v>
      </c>
      <c r="B75" s="2" t="s">
        <v>790</v>
      </c>
      <c r="C75" s="18" t="s">
        <v>650</v>
      </c>
      <c r="D75" s="2" t="s">
        <v>507</v>
      </c>
      <c r="E75" s="18" t="s">
        <v>3817</v>
      </c>
      <c r="F75" s="175">
        <v>45788</v>
      </c>
      <c r="G75" s="108">
        <v>1193800.94</v>
      </c>
      <c r="H75" s="37">
        <f t="shared" si="0"/>
        <v>143</v>
      </c>
      <c r="I75" s="37" t="str">
        <f t="shared" si="11"/>
        <v>121-180 DAYS</v>
      </c>
      <c r="J75" s="37" t="str">
        <f t="shared" si="1"/>
        <v>0-180 DAYS</v>
      </c>
      <c r="K75" t="s">
        <v>1730</v>
      </c>
      <c r="L75" s="66" t="s">
        <v>3836</v>
      </c>
      <c r="M75" s="66">
        <v>1193800.94</v>
      </c>
    </row>
    <row r="76" spans="1:13" x14ac:dyDescent="0.35">
      <c r="A76" s="2" t="s">
        <v>1085</v>
      </c>
      <c r="B76" s="2" t="s">
        <v>790</v>
      </c>
      <c r="C76" s="18" t="s">
        <v>570</v>
      </c>
      <c r="D76" s="2" t="s">
        <v>507</v>
      </c>
      <c r="E76" s="18" t="s">
        <v>1807</v>
      </c>
      <c r="F76" s="175">
        <v>45789</v>
      </c>
      <c r="G76" s="108">
        <v>4260317.8899999997</v>
      </c>
      <c r="H76" s="37">
        <f t="shared" ref="H76:H139" si="12">$H$9-F76+1</f>
        <v>142</v>
      </c>
      <c r="I76" s="37" t="str">
        <f t="shared" si="11"/>
        <v>121-180 DAYS</v>
      </c>
      <c r="J76" s="37" t="str">
        <f t="shared" si="1"/>
        <v>0-180 DAYS</v>
      </c>
      <c r="K76" t="s">
        <v>1730</v>
      </c>
      <c r="L76" s="66" t="s">
        <v>3842</v>
      </c>
      <c r="M76" s="66">
        <v>4260317.8899999997</v>
      </c>
    </row>
    <row r="77" spans="1:13" x14ac:dyDescent="0.35">
      <c r="A77" s="2" t="s">
        <v>1085</v>
      </c>
      <c r="B77" s="2" t="s">
        <v>790</v>
      </c>
      <c r="C77" s="18" t="s">
        <v>650</v>
      </c>
      <c r="D77" s="2" t="s">
        <v>507</v>
      </c>
      <c r="E77" s="18" t="s">
        <v>3818</v>
      </c>
      <c r="F77" s="175">
        <v>45790</v>
      </c>
      <c r="G77" s="108">
        <v>1193800</v>
      </c>
      <c r="H77" s="37">
        <f t="shared" si="12"/>
        <v>141</v>
      </c>
      <c r="I77" s="37" t="str">
        <f t="shared" si="11"/>
        <v>121-180 DAYS</v>
      </c>
      <c r="J77" s="37" t="str">
        <f t="shared" si="1"/>
        <v>0-180 DAYS</v>
      </c>
      <c r="K77" t="s">
        <v>1730</v>
      </c>
      <c r="L77" s="66" t="s">
        <v>3843</v>
      </c>
      <c r="M77" s="66">
        <v>1193800</v>
      </c>
    </row>
    <row r="78" spans="1:13" x14ac:dyDescent="0.35">
      <c r="A78" s="2" t="s">
        <v>1085</v>
      </c>
      <c r="B78" s="2" t="s">
        <v>790</v>
      </c>
      <c r="C78" s="18" t="s">
        <v>650</v>
      </c>
      <c r="D78" s="2" t="s">
        <v>507</v>
      </c>
      <c r="E78" s="18" t="s">
        <v>3819</v>
      </c>
      <c r="F78" s="175">
        <v>45790</v>
      </c>
      <c r="G78" s="108">
        <v>1193800</v>
      </c>
      <c r="H78" s="37">
        <f t="shared" si="12"/>
        <v>141</v>
      </c>
      <c r="I78" s="37" t="str">
        <f t="shared" si="11"/>
        <v>121-180 DAYS</v>
      </c>
      <c r="J78" s="37" t="str">
        <f t="shared" ref="J78:J141" si="13">IF(H78&lt;180,"0-180 DAYS","More than 180 Days")</f>
        <v>0-180 DAYS</v>
      </c>
      <c r="K78" t="s">
        <v>1730</v>
      </c>
      <c r="L78" s="66" t="s">
        <v>3843</v>
      </c>
      <c r="M78" s="66">
        <v>1193800</v>
      </c>
    </row>
    <row r="79" spans="1:13" x14ac:dyDescent="0.35">
      <c r="A79" s="2" t="s">
        <v>1085</v>
      </c>
      <c r="B79" s="2" t="s">
        <v>790</v>
      </c>
      <c r="C79" s="18" t="s">
        <v>1086</v>
      </c>
      <c r="D79" s="2" t="s">
        <v>507</v>
      </c>
      <c r="E79" s="18" t="s">
        <v>3820</v>
      </c>
      <c r="F79" s="175">
        <v>45791</v>
      </c>
      <c r="G79" s="108">
        <v>2285228.62</v>
      </c>
      <c r="H79" s="37">
        <f t="shared" si="12"/>
        <v>140</v>
      </c>
      <c r="I79" s="37" t="str">
        <f t="shared" si="11"/>
        <v>121-180 DAYS</v>
      </c>
      <c r="J79" s="37" t="str">
        <f t="shared" si="13"/>
        <v>0-180 DAYS</v>
      </c>
      <c r="K79" t="s">
        <v>1730</v>
      </c>
      <c r="L79" s="66" t="s">
        <v>3844</v>
      </c>
      <c r="M79" s="66">
        <v>2285228.62</v>
      </c>
    </row>
    <row r="80" spans="1:13" x14ac:dyDescent="0.35">
      <c r="A80" s="2" t="s">
        <v>1085</v>
      </c>
      <c r="B80" s="2" t="s">
        <v>790</v>
      </c>
      <c r="C80" s="18" t="s">
        <v>1086</v>
      </c>
      <c r="D80" s="2" t="s">
        <v>507</v>
      </c>
      <c r="E80" s="18" t="s">
        <v>3821</v>
      </c>
      <c r="F80" s="175">
        <v>45791</v>
      </c>
      <c r="G80" s="108">
        <v>517944.81</v>
      </c>
      <c r="H80" s="37">
        <f t="shared" si="12"/>
        <v>140</v>
      </c>
      <c r="I80" s="37" t="str">
        <f t="shared" si="11"/>
        <v>121-180 DAYS</v>
      </c>
      <c r="J80" s="37" t="str">
        <f t="shared" si="13"/>
        <v>0-180 DAYS</v>
      </c>
      <c r="K80" t="s">
        <v>1730</v>
      </c>
      <c r="L80" s="66" t="s">
        <v>3844</v>
      </c>
      <c r="M80" s="66">
        <v>517944.81</v>
      </c>
    </row>
    <row r="81" spans="1:13" x14ac:dyDescent="0.35">
      <c r="A81" s="2" t="s">
        <v>1085</v>
      </c>
      <c r="B81" s="2" t="s">
        <v>790</v>
      </c>
      <c r="C81" s="18" t="s">
        <v>1086</v>
      </c>
      <c r="D81" s="2" t="s">
        <v>507</v>
      </c>
      <c r="E81" s="18" t="s">
        <v>3822</v>
      </c>
      <c r="F81" s="175">
        <v>45793</v>
      </c>
      <c r="G81" s="108">
        <v>3685605.31</v>
      </c>
      <c r="H81" s="37">
        <f t="shared" si="12"/>
        <v>138</v>
      </c>
      <c r="I81" s="37" t="str">
        <f t="shared" si="11"/>
        <v>121-180 DAYS</v>
      </c>
      <c r="J81" s="37" t="str">
        <f t="shared" si="13"/>
        <v>0-180 DAYS</v>
      </c>
      <c r="K81" t="s">
        <v>1730</v>
      </c>
      <c r="L81" s="66" t="s">
        <v>3845</v>
      </c>
      <c r="M81" s="66">
        <v>3685605.31</v>
      </c>
    </row>
    <row r="82" spans="1:13" x14ac:dyDescent="0.35">
      <c r="A82" s="2" t="s">
        <v>1085</v>
      </c>
      <c r="B82" s="2" t="s">
        <v>790</v>
      </c>
      <c r="C82" s="18" t="s">
        <v>1086</v>
      </c>
      <c r="D82" s="2" t="s">
        <v>507</v>
      </c>
      <c r="E82" s="18" t="s">
        <v>3823</v>
      </c>
      <c r="F82" s="175">
        <v>45795</v>
      </c>
      <c r="G82" s="108">
        <v>688909.99</v>
      </c>
      <c r="H82" s="37">
        <f t="shared" si="12"/>
        <v>136</v>
      </c>
      <c r="I82" s="37" t="str">
        <f t="shared" si="11"/>
        <v>121-180 DAYS</v>
      </c>
      <c r="J82" s="37" t="str">
        <f t="shared" si="13"/>
        <v>0-180 DAYS</v>
      </c>
      <c r="K82" t="s">
        <v>1730</v>
      </c>
      <c r="L82" s="66" t="s">
        <v>3846</v>
      </c>
      <c r="M82" s="66">
        <v>688909.99</v>
      </c>
    </row>
    <row r="83" spans="1:13" x14ac:dyDescent="0.35">
      <c r="A83" s="2" t="s">
        <v>1085</v>
      </c>
      <c r="B83" s="2" t="s">
        <v>790</v>
      </c>
      <c r="C83" s="18" t="s">
        <v>1086</v>
      </c>
      <c r="D83" s="2" t="s">
        <v>507</v>
      </c>
      <c r="E83" s="18" t="s">
        <v>3824</v>
      </c>
      <c r="F83" s="175">
        <v>45795</v>
      </c>
      <c r="G83" s="108">
        <v>26301.05</v>
      </c>
      <c r="H83" s="37">
        <f t="shared" si="12"/>
        <v>136</v>
      </c>
      <c r="I83" s="37" t="str">
        <f t="shared" si="11"/>
        <v>121-180 DAYS</v>
      </c>
      <c r="J83" s="37" t="str">
        <f t="shared" si="13"/>
        <v>0-180 DAYS</v>
      </c>
      <c r="K83" t="s">
        <v>1730</v>
      </c>
      <c r="L83" s="66" t="s">
        <v>3846</v>
      </c>
      <c r="M83" s="66">
        <v>26301.05</v>
      </c>
    </row>
    <row r="84" spans="1:13" x14ac:dyDescent="0.35">
      <c r="A84" s="2" t="s">
        <v>1085</v>
      </c>
      <c r="B84" s="2" t="s">
        <v>790</v>
      </c>
      <c r="C84" s="18" t="s">
        <v>1086</v>
      </c>
      <c r="D84" s="2" t="s">
        <v>507</v>
      </c>
      <c r="E84" s="18" t="s">
        <v>3825</v>
      </c>
      <c r="F84" s="175">
        <v>45795</v>
      </c>
      <c r="G84" s="108">
        <v>27932.36</v>
      </c>
      <c r="H84" s="37">
        <f t="shared" si="12"/>
        <v>136</v>
      </c>
      <c r="I84" s="37" t="str">
        <f t="shared" si="11"/>
        <v>121-180 DAYS</v>
      </c>
      <c r="J84" s="37" t="str">
        <f t="shared" si="13"/>
        <v>0-180 DAYS</v>
      </c>
      <c r="K84" t="s">
        <v>1730</v>
      </c>
      <c r="L84" s="66" t="s">
        <v>3846</v>
      </c>
      <c r="M84" s="66">
        <v>27932.36</v>
      </c>
    </row>
    <row r="85" spans="1:13" x14ac:dyDescent="0.35">
      <c r="A85" s="2" t="s">
        <v>1085</v>
      </c>
      <c r="B85" s="2" t="s">
        <v>790</v>
      </c>
      <c r="C85" s="18" t="s">
        <v>1086</v>
      </c>
      <c r="D85" s="2" t="s">
        <v>507</v>
      </c>
      <c r="E85" s="18" t="s">
        <v>3826</v>
      </c>
      <c r="F85" s="175">
        <v>45795</v>
      </c>
      <c r="G85" s="108">
        <v>1743398.73</v>
      </c>
      <c r="H85" s="37">
        <f t="shared" si="12"/>
        <v>136</v>
      </c>
      <c r="I85" s="37" t="str">
        <f t="shared" si="11"/>
        <v>121-180 DAYS</v>
      </c>
      <c r="J85" s="37" t="str">
        <f t="shared" si="13"/>
        <v>0-180 DAYS</v>
      </c>
      <c r="K85" t="s">
        <v>1730</v>
      </c>
      <c r="L85" s="66" t="s">
        <v>3846</v>
      </c>
      <c r="M85" s="66">
        <v>1743398.73</v>
      </c>
    </row>
    <row r="86" spans="1:13" x14ac:dyDescent="0.35">
      <c r="A86" s="2" t="s">
        <v>1085</v>
      </c>
      <c r="B86" s="2" t="s">
        <v>790</v>
      </c>
      <c r="C86" s="18" t="s">
        <v>1086</v>
      </c>
      <c r="D86" s="2" t="s">
        <v>507</v>
      </c>
      <c r="E86" s="18" t="s">
        <v>3827</v>
      </c>
      <c r="F86" s="175">
        <v>45795</v>
      </c>
      <c r="G86" s="108">
        <v>359945.36</v>
      </c>
      <c r="H86" s="37">
        <f t="shared" si="12"/>
        <v>136</v>
      </c>
      <c r="I86" s="37" t="str">
        <f t="shared" si="11"/>
        <v>121-180 DAYS</v>
      </c>
      <c r="J86" s="37" t="str">
        <f t="shared" si="13"/>
        <v>0-180 DAYS</v>
      </c>
      <c r="K86" t="s">
        <v>1730</v>
      </c>
      <c r="L86" s="66" t="s">
        <v>3846</v>
      </c>
      <c r="M86" s="66">
        <v>359945.36</v>
      </c>
    </row>
    <row r="87" spans="1:13" x14ac:dyDescent="0.35">
      <c r="A87" s="2" t="s">
        <v>1085</v>
      </c>
      <c r="B87" s="2" t="s">
        <v>790</v>
      </c>
      <c r="C87" s="18" t="s">
        <v>1086</v>
      </c>
      <c r="D87" s="2" t="s">
        <v>507</v>
      </c>
      <c r="E87" s="18" t="s">
        <v>3828</v>
      </c>
      <c r="F87" s="175">
        <v>45795</v>
      </c>
      <c r="G87" s="108">
        <v>30507.25</v>
      </c>
      <c r="H87" s="37">
        <f t="shared" si="12"/>
        <v>136</v>
      </c>
      <c r="I87" s="37" t="str">
        <f t="shared" si="11"/>
        <v>121-180 DAYS</v>
      </c>
      <c r="J87" s="37" t="str">
        <f t="shared" si="13"/>
        <v>0-180 DAYS</v>
      </c>
      <c r="K87" t="s">
        <v>1730</v>
      </c>
      <c r="L87" s="66" t="s">
        <v>3846</v>
      </c>
      <c r="M87" s="66">
        <v>30507.25</v>
      </c>
    </row>
    <row r="88" spans="1:13" x14ac:dyDescent="0.35">
      <c r="A88" s="2" t="s">
        <v>1085</v>
      </c>
      <c r="B88" s="2" t="s">
        <v>790</v>
      </c>
      <c r="C88" s="18" t="s">
        <v>653</v>
      </c>
      <c r="D88" s="2" t="s">
        <v>507</v>
      </c>
      <c r="E88" s="18" t="s">
        <v>3829</v>
      </c>
      <c r="F88" s="175">
        <v>45801</v>
      </c>
      <c r="G88" s="108">
        <f>4136112.09-3762321</f>
        <v>373791.08999999985</v>
      </c>
      <c r="H88" s="37">
        <f t="shared" si="12"/>
        <v>130</v>
      </c>
      <c r="I88" s="37" t="str">
        <f t="shared" si="11"/>
        <v>121-180 DAYS</v>
      </c>
      <c r="J88" s="37" t="str">
        <f t="shared" si="13"/>
        <v>0-180 DAYS</v>
      </c>
      <c r="K88" t="s">
        <v>1730</v>
      </c>
      <c r="L88" s="66" t="s">
        <v>3837</v>
      </c>
      <c r="M88" s="66">
        <v>4136112.09</v>
      </c>
    </row>
    <row r="89" spans="1:13" x14ac:dyDescent="0.35">
      <c r="A89" s="2" t="s">
        <v>1085</v>
      </c>
      <c r="B89" s="2" t="s">
        <v>790</v>
      </c>
      <c r="C89" s="18" t="s">
        <v>1086</v>
      </c>
      <c r="D89" s="2" t="s">
        <v>507</v>
      </c>
      <c r="E89" s="18" t="s">
        <v>3830</v>
      </c>
      <c r="F89" s="175">
        <v>45802</v>
      </c>
      <c r="G89" s="108">
        <v>2314327.5499999998</v>
      </c>
      <c r="H89" s="37">
        <f t="shared" si="12"/>
        <v>129</v>
      </c>
      <c r="I89" s="37" t="str">
        <f t="shared" si="11"/>
        <v>121-180 DAYS</v>
      </c>
      <c r="J89" s="37" t="str">
        <f t="shared" si="13"/>
        <v>0-180 DAYS</v>
      </c>
      <c r="K89" t="s">
        <v>1730</v>
      </c>
      <c r="L89" s="66" t="s">
        <v>3847</v>
      </c>
      <c r="M89" s="66">
        <v>2314327.5499999998</v>
      </c>
    </row>
    <row r="90" spans="1:13" x14ac:dyDescent="0.35">
      <c r="A90" s="2" t="s">
        <v>1085</v>
      </c>
      <c r="B90" s="2" t="s">
        <v>790</v>
      </c>
      <c r="C90" s="18" t="s">
        <v>1086</v>
      </c>
      <c r="D90" s="2" t="s">
        <v>507</v>
      </c>
      <c r="E90" s="18" t="s">
        <v>3831</v>
      </c>
      <c r="F90" s="175">
        <v>45802</v>
      </c>
      <c r="G90" s="108">
        <v>882812.01</v>
      </c>
      <c r="H90" s="37">
        <f t="shared" si="12"/>
        <v>129</v>
      </c>
      <c r="I90" s="37" t="str">
        <f t="shared" si="11"/>
        <v>121-180 DAYS</v>
      </c>
      <c r="J90" s="37" t="str">
        <f t="shared" si="13"/>
        <v>0-180 DAYS</v>
      </c>
      <c r="K90" t="s">
        <v>1730</v>
      </c>
      <c r="L90" s="66" t="s">
        <v>3847</v>
      </c>
      <c r="M90" s="66">
        <v>882812.01</v>
      </c>
    </row>
    <row r="91" spans="1:13" x14ac:dyDescent="0.35">
      <c r="A91" s="2" t="s">
        <v>1085</v>
      </c>
      <c r="B91" s="2" t="s">
        <v>790</v>
      </c>
      <c r="C91" s="18" t="s">
        <v>1249</v>
      </c>
      <c r="D91" s="2" t="s">
        <v>507</v>
      </c>
      <c r="E91" s="18" t="s">
        <v>1812</v>
      </c>
      <c r="F91" s="175">
        <v>45804</v>
      </c>
      <c r="G91" s="108">
        <v>1977507.87</v>
      </c>
      <c r="H91" s="37">
        <f t="shared" si="12"/>
        <v>127</v>
      </c>
      <c r="I91" s="37" t="str">
        <f t="shared" si="11"/>
        <v>121-180 DAYS</v>
      </c>
      <c r="J91" s="37" t="str">
        <f t="shared" si="13"/>
        <v>0-180 DAYS</v>
      </c>
      <c r="K91" t="s">
        <v>1730</v>
      </c>
      <c r="L91" s="66" t="s">
        <v>3848</v>
      </c>
      <c r="M91" s="66">
        <v>1977507.87</v>
      </c>
    </row>
    <row r="92" spans="1:13" x14ac:dyDescent="0.35">
      <c r="A92" s="2" t="s">
        <v>1085</v>
      </c>
      <c r="B92" s="2" t="s">
        <v>790</v>
      </c>
      <c r="C92" s="18" t="s">
        <v>650</v>
      </c>
      <c r="D92" s="2" t="s">
        <v>507</v>
      </c>
      <c r="E92" s="18" t="s">
        <v>3832</v>
      </c>
      <c r="F92" s="175">
        <v>45804</v>
      </c>
      <c r="G92" s="108">
        <v>2844072</v>
      </c>
      <c r="H92" s="37">
        <f t="shared" si="12"/>
        <v>127</v>
      </c>
      <c r="I92" s="37" t="str">
        <f t="shared" si="11"/>
        <v>121-180 DAYS</v>
      </c>
      <c r="J92" s="37" t="str">
        <f t="shared" si="13"/>
        <v>0-180 DAYS</v>
      </c>
      <c r="K92" t="s">
        <v>1730</v>
      </c>
      <c r="L92" s="66" t="s">
        <v>3848</v>
      </c>
      <c r="M92" s="66">
        <v>2844072</v>
      </c>
    </row>
    <row r="93" spans="1:13" x14ac:dyDescent="0.35">
      <c r="A93" s="2" t="s">
        <v>1085</v>
      </c>
      <c r="B93" s="2" t="s">
        <v>790</v>
      </c>
      <c r="C93" s="18" t="s">
        <v>3797</v>
      </c>
      <c r="D93" s="2" t="s">
        <v>507</v>
      </c>
      <c r="E93" s="18" t="s">
        <v>3851</v>
      </c>
      <c r="F93" s="176">
        <v>45812</v>
      </c>
      <c r="G93" s="18">
        <f>3903311.82-2800000</f>
        <v>1103311.8199999998</v>
      </c>
      <c r="H93" s="37">
        <f t="shared" si="12"/>
        <v>119</v>
      </c>
      <c r="I93" s="37" t="str">
        <f t="shared" si="11"/>
        <v>0-120 DAYS</v>
      </c>
      <c r="J93" s="37" t="str">
        <f t="shared" si="13"/>
        <v>0-180 DAYS</v>
      </c>
      <c r="K93" t="s">
        <v>1730</v>
      </c>
      <c r="L93" s="66" t="s">
        <v>3928</v>
      </c>
      <c r="M93" s="66">
        <v>1103311.82</v>
      </c>
    </row>
    <row r="94" spans="1:13" x14ac:dyDescent="0.35">
      <c r="A94" s="2" t="s">
        <v>1085</v>
      </c>
      <c r="B94" s="2" t="s">
        <v>790</v>
      </c>
      <c r="C94" s="18" t="s">
        <v>1052</v>
      </c>
      <c r="D94" s="2" t="s">
        <v>507</v>
      </c>
      <c r="E94" s="18" t="s">
        <v>3852</v>
      </c>
      <c r="F94" s="176">
        <v>45813</v>
      </c>
      <c r="G94" s="18">
        <v>2966859.74</v>
      </c>
      <c r="H94" s="37">
        <f t="shared" si="12"/>
        <v>118</v>
      </c>
      <c r="I94" s="37" t="str">
        <f t="shared" si="11"/>
        <v>0-120 DAYS</v>
      </c>
      <c r="J94" s="37" t="str">
        <f t="shared" si="13"/>
        <v>0-180 DAYS</v>
      </c>
      <c r="K94" t="s">
        <v>1730</v>
      </c>
      <c r="L94" s="66" t="s">
        <v>3929</v>
      </c>
      <c r="M94" s="66">
        <v>2966859.74</v>
      </c>
    </row>
    <row r="95" spans="1:13" x14ac:dyDescent="0.35">
      <c r="A95" s="2" t="s">
        <v>1085</v>
      </c>
      <c r="B95" s="2" t="s">
        <v>790</v>
      </c>
      <c r="C95" s="18" t="s">
        <v>2066</v>
      </c>
      <c r="D95" s="2" t="s">
        <v>507</v>
      </c>
      <c r="E95" s="18" t="s">
        <v>3853</v>
      </c>
      <c r="F95" s="176">
        <v>45822</v>
      </c>
      <c r="G95" s="18">
        <v>4682380.45</v>
      </c>
      <c r="H95" s="37">
        <f t="shared" si="12"/>
        <v>109</v>
      </c>
      <c r="I95" s="37" t="str">
        <f t="shared" si="11"/>
        <v>0-120 DAYS</v>
      </c>
      <c r="J95" s="37" t="str">
        <f t="shared" si="13"/>
        <v>0-180 DAYS</v>
      </c>
      <c r="K95" t="s">
        <v>1730</v>
      </c>
      <c r="L95" s="66" t="s">
        <v>3930</v>
      </c>
      <c r="M95" s="66">
        <v>4682380.45</v>
      </c>
    </row>
    <row r="96" spans="1:13" x14ac:dyDescent="0.35">
      <c r="A96" s="2" t="s">
        <v>1085</v>
      </c>
      <c r="B96" s="2" t="s">
        <v>790</v>
      </c>
      <c r="C96" s="18" t="s">
        <v>573</v>
      </c>
      <c r="D96" s="2" t="s">
        <v>507</v>
      </c>
      <c r="E96" s="18" t="s">
        <v>3854</v>
      </c>
      <c r="F96" s="176">
        <v>45824</v>
      </c>
      <c r="G96" s="18">
        <v>3890135.97</v>
      </c>
      <c r="H96" s="37">
        <f t="shared" si="12"/>
        <v>107</v>
      </c>
      <c r="I96" s="37" t="str">
        <f t="shared" si="11"/>
        <v>0-120 DAYS</v>
      </c>
      <c r="J96" s="37" t="str">
        <f t="shared" si="13"/>
        <v>0-180 DAYS</v>
      </c>
      <c r="K96" t="s">
        <v>1730</v>
      </c>
      <c r="L96" s="66" t="s">
        <v>3931</v>
      </c>
      <c r="M96" s="66">
        <v>3890135.97</v>
      </c>
    </row>
    <row r="97" spans="1:13" x14ac:dyDescent="0.35">
      <c r="A97" s="2" t="s">
        <v>1085</v>
      </c>
      <c r="B97" s="2" t="s">
        <v>790</v>
      </c>
      <c r="C97" s="18" t="s">
        <v>1052</v>
      </c>
      <c r="D97" s="2" t="s">
        <v>507</v>
      </c>
      <c r="E97" s="18" t="s">
        <v>3855</v>
      </c>
      <c r="F97" s="176">
        <v>45826</v>
      </c>
      <c r="G97" s="18">
        <v>3178986.14</v>
      </c>
      <c r="H97" s="37">
        <f t="shared" si="12"/>
        <v>105</v>
      </c>
      <c r="I97" s="37" t="str">
        <f t="shared" si="11"/>
        <v>0-120 DAYS</v>
      </c>
      <c r="J97" s="37" t="str">
        <f t="shared" si="13"/>
        <v>0-180 DAYS</v>
      </c>
      <c r="K97" t="s">
        <v>1730</v>
      </c>
      <c r="L97" s="66" t="s">
        <v>3924</v>
      </c>
      <c r="M97" s="66">
        <v>3178986.14</v>
      </c>
    </row>
    <row r="98" spans="1:13" x14ac:dyDescent="0.35">
      <c r="A98" s="2" t="s">
        <v>1085</v>
      </c>
      <c r="B98" s="2" t="s">
        <v>790</v>
      </c>
      <c r="C98" s="18" t="s">
        <v>797</v>
      </c>
      <c r="D98" s="2" t="s">
        <v>507</v>
      </c>
      <c r="E98" s="18" t="s">
        <v>3856</v>
      </c>
      <c r="F98" s="176">
        <v>45826</v>
      </c>
      <c r="G98" s="18">
        <v>3608841.6</v>
      </c>
      <c r="H98" s="37">
        <f t="shared" si="12"/>
        <v>105</v>
      </c>
      <c r="I98" s="37" t="str">
        <f t="shared" si="11"/>
        <v>0-120 DAYS</v>
      </c>
      <c r="J98" s="37" t="str">
        <f t="shared" si="13"/>
        <v>0-180 DAYS</v>
      </c>
      <c r="K98" t="s">
        <v>1730</v>
      </c>
      <c r="L98" s="66" t="s">
        <v>3924</v>
      </c>
      <c r="M98" s="66">
        <v>3608841.6</v>
      </c>
    </row>
    <row r="99" spans="1:13" x14ac:dyDescent="0.35">
      <c r="A99" s="2" t="s">
        <v>1085</v>
      </c>
      <c r="B99" s="2" t="s">
        <v>790</v>
      </c>
      <c r="C99" s="18" t="s">
        <v>538</v>
      </c>
      <c r="D99" s="2" t="s">
        <v>507</v>
      </c>
      <c r="E99" s="18" t="s">
        <v>3857</v>
      </c>
      <c r="F99" s="176">
        <v>45827</v>
      </c>
      <c r="G99" s="18">
        <v>3138561.45</v>
      </c>
      <c r="H99" s="37">
        <f t="shared" si="12"/>
        <v>104</v>
      </c>
      <c r="I99" s="37" t="str">
        <f t="shared" si="11"/>
        <v>0-120 DAYS</v>
      </c>
      <c r="J99" s="37" t="str">
        <f t="shared" si="13"/>
        <v>0-180 DAYS</v>
      </c>
      <c r="K99" t="s">
        <v>1730</v>
      </c>
      <c r="L99" s="66" t="s">
        <v>3932</v>
      </c>
      <c r="M99" s="66">
        <v>3138561.45</v>
      </c>
    </row>
    <row r="100" spans="1:13" x14ac:dyDescent="0.35">
      <c r="A100" s="2" t="s">
        <v>1085</v>
      </c>
      <c r="B100" s="2" t="s">
        <v>790</v>
      </c>
      <c r="C100" s="18" t="s">
        <v>573</v>
      </c>
      <c r="D100" s="2" t="s">
        <v>507</v>
      </c>
      <c r="E100" s="18" t="s">
        <v>3858</v>
      </c>
      <c r="F100" s="176">
        <v>45827</v>
      </c>
      <c r="G100" s="18">
        <v>5645278.7999999998</v>
      </c>
      <c r="H100" s="37">
        <f t="shared" si="12"/>
        <v>104</v>
      </c>
      <c r="I100" s="37" t="str">
        <f t="shared" si="11"/>
        <v>0-120 DAYS</v>
      </c>
      <c r="J100" s="37" t="str">
        <f t="shared" si="13"/>
        <v>0-180 DAYS</v>
      </c>
      <c r="K100" t="s">
        <v>1730</v>
      </c>
      <c r="L100" s="66" t="s">
        <v>3932</v>
      </c>
      <c r="M100" s="66">
        <v>5645278.7999999998</v>
      </c>
    </row>
    <row r="101" spans="1:13" x14ac:dyDescent="0.35">
      <c r="A101" s="2" t="s">
        <v>1085</v>
      </c>
      <c r="B101" s="2" t="s">
        <v>790</v>
      </c>
      <c r="C101" s="18" t="s">
        <v>3796</v>
      </c>
      <c r="D101" s="2" t="s">
        <v>507</v>
      </c>
      <c r="E101" s="18" t="s">
        <v>3859</v>
      </c>
      <c r="F101" s="176">
        <v>45828</v>
      </c>
      <c r="G101" s="18">
        <v>3819768.75</v>
      </c>
      <c r="H101" s="37">
        <f t="shared" si="12"/>
        <v>103</v>
      </c>
      <c r="I101" s="37" t="str">
        <f t="shared" si="11"/>
        <v>0-120 DAYS</v>
      </c>
      <c r="J101" s="37" t="str">
        <f t="shared" si="13"/>
        <v>0-180 DAYS</v>
      </c>
      <c r="K101" t="s">
        <v>1730</v>
      </c>
      <c r="L101" s="66" t="s">
        <v>3933</v>
      </c>
      <c r="M101" s="66">
        <v>3819768.75</v>
      </c>
    </row>
    <row r="102" spans="1:13" x14ac:dyDescent="0.35">
      <c r="A102" s="2" t="s">
        <v>1085</v>
      </c>
      <c r="B102" s="2" t="s">
        <v>790</v>
      </c>
      <c r="C102" s="18" t="s">
        <v>573</v>
      </c>
      <c r="D102" s="2" t="s">
        <v>507</v>
      </c>
      <c r="E102" s="18" t="s">
        <v>3860</v>
      </c>
      <c r="F102" s="176">
        <v>45830</v>
      </c>
      <c r="G102" s="18">
        <v>3546142.29</v>
      </c>
      <c r="H102" s="37">
        <f t="shared" si="12"/>
        <v>101</v>
      </c>
      <c r="I102" s="37" t="str">
        <f t="shared" si="11"/>
        <v>0-120 DAYS</v>
      </c>
      <c r="J102" s="37" t="str">
        <f t="shared" si="13"/>
        <v>0-180 DAYS</v>
      </c>
      <c r="K102" t="s">
        <v>1730</v>
      </c>
      <c r="L102" s="66" t="s">
        <v>3934</v>
      </c>
      <c r="M102" s="66">
        <v>3546142.29</v>
      </c>
    </row>
    <row r="103" spans="1:13" x14ac:dyDescent="0.35">
      <c r="A103" s="2" t="s">
        <v>1085</v>
      </c>
      <c r="B103" s="2" t="s">
        <v>790</v>
      </c>
      <c r="C103" s="18" t="s">
        <v>3797</v>
      </c>
      <c r="D103" s="2" t="s">
        <v>507</v>
      </c>
      <c r="E103" s="18" t="s">
        <v>3861</v>
      </c>
      <c r="F103" s="176">
        <v>45831</v>
      </c>
      <c r="G103" s="18">
        <v>3882258.45</v>
      </c>
      <c r="H103" s="37">
        <f t="shared" si="12"/>
        <v>100</v>
      </c>
      <c r="I103" s="37" t="str">
        <f t="shared" si="11"/>
        <v>0-120 DAYS</v>
      </c>
      <c r="J103" s="37" t="str">
        <f t="shared" si="13"/>
        <v>0-180 DAYS</v>
      </c>
      <c r="K103" t="s">
        <v>1730</v>
      </c>
      <c r="L103" s="66" t="s">
        <v>3935</v>
      </c>
      <c r="M103" s="66">
        <v>3882258.45</v>
      </c>
    </row>
    <row r="104" spans="1:13" x14ac:dyDescent="0.35">
      <c r="A104" s="2" t="s">
        <v>1085</v>
      </c>
      <c r="B104" s="2" t="s">
        <v>790</v>
      </c>
      <c r="C104" s="18" t="s">
        <v>1086</v>
      </c>
      <c r="D104" s="2" t="s">
        <v>507</v>
      </c>
      <c r="E104" s="18" t="s">
        <v>3862</v>
      </c>
      <c r="F104" s="176">
        <v>45832</v>
      </c>
      <c r="G104" s="18">
        <v>1466733.31</v>
      </c>
      <c r="H104" s="37">
        <f t="shared" si="12"/>
        <v>99</v>
      </c>
      <c r="I104" s="37" t="str">
        <f t="shared" si="11"/>
        <v>0-120 DAYS</v>
      </c>
      <c r="J104" s="37" t="str">
        <f t="shared" si="13"/>
        <v>0-180 DAYS</v>
      </c>
      <c r="K104" t="s">
        <v>1730</v>
      </c>
      <c r="L104" s="66" t="s">
        <v>3936</v>
      </c>
      <c r="M104" s="66">
        <v>1466733.31</v>
      </c>
    </row>
    <row r="105" spans="1:13" x14ac:dyDescent="0.35">
      <c r="A105" s="2" t="s">
        <v>1085</v>
      </c>
      <c r="B105" s="2" t="s">
        <v>790</v>
      </c>
      <c r="C105" s="18" t="s">
        <v>1086</v>
      </c>
      <c r="D105" s="2" t="s">
        <v>507</v>
      </c>
      <c r="E105" s="18" t="s">
        <v>3863</v>
      </c>
      <c r="F105" s="176">
        <v>45832</v>
      </c>
      <c r="G105" s="18">
        <v>976392</v>
      </c>
      <c r="H105" s="37">
        <f t="shared" si="12"/>
        <v>99</v>
      </c>
      <c r="I105" s="37" t="str">
        <f t="shared" si="11"/>
        <v>0-120 DAYS</v>
      </c>
      <c r="J105" s="37" t="str">
        <f t="shared" si="13"/>
        <v>0-180 DAYS</v>
      </c>
      <c r="K105" t="s">
        <v>1730</v>
      </c>
      <c r="L105" s="66" t="s">
        <v>3936</v>
      </c>
      <c r="M105" s="66">
        <v>976392</v>
      </c>
    </row>
    <row r="106" spans="1:13" x14ac:dyDescent="0.35">
      <c r="A106" s="2" t="s">
        <v>1209</v>
      </c>
      <c r="B106" s="2" t="s">
        <v>789</v>
      </c>
      <c r="C106" s="18" t="s">
        <v>506</v>
      </c>
      <c r="D106" s="2" t="s">
        <v>507</v>
      </c>
      <c r="E106" s="18" t="s">
        <v>3864</v>
      </c>
      <c r="F106" s="176">
        <v>45832</v>
      </c>
      <c r="G106" s="18">
        <v>1473617.91</v>
      </c>
      <c r="H106" s="37">
        <f t="shared" si="12"/>
        <v>99</v>
      </c>
      <c r="I106" s="37" t="str">
        <f t="shared" si="11"/>
        <v>0-120 DAYS</v>
      </c>
      <c r="J106" s="37" t="str">
        <f t="shared" si="13"/>
        <v>0-180 DAYS</v>
      </c>
      <c r="L106" s="66" t="s">
        <v>3936</v>
      </c>
      <c r="M106" s="66">
        <v>1473617.91</v>
      </c>
    </row>
    <row r="107" spans="1:13" x14ac:dyDescent="0.35">
      <c r="A107" s="2" t="s">
        <v>1209</v>
      </c>
      <c r="B107" s="2" t="s">
        <v>789</v>
      </c>
      <c r="C107" s="18" t="s">
        <v>506</v>
      </c>
      <c r="D107" s="2" t="s">
        <v>507</v>
      </c>
      <c r="E107" s="18" t="s">
        <v>3865</v>
      </c>
      <c r="F107" s="176">
        <v>45832</v>
      </c>
      <c r="G107" s="18">
        <v>716337.38</v>
      </c>
      <c r="H107" s="37">
        <f t="shared" si="12"/>
        <v>99</v>
      </c>
      <c r="I107" s="37" t="str">
        <f t="shared" si="11"/>
        <v>0-120 DAYS</v>
      </c>
      <c r="J107" s="37" t="str">
        <f t="shared" si="13"/>
        <v>0-180 DAYS</v>
      </c>
      <c r="L107" s="66" t="s">
        <v>3936</v>
      </c>
      <c r="M107" s="66">
        <v>716337.38</v>
      </c>
    </row>
    <row r="108" spans="1:13" x14ac:dyDescent="0.35">
      <c r="A108" s="2" t="s">
        <v>1209</v>
      </c>
      <c r="B108" s="2" t="s">
        <v>789</v>
      </c>
      <c r="C108" s="18" t="s">
        <v>506</v>
      </c>
      <c r="D108" s="2" t="s">
        <v>507</v>
      </c>
      <c r="E108" s="18" t="s">
        <v>3866</v>
      </c>
      <c r="F108" s="176">
        <v>45832</v>
      </c>
      <c r="G108" s="18">
        <v>265716.14</v>
      </c>
      <c r="H108" s="37">
        <f t="shared" si="12"/>
        <v>99</v>
      </c>
      <c r="I108" s="37" t="str">
        <f t="shared" si="11"/>
        <v>0-120 DAYS</v>
      </c>
      <c r="J108" s="37" t="str">
        <f t="shared" si="13"/>
        <v>0-180 DAYS</v>
      </c>
      <c r="L108" s="66" t="s">
        <v>3936</v>
      </c>
      <c r="M108" s="66">
        <v>265716.14</v>
      </c>
    </row>
    <row r="109" spans="1:13" x14ac:dyDescent="0.35">
      <c r="A109" s="2" t="s">
        <v>1209</v>
      </c>
      <c r="B109" s="2" t="s">
        <v>789</v>
      </c>
      <c r="C109" s="18" t="s">
        <v>506</v>
      </c>
      <c r="D109" s="2" t="s">
        <v>507</v>
      </c>
      <c r="E109" s="18" t="s">
        <v>3867</v>
      </c>
      <c r="F109" s="176">
        <v>45832</v>
      </c>
      <c r="G109" s="18">
        <v>829457.9</v>
      </c>
      <c r="H109" s="37">
        <f t="shared" si="12"/>
        <v>99</v>
      </c>
      <c r="I109" s="37" t="str">
        <f t="shared" si="11"/>
        <v>0-120 DAYS</v>
      </c>
      <c r="J109" s="37" t="str">
        <f t="shared" si="13"/>
        <v>0-180 DAYS</v>
      </c>
      <c r="L109" s="66" t="s">
        <v>3936</v>
      </c>
      <c r="M109" s="66">
        <v>829457.9</v>
      </c>
    </row>
    <row r="110" spans="1:13" x14ac:dyDescent="0.35">
      <c r="A110" s="2" t="s">
        <v>1085</v>
      </c>
      <c r="B110" s="2" t="s">
        <v>790</v>
      </c>
      <c r="C110" s="18" t="s">
        <v>573</v>
      </c>
      <c r="D110" s="2" t="s">
        <v>507</v>
      </c>
      <c r="E110" s="18" t="s">
        <v>3868</v>
      </c>
      <c r="F110" s="176">
        <v>45832</v>
      </c>
      <c r="G110" s="18">
        <v>3581566.58</v>
      </c>
      <c r="H110" s="37">
        <f t="shared" si="12"/>
        <v>99</v>
      </c>
      <c r="I110" s="37" t="str">
        <f t="shared" si="11"/>
        <v>0-120 DAYS</v>
      </c>
      <c r="J110" s="37" t="str">
        <f t="shared" si="13"/>
        <v>0-180 DAYS</v>
      </c>
      <c r="K110" t="s">
        <v>1730</v>
      </c>
      <c r="L110" s="66" t="s">
        <v>3936</v>
      </c>
      <c r="M110" s="66">
        <v>3581566.58</v>
      </c>
    </row>
    <row r="111" spans="1:13" x14ac:dyDescent="0.35">
      <c r="A111" s="2" t="s">
        <v>1085</v>
      </c>
      <c r="B111" s="2" t="s">
        <v>790</v>
      </c>
      <c r="C111" s="18" t="s">
        <v>573</v>
      </c>
      <c r="D111" s="2" t="s">
        <v>507</v>
      </c>
      <c r="E111" s="18" t="s">
        <v>3869</v>
      </c>
      <c r="F111" s="176">
        <v>45832</v>
      </c>
      <c r="G111" s="18">
        <v>312548.58</v>
      </c>
      <c r="H111" s="37">
        <f t="shared" si="12"/>
        <v>99</v>
      </c>
      <c r="I111" s="37" t="str">
        <f t="shared" si="11"/>
        <v>0-120 DAYS</v>
      </c>
      <c r="J111" s="37" t="str">
        <f t="shared" si="13"/>
        <v>0-180 DAYS</v>
      </c>
      <c r="K111" t="s">
        <v>1730</v>
      </c>
      <c r="L111" s="66" t="s">
        <v>3936</v>
      </c>
      <c r="M111" s="66">
        <v>312548.58</v>
      </c>
    </row>
    <row r="112" spans="1:13" x14ac:dyDescent="0.35">
      <c r="A112" s="2" t="s">
        <v>1085</v>
      </c>
      <c r="B112" s="2" t="s">
        <v>790</v>
      </c>
      <c r="C112" s="18" t="s">
        <v>2066</v>
      </c>
      <c r="D112" s="2" t="s">
        <v>507</v>
      </c>
      <c r="E112" s="18" t="s">
        <v>3870</v>
      </c>
      <c r="F112" s="176">
        <v>45835</v>
      </c>
      <c r="G112" s="18">
        <v>4427894.17</v>
      </c>
      <c r="H112" s="37">
        <f t="shared" si="12"/>
        <v>96</v>
      </c>
      <c r="I112" s="37" t="str">
        <f t="shared" si="11"/>
        <v>0-120 DAYS</v>
      </c>
      <c r="J112" s="37" t="str">
        <f t="shared" si="13"/>
        <v>0-180 DAYS</v>
      </c>
      <c r="K112" t="s">
        <v>1730</v>
      </c>
      <c r="L112" s="66" t="s">
        <v>3937</v>
      </c>
      <c r="M112" s="66">
        <v>4427894.17</v>
      </c>
    </row>
    <row r="113" spans="1:13" x14ac:dyDescent="0.35">
      <c r="A113" s="2" t="s">
        <v>1085</v>
      </c>
      <c r="B113" s="2" t="s">
        <v>790</v>
      </c>
      <c r="C113" s="18" t="s">
        <v>573</v>
      </c>
      <c r="D113" s="2" t="s">
        <v>507</v>
      </c>
      <c r="E113" s="18" t="s">
        <v>3871</v>
      </c>
      <c r="F113" s="176">
        <v>45835</v>
      </c>
      <c r="G113" s="18">
        <v>1811611.13</v>
      </c>
      <c r="H113" s="37">
        <f t="shared" si="12"/>
        <v>96</v>
      </c>
      <c r="I113" s="37" t="str">
        <f t="shared" si="11"/>
        <v>0-120 DAYS</v>
      </c>
      <c r="J113" s="37" t="str">
        <f t="shared" si="13"/>
        <v>0-180 DAYS</v>
      </c>
      <c r="K113" t="s">
        <v>1730</v>
      </c>
      <c r="L113" s="66" t="s">
        <v>3937</v>
      </c>
      <c r="M113" s="66">
        <v>1811611.13</v>
      </c>
    </row>
    <row r="114" spans="1:13" x14ac:dyDescent="0.35">
      <c r="A114" s="2" t="s">
        <v>1085</v>
      </c>
      <c r="B114" s="2" t="s">
        <v>790</v>
      </c>
      <c r="C114" s="18" t="s">
        <v>573</v>
      </c>
      <c r="D114" s="2" t="s">
        <v>507</v>
      </c>
      <c r="E114" s="18" t="s">
        <v>3872</v>
      </c>
      <c r="F114" s="176">
        <v>45835</v>
      </c>
      <c r="G114" s="18">
        <v>1539304.34</v>
      </c>
      <c r="H114" s="37">
        <f t="shared" si="12"/>
        <v>96</v>
      </c>
      <c r="I114" s="37" t="str">
        <f t="shared" si="11"/>
        <v>0-120 DAYS</v>
      </c>
      <c r="J114" s="37" t="str">
        <f t="shared" si="13"/>
        <v>0-180 DAYS</v>
      </c>
      <c r="K114" t="s">
        <v>1730</v>
      </c>
      <c r="L114" s="66" t="s">
        <v>3937</v>
      </c>
      <c r="M114" s="66">
        <v>1539304.34</v>
      </c>
    </row>
    <row r="115" spans="1:13" x14ac:dyDescent="0.35">
      <c r="A115" s="2" t="s">
        <v>1085</v>
      </c>
      <c r="B115" s="2" t="s">
        <v>790</v>
      </c>
      <c r="C115" s="18" t="s">
        <v>573</v>
      </c>
      <c r="D115" s="2" t="s">
        <v>507</v>
      </c>
      <c r="E115" s="18" t="s">
        <v>3873</v>
      </c>
      <c r="F115" s="176">
        <v>45835</v>
      </c>
      <c r="G115" s="18">
        <v>136419.84</v>
      </c>
      <c r="H115" s="37">
        <f t="shared" si="12"/>
        <v>96</v>
      </c>
      <c r="I115" s="37" t="str">
        <f t="shared" si="11"/>
        <v>0-120 DAYS</v>
      </c>
      <c r="J115" s="37" t="str">
        <f t="shared" si="13"/>
        <v>0-180 DAYS</v>
      </c>
      <c r="K115" t="s">
        <v>1730</v>
      </c>
      <c r="L115" s="66" t="s">
        <v>3937</v>
      </c>
      <c r="M115" s="66">
        <v>136419.84</v>
      </c>
    </row>
    <row r="116" spans="1:13" x14ac:dyDescent="0.35">
      <c r="A116" s="2" t="s">
        <v>1085</v>
      </c>
      <c r="B116" s="2" t="s">
        <v>790</v>
      </c>
      <c r="C116" s="18" t="s">
        <v>1052</v>
      </c>
      <c r="D116" s="2" t="s">
        <v>507</v>
      </c>
      <c r="E116" s="18" t="s">
        <v>3874</v>
      </c>
      <c r="F116" s="176">
        <v>45836</v>
      </c>
      <c r="G116" s="18">
        <v>3185985.14</v>
      </c>
      <c r="H116" s="37">
        <f t="shared" si="12"/>
        <v>95</v>
      </c>
      <c r="I116" s="37" t="str">
        <f t="shared" si="11"/>
        <v>0-120 DAYS</v>
      </c>
      <c r="J116" s="37" t="str">
        <f t="shared" si="13"/>
        <v>0-180 DAYS</v>
      </c>
      <c r="K116" t="s">
        <v>1730</v>
      </c>
      <c r="L116" s="66" t="s">
        <v>3938</v>
      </c>
      <c r="M116" s="66">
        <v>3185985.14</v>
      </c>
    </row>
    <row r="117" spans="1:13" x14ac:dyDescent="0.35">
      <c r="A117" s="2" t="s">
        <v>1085</v>
      </c>
      <c r="B117" s="2" t="s">
        <v>790</v>
      </c>
      <c r="C117" s="18" t="s">
        <v>1086</v>
      </c>
      <c r="D117" s="2" t="s">
        <v>507</v>
      </c>
      <c r="E117" s="18" t="s">
        <v>3875</v>
      </c>
      <c r="F117" s="176">
        <v>45813</v>
      </c>
      <c r="G117" s="18">
        <v>1482651.48</v>
      </c>
      <c r="H117" s="37">
        <f t="shared" si="12"/>
        <v>118</v>
      </c>
      <c r="I117" s="37" t="str">
        <f t="shared" si="11"/>
        <v>0-120 DAYS</v>
      </c>
      <c r="J117" s="37" t="str">
        <f t="shared" si="13"/>
        <v>0-180 DAYS</v>
      </c>
      <c r="K117" t="s">
        <v>1730</v>
      </c>
      <c r="L117" s="66" t="s">
        <v>3929</v>
      </c>
      <c r="M117" s="66">
        <v>1482651.48</v>
      </c>
    </row>
    <row r="118" spans="1:13" x14ac:dyDescent="0.35">
      <c r="A118" s="2" t="s">
        <v>1085</v>
      </c>
      <c r="B118" s="2" t="s">
        <v>790</v>
      </c>
      <c r="C118" s="18" t="s">
        <v>1086</v>
      </c>
      <c r="D118" s="2" t="s">
        <v>507</v>
      </c>
      <c r="E118" s="18" t="s">
        <v>3876</v>
      </c>
      <c r="F118" s="176">
        <v>45813</v>
      </c>
      <c r="G118" s="18">
        <v>94326.16</v>
      </c>
      <c r="H118" s="37">
        <f t="shared" si="12"/>
        <v>118</v>
      </c>
      <c r="I118" s="37" t="str">
        <f t="shared" si="11"/>
        <v>0-120 DAYS</v>
      </c>
      <c r="J118" s="37" t="str">
        <f t="shared" si="13"/>
        <v>0-180 DAYS</v>
      </c>
      <c r="K118" t="s">
        <v>1730</v>
      </c>
      <c r="L118" s="66" t="s">
        <v>3929</v>
      </c>
      <c r="M118" s="66">
        <v>94326.16</v>
      </c>
    </row>
    <row r="119" spans="1:13" x14ac:dyDescent="0.35">
      <c r="A119" s="2" t="s">
        <v>1085</v>
      </c>
      <c r="B119" s="2" t="s">
        <v>790</v>
      </c>
      <c r="C119" s="18" t="s">
        <v>1086</v>
      </c>
      <c r="D119" s="2" t="s">
        <v>507</v>
      </c>
      <c r="E119" s="18" t="s">
        <v>3877</v>
      </c>
      <c r="F119" s="176">
        <v>45813</v>
      </c>
      <c r="G119" s="18">
        <v>131455.25</v>
      </c>
      <c r="H119" s="37">
        <f t="shared" si="12"/>
        <v>118</v>
      </c>
      <c r="I119" s="37" t="str">
        <f t="shared" si="11"/>
        <v>0-120 DAYS</v>
      </c>
      <c r="J119" s="37" t="str">
        <f t="shared" si="13"/>
        <v>0-180 DAYS</v>
      </c>
      <c r="K119" t="s">
        <v>1730</v>
      </c>
      <c r="L119" s="66" t="s">
        <v>3929</v>
      </c>
      <c r="M119" s="66">
        <v>131455.25</v>
      </c>
    </row>
    <row r="120" spans="1:13" x14ac:dyDescent="0.35">
      <c r="A120" s="2" t="s">
        <v>1085</v>
      </c>
      <c r="B120" s="2" t="s">
        <v>790</v>
      </c>
      <c r="C120" s="18" t="s">
        <v>1086</v>
      </c>
      <c r="D120" s="2" t="s">
        <v>507</v>
      </c>
      <c r="E120" s="18" t="s">
        <v>3878</v>
      </c>
      <c r="F120" s="176">
        <v>45813</v>
      </c>
      <c r="G120" s="18">
        <v>1240738.96</v>
      </c>
      <c r="H120" s="37">
        <f t="shared" si="12"/>
        <v>118</v>
      </c>
      <c r="I120" s="37" t="str">
        <f t="shared" ref="I120:I147" si="14">IF(H120&lt;121,"0-120 DAYS",IF(H120&lt;181,"121-180 DAYS","More than 180 Days"))</f>
        <v>0-120 DAYS</v>
      </c>
      <c r="J120" s="37" t="str">
        <f t="shared" si="13"/>
        <v>0-180 DAYS</v>
      </c>
      <c r="K120" t="s">
        <v>1730</v>
      </c>
      <c r="L120" s="66" t="s">
        <v>3929</v>
      </c>
      <c r="M120" s="66">
        <v>1240738.96</v>
      </c>
    </row>
    <row r="121" spans="1:13" x14ac:dyDescent="0.35">
      <c r="A121" s="2" t="s">
        <v>1085</v>
      </c>
      <c r="B121" s="2" t="s">
        <v>790</v>
      </c>
      <c r="C121" s="18" t="s">
        <v>570</v>
      </c>
      <c r="D121" s="2" t="s">
        <v>507</v>
      </c>
      <c r="E121" s="18" t="s">
        <v>3879</v>
      </c>
      <c r="F121" s="176">
        <v>45817</v>
      </c>
      <c r="G121" s="18">
        <v>2568788.96</v>
      </c>
      <c r="H121" s="37">
        <f t="shared" si="12"/>
        <v>114</v>
      </c>
      <c r="I121" s="37" t="str">
        <f t="shared" si="14"/>
        <v>0-120 DAYS</v>
      </c>
      <c r="J121" s="37" t="str">
        <f t="shared" si="13"/>
        <v>0-180 DAYS</v>
      </c>
      <c r="K121" t="s">
        <v>1730</v>
      </c>
      <c r="L121" s="66" t="s">
        <v>3939</v>
      </c>
      <c r="M121" s="66">
        <v>2568788.96</v>
      </c>
    </row>
    <row r="122" spans="1:13" x14ac:dyDescent="0.35">
      <c r="A122" s="2" t="s">
        <v>1209</v>
      </c>
      <c r="B122" s="2" t="s">
        <v>789</v>
      </c>
      <c r="C122" s="18" t="s">
        <v>506</v>
      </c>
      <c r="D122" s="2" t="s">
        <v>507</v>
      </c>
      <c r="E122" s="18" t="s">
        <v>3880</v>
      </c>
      <c r="F122" s="176">
        <v>45818</v>
      </c>
      <c r="G122" s="18">
        <v>579946.59</v>
      </c>
      <c r="H122" s="37">
        <f t="shared" si="12"/>
        <v>113</v>
      </c>
      <c r="I122" s="37" t="str">
        <f t="shared" si="14"/>
        <v>0-120 DAYS</v>
      </c>
      <c r="J122" s="37" t="str">
        <f t="shared" si="13"/>
        <v>0-180 DAYS</v>
      </c>
      <c r="L122" s="66" t="s">
        <v>3940</v>
      </c>
      <c r="M122" s="66">
        <v>579946.59</v>
      </c>
    </row>
    <row r="123" spans="1:13" x14ac:dyDescent="0.35">
      <c r="A123" s="2" t="s">
        <v>1209</v>
      </c>
      <c r="B123" s="2" t="s">
        <v>789</v>
      </c>
      <c r="C123" s="18" t="s">
        <v>506</v>
      </c>
      <c r="D123" s="2" t="s">
        <v>507</v>
      </c>
      <c r="E123" s="18" t="s">
        <v>3881</v>
      </c>
      <c r="F123" s="176">
        <v>45818</v>
      </c>
      <c r="G123" s="18">
        <v>1626044.59</v>
      </c>
      <c r="H123" s="37">
        <f t="shared" si="12"/>
        <v>113</v>
      </c>
      <c r="I123" s="37" t="str">
        <f t="shared" si="14"/>
        <v>0-120 DAYS</v>
      </c>
      <c r="J123" s="37" t="str">
        <f t="shared" si="13"/>
        <v>0-180 DAYS</v>
      </c>
      <c r="L123" s="66" t="s">
        <v>3940</v>
      </c>
      <c r="M123" s="66">
        <v>1626044.59</v>
      </c>
    </row>
    <row r="124" spans="1:13" x14ac:dyDescent="0.35">
      <c r="A124" s="2" t="s">
        <v>1209</v>
      </c>
      <c r="B124" s="2" t="s">
        <v>789</v>
      </c>
      <c r="C124" s="18" t="s">
        <v>506</v>
      </c>
      <c r="D124" s="2" t="s">
        <v>507</v>
      </c>
      <c r="E124" s="18" t="s">
        <v>3882</v>
      </c>
      <c r="F124" s="176">
        <v>45818</v>
      </c>
      <c r="G124" s="18">
        <v>553115.02</v>
      </c>
      <c r="H124" s="37">
        <f t="shared" si="12"/>
        <v>113</v>
      </c>
      <c r="I124" s="37" t="str">
        <f t="shared" si="14"/>
        <v>0-120 DAYS</v>
      </c>
      <c r="J124" s="37" t="str">
        <f t="shared" si="13"/>
        <v>0-180 DAYS</v>
      </c>
      <c r="L124" s="66" t="s">
        <v>3940</v>
      </c>
      <c r="M124" s="66">
        <v>553115.02</v>
      </c>
    </row>
    <row r="125" spans="1:13" x14ac:dyDescent="0.35">
      <c r="A125" s="2" t="s">
        <v>1085</v>
      </c>
      <c r="B125" s="2" t="s">
        <v>790</v>
      </c>
      <c r="C125" s="18" t="s">
        <v>1086</v>
      </c>
      <c r="D125" s="2" t="s">
        <v>507</v>
      </c>
      <c r="E125" s="18" t="s">
        <v>3883</v>
      </c>
      <c r="F125" s="176">
        <v>45823</v>
      </c>
      <c r="G125" s="18">
        <v>3306342.56</v>
      </c>
      <c r="H125" s="37">
        <f t="shared" si="12"/>
        <v>108</v>
      </c>
      <c r="I125" s="37" t="str">
        <f t="shared" si="14"/>
        <v>0-120 DAYS</v>
      </c>
      <c r="J125" s="37" t="str">
        <f t="shared" si="13"/>
        <v>0-180 DAYS</v>
      </c>
      <c r="K125" t="s">
        <v>1730</v>
      </c>
      <c r="L125" s="66" t="s">
        <v>3941</v>
      </c>
      <c r="M125" s="66">
        <v>3306342.56</v>
      </c>
    </row>
    <row r="126" spans="1:13" x14ac:dyDescent="0.35">
      <c r="A126" s="2" t="s">
        <v>1085</v>
      </c>
      <c r="B126" s="2" t="s">
        <v>790</v>
      </c>
      <c r="C126" s="18" t="s">
        <v>1086</v>
      </c>
      <c r="D126" s="2" t="s">
        <v>507</v>
      </c>
      <c r="E126" s="18" t="s">
        <v>3884</v>
      </c>
      <c r="F126" s="176">
        <v>45825</v>
      </c>
      <c r="G126" s="18">
        <v>3559643.58</v>
      </c>
      <c r="H126" s="37">
        <f t="shared" si="12"/>
        <v>106</v>
      </c>
      <c r="I126" s="37" t="str">
        <f t="shared" si="14"/>
        <v>0-120 DAYS</v>
      </c>
      <c r="J126" s="37" t="str">
        <f t="shared" si="13"/>
        <v>0-180 DAYS</v>
      </c>
      <c r="K126" t="s">
        <v>1730</v>
      </c>
      <c r="L126" s="66" t="s">
        <v>3942</v>
      </c>
      <c r="M126" s="66">
        <v>3559643.58</v>
      </c>
    </row>
    <row r="127" spans="1:13" x14ac:dyDescent="0.35">
      <c r="A127" s="2" t="s">
        <v>1085</v>
      </c>
      <c r="B127" s="2" t="s">
        <v>790</v>
      </c>
      <c r="C127" s="18" t="s">
        <v>538</v>
      </c>
      <c r="D127" s="2" t="s">
        <v>507</v>
      </c>
      <c r="E127" s="18" t="s">
        <v>3885</v>
      </c>
      <c r="F127" s="176">
        <v>45826</v>
      </c>
      <c r="G127" s="18">
        <v>4258963.8</v>
      </c>
      <c r="H127" s="37">
        <f t="shared" si="12"/>
        <v>105</v>
      </c>
      <c r="I127" s="37" t="str">
        <f t="shared" si="14"/>
        <v>0-120 DAYS</v>
      </c>
      <c r="J127" s="37" t="str">
        <f t="shared" si="13"/>
        <v>0-180 DAYS</v>
      </c>
      <c r="K127" t="s">
        <v>1730</v>
      </c>
      <c r="L127" s="66" t="s">
        <v>3924</v>
      </c>
      <c r="M127" s="66">
        <v>4258963.8</v>
      </c>
    </row>
    <row r="128" spans="1:13" x14ac:dyDescent="0.35">
      <c r="A128" s="2" t="s">
        <v>1085</v>
      </c>
      <c r="B128" s="2" t="s">
        <v>790</v>
      </c>
      <c r="C128" s="18" t="s">
        <v>650</v>
      </c>
      <c r="D128" s="2" t="s">
        <v>507</v>
      </c>
      <c r="E128" s="18" t="s">
        <v>3886</v>
      </c>
      <c r="F128" s="176">
        <v>45826</v>
      </c>
      <c r="G128" s="18">
        <v>2912112</v>
      </c>
      <c r="H128" s="37">
        <f t="shared" si="12"/>
        <v>105</v>
      </c>
      <c r="I128" s="37" t="str">
        <f t="shared" si="14"/>
        <v>0-120 DAYS</v>
      </c>
      <c r="J128" s="37" t="str">
        <f t="shared" si="13"/>
        <v>0-180 DAYS</v>
      </c>
      <c r="K128" t="s">
        <v>1730</v>
      </c>
      <c r="L128" s="66" t="s">
        <v>3924</v>
      </c>
      <c r="M128" s="66">
        <v>2912112</v>
      </c>
    </row>
    <row r="129" spans="1:13" x14ac:dyDescent="0.35">
      <c r="A129" s="2" t="s">
        <v>1085</v>
      </c>
      <c r="B129" s="2" t="s">
        <v>790</v>
      </c>
      <c r="C129" s="18" t="s">
        <v>1086</v>
      </c>
      <c r="D129" s="2" t="s">
        <v>507</v>
      </c>
      <c r="E129" s="18" t="s">
        <v>3887</v>
      </c>
      <c r="F129" s="176">
        <v>45827</v>
      </c>
      <c r="G129" s="18">
        <v>713498.06</v>
      </c>
      <c r="H129" s="37">
        <f t="shared" si="12"/>
        <v>104</v>
      </c>
      <c r="I129" s="37" t="str">
        <f t="shared" si="14"/>
        <v>0-120 DAYS</v>
      </c>
      <c r="J129" s="37" t="str">
        <f t="shared" si="13"/>
        <v>0-180 DAYS</v>
      </c>
      <c r="K129" t="s">
        <v>1730</v>
      </c>
      <c r="L129" s="66" t="s">
        <v>3932</v>
      </c>
      <c r="M129" s="66">
        <v>713498.06</v>
      </c>
    </row>
    <row r="130" spans="1:13" x14ac:dyDescent="0.35">
      <c r="A130" s="2" t="s">
        <v>1085</v>
      </c>
      <c r="B130" s="2" t="s">
        <v>790</v>
      </c>
      <c r="C130" s="18" t="s">
        <v>1086</v>
      </c>
      <c r="D130" s="2" t="s">
        <v>507</v>
      </c>
      <c r="E130" s="18" t="s">
        <v>3888</v>
      </c>
      <c r="F130" s="176">
        <v>45827</v>
      </c>
      <c r="G130" s="18">
        <v>224217.32</v>
      </c>
      <c r="H130" s="37">
        <f t="shared" si="12"/>
        <v>104</v>
      </c>
      <c r="I130" s="37" t="str">
        <f t="shared" si="14"/>
        <v>0-120 DAYS</v>
      </c>
      <c r="J130" s="37" t="str">
        <f t="shared" si="13"/>
        <v>0-180 DAYS</v>
      </c>
      <c r="K130" t="s">
        <v>1730</v>
      </c>
      <c r="L130" s="66" t="s">
        <v>3932</v>
      </c>
      <c r="M130" s="66">
        <v>224217.32</v>
      </c>
    </row>
    <row r="131" spans="1:13" x14ac:dyDescent="0.35">
      <c r="A131" s="2" t="s">
        <v>1085</v>
      </c>
      <c r="B131" s="2" t="s">
        <v>790</v>
      </c>
      <c r="C131" s="18" t="s">
        <v>1086</v>
      </c>
      <c r="D131" s="2" t="s">
        <v>507</v>
      </c>
      <c r="E131" s="18" t="s">
        <v>3889</v>
      </c>
      <c r="F131" s="176">
        <v>45827</v>
      </c>
      <c r="G131" s="18">
        <v>1434421.83</v>
      </c>
      <c r="H131" s="37">
        <f t="shared" si="12"/>
        <v>104</v>
      </c>
      <c r="I131" s="37" t="str">
        <f t="shared" si="14"/>
        <v>0-120 DAYS</v>
      </c>
      <c r="J131" s="37" t="str">
        <f t="shared" si="13"/>
        <v>0-180 DAYS</v>
      </c>
      <c r="K131" t="s">
        <v>1730</v>
      </c>
      <c r="L131" s="66" t="s">
        <v>3932</v>
      </c>
      <c r="M131" s="66">
        <v>1434421.83</v>
      </c>
    </row>
    <row r="132" spans="1:13" x14ac:dyDescent="0.35">
      <c r="A132" s="2" t="s">
        <v>1085</v>
      </c>
      <c r="B132" s="2" t="s">
        <v>790</v>
      </c>
      <c r="C132" s="18" t="s">
        <v>570</v>
      </c>
      <c r="D132" s="2" t="s">
        <v>507</v>
      </c>
      <c r="E132" s="18" t="s">
        <v>3890</v>
      </c>
      <c r="F132" s="176">
        <v>45831</v>
      </c>
      <c r="G132" s="18">
        <v>3259224</v>
      </c>
      <c r="H132" s="37">
        <f t="shared" si="12"/>
        <v>100</v>
      </c>
      <c r="I132" s="37" t="str">
        <f t="shared" si="14"/>
        <v>0-120 DAYS</v>
      </c>
      <c r="J132" s="37" t="str">
        <f t="shared" si="13"/>
        <v>0-180 DAYS</v>
      </c>
      <c r="K132" t="s">
        <v>1730</v>
      </c>
      <c r="L132" s="66" t="s">
        <v>3935</v>
      </c>
      <c r="M132" s="66">
        <v>3259224</v>
      </c>
    </row>
    <row r="133" spans="1:13" x14ac:dyDescent="0.35">
      <c r="A133" s="2" t="s">
        <v>1085</v>
      </c>
      <c r="B133" s="2" t="s">
        <v>790</v>
      </c>
      <c r="C133" s="18" t="s">
        <v>1086</v>
      </c>
      <c r="D133" s="2" t="s">
        <v>507</v>
      </c>
      <c r="E133" s="18" t="s">
        <v>3891</v>
      </c>
      <c r="F133" s="176">
        <v>45832</v>
      </c>
      <c r="G133" s="18">
        <v>11896.34</v>
      </c>
      <c r="H133" s="37">
        <f t="shared" si="12"/>
        <v>99</v>
      </c>
      <c r="I133" s="37" t="str">
        <f t="shared" si="14"/>
        <v>0-120 DAYS</v>
      </c>
      <c r="J133" s="37" t="str">
        <f t="shared" si="13"/>
        <v>0-180 DAYS</v>
      </c>
      <c r="K133" t="s">
        <v>1730</v>
      </c>
      <c r="L133" s="66" t="s">
        <v>3936</v>
      </c>
      <c r="M133" s="66">
        <v>11896.34</v>
      </c>
    </row>
    <row r="134" spans="1:13" x14ac:dyDescent="0.35">
      <c r="A134" s="2" t="s">
        <v>1085</v>
      </c>
      <c r="B134" s="2" t="s">
        <v>790</v>
      </c>
      <c r="C134" s="18" t="s">
        <v>1086</v>
      </c>
      <c r="D134" s="2" t="s">
        <v>507</v>
      </c>
      <c r="E134" s="18" t="s">
        <v>3892</v>
      </c>
      <c r="F134" s="176">
        <v>45832</v>
      </c>
      <c r="G134" s="18">
        <v>516627.4</v>
      </c>
      <c r="H134" s="37">
        <f t="shared" si="12"/>
        <v>99</v>
      </c>
      <c r="I134" s="37" t="str">
        <f t="shared" si="14"/>
        <v>0-120 DAYS</v>
      </c>
      <c r="J134" s="37" t="str">
        <f t="shared" si="13"/>
        <v>0-180 DAYS</v>
      </c>
      <c r="K134" t="s">
        <v>1730</v>
      </c>
      <c r="L134" s="66" t="s">
        <v>3936</v>
      </c>
      <c r="M134" s="66">
        <v>516627.4</v>
      </c>
    </row>
    <row r="135" spans="1:13" x14ac:dyDescent="0.35">
      <c r="A135" s="2" t="s">
        <v>1085</v>
      </c>
      <c r="B135" s="2" t="s">
        <v>790</v>
      </c>
      <c r="C135" s="18" t="s">
        <v>1086</v>
      </c>
      <c r="D135" s="2" t="s">
        <v>507</v>
      </c>
      <c r="E135" s="18" t="s">
        <v>3893</v>
      </c>
      <c r="F135" s="176">
        <v>45832</v>
      </c>
      <c r="G135" s="18">
        <v>1438051.8</v>
      </c>
      <c r="H135" s="37">
        <f t="shared" si="12"/>
        <v>99</v>
      </c>
      <c r="I135" s="37" t="str">
        <f t="shared" si="14"/>
        <v>0-120 DAYS</v>
      </c>
      <c r="J135" s="37" t="str">
        <f t="shared" si="13"/>
        <v>0-180 DAYS</v>
      </c>
      <c r="K135" t="s">
        <v>1730</v>
      </c>
      <c r="L135" s="66" t="s">
        <v>3936</v>
      </c>
      <c r="M135" s="66">
        <v>1438051.8</v>
      </c>
    </row>
    <row r="136" spans="1:13" x14ac:dyDescent="0.35">
      <c r="A136" s="2" t="s">
        <v>1085</v>
      </c>
      <c r="B136" s="2" t="s">
        <v>790</v>
      </c>
      <c r="C136" s="18" t="s">
        <v>1086</v>
      </c>
      <c r="D136" s="2" t="s">
        <v>507</v>
      </c>
      <c r="E136" s="18" t="s">
        <v>3894</v>
      </c>
      <c r="F136" s="176">
        <v>45832</v>
      </c>
      <c r="G136" s="18">
        <v>418746.68</v>
      </c>
      <c r="H136" s="37">
        <f t="shared" si="12"/>
        <v>99</v>
      </c>
      <c r="I136" s="37" t="str">
        <f t="shared" si="14"/>
        <v>0-120 DAYS</v>
      </c>
      <c r="J136" s="37" t="str">
        <f t="shared" si="13"/>
        <v>0-180 DAYS</v>
      </c>
      <c r="K136" t="s">
        <v>1730</v>
      </c>
      <c r="L136" s="66" t="s">
        <v>3936</v>
      </c>
      <c r="M136" s="66">
        <v>418746.68</v>
      </c>
    </row>
    <row r="137" spans="1:13" x14ac:dyDescent="0.35">
      <c r="A137" s="2" t="s">
        <v>1085</v>
      </c>
      <c r="B137" s="2" t="s">
        <v>790</v>
      </c>
      <c r="C137" s="18" t="s">
        <v>538</v>
      </c>
      <c r="D137" s="2" t="s">
        <v>507</v>
      </c>
      <c r="E137" s="18" t="s">
        <v>3895</v>
      </c>
      <c r="F137" s="176">
        <v>45832</v>
      </c>
      <c r="G137" s="18">
        <v>3736640.38</v>
      </c>
      <c r="H137" s="37">
        <f t="shared" si="12"/>
        <v>99</v>
      </c>
      <c r="I137" s="37" t="str">
        <f t="shared" si="14"/>
        <v>0-120 DAYS</v>
      </c>
      <c r="J137" s="37" t="str">
        <f t="shared" si="13"/>
        <v>0-180 DAYS</v>
      </c>
      <c r="K137" t="s">
        <v>1730</v>
      </c>
      <c r="L137" s="66" t="s">
        <v>3936</v>
      </c>
      <c r="M137" s="66">
        <v>3736640.38</v>
      </c>
    </row>
    <row r="138" spans="1:13" x14ac:dyDescent="0.35">
      <c r="A138" s="2" t="s">
        <v>1085</v>
      </c>
      <c r="B138" s="2" t="s">
        <v>790</v>
      </c>
      <c r="C138" s="18" t="s">
        <v>1249</v>
      </c>
      <c r="D138" s="2" t="s">
        <v>507</v>
      </c>
      <c r="E138" s="18" t="s">
        <v>3896</v>
      </c>
      <c r="F138" s="176">
        <v>45834</v>
      </c>
      <c r="G138" s="18">
        <v>2930895</v>
      </c>
      <c r="H138" s="37">
        <f t="shared" si="12"/>
        <v>97</v>
      </c>
      <c r="I138" s="37" t="str">
        <f t="shared" si="14"/>
        <v>0-120 DAYS</v>
      </c>
      <c r="J138" s="37" t="str">
        <f t="shared" si="13"/>
        <v>0-180 DAYS</v>
      </c>
      <c r="K138" t="s">
        <v>1730</v>
      </c>
      <c r="L138" s="66" t="s">
        <v>3926</v>
      </c>
      <c r="M138" s="66">
        <v>2930895</v>
      </c>
    </row>
    <row r="139" spans="1:13" x14ac:dyDescent="0.35">
      <c r="A139" s="2" t="s">
        <v>1085</v>
      </c>
      <c r="B139" s="2" t="s">
        <v>790</v>
      </c>
      <c r="C139" s="18" t="s">
        <v>1249</v>
      </c>
      <c r="D139" s="2" t="s">
        <v>507</v>
      </c>
      <c r="E139" s="18" t="s">
        <v>3897</v>
      </c>
      <c r="F139" s="176">
        <v>45836</v>
      </c>
      <c r="G139" s="18">
        <v>3988080</v>
      </c>
      <c r="H139" s="37">
        <f t="shared" si="12"/>
        <v>95</v>
      </c>
      <c r="I139" s="37" t="str">
        <f t="shared" si="14"/>
        <v>0-120 DAYS</v>
      </c>
      <c r="J139" s="37" t="str">
        <f t="shared" si="13"/>
        <v>0-180 DAYS</v>
      </c>
      <c r="K139" t="s">
        <v>1730</v>
      </c>
      <c r="L139" s="66" t="s">
        <v>3938</v>
      </c>
      <c r="M139" s="66">
        <v>3988080</v>
      </c>
    </row>
    <row r="140" spans="1:13" x14ac:dyDescent="0.35">
      <c r="A140" s="2" t="s">
        <v>1085</v>
      </c>
      <c r="B140" s="2" t="s">
        <v>790</v>
      </c>
      <c r="C140" s="18" t="s">
        <v>573</v>
      </c>
      <c r="D140" s="2" t="s">
        <v>507</v>
      </c>
      <c r="E140" s="18" t="s">
        <v>3898</v>
      </c>
      <c r="F140" s="176">
        <v>45836</v>
      </c>
      <c r="G140" s="18">
        <v>3892503.6</v>
      </c>
      <c r="H140" s="37">
        <f t="shared" ref="H140:H203" si="15">$H$9-F140+1</f>
        <v>95</v>
      </c>
      <c r="I140" s="37" t="str">
        <f t="shared" si="14"/>
        <v>0-120 DAYS</v>
      </c>
      <c r="J140" s="37" t="str">
        <f t="shared" si="13"/>
        <v>0-180 DAYS</v>
      </c>
      <c r="K140" t="s">
        <v>1730</v>
      </c>
      <c r="L140" s="66" t="s">
        <v>3938</v>
      </c>
      <c r="M140" s="66">
        <v>3892503.6</v>
      </c>
    </row>
    <row r="141" spans="1:13" x14ac:dyDescent="0.35">
      <c r="A141" s="2" t="s">
        <v>1085</v>
      </c>
      <c r="B141" s="2" t="s">
        <v>790</v>
      </c>
      <c r="C141" s="18" t="s">
        <v>1086</v>
      </c>
      <c r="D141" s="2" t="s">
        <v>507</v>
      </c>
      <c r="E141" s="18" t="s">
        <v>3899</v>
      </c>
      <c r="F141" s="176">
        <v>45837</v>
      </c>
      <c r="G141" s="18">
        <v>1154757.1599999999</v>
      </c>
      <c r="H141" s="37">
        <f t="shared" si="15"/>
        <v>94</v>
      </c>
      <c r="I141" s="37" t="str">
        <f t="shared" si="14"/>
        <v>0-120 DAYS</v>
      </c>
      <c r="J141" s="37" t="str">
        <f t="shared" si="13"/>
        <v>0-180 DAYS</v>
      </c>
      <c r="K141" t="s">
        <v>1730</v>
      </c>
      <c r="L141" s="66" t="s">
        <v>3943</v>
      </c>
      <c r="M141" s="66">
        <v>1154757.1599999999</v>
      </c>
    </row>
    <row r="142" spans="1:13" x14ac:dyDescent="0.35">
      <c r="A142" s="2" t="s">
        <v>1085</v>
      </c>
      <c r="B142" s="2" t="s">
        <v>790</v>
      </c>
      <c r="C142" s="18" t="s">
        <v>1086</v>
      </c>
      <c r="D142" s="2" t="s">
        <v>507</v>
      </c>
      <c r="E142" s="18" t="s">
        <v>3900</v>
      </c>
      <c r="F142" s="176">
        <v>45837</v>
      </c>
      <c r="G142" s="18">
        <v>2555739.58</v>
      </c>
      <c r="H142" s="37">
        <f t="shared" si="15"/>
        <v>94</v>
      </c>
      <c r="I142" s="37" t="str">
        <f t="shared" si="14"/>
        <v>0-120 DAYS</v>
      </c>
      <c r="J142" s="37" t="str">
        <f t="shared" ref="J142:J205" si="16">IF(H142&lt;180,"0-180 DAYS","More than 180 Days")</f>
        <v>0-180 DAYS</v>
      </c>
      <c r="K142" t="s">
        <v>1730</v>
      </c>
      <c r="L142" s="66" t="s">
        <v>3943</v>
      </c>
      <c r="M142" s="66">
        <v>2555739.58</v>
      </c>
    </row>
    <row r="143" spans="1:13" x14ac:dyDescent="0.35">
      <c r="A143" s="2" t="s">
        <v>1085</v>
      </c>
      <c r="B143" s="2" t="s">
        <v>790</v>
      </c>
      <c r="C143" s="18" t="s">
        <v>650</v>
      </c>
      <c r="D143" s="2" t="s">
        <v>507</v>
      </c>
      <c r="E143" s="18" t="s">
        <v>3901</v>
      </c>
      <c r="F143" s="176">
        <v>45838</v>
      </c>
      <c r="G143" s="18">
        <v>4299199.45</v>
      </c>
      <c r="H143" s="37">
        <f t="shared" si="15"/>
        <v>93</v>
      </c>
      <c r="I143" s="37" t="str">
        <f t="shared" si="14"/>
        <v>0-120 DAYS</v>
      </c>
      <c r="J143" s="37" t="str">
        <f t="shared" si="16"/>
        <v>0-180 DAYS</v>
      </c>
      <c r="K143" t="s">
        <v>1730</v>
      </c>
      <c r="L143" s="66" t="s">
        <v>3927</v>
      </c>
      <c r="M143" s="66">
        <v>4299199.45</v>
      </c>
    </row>
    <row r="144" spans="1:13" x14ac:dyDescent="0.35">
      <c r="A144" s="2" t="s">
        <v>1085</v>
      </c>
      <c r="B144" s="2" t="s">
        <v>790</v>
      </c>
      <c r="C144" s="18" t="s">
        <v>573</v>
      </c>
      <c r="D144" s="2" t="s">
        <v>507</v>
      </c>
      <c r="E144" s="18" t="s">
        <v>1383</v>
      </c>
      <c r="F144" s="176">
        <v>45818</v>
      </c>
      <c r="G144" s="18">
        <v>3819753.04</v>
      </c>
      <c r="H144" s="37">
        <f t="shared" si="15"/>
        <v>113</v>
      </c>
      <c r="I144" s="37" t="str">
        <f t="shared" si="14"/>
        <v>0-120 DAYS</v>
      </c>
      <c r="J144" s="37" t="str">
        <f t="shared" si="16"/>
        <v>0-180 DAYS</v>
      </c>
      <c r="K144" t="s">
        <v>1730</v>
      </c>
      <c r="L144" s="66" t="s">
        <v>3940</v>
      </c>
      <c r="M144" s="66">
        <v>3819753.04</v>
      </c>
    </row>
    <row r="145" spans="1:13" x14ac:dyDescent="0.35">
      <c r="A145" s="2" t="s">
        <v>1085</v>
      </c>
      <c r="B145" s="2" t="s">
        <v>790</v>
      </c>
      <c r="C145" s="18" t="s">
        <v>573</v>
      </c>
      <c r="D145" s="2" t="s">
        <v>507</v>
      </c>
      <c r="E145" s="18" t="s">
        <v>3902</v>
      </c>
      <c r="F145" s="176">
        <v>45826</v>
      </c>
      <c r="G145" s="18">
        <v>4119227.03</v>
      </c>
      <c r="H145" s="37">
        <f t="shared" si="15"/>
        <v>105</v>
      </c>
      <c r="I145" s="37" t="str">
        <f t="shared" si="14"/>
        <v>0-120 DAYS</v>
      </c>
      <c r="J145" s="37" t="str">
        <f t="shared" si="16"/>
        <v>0-180 DAYS</v>
      </c>
      <c r="K145" t="s">
        <v>1730</v>
      </c>
      <c r="L145" s="66" t="s">
        <v>3924</v>
      </c>
      <c r="M145" s="66">
        <v>4119227.03</v>
      </c>
    </row>
    <row r="146" spans="1:13" x14ac:dyDescent="0.35">
      <c r="A146" s="2" t="s">
        <v>1085</v>
      </c>
      <c r="B146" s="2" t="s">
        <v>790</v>
      </c>
      <c r="C146" s="18" t="s">
        <v>573</v>
      </c>
      <c r="D146" s="2" t="s">
        <v>507</v>
      </c>
      <c r="E146" s="18" t="s">
        <v>1384</v>
      </c>
      <c r="F146" s="176">
        <v>45826</v>
      </c>
      <c r="G146" s="18">
        <v>3317643.23</v>
      </c>
      <c r="H146" s="37">
        <f t="shared" si="15"/>
        <v>105</v>
      </c>
      <c r="I146" s="37" t="str">
        <f t="shared" si="14"/>
        <v>0-120 DAYS</v>
      </c>
      <c r="J146" s="37" t="str">
        <f t="shared" si="16"/>
        <v>0-180 DAYS</v>
      </c>
      <c r="K146" t="s">
        <v>1730</v>
      </c>
      <c r="L146" s="66" t="s">
        <v>3924</v>
      </c>
      <c r="M146" s="66">
        <v>3317643.23</v>
      </c>
    </row>
    <row r="147" spans="1:13" x14ac:dyDescent="0.35">
      <c r="A147" s="2" t="s">
        <v>1085</v>
      </c>
      <c r="B147" s="2" t="s">
        <v>790</v>
      </c>
      <c r="C147" s="18" t="s">
        <v>2426</v>
      </c>
      <c r="D147" s="2" t="s">
        <v>507</v>
      </c>
      <c r="E147" s="18" t="s">
        <v>1385</v>
      </c>
      <c r="F147" s="176">
        <v>45834</v>
      </c>
      <c r="G147" s="18">
        <v>5922299.1600000001</v>
      </c>
      <c r="H147" s="37">
        <f t="shared" si="15"/>
        <v>97</v>
      </c>
      <c r="I147" s="37" t="str">
        <f t="shared" si="14"/>
        <v>0-120 DAYS</v>
      </c>
      <c r="J147" s="37" t="str">
        <f t="shared" si="16"/>
        <v>0-180 DAYS</v>
      </c>
      <c r="K147" t="s">
        <v>1730</v>
      </c>
      <c r="L147" s="66" t="s">
        <v>3926</v>
      </c>
      <c r="M147" s="66">
        <v>5922299.1600000001</v>
      </c>
    </row>
    <row r="148" spans="1:13" x14ac:dyDescent="0.35">
      <c r="A148" s="2" t="s">
        <v>477</v>
      </c>
      <c r="B148" s="2" t="s">
        <v>790</v>
      </c>
      <c r="C148" s="18" t="s">
        <v>2789</v>
      </c>
      <c r="D148" s="18" t="s">
        <v>2801</v>
      </c>
      <c r="E148" s="18" t="s">
        <v>3903</v>
      </c>
      <c r="F148" s="176">
        <v>45811</v>
      </c>
      <c r="G148" s="18">
        <f>7917080-482873-965746</f>
        <v>6468461</v>
      </c>
      <c r="H148" s="37">
        <f t="shared" si="15"/>
        <v>120</v>
      </c>
      <c r="I148" s="37" t="str">
        <f t="shared" ref="I148:I159" si="17">IF(H148&lt;91,"1-90 DAYS",IF(H148&lt;121,"91-120DAYS",IF(H148&lt;181,"121-180 DAYS","More than 180 Days")))</f>
        <v>91-120DAYS</v>
      </c>
      <c r="J148" s="37" t="str">
        <f t="shared" si="16"/>
        <v>0-180 DAYS</v>
      </c>
      <c r="K148" t="s">
        <v>1730</v>
      </c>
      <c r="L148" s="66" t="s">
        <v>3925</v>
      </c>
      <c r="M148" s="66">
        <v>7434207</v>
      </c>
    </row>
    <row r="149" spans="1:13" x14ac:dyDescent="0.35">
      <c r="A149" s="2" t="s">
        <v>477</v>
      </c>
      <c r="B149" s="2" t="s">
        <v>790</v>
      </c>
      <c r="C149" s="18" t="s">
        <v>3</v>
      </c>
      <c r="D149" s="18" t="s">
        <v>4</v>
      </c>
      <c r="E149" s="18" t="s">
        <v>3904</v>
      </c>
      <c r="F149" s="176">
        <v>45819</v>
      </c>
      <c r="G149" s="18">
        <v>18614.97</v>
      </c>
      <c r="H149" s="37">
        <f t="shared" si="15"/>
        <v>112</v>
      </c>
      <c r="I149" s="37" t="str">
        <f t="shared" si="17"/>
        <v>91-120DAYS</v>
      </c>
      <c r="J149" s="37" t="str">
        <f t="shared" si="16"/>
        <v>0-180 DAYS</v>
      </c>
      <c r="K149" t="s">
        <v>1730</v>
      </c>
      <c r="L149" s="66" t="s">
        <v>3944</v>
      </c>
      <c r="M149" s="66">
        <v>1597999.16</v>
      </c>
    </row>
    <row r="150" spans="1:13" x14ac:dyDescent="0.35">
      <c r="A150" s="2" t="s">
        <v>477</v>
      </c>
      <c r="B150" s="2" t="s">
        <v>790</v>
      </c>
      <c r="C150" s="18" t="s">
        <v>2890</v>
      </c>
      <c r="D150" s="18" t="s">
        <v>2966</v>
      </c>
      <c r="E150" s="18" t="s">
        <v>3905</v>
      </c>
      <c r="F150" s="176">
        <v>45831</v>
      </c>
      <c r="G150" s="18">
        <f>991200-985273</f>
        <v>5927</v>
      </c>
      <c r="H150" s="37">
        <f t="shared" si="15"/>
        <v>100</v>
      </c>
      <c r="I150" s="37" t="str">
        <f t="shared" si="17"/>
        <v>91-120DAYS</v>
      </c>
      <c r="J150" s="37" t="str">
        <f t="shared" si="16"/>
        <v>0-180 DAYS</v>
      </c>
      <c r="K150" t="s">
        <v>1730</v>
      </c>
      <c r="L150" s="66" t="s">
        <v>3935</v>
      </c>
      <c r="M150" s="66">
        <v>5927</v>
      </c>
    </row>
    <row r="151" spans="1:13" x14ac:dyDescent="0.35">
      <c r="A151" s="2" t="s">
        <v>477</v>
      </c>
      <c r="B151" s="2" t="s">
        <v>790</v>
      </c>
      <c r="C151" s="18" t="s">
        <v>263</v>
      </c>
      <c r="D151" s="18" t="s">
        <v>264</v>
      </c>
      <c r="E151" s="18" t="s">
        <v>3906</v>
      </c>
      <c r="F151" s="176">
        <v>45836</v>
      </c>
      <c r="G151" s="18">
        <v>628534.07999999996</v>
      </c>
      <c r="H151" s="37">
        <f t="shared" si="15"/>
        <v>95</v>
      </c>
      <c r="I151" s="37" t="str">
        <f t="shared" si="17"/>
        <v>91-120DAYS</v>
      </c>
      <c r="J151" s="37" t="str">
        <f t="shared" si="16"/>
        <v>0-180 DAYS</v>
      </c>
      <c r="K151" t="s">
        <v>1730</v>
      </c>
      <c r="L151" s="66" t="s">
        <v>3938</v>
      </c>
      <c r="M151" s="66">
        <v>628534.07999999996</v>
      </c>
    </row>
    <row r="152" spans="1:13" x14ac:dyDescent="0.35">
      <c r="A152" s="2" t="s">
        <v>477</v>
      </c>
      <c r="B152" s="2" t="s">
        <v>790</v>
      </c>
      <c r="C152" s="18" t="s">
        <v>3907</v>
      </c>
      <c r="D152" s="18" t="s">
        <v>3909</v>
      </c>
      <c r="E152" s="18" t="s">
        <v>3908</v>
      </c>
      <c r="F152" s="176">
        <v>45827</v>
      </c>
      <c r="G152" s="18">
        <v>7966530</v>
      </c>
      <c r="H152" s="37">
        <f t="shared" si="15"/>
        <v>104</v>
      </c>
      <c r="I152" s="37" t="str">
        <f t="shared" si="17"/>
        <v>91-120DAYS</v>
      </c>
      <c r="J152" s="37" t="str">
        <f t="shared" si="16"/>
        <v>0-180 DAYS</v>
      </c>
      <c r="K152" t="s">
        <v>1730</v>
      </c>
      <c r="L152" s="66" t="s">
        <v>3932</v>
      </c>
      <c r="M152" s="66">
        <v>7966530</v>
      </c>
    </row>
    <row r="153" spans="1:13" x14ac:dyDescent="0.35">
      <c r="A153" s="2" t="s">
        <v>477</v>
      </c>
      <c r="B153" s="2" t="s">
        <v>790</v>
      </c>
      <c r="C153" s="18" t="s">
        <v>2789</v>
      </c>
      <c r="D153" s="18" t="s">
        <v>2801</v>
      </c>
      <c r="E153" s="18" t="s">
        <v>3948</v>
      </c>
      <c r="F153" s="176">
        <v>45853</v>
      </c>
      <c r="G153" s="18">
        <v>16484818.68</v>
      </c>
      <c r="H153" s="37">
        <f t="shared" si="15"/>
        <v>78</v>
      </c>
      <c r="I153" s="37" t="str">
        <f t="shared" si="17"/>
        <v>1-90 DAYS</v>
      </c>
      <c r="J153" s="37" t="str">
        <f t="shared" si="16"/>
        <v>0-180 DAYS</v>
      </c>
      <c r="K153" t="s">
        <v>1730</v>
      </c>
      <c r="L153" s="66" t="s">
        <v>4061</v>
      </c>
      <c r="M153" s="66">
        <v>16484818.68</v>
      </c>
    </row>
    <row r="154" spans="1:13" x14ac:dyDescent="0.35">
      <c r="A154" s="2" t="s">
        <v>477</v>
      </c>
      <c r="B154" s="2" t="s">
        <v>790</v>
      </c>
      <c r="C154" s="18" t="s">
        <v>2789</v>
      </c>
      <c r="D154" s="18" t="s">
        <v>2801</v>
      </c>
      <c r="E154" s="18" t="s">
        <v>3949</v>
      </c>
      <c r="F154" s="176">
        <v>45853</v>
      </c>
      <c r="G154" s="18">
        <v>16484818.68</v>
      </c>
      <c r="H154" s="37">
        <f t="shared" si="15"/>
        <v>78</v>
      </c>
      <c r="I154" s="37" t="str">
        <f t="shared" si="17"/>
        <v>1-90 DAYS</v>
      </c>
      <c r="J154" s="37" t="str">
        <f t="shared" si="16"/>
        <v>0-180 DAYS</v>
      </c>
      <c r="K154" t="s">
        <v>1730</v>
      </c>
      <c r="L154" s="66" t="s">
        <v>4061</v>
      </c>
      <c r="M154" s="66">
        <v>16484818.68</v>
      </c>
    </row>
    <row r="155" spans="1:13" x14ac:dyDescent="0.35">
      <c r="A155" s="2" t="s">
        <v>477</v>
      </c>
      <c r="B155" s="2" t="s">
        <v>790</v>
      </c>
      <c r="C155" s="18" t="s">
        <v>2891</v>
      </c>
      <c r="D155" s="18" t="s">
        <v>2967</v>
      </c>
      <c r="E155" s="18" t="s">
        <v>3950</v>
      </c>
      <c r="F155" s="176">
        <v>45859</v>
      </c>
      <c r="G155" s="18">
        <f>1161120-315080</f>
        <v>846040</v>
      </c>
      <c r="H155" s="37">
        <f t="shared" si="15"/>
        <v>72</v>
      </c>
      <c r="I155" s="37" t="str">
        <f t="shared" si="17"/>
        <v>1-90 DAYS</v>
      </c>
      <c r="J155" s="37" t="str">
        <f t="shared" si="16"/>
        <v>0-180 DAYS</v>
      </c>
      <c r="K155" t="s">
        <v>1730</v>
      </c>
      <c r="L155" s="66" t="s">
        <v>4046</v>
      </c>
      <c r="M155" s="66">
        <v>846040</v>
      </c>
    </row>
    <row r="156" spans="1:13" x14ac:dyDescent="0.35">
      <c r="A156" s="2" t="s">
        <v>477</v>
      </c>
      <c r="B156" s="2" t="s">
        <v>790</v>
      </c>
      <c r="C156" s="18" t="s">
        <v>1087</v>
      </c>
      <c r="D156" s="18" t="s">
        <v>1088</v>
      </c>
      <c r="E156" s="18" t="s">
        <v>3951</v>
      </c>
      <c r="F156" s="176">
        <v>45861</v>
      </c>
      <c r="G156" s="18">
        <f>339935.5-338560</f>
        <v>1375.5</v>
      </c>
      <c r="H156" s="37">
        <f t="shared" si="15"/>
        <v>70</v>
      </c>
      <c r="I156" s="37" t="str">
        <f t="shared" si="17"/>
        <v>1-90 DAYS</v>
      </c>
      <c r="J156" s="37" t="str">
        <f t="shared" si="16"/>
        <v>0-180 DAYS</v>
      </c>
      <c r="K156" t="s">
        <v>1730</v>
      </c>
      <c r="L156" s="66" t="s">
        <v>4067</v>
      </c>
      <c r="M156" s="66">
        <v>339935.5</v>
      </c>
    </row>
    <row r="157" spans="1:13" x14ac:dyDescent="0.35">
      <c r="A157" s="2" t="s">
        <v>477</v>
      </c>
      <c r="B157" s="2" t="s">
        <v>790</v>
      </c>
      <c r="C157" s="18" t="s">
        <v>2891</v>
      </c>
      <c r="D157" s="18" t="s">
        <v>2967</v>
      </c>
      <c r="E157" s="18" t="s">
        <v>3952</v>
      </c>
      <c r="F157" s="176">
        <v>45853</v>
      </c>
      <c r="G157" s="18">
        <v>715080</v>
      </c>
      <c r="H157" s="37">
        <f t="shared" si="15"/>
        <v>78</v>
      </c>
      <c r="I157" s="37" t="str">
        <f t="shared" si="17"/>
        <v>1-90 DAYS</v>
      </c>
      <c r="J157" s="37" t="str">
        <f t="shared" si="16"/>
        <v>0-180 DAYS</v>
      </c>
      <c r="K157" t="s">
        <v>1730</v>
      </c>
      <c r="L157" s="66" t="s">
        <v>4061</v>
      </c>
      <c r="M157" s="66">
        <v>715080</v>
      </c>
    </row>
    <row r="158" spans="1:13" x14ac:dyDescent="0.35">
      <c r="A158" s="2" t="s">
        <v>477</v>
      </c>
      <c r="B158" s="2" t="s">
        <v>790</v>
      </c>
      <c r="C158" s="18" t="s">
        <v>3946</v>
      </c>
      <c r="D158" s="18" t="s">
        <v>3947</v>
      </c>
      <c r="E158" s="18" t="s">
        <v>3953</v>
      </c>
      <c r="F158" s="176">
        <v>45864</v>
      </c>
      <c r="G158" s="18">
        <v>25700</v>
      </c>
      <c r="H158" s="37">
        <f t="shared" si="15"/>
        <v>67</v>
      </c>
      <c r="I158" s="37" t="str">
        <f t="shared" si="17"/>
        <v>1-90 DAYS</v>
      </c>
      <c r="J158" s="37" t="str">
        <f t="shared" si="16"/>
        <v>0-180 DAYS</v>
      </c>
      <c r="K158" t="s">
        <v>1730</v>
      </c>
      <c r="L158" s="66" t="s">
        <v>4070</v>
      </c>
      <c r="M158" s="66">
        <v>388893.64</v>
      </c>
    </row>
    <row r="159" spans="1:13" x14ac:dyDescent="0.35">
      <c r="A159" s="2" t="s">
        <v>477</v>
      </c>
      <c r="B159" s="2" t="s">
        <v>790</v>
      </c>
      <c r="C159" s="18" t="s">
        <v>3409</v>
      </c>
      <c r="D159" s="18" t="s">
        <v>3060</v>
      </c>
      <c r="E159" s="18" t="s">
        <v>3954</v>
      </c>
      <c r="F159" s="176">
        <v>45867</v>
      </c>
      <c r="G159" s="18">
        <v>43680</v>
      </c>
      <c r="H159" s="37">
        <f t="shared" si="15"/>
        <v>64</v>
      </c>
      <c r="I159" s="37" t="str">
        <f t="shared" si="17"/>
        <v>1-90 DAYS</v>
      </c>
      <c r="J159" s="37" t="str">
        <f t="shared" si="16"/>
        <v>0-180 DAYS</v>
      </c>
      <c r="K159" t="s">
        <v>1730</v>
      </c>
      <c r="L159" s="66" t="s">
        <v>4073</v>
      </c>
      <c r="M159" s="66">
        <v>43680</v>
      </c>
    </row>
    <row r="160" spans="1:13" x14ac:dyDescent="0.35">
      <c r="A160" s="2" t="s">
        <v>1085</v>
      </c>
      <c r="B160" s="2" t="s">
        <v>790</v>
      </c>
      <c r="C160" s="18" t="s">
        <v>3796</v>
      </c>
      <c r="D160" s="37" t="s">
        <v>507</v>
      </c>
      <c r="E160" s="18" t="s">
        <v>3955</v>
      </c>
      <c r="F160" s="176">
        <v>45839</v>
      </c>
      <c r="G160" s="18">
        <v>3757622.4</v>
      </c>
      <c r="H160" s="37">
        <f t="shared" si="15"/>
        <v>92</v>
      </c>
      <c r="I160" s="37" t="str">
        <f t="shared" ref="I160:I223" si="18">IF(H160&lt;121,"0-120 DAYS",IF(H160&lt;181,"121-180 DAYS","More than 180 Days"))</f>
        <v>0-120 DAYS</v>
      </c>
      <c r="J160" s="37" t="str">
        <f t="shared" si="16"/>
        <v>0-180 DAYS</v>
      </c>
      <c r="K160" t="s">
        <v>1730</v>
      </c>
      <c r="L160" s="66" t="s">
        <v>4050</v>
      </c>
      <c r="M160" s="66">
        <v>3757622.4</v>
      </c>
    </row>
    <row r="161" spans="1:13" x14ac:dyDescent="0.35">
      <c r="A161" s="2" t="s">
        <v>1085</v>
      </c>
      <c r="B161" s="2" t="s">
        <v>790</v>
      </c>
      <c r="C161" s="18" t="s">
        <v>573</v>
      </c>
      <c r="D161" s="37" t="s">
        <v>507</v>
      </c>
      <c r="E161" s="18" t="s">
        <v>1778</v>
      </c>
      <c r="F161" s="176">
        <v>45840</v>
      </c>
      <c r="G161" s="18">
        <v>4070688.28</v>
      </c>
      <c r="H161" s="37">
        <f t="shared" si="15"/>
        <v>91</v>
      </c>
      <c r="I161" s="37" t="str">
        <f t="shared" si="18"/>
        <v>0-120 DAYS</v>
      </c>
      <c r="J161" s="37" t="str">
        <f t="shared" si="16"/>
        <v>0-180 DAYS</v>
      </c>
      <c r="K161" t="s">
        <v>1730</v>
      </c>
      <c r="L161" s="66" t="s">
        <v>4051</v>
      </c>
      <c r="M161" s="66">
        <v>4070688.28</v>
      </c>
    </row>
    <row r="162" spans="1:13" x14ac:dyDescent="0.35">
      <c r="A162" s="2" t="s">
        <v>1085</v>
      </c>
      <c r="B162" s="2" t="s">
        <v>790</v>
      </c>
      <c r="C162" s="18" t="s">
        <v>814</v>
      </c>
      <c r="D162" s="37" t="s">
        <v>507</v>
      </c>
      <c r="E162" s="18" t="s">
        <v>3956</v>
      </c>
      <c r="F162" s="176">
        <v>45841</v>
      </c>
      <c r="G162" s="18">
        <v>8873</v>
      </c>
      <c r="H162" s="37">
        <f t="shared" si="15"/>
        <v>90</v>
      </c>
      <c r="I162" s="37" t="str">
        <f t="shared" si="18"/>
        <v>0-120 DAYS</v>
      </c>
      <c r="J162" s="37" t="str">
        <f t="shared" si="16"/>
        <v>0-180 DAYS</v>
      </c>
      <c r="K162" t="s">
        <v>1730</v>
      </c>
      <c r="L162" s="66" t="s">
        <v>4048</v>
      </c>
      <c r="M162" s="66">
        <v>8873</v>
      </c>
    </row>
    <row r="163" spans="1:13" x14ac:dyDescent="0.35">
      <c r="A163" s="2" t="s">
        <v>1085</v>
      </c>
      <c r="B163" s="2" t="s">
        <v>790</v>
      </c>
      <c r="C163" s="18" t="s">
        <v>600</v>
      </c>
      <c r="D163" s="37" t="s">
        <v>507</v>
      </c>
      <c r="E163" s="18" t="s">
        <v>3957</v>
      </c>
      <c r="F163" s="176">
        <v>45842</v>
      </c>
      <c r="G163" s="18">
        <v>3891147.26</v>
      </c>
      <c r="H163" s="37">
        <f t="shared" si="15"/>
        <v>89</v>
      </c>
      <c r="I163" s="37" t="str">
        <f t="shared" si="18"/>
        <v>0-120 DAYS</v>
      </c>
      <c r="J163" s="37" t="str">
        <f t="shared" si="16"/>
        <v>0-180 DAYS</v>
      </c>
      <c r="K163" t="s">
        <v>1730</v>
      </c>
      <c r="L163" s="66" t="s">
        <v>4052</v>
      </c>
      <c r="M163" s="66">
        <v>3891147.26</v>
      </c>
    </row>
    <row r="164" spans="1:13" x14ac:dyDescent="0.35">
      <c r="A164" s="2" t="s">
        <v>1085</v>
      </c>
      <c r="B164" s="2" t="s">
        <v>790</v>
      </c>
      <c r="C164" s="18" t="s">
        <v>600</v>
      </c>
      <c r="D164" s="37" t="s">
        <v>507</v>
      </c>
      <c r="E164" s="18" t="s">
        <v>3958</v>
      </c>
      <c r="F164" s="176">
        <v>45843</v>
      </c>
      <c r="G164" s="18">
        <v>1711450.33</v>
      </c>
      <c r="H164" s="37">
        <f t="shared" si="15"/>
        <v>88</v>
      </c>
      <c r="I164" s="37" t="str">
        <f t="shared" si="18"/>
        <v>0-120 DAYS</v>
      </c>
      <c r="J164" s="37" t="str">
        <f t="shared" si="16"/>
        <v>0-180 DAYS</v>
      </c>
      <c r="K164" t="s">
        <v>1730</v>
      </c>
      <c r="L164" s="66" t="s">
        <v>4053</v>
      </c>
      <c r="M164" s="66">
        <v>1711450.33</v>
      </c>
    </row>
    <row r="165" spans="1:13" x14ac:dyDescent="0.35">
      <c r="A165" s="2" t="s">
        <v>1085</v>
      </c>
      <c r="B165" s="2" t="s">
        <v>790</v>
      </c>
      <c r="C165" s="18" t="s">
        <v>548</v>
      </c>
      <c r="D165" s="37" t="s">
        <v>507</v>
      </c>
      <c r="E165" s="18" t="s">
        <v>3959</v>
      </c>
      <c r="F165" s="176">
        <v>45845</v>
      </c>
      <c r="G165" s="18">
        <v>1567998.9</v>
      </c>
      <c r="H165" s="37">
        <f t="shared" si="15"/>
        <v>86</v>
      </c>
      <c r="I165" s="37" t="str">
        <f t="shared" si="18"/>
        <v>0-120 DAYS</v>
      </c>
      <c r="J165" s="37" t="str">
        <f t="shared" si="16"/>
        <v>0-180 DAYS</v>
      </c>
      <c r="K165" t="s">
        <v>1730</v>
      </c>
      <c r="L165" s="66" t="s">
        <v>4055</v>
      </c>
      <c r="M165" s="66">
        <v>1567998.9</v>
      </c>
    </row>
    <row r="166" spans="1:13" x14ac:dyDescent="0.35">
      <c r="A166" s="2" t="s">
        <v>1085</v>
      </c>
      <c r="B166" s="2" t="s">
        <v>790</v>
      </c>
      <c r="C166" s="18" t="s">
        <v>814</v>
      </c>
      <c r="D166" s="37" t="s">
        <v>507</v>
      </c>
      <c r="E166" s="18" t="s">
        <v>3960</v>
      </c>
      <c r="F166" s="176">
        <v>45845</v>
      </c>
      <c r="G166" s="18">
        <v>157842</v>
      </c>
      <c r="H166" s="37">
        <f t="shared" si="15"/>
        <v>86</v>
      </c>
      <c r="I166" s="37" t="str">
        <f t="shared" si="18"/>
        <v>0-120 DAYS</v>
      </c>
      <c r="J166" s="37" t="str">
        <f t="shared" si="16"/>
        <v>0-180 DAYS</v>
      </c>
      <c r="K166" t="s">
        <v>1730</v>
      </c>
      <c r="L166" s="66" t="s">
        <v>4055</v>
      </c>
      <c r="M166" s="66">
        <v>157842</v>
      </c>
    </row>
    <row r="167" spans="1:13" x14ac:dyDescent="0.35">
      <c r="A167" s="2" t="s">
        <v>1085</v>
      </c>
      <c r="B167" s="2" t="s">
        <v>790</v>
      </c>
      <c r="C167" s="18" t="s">
        <v>1052</v>
      </c>
      <c r="D167" s="37" t="s">
        <v>507</v>
      </c>
      <c r="E167" s="18" t="s">
        <v>3961</v>
      </c>
      <c r="F167" s="176">
        <v>45846</v>
      </c>
      <c r="G167" s="18">
        <v>3158236.52</v>
      </c>
      <c r="H167" s="37">
        <f t="shared" si="15"/>
        <v>85</v>
      </c>
      <c r="I167" s="37" t="str">
        <f t="shared" si="18"/>
        <v>0-120 DAYS</v>
      </c>
      <c r="J167" s="37" t="str">
        <f t="shared" si="16"/>
        <v>0-180 DAYS</v>
      </c>
      <c r="K167" t="s">
        <v>1730</v>
      </c>
      <c r="L167" s="66" t="s">
        <v>4056</v>
      </c>
      <c r="M167" s="66">
        <v>3158236.52</v>
      </c>
    </row>
    <row r="168" spans="1:13" x14ac:dyDescent="0.35">
      <c r="A168" s="2" t="s">
        <v>1085</v>
      </c>
      <c r="B168" s="2" t="s">
        <v>790</v>
      </c>
      <c r="C168" s="18" t="s">
        <v>1243</v>
      </c>
      <c r="D168" s="37" t="s">
        <v>507</v>
      </c>
      <c r="E168" s="18" t="s">
        <v>3962</v>
      </c>
      <c r="F168" s="176">
        <v>45846</v>
      </c>
      <c r="G168" s="18">
        <f>4313399.31-1169827</f>
        <v>3143572.3099999996</v>
      </c>
      <c r="H168" s="37">
        <f t="shared" si="15"/>
        <v>85</v>
      </c>
      <c r="I168" s="37" t="str">
        <f t="shared" si="18"/>
        <v>0-120 DAYS</v>
      </c>
      <c r="J168" s="37" t="str">
        <f t="shared" si="16"/>
        <v>0-180 DAYS</v>
      </c>
      <c r="K168" t="s">
        <v>1730</v>
      </c>
      <c r="L168" s="66" t="s">
        <v>4056</v>
      </c>
      <c r="M168" s="66">
        <v>3143572.31</v>
      </c>
    </row>
    <row r="169" spans="1:13" x14ac:dyDescent="0.35">
      <c r="A169" s="2" t="s">
        <v>1085</v>
      </c>
      <c r="B169" s="2" t="s">
        <v>790</v>
      </c>
      <c r="C169" s="18" t="s">
        <v>1243</v>
      </c>
      <c r="D169" s="37" t="s">
        <v>507</v>
      </c>
      <c r="E169" s="18" t="s">
        <v>3963</v>
      </c>
      <c r="F169" s="176">
        <v>45846</v>
      </c>
      <c r="G169" s="18">
        <v>177683.22</v>
      </c>
      <c r="H169" s="37">
        <f t="shared" si="15"/>
        <v>85</v>
      </c>
      <c r="I169" s="37" t="str">
        <f t="shared" si="18"/>
        <v>0-120 DAYS</v>
      </c>
      <c r="J169" s="37" t="str">
        <f t="shared" si="16"/>
        <v>0-180 DAYS</v>
      </c>
      <c r="K169" t="s">
        <v>1730</v>
      </c>
      <c r="L169" s="66" t="s">
        <v>4056</v>
      </c>
      <c r="M169" s="66">
        <v>177683.22</v>
      </c>
    </row>
    <row r="170" spans="1:13" x14ac:dyDescent="0.35">
      <c r="A170" s="2" t="s">
        <v>1085</v>
      </c>
      <c r="B170" s="2" t="s">
        <v>790</v>
      </c>
      <c r="C170" s="18" t="s">
        <v>1086</v>
      </c>
      <c r="D170" s="37" t="s">
        <v>507</v>
      </c>
      <c r="E170" s="18" t="s">
        <v>3964</v>
      </c>
      <c r="F170" s="176">
        <v>45849</v>
      </c>
      <c r="G170" s="18">
        <v>2925390</v>
      </c>
      <c r="H170" s="37">
        <f t="shared" si="15"/>
        <v>82</v>
      </c>
      <c r="I170" s="37" t="str">
        <f t="shared" si="18"/>
        <v>0-120 DAYS</v>
      </c>
      <c r="J170" s="37" t="str">
        <f t="shared" si="16"/>
        <v>0-180 DAYS</v>
      </c>
      <c r="K170" t="s">
        <v>1730</v>
      </c>
      <c r="L170" s="66" t="s">
        <v>4058</v>
      </c>
      <c r="M170" s="66">
        <v>2925390</v>
      </c>
    </row>
    <row r="171" spans="1:13" x14ac:dyDescent="0.35">
      <c r="A171" s="2" t="s">
        <v>1085</v>
      </c>
      <c r="B171" s="2" t="s">
        <v>790</v>
      </c>
      <c r="C171" s="18" t="s">
        <v>814</v>
      </c>
      <c r="D171" s="37" t="s">
        <v>507</v>
      </c>
      <c r="E171" s="18" t="s">
        <v>3965</v>
      </c>
      <c r="F171" s="176">
        <v>45850</v>
      </c>
      <c r="G171" s="18">
        <v>1709</v>
      </c>
      <c r="H171" s="37">
        <f t="shared" si="15"/>
        <v>81</v>
      </c>
      <c r="I171" s="37" t="str">
        <f t="shared" si="18"/>
        <v>0-120 DAYS</v>
      </c>
      <c r="J171" s="37" t="str">
        <f t="shared" si="16"/>
        <v>0-180 DAYS</v>
      </c>
      <c r="K171" t="s">
        <v>1730</v>
      </c>
      <c r="L171" s="66" t="s">
        <v>4059</v>
      </c>
      <c r="M171" s="66">
        <v>1709</v>
      </c>
    </row>
    <row r="172" spans="1:13" x14ac:dyDescent="0.35">
      <c r="A172" s="2" t="s">
        <v>1085</v>
      </c>
      <c r="B172" s="2" t="s">
        <v>790</v>
      </c>
      <c r="C172" s="18" t="s">
        <v>797</v>
      </c>
      <c r="D172" s="37" t="s">
        <v>507</v>
      </c>
      <c r="E172" s="18" t="s">
        <v>3966</v>
      </c>
      <c r="F172" s="176">
        <v>45852</v>
      </c>
      <c r="G172" s="18">
        <v>3520608.01</v>
      </c>
      <c r="H172" s="37">
        <f t="shared" si="15"/>
        <v>79</v>
      </c>
      <c r="I172" s="37" t="str">
        <f t="shared" si="18"/>
        <v>0-120 DAYS</v>
      </c>
      <c r="J172" s="37" t="str">
        <f t="shared" si="16"/>
        <v>0-180 DAYS</v>
      </c>
      <c r="K172" t="s">
        <v>1730</v>
      </c>
      <c r="L172" s="66" t="s">
        <v>4060</v>
      </c>
      <c r="M172" s="66">
        <v>3520608.01</v>
      </c>
    </row>
    <row r="173" spans="1:13" x14ac:dyDescent="0.35">
      <c r="A173" s="2" t="s">
        <v>1085</v>
      </c>
      <c r="B173" s="2" t="s">
        <v>790</v>
      </c>
      <c r="C173" s="18" t="s">
        <v>3796</v>
      </c>
      <c r="D173" s="37" t="s">
        <v>507</v>
      </c>
      <c r="E173" s="18" t="s">
        <v>3967</v>
      </c>
      <c r="F173" s="176">
        <v>45852</v>
      </c>
      <c r="G173" s="18">
        <v>3669096.83</v>
      </c>
      <c r="H173" s="37">
        <f t="shared" si="15"/>
        <v>79</v>
      </c>
      <c r="I173" s="37" t="str">
        <f t="shared" si="18"/>
        <v>0-120 DAYS</v>
      </c>
      <c r="J173" s="37" t="str">
        <f t="shared" si="16"/>
        <v>0-180 DAYS</v>
      </c>
      <c r="K173" t="s">
        <v>1730</v>
      </c>
      <c r="L173" s="66" t="s">
        <v>4060</v>
      </c>
      <c r="M173" s="66">
        <v>3669096.83</v>
      </c>
    </row>
    <row r="174" spans="1:13" x14ac:dyDescent="0.35">
      <c r="A174" s="2" t="s">
        <v>1085</v>
      </c>
      <c r="B174" s="2" t="s">
        <v>790</v>
      </c>
      <c r="C174" s="18" t="s">
        <v>1052</v>
      </c>
      <c r="D174" s="37" t="s">
        <v>507</v>
      </c>
      <c r="E174" s="18" t="s">
        <v>3968</v>
      </c>
      <c r="F174" s="176">
        <v>45854</v>
      </c>
      <c r="G174" s="18">
        <v>3140353.78</v>
      </c>
      <c r="H174" s="37">
        <f t="shared" si="15"/>
        <v>77</v>
      </c>
      <c r="I174" s="37" t="str">
        <f t="shared" si="18"/>
        <v>0-120 DAYS</v>
      </c>
      <c r="J174" s="37" t="str">
        <f t="shared" si="16"/>
        <v>0-180 DAYS</v>
      </c>
      <c r="K174" t="s">
        <v>1730</v>
      </c>
      <c r="L174" s="66" t="s">
        <v>4062</v>
      </c>
      <c r="M174" s="66">
        <v>3140353.78</v>
      </c>
    </row>
    <row r="175" spans="1:13" x14ac:dyDescent="0.35">
      <c r="A175" s="2" t="s">
        <v>1085</v>
      </c>
      <c r="B175" s="2" t="s">
        <v>790</v>
      </c>
      <c r="C175" s="18" t="s">
        <v>600</v>
      </c>
      <c r="D175" s="37" t="s">
        <v>507</v>
      </c>
      <c r="E175" s="18" t="s">
        <v>3969</v>
      </c>
      <c r="F175" s="176">
        <v>45854</v>
      </c>
      <c r="G175" s="18">
        <v>3959222.15</v>
      </c>
      <c r="H175" s="37">
        <f t="shared" si="15"/>
        <v>77</v>
      </c>
      <c r="I175" s="37" t="str">
        <f t="shared" si="18"/>
        <v>0-120 DAYS</v>
      </c>
      <c r="J175" s="37" t="str">
        <f t="shared" si="16"/>
        <v>0-180 DAYS</v>
      </c>
      <c r="K175" t="s">
        <v>1730</v>
      </c>
      <c r="L175" s="66" t="s">
        <v>4062</v>
      </c>
      <c r="M175" s="66">
        <v>3959222.15</v>
      </c>
    </row>
    <row r="176" spans="1:13" x14ac:dyDescent="0.35">
      <c r="A176" s="2" t="s">
        <v>1085</v>
      </c>
      <c r="B176" s="2" t="s">
        <v>790</v>
      </c>
      <c r="C176" s="18" t="s">
        <v>540</v>
      </c>
      <c r="D176" s="37" t="s">
        <v>507</v>
      </c>
      <c r="E176" s="18" t="s">
        <v>3970</v>
      </c>
      <c r="F176" s="176">
        <v>45854</v>
      </c>
      <c r="G176" s="18">
        <f>3356496-1700000</f>
        <v>1656496</v>
      </c>
      <c r="H176" s="37">
        <f t="shared" si="15"/>
        <v>77</v>
      </c>
      <c r="I176" s="37" t="str">
        <f t="shared" si="18"/>
        <v>0-120 DAYS</v>
      </c>
      <c r="J176" s="37" t="str">
        <f t="shared" si="16"/>
        <v>0-180 DAYS</v>
      </c>
      <c r="K176" t="s">
        <v>1730</v>
      </c>
      <c r="L176" s="66" t="s">
        <v>4062</v>
      </c>
      <c r="M176" s="66">
        <v>1656496</v>
      </c>
    </row>
    <row r="177" spans="1:13" x14ac:dyDescent="0.35">
      <c r="A177" s="2" t="s">
        <v>1085</v>
      </c>
      <c r="B177" s="2" t="s">
        <v>790</v>
      </c>
      <c r="C177" s="18" t="s">
        <v>814</v>
      </c>
      <c r="D177" s="37" t="s">
        <v>507</v>
      </c>
      <c r="E177" s="18" t="s">
        <v>3971</v>
      </c>
      <c r="F177" s="176">
        <v>45856</v>
      </c>
      <c r="G177" s="18">
        <v>15909</v>
      </c>
      <c r="H177" s="37">
        <f t="shared" si="15"/>
        <v>75</v>
      </c>
      <c r="I177" s="37" t="str">
        <f t="shared" si="18"/>
        <v>0-120 DAYS</v>
      </c>
      <c r="J177" s="37" t="str">
        <f t="shared" si="16"/>
        <v>0-180 DAYS</v>
      </c>
      <c r="K177" t="s">
        <v>1730</v>
      </c>
      <c r="L177" s="66" t="s">
        <v>4064</v>
      </c>
      <c r="M177" s="66">
        <v>15909</v>
      </c>
    </row>
    <row r="178" spans="1:13" x14ac:dyDescent="0.35">
      <c r="A178" s="2" t="s">
        <v>1085</v>
      </c>
      <c r="B178" s="2" t="s">
        <v>790</v>
      </c>
      <c r="C178" s="18" t="s">
        <v>681</v>
      </c>
      <c r="D178" s="37" t="s">
        <v>507</v>
      </c>
      <c r="E178" s="18" t="s">
        <v>3972</v>
      </c>
      <c r="F178" s="176">
        <v>45856</v>
      </c>
      <c r="G178" s="18">
        <v>4198902.08</v>
      </c>
      <c r="H178" s="37">
        <f t="shared" si="15"/>
        <v>75</v>
      </c>
      <c r="I178" s="37" t="str">
        <f t="shared" si="18"/>
        <v>0-120 DAYS</v>
      </c>
      <c r="J178" s="37" t="str">
        <f t="shared" si="16"/>
        <v>0-180 DAYS</v>
      </c>
      <c r="K178" t="s">
        <v>1730</v>
      </c>
      <c r="L178" s="66" t="s">
        <v>4064</v>
      </c>
      <c r="M178" s="66">
        <v>4198902.08</v>
      </c>
    </row>
    <row r="179" spans="1:13" x14ac:dyDescent="0.35">
      <c r="A179" s="2" t="s">
        <v>1085</v>
      </c>
      <c r="B179" s="2" t="s">
        <v>790</v>
      </c>
      <c r="C179" s="18" t="s">
        <v>814</v>
      </c>
      <c r="D179" s="37" t="s">
        <v>507</v>
      </c>
      <c r="E179" s="18" t="s">
        <v>3973</v>
      </c>
      <c r="F179" s="176">
        <v>45857</v>
      </c>
      <c r="G179" s="18">
        <v>804</v>
      </c>
      <c r="H179" s="37">
        <f t="shared" si="15"/>
        <v>74</v>
      </c>
      <c r="I179" s="37" t="str">
        <f t="shared" si="18"/>
        <v>0-120 DAYS</v>
      </c>
      <c r="J179" s="37" t="str">
        <f t="shared" si="16"/>
        <v>0-180 DAYS</v>
      </c>
      <c r="K179" t="s">
        <v>1730</v>
      </c>
      <c r="L179" s="66" t="s">
        <v>4065</v>
      </c>
      <c r="M179" s="66">
        <v>804</v>
      </c>
    </row>
    <row r="180" spans="1:13" x14ac:dyDescent="0.35">
      <c r="A180" s="2" t="s">
        <v>1085</v>
      </c>
      <c r="B180" s="2" t="s">
        <v>790</v>
      </c>
      <c r="C180" s="18" t="s">
        <v>814</v>
      </c>
      <c r="D180" s="37" t="s">
        <v>507</v>
      </c>
      <c r="E180" s="18" t="s">
        <v>3974</v>
      </c>
      <c r="F180" s="176">
        <v>45859</v>
      </c>
      <c r="G180" s="18">
        <v>313686</v>
      </c>
      <c r="H180" s="37">
        <f t="shared" si="15"/>
        <v>72</v>
      </c>
      <c r="I180" s="37" t="str">
        <f t="shared" si="18"/>
        <v>0-120 DAYS</v>
      </c>
      <c r="J180" s="37" t="str">
        <f t="shared" si="16"/>
        <v>0-180 DAYS</v>
      </c>
      <c r="K180" t="s">
        <v>1730</v>
      </c>
      <c r="L180" s="66" t="s">
        <v>4046</v>
      </c>
      <c r="M180" s="66">
        <v>313686</v>
      </c>
    </row>
    <row r="181" spans="1:13" x14ac:dyDescent="0.35">
      <c r="A181" s="2" t="s">
        <v>1085</v>
      </c>
      <c r="B181" s="2" t="s">
        <v>790</v>
      </c>
      <c r="C181" s="18" t="s">
        <v>631</v>
      </c>
      <c r="D181" s="37" t="s">
        <v>507</v>
      </c>
      <c r="E181" s="18" t="s">
        <v>3975</v>
      </c>
      <c r="F181" s="176">
        <v>45860</v>
      </c>
      <c r="G181" s="18">
        <f>3070408-69605</f>
        <v>3000803</v>
      </c>
      <c r="H181" s="37">
        <f t="shared" si="15"/>
        <v>71</v>
      </c>
      <c r="I181" s="37" t="str">
        <f t="shared" si="18"/>
        <v>0-120 DAYS</v>
      </c>
      <c r="J181" s="37" t="str">
        <f t="shared" si="16"/>
        <v>0-180 DAYS</v>
      </c>
      <c r="K181" t="s">
        <v>1730</v>
      </c>
      <c r="L181" s="66" t="s">
        <v>4047</v>
      </c>
      <c r="M181" s="66">
        <v>3070408</v>
      </c>
    </row>
    <row r="182" spans="1:13" x14ac:dyDescent="0.35">
      <c r="A182" s="2" t="s">
        <v>1085</v>
      </c>
      <c r="B182" s="2" t="s">
        <v>790</v>
      </c>
      <c r="C182" s="18" t="s">
        <v>814</v>
      </c>
      <c r="D182" s="37" t="s">
        <v>507</v>
      </c>
      <c r="E182" s="18" t="s">
        <v>3976</v>
      </c>
      <c r="F182" s="176">
        <v>45861</v>
      </c>
      <c r="G182" s="18">
        <v>32567</v>
      </c>
      <c r="H182" s="37">
        <f t="shared" si="15"/>
        <v>70</v>
      </c>
      <c r="I182" s="37" t="str">
        <f t="shared" si="18"/>
        <v>0-120 DAYS</v>
      </c>
      <c r="J182" s="37" t="str">
        <f t="shared" si="16"/>
        <v>0-180 DAYS</v>
      </c>
      <c r="K182" t="s">
        <v>1730</v>
      </c>
      <c r="L182" s="66" t="s">
        <v>4067</v>
      </c>
      <c r="M182" s="66">
        <v>32567</v>
      </c>
    </row>
    <row r="183" spans="1:13" x14ac:dyDescent="0.35">
      <c r="A183" s="2" t="s">
        <v>1085</v>
      </c>
      <c r="B183" s="2" t="s">
        <v>790</v>
      </c>
      <c r="C183" s="18" t="s">
        <v>814</v>
      </c>
      <c r="D183" s="37" t="s">
        <v>507</v>
      </c>
      <c r="E183" s="18" t="s">
        <v>3977</v>
      </c>
      <c r="F183" s="176">
        <v>45862</v>
      </c>
      <c r="G183" s="18">
        <v>18555.5</v>
      </c>
      <c r="H183" s="37">
        <f t="shared" si="15"/>
        <v>69</v>
      </c>
      <c r="I183" s="37" t="str">
        <f t="shared" si="18"/>
        <v>0-120 DAYS</v>
      </c>
      <c r="J183" s="37" t="str">
        <f t="shared" si="16"/>
        <v>0-180 DAYS</v>
      </c>
      <c r="K183" t="s">
        <v>1730</v>
      </c>
      <c r="L183" s="66" t="s">
        <v>4068</v>
      </c>
      <c r="M183" s="66">
        <v>18555.5</v>
      </c>
    </row>
    <row r="184" spans="1:13" x14ac:dyDescent="0.35">
      <c r="A184" s="2" t="s">
        <v>1085</v>
      </c>
      <c r="B184" s="2" t="s">
        <v>790</v>
      </c>
      <c r="C184" s="18" t="s">
        <v>3796</v>
      </c>
      <c r="D184" s="37" t="s">
        <v>507</v>
      </c>
      <c r="E184" s="18" t="s">
        <v>3978</v>
      </c>
      <c r="F184" s="176">
        <v>45862</v>
      </c>
      <c r="G184" s="18">
        <v>3713130.4</v>
      </c>
      <c r="H184" s="37">
        <f t="shared" si="15"/>
        <v>69</v>
      </c>
      <c r="I184" s="37" t="str">
        <f t="shared" si="18"/>
        <v>0-120 DAYS</v>
      </c>
      <c r="J184" s="37" t="str">
        <f t="shared" si="16"/>
        <v>0-180 DAYS</v>
      </c>
      <c r="K184" t="s">
        <v>1730</v>
      </c>
      <c r="L184" s="66" t="s">
        <v>4068</v>
      </c>
      <c r="M184" s="66">
        <v>3713130.4</v>
      </c>
    </row>
    <row r="185" spans="1:13" x14ac:dyDescent="0.35">
      <c r="A185" s="2" t="s">
        <v>1085</v>
      </c>
      <c r="B185" s="2" t="s">
        <v>790</v>
      </c>
      <c r="C185" s="18" t="s">
        <v>548</v>
      </c>
      <c r="D185" s="37" t="s">
        <v>507</v>
      </c>
      <c r="E185" s="18" t="s">
        <v>3979</v>
      </c>
      <c r="F185" s="176">
        <v>45863</v>
      </c>
      <c r="G185" s="18">
        <v>189858.1</v>
      </c>
      <c r="H185" s="37">
        <f t="shared" si="15"/>
        <v>68</v>
      </c>
      <c r="I185" s="37" t="str">
        <f t="shared" si="18"/>
        <v>0-120 DAYS</v>
      </c>
      <c r="J185" s="37" t="str">
        <f t="shared" si="16"/>
        <v>0-180 DAYS</v>
      </c>
      <c r="K185" t="s">
        <v>1730</v>
      </c>
      <c r="L185" s="66" t="s">
        <v>4069</v>
      </c>
      <c r="M185" s="66">
        <v>189858.1</v>
      </c>
    </row>
    <row r="186" spans="1:13" x14ac:dyDescent="0.35">
      <c r="A186" s="2" t="s">
        <v>1085</v>
      </c>
      <c r="B186" s="2" t="s">
        <v>790</v>
      </c>
      <c r="C186" s="18" t="s">
        <v>814</v>
      </c>
      <c r="D186" s="37" t="s">
        <v>507</v>
      </c>
      <c r="E186" s="18" t="s">
        <v>3980</v>
      </c>
      <c r="F186" s="176">
        <v>45863</v>
      </c>
      <c r="G186" s="18">
        <v>273326</v>
      </c>
      <c r="H186" s="37">
        <f t="shared" si="15"/>
        <v>68</v>
      </c>
      <c r="I186" s="37" t="str">
        <f t="shared" si="18"/>
        <v>0-120 DAYS</v>
      </c>
      <c r="J186" s="37" t="str">
        <f t="shared" si="16"/>
        <v>0-180 DAYS</v>
      </c>
      <c r="K186" t="s">
        <v>1730</v>
      </c>
      <c r="L186" s="66" t="s">
        <v>4069</v>
      </c>
      <c r="M186" s="66">
        <v>273326</v>
      </c>
    </row>
    <row r="187" spans="1:13" x14ac:dyDescent="0.35">
      <c r="A187" s="2" t="s">
        <v>1085</v>
      </c>
      <c r="B187" s="2" t="s">
        <v>790</v>
      </c>
      <c r="C187" s="18" t="s">
        <v>540</v>
      </c>
      <c r="D187" s="37" t="s">
        <v>507</v>
      </c>
      <c r="E187" s="18" t="s">
        <v>3981</v>
      </c>
      <c r="F187" s="176">
        <v>45865</v>
      </c>
      <c r="G187" s="18">
        <v>3324287.2</v>
      </c>
      <c r="H187" s="37">
        <f t="shared" si="15"/>
        <v>66</v>
      </c>
      <c r="I187" s="37" t="str">
        <f t="shared" si="18"/>
        <v>0-120 DAYS</v>
      </c>
      <c r="J187" s="37" t="str">
        <f t="shared" si="16"/>
        <v>0-180 DAYS</v>
      </c>
      <c r="K187" t="s">
        <v>1730</v>
      </c>
      <c r="L187" s="66" t="s">
        <v>4071</v>
      </c>
      <c r="M187" s="66">
        <v>3324287.2</v>
      </c>
    </row>
    <row r="188" spans="1:13" x14ac:dyDescent="0.35">
      <c r="A188" s="2" t="s">
        <v>1085</v>
      </c>
      <c r="B188" s="2" t="s">
        <v>790</v>
      </c>
      <c r="C188" s="18" t="s">
        <v>797</v>
      </c>
      <c r="D188" s="37" t="s">
        <v>507</v>
      </c>
      <c r="E188" s="18" t="s">
        <v>3982</v>
      </c>
      <c r="F188" s="176">
        <v>45867</v>
      </c>
      <c r="G188" s="18">
        <v>3545606.4</v>
      </c>
      <c r="H188" s="37">
        <f t="shared" si="15"/>
        <v>64</v>
      </c>
      <c r="I188" s="37" t="str">
        <f t="shared" si="18"/>
        <v>0-120 DAYS</v>
      </c>
      <c r="J188" s="37" t="str">
        <f t="shared" si="16"/>
        <v>0-180 DAYS</v>
      </c>
      <c r="K188" t="s">
        <v>1730</v>
      </c>
      <c r="L188" s="66" t="s">
        <v>4073</v>
      </c>
      <c r="M188" s="66">
        <v>3545606.4</v>
      </c>
    </row>
    <row r="189" spans="1:13" x14ac:dyDescent="0.35">
      <c r="A189" s="2" t="s">
        <v>1085</v>
      </c>
      <c r="B189" s="2" t="s">
        <v>790</v>
      </c>
      <c r="C189" s="18" t="s">
        <v>600</v>
      </c>
      <c r="D189" s="37" t="s">
        <v>507</v>
      </c>
      <c r="E189" s="18" t="s">
        <v>3983</v>
      </c>
      <c r="F189" s="176">
        <v>45869</v>
      </c>
      <c r="G189" s="18">
        <v>3942474.51</v>
      </c>
      <c r="H189" s="37">
        <f t="shared" si="15"/>
        <v>62</v>
      </c>
      <c r="I189" s="37" t="str">
        <f t="shared" si="18"/>
        <v>0-120 DAYS</v>
      </c>
      <c r="J189" s="37" t="str">
        <f t="shared" si="16"/>
        <v>0-180 DAYS</v>
      </c>
      <c r="K189" t="s">
        <v>1730</v>
      </c>
      <c r="L189" s="66" t="s">
        <v>4049</v>
      </c>
      <c r="M189" s="66">
        <v>3942474.51</v>
      </c>
    </row>
    <row r="190" spans="1:13" x14ac:dyDescent="0.35">
      <c r="A190" s="2" t="s">
        <v>1085</v>
      </c>
      <c r="B190" s="2" t="s">
        <v>790</v>
      </c>
      <c r="C190" s="18" t="s">
        <v>1243</v>
      </c>
      <c r="D190" s="37" t="s">
        <v>507</v>
      </c>
      <c r="E190" s="18" t="s">
        <v>3984</v>
      </c>
      <c r="F190" s="176">
        <v>45869</v>
      </c>
      <c r="G190" s="18">
        <v>4091381.38</v>
      </c>
      <c r="H190" s="37">
        <f t="shared" si="15"/>
        <v>62</v>
      </c>
      <c r="I190" s="37" t="str">
        <f t="shared" si="18"/>
        <v>0-120 DAYS</v>
      </c>
      <c r="J190" s="37" t="str">
        <f t="shared" si="16"/>
        <v>0-180 DAYS</v>
      </c>
      <c r="K190" t="s">
        <v>1730</v>
      </c>
      <c r="L190" s="66" t="s">
        <v>4049</v>
      </c>
      <c r="M190" s="66">
        <v>4091381.38</v>
      </c>
    </row>
    <row r="191" spans="1:13" x14ac:dyDescent="0.35">
      <c r="A191" s="2" t="s">
        <v>1085</v>
      </c>
      <c r="B191" s="2" t="s">
        <v>790</v>
      </c>
      <c r="C191" s="18" t="s">
        <v>1243</v>
      </c>
      <c r="D191" s="37" t="s">
        <v>507</v>
      </c>
      <c r="E191" s="18" t="s">
        <v>3985</v>
      </c>
      <c r="F191" s="176">
        <v>45869</v>
      </c>
      <c r="G191" s="18">
        <v>237696.73</v>
      </c>
      <c r="H191" s="37">
        <f t="shared" si="15"/>
        <v>62</v>
      </c>
      <c r="I191" s="37" t="str">
        <f t="shared" si="18"/>
        <v>0-120 DAYS</v>
      </c>
      <c r="J191" s="37" t="str">
        <f t="shared" si="16"/>
        <v>0-180 DAYS</v>
      </c>
      <c r="K191" t="s">
        <v>1730</v>
      </c>
      <c r="L191" s="66" t="s">
        <v>4049</v>
      </c>
      <c r="M191" s="66">
        <v>237696.73</v>
      </c>
    </row>
    <row r="192" spans="1:13" x14ac:dyDescent="0.35">
      <c r="A192" s="2" t="s">
        <v>1085</v>
      </c>
      <c r="B192" s="2" t="s">
        <v>790</v>
      </c>
      <c r="C192" s="18" t="s">
        <v>1086</v>
      </c>
      <c r="D192" s="37" t="s">
        <v>507</v>
      </c>
      <c r="E192" s="18" t="s">
        <v>3986</v>
      </c>
      <c r="F192" s="176">
        <v>45839</v>
      </c>
      <c r="G192" s="18">
        <v>3204931.11</v>
      </c>
      <c r="H192" s="37">
        <f t="shared" si="15"/>
        <v>92</v>
      </c>
      <c r="I192" s="37" t="str">
        <f t="shared" si="18"/>
        <v>0-120 DAYS</v>
      </c>
      <c r="J192" s="37" t="str">
        <f t="shared" si="16"/>
        <v>0-180 DAYS</v>
      </c>
      <c r="K192" t="s">
        <v>1730</v>
      </c>
      <c r="L192" s="66" t="s">
        <v>4050</v>
      </c>
      <c r="M192" s="66">
        <v>3204931.11</v>
      </c>
    </row>
    <row r="193" spans="1:13" x14ac:dyDescent="0.35">
      <c r="A193" s="2" t="s">
        <v>1085</v>
      </c>
      <c r="B193" s="2" t="s">
        <v>790</v>
      </c>
      <c r="C193" s="18" t="s">
        <v>1086</v>
      </c>
      <c r="D193" s="37" t="s">
        <v>507</v>
      </c>
      <c r="E193" s="18" t="s">
        <v>3987</v>
      </c>
      <c r="F193" s="176">
        <v>45840</v>
      </c>
      <c r="G193" s="18">
        <v>11781.17</v>
      </c>
      <c r="H193" s="37">
        <f t="shared" si="15"/>
        <v>91</v>
      </c>
      <c r="I193" s="37" t="str">
        <f t="shared" si="18"/>
        <v>0-120 DAYS</v>
      </c>
      <c r="J193" s="37" t="str">
        <f t="shared" si="16"/>
        <v>0-180 DAYS</v>
      </c>
      <c r="K193" t="s">
        <v>1730</v>
      </c>
      <c r="L193" s="66" t="s">
        <v>4051</v>
      </c>
      <c r="M193" s="66">
        <v>11781.17</v>
      </c>
    </row>
    <row r="194" spans="1:13" x14ac:dyDescent="0.35">
      <c r="A194" s="2" t="s">
        <v>1085</v>
      </c>
      <c r="B194" s="2" t="s">
        <v>790</v>
      </c>
      <c r="C194" s="18" t="s">
        <v>1086</v>
      </c>
      <c r="D194" s="37" t="s">
        <v>507</v>
      </c>
      <c r="E194" s="18" t="s">
        <v>3988</v>
      </c>
      <c r="F194" s="176">
        <v>45840</v>
      </c>
      <c r="G194" s="18">
        <v>188868.25</v>
      </c>
      <c r="H194" s="37">
        <f t="shared" si="15"/>
        <v>91</v>
      </c>
      <c r="I194" s="37" t="str">
        <f t="shared" si="18"/>
        <v>0-120 DAYS</v>
      </c>
      <c r="J194" s="37" t="str">
        <f t="shared" si="16"/>
        <v>0-180 DAYS</v>
      </c>
      <c r="K194" t="s">
        <v>1730</v>
      </c>
      <c r="L194" s="66" t="s">
        <v>4051</v>
      </c>
      <c r="M194" s="66">
        <v>188868.25</v>
      </c>
    </row>
    <row r="195" spans="1:13" x14ac:dyDescent="0.35">
      <c r="A195" s="2" t="s">
        <v>1085</v>
      </c>
      <c r="B195" s="2" t="s">
        <v>790</v>
      </c>
      <c r="C195" s="18" t="s">
        <v>1086</v>
      </c>
      <c r="D195" s="37" t="s">
        <v>507</v>
      </c>
      <c r="E195" s="18" t="s">
        <v>3989</v>
      </c>
      <c r="F195" s="176">
        <v>45841</v>
      </c>
      <c r="G195" s="18">
        <v>43661.74</v>
      </c>
      <c r="H195" s="37">
        <f t="shared" si="15"/>
        <v>90</v>
      </c>
      <c r="I195" s="37" t="str">
        <f t="shared" si="18"/>
        <v>0-120 DAYS</v>
      </c>
      <c r="J195" s="37" t="str">
        <f t="shared" si="16"/>
        <v>0-180 DAYS</v>
      </c>
      <c r="K195" t="s">
        <v>1730</v>
      </c>
      <c r="L195" s="66" t="s">
        <v>4048</v>
      </c>
      <c r="M195" s="66">
        <v>43661.74</v>
      </c>
    </row>
    <row r="196" spans="1:13" x14ac:dyDescent="0.35">
      <c r="A196" s="2" t="s">
        <v>1085</v>
      </c>
      <c r="B196" s="2" t="s">
        <v>790</v>
      </c>
      <c r="C196" s="18" t="s">
        <v>1086</v>
      </c>
      <c r="D196" s="37" t="s">
        <v>507</v>
      </c>
      <c r="E196" s="18" t="s">
        <v>3990</v>
      </c>
      <c r="F196" s="176">
        <v>45841</v>
      </c>
      <c r="G196" s="18">
        <v>616704.14</v>
      </c>
      <c r="H196" s="37">
        <f t="shared" si="15"/>
        <v>90</v>
      </c>
      <c r="I196" s="37" t="str">
        <f t="shared" si="18"/>
        <v>0-120 DAYS</v>
      </c>
      <c r="J196" s="37" t="str">
        <f t="shared" si="16"/>
        <v>0-180 DAYS</v>
      </c>
      <c r="K196" t="s">
        <v>1730</v>
      </c>
      <c r="L196" s="66" t="s">
        <v>4048</v>
      </c>
      <c r="M196" s="66">
        <v>616704.14</v>
      </c>
    </row>
    <row r="197" spans="1:13" x14ac:dyDescent="0.35">
      <c r="A197" s="2" t="s">
        <v>1085</v>
      </c>
      <c r="B197" s="2" t="s">
        <v>790</v>
      </c>
      <c r="C197" s="18" t="s">
        <v>1086</v>
      </c>
      <c r="D197" s="37" t="s">
        <v>507</v>
      </c>
      <c r="E197" s="18" t="s">
        <v>3991</v>
      </c>
      <c r="F197" s="176">
        <v>45841</v>
      </c>
      <c r="G197" s="18">
        <v>945419.06</v>
      </c>
      <c r="H197" s="37">
        <f t="shared" si="15"/>
        <v>90</v>
      </c>
      <c r="I197" s="37" t="str">
        <f t="shared" si="18"/>
        <v>0-120 DAYS</v>
      </c>
      <c r="J197" s="37" t="str">
        <f t="shared" si="16"/>
        <v>0-180 DAYS</v>
      </c>
      <c r="K197" t="s">
        <v>1730</v>
      </c>
      <c r="L197" s="66" t="s">
        <v>4048</v>
      </c>
      <c r="M197" s="66">
        <v>945419.06</v>
      </c>
    </row>
    <row r="198" spans="1:13" x14ac:dyDescent="0.35">
      <c r="A198" s="2" t="s">
        <v>1085</v>
      </c>
      <c r="B198" s="2" t="s">
        <v>790</v>
      </c>
      <c r="C198" s="18" t="s">
        <v>1086</v>
      </c>
      <c r="D198" s="37" t="s">
        <v>507</v>
      </c>
      <c r="E198" s="18" t="s">
        <v>3992</v>
      </c>
      <c r="F198" s="176">
        <v>45841</v>
      </c>
      <c r="G198" s="18">
        <v>512178.63</v>
      </c>
      <c r="H198" s="37">
        <f t="shared" si="15"/>
        <v>90</v>
      </c>
      <c r="I198" s="37" t="str">
        <f t="shared" si="18"/>
        <v>0-120 DAYS</v>
      </c>
      <c r="J198" s="37" t="str">
        <f t="shared" si="16"/>
        <v>0-180 DAYS</v>
      </c>
      <c r="K198" t="s">
        <v>1730</v>
      </c>
      <c r="L198" s="66" t="s">
        <v>4048</v>
      </c>
      <c r="M198" s="66">
        <v>512178.63</v>
      </c>
    </row>
    <row r="199" spans="1:13" x14ac:dyDescent="0.35">
      <c r="A199" s="2" t="s">
        <v>1085</v>
      </c>
      <c r="B199" s="2" t="s">
        <v>790</v>
      </c>
      <c r="C199" s="18" t="s">
        <v>650</v>
      </c>
      <c r="D199" s="37" t="s">
        <v>507</v>
      </c>
      <c r="E199" s="18" t="s">
        <v>3993</v>
      </c>
      <c r="F199" s="176">
        <v>45841</v>
      </c>
      <c r="G199" s="18">
        <v>2955960</v>
      </c>
      <c r="H199" s="37">
        <f t="shared" si="15"/>
        <v>90</v>
      </c>
      <c r="I199" s="37" t="str">
        <f t="shared" si="18"/>
        <v>0-120 DAYS</v>
      </c>
      <c r="J199" s="37" t="str">
        <f t="shared" si="16"/>
        <v>0-180 DAYS</v>
      </c>
      <c r="K199" t="s">
        <v>1730</v>
      </c>
      <c r="L199" s="66" t="s">
        <v>4048</v>
      </c>
      <c r="M199" s="66">
        <v>2955960</v>
      </c>
    </row>
    <row r="200" spans="1:13" x14ac:dyDescent="0.35">
      <c r="A200" s="2" t="s">
        <v>1085</v>
      </c>
      <c r="B200" s="2" t="s">
        <v>790</v>
      </c>
      <c r="C200" s="18" t="s">
        <v>1249</v>
      </c>
      <c r="D200" s="37" t="s">
        <v>507</v>
      </c>
      <c r="E200" s="18" t="s">
        <v>3994</v>
      </c>
      <c r="F200" s="176">
        <v>45842</v>
      </c>
      <c r="G200" s="18">
        <v>3498300</v>
      </c>
      <c r="H200" s="37">
        <f t="shared" si="15"/>
        <v>89</v>
      </c>
      <c r="I200" s="37" t="str">
        <f t="shared" si="18"/>
        <v>0-120 DAYS</v>
      </c>
      <c r="J200" s="37" t="str">
        <f t="shared" si="16"/>
        <v>0-180 DAYS</v>
      </c>
      <c r="K200" t="s">
        <v>1730</v>
      </c>
      <c r="L200" s="66" t="s">
        <v>4052</v>
      </c>
      <c r="M200" s="66">
        <v>3498300</v>
      </c>
    </row>
    <row r="201" spans="1:13" x14ac:dyDescent="0.35">
      <c r="A201" s="2" t="s">
        <v>1085</v>
      </c>
      <c r="B201" s="2" t="s">
        <v>790</v>
      </c>
      <c r="C201" s="18" t="s">
        <v>573</v>
      </c>
      <c r="D201" s="37" t="s">
        <v>507</v>
      </c>
      <c r="E201" s="18" t="s">
        <v>3995</v>
      </c>
      <c r="F201" s="176">
        <v>45842</v>
      </c>
      <c r="G201" s="18">
        <v>7782652.7999999998</v>
      </c>
      <c r="H201" s="37">
        <f t="shared" si="15"/>
        <v>89</v>
      </c>
      <c r="I201" s="37" t="str">
        <f t="shared" si="18"/>
        <v>0-120 DAYS</v>
      </c>
      <c r="J201" s="37" t="str">
        <f t="shared" si="16"/>
        <v>0-180 DAYS</v>
      </c>
      <c r="K201" t="s">
        <v>1730</v>
      </c>
      <c r="L201" s="66" t="s">
        <v>4052</v>
      </c>
      <c r="M201" s="66">
        <v>7782652.7999999998</v>
      </c>
    </row>
    <row r="202" spans="1:13" x14ac:dyDescent="0.35">
      <c r="A202" s="2" t="s">
        <v>1085</v>
      </c>
      <c r="B202" s="2" t="s">
        <v>790</v>
      </c>
      <c r="C202" s="18" t="s">
        <v>573</v>
      </c>
      <c r="D202" s="37" t="s">
        <v>507</v>
      </c>
      <c r="E202" s="18" t="s">
        <v>3996</v>
      </c>
      <c r="F202" s="176">
        <v>45844</v>
      </c>
      <c r="G202" s="18">
        <v>3671525</v>
      </c>
      <c r="H202" s="37">
        <f t="shared" si="15"/>
        <v>87</v>
      </c>
      <c r="I202" s="37" t="str">
        <f t="shared" si="18"/>
        <v>0-120 DAYS</v>
      </c>
      <c r="J202" s="37" t="str">
        <f t="shared" si="16"/>
        <v>0-180 DAYS</v>
      </c>
      <c r="K202" t="s">
        <v>1730</v>
      </c>
      <c r="L202" s="66" t="s">
        <v>4054</v>
      </c>
      <c r="M202" s="66">
        <v>3671525</v>
      </c>
    </row>
    <row r="203" spans="1:13" x14ac:dyDescent="0.35">
      <c r="A203" s="2" t="s">
        <v>1085</v>
      </c>
      <c r="B203" s="2" t="s">
        <v>790</v>
      </c>
      <c r="C203" s="18" t="s">
        <v>1086</v>
      </c>
      <c r="D203" s="37" t="s">
        <v>507</v>
      </c>
      <c r="E203" s="18" t="s">
        <v>3997</v>
      </c>
      <c r="F203" s="176">
        <v>45845</v>
      </c>
      <c r="G203" s="18">
        <v>3315780</v>
      </c>
      <c r="H203" s="37">
        <f t="shared" si="15"/>
        <v>86</v>
      </c>
      <c r="I203" s="37" t="str">
        <f t="shared" si="18"/>
        <v>0-120 DAYS</v>
      </c>
      <c r="J203" s="37" t="str">
        <f t="shared" si="16"/>
        <v>0-180 DAYS</v>
      </c>
      <c r="K203" t="s">
        <v>1730</v>
      </c>
      <c r="L203" s="66" t="s">
        <v>4055</v>
      </c>
      <c r="M203" s="66">
        <v>3315780</v>
      </c>
    </row>
    <row r="204" spans="1:13" x14ac:dyDescent="0.35">
      <c r="A204" s="2" t="s">
        <v>1085</v>
      </c>
      <c r="B204" s="2" t="s">
        <v>790</v>
      </c>
      <c r="C204" s="18" t="s">
        <v>650</v>
      </c>
      <c r="D204" s="37" t="s">
        <v>507</v>
      </c>
      <c r="E204" s="18" t="s">
        <v>3998</v>
      </c>
      <c r="F204" s="176">
        <v>45846</v>
      </c>
      <c r="G204" s="18">
        <v>4330316.43</v>
      </c>
      <c r="H204" s="37">
        <f t="shared" ref="H204:H267" si="19">$H$9-F204+1</f>
        <v>85</v>
      </c>
      <c r="I204" s="37" t="str">
        <f t="shared" si="18"/>
        <v>0-120 DAYS</v>
      </c>
      <c r="J204" s="37" t="str">
        <f t="shared" si="16"/>
        <v>0-180 DAYS</v>
      </c>
      <c r="K204" t="s">
        <v>1730</v>
      </c>
      <c r="L204" s="66" t="s">
        <v>4056</v>
      </c>
      <c r="M204" s="66">
        <v>4330316.43</v>
      </c>
    </row>
    <row r="205" spans="1:13" x14ac:dyDescent="0.35">
      <c r="A205" s="2" t="s">
        <v>1085</v>
      </c>
      <c r="B205" s="2" t="s">
        <v>790</v>
      </c>
      <c r="C205" s="18" t="s">
        <v>1086</v>
      </c>
      <c r="D205" s="37" t="s">
        <v>507</v>
      </c>
      <c r="E205" s="18" t="s">
        <v>3999</v>
      </c>
      <c r="F205" s="176">
        <v>45848</v>
      </c>
      <c r="G205" s="18">
        <v>1228249.75</v>
      </c>
      <c r="H205" s="37">
        <f t="shared" si="19"/>
        <v>83</v>
      </c>
      <c r="I205" s="37" t="str">
        <f t="shared" si="18"/>
        <v>0-120 DAYS</v>
      </c>
      <c r="J205" s="37" t="str">
        <f t="shared" si="16"/>
        <v>0-180 DAYS</v>
      </c>
      <c r="K205" t="s">
        <v>1730</v>
      </c>
      <c r="L205" s="66" t="s">
        <v>4057</v>
      </c>
      <c r="M205" s="66">
        <v>1228249.75</v>
      </c>
    </row>
    <row r="206" spans="1:13" x14ac:dyDescent="0.35">
      <c r="A206" s="2" t="s">
        <v>1085</v>
      </c>
      <c r="B206" s="2" t="s">
        <v>790</v>
      </c>
      <c r="C206" s="18" t="s">
        <v>1086</v>
      </c>
      <c r="D206" s="37" t="s">
        <v>507</v>
      </c>
      <c r="E206" s="18" t="s">
        <v>4000</v>
      </c>
      <c r="F206" s="176">
        <v>45848</v>
      </c>
      <c r="G206" s="18">
        <v>2548932.36</v>
      </c>
      <c r="H206" s="37">
        <f t="shared" si="19"/>
        <v>83</v>
      </c>
      <c r="I206" s="37" t="str">
        <f t="shared" si="18"/>
        <v>0-120 DAYS</v>
      </c>
      <c r="J206" s="37" t="str">
        <f t="shared" ref="J206:J269" si="20">IF(H206&lt;180,"0-180 DAYS","More than 180 Days")</f>
        <v>0-180 DAYS</v>
      </c>
      <c r="K206" t="s">
        <v>1730</v>
      </c>
      <c r="L206" s="66" t="s">
        <v>4057</v>
      </c>
      <c r="M206" s="66">
        <v>2548932.36</v>
      </c>
    </row>
    <row r="207" spans="1:13" x14ac:dyDescent="0.35">
      <c r="A207" s="2" t="s">
        <v>1085</v>
      </c>
      <c r="B207" s="2" t="s">
        <v>790</v>
      </c>
      <c r="C207" s="18" t="s">
        <v>1086</v>
      </c>
      <c r="D207" s="37" t="s">
        <v>507</v>
      </c>
      <c r="E207" s="18" t="s">
        <v>4001</v>
      </c>
      <c r="F207" s="176">
        <v>45849</v>
      </c>
      <c r="G207" s="18">
        <v>1165410.48</v>
      </c>
      <c r="H207" s="37">
        <f t="shared" si="19"/>
        <v>82</v>
      </c>
      <c r="I207" s="37" t="str">
        <f t="shared" si="18"/>
        <v>0-120 DAYS</v>
      </c>
      <c r="J207" s="37" t="str">
        <f t="shared" si="20"/>
        <v>0-180 DAYS</v>
      </c>
      <c r="K207" t="s">
        <v>1730</v>
      </c>
      <c r="L207" s="66" t="s">
        <v>4058</v>
      </c>
      <c r="M207" s="66">
        <v>1165410.48</v>
      </c>
    </row>
    <row r="208" spans="1:13" x14ac:dyDescent="0.35">
      <c r="A208" s="2" t="s">
        <v>1085</v>
      </c>
      <c r="B208" s="2" t="s">
        <v>790</v>
      </c>
      <c r="C208" s="18" t="s">
        <v>1086</v>
      </c>
      <c r="D208" s="37" t="s">
        <v>507</v>
      </c>
      <c r="E208" s="18" t="s">
        <v>4002</v>
      </c>
      <c r="F208" s="176">
        <v>45849</v>
      </c>
      <c r="G208" s="18">
        <v>955960.33</v>
      </c>
      <c r="H208" s="37">
        <f t="shared" si="19"/>
        <v>82</v>
      </c>
      <c r="I208" s="37" t="str">
        <f t="shared" si="18"/>
        <v>0-120 DAYS</v>
      </c>
      <c r="J208" s="37" t="str">
        <f t="shared" si="20"/>
        <v>0-180 DAYS</v>
      </c>
      <c r="K208" t="s">
        <v>1730</v>
      </c>
      <c r="L208" s="66" t="s">
        <v>4058</v>
      </c>
      <c r="M208" s="66">
        <v>955960.33</v>
      </c>
    </row>
    <row r="209" spans="1:13" x14ac:dyDescent="0.35">
      <c r="A209" s="2" t="s">
        <v>1085</v>
      </c>
      <c r="B209" s="2" t="s">
        <v>790</v>
      </c>
      <c r="C209" s="18" t="s">
        <v>1086</v>
      </c>
      <c r="D209" s="37" t="s">
        <v>507</v>
      </c>
      <c r="E209" s="18" t="s">
        <v>4003</v>
      </c>
      <c r="F209" s="176">
        <v>45849</v>
      </c>
      <c r="G209" s="18">
        <v>226860.53</v>
      </c>
      <c r="H209" s="37">
        <f t="shared" si="19"/>
        <v>82</v>
      </c>
      <c r="I209" s="37" t="str">
        <f t="shared" si="18"/>
        <v>0-120 DAYS</v>
      </c>
      <c r="J209" s="37" t="str">
        <f t="shared" si="20"/>
        <v>0-180 DAYS</v>
      </c>
      <c r="K209" t="s">
        <v>1730</v>
      </c>
      <c r="L209" s="66" t="s">
        <v>4058</v>
      </c>
      <c r="M209" s="66">
        <v>226860.53</v>
      </c>
    </row>
    <row r="210" spans="1:13" x14ac:dyDescent="0.35">
      <c r="A210" s="2" t="s">
        <v>1085</v>
      </c>
      <c r="B210" s="2" t="s">
        <v>790</v>
      </c>
      <c r="C210" s="18" t="s">
        <v>635</v>
      </c>
      <c r="D210" s="37" t="s">
        <v>507</v>
      </c>
      <c r="E210" s="18" t="s">
        <v>4004</v>
      </c>
      <c r="F210" s="176">
        <v>45849</v>
      </c>
      <c r="G210" s="18">
        <v>5577387.8600000003</v>
      </c>
      <c r="H210" s="37">
        <f t="shared" si="19"/>
        <v>82</v>
      </c>
      <c r="I210" s="37" t="str">
        <f t="shared" si="18"/>
        <v>0-120 DAYS</v>
      </c>
      <c r="J210" s="37" t="str">
        <f t="shared" si="20"/>
        <v>0-180 DAYS</v>
      </c>
      <c r="K210" t="s">
        <v>1730</v>
      </c>
      <c r="L210" s="66" t="s">
        <v>4058</v>
      </c>
      <c r="M210" s="66">
        <v>5577387.8600000003</v>
      </c>
    </row>
    <row r="211" spans="1:13" x14ac:dyDescent="0.35">
      <c r="A211" s="2" t="s">
        <v>1085</v>
      </c>
      <c r="B211" s="2" t="s">
        <v>790</v>
      </c>
      <c r="C211" s="18" t="s">
        <v>635</v>
      </c>
      <c r="D211" s="37" t="s">
        <v>507</v>
      </c>
      <c r="E211" s="18" t="s">
        <v>4005</v>
      </c>
      <c r="F211" s="176">
        <v>45849</v>
      </c>
      <c r="G211" s="18">
        <v>3517342.08</v>
      </c>
      <c r="H211" s="37">
        <f t="shared" si="19"/>
        <v>82</v>
      </c>
      <c r="I211" s="37" t="str">
        <f t="shared" si="18"/>
        <v>0-120 DAYS</v>
      </c>
      <c r="J211" s="37" t="str">
        <f t="shared" si="20"/>
        <v>0-180 DAYS</v>
      </c>
      <c r="K211" t="s">
        <v>1730</v>
      </c>
      <c r="L211" s="66" t="s">
        <v>4058</v>
      </c>
      <c r="M211" s="66">
        <v>3517342.08</v>
      </c>
    </row>
    <row r="212" spans="1:13" x14ac:dyDescent="0.35">
      <c r="A212" s="2" t="s">
        <v>1085</v>
      </c>
      <c r="B212" s="2" t="s">
        <v>790</v>
      </c>
      <c r="C212" s="18" t="s">
        <v>635</v>
      </c>
      <c r="D212" s="37" t="s">
        <v>507</v>
      </c>
      <c r="E212" s="18" t="s">
        <v>4006</v>
      </c>
      <c r="F212" s="176">
        <v>45849</v>
      </c>
      <c r="G212" s="18">
        <v>3184243.92</v>
      </c>
      <c r="H212" s="37">
        <f t="shared" si="19"/>
        <v>82</v>
      </c>
      <c r="I212" s="37" t="str">
        <f t="shared" si="18"/>
        <v>0-120 DAYS</v>
      </c>
      <c r="J212" s="37" t="str">
        <f t="shared" si="20"/>
        <v>0-180 DAYS</v>
      </c>
      <c r="K212" t="s">
        <v>1730</v>
      </c>
      <c r="L212" s="66" t="s">
        <v>4058</v>
      </c>
      <c r="M212" s="66">
        <v>3184243.92</v>
      </c>
    </row>
    <row r="213" spans="1:13" x14ac:dyDescent="0.35">
      <c r="A213" s="2" t="s">
        <v>1085</v>
      </c>
      <c r="B213" s="2" t="s">
        <v>790</v>
      </c>
      <c r="C213" s="18" t="s">
        <v>1249</v>
      </c>
      <c r="D213" s="37" t="s">
        <v>507</v>
      </c>
      <c r="E213" s="18" t="s">
        <v>4007</v>
      </c>
      <c r="F213" s="176">
        <v>45850</v>
      </c>
      <c r="G213" s="18">
        <v>3498300</v>
      </c>
      <c r="H213" s="37">
        <f t="shared" si="19"/>
        <v>81</v>
      </c>
      <c r="I213" s="37" t="str">
        <f t="shared" si="18"/>
        <v>0-120 DAYS</v>
      </c>
      <c r="J213" s="37" t="str">
        <f t="shared" si="20"/>
        <v>0-180 DAYS</v>
      </c>
      <c r="K213" t="s">
        <v>1730</v>
      </c>
      <c r="L213" s="66" t="s">
        <v>4059</v>
      </c>
      <c r="M213" s="66">
        <v>3498300</v>
      </c>
    </row>
    <row r="214" spans="1:13" x14ac:dyDescent="0.35">
      <c r="A214" s="2" t="s">
        <v>1085</v>
      </c>
      <c r="B214" s="2" t="s">
        <v>790</v>
      </c>
      <c r="C214" s="18" t="s">
        <v>570</v>
      </c>
      <c r="D214" s="37" t="s">
        <v>507</v>
      </c>
      <c r="E214" s="18" t="s">
        <v>4008</v>
      </c>
      <c r="F214" s="176">
        <v>45855</v>
      </c>
      <c r="G214" s="18">
        <v>3204240</v>
      </c>
      <c r="H214" s="37">
        <f t="shared" si="19"/>
        <v>76</v>
      </c>
      <c r="I214" s="37" t="str">
        <f t="shared" si="18"/>
        <v>0-120 DAYS</v>
      </c>
      <c r="J214" s="37" t="str">
        <f t="shared" si="20"/>
        <v>0-180 DAYS</v>
      </c>
      <c r="K214" t="s">
        <v>1730</v>
      </c>
      <c r="L214" s="66" t="s">
        <v>4063</v>
      </c>
      <c r="M214" s="66">
        <v>3204240</v>
      </c>
    </row>
    <row r="215" spans="1:13" x14ac:dyDescent="0.35">
      <c r="A215" s="2" t="s">
        <v>1085</v>
      </c>
      <c r="B215" s="2" t="s">
        <v>790</v>
      </c>
      <c r="C215" s="18" t="s">
        <v>2559</v>
      </c>
      <c r="D215" s="37" t="s">
        <v>507</v>
      </c>
      <c r="E215" s="18" t="s">
        <v>4009</v>
      </c>
      <c r="F215" s="176">
        <v>45855</v>
      </c>
      <c r="G215" s="18">
        <f>3503775.6+66</f>
        <v>3503841.6</v>
      </c>
      <c r="H215" s="37">
        <f t="shared" si="19"/>
        <v>76</v>
      </c>
      <c r="I215" s="37" t="str">
        <f t="shared" si="18"/>
        <v>0-120 DAYS</v>
      </c>
      <c r="J215" s="37" t="str">
        <f t="shared" si="20"/>
        <v>0-180 DAYS</v>
      </c>
      <c r="K215" t="s">
        <v>1730</v>
      </c>
      <c r="L215" s="66" t="s">
        <v>4063</v>
      </c>
      <c r="M215" s="66">
        <v>3503841.6</v>
      </c>
    </row>
    <row r="216" spans="1:13" x14ac:dyDescent="0.35">
      <c r="A216" s="2" t="s">
        <v>1085</v>
      </c>
      <c r="B216" s="2" t="s">
        <v>790</v>
      </c>
      <c r="C216" s="18" t="s">
        <v>1086</v>
      </c>
      <c r="D216" s="37" t="s">
        <v>507</v>
      </c>
      <c r="E216" s="18" t="s">
        <v>4010</v>
      </c>
      <c r="F216" s="176">
        <v>45856</v>
      </c>
      <c r="G216" s="18">
        <v>3372976.8</v>
      </c>
      <c r="H216" s="37">
        <f t="shared" si="19"/>
        <v>75</v>
      </c>
      <c r="I216" s="37" t="str">
        <f t="shared" si="18"/>
        <v>0-120 DAYS</v>
      </c>
      <c r="J216" s="37" t="str">
        <f t="shared" si="20"/>
        <v>0-180 DAYS</v>
      </c>
      <c r="K216" t="s">
        <v>1730</v>
      </c>
      <c r="L216" s="66" t="s">
        <v>4064</v>
      </c>
      <c r="M216" s="66">
        <v>3372976.8</v>
      </c>
    </row>
    <row r="217" spans="1:13" x14ac:dyDescent="0.35">
      <c r="A217" s="2" t="s">
        <v>1085</v>
      </c>
      <c r="B217" s="2" t="s">
        <v>790</v>
      </c>
      <c r="C217" s="18" t="s">
        <v>2559</v>
      </c>
      <c r="D217" s="37" t="s">
        <v>507</v>
      </c>
      <c r="E217" s="18" t="s">
        <v>4011</v>
      </c>
      <c r="F217" s="176">
        <v>45856</v>
      </c>
      <c r="G217" s="18">
        <v>3509004.89</v>
      </c>
      <c r="H217" s="37">
        <f t="shared" si="19"/>
        <v>75</v>
      </c>
      <c r="I217" s="37" t="str">
        <f t="shared" si="18"/>
        <v>0-120 DAYS</v>
      </c>
      <c r="J217" s="37" t="str">
        <f t="shared" si="20"/>
        <v>0-180 DAYS</v>
      </c>
      <c r="K217" t="s">
        <v>1730</v>
      </c>
      <c r="L217" s="66" t="s">
        <v>4064</v>
      </c>
      <c r="M217" s="66">
        <v>3509004.89</v>
      </c>
    </row>
    <row r="218" spans="1:13" x14ac:dyDescent="0.35">
      <c r="A218" s="2" t="s">
        <v>1085</v>
      </c>
      <c r="B218" s="2" t="s">
        <v>790</v>
      </c>
      <c r="C218" s="18" t="s">
        <v>1249</v>
      </c>
      <c r="D218" s="37" t="s">
        <v>507</v>
      </c>
      <c r="E218" s="18" t="s">
        <v>4012</v>
      </c>
      <c r="F218" s="176">
        <v>45857</v>
      </c>
      <c r="G218" s="18">
        <v>3523140</v>
      </c>
      <c r="H218" s="37">
        <f t="shared" si="19"/>
        <v>74</v>
      </c>
      <c r="I218" s="37" t="str">
        <f t="shared" si="18"/>
        <v>0-120 DAYS</v>
      </c>
      <c r="J218" s="37" t="str">
        <f t="shared" si="20"/>
        <v>0-180 DAYS</v>
      </c>
      <c r="K218" t="s">
        <v>1730</v>
      </c>
      <c r="L218" s="66" t="s">
        <v>4065</v>
      </c>
      <c r="M218" s="66">
        <v>3523140</v>
      </c>
    </row>
    <row r="219" spans="1:13" x14ac:dyDescent="0.35">
      <c r="A219" s="2" t="s">
        <v>1085</v>
      </c>
      <c r="B219" s="2" t="s">
        <v>790</v>
      </c>
      <c r="C219" s="18" t="s">
        <v>1086</v>
      </c>
      <c r="D219" s="37" t="s">
        <v>507</v>
      </c>
      <c r="E219" s="18" t="s">
        <v>4013</v>
      </c>
      <c r="F219" s="176">
        <v>45858</v>
      </c>
      <c r="G219" s="18">
        <v>1039170.57</v>
      </c>
      <c r="H219" s="37">
        <f t="shared" si="19"/>
        <v>73</v>
      </c>
      <c r="I219" s="37" t="str">
        <f t="shared" si="18"/>
        <v>0-120 DAYS</v>
      </c>
      <c r="J219" s="37" t="str">
        <f t="shared" si="20"/>
        <v>0-180 DAYS</v>
      </c>
      <c r="K219" t="s">
        <v>1730</v>
      </c>
      <c r="L219" s="66" t="s">
        <v>4066</v>
      </c>
      <c r="M219" s="66">
        <v>1039170.57</v>
      </c>
    </row>
    <row r="220" spans="1:13" x14ac:dyDescent="0.35">
      <c r="A220" s="2" t="s">
        <v>1085</v>
      </c>
      <c r="B220" s="2" t="s">
        <v>790</v>
      </c>
      <c r="C220" s="18" t="s">
        <v>1086</v>
      </c>
      <c r="D220" s="37" t="s">
        <v>507</v>
      </c>
      <c r="E220" s="18" t="s">
        <v>4014</v>
      </c>
      <c r="F220" s="176">
        <v>45858</v>
      </c>
      <c r="G220" s="18">
        <v>12576.93</v>
      </c>
      <c r="H220" s="37">
        <f t="shared" si="19"/>
        <v>73</v>
      </c>
      <c r="I220" s="37" t="str">
        <f t="shared" si="18"/>
        <v>0-120 DAYS</v>
      </c>
      <c r="J220" s="37" t="str">
        <f t="shared" si="20"/>
        <v>0-180 DAYS</v>
      </c>
      <c r="K220" t="s">
        <v>1730</v>
      </c>
      <c r="L220" s="66" t="s">
        <v>4066</v>
      </c>
      <c r="M220" s="66">
        <v>12576.93</v>
      </c>
    </row>
    <row r="221" spans="1:13" x14ac:dyDescent="0.35">
      <c r="A221" s="2" t="s">
        <v>1085</v>
      </c>
      <c r="B221" s="2" t="s">
        <v>790</v>
      </c>
      <c r="C221" s="18" t="s">
        <v>1086</v>
      </c>
      <c r="D221" s="37" t="s">
        <v>507</v>
      </c>
      <c r="E221" s="18" t="s">
        <v>4015</v>
      </c>
      <c r="F221" s="176">
        <v>45858</v>
      </c>
      <c r="G221" s="18">
        <v>1648337.64</v>
      </c>
      <c r="H221" s="37">
        <f t="shared" si="19"/>
        <v>73</v>
      </c>
      <c r="I221" s="37" t="str">
        <f t="shared" si="18"/>
        <v>0-120 DAYS</v>
      </c>
      <c r="J221" s="37" t="str">
        <f t="shared" si="20"/>
        <v>0-180 DAYS</v>
      </c>
      <c r="K221" t="s">
        <v>1730</v>
      </c>
      <c r="L221" s="66" t="s">
        <v>4066</v>
      </c>
      <c r="M221" s="66">
        <v>1648337.64</v>
      </c>
    </row>
    <row r="222" spans="1:13" x14ac:dyDescent="0.35">
      <c r="A222" s="2" t="s">
        <v>1085</v>
      </c>
      <c r="B222" s="2" t="s">
        <v>790</v>
      </c>
      <c r="C222" s="18" t="s">
        <v>1249</v>
      </c>
      <c r="D222" s="37" t="s">
        <v>507</v>
      </c>
      <c r="E222" s="18" t="s">
        <v>4016</v>
      </c>
      <c r="F222" s="176">
        <v>45859</v>
      </c>
      <c r="G222" s="18">
        <v>3506120</v>
      </c>
      <c r="H222" s="37">
        <f t="shared" si="19"/>
        <v>72</v>
      </c>
      <c r="I222" s="37" t="str">
        <f t="shared" si="18"/>
        <v>0-120 DAYS</v>
      </c>
      <c r="J222" s="37" t="str">
        <f t="shared" si="20"/>
        <v>0-180 DAYS</v>
      </c>
      <c r="K222" t="s">
        <v>1730</v>
      </c>
      <c r="L222" s="66" t="s">
        <v>4046</v>
      </c>
      <c r="M222" s="66">
        <v>3506120</v>
      </c>
    </row>
    <row r="223" spans="1:13" x14ac:dyDescent="0.35">
      <c r="A223" s="2" t="s">
        <v>1085</v>
      </c>
      <c r="B223" s="2" t="s">
        <v>790</v>
      </c>
      <c r="C223" s="18" t="s">
        <v>2559</v>
      </c>
      <c r="D223" s="37" t="s">
        <v>507</v>
      </c>
      <c r="E223" s="18" t="s">
        <v>4017</v>
      </c>
      <c r="F223" s="176">
        <v>45859</v>
      </c>
      <c r="G223" s="18">
        <v>3528654.48</v>
      </c>
      <c r="H223" s="37">
        <f t="shared" si="19"/>
        <v>72</v>
      </c>
      <c r="I223" s="37" t="str">
        <f t="shared" si="18"/>
        <v>0-120 DAYS</v>
      </c>
      <c r="J223" s="37" t="str">
        <f t="shared" si="20"/>
        <v>0-180 DAYS</v>
      </c>
      <c r="K223" t="s">
        <v>1730</v>
      </c>
      <c r="L223" s="66" t="s">
        <v>4046</v>
      </c>
      <c r="M223" s="66">
        <v>3528654.48</v>
      </c>
    </row>
    <row r="224" spans="1:13" x14ac:dyDescent="0.35">
      <c r="A224" s="2" t="s">
        <v>1085</v>
      </c>
      <c r="B224" s="2" t="s">
        <v>790</v>
      </c>
      <c r="C224" s="18" t="s">
        <v>650</v>
      </c>
      <c r="D224" s="37" t="s">
        <v>507</v>
      </c>
      <c r="E224" s="18" t="s">
        <v>1813</v>
      </c>
      <c r="F224" s="176">
        <v>45860</v>
      </c>
      <c r="G224" s="18">
        <v>3591689.2</v>
      </c>
      <c r="H224" s="37">
        <f t="shared" si="19"/>
        <v>71</v>
      </c>
      <c r="I224" s="37" t="str">
        <f t="shared" ref="I224:I239" si="21">IF(H224&lt;121,"0-120 DAYS",IF(H224&lt;181,"121-180 DAYS","More than 180 Days"))</f>
        <v>0-120 DAYS</v>
      </c>
      <c r="J224" s="37" t="str">
        <f t="shared" si="20"/>
        <v>0-180 DAYS</v>
      </c>
      <c r="K224" t="s">
        <v>1730</v>
      </c>
      <c r="L224" s="66" t="s">
        <v>4047</v>
      </c>
      <c r="M224" s="66">
        <v>3591689.2</v>
      </c>
    </row>
    <row r="225" spans="1:13" x14ac:dyDescent="0.35">
      <c r="A225" s="2" t="s">
        <v>1085</v>
      </c>
      <c r="B225" s="2" t="s">
        <v>790</v>
      </c>
      <c r="C225" s="18" t="s">
        <v>1086</v>
      </c>
      <c r="D225" s="37" t="s">
        <v>507</v>
      </c>
      <c r="E225" s="18" t="s">
        <v>4018</v>
      </c>
      <c r="F225" s="176">
        <v>45862</v>
      </c>
      <c r="G225" s="18">
        <v>402974.03</v>
      </c>
      <c r="H225" s="37">
        <f t="shared" si="19"/>
        <v>69</v>
      </c>
      <c r="I225" s="37" t="str">
        <f t="shared" si="21"/>
        <v>0-120 DAYS</v>
      </c>
      <c r="J225" s="37" t="str">
        <f t="shared" si="20"/>
        <v>0-180 DAYS</v>
      </c>
      <c r="K225" t="s">
        <v>1730</v>
      </c>
      <c r="L225" s="66" t="s">
        <v>4068</v>
      </c>
      <c r="M225" s="66">
        <v>402974.03</v>
      </c>
    </row>
    <row r="226" spans="1:13" x14ac:dyDescent="0.35">
      <c r="A226" s="2" t="s">
        <v>1085</v>
      </c>
      <c r="B226" s="2" t="s">
        <v>790</v>
      </c>
      <c r="C226" s="18" t="s">
        <v>1086</v>
      </c>
      <c r="D226" s="37" t="s">
        <v>507</v>
      </c>
      <c r="E226" s="18" t="s">
        <v>4019</v>
      </c>
      <c r="F226" s="176">
        <v>45862</v>
      </c>
      <c r="G226" s="18">
        <v>1446140.89</v>
      </c>
      <c r="H226" s="37">
        <f t="shared" si="19"/>
        <v>69</v>
      </c>
      <c r="I226" s="37" t="str">
        <f t="shared" si="21"/>
        <v>0-120 DAYS</v>
      </c>
      <c r="J226" s="37" t="str">
        <f t="shared" si="20"/>
        <v>0-180 DAYS</v>
      </c>
      <c r="K226" t="s">
        <v>1730</v>
      </c>
      <c r="L226" s="66" t="s">
        <v>4068</v>
      </c>
      <c r="M226" s="66">
        <v>1446140.89</v>
      </c>
    </row>
    <row r="227" spans="1:13" x14ac:dyDescent="0.35">
      <c r="A227" s="2" t="s">
        <v>1085</v>
      </c>
      <c r="B227" s="2" t="s">
        <v>790</v>
      </c>
      <c r="C227" s="18" t="s">
        <v>1086</v>
      </c>
      <c r="D227" s="37" t="s">
        <v>507</v>
      </c>
      <c r="E227" s="18" t="s">
        <v>4020</v>
      </c>
      <c r="F227" s="176">
        <v>45862</v>
      </c>
      <c r="G227" s="18">
        <v>12291.85</v>
      </c>
      <c r="H227" s="37">
        <f t="shared" si="19"/>
        <v>69</v>
      </c>
      <c r="I227" s="37" t="str">
        <f t="shared" si="21"/>
        <v>0-120 DAYS</v>
      </c>
      <c r="J227" s="37" t="str">
        <f t="shared" si="20"/>
        <v>0-180 DAYS</v>
      </c>
      <c r="K227" t="s">
        <v>1730</v>
      </c>
      <c r="L227" s="66" t="s">
        <v>4068</v>
      </c>
      <c r="M227" s="66">
        <v>12291.85</v>
      </c>
    </row>
    <row r="228" spans="1:13" x14ac:dyDescent="0.35">
      <c r="A228" s="2" t="s">
        <v>1085</v>
      </c>
      <c r="B228" s="2" t="s">
        <v>790</v>
      </c>
      <c r="C228" s="18" t="s">
        <v>1086</v>
      </c>
      <c r="D228" s="37" t="s">
        <v>507</v>
      </c>
      <c r="E228" s="18" t="s">
        <v>4021</v>
      </c>
      <c r="F228" s="176">
        <v>45862</v>
      </c>
      <c r="G228" s="18">
        <v>1078957.3700000001</v>
      </c>
      <c r="H228" s="37">
        <f t="shared" si="19"/>
        <v>69</v>
      </c>
      <c r="I228" s="37" t="str">
        <f t="shared" si="21"/>
        <v>0-120 DAYS</v>
      </c>
      <c r="J228" s="37" t="str">
        <f t="shared" si="20"/>
        <v>0-180 DAYS</v>
      </c>
      <c r="K228" t="s">
        <v>1730</v>
      </c>
      <c r="L228" s="66" t="s">
        <v>4068</v>
      </c>
      <c r="M228" s="66">
        <v>1078957.3700000001</v>
      </c>
    </row>
    <row r="229" spans="1:13" x14ac:dyDescent="0.35">
      <c r="A229" s="2" t="s">
        <v>1085</v>
      </c>
      <c r="B229" s="2" t="s">
        <v>790</v>
      </c>
      <c r="C229" s="18" t="s">
        <v>522</v>
      </c>
      <c r="D229" s="37" t="s">
        <v>507</v>
      </c>
      <c r="E229" s="18" t="s">
        <v>4022</v>
      </c>
      <c r="F229" s="176">
        <v>45862</v>
      </c>
      <c r="G229" s="18">
        <v>4102323.76</v>
      </c>
      <c r="H229" s="37">
        <f t="shared" si="19"/>
        <v>69</v>
      </c>
      <c r="I229" s="37" t="str">
        <f t="shared" si="21"/>
        <v>0-120 DAYS</v>
      </c>
      <c r="J229" s="37" t="str">
        <f t="shared" si="20"/>
        <v>0-180 DAYS</v>
      </c>
      <c r="K229" t="s">
        <v>1730</v>
      </c>
      <c r="L229" s="66" t="s">
        <v>4068</v>
      </c>
      <c r="M229" s="66">
        <v>4102323.76</v>
      </c>
    </row>
    <row r="230" spans="1:13" x14ac:dyDescent="0.35">
      <c r="A230" s="2" t="s">
        <v>1085</v>
      </c>
      <c r="B230" s="2" t="s">
        <v>790</v>
      </c>
      <c r="C230" s="18" t="s">
        <v>1086</v>
      </c>
      <c r="D230" s="37" t="s">
        <v>507</v>
      </c>
      <c r="E230" s="18" t="s">
        <v>4023</v>
      </c>
      <c r="F230" s="176">
        <v>45863</v>
      </c>
      <c r="G230" s="18">
        <v>3561752.42</v>
      </c>
      <c r="H230" s="37">
        <f t="shared" si="19"/>
        <v>68</v>
      </c>
      <c r="I230" s="37" t="str">
        <f t="shared" si="21"/>
        <v>0-120 DAYS</v>
      </c>
      <c r="J230" s="37" t="str">
        <f t="shared" si="20"/>
        <v>0-180 DAYS</v>
      </c>
      <c r="K230" t="s">
        <v>1730</v>
      </c>
      <c r="L230" s="66" t="s">
        <v>4069</v>
      </c>
      <c r="M230" s="66">
        <v>3561752.42</v>
      </c>
    </row>
    <row r="231" spans="1:13" x14ac:dyDescent="0.35">
      <c r="A231" s="2" t="s">
        <v>1085</v>
      </c>
      <c r="B231" s="2" t="s">
        <v>790</v>
      </c>
      <c r="C231" s="18" t="s">
        <v>635</v>
      </c>
      <c r="D231" s="37" t="s">
        <v>507</v>
      </c>
      <c r="E231" s="18" t="s">
        <v>4024</v>
      </c>
      <c r="F231" s="176">
        <v>45863</v>
      </c>
      <c r="G231" s="18">
        <v>3225612.53</v>
      </c>
      <c r="H231" s="37">
        <f t="shared" si="19"/>
        <v>68</v>
      </c>
      <c r="I231" s="37" t="str">
        <f t="shared" si="21"/>
        <v>0-120 DAYS</v>
      </c>
      <c r="J231" s="37" t="str">
        <f t="shared" si="20"/>
        <v>0-180 DAYS</v>
      </c>
      <c r="K231" t="s">
        <v>1730</v>
      </c>
      <c r="L231" s="66" t="s">
        <v>4069</v>
      </c>
      <c r="M231" s="66">
        <v>3225612.53</v>
      </c>
    </row>
    <row r="232" spans="1:13" x14ac:dyDescent="0.35">
      <c r="A232" s="2" t="s">
        <v>1085</v>
      </c>
      <c r="B232" s="2" t="s">
        <v>790</v>
      </c>
      <c r="C232" s="18" t="s">
        <v>650</v>
      </c>
      <c r="D232" s="37" t="s">
        <v>507</v>
      </c>
      <c r="E232" s="18" t="s">
        <v>4025</v>
      </c>
      <c r="F232" s="176">
        <v>45863</v>
      </c>
      <c r="G232" s="18">
        <v>3362252.16</v>
      </c>
      <c r="H232" s="37">
        <f t="shared" si="19"/>
        <v>68</v>
      </c>
      <c r="I232" s="37" t="str">
        <f t="shared" si="21"/>
        <v>0-120 DAYS</v>
      </c>
      <c r="J232" s="37" t="str">
        <f t="shared" si="20"/>
        <v>0-180 DAYS</v>
      </c>
      <c r="K232" t="s">
        <v>1730</v>
      </c>
      <c r="L232" s="66" t="s">
        <v>4069</v>
      </c>
      <c r="M232" s="66">
        <v>3362252.16</v>
      </c>
    </row>
    <row r="233" spans="1:13" x14ac:dyDescent="0.35">
      <c r="A233" s="2" t="s">
        <v>1085</v>
      </c>
      <c r="B233" s="2" t="s">
        <v>790</v>
      </c>
      <c r="C233" s="18" t="s">
        <v>635</v>
      </c>
      <c r="D233" s="37" t="s">
        <v>507</v>
      </c>
      <c r="E233" s="18" t="s">
        <v>4026</v>
      </c>
      <c r="F233" s="176">
        <v>45864</v>
      </c>
      <c r="G233" s="18">
        <v>3133641.56</v>
      </c>
      <c r="H233" s="37">
        <f t="shared" si="19"/>
        <v>67</v>
      </c>
      <c r="I233" s="37" t="str">
        <f t="shared" si="21"/>
        <v>0-120 DAYS</v>
      </c>
      <c r="J233" s="37" t="str">
        <f t="shared" si="20"/>
        <v>0-180 DAYS</v>
      </c>
      <c r="K233" t="s">
        <v>1730</v>
      </c>
      <c r="L233" s="66" t="s">
        <v>4070</v>
      </c>
      <c r="M233" s="66">
        <v>3133641.56</v>
      </c>
    </row>
    <row r="234" spans="1:13" x14ac:dyDescent="0.35">
      <c r="A234" s="2" t="s">
        <v>1085</v>
      </c>
      <c r="B234" s="2" t="s">
        <v>790</v>
      </c>
      <c r="C234" s="18" t="s">
        <v>1249</v>
      </c>
      <c r="D234" s="37" t="s">
        <v>507</v>
      </c>
      <c r="E234" s="18" t="s">
        <v>4027</v>
      </c>
      <c r="F234" s="176">
        <v>45865</v>
      </c>
      <c r="G234" s="18">
        <v>3523140</v>
      </c>
      <c r="H234" s="37">
        <f t="shared" si="19"/>
        <v>66</v>
      </c>
      <c r="I234" s="37" t="str">
        <f t="shared" si="21"/>
        <v>0-120 DAYS</v>
      </c>
      <c r="J234" s="37" t="str">
        <f t="shared" si="20"/>
        <v>0-180 DAYS</v>
      </c>
      <c r="K234" t="s">
        <v>1730</v>
      </c>
      <c r="L234" s="66" t="s">
        <v>4071</v>
      </c>
      <c r="M234" s="66">
        <v>3523140</v>
      </c>
    </row>
    <row r="235" spans="1:13" x14ac:dyDescent="0.35">
      <c r="A235" s="2" t="s">
        <v>1085</v>
      </c>
      <c r="B235" s="2" t="s">
        <v>790</v>
      </c>
      <c r="C235" s="18" t="s">
        <v>1086</v>
      </c>
      <c r="D235" s="37" t="s">
        <v>507</v>
      </c>
      <c r="E235" s="18" t="s">
        <v>4028</v>
      </c>
      <c r="F235" s="176">
        <v>45867</v>
      </c>
      <c r="G235" s="18">
        <v>1543634.86</v>
      </c>
      <c r="H235" s="37">
        <f t="shared" si="19"/>
        <v>64</v>
      </c>
      <c r="I235" s="37" t="str">
        <f t="shared" si="21"/>
        <v>0-120 DAYS</v>
      </c>
      <c r="J235" s="37" t="str">
        <f t="shared" si="20"/>
        <v>0-180 DAYS</v>
      </c>
      <c r="K235" t="s">
        <v>1730</v>
      </c>
      <c r="L235" s="66" t="s">
        <v>4073</v>
      </c>
      <c r="M235" s="66">
        <v>1543634.86</v>
      </c>
    </row>
    <row r="236" spans="1:13" x14ac:dyDescent="0.35">
      <c r="A236" s="2" t="s">
        <v>1085</v>
      </c>
      <c r="B236" s="2" t="s">
        <v>790</v>
      </c>
      <c r="C236" s="18" t="s">
        <v>1086</v>
      </c>
      <c r="D236" s="37" t="s">
        <v>507</v>
      </c>
      <c r="E236" s="18" t="s">
        <v>4029</v>
      </c>
      <c r="F236" s="176">
        <v>45867</v>
      </c>
      <c r="G236" s="18">
        <v>1679508.92</v>
      </c>
      <c r="H236" s="37">
        <f t="shared" si="19"/>
        <v>64</v>
      </c>
      <c r="I236" s="37" t="str">
        <f t="shared" si="21"/>
        <v>0-120 DAYS</v>
      </c>
      <c r="J236" s="37" t="str">
        <f t="shared" si="20"/>
        <v>0-180 DAYS</v>
      </c>
      <c r="K236" t="s">
        <v>1730</v>
      </c>
      <c r="L236" s="66" t="s">
        <v>4073</v>
      </c>
      <c r="M236" s="66">
        <v>1679508.92</v>
      </c>
    </row>
    <row r="237" spans="1:13" x14ac:dyDescent="0.35">
      <c r="A237" s="2" t="s">
        <v>1085</v>
      </c>
      <c r="B237" s="2" t="s">
        <v>790</v>
      </c>
      <c r="C237" s="18" t="s">
        <v>635</v>
      </c>
      <c r="D237" s="37" t="s">
        <v>507</v>
      </c>
      <c r="E237" s="18" t="s">
        <v>4030</v>
      </c>
      <c r="F237" s="176">
        <v>45869</v>
      </c>
      <c r="G237" s="18">
        <v>3467406.31</v>
      </c>
      <c r="H237" s="37">
        <f t="shared" si="19"/>
        <v>62</v>
      </c>
      <c r="I237" s="37" t="str">
        <f t="shared" si="21"/>
        <v>0-120 DAYS</v>
      </c>
      <c r="J237" s="37" t="str">
        <f t="shared" si="20"/>
        <v>0-180 DAYS</v>
      </c>
      <c r="K237" t="s">
        <v>1730</v>
      </c>
      <c r="L237" s="66" t="s">
        <v>4049</v>
      </c>
      <c r="M237" s="66">
        <v>3467406.31</v>
      </c>
    </row>
    <row r="238" spans="1:13" x14ac:dyDescent="0.35">
      <c r="A238" s="2" t="s">
        <v>1085</v>
      </c>
      <c r="B238" s="2" t="s">
        <v>790</v>
      </c>
      <c r="C238" s="18" t="s">
        <v>600</v>
      </c>
      <c r="D238" s="37" t="s">
        <v>507</v>
      </c>
      <c r="E238" s="18" t="s">
        <v>1386</v>
      </c>
      <c r="F238" s="176">
        <v>45860</v>
      </c>
      <c r="G238" s="18">
        <v>3999689.09</v>
      </c>
      <c r="H238" s="37">
        <f t="shared" si="19"/>
        <v>71</v>
      </c>
      <c r="I238" s="37" t="str">
        <f t="shared" si="21"/>
        <v>0-120 DAYS</v>
      </c>
      <c r="J238" s="37" t="str">
        <f t="shared" si="20"/>
        <v>0-180 DAYS</v>
      </c>
      <c r="K238" t="s">
        <v>1730</v>
      </c>
      <c r="L238" s="66" t="s">
        <v>4047</v>
      </c>
      <c r="M238" s="66">
        <v>3999689.09</v>
      </c>
    </row>
    <row r="239" spans="1:13" x14ac:dyDescent="0.35">
      <c r="A239" s="2" t="s">
        <v>1209</v>
      </c>
      <c r="B239" s="2" t="s">
        <v>789</v>
      </c>
      <c r="C239" s="18" t="s">
        <v>506</v>
      </c>
      <c r="D239" s="37" t="s">
        <v>507</v>
      </c>
      <c r="E239" s="18" t="s">
        <v>4031</v>
      </c>
      <c r="F239" s="176">
        <v>45868</v>
      </c>
      <c r="G239" s="18">
        <v>3020702.8</v>
      </c>
      <c r="H239" s="37">
        <f t="shared" si="19"/>
        <v>63</v>
      </c>
      <c r="I239" s="37" t="str">
        <f t="shared" si="21"/>
        <v>0-120 DAYS</v>
      </c>
      <c r="J239" s="37" t="str">
        <f t="shared" si="20"/>
        <v>0-180 DAYS</v>
      </c>
      <c r="L239" s="66" t="s">
        <v>4074</v>
      </c>
      <c r="M239" s="66">
        <v>3020702.8</v>
      </c>
    </row>
    <row r="240" spans="1:13" x14ac:dyDescent="0.35">
      <c r="A240" s="2" t="s">
        <v>477</v>
      </c>
      <c r="B240" s="2" t="s">
        <v>790</v>
      </c>
      <c r="C240" s="18" t="s">
        <v>2380</v>
      </c>
      <c r="D240" s="18" t="s">
        <v>1081</v>
      </c>
      <c r="E240" s="18" t="s">
        <v>4032</v>
      </c>
      <c r="F240" s="176">
        <v>45862</v>
      </c>
      <c r="G240" s="18">
        <v>613518.96</v>
      </c>
      <c r="H240" s="37">
        <f t="shared" si="19"/>
        <v>69</v>
      </c>
      <c r="I240" s="37" t="str">
        <f t="shared" ref="I240:I250" si="22">IF(H240&lt;91,"1-90 DAYS",IF(H240&lt;121,"91-120DAYS",IF(H240&lt;181,"121-180 DAYS","More than 180 Days")))</f>
        <v>1-90 DAYS</v>
      </c>
      <c r="J240" s="37" t="str">
        <f t="shared" si="20"/>
        <v>0-180 DAYS</v>
      </c>
      <c r="K240" t="s">
        <v>1730</v>
      </c>
      <c r="L240" s="66" t="s">
        <v>4068</v>
      </c>
      <c r="M240" s="66">
        <v>613518.96</v>
      </c>
    </row>
    <row r="241" spans="1:13" x14ac:dyDescent="0.35">
      <c r="A241" s="2" t="s">
        <v>477</v>
      </c>
      <c r="B241" s="2" t="s">
        <v>790</v>
      </c>
      <c r="C241" s="18" t="s">
        <v>2380</v>
      </c>
      <c r="D241" s="18" t="s">
        <v>1081</v>
      </c>
      <c r="E241" s="18" t="s">
        <v>2394</v>
      </c>
      <c r="F241" s="176">
        <v>45866</v>
      </c>
      <c r="G241" s="18">
        <v>1214067.92</v>
      </c>
      <c r="H241" s="37">
        <f t="shared" si="19"/>
        <v>65</v>
      </c>
      <c r="I241" s="37" t="str">
        <f t="shared" si="22"/>
        <v>1-90 DAYS</v>
      </c>
      <c r="J241" s="37" t="str">
        <f t="shared" si="20"/>
        <v>0-180 DAYS</v>
      </c>
      <c r="K241" t="s">
        <v>1730</v>
      </c>
      <c r="L241" s="66" t="s">
        <v>4072</v>
      </c>
      <c r="M241" s="66">
        <v>1214067.92</v>
      </c>
    </row>
    <row r="242" spans="1:13" x14ac:dyDescent="0.35">
      <c r="A242" s="2" t="s">
        <v>477</v>
      </c>
      <c r="B242" s="2" t="s">
        <v>790</v>
      </c>
      <c r="C242" s="18" t="s">
        <v>2380</v>
      </c>
      <c r="D242" s="18" t="s">
        <v>1081</v>
      </c>
      <c r="E242" s="18" t="s">
        <v>4033</v>
      </c>
      <c r="F242" s="176">
        <v>45868</v>
      </c>
      <c r="G242" s="18">
        <v>1194496.92</v>
      </c>
      <c r="H242" s="37">
        <f t="shared" si="19"/>
        <v>63</v>
      </c>
      <c r="I242" s="37" t="str">
        <f t="shared" si="22"/>
        <v>1-90 DAYS</v>
      </c>
      <c r="J242" s="37" t="str">
        <f t="shared" si="20"/>
        <v>0-180 DAYS</v>
      </c>
      <c r="K242" t="s">
        <v>1730</v>
      </c>
      <c r="L242" s="66" t="s">
        <v>4074</v>
      </c>
      <c r="M242" s="66">
        <v>1194496.92</v>
      </c>
    </row>
    <row r="243" spans="1:13" x14ac:dyDescent="0.35">
      <c r="A243" s="2" t="s">
        <v>477</v>
      </c>
      <c r="B243" s="2" t="s">
        <v>790</v>
      </c>
      <c r="C243" s="18" t="s">
        <v>2380</v>
      </c>
      <c r="D243" s="18" t="s">
        <v>1081</v>
      </c>
      <c r="E243" s="18" t="s">
        <v>4034</v>
      </c>
      <c r="F243" s="176">
        <v>45868</v>
      </c>
      <c r="G243" s="18">
        <v>586729</v>
      </c>
      <c r="H243" s="37">
        <f t="shared" si="19"/>
        <v>63</v>
      </c>
      <c r="I243" s="37" t="str">
        <f t="shared" si="22"/>
        <v>1-90 DAYS</v>
      </c>
      <c r="J243" s="37" t="str">
        <f t="shared" si="20"/>
        <v>0-180 DAYS</v>
      </c>
      <c r="K243" t="s">
        <v>1730</v>
      </c>
      <c r="L243" s="66" t="s">
        <v>4074</v>
      </c>
      <c r="M243" s="66">
        <v>586729</v>
      </c>
    </row>
    <row r="244" spans="1:13" x14ac:dyDescent="0.35">
      <c r="A244" s="2" t="s">
        <v>477</v>
      </c>
      <c r="B244" s="2" t="s">
        <v>790</v>
      </c>
      <c r="C244" s="18" t="s">
        <v>2380</v>
      </c>
      <c r="D244" s="18" t="s">
        <v>1081</v>
      </c>
      <c r="E244" s="18" t="s">
        <v>2400</v>
      </c>
      <c r="F244" s="176">
        <v>45869</v>
      </c>
      <c r="G244" s="18">
        <v>1180348.92</v>
      </c>
      <c r="H244" s="37">
        <f t="shared" si="19"/>
        <v>62</v>
      </c>
      <c r="I244" s="37" t="str">
        <f t="shared" si="22"/>
        <v>1-90 DAYS</v>
      </c>
      <c r="J244" s="37" t="str">
        <f t="shared" si="20"/>
        <v>0-180 DAYS</v>
      </c>
      <c r="K244" t="s">
        <v>1730</v>
      </c>
      <c r="L244" s="66" t="s">
        <v>4049</v>
      </c>
      <c r="M244" s="66">
        <v>1180348.92</v>
      </c>
    </row>
    <row r="245" spans="1:13" x14ac:dyDescent="0.35">
      <c r="A245" s="2" t="s">
        <v>477</v>
      </c>
      <c r="B245" s="2" t="s">
        <v>790</v>
      </c>
      <c r="C245" s="18" t="s">
        <v>2380</v>
      </c>
      <c r="D245" s="18" t="s">
        <v>1081</v>
      </c>
      <c r="E245" s="18" t="s">
        <v>59</v>
      </c>
      <c r="F245" s="176">
        <v>45869</v>
      </c>
      <c r="G245" s="18">
        <v>591445</v>
      </c>
      <c r="H245" s="37">
        <f t="shared" si="19"/>
        <v>62</v>
      </c>
      <c r="I245" s="37" t="str">
        <f t="shared" si="22"/>
        <v>1-90 DAYS</v>
      </c>
      <c r="J245" s="37" t="str">
        <f t="shared" si="20"/>
        <v>0-180 DAYS</v>
      </c>
      <c r="K245" t="s">
        <v>1730</v>
      </c>
      <c r="L245" s="66" t="s">
        <v>4049</v>
      </c>
      <c r="M245" s="66">
        <v>591445</v>
      </c>
    </row>
    <row r="246" spans="1:13" x14ac:dyDescent="0.35">
      <c r="A246" s="2" t="s">
        <v>477</v>
      </c>
      <c r="B246" s="2" t="s">
        <v>790</v>
      </c>
      <c r="C246" s="18" t="s">
        <v>2380</v>
      </c>
      <c r="D246" s="18" t="s">
        <v>1081</v>
      </c>
      <c r="E246" s="18" t="s">
        <v>60</v>
      </c>
      <c r="F246" s="176">
        <v>45869</v>
      </c>
      <c r="G246" s="18">
        <v>586729</v>
      </c>
      <c r="H246" s="37">
        <f t="shared" si="19"/>
        <v>62</v>
      </c>
      <c r="I246" s="37" t="str">
        <f t="shared" si="22"/>
        <v>1-90 DAYS</v>
      </c>
      <c r="J246" s="37" t="str">
        <f t="shared" si="20"/>
        <v>0-180 DAYS</v>
      </c>
      <c r="K246" t="s">
        <v>1730</v>
      </c>
      <c r="L246" s="66" t="s">
        <v>4049</v>
      </c>
      <c r="M246" s="66">
        <v>586729</v>
      </c>
    </row>
    <row r="247" spans="1:13" x14ac:dyDescent="0.35">
      <c r="A247" s="2" t="s">
        <v>477</v>
      </c>
      <c r="B247" s="2" t="s">
        <v>790</v>
      </c>
      <c r="C247" s="18" t="s">
        <v>2380</v>
      </c>
      <c r="D247" s="18" t="s">
        <v>1081</v>
      </c>
      <c r="E247" s="18" t="s">
        <v>63</v>
      </c>
      <c r="F247" s="176">
        <v>45869</v>
      </c>
      <c r="G247" s="18">
        <v>472139.96</v>
      </c>
      <c r="H247" s="37">
        <f t="shared" si="19"/>
        <v>62</v>
      </c>
      <c r="I247" s="37" t="str">
        <f t="shared" si="22"/>
        <v>1-90 DAYS</v>
      </c>
      <c r="J247" s="37" t="str">
        <f t="shared" si="20"/>
        <v>0-180 DAYS</v>
      </c>
      <c r="K247" t="s">
        <v>1730</v>
      </c>
      <c r="L247" s="66" t="s">
        <v>4049</v>
      </c>
      <c r="M247" s="66">
        <v>472139.96</v>
      </c>
    </row>
    <row r="248" spans="1:13" x14ac:dyDescent="0.35">
      <c r="A248" s="2" t="s">
        <v>477</v>
      </c>
      <c r="B248" s="2" t="s">
        <v>790</v>
      </c>
      <c r="C248" s="18" t="s">
        <v>2380</v>
      </c>
      <c r="D248" s="18" t="s">
        <v>1081</v>
      </c>
      <c r="E248" s="18" t="s">
        <v>64</v>
      </c>
      <c r="F248" s="176">
        <v>45869</v>
      </c>
      <c r="G248" s="18">
        <v>364220.38</v>
      </c>
      <c r="H248" s="37">
        <f t="shared" si="19"/>
        <v>62</v>
      </c>
      <c r="I248" s="37" t="str">
        <f t="shared" si="22"/>
        <v>1-90 DAYS</v>
      </c>
      <c r="J248" s="37" t="str">
        <f t="shared" si="20"/>
        <v>0-180 DAYS</v>
      </c>
      <c r="K248" t="s">
        <v>1730</v>
      </c>
      <c r="L248" s="66" t="s">
        <v>4049</v>
      </c>
      <c r="M248" s="66">
        <v>364220.38</v>
      </c>
    </row>
    <row r="249" spans="1:13" x14ac:dyDescent="0.35">
      <c r="A249" s="2" t="s">
        <v>477</v>
      </c>
      <c r="B249" s="2" t="s">
        <v>790</v>
      </c>
      <c r="C249" s="18" t="s">
        <v>2380</v>
      </c>
      <c r="D249" s="18" t="s">
        <v>1081</v>
      </c>
      <c r="E249" s="18" t="s">
        <v>4035</v>
      </c>
      <c r="F249" s="176">
        <v>45869</v>
      </c>
      <c r="G249" s="18">
        <v>242813.58</v>
      </c>
      <c r="H249" s="37">
        <f t="shared" si="19"/>
        <v>62</v>
      </c>
      <c r="I249" s="37" t="str">
        <f t="shared" si="22"/>
        <v>1-90 DAYS</v>
      </c>
      <c r="J249" s="37" t="str">
        <f t="shared" si="20"/>
        <v>0-180 DAYS</v>
      </c>
      <c r="K249" t="s">
        <v>1730</v>
      </c>
      <c r="L249" s="66" t="s">
        <v>4049</v>
      </c>
      <c r="M249" s="66">
        <v>242813.58</v>
      </c>
    </row>
    <row r="250" spans="1:13" x14ac:dyDescent="0.35">
      <c r="A250" s="2" t="s">
        <v>477</v>
      </c>
      <c r="B250" s="2" t="s">
        <v>790</v>
      </c>
      <c r="C250" s="18" t="s">
        <v>2380</v>
      </c>
      <c r="D250" s="18" t="s">
        <v>1081</v>
      </c>
      <c r="E250" s="18" t="s">
        <v>65</v>
      </c>
      <c r="F250" s="176">
        <v>45869</v>
      </c>
      <c r="G250" s="18">
        <v>121406.8</v>
      </c>
      <c r="H250" s="37">
        <f t="shared" si="19"/>
        <v>62</v>
      </c>
      <c r="I250" s="37" t="str">
        <f t="shared" si="22"/>
        <v>1-90 DAYS</v>
      </c>
      <c r="J250" s="37" t="str">
        <f t="shared" si="20"/>
        <v>0-180 DAYS</v>
      </c>
      <c r="K250" t="s">
        <v>1730</v>
      </c>
      <c r="L250" s="66" t="s">
        <v>4049</v>
      </c>
      <c r="M250" s="66">
        <v>121406.8</v>
      </c>
    </row>
    <row r="251" spans="1:13" x14ac:dyDescent="0.35">
      <c r="A251" s="2" t="s">
        <v>1085</v>
      </c>
      <c r="B251" s="2" t="s">
        <v>790</v>
      </c>
      <c r="C251" s="18" t="s">
        <v>600</v>
      </c>
      <c r="D251" s="37" t="s">
        <v>507</v>
      </c>
      <c r="E251" s="18" t="s">
        <v>4076</v>
      </c>
      <c r="F251" s="176">
        <v>45871</v>
      </c>
      <c r="G251" s="18">
        <v>4245187.97</v>
      </c>
      <c r="H251" s="37">
        <f t="shared" si="19"/>
        <v>60</v>
      </c>
      <c r="I251" s="37" t="str">
        <f t="shared" ref="I251:I314" si="23">IF(H251&lt;121,"0-120 DAYS",IF(H251&lt;181,"121-180 DAYS","More than 180 Days"))</f>
        <v>0-120 DAYS</v>
      </c>
      <c r="J251" s="37" t="str">
        <f t="shared" si="20"/>
        <v>0-180 DAYS</v>
      </c>
      <c r="K251" t="s">
        <v>1730</v>
      </c>
      <c r="L251" s="66" t="s">
        <v>4205</v>
      </c>
      <c r="M251" s="66">
        <v>4245187.97</v>
      </c>
    </row>
    <row r="252" spans="1:13" x14ac:dyDescent="0.35">
      <c r="A252" s="2" t="s">
        <v>1085</v>
      </c>
      <c r="B252" s="2" t="s">
        <v>790</v>
      </c>
      <c r="C252" s="18" t="s">
        <v>2064</v>
      </c>
      <c r="D252" s="37" t="s">
        <v>507</v>
      </c>
      <c r="E252" s="18" t="s">
        <v>4077</v>
      </c>
      <c r="F252" s="176">
        <v>45872</v>
      </c>
      <c r="G252" s="18">
        <v>2120821.5</v>
      </c>
      <c r="H252" s="37">
        <f t="shared" si="19"/>
        <v>59</v>
      </c>
      <c r="I252" s="37" t="str">
        <f t="shared" si="23"/>
        <v>0-120 DAYS</v>
      </c>
      <c r="J252" s="37" t="str">
        <f t="shared" si="20"/>
        <v>0-180 DAYS</v>
      </c>
      <c r="K252" t="s">
        <v>1730</v>
      </c>
      <c r="L252" s="66" t="s">
        <v>4206</v>
      </c>
      <c r="M252" s="66">
        <v>2120821.5</v>
      </c>
    </row>
    <row r="253" spans="1:13" x14ac:dyDescent="0.35">
      <c r="A253" s="2" t="s">
        <v>1085</v>
      </c>
      <c r="B253" s="2" t="s">
        <v>790</v>
      </c>
      <c r="C253" s="18" t="s">
        <v>548</v>
      </c>
      <c r="D253" s="37" t="s">
        <v>507</v>
      </c>
      <c r="E253" s="18" t="s">
        <v>4078</v>
      </c>
      <c r="F253" s="176">
        <v>45873</v>
      </c>
      <c r="G253" s="18">
        <v>3729558.56</v>
      </c>
      <c r="H253" s="37">
        <f t="shared" si="19"/>
        <v>58</v>
      </c>
      <c r="I253" s="37" t="str">
        <f t="shared" si="23"/>
        <v>0-120 DAYS</v>
      </c>
      <c r="J253" s="37" t="str">
        <f t="shared" si="20"/>
        <v>0-180 DAYS</v>
      </c>
      <c r="K253" t="s">
        <v>1730</v>
      </c>
      <c r="L253" s="66" t="s">
        <v>4207</v>
      </c>
      <c r="M253" s="66">
        <v>3729558.56</v>
      </c>
    </row>
    <row r="254" spans="1:13" x14ac:dyDescent="0.35">
      <c r="A254" s="2" t="s">
        <v>1085</v>
      </c>
      <c r="B254" s="2" t="s">
        <v>790</v>
      </c>
      <c r="C254" s="18" t="s">
        <v>1086</v>
      </c>
      <c r="D254" s="37" t="s">
        <v>507</v>
      </c>
      <c r="E254" s="18" t="s">
        <v>4079</v>
      </c>
      <c r="F254" s="176">
        <v>45874</v>
      </c>
      <c r="G254" s="18">
        <v>1511054.32</v>
      </c>
      <c r="H254" s="37">
        <f t="shared" si="19"/>
        <v>57</v>
      </c>
      <c r="I254" s="37" t="str">
        <f t="shared" si="23"/>
        <v>0-120 DAYS</v>
      </c>
      <c r="J254" s="37" t="str">
        <f t="shared" si="20"/>
        <v>0-180 DAYS</v>
      </c>
      <c r="K254" t="s">
        <v>1730</v>
      </c>
      <c r="L254" s="66" t="s">
        <v>4208</v>
      </c>
      <c r="M254" s="66">
        <v>1511054.32</v>
      </c>
    </row>
    <row r="255" spans="1:13" x14ac:dyDescent="0.35">
      <c r="A255" s="2" t="s">
        <v>1085</v>
      </c>
      <c r="B255" s="2" t="s">
        <v>790</v>
      </c>
      <c r="C255" s="18" t="s">
        <v>1086</v>
      </c>
      <c r="D255" s="37" t="s">
        <v>507</v>
      </c>
      <c r="E255" s="18" t="s">
        <v>4080</v>
      </c>
      <c r="F255" s="176">
        <v>45874</v>
      </c>
      <c r="G255" s="18">
        <v>321973.3</v>
      </c>
      <c r="H255" s="37">
        <f t="shared" si="19"/>
        <v>57</v>
      </c>
      <c r="I255" s="37" t="str">
        <f t="shared" si="23"/>
        <v>0-120 DAYS</v>
      </c>
      <c r="J255" s="37" t="str">
        <f t="shared" si="20"/>
        <v>0-180 DAYS</v>
      </c>
      <c r="K255" t="s">
        <v>1730</v>
      </c>
      <c r="L255" s="66" t="s">
        <v>4208</v>
      </c>
      <c r="M255" s="66">
        <v>321973.3</v>
      </c>
    </row>
    <row r="256" spans="1:13" x14ac:dyDescent="0.35">
      <c r="A256" s="2" t="s">
        <v>1085</v>
      </c>
      <c r="B256" s="2" t="s">
        <v>790</v>
      </c>
      <c r="C256" s="18" t="s">
        <v>1086</v>
      </c>
      <c r="D256" s="37" t="s">
        <v>507</v>
      </c>
      <c r="E256" s="18" t="s">
        <v>4081</v>
      </c>
      <c r="F256" s="176">
        <v>45874</v>
      </c>
      <c r="G256" s="18">
        <v>429317.59</v>
      </c>
      <c r="H256" s="37">
        <f t="shared" si="19"/>
        <v>57</v>
      </c>
      <c r="I256" s="37" t="str">
        <f t="shared" si="23"/>
        <v>0-120 DAYS</v>
      </c>
      <c r="J256" s="37" t="str">
        <f t="shared" si="20"/>
        <v>0-180 DAYS</v>
      </c>
      <c r="K256" t="s">
        <v>1730</v>
      </c>
      <c r="L256" s="66" t="s">
        <v>4208</v>
      </c>
      <c r="M256" s="66">
        <v>429317.59</v>
      </c>
    </row>
    <row r="257" spans="1:13" x14ac:dyDescent="0.35">
      <c r="A257" s="2" t="s">
        <v>1085</v>
      </c>
      <c r="B257" s="2" t="s">
        <v>790</v>
      </c>
      <c r="C257" s="18" t="s">
        <v>1086</v>
      </c>
      <c r="D257" s="37" t="s">
        <v>507</v>
      </c>
      <c r="E257" s="18" t="s">
        <v>4082</v>
      </c>
      <c r="F257" s="176">
        <v>45874</v>
      </c>
      <c r="G257" s="18">
        <v>391460</v>
      </c>
      <c r="H257" s="37">
        <f t="shared" si="19"/>
        <v>57</v>
      </c>
      <c r="I257" s="37" t="str">
        <f t="shared" si="23"/>
        <v>0-120 DAYS</v>
      </c>
      <c r="J257" s="37" t="str">
        <f t="shared" si="20"/>
        <v>0-180 DAYS</v>
      </c>
      <c r="K257" t="s">
        <v>1730</v>
      </c>
      <c r="L257" s="66" t="s">
        <v>4208</v>
      </c>
      <c r="M257" s="66">
        <v>391460</v>
      </c>
    </row>
    <row r="258" spans="1:13" x14ac:dyDescent="0.35">
      <c r="A258" s="2" t="s">
        <v>1085</v>
      </c>
      <c r="B258" s="2" t="s">
        <v>790</v>
      </c>
      <c r="C258" s="18" t="s">
        <v>1086</v>
      </c>
      <c r="D258" s="37" t="s">
        <v>507</v>
      </c>
      <c r="E258" s="18" t="s">
        <v>4083</v>
      </c>
      <c r="F258" s="176">
        <v>45874</v>
      </c>
      <c r="G258" s="18">
        <v>12539.49</v>
      </c>
      <c r="H258" s="37">
        <f t="shared" si="19"/>
        <v>57</v>
      </c>
      <c r="I258" s="37" t="str">
        <f t="shared" si="23"/>
        <v>0-120 DAYS</v>
      </c>
      <c r="J258" s="37" t="str">
        <f t="shared" si="20"/>
        <v>0-180 DAYS</v>
      </c>
      <c r="K258" t="s">
        <v>1730</v>
      </c>
      <c r="L258" s="66" t="s">
        <v>4208</v>
      </c>
      <c r="M258" s="66">
        <v>12539.49</v>
      </c>
    </row>
    <row r="259" spans="1:13" x14ac:dyDescent="0.35">
      <c r="A259" s="2" t="s">
        <v>1085</v>
      </c>
      <c r="B259" s="2" t="s">
        <v>790</v>
      </c>
      <c r="C259" s="18" t="s">
        <v>797</v>
      </c>
      <c r="D259" s="37" t="s">
        <v>507</v>
      </c>
      <c r="E259" s="18" t="s">
        <v>4084</v>
      </c>
      <c r="F259" s="176">
        <v>45881</v>
      </c>
      <c r="G259" s="18">
        <v>3620601.6</v>
      </c>
      <c r="H259" s="37">
        <f t="shared" si="19"/>
        <v>50</v>
      </c>
      <c r="I259" s="37" t="str">
        <f t="shared" si="23"/>
        <v>0-120 DAYS</v>
      </c>
      <c r="J259" s="37" t="str">
        <f t="shared" si="20"/>
        <v>0-180 DAYS</v>
      </c>
      <c r="K259" t="s">
        <v>1730</v>
      </c>
      <c r="L259" s="66" t="s">
        <v>4209</v>
      </c>
      <c r="M259" s="66">
        <v>3620601.6</v>
      </c>
    </row>
    <row r="260" spans="1:13" x14ac:dyDescent="0.35">
      <c r="A260" s="2" t="s">
        <v>1085</v>
      </c>
      <c r="B260" s="2" t="s">
        <v>790</v>
      </c>
      <c r="C260" s="18" t="s">
        <v>532</v>
      </c>
      <c r="D260" s="37" t="s">
        <v>507</v>
      </c>
      <c r="E260" s="18" t="s">
        <v>4085</v>
      </c>
      <c r="F260" s="176">
        <v>45881</v>
      </c>
      <c r="G260" s="18">
        <v>3336960</v>
      </c>
      <c r="H260" s="37">
        <f t="shared" si="19"/>
        <v>50</v>
      </c>
      <c r="I260" s="37" t="str">
        <f t="shared" si="23"/>
        <v>0-120 DAYS</v>
      </c>
      <c r="J260" s="37" t="str">
        <f t="shared" si="20"/>
        <v>0-180 DAYS</v>
      </c>
      <c r="K260" t="s">
        <v>1730</v>
      </c>
      <c r="L260" s="66" t="s">
        <v>4209</v>
      </c>
      <c r="M260" s="66">
        <v>3336960</v>
      </c>
    </row>
    <row r="261" spans="1:13" x14ac:dyDescent="0.35">
      <c r="A261" s="2" t="s">
        <v>1085</v>
      </c>
      <c r="B261" s="2" t="s">
        <v>790</v>
      </c>
      <c r="C261" s="18" t="s">
        <v>3796</v>
      </c>
      <c r="D261" s="37" t="s">
        <v>507</v>
      </c>
      <c r="E261" s="18" t="s">
        <v>4086</v>
      </c>
      <c r="F261" s="176">
        <v>45881</v>
      </c>
      <c r="G261" s="18">
        <v>3717504.01</v>
      </c>
      <c r="H261" s="37">
        <f t="shared" si="19"/>
        <v>50</v>
      </c>
      <c r="I261" s="37" t="str">
        <f t="shared" si="23"/>
        <v>0-120 DAYS</v>
      </c>
      <c r="J261" s="37" t="str">
        <f t="shared" si="20"/>
        <v>0-180 DAYS</v>
      </c>
      <c r="K261" t="s">
        <v>1730</v>
      </c>
      <c r="L261" s="66" t="s">
        <v>4209</v>
      </c>
      <c r="M261" s="66">
        <v>3717504.01</v>
      </c>
    </row>
    <row r="262" spans="1:13" x14ac:dyDescent="0.35">
      <c r="A262" s="2" t="s">
        <v>1085</v>
      </c>
      <c r="B262" s="2" t="s">
        <v>790</v>
      </c>
      <c r="C262" s="18" t="s">
        <v>540</v>
      </c>
      <c r="D262" s="37" t="s">
        <v>507</v>
      </c>
      <c r="E262" s="18" t="s">
        <v>4087</v>
      </c>
      <c r="F262" s="176">
        <v>45882</v>
      </c>
      <c r="G262" s="18">
        <v>3812527.8</v>
      </c>
      <c r="H262" s="37">
        <f t="shared" si="19"/>
        <v>49</v>
      </c>
      <c r="I262" s="37" t="str">
        <f t="shared" si="23"/>
        <v>0-120 DAYS</v>
      </c>
      <c r="J262" s="37" t="str">
        <f t="shared" si="20"/>
        <v>0-180 DAYS</v>
      </c>
      <c r="K262" t="s">
        <v>1730</v>
      </c>
      <c r="L262" s="66" t="s">
        <v>4210</v>
      </c>
      <c r="M262" s="66">
        <v>3812527.8</v>
      </c>
    </row>
    <row r="263" spans="1:13" x14ac:dyDescent="0.35">
      <c r="A263" s="2" t="s">
        <v>1085</v>
      </c>
      <c r="B263" s="2" t="s">
        <v>790</v>
      </c>
      <c r="C263" s="18" t="s">
        <v>2426</v>
      </c>
      <c r="D263" s="37" t="s">
        <v>507</v>
      </c>
      <c r="E263" s="18" t="s">
        <v>1794</v>
      </c>
      <c r="F263" s="176">
        <v>45883</v>
      </c>
      <c r="G263" s="18">
        <v>5859753.9000000004</v>
      </c>
      <c r="H263" s="37">
        <f t="shared" si="19"/>
        <v>48</v>
      </c>
      <c r="I263" s="37" t="str">
        <f t="shared" si="23"/>
        <v>0-120 DAYS</v>
      </c>
      <c r="J263" s="37" t="str">
        <f t="shared" si="20"/>
        <v>0-180 DAYS</v>
      </c>
      <c r="K263" t="s">
        <v>1730</v>
      </c>
      <c r="L263" s="66" t="s">
        <v>4211</v>
      </c>
      <c r="M263" s="66">
        <v>5859753.9000000004</v>
      </c>
    </row>
    <row r="264" spans="1:13" x14ac:dyDescent="0.35">
      <c r="A264" s="2" t="s">
        <v>1085</v>
      </c>
      <c r="B264" s="2" t="s">
        <v>790</v>
      </c>
      <c r="C264" s="18" t="s">
        <v>1086</v>
      </c>
      <c r="D264" s="37" t="s">
        <v>507</v>
      </c>
      <c r="E264" s="18" t="s">
        <v>4088</v>
      </c>
      <c r="F264" s="176">
        <v>45884</v>
      </c>
      <c r="G264" s="18">
        <v>1257578.56</v>
      </c>
      <c r="H264" s="37">
        <f t="shared" si="19"/>
        <v>47</v>
      </c>
      <c r="I264" s="37" t="str">
        <f t="shared" si="23"/>
        <v>0-120 DAYS</v>
      </c>
      <c r="J264" s="37" t="str">
        <f t="shared" si="20"/>
        <v>0-180 DAYS</v>
      </c>
      <c r="K264" t="s">
        <v>1730</v>
      </c>
      <c r="L264" s="66" t="s">
        <v>4212</v>
      </c>
      <c r="M264" s="66">
        <v>1257578.56</v>
      </c>
    </row>
    <row r="265" spans="1:13" x14ac:dyDescent="0.35">
      <c r="A265" s="2" t="s">
        <v>1085</v>
      </c>
      <c r="B265" s="2" t="s">
        <v>790</v>
      </c>
      <c r="C265" s="18" t="s">
        <v>1086</v>
      </c>
      <c r="D265" s="37" t="s">
        <v>507</v>
      </c>
      <c r="E265" s="18" t="s">
        <v>4089</v>
      </c>
      <c r="F265" s="176">
        <v>45884</v>
      </c>
      <c r="G265" s="18">
        <v>160243.6</v>
      </c>
      <c r="H265" s="37">
        <f t="shared" si="19"/>
        <v>47</v>
      </c>
      <c r="I265" s="37" t="str">
        <f t="shared" si="23"/>
        <v>0-120 DAYS</v>
      </c>
      <c r="J265" s="37" t="str">
        <f t="shared" si="20"/>
        <v>0-180 DAYS</v>
      </c>
      <c r="K265" t="s">
        <v>1730</v>
      </c>
      <c r="L265" s="66" t="s">
        <v>4212</v>
      </c>
      <c r="M265" s="66">
        <v>160243.6</v>
      </c>
    </row>
    <row r="266" spans="1:13" x14ac:dyDescent="0.35">
      <c r="A266" s="2" t="s">
        <v>1085</v>
      </c>
      <c r="B266" s="2" t="s">
        <v>790</v>
      </c>
      <c r="C266" s="18" t="s">
        <v>1086</v>
      </c>
      <c r="D266" s="37" t="s">
        <v>507</v>
      </c>
      <c r="E266" s="18" t="s">
        <v>4090</v>
      </c>
      <c r="F266" s="176">
        <v>45884</v>
      </c>
      <c r="G266" s="18">
        <v>33939.660000000003</v>
      </c>
      <c r="H266" s="37">
        <f t="shared" si="19"/>
        <v>47</v>
      </c>
      <c r="I266" s="37" t="str">
        <f t="shared" si="23"/>
        <v>0-120 DAYS</v>
      </c>
      <c r="J266" s="37" t="str">
        <f t="shared" si="20"/>
        <v>0-180 DAYS</v>
      </c>
      <c r="K266" t="s">
        <v>1730</v>
      </c>
      <c r="L266" s="66" t="s">
        <v>4212</v>
      </c>
      <c r="M266" s="66">
        <v>33939.660000000003</v>
      </c>
    </row>
    <row r="267" spans="1:13" x14ac:dyDescent="0.35">
      <c r="A267" s="2" t="s">
        <v>1085</v>
      </c>
      <c r="B267" s="2" t="s">
        <v>790</v>
      </c>
      <c r="C267" s="18" t="s">
        <v>1086</v>
      </c>
      <c r="D267" s="37" t="s">
        <v>507</v>
      </c>
      <c r="E267" s="18" t="s">
        <v>4091</v>
      </c>
      <c r="F267" s="176">
        <v>45884</v>
      </c>
      <c r="G267" s="18">
        <v>91473.55</v>
      </c>
      <c r="H267" s="37">
        <f t="shared" si="19"/>
        <v>47</v>
      </c>
      <c r="I267" s="37" t="str">
        <f t="shared" si="23"/>
        <v>0-120 DAYS</v>
      </c>
      <c r="J267" s="37" t="str">
        <f t="shared" si="20"/>
        <v>0-180 DAYS</v>
      </c>
      <c r="K267" t="s">
        <v>1730</v>
      </c>
      <c r="L267" s="66" t="s">
        <v>4212</v>
      </c>
      <c r="M267" s="66">
        <v>91473.55</v>
      </c>
    </row>
    <row r="268" spans="1:13" x14ac:dyDescent="0.35">
      <c r="A268" s="2" t="s">
        <v>1085</v>
      </c>
      <c r="B268" s="2" t="s">
        <v>790</v>
      </c>
      <c r="C268" s="18" t="s">
        <v>1086</v>
      </c>
      <c r="D268" s="37" t="s">
        <v>507</v>
      </c>
      <c r="E268" s="18" t="s">
        <v>4092</v>
      </c>
      <c r="F268" s="176">
        <v>45884</v>
      </c>
      <c r="G268" s="18">
        <v>826102.68</v>
      </c>
      <c r="H268" s="37">
        <f t="shared" ref="H268:H331" si="24">$H$9-F268+1</f>
        <v>47</v>
      </c>
      <c r="I268" s="37" t="str">
        <f t="shared" si="23"/>
        <v>0-120 DAYS</v>
      </c>
      <c r="J268" s="37" t="str">
        <f t="shared" si="20"/>
        <v>0-180 DAYS</v>
      </c>
      <c r="K268" t="s">
        <v>1730</v>
      </c>
      <c r="L268" s="66" t="s">
        <v>4212</v>
      </c>
      <c r="M268" s="66">
        <v>826102.68</v>
      </c>
    </row>
    <row r="269" spans="1:13" x14ac:dyDescent="0.35">
      <c r="A269" s="2" t="s">
        <v>1085</v>
      </c>
      <c r="B269" s="2" t="s">
        <v>790</v>
      </c>
      <c r="C269" s="18" t="s">
        <v>1245</v>
      </c>
      <c r="D269" s="37" t="s">
        <v>507</v>
      </c>
      <c r="E269" s="18" t="s">
        <v>4093</v>
      </c>
      <c r="F269" s="176">
        <v>45886</v>
      </c>
      <c r="G269" s="18">
        <v>1354271.32</v>
      </c>
      <c r="H269" s="37">
        <f t="shared" si="24"/>
        <v>45</v>
      </c>
      <c r="I269" s="37" t="str">
        <f t="shared" si="23"/>
        <v>0-120 DAYS</v>
      </c>
      <c r="J269" s="37" t="str">
        <f t="shared" si="20"/>
        <v>0-180 DAYS</v>
      </c>
      <c r="K269" t="s">
        <v>1730</v>
      </c>
      <c r="L269" s="66" t="s">
        <v>4213</v>
      </c>
      <c r="M269" s="66">
        <v>1354271.32</v>
      </c>
    </row>
    <row r="270" spans="1:13" x14ac:dyDescent="0.35">
      <c r="A270" s="2" t="s">
        <v>1085</v>
      </c>
      <c r="B270" s="2" t="s">
        <v>790</v>
      </c>
      <c r="C270" s="18" t="s">
        <v>1245</v>
      </c>
      <c r="D270" s="37" t="s">
        <v>507</v>
      </c>
      <c r="E270" s="18" t="s">
        <v>4094</v>
      </c>
      <c r="F270" s="176">
        <v>45886</v>
      </c>
      <c r="G270" s="18">
        <v>159548.4</v>
      </c>
      <c r="H270" s="37">
        <f t="shared" si="24"/>
        <v>45</v>
      </c>
      <c r="I270" s="37" t="str">
        <f t="shared" si="23"/>
        <v>0-120 DAYS</v>
      </c>
      <c r="J270" s="37" t="str">
        <f t="shared" ref="J270:J333" si="25">IF(H270&lt;180,"0-180 DAYS","More than 180 Days")</f>
        <v>0-180 DAYS</v>
      </c>
      <c r="K270" t="s">
        <v>1730</v>
      </c>
      <c r="L270" s="66" t="s">
        <v>4213</v>
      </c>
      <c r="M270" s="66">
        <v>159548.4</v>
      </c>
    </row>
    <row r="271" spans="1:13" x14ac:dyDescent="0.35">
      <c r="A271" s="2" t="s">
        <v>1085</v>
      </c>
      <c r="B271" s="2" t="s">
        <v>790</v>
      </c>
      <c r="C271" s="18" t="s">
        <v>707</v>
      </c>
      <c r="D271" s="37" t="s">
        <v>507</v>
      </c>
      <c r="E271" s="18" t="s">
        <v>4095</v>
      </c>
      <c r="F271" s="176">
        <v>45887</v>
      </c>
      <c r="G271" s="18">
        <v>3462096</v>
      </c>
      <c r="H271" s="37">
        <f t="shared" si="24"/>
        <v>44</v>
      </c>
      <c r="I271" s="37" t="str">
        <f t="shared" si="23"/>
        <v>0-120 DAYS</v>
      </c>
      <c r="J271" s="37" t="str">
        <f t="shared" si="25"/>
        <v>0-180 DAYS</v>
      </c>
      <c r="K271" t="s">
        <v>1730</v>
      </c>
      <c r="L271" s="66" t="s">
        <v>4191</v>
      </c>
      <c r="M271" s="66">
        <v>3462096</v>
      </c>
    </row>
    <row r="272" spans="1:13" x14ac:dyDescent="0.35">
      <c r="A272" s="2" t="s">
        <v>1085</v>
      </c>
      <c r="B272" s="2" t="s">
        <v>790</v>
      </c>
      <c r="C272" s="18" t="s">
        <v>3764</v>
      </c>
      <c r="D272" s="37" t="s">
        <v>507</v>
      </c>
      <c r="E272" s="18" t="s">
        <v>4096</v>
      </c>
      <c r="F272" s="176">
        <v>45887</v>
      </c>
      <c r="G272" s="18">
        <v>3373492.76</v>
      </c>
      <c r="H272" s="37">
        <f t="shared" si="24"/>
        <v>44</v>
      </c>
      <c r="I272" s="37" t="str">
        <f t="shared" si="23"/>
        <v>0-120 DAYS</v>
      </c>
      <c r="J272" s="37" t="str">
        <f t="shared" si="25"/>
        <v>0-180 DAYS</v>
      </c>
      <c r="K272" t="s">
        <v>1730</v>
      </c>
      <c r="L272" s="66" t="s">
        <v>4191</v>
      </c>
      <c r="M272" s="66">
        <v>3373492.76</v>
      </c>
    </row>
    <row r="273" spans="1:13" x14ac:dyDescent="0.35">
      <c r="A273" s="2" t="s">
        <v>1085</v>
      </c>
      <c r="B273" s="2" t="s">
        <v>790</v>
      </c>
      <c r="C273" s="18" t="s">
        <v>598</v>
      </c>
      <c r="D273" s="37" t="s">
        <v>507</v>
      </c>
      <c r="E273" s="18" t="s">
        <v>4097</v>
      </c>
      <c r="F273" s="176">
        <v>45887</v>
      </c>
      <c r="G273" s="18">
        <v>2346300</v>
      </c>
      <c r="H273" s="37">
        <f t="shared" si="24"/>
        <v>44</v>
      </c>
      <c r="I273" s="37" t="str">
        <f t="shared" si="23"/>
        <v>0-120 DAYS</v>
      </c>
      <c r="J273" s="37" t="str">
        <f t="shared" si="25"/>
        <v>0-180 DAYS</v>
      </c>
      <c r="K273" t="s">
        <v>1730</v>
      </c>
      <c r="L273" s="66" t="s">
        <v>4191</v>
      </c>
      <c r="M273" s="66">
        <v>2346300</v>
      </c>
    </row>
    <row r="274" spans="1:13" x14ac:dyDescent="0.35">
      <c r="A274" s="2" t="s">
        <v>1085</v>
      </c>
      <c r="B274" s="2" t="s">
        <v>790</v>
      </c>
      <c r="C274" s="18" t="s">
        <v>540</v>
      </c>
      <c r="D274" s="37" t="s">
        <v>507</v>
      </c>
      <c r="E274" s="18" t="s">
        <v>4098</v>
      </c>
      <c r="F274" s="176">
        <v>45888</v>
      </c>
      <c r="G274" s="18">
        <v>3561559.2</v>
      </c>
      <c r="H274" s="37">
        <f t="shared" si="24"/>
        <v>43</v>
      </c>
      <c r="I274" s="37" t="str">
        <f t="shared" si="23"/>
        <v>0-120 DAYS</v>
      </c>
      <c r="J274" s="37" t="str">
        <f t="shared" si="25"/>
        <v>0-180 DAYS</v>
      </c>
      <c r="K274" t="s">
        <v>1730</v>
      </c>
      <c r="L274" s="66" t="s">
        <v>4214</v>
      </c>
      <c r="M274" s="66">
        <v>3561559.2</v>
      </c>
    </row>
    <row r="275" spans="1:13" x14ac:dyDescent="0.35">
      <c r="A275" s="2" t="s">
        <v>1209</v>
      </c>
      <c r="B275" s="2" t="s">
        <v>789</v>
      </c>
      <c r="C275" s="18" t="s">
        <v>506</v>
      </c>
      <c r="D275" s="37" t="s">
        <v>507</v>
      </c>
      <c r="E275" s="18" t="s">
        <v>4099</v>
      </c>
      <c r="F275" s="176">
        <v>45889</v>
      </c>
      <c r="G275" s="18">
        <v>2013374.8</v>
      </c>
      <c r="H275" s="37">
        <f t="shared" si="24"/>
        <v>42</v>
      </c>
      <c r="I275" s="37" t="str">
        <f t="shared" si="23"/>
        <v>0-120 DAYS</v>
      </c>
      <c r="J275" s="37" t="str">
        <f t="shared" si="25"/>
        <v>0-180 DAYS</v>
      </c>
      <c r="L275" s="66" t="s">
        <v>4192</v>
      </c>
      <c r="M275" s="66">
        <v>2013374.8</v>
      </c>
    </row>
    <row r="276" spans="1:13" x14ac:dyDescent="0.35">
      <c r="A276" s="2" t="s">
        <v>1209</v>
      </c>
      <c r="B276" s="2" t="s">
        <v>789</v>
      </c>
      <c r="C276" s="18" t="s">
        <v>506</v>
      </c>
      <c r="D276" s="37" t="s">
        <v>507</v>
      </c>
      <c r="E276" s="18" t="s">
        <v>4100</v>
      </c>
      <c r="F276" s="176">
        <v>45889</v>
      </c>
      <c r="G276" s="18">
        <v>443448.97</v>
      </c>
      <c r="H276" s="37">
        <f t="shared" si="24"/>
        <v>42</v>
      </c>
      <c r="I276" s="37" t="str">
        <f t="shared" si="23"/>
        <v>0-120 DAYS</v>
      </c>
      <c r="J276" s="37" t="str">
        <f t="shared" si="25"/>
        <v>0-180 DAYS</v>
      </c>
      <c r="L276" s="66" t="s">
        <v>4192</v>
      </c>
      <c r="M276" s="66">
        <v>443448.97</v>
      </c>
    </row>
    <row r="277" spans="1:13" x14ac:dyDescent="0.35">
      <c r="A277" s="2" t="s">
        <v>1209</v>
      </c>
      <c r="B277" s="2" t="s">
        <v>789</v>
      </c>
      <c r="C277" s="18" t="s">
        <v>506</v>
      </c>
      <c r="D277" s="37" t="s">
        <v>507</v>
      </c>
      <c r="E277" s="18" t="s">
        <v>4101</v>
      </c>
      <c r="F277" s="176">
        <v>45889</v>
      </c>
      <c r="G277" s="18">
        <v>102122.27</v>
      </c>
      <c r="H277" s="37">
        <f t="shared" si="24"/>
        <v>42</v>
      </c>
      <c r="I277" s="37" t="str">
        <f t="shared" si="23"/>
        <v>0-120 DAYS</v>
      </c>
      <c r="J277" s="37" t="str">
        <f t="shared" si="25"/>
        <v>0-180 DAYS</v>
      </c>
      <c r="L277" s="66" t="s">
        <v>4192</v>
      </c>
      <c r="M277" s="66">
        <v>102122.27</v>
      </c>
    </row>
    <row r="278" spans="1:13" x14ac:dyDescent="0.35">
      <c r="A278" s="2" t="s">
        <v>1209</v>
      </c>
      <c r="B278" s="2" t="s">
        <v>789</v>
      </c>
      <c r="C278" s="18" t="s">
        <v>506</v>
      </c>
      <c r="D278" s="37" t="s">
        <v>507</v>
      </c>
      <c r="E278" s="18" t="s">
        <v>4102</v>
      </c>
      <c r="F278" s="176">
        <v>45889</v>
      </c>
      <c r="G278" s="18">
        <v>287053.3</v>
      </c>
      <c r="H278" s="37">
        <f t="shared" si="24"/>
        <v>42</v>
      </c>
      <c r="I278" s="37" t="str">
        <f t="shared" si="23"/>
        <v>0-120 DAYS</v>
      </c>
      <c r="J278" s="37" t="str">
        <f t="shared" si="25"/>
        <v>0-180 DAYS</v>
      </c>
      <c r="L278" s="66" t="s">
        <v>4192</v>
      </c>
      <c r="M278" s="66">
        <v>287053.3</v>
      </c>
    </row>
    <row r="279" spans="1:13" x14ac:dyDescent="0.35">
      <c r="A279" s="2" t="s">
        <v>1209</v>
      </c>
      <c r="B279" s="2" t="s">
        <v>789</v>
      </c>
      <c r="C279" s="18" t="s">
        <v>506</v>
      </c>
      <c r="D279" s="37" t="s">
        <v>507</v>
      </c>
      <c r="E279" s="18" t="s">
        <v>4103</v>
      </c>
      <c r="F279" s="176">
        <v>45889</v>
      </c>
      <c r="G279" s="18">
        <v>136124.5</v>
      </c>
      <c r="H279" s="37">
        <f t="shared" si="24"/>
        <v>42</v>
      </c>
      <c r="I279" s="37" t="str">
        <f t="shared" si="23"/>
        <v>0-120 DAYS</v>
      </c>
      <c r="J279" s="37" t="str">
        <f t="shared" si="25"/>
        <v>0-180 DAYS</v>
      </c>
      <c r="L279" s="66" t="s">
        <v>4192</v>
      </c>
      <c r="M279" s="66">
        <v>136124.5</v>
      </c>
    </row>
    <row r="280" spans="1:13" x14ac:dyDescent="0.35">
      <c r="A280" s="2" t="s">
        <v>1085</v>
      </c>
      <c r="B280" s="2" t="s">
        <v>790</v>
      </c>
      <c r="C280" s="18" t="s">
        <v>1086</v>
      </c>
      <c r="D280" s="37" t="s">
        <v>507</v>
      </c>
      <c r="E280" s="18" t="s">
        <v>4104</v>
      </c>
      <c r="F280" s="176">
        <v>45890</v>
      </c>
      <c r="G280" s="18">
        <v>1432696.84</v>
      </c>
      <c r="H280" s="37">
        <f t="shared" si="24"/>
        <v>41</v>
      </c>
      <c r="I280" s="37" t="str">
        <f t="shared" si="23"/>
        <v>0-120 DAYS</v>
      </c>
      <c r="J280" s="37" t="str">
        <f t="shared" si="25"/>
        <v>0-180 DAYS</v>
      </c>
      <c r="K280" t="s">
        <v>1730</v>
      </c>
      <c r="L280" s="66" t="s">
        <v>4215</v>
      </c>
      <c r="M280" s="66">
        <v>1432696.84</v>
      </c>
    </row>
    <row r="281" spans="1:13" x14ac:dyDescent="0.35">
      <c r="A281" s="2" t="s">
        <v>1085</v>
      </c>
      <c r="B281" s="2" t="s">
        <v>790</v>
      </c>
      <c r="C281" s="18" t="s">
        <v>1086</v>
      </c>
      <c r="D281" s="37" t="s">
        <v>507</v>
      </c>
      <c r="E281" s="18" t="s">
        <v>4105</v>
      </c>
      <c r="F281" s="176">
        <v>45890</v>
      </c>
      <c r="G281" s="18">
        <v>940434.41</v>
      </c>
      <c r="H281" s="37">
        <f t="shared" si="24"/>
        <v>41</v>
      </c>
      <c r="I281" s="37" t="str">
        <f t="shared" si="23"/>
        <v>0-120 DAYS</v>
      </c>
      <c r="J281" s="37" t="str">
        <f t="shared" si="25"/>
        <v>0-180 DAYS</v>
      </c>
      <c r="K281" t="s">
        <v>1730</v>
      </c>
      <c r="L281" s="66" t="s">
        <v>4215</v>
      </c>
      <c r="M281" s="66">
        <v>940434.41</v>
      </c>
    </row>
    <row r="282" spans="1:13" x14ac:dyDescent="0.35">
      <c r="A282" s="2" t="s">
        <v>1085</v>
      </c>
      <c r="B282" s="2" t="s">
        <v>790</v>
      </c>
      <c r="C282" s="18" t="s">
        <v>1086</v>
      </c>
      <c r="D282" s="37" t="s">
        <v>507</v>
      </c>
      <c r="E282" s="18" t="s">
        <v>4106</v>
      </c>
      <c r="F282" s="176">
        <v>45890</v>
      </c>
      <c r="G282" s="18">
        <v>25318.32</v>
      </c>
      <c r="H282" s="37">
        <f t="shared" si="24"/>
        <v>41</v>
      </c>
      <c r="I282" s="37" t="str">
        <f t="shared" si="23"/>
        <v>0-120 DAYS</v>
      </c>
      <c r="J282" s="37" t="str">
        <f t="shared" si="25"/>
        <v>0-180 DAYS</v>
      </c>
      <c r="K282" t="s">
        <v>1730</v>
      </c>
      <c r="L282" s="66" t="s">
        <v>4215</v>
      </c>
      <c r="M282" s="66">
        <v>25318.32</v>
      </c>
    </row>
    <row r="283" spans="1:13" x14ac:dyDescent="0.35">
      <c r="A283" s="2" t="s">
        <v>1085</v>
      </c>
      <c r="B283" s="2" t="s">
        <v>790</v>
      </c>
      <c r="C283" s="18" t="s">
        <v>557</v>
      </c>
      <c r="D283" s="37" t="s">
        <v>507</v>
      </c>
      <c r="E283" s="18" t="s">
        <v>4107</v>
      </c>
      <c r="F283" s="176">
        <v>45892</v>
      </c>
      <c r="G283" s="18">
        <v>709857</v>
      </c>
      <c r="H283" s="37">
        <f t="shared" si="24"/>
        <v>39</v>
      </c>
      <c r="I283" s="37" t="str">
        <f t="shared" si="23"/>
        <v>0-120 DAYS</v>
      </c>
      <c r="J283" s="37" t="str">
        <f t="shared" si="25"/>
        <v>0-180 DAYS</v>
      </c>
      <c r="K283" t="s">
        <v>1730</v>
      </c>
      <c r="L283" s="66" t="s">
        <v>4194</v>
      </c>
      <c r="M283" s="66">
        <v>709857</v>
      </c>
    </row>
    <row r="284" spans="1:13" x14ac:dyDescent="0.35">
      <c r="A284" s="2" t="s">
        <v>1085</v>
      </c>
      <c r="B284" s="2" t="s">
        <v>790</v>
      </c>
      <c r="C284" s="18" t="s">
        <v>598</v>
      </c>
      <c r="D284" s="37" t="s">
        <v>507</v>
      </c>
      <c r="E284" s="18" t="s">
        <v>4108</v>
      </c>
      <c r="F284" s="176">
        <v>45893</v>
      </c>
      <c r="G284" s="18">
        <v>3853596.86</v>
      </c>
      <c r="H284" s="37">
        <f t="shared" si="24"/>
        <v>38</v>
      </c>
      <c r="I284" s="37" t="str">
        <f t="shared" si="23"/>
        <v>0-120 DAYS</v>
      </c>
      <c r="J284" s="37" t="str">
        <f t="shared" si="25"/>
        <v>0-180 DAYS</v>
      </c>
      <c r="K284" t="s">
        <v>1730</v>
      </c>
      <c r="L284" s="66" t="s">
        <v>4195</v>
      </c>
      <c r="M284" s="66">
        <v>3853596.86</v>
      </c>
    </row>
    <row r="285" spans="1:13" x14ac:dyDescent="0.35">
      <c r="A285" s="2" t="s">
        <v>1085</v>
      </c>
      <c r="B285" s="2" t="s">
        <v>790</v>
      </c>
      <c r="C285" s="18" t="s">
        <v>548</v>
      </c>
      <c r="D285" s="37" t="s">
        <v>507</v>
      </c>
      <c r="E285" s="18" t="s">
        <v>1795</v>
      </c>
      <c r="F285" s="176">
        <v>45894</v>
      </c>
      <c r="G285" s="18">
        <v>3441897.05</v>
      </c>
      <c r="H285" s="37">
        <f t="shared" si="24"/>
        <v>37</v>
      </c>
      <c r="I285" s="37" t="str">
        <f t="shared" si="23"/>
        <v>0-120 DAYS</v>
      </c>
      <c r="J285" s="37" t="str">
        <f t="shared" si="25"/>
        <v>0-180 DAYS</v>
      </c>
      <c r="K285" t="s">
        <v>1730</v>
      </c>
      <c r="L285" s="66" t="s">
        <v>4216</v>
      </c>
      <c r="M285" s="66">
        <v>3441897.05</v>
      </c>
    </row>
    <row r="286" spans="1:13" x14ac:dyDescent="0.35">
      <c r="A286" s="2" t="s">
        <v>1085</v>
      </c>
      <c r="B286" s="2" t="s">
        <v>790</v>
      </c>
      <c r="C286" s="18" t="s">
        <v>2561</v>
      </c>
      <c r="D286" s="37" t="s">
        <v>507</v>
      </c>
      <c r="E286" s="18" t="s">
        <v>4109</v>
      </c>
      <c r="F286" s="176">
        <v>45897</v>
      </c>
      <c r="G286" s="18">
        <v>3512581.04</v>
      </c>
      <c r="H286" s="37">
        <f t="shared" si="24"/>
        <v>34</v>
      </c>
      <c r="I286" s="37" t="str">
        <f t="shared" si="23"/>
        <v>0-120 DAYS</v>
      </c>
      <c r="J286" s="37" t="str">
        <f t="shared" si="25"/>
        <v>0-180 DAYS</v>
      </c>
      <c r="K286" t="s">
        <v>1730</v>
      </c>
      <c r="L286" s="66" t="s">
        <v>4217</v>
      </c>
      <c r="M286" s="66">
        <v>3512581.04</v>
      </c>
    </row>
    <row r="287" spans="1:13" x14ac:dyDescent="0.35">
      <c r="A287" s="2" t="s">
        <v>1085</v>
      </c>
      <c r="B287" s="2" t="s">
        <v>790</v>
      </c>
      <c r="C287" s="18" t="s">
        <v>1243</v>
      </c>
      <c r="D287" s="37" t="s">
        <v>507</v>
      </c>
      <c r="E287" s="18" t="s">
        <v>4110</v>
      </c>
      <c r="F287" s="176">
        <v>45897</v>
      </c>
      <c r="G287" s="18">
        <v>3809837.24</v>
      </c>
      <c r="H287" s="37">
        <f t="shared" si="24"/>
        <v>34</v>
      </c>
      <c r="I287" s="37" t="str">
        <f t="shared" si="23"/>
        <v>0-120 DAYS</v>
      </c>
      <c r="J287" s="37" t="str">
        <f t="shared" si="25"/>
        <v>0-180 DAYS</v>
      </c>
      <c r="K287" t="s">
        <v>1730</v>
      </c>
      <c r="L287" s="66" t="s">
        <v>4217</v>
      </c>
      <c r="M287" s="66">
        <v>3809837.24</v>
      </c>
    </row>
    <row r="288" spans="1:13" x14ac:dyDescent="0.35">
      <c r="A288" s="2" t="s">
        <v>1085</v>
      </c>
      <c r="B288" s="2" t="s">
        <v>790</v>
      </c>
      <c r="C288" s="18" t="s">
        <v>1243</v>
      </c>
      <c r="D288" s="37" t="s">
        <v>507</v>
      </c>
      <c r="E288" s="18" t="s">
        <v>4111</v>
      </c>
      <c r="F288" s="176">
        <v>45897</v>
      </c>
      <c r="G288" s="18">
        <v>621944.6</v>
      </c>
      <c r="H288" s="37">
        <f t="shared" si="24"/>
        <v>34</v>
      </c>
      <c r="I288" s="37" t="str">
        <f t="shared" si="23"/>
        <v>0-120 DAYS</v>
      </c>
      <c r="J288" s="37" t="str">
        <f t="shared" si="25"/>
        <v>0-180 DAYS</v>
      </c>
      <c r="K288" t="s">
        <v>1730</v>
      </c>
      <c r="L288" s="66" t="s">
        <v>4217</v>
      </c>
      <c r="M288" s="66">
        <v>621944.6</v>
      </c>
    </row>
    <row r="289" spans="1:13" x14ac:dyDescent="0.35">
      <c r="A289" s="2" t="s">
        <v>1085</v>
      </c>
      <c r="B289" s="2" t="s">
        <v>790</v>
      </c>
      <c r="C289" s="18" t="s">
        <v>577</v>
      </c>
      <c r="D289" s="37" t="s">
        <v>507</v>
      </c>
      <c r="E289" s="18" t="s">
        <v>4112</v>
      </c>
      <c r="F289" s="176">
        <v>45898</v>
      </c>
      <c r="G289" s="18">
        <v>3687458.7</v>
      </c>
      <c r="H289" s="37">
        <f t="shared" si="24"/>
        <v>33</v>
      </c>
      <c r="I289" s="37" t="str">
        <f t="shared" si="23"/>
        <v>0-120 DAYS</v>
      </c>
      <c r="J289" s="37" t="str">
        <f t="shared" si="25"/>
        <v>0-180 DAYS</v>
      </c>
      <c r="K289" t="s">
        <v>1730</v>
      </c>
      <c r="L289" s="66" t="s">
        <v>4218</v>
      </c>
      <c r="M289" s="66">
        <v>3687458.7</v>
      </c>
    </row>
    <row r="290" spans="1:13" x14ac:dyDescent="0.35">
      <c r="A290" s="2" t="s">
        <v>1085</v>
      </c>
      <c r="B290" s="2" t="s">
        <v>790</v>
      </c>
      <c r="C290" s="18" t="s">
        <v>707</v>
      </c>
      <c r="D290" s="37" t="s">
        <v>507</v>
      </c>
      <c r="E290" s="18" t="s">
        <v>4113</v>
      </c>
      <c r="F290" s="176">
        <v>45899</v>
      </c>
      <c r="G290" s="18">
        <v>3403176</v>
      </c>
      <c r="H290" s="37">
        <f t="shared" si="24"/>
        <v>32</v>
      </c>
      <c r="I290" s="37" t="str">
        <f t="shared" si="23"/>
        <v>0-120 DAYS</v>
      </c>
      <c r="J290" s="37" t="str">
        <f t="shared" si="25"/>
        <v>0-180 DAYS</v>
      </c>
      <c r="K290" t="s">
        <v>1730</v>
      </c>
      <c r="L290" s="66" t="s">
        <v>4219</v>
      </c>
      <c r="M290" s="66">
        <v>3403176</v>
      </c>
    </row>
    <row r="291" spans="1:13" x14ac:dyDescent="0.35">
      <c r="A291" s="2" t="s">
        <v>1085</v>
      </c>
      <c r="B291" s="2" t="s">
        <v>790</v>
      </c>
      <c r="C291" s="18" t="s">
        <v>631</v>
      </c>
      <c r="D291" s="37" t="s">
        <v>507</v>
      </c>
      <c r="E291" s="18" t="s">
        <v>4114</v>
      </c>
      <c r="F291" s="176">
        <v>45899</v>
      </c>
      <c r="G291" s="18">
        <v>3110096</v>
      </c>
      <c r="H291" s="37">
        <f t="shared" si="24"/>
        <v>32</v>
      </c>
      <c r="I291" s="37" t="str">
        <f t="shared" si="23"/>
        <v>0-120 DAYS</v>
      </c>
      <c r="J291" s="37" t="str">
        <f t="shared" si="25"/>
        <v>0-180 DAYS</v>
      </c>
      <c r="K291" t="s">
        <v>1730</v>
      </c>
      <c r="L291" s="66" t="s">
        <v>4219</v>
      </c>
      <c r="M291" s="66">
        <v>3110096</v>
      </c>
    </row>
    <row r="292" spans="1:13" x14ac:dyDescent="0.35">
      <c r="A292" s="2" t="s">
        <v>1085</v>
      </c>
      <c r="B292" s="2" t="s">
        <v>790</v>
      </c>
      <c r="C292" s="18" t="s">
        <v>635</v>
      </c>
      <c r="D292" s="37" t="s">
        <v>507</v>
      </c>
      <c r="E292" s="18" t="s">
        <v>4115</v>
      </c>
      <c r="F292" s="176">
        <v>45870</v>
      </c>
      <c r="G292" s="18">
        <v>3182590.22</v>
      </c>
      <c r="H292" s="37">
        <f t="shared" si="24"/>
        <v>61</v>
      </c>
      <c r="I292" s="37" t="str">
        <f t="shared" si="23"/>
        <v>0-120 DAYS</v>
      </c>
      <c r="J292" s="37" t="str">
        <f t="shared" si="25"/>
        <v>0-180 DAYS</v>
      </c>
      <c r="K292" t="s">
        <v>1730</v>
      </c>
      <c r="L292" s="66" t="s">
        <v>4190</v>
      </c>
      <c r="M292" s="66">
        <v>3182590.22</v>
      </c>
    </row>
    <row r="293" spans="1:13" x14ac:dyDescent="0.35">
      <c r="A293" s="2" t="s">
        <v>1085</v>
      </c>
      <c r="B293" s="2" t="s">
        <v>790</v>
      </c>
      <c r="C293" s="18" t="s">
        <v>635</v>
      </c>
      <c r="D293" s="37" t="s">
        <v>507</v>
      </c>
      <c r="E293" s="18" t="s">
        <v>4116</v>
      </c>
      <c r="F293" s="176">
        <v>45870</v>
      </c>
      <c r="G293" s="18">
        <v>3514346.62</v>
      </c>
      <c r="H293" s="37">
        <f t="shared" si="24"/>
        <v>61</v>
      </c>
      <c r="I293" s="37" t="str">
        <f t="shared" si="23"/>
        <v>0-120 DAYS</v>
      </c>
      <c r="J293" s="37" t="str">
        <f t="shared" si="25"/>
        <v>0-180 DAYS</v>
      </c>
      <c r="K293" t="s">
        <v>1730</v>
      </c>
      <c r="L293" s="66" t="s">
        <v>4190</v>
      </c>
      <c r="M293" s="66">
        <v>3514346.62</v>
      </c>
    </row>
    <row r="294" spans="1:13" x14ac:dyDescent="0.35">
      <c r="A294" s="2" t="s">
        <v>1085</v>
      </c>
      <c r="B294" s="2" t="s">
        <v>790</v>
      </c>
      <c r="C294" s="18" t="s">
        <v>650</v>
      </c>
      <c r="D294" s="37" t="s">
        <v>507</v>
      </c>
      <c r="E294" s="18" t="s">
        <v>4117</v>
      </c>
      <c r="F294" s="176">
        <v>45874</v>
      </c>
      <c r="G294" s="18">
        <v>2965032</v>
      </c>
      <c r="H294" s="37">
        <f t="shared" si="24"/>
        <v>57</v>
      </c>
      <c r="I294" s="37" t="str">
        <f t="shared" si="23"/>
        <v>0-120 DAYS</v>
      </c>
      <c r="J294" s="37" t="str">
        <f t="shared" si="25"/>
        <v>0-180 DAYS</v>
      </c>
      <c r="K294" t="s">
        <v>1730</v>
      </c>
      <c r="L294" s="66" t="s">
        <v>4208</v>
      </c>
      <c r="M294" s="66">
        <v>2965032</v>
      </c>
    </row>
    <row r="295" spans="1:13" x14ac:dyDescent="0.35">
      <c r="A295" s="2" t="s">
        <v>1085</v>
      </c>
      <c r="B295" s="2" t="s">
        <v>790</v>
      </c>
      <c r="C295" s="18" t="s">
        <v>1086</v>
      </c>
      <c r="D295" s="37" t="s">
        <v>507</v>
      </c>
      <c r="E295" s="18" t="s">
        <v>4118</v>
      </c>
      <c r="F295" s="176">
        <v>45877</v>
      </c>
      <c r="G295" s="18">
        <v>773781.07</v>
      </c>
      <c r="H295" s="37">
        <f t="shared" si="24"/>
        <v>54</v>
      </c>
      <c r="I295" s="37" t="str">
        <f t="shared" si="23"/>
        <v>0-120 DAYS</v>
      </c>
      <c r="J295" s="37" t="str">
        <f t="shared" si="25"/>
        <v>0-180 DAYS</v>
      </c>
      <c r="K295" t="s">
        <v>1730</v>
      </c>
      <c r="L295" s="66" t="s">
        <v>4220</v>
      </c>
      <c r="M295" s="66">
        <v>773781.07</v>
      </c>
    </row>
    <row r="296" spans="1:13" x14ac:dyDescent="0.35">
      <c r="A296" s="2" t="s">
        <v>1085</v>
      </c>
      <c r="B296" s="2" t="s">
        <v>790</v>
      </c>
      <c r="C296" s="18" t="s">
        <v>1086</v>
      </c>
      <c r="D296" s="37" t="s">
        <v>507</v>
      </c>
      <c r="E296" s="18" t="s">
        <v>4119</v>
      </c>
      <c r="F296" s="176">
        <v>45877</v>
      </c>
      <c r="G296" s="18">
        <v>337530.9</v>
      </c>
      <c r="H296" s="37">
        <f t="shared" si="24"/>
        <v>54</v>
      </c>
      <c r="I296" s="37" t="str">
        <f t="shared" si="23"/>
        <v>0-120 DAYS</v>
      </c>
      <c r="J296" s="37" t="str">
        <f t="shared" si="25"/>
        <v>0-180 DAYS</v>
      </c>
      <c r="K296" t="s">
        <v>1730</v>
      </c>
      <c r="L296" s="66" t="s">
        <v>4220</v>
      </c>
      <c r="M296" s="66">
        <v>337530.9</v>
      </c>
    </row>
    <row r="297" spans="1:13" x14ac:dyDescent="0.35">
      <c r="A297" s="2" t="s">
        <v>1085</v>
      </c>
      <c r="B297" s="2" t="s">
        <v>790</v>
      </c>
      <c r="C297" s="18" t="s">
        <v>1086</v>
      </c>
      <c r="D297" s="37" t="s">
        <v>507</v>
      </c>
      <c r="E297" s="18" t="s">
        <v>4120</v>
      </c>
      <c r="F297" s="176">
        <v>45877</v>
      </c>
      <c r="G297" s="18">
        <v>13192.29</v>
      </c>
      <c r="H297" s="37">
        <f t="shared" si="24"/>
        <v>54</v>
      </c>
      <c r="I297" s="37" t="str">
        <f t="shared" si="23"/>
        <v>0-120 DAYS</v>
      </c>
      <c r="J297" s="37" t="str">
        <f t="shared" si="25"/>
        <v>0-180 DAYS</v>
      </c>
      <c r="K297" t="s">
        <v>1730</v>
      </c>
      <c r="L297" s="66" t="s">
        <v>4220</v>
      </c>
      <c r="M297" s="66">
        <v>13192.29</v>
      </c>
    </row>
    <row r="298" spans="1:13" x14ac:dyDescent="0.35">
      <c r="A298" s="2" t="s">
        <v>1085</v>
      </c>
      <c r="B298" s="2" t="s">
        <v>790</v>
      </c>
      <c r="C298" s="18" t="s">
        <v>1086</v>
      </c>
      <c r="D298" s="37" t="s">
        <v>507</v>
      </c>
      <c r="E298" s="18" t="s">
        <v>4121</v>
      </c>
      <c r="F298" s="176">
        <v>45877</v>
      </c>
      <c r="G298" s="18">
        <v>231886.57</v>
      </c>
      <c r="H298" s="37">
        <f t="shared" si="24"/>
        <v>54</v>
      </c>
      <c r="I298" s="37" t="str">
        <f t="shared" si="23"/>
        <v>0-120 DAYS</v>
      </c>
      <c r="J298" s="37" t="str">
        <f t="shared" si="25"/>
        <v>0-180 DAYS</v>
      </c>
      <c r="K298" t="s">
        <v>1730</v>
      </c>
      <c r="L298" s="66" t="s">
        <v>4220</v>
      </c>
      <c r="M298" s="66">
        <v>231886.57</v>
      </c>
    </row>
    <row r="299" spans="1:13" x14ac:dyDescent="0.35">
      <c r="A299" s="2" t="s">
        <v>1085</v>
      </c>
      <c r="B299" s="2" t="s">
        <v>790</v>
      </c>
      <c r="C299" s="18" t="s">
        <v>1086</v>
      </c>
      <c r="D299" s="37" t="s">
        <v>507</v>
      </c>
      <c r="E299" s="18" t="s">
        <v>4122</v>
      </c>
      <c r="F299" s="176">
        <v>45877</v>
      </c>
      <c r="G299" s="18">
        <v>1082398.6000000001</v>
      </c>
      <c r="H299" s="37">
        <f t="shared" si="24"/>
        <v>54</v>
      </c>
      <c r="I299" s="37" t="str">
        <f t="shared" si="23"/>
        <v>0-120 DAYS</v>
      </c>
      <c r="J299" s="37" t="str">
        <f t="shared" si="25"/>
        <v>0-180 DAYS</v>
      </c>
      <c r="K299" t="s">
        <v>1730</v>
      </c>
      <c r="L299" s="66" t="s">
        <v>4220</v>
      </c>
      <c r="M299" s="66">
        <v>1082398.6000000001</v>
      </c>
    </row>
    <row r="300" spans="1:13" x14ac:dyDescent="0.35">
      <c r="A300" s="2" t="s">
        <v>1085</v>
      </c>
      <c r="B300" s="2" t="s">
        <v>790</v>
      </c>
      <c r="C300" s="18" t="s">
        <v>1086</v>
      </c>
      <c r="D300" s="37" t="s">
        <v>507</v>
      </c>
      <c r="E300" s="18" t="s">
        <v>4123</v>
      </c>
      <c r="F300" s="176">
        <v>45877</v>
      </c>
      <c r="G300" s="18">
        <v>41298.36</v>
      </c>
      <c r="H300" s="37">
        <f t="shared" si="24"/>
        <v>54</v>
      </c>
      <c r="I300" s="37" t="str">
        <f t="shared" si="23"/>
        <v>0-120 DAYS</v>
      </c>
      <c r="J300" s="37" t="str">
        <f t="shared" si="25"/>
        <v>0-180 DAYS</v>
      </c>
      <c r="K300" t="s">
        <v>1730</v>
      </c>
      <c r="L300" s="66" t="s">
        <v>4220</v>
      </c>
      <c r="M300" s="66">
        <v>41298.36</v>
      </c>
    </row>
    <row r="301" spans="1:13" x14ac:dyDescent="0.35">
      <c r="A301" s="2" t="s">
        <v>1085</v>
      </c>
      <c r="B301" s="2" t="s">
        <v>790</v>
      </c>
      <c r="C301" s="18" t="s">
        <v>650</v>
      </c>
      <c r="D301" s="37" t="s">
        <v>507</v>
      </c>
      <c r="E301" s="18" t="s">
        <v>1815</v>
      </c>
      <c r="F301" s="176">
        <v>45877</v>
      </c>
      <c r="G301" s="18">
        <v>3253600.79</v>
      </c>
      <c r="H301" s="37">
        <f t="shared" si="24"/>
        <v>54</v>
      </c>
      <c r="I301" s="37" t="str">
        <f t="shared" si="23"/>
        <v>0-120 DAYS</v>
      </c>
      <c r="J301" s="37" t="str">
        <f t="shared" si="25"/>
        <v>0-180 DAYS</v>
      </c>
      <c r="K301" t="s">
        <v>1730</v>
      </c>
      <c r="L301" s="66" t="s">
        <v>4220</v>
      </c>
      <c r="M301" s="66">
        <v>3253600.79</v>
      </c>
    </row>
    <row r="302" spans="1:13" x14ac:dyDescent="0.35">
      <c r="A302" s="2" t="s">
        <v>1085</v>
      </c>
      <c r="B302" s="2" t="s">
        <v>790</v>
      </c>
      <c r="C302" s="18" t="s">
        <v>650</v>
      </c>
      <c r="D302" s="37" t="s">
        <v>507</v>
      </c>
      <c r="E302" s="18" t="s">
        <v>4124</v>
      </c>
      <c r="F302" s="176">
        <v>45878</v>
      </c>
      <c r="G302" s="18">
        <v>4724806.5</v>
      </c>
      <c r="H302" s="37">
        <f t="shared" si="24"/>
        <v>53</v>
      </c>
      <c r="I302" s="37" t="str">
        <f t="shared" si="23"/>
        <v>0-120 DAYS</v>
      </c>
      <c r="J302" s="37" t="str">
        <f t="shared" si="25"/>
        <v>0-180 DAYS</v>
      </c>
      <c r="K302" t="s">
        <v>1730</v>
      </c>
      <c r="L302" s="66" t="s">
        <v>4221</v>
      </c>
      <c r="M302" s="66">
        <v>4724806.5</v>
      </c>
    </row>
    <row r="303" spans="1:13" x14ac:dyDescent="0.35">
      <c r="A303" s="2" t="s">
        <v>1085</v>
      </c>
      <c r="B303" s="2" t="s">
        <v>790</v>
      </c>
      <c r="C303" s="18" t="s">
        <v>650</v>
      </c>
      <c r="D303" s="37" t="s">
        <v>507</v>
      </c>
      <c r="E303" s="18" t="s">
        <v>4125</v>
      </c>
      <c r="F303" s="176">
        <v>45882</v>
      </c>
      <c r="G303" s="18">
        <v>2961353.1</v>
      </c>
      <c r="H303" s="37">
        <f t="shared" si="24"/>
        <v>49</v>
      </c>
      <c r="I303" s="37" t="str">
        <f t="shared" si="23"/>
        <v>0-120 DAYS</v>
      </c>
      <c r="J303" s="37" t="str">
        <f t="shared" si="25"/>
        <v>0-180 DAYS</v>
      </c>
      <c r="K303" t="s">
        <v>1730</v>
      </c>
      <c r="L303" s="66" t="s">
        <v>4210</v>
      </c>
      <c r="M303" s="66">
        <v>2961353.1</v>
      </c>
    </row>
    <row r="304" spans="1:13" x14ac:dyDescent="0.35">
      <c r="A304" s="2" t="s">
        <v>1085</v>
      </c>
      <c r="B304" s="2" t="s">
        <v>790</v>
      </c>
      <c r="C304" s="18" t="s">
        <v>650</v>
      </c>
      <c r="D304" s="37" t="s">
        <v>507</v>
      </c>
      <c r="E304" s="18" t="s">
        <v>4126</v>
      </c>
      <c r="F304" s="176">
        <v>45882</v>
      </c>
      <c r="G304" s="18">
        <v>361800</v>
      </c>
      <c r="H304" s="37">
        <f t="shared" si="24"/>
        <v>49</v>
      </c>
      <c r="I304" s="37" t="str">
        <f t="shared" si="23"/>
        <v>0-120 DAYS</v>
      </c>
      <c r="J304" s="37" t="str">
        <f t="shared" si="25"/>
        <v>0-180 DAYS</v>
      </c>
      <c r="K304" t="s">
        <v>1730</v>
      </c>
      <c r="L304" s="66" t="s">
        <v>4210</v>
      </c>
      <c r="M304" s="66">
        <v>361800</v>
      </c>
    </row>
    <row r="305" spans="1:13" x14ac:dyDescent="0.35">
      <c r="A305" s="2" t="s">
        <v>1085</v>
      </c>
      <c r="B305" s="2" t="s">
        <v>790</v>
      </c>
      <c r="C305" s="18" t="s">
        <v>650</v>
      </c>
      <c r="D305" s="37" t="s">
        <v>507</v>
      </c>
      <c r="E305" s="18" t="s">
        <v>1818</v>
      </c>
      <c r="F305" s="176">
        <v>45882</v>
      </c>
      <c r="G305" s="18">
        <v>3747645.11</v>
      </c>
      <c r="H305" s="37">
        <f t="shared" si="24"/>
        <v>49</v>
      </c>
      <c r="I305" s="37" t="str">
        <f t="shared" si="23"/>
        <v>0-120 DAYS</v>
      </c>
      <c r="J305" s="37" t="str">
        <f t="shared" si="25"/>
        <v>0-180 DAYS</v>
      </c>
      <c r="K305" t="s">
        <v>1730</v>
      </c>
      <c r="L305" s="66" t="s">
        <v>4210</v>
      </c>
      <c r="M305" s="66">
        <v>3747645.11</v>
      </c>
    </row>
    <row r="306" spans="1:13" x14ac:dyDescent="0.35">
      <c r="A306" s="2" t="s">
        <v>1085</v>
      </c>
      <c r="B306" s="2" t="s">
        <v>790</v>
      </c>
      <c r="C306" s="18" t="s">
        <v>1086</v>
      </c>
      <c r="D306" s="37" t="s">
        <v>507</v>
      </c>
      <c r="E306" s="18" t="s">
        <v>4127</v>
      </c>
      <c r="F306" s="176">
        <v>45883</v>
      </c>
      <c r="G306" s="18">
        <v>3364101.48</v>
      </c>
      <c r="H306" s="37">
        <f t="shared" si="24"/>
        <v>48</v>
      </c>
      <c r="I306" s="37" t="str">
        <f t="shared" si="23"/>
        <v>0-120 DAYS</v>
      </c>
      <c r="J306" s="37" t="str">
        <f t="shared" si="25"/>
        <v>0-180 DAYS</v>
      </c>
      <c r="K306" t="s">
        <v>1730</v>
      </c>
      <c r="L306" s="66" t="s">
        <v>4211</v>
      </c>
      <c r="M306" s="66">
        <v>3364101.48</v>
      </c>
    </row>
    <row r="307" spans="1:13" x14ac:dyDescent="0.35">
      <c r="A307" s="2" t="s">
        <v>1085</v>
      </c>
      <c r="B307" s="2" t="s">
        <v>790</v>
      </c>
      <c r="C307" s="18" t="s">
        <v>635</v>
      </c>
      <c r="D307" s="37" t="s">
        <v>507</v>
      </c>
      <c r="E307" s="18" t="s">
        <v>4128</v>
      </c>
      <c r="F307" s="176">
        <v>45883</v>
      </c>
      <c r="G307" s="18">
        <v>3224838.14</v>
      </c>
      <c r="H307" s="37">
        <f t="shared" si="24"/>
        <v>48</v>
      </c>
      <c r="I307" s="37" t="str">
        <f t="shared" si="23"/>
        <v>0-120 DAYS</v>
      </c>
      <c r="J307" s="37" t="str">
        <f t="shared" si="25"/>
        <v>0-180 DAYS</v>
      </c>
      <c r="K307" t="s">
        <v>1730</v>
      </c>
      <c r="L307" s="66" t="s">
        <v>4211</v>
      </c>
      <c r="M307" s="66">
        <v>3224838.14</v>
      </c>
    </row>
    <row r="308" spans="1:13" x14ac:dyDescent="0.35">
      <c r="A308" s="2" t="s">
        <v>1085</v>
      </c>
      <c r="B308" s="2" t="s">
        <v>790</v>
      </c>
      <c r="C308" s="18" t="s">
        <v>538</v>
      </c>
      <c r="D308" s="37" t="s">
        <v>507</v>
      </c>
      <c r="E308" s="18" t="s">
        <v>4129</v>
      </c>
      <c r="F308" s="176">
        <v>45887</v>
      </c>
      <c r="G308" s="18">
        <v>3274290</v>
      </c>
      <c r="H308" s="37">
        <f t="shared" si="24"/>
        <v>44</v>
      </c>
      <c r="I308" s="37" t="str">
        <f t="shared" si="23"/>
        <v>0-120 DAYS</v>
      </c>
      <c r="J308" s="37" t="str">
        <f t="shared" si="25"/>
        <v>0-180 DAYS</v>
      </c>
      <c r="K308" t="s">
        <v>1730</v>
      </c>
      <c r="L308" s="66" t="s">
        <v>4191</v>
      </c>
      <c r="M308" s="66">
        <v>3274290</v>
      </c>
    </row>
    <row r="309" spans="1:13" x14ac:dyDescent="0.35">
      <c r="A309" s="2" t="s">
        <v>1085</v>
      </c>
      <c r="B309" s="2" t="s">
        <v>790</v>
      </c>
      <c r="C309" s="18" t="s">
        <v>538</v>
      </c>
      <c r="D309" s="37" t="s">
        <v>507</v>
      </c>
      <c r="E309" s="18" t="s">
        <v>4130</v>
      </c>
      <c r="F309" s="176">
        <v>45887</v>
      </c>
      <c r="G309" s="18">
        <v>2515012.5</v>
      </c>
      <c r="H309" s="37">
        <f t="shared" si="24"/>
        <v>44</v>
      </c>
      <c r="I309" s="37" t="str">
        <f t="shared" si="23"/>
        <v>0-120 DAYS</v>
      </c>
      <c r="J309" s="37" t="str">
        <f t="shared" si="25"/>
        <v>0-180 DAYS</v>
      </c>
      <c r="K309" t="s">
        <v>1730</v>
      </c>
      <c r="L309" s="66" t="s">
        <v>4191</v>
      </c>
      <c r="M309" s="66">
        <v>2515012.5</v>
      </c>
    </row>
    <row r="310" spans="1:13" x14ac:dyDescent="0.35">
      <c r="A310" s="2" t="s">
        <v>1085</v>
      </c>
      <c r="B310" s="2" t="s">
        <v>790</v>
      </c>
      <c r="C310" s="18" t="s">
        <v>538</v>
      </c>
      <c r="D310" s="37" t="s">
        <v>507</v>
      </c>
      <c r="E310" s="18" t="s">
        <v>4131</v>
      </c>
      <c r="F310" s="176">
        <v>45887</v>
      </c>
      <c r="G310" s="18">
        <v>1382226.75</v>
      </c>
      <c r="H310" s="37">
        <f t="shared" si="24"/>
        <v>44</v>
      </c>
      <c r="I310" s="37" t="str">
        <f t="shared" si="23"/>
        <v>0-120 DAYS</v>
      </c>
      <c r="J310" s="37" t="str">
        <f t="shared" si="25"/>
        <v>0-180 DAYS</v>
      </c>
      <c r="K310" t="s">
        <v>1730</v>
      </c>
      <c r="L310" s="66" t="s">
        <v>4191</v>
      </c>
      <c r="M310" s="66">
        <v>1382226.75</v>
      </c>
    </row>
    <row r="311" spans="1:13" x14ac:dyDescent="0.35">
      <c r="A311" s="2" t="s">
        <v>1085</v>
      </c>
      <c r="B311" s="2" t="s">
        <v>790</v>
      </c>
      <c r="C311" s="18" t="s">
        <v>538</v>
      </c>
      <c r="D311" s="37" t="s">
        <v>507</v>
      </c>
      <c r="E311" s="18" t="s">
        <v>4132</v>
      </c>
      <c r="F311" s="176">
        <v>45888</v>
      </c>
      <c r="G311" s="18">
        <v>3518886.9</v>
      </c>
      <c r="H311" s="37">
        <f t="shared" si="24"/>
        <v>43</v>
      </c>
      <c r="I311" s="37" t="str">
        <f t="shared" si="23"/>
        <v>0-120 DAYS</v>
      </c>
      <c r="J311" s="37" t="str">
        <f t="shared" si="25"/>
        <v>0-180 DAYS</v>
      </c>
      <c r="K311" t="s">
        <v>1730</v>
      </c>
      <c r="L311" s="66" t="s">
        <v>4214</v>
      </c>
      <c r="M311" s="66">
        <v>3518886.9</v>
      </c>
    </row>
    <row r="312" spans="1:13" x14ac:dyDescent="0.35">
      <c r="A312" s="2" t="s">
        <v>1085</v>
      </c>
      <c r="B312" s="2" t="s">
        <v>790</v>
      </c>
      <c r="C312" s="18" t="s">
        <v>1086</v>
      </c>
      <c r="D312" s="37" t="s">
        <v>507</v>
      </c>
      <c r="E312" s="18" t="s">
        <v>4133</v>
      </c>
      <c r="F312" s="176">
        <v>45889</v>
      </c>
      <c r="G312" s="18">
        <v>676378.33</v>
      </c>
      <c r="H312" s="37">
        <f t="shared" si="24"/>
        <v>42</v>
      </c>
      <c r="I312" s="37" t="str">
        <f t="shared" si="23"/>
        <v>0-120 DAYS</v>
      </c>
      <c r="J312" s="37" t="str">
        <f t="shared" si="25"/>
        <v>0-180 DAYS</v>
      </c>
      <c r="K312" t="s">
        <v>1730</v>
      </c>
      <c r="L312" s="66" t="s">
        <v>4192</v>
      </c>
      <c r="M312" s="66">
        <v>676378.33</v>
      </c>
    </row>
    <row r="313" spans="1:13" x14ac:dyDescent="0.35">
      <c r="A313" s="2" t="s">
        <v>1085</v>
      </c>
      <c r="B313" s="2" t="s">
        <v>790</v>
      </c>
      <c r="C313" s="18" t="s">
        <v>1086</v>
      </c>
      <c r="D313" s="37" t="s">
        <v>507</v>
      </c>
      <c r="E313" s="18" t="s">
        <v>4134</v>
      </c>
      <c r="F313" s="176">
        <v>45889</v>
      </c>
      <c r="G313" s="18">
        <v>2683834.37</v>
      </c>
      <c r="H313" s="37">
        <f t="shared" si="24"/>
        <v>42</v>
      </c>
      <c r="I313" s="37" t="str">
        <f t="shared" si="23"/>
        <v>0-120 DAYS</v>
      </c>
      <c r="J313" s="37" t="str">
        <f t="shared" si="25"/>
        <v>0-180 DAYS</v>
      </c>
      <c r="K313" t="s">
        <v>1730</v>
      </c>
      <c r="L313" s="66" t="s">
        <v>4192</v>
      </c>
      <c r="M313" s="66">
        <v>2683834.37</v>
      </c>
    </row>
    <row r="314" spans="1:13" x14ac:dyDescent="0.35">
      <c r="A314" s="2" t="s">
        <v>1085</v>
      </c>
      <c r="B314" s="2" t="s">
        <v>790</v>
      </c>
      <c r="C314" s="18" t="s">
        <v>635</v>
      </c>
      <c r="D314" s="37" t="s">
        <v>507</v>
      </c>
      <c r="E314" s="18" t="s">
        <v>4135</v>
      </c>
      <c r="F314" s="176">
        <v>45889</v>
      </c>
      <c r="G314" s="18">
        <v>3527107.63</v>
      </c>
      <c r="H314" s="37">
        <f t="shared" si="24"/>
        <v>42</v>
      </c>
      <c r="I314" s="37" t="str">
        <f t="shared" si="23"/>
        <v>0-120 DAYS</v>
      </c>
      <c r="J314" s="37" t="str">
        <f t="shared" si="25"/>
        <v>0-180 DAYS</v>
      </c>
      <c r="K314" t="s">
        <v>1730</v>
      </c>
      <c r="L314" s="66" t="s">
        <v>4192</v>
      </c>
      <c r="M314" s="66">
        <v>3527107.63</v>
      </c>
    </row>
    <row r="315" spans="1:13" x14ac:dyDescent="0.35">
      <c r="A315" s="2" t="s">
        <v>1085</v>
      </c>
      <c r="B315" s="2" t="s">
        <v>790</v>
      </c>
      <c r="C315" s="18" t="s">
        <v>650</v>
      </c>
      <c r="D315" s="37" t="s">
        <v>507</v>
      </c>
      <c r="E315" s="18" t="s">
        <v>4136</v>
      </c>
      <c r="F315" s="176">
        <v>45889</v>
      </c>
      <c r="G315" s="18">
        <v>3039120</v>
      </c>
      <c r="H315" s="37">
        <f t="shared" si="24"/>
        <v>42</v>
      </c>
      <c r="I315" s="37" t="str">
        <f t="shared" ref="I315:I330" si="26">IF(H315&lt;121,"0-120 DAYS",IF(H315&lt;181,"121-180 DAYS","More than 180 Days"))</f>
        <v>0-120 DAYS</v>
      </c>
      <c r="J315" s="37" t="str">
        <f t="shared" si="25"/>
        <v>0-180 DAYS</v>
      </c>
      <c r="K315" t="s">
        <v>1730</v>
      </c>
      <c r="L315" s="66" t="s">
        <v>4192</v>
      </c>
      <c r="M315" s="66">
        <v>3039120</v>
      </c>
    </row>
    <row r="316" spans="1:13" x14ac:dyDescent="0.35">
      <c r="A316" s="2" t="s">
        <v>1085</v>
      </c>
      <c r="B316" s="2" t="s">
        <v>790</v>
      </c>
      <c r="C316" s="18" t="s">
        <v>575</v>
      </c>
      <c r="D316" s="37" t="s">
        <v>507</v>
      </c>
      <c r="E316" s="18" t="s">
        <v>4137</v>
      </c>
      <c r="F316" s="176">
        <v>45890</v>
      </c>
      <c r="G316" s="18">
        <v>3875209.65</v>
      </c>
      <c r="H316" s="37">
        <f t="shared" si="24"/>
        <v>41</v>
      </c>
      <c r="I316" s="37" t="str">
        <f t="shared" si="26"/>
        <v>0-120 DAYS</v>
      </c>
      <c r="J316" s="37" t="str">
        <f t="shared" si="25"/>
        <v>0-180 DAYS</v>
      </c>
      <c r="K316" t="s">
        <v>1730</v>
      </c>
      <c r="L316" s="66" t="s">
        <v>4215</v>
      </c>
      <c r="M316" s="66">
        <v>3875209.65</v>
      </c>
    </row>
    <row r="317" spans="1:13" x14ac:dyDescent="0.35">
      <c r="A317" s="2" t="s">
        <v>1085</v>
      </c>
      <c r="B317" s="2" t="s">
        <v>790</v>
      </c>
      <c r="C317" s="18" t="s">
        <v>653</v>
      </c>
      <c r="D317" s="37" t="s">
        <v>507</v>
      </c>
      <c r="E317" s="18" t="s">
        <v>4138</v>
      </c>
      <c r="F317" s="176">
        <v>45890</v>
      </c>
      <c r="G317" s="18">
        <v>3276460.8</v>
      </c>
      <c r="H317" s="37">
        <f t="shared" si="24"/>
        <v>41</v>
      </c>
      <c r="I317" s="37" t="str">
        <f t="shared" si="26"/>
        <v>0-120 DAYS</v>
      </c>
      <c r="J317" s="37" t="str">
        <f t="shared" si="25"/>
        <v>0-180 DAYS</v>
      </c>
      <c r="K317" t="s">
        <v>1730</v>
      </c>
      <c r="L317" s="66" t="s">
        <v>4215</v>
      </c>
      <c r="M317" s="66">
        <v>3276460.8</v>
      </c>
    </row>
    <row r="318" spans="1:13" x14ac:dyDescent="0.35">
      <c r="A318" s="2" t="s">
        <v>1085</v>
      </c>
      <c r="B318" s="2" t="s">
        <v>790</v>
      </c>
      <c r="C318" s="18" t="s">
        <v>650</v>
      </c>
      <c r="D318" s="37" t="s">
        <v>507</v>
      </c>
      <c r="E318" s="18" t="s">
        <v>1819</v>
      </c>
      <c r="F318" s="176">
        <v>45890</v>
      </c>
      <c r="G318" s="18">
        <v>3940685.41</v>
      </c>
      <c r="H318" s="37">
        <f t="shared" si="24"/>
        <v>41</v>
      </c>
      <c r="I318" s="37" t="str">
        <f t="shared" si="26"/>
        <v>0-120 DAYS</v>
      </c>
      <c r="J318" s="37" t="str">
        <f t="shared" si="25"/>
        <v>0-180 DAYS</v>
      </c>
      <c r="K318" t="s">
        <v>1730</v>
      </c>
      <c r="L318" s="66" t="s">
        <v>4215</v>
      </c>
      <c r="M318" s="66">
        <v>3940685.41</v>
      </c>
    </row>
    <row r="319" spans="1:13" x14ac:dyDescent="0.35">
      <c r="A319" s="2" t="s">
        <v>1085</v>
      </c>
      <c r="B319" s="2" t="s">
        <v>790</v>
      </c>
      <c r="C319" s="18" t="s">
        <v>635</v>
      </c>
      <c r="D319" s="37" t="s">
        <v>507</v>
      </c>
      <c r="E319" s="18" t="s">
        <v>4139</v>
      </c>
      <c r="F319" s="176">
        <v>45892</v>
      </c>
      <c r="G319" s="18">
        <v>3229189.92</v>
      </c>
      <c r="H319" s="37">
        <f t="shared" si="24"/>
        <v>39</v>
      </c>
      <c r="I319" s="37" t="str">
        <f t="shared" si="26"/>
        <v>0-120 DAYS</v>
      </c>
      <c r="J319" s="37" t="str">
        <f t="shared" si="25"/>
        <v>0-180 DAYS</v>
      </c>
      <c r="K319" t="s">
        <v>1730</v>
      </c>
      <c r="L319" s="66" t="s">
        <v>4194</v>
      </c>
      <c r="M319" s="66">
        <v>3229189.92</v>
      </c>
    </row>
    <row r="320" spans="1:13" x14ac:dyDescent="0.35">
      <c r="A320" s="2" t="s">
        <v>1085</v>
      </c>
      <c r="B320" s="2" t="s">
        <v>790</v>
      </c>
      <c r="C320" s="18" t="s">
        <v>575</v>
      </c>
      <c r="D320" s="37" t="s">
        <v>507</v>
      </c>
      <c r="E320" s="18" t="s">
        <v>4140</v>
      </c>
      <c r="F320" s="176">
        <v>45892</v>
      </c>
      <c r="G320" s="18">
        <v>3529774.22</v>
      </c>
      <c r="H320" s="37">
        <f t="shared" si="24"/>
        <v>39</v>
      </c>
      <c r="I320" s="37" t="str">
        <f t="shared" si="26"/>
        <v>0-120 DAYS</v>
      </c>
      <c r="J320" s="37" t="str">
        <f t="shared" si="25"/>
        <v>0-180 DAYS</v>
      </c>
      <c r="K320" t="s">
        <v>1730</v>
      </c>
      <c r="L320" s="66" t="s">
        <v>4194</v>
      </c>
      <c r="M320" s="66">
        <v>3529774.22</v>
      </c>
    </row>
    <row r="321" spans="1:13" x14ac:dyDescent="0.35">
      <c r="A321" s="2" t="s">
        <v>1085</v>
      </c>
      <c r="B321" s="2" t="s">
        <v>790</v>
      </c>
      <c r="C321" s="18" t="s">
        <v>1086</v>
      </c>
      <c r="D321" s="37" t="s">
        <v>507</v>
      </c>
      <c r="E321" s="18" t="s">
        <v>4141</v>
      </c>
      <c r="F321" s="176">
        <v>45893</v>
      </c>
      <c r="G321" s="18">
        <v>726797.89</v>
      </c>
      <c r="H321" s="37">
        <f t="shared" si="24"/>
        <v>38</v>
      </c>
      <c r="I321" s="37" t="str">
        <f t="shared" si="26"/>
        <v>0-120 DAYS</v>
      </c>
      <c r="J321" s="37" t="str">
        <f t="shared" si="25"/>
        <v>0-180 DAYS</v>
      </c>
      <c r="K321" t="s">
        <v>1730</v>
      </c>
      <c r="L321" s="66" t="s">
        <v>4195</v>
      </c>
      <c r="M321" s="66">
        <v>726797.89</v>
      </c>
    </row>
    <row r="322" spans="1:13" x14ac:dyDescent="0.35">
      <c r="A322" s="2" t="s">
        <v>1085</v>
      </c>
      <c r="B322" s="2" t="s">
        <v>790</v>
      </c>
      <c r="C322" s="18" t="s">
        <v>1086</v>
      </c>
      <c r="D322" s="37" t="s">
        <v>507</v>
      </c>
      <c r="E322" s="18" t="s">
        <v>4142</v>
      </c>
      <c r="F322" s="176">
        <v>45893</v>
      </c>
      <c r="G322" s="18">
        <v>2501286.9500000002</v>
      </c>
      <c r="H322" s="37">
        <f t="shared" si="24"/>
        <v>38</v>
      </c>
      <c r="I322" s="37" t="str">
        <f t="shared" si="26"/>
        <v>0-120 DAYS</v>
      </c>
      <c r="J322" s="37" t="str">
        <f t="shared" si="25"/>
        <v>0-180 DAYS</v>
      </c>
      <c r="K322" t="s">
        <v>1730</v>
      </c>
      <c r="L322" s="66" t="s">
        <v>4195</v>
      </c>
      <c r="M322" s="66">
        <v>2501286.9500000002</v>
      </c>
    </row>
    <row r="323" spans="1:13" x14ac:dyDescent="0.35">
      <c r="A323" s="2" t="s">
        <v>1085</v>
      </c>
      <c r="B323" s="2" t="s">
        <v>790</v>
      </c>
      <c r="C323" s="18" t="s">
        <v>538</v>
      </c>
      <c r="D323" s="37" t="s">
        <v>507</v>
      </c>
      <c r="E323" s="18" t="s">
        <v>4143</v>
      </c>
      <c r="F323" s="176">
        <v>45894</v>
      </c>
      <c r="G323" s="18">
        <v>3401723.05</v>
      </c>
      <c r="H323" s="37">
        <f t="shared" si="24"/>
        <v>37</v>
      </c>
      <c r="I323" s="37" t="str">
        <f t="shared" si="26"/>
        <v>0-120 DAYS</v>
      </c>
      <c r="J323" s="37" t="str">
        <f t="shared" si="25"/>
        <v>0-180 DAYS</v>
      </c>
      <c r="K323" t="s">
        <v>1730</v>
      </c>
      <c r="L323" s="66" t="s">
        <v>4216</v>
      </c>
      <c r="M323" s="66">
        <v>3401723.05</v>
      </c>
    </row>
    <row r="324" spans="1:13" x14ac:dyDescent="0.35">
      <c r="A324" s="2" t="s">
        <v>1085</v>
      </c>
      <c r="B324" s="2" t="s">
        <v>790</v>
      </c>
      <c r="C324" s="18" t="s">
        <v>650</v>
      </c>
      <c r="D324" s="37" t="s">
        <v>507</v>
      </c>
      <c r="E324" s="18" t="s">
        <v>2111</v>
      </c>
      <c r="F324" s="176">
        <v>45895</v>
      </c>
      <c r="G324" s="18">
        <v>3347732.37</v>
      </c>
      <c r="H324" s="37">
        <f t="shared" si="24"/>
        <v>36</v>
      </c>
      <c r="I324" s="37" t="str">
        <f t="shared" si="26"/>
        <v>0-120 DAYS</v>
      </c>
      <c r="J324" s="37" t="str">
        <f t="shared" si="25"/>
        <v>0-180 DAYS</v>
      </c>
      <c r="K324" t="s">
        <v>1730</v>
      </c>
      <c r="L324" s="66" t="s">
        <v>4222</v>
      </c>
      <c r="M324" s="66">
        <v>3347732.37</v>
      </c>
    </row>
    <row r="325" spans="1:13" x14ac:dyDescent="0.35">
      <c r="A325" s="2" t="s">
        <v>1085</v>
      </c>
      <c r="B325" s="2" t="s">
        <v>790</v>
      </c>
      <c r="C325" s="18" t="s">
        <v>715</v>
      </c>
      <c r="D325" s="37" t="s">
        <v>507</v>
      </c>
      <c r="E325" s="18" t="s">
        <v>4144</v>
      </c>
      <c r="F325" s="176">
        <v>45896</v>
      </c>
      <c r="G325" s="18">
        <v>3541992.48</v>
      </c>
      <c r="H325" s="37">
        <f t="shared" si="24"/>
        <v>35</v>
      </c>
      <c r="I325" s="37" t="str">
        <f t="shared" si="26"/>
        <v>0-120 DAYS</v>
      </c>
      <c r="J325" s="37" t="str">
        <f t="shared" si="25"/>
        <v>0-180 DAYS</v>
      </c>
      <c r="K325" t="s">
        <v>1730</v>
      </c>
      <c r="L325" s="66" t="s">
        <v>4193</v>
      </c>
      <c r="M325" s="66">
        <v>3541992.48</v>
      </c>
    </row>
    <row r="326" spans="1:13" x14ac:dyDescent="0.35">
      <c r="A326" s="2" t="s">
        <v>1085</v>
      </c>
      <c r="B326" s="2" t="s">
        <v>790</v>
      </c>
      <c r="C326" s="18" t="s">
        <v>650</v>
      </c>
      <c r="D326" s="37" t="s">
        <v>507</v>
      </c>
      <c r="E326" s="18" t="s">
        <v>4145</v>
      </c>
      <c r="F326" s="176">
        <v>45896</v>
      </c>
      <c r="G326" s="18">
        <v>108111.3</v>
      </c>
      <c r="H326" s="37">
        <f t="shared" si="24"/>
        <v>35</v>
      </c>
      <c r="I326" s="37" t="str">
        <f t="shared" si="26"/>
        <v>0-120 DAYS</v>
      </c>
      <c r="J326" s="37" t="str">
        <f t="shared" si="25"/>
        <v>0-180 DAYS</v>
      </c>
      <c r="K326" t="s">
        <v>1730</v>
      </c>
      <c r="L326" s="66" t="s">
        <v>4193</v>
      </c>
      <c r="M326" s="66">
        <v>108111.3</v>
      </c>
    </row>
    <row r="327" spans="1:13" x14ac:dyDescent="0.35">
      <c r="A327" s="2" t="s">
        <v>1085</v>
      </c>
      <c r="B327" s="2" t="s">
        <v>790</v>
      </c>
      <c r="C327" s="18" t="s">
        <v>650</v>
      </c>
      <c r="D327" s="37" t="s">
        <v>507</v>
      </c>
      <c r="E327" s="18" t="s">
        <v>4146</v>
      </c>
      <c r="F327" s="176">
        <v>45897</v>
      </c>
      <c r="G327" s="18">
        <v>3061998.72</v>
      </c>
      <c r="H327" s="37">
        <f t="shared" si="24"/>
        <v>34</v>
      </c>
      <c r="I327" s="37" t="str">
        <f t="shared" si="26"/>
        <v>0-120 DAYS</v>
      </c>
      <c r="J327" s="37" t="str">
        <f t="shared" si="25"/>
        <v>0-180 DAYS</v>
      </c>
      <c r="K327" t="s">
        <v>1730</v>
      </c>
      <c r="L327" s="66" t="s">
        <v>4217</v>
      </c>
      <c r="M327" s="66">
        <v>3061998.72</v>
      </c>
    </row>
    <row r="328" spans="1:13" x14ac:dyDescent="0.35">
      <c r="A328" s="2" t="s">
        <v>1085</v>
      </c>
      <c r="B328" s="2" t="s">
        <v>790</v>
      </c>
      <c r="C328" s="18" t="s">
        <v>1086</v>
      </c>
      <c r="D328" s="37" t="s">
        <v>507</v>
      </c>
      <c r="E328" s="18" t="s">
        <v>4147</v>
      </c>
      <c r="F328" s="176">
        <v>45898</v>
      </c>
      <c r="G328" s="18">
        <v>3294072.66</v>
      </c>
      <c r="H328" s="37">
        <f t="shared" si="24"/>
        <v>33</v>
      </c>
      <c r="I328" s="37" t="str">
        <f t="shared" si="26"/>
        <v>0-120 DAYS</v>
      </c>
      <c r="J328" s="37" t="str">
        <f t="shared" si="25"/>
        <v>0-180 DAYS</v>
      </c>
      <c r="K328" t="s">
        <v>1730</v>
      </c>
      <c r="L328" s="66" t="s">
        <v>4218</v>
      </c>
      <c r="M328" s="66">
        <v>3294072.66</v>
      </c>
    </row>
    <row r="329" spans="1:13" x14ac:dyDescent="0.35">
      <c r="A329" s="2" t="s">
        <v>1085</v>
      </c>
      <c r="B329" s="2" t="s">
        <v>790</v>
      </c>
      <c r="C329" s="18" t="s">
        <v>1086</v>
      </c>
      <c r="D329" s="37" t="s">
        <v>507</v>
      </c>
      <c r="E329" s="18" t="s">
        <v>4148</v>
      </c>
      <c r="F329" s="176">
        <v>45898</v>
      </c>
      <c r="G329" s="18">
        <v>44961.919999999998</v>
      </c>
      <c r="H329" s="37">
        <f t="shared" si="24"/>
        <v>33</v>
      </c>
      <c r="I329" s="37" t="str">
        <f t="shared" si="26"/>
        <v>0-120 DAYS</v>
      </c>
      <c r="J329" s="37" t="str">
        <f t="shared" si="25"/>
        <v>0-180 DAYS</v>
      </c>
      <c r="K329" t="s">
        <v>1730</v>
      </c>
      <c r="L329" s="66" t="s">
        <v>4218</v>
      </c>
      <c r="M329" s="66">
        <v>44961.919999999998</v>
      </c>
    </row>
    <row r="330" spans="1:13" x14ac:dyDescent="0.35">
      <c r="A330" s="2" t="s">
        <v>1085</v>
      </c>
      <c r="B330" s="2" t="s">
        <v>790</v>
      </c>
      <c r="C330" s="18" t="s">
        <v>538</v>
      </c>
      <c r="D330" s="37" t="s">
        <v>507</v>
      </c>
      <c r="E330" s="18" t="s">
        <v>4149</v>
      </c>
      <c r="F330" s="176">
        <v>45898</v>
      </c>
      <c r="G330" s="18">
        <v>3418243.37</v>
      </c>
      <c r="H330" s="37">
        <f t="shared" si="24"/>
        <v>33</v>
      </c>
      <c r="I330" s="37" t="str">
        <f t="shared" si="26"/>
        <v>0-120 DAYS</v>
      </c>
      <c r="J330" s="37" t="str">
        <f t="shared" si="25"/>
        <v>0-180 DAYS</v>
      </c>
      <c r="K330" t="s">
        <v>1730</v>
      </c>
      <c r="L330" s="66" t="s">
        <v>4218</v>
      </c>
      <c r="M330" s="66">
        <v>3418243.37</v>
      </c>
    </row>
    <row r="331" spans="1:13" x14ac:dyDescent="0.35">
      <c r="A331" s="2" t="s">
        <v>477</v>
      </c>
      <c r="B331" s="2" t="s">
        <v>790</v>
      </c>
      <c r="C331" s="18" t="s">
        <v>1838</v>
      </c>
      <c r="D331" s="18" t="s">
        <v>2001</v>
      </c>
      <c r="E331" s="18" t="s">
        <v>4150</v>
      </c>
      <c r="F331" s="176">
        <v>45874</v>
      </c>
      <c r="G331" s="18">
        <v>816545.84</v>
      </c>
      <c r="H331" s="37">
        <f t="shared" si="24"/>
        <v>57</v>
      </c>
      <c r="I331" s="37" t="str">
        <f t="shared" ref="I331:I340" si="27">IF(H331&lt;91,"1-90 DAYS",IF(H331&lt;121,"91-120DAYS",IF(H331&lt;181,"121-180 DAYS","More than 180 Days")))</f>
        <v>1-90 DAYS</v>
      </c>
      <c r="J331" s="37" t="str">
        <f t="shared" si="25"/>
        <v>0-180 DAYS</v>
      </c>
      <c r="K331" t="s">
        <v>1730</v>
      </c>
      <c r="L331" s="66" t="s">
        <v>4208</v>
      </c>
      <c r="M331" s="66">
        <v>816545.84</v>
      </c>
    </row>
    <row r="332" spans="1:13" x14ac:dyDescent="0.35">
      <c r="A332" s="2" t="s">
        <v>477</v>
      </c>
      <c r="B332" s="2" t="s">
        <v>790</v>
      </c>
      <c r="C332" s="18" t="s">
        <v>1196</v>
      </c>
      <c r="D332" s="18" t="s">
        <v>1208</v>
      </c>
      <c r="E332" s="18" t="s">
        <v>203</v>
      </c>
      <c r="F332" s="176">
        <v>45889</v>
      </c>
      <c r="G332" s="18">
        <f>1998405-3318</f>
        <v>1995087</v>
      </c>
      <c r="H332" s="37">
        <f t="shared" ref="H332:H395" si="28">$H$9-F332+1</f>
        <v>42</v>
      </c>
      <c r="I332" s="37" t="str">
        <f t="shared" si="27"/>
        <v>1-90 DAYS</v>
      </c>
      <c r="J332" s="37" t="str">
        <f t="shared" si="25"/>
        <v>0-180 DAYS</v>
      </c>
      <c r="K332" t="s">
        <v>1730</v>
      </c>
      <c r="L332" s="66" t="s">
        <v>4192</v>
      </c>
      <c r="M332" s="66">
        <v>1995087</v>
      </c>
    </row>
    <row r="333" spans="1:13" x14ac:dyDescent="0.35">
      <c r="A333" s="2" t="s">
        <v>477</v>
      </c>
      <c r="B333" s="2" t="s">
        <v>790</v>
      </c>
      <c r="C333" s="18" t="s">
        <v>1087</v>
      </c>
      <c r="D333" s="18" t="s">
        <v>1088</v>
      </c>
      <c r="E333" s="18" t="s">
        <v>219</v>
      </c>
      <c r="F333" s="176">
        <v>45891</v>
      </c>
      <c r="G333" s="18">
        <v>357540</v>
      </c>
      <c r="H333" s="37">
        <f t="shared" si="28"/>
        <v>40</v>
      </c>
      <c r="I333" s="37" t="str">
        <f t="shared" si="27"/>
        <v>1-90 DAYS</v>
      </c>
      <c r="J333" s="37" t="str">
        <f t="shared" si="25"/>
        <v>0-180 DAYS</v>
      </c>
      <c r="K333" t="s">
        <v>1730</v>
      </c>
      <c r="L333" s="66" t="s">
        <v>4223</v>
      </c>
      <c r="M333" s="66">
        <v>357540</v>
      </c>
    </row>
    <row r="334" spans="1:13" x14ac:dyDescent="0.35">
      <c r="A334" s="2" t="s">
        <v>477</v>
      </c>
      <c r="B334" s="2" t="s">
        <v>790</v>
      </c>
      <c r="C334" s="18" t="s">
        <v>1087</v>
      </c>
      <c r="D334" s="18" t="s">
        <v>1088</v>
      </c>
      <c r="E334" s="18" t="s">
        <v>2804</v>
      </c>
      <c r="F334" s="176">
        <v>45892</v>
      </c>
      <c r="G334" s="18">
        <v>339663</v>
      </c>
      <c r="H334" s="37">
        <f t="shared" si="28"/>
        <v>39</v>
      </c>
      <c r="I334" s="37" t="str">
        <f t="shared" si="27"/>
        <v>1-90 DAYS</v>
      </c>
      <c r="J334" s="37" t="str">
        <f t="shared" ref="J334:J397" si="29">IF(H334&lt;180,"0-180 DAYS","More than 180 Days")</f>
        <v>0-180 DAYS</v>
      </c>
      <c r="K334" t="s">
        <v>1730</v>
      </c>
      <c r="L334" s="66" t="s">
        <v>4194</v>
      </c>
      <c r="M334" s="66">
        <v>339663</v>
      </c>
    </row>
    <row r="335" spans="1:13" x14ac:dyDescent="0.35">
      <c r="A335" s="2" t="s">
        <v>477</v>
      </c>
      <c r="B335" s="2" t="s">
        <v>790</v>
      </c>
      <c r="C335" s="18" t="s">
        <v>1087</v>
      </c>
      <c r="D335" s="18" t="s">
        <v>1088</v>
      </c>
      <c r="E335" s="18" t="s">
        <v>240</v>
      </c>
      <c r="F335" s="176">
        <v>45894</v>
      </c>
      <c r="G335" s="18">
        <v>331299</v>
      </c>
      <c r="H335" s="37">
        <f t="shared" si="28"/>
        <v>37</v>
      </c>
      <c r="I335" s="37" t="str">
        <f t="shared" si="27"/>
        <v>1-90 DAYS</v>
      </c>
      <c r="J335" s="37" t="str">
        <f t="shared" si="29"/>
        <v>0-180 DAYS</v>
      </c>
      <c r="K335" t="s">
        <v>1730</v>
      </c>
      <c r="L335" s="66" t="s">
        <v>4216</v>
      </c>
      <c r="M335" s="66">
        <v>331299</v>
      </c>
    </row>
    <row r="336" spans="1:13" x14ac:dyDescent="0.35">
      <c r="A336" s="2" t="s">
        <v>477</v>
      </c>
      <c r="B336" s="2" t="s">
        <v>790</v>
      </c>
      <c r="C336" s="18" t="s">
        <v>1838</v>
      </c>
      <c r="D336" s="18" t="s">
        <v>2001</v>
      </c>
      <c r="E336" s="18" t="s">
        <v>328</v>
      </c>
      <c r="F336" s="176">
        <v>45898</v>
      </c>
      <c r="G336" s="18">
        <v>710551.16</v>
      </c>
      <c r="H336" s="37">
        <f t="shared" si="28"/>
        <v>33</v>
      </c>
      <c r="I336" s="37" t="str">
        <f t="shared" si="27"/>
        <v>1-90 DAYS</v>
      </c>
      <c r="J336" s="37" t="str">
        <f t="shared" si="29"/>
        <v>0-180 DAYS</v>
      </c>
      <c r="K336" t="s">
        <v>1730</v>
      </c>
      <c r="L336" s="66" t="s">
        <v>4218</v>
      </c>
      <c r="M336" s="66">
        <v>710551.16</v>
      </c>
    </row>
    <row r="337" spans="1:13" x14ac:dyDescent="0.35">
      <c r="A337" s="2" t="s">
        <v>477</v>
      </c>
      <c r="B337" s="2" t="s">
        <v>790</v>
      </c>
      <c r="C337" s="18" t="s">
        <v>1840</v>
      </c>
      <c r="D337" s="18" t="s">
        <v>2003</v>
      </c>
      <c r="E337" s="18" t="s">
        <v>4151</v>
      </c>
      <c r="F337" s="176">
        <v>45880</v>
      </c>
      <c r="G337" s="18">
        <v>287920</v>
      </c>
      <c r="H337" s="37">
        <f t="shared" si="28"/>
        <v>51</v>
      </c>
      <c r="I337" s="37" t="str">
        <f t="shared" si="27"/>
        <v>1-90 DAYS</v>
      </c>
      <c r="J337" s="37" t="str">
        <f t="shared" si="29"/>
        <v>0-180 DAYS</v>
      </c>
      <c r="K337" t="s">
        <v>1730</v>
      </c>
      <c r="L337" s="66" t="s">
        <v>4224</v>
      </c>
      <c r="M337" s="66">
        <v>287920</v>
      </c>
    </row>
    <row r="338" spans="1:13" x14ac:dyDescent="0.35">
      <c r="A338" s="2" t="s">
        <v>477</v>
      </c>
      <c r="B338" s="2" t="s">
        <v>790</v>
      </c>
      <c r="C338" s="18" t="s">
        <v>259</v>
      </c>
      <c r="D338" s="18" t="s">
        <v>260</v>
      </c>
      <c r="E338" s="18" t="s">
        <v>2217</v>
      </c>
      <c r="F338" s="176">
        <v>45882</v>
      </c>
      <c r="G338" s="18">
        <v>14438.05</v>
      </c>
      <c r="H338" s="37">
        <f t="shared" si="28"/>
        <v>49</v>
      </c>
      <c r="I338" s="37" t="str">
        <f t="shared" si="27"/>
        <v>1-90 DAYS</v>
      </c>
      <c r="J338" s="37" t="str">
        <f t="shared" si="29"/>
        <v>0-180 DAYS</v>
      </c>
      <c r="K338" t="s">
        <v>1730</v>
      </c>
      <c r="L338" s="66" t="s">
        <v>4210</v>
      </c>
      <c r="M338" s="66">
        <v>1897246.8</v>
      </c>
    </row>
    <row r="339" spans="1:13" x14ac:dyDescent="0.35">
      <c r="A339" s="2" t="s">
        <v>477</v>
      </c>
      <c r="B339" s="2" t="s">
        <v>790</v>
      </c>
      <c r="C339" s="18" t="s">
        <v>263</v>
      </c>
      <c r="D339" s="18" t="s">
        <v>264</v>
      </c>
      <c r="E339" s="18" t="s">
        <v>4152</v>
      </c>
      <c r="F339" s="176">
        <v>45890</v>
      </c>
      <c r="G339" s="18">
        <v>691354.92</v>
      </c>
      <c r="H339" s="37">
        <f t="shared" si="28"/>
        <v>41</v>
      </c>
      <c r="I339" s="37" t="str">
        <f t="shared" si="27"/>
        <v>1-90 DAYS</v>
      </c>
      <c r="J339" s="37" t="str">
        <f t="shared" si="29"/>
        <v>0-180 DAYS</v>
      </c>
      <c r="K339" t="s">
        <v>1730</v>
      </c>
      <c r="L339" s="66" t="s">
        <v>4215</v>
      </c>
      <c r="M339" s="66">
        <v>691354.92</v>
      </c>
    </row>
    <row r="340" spans="1:13" x14ac:dyDescent="0.35">
      <c r="A340" s="2" t="s">
        <v>477</v>
      </c>
      <c r="B340" s="2" t="s">
        <v>790</v>
      </c>
      <c r="C340" s="18" t="s">
        <v>32</v>
      </c>
      <c r="D340" s="18" t="s">
        <v>33</v>
      </c>
      <c r="E340" s="18" t="s">
        <v>2223</v>
      </c>
      <c r="F340" s="176">
        <v>45891</v>
      </c>
      <c r="G340" s="18">
        <v>900</v>
      </c>
      <c r="H340" s="37">
        <f t="shared" si="28"/>
        <v>40</v>
      </c>
      <c r="I340" s="37" t="str">
        <f t="shared" si="27"/>
        <v>1-90 DAYS</v>
      </c>
      <c r="J340" s="37" t="str">
        <f t="shared" si="29"/>
        <v>0-180 DAYS</v>
      </c>
      <c r="K340" t="s">
        <v>1730</v>
      </c>
      <c r="L340" s="66" t="s">
        <v>4223</v>
      </c>
      <c r="M340" s="66">
        <v>1062000</v>
      </c>
    </row>
    <row r="341" spans="1:13" x14ac:dyDescent="0.35">
      <c r="A341" s="2" t="s">
        <v>477</v>
      </c>
      <c r="B341" s="2" t="s">
        <v>790</v>
      </c>
      <c r="C341" s="18" t="s">
        <v>3096</v>
      </c>
      <c r="D341" s="18" t="s">
        <v>3100</v>
      </c>
      <c r="E341" s="18" t="s">
        <v>4153</v>
      </c>
      <c r="F341" s="176">
        <v>45899</v>
      </c>
      <c r="G341" s="18">
        <f>469050-230100</f>
        <v>238950</v>
      </c>
      <c r="H341" s="37">
        <f t="shared" si="28"/>
        <v>32</v>
      </c>
      <c r="I341" s="37" t="str">
        <f>IF(H341&lt;91,"1-90 DAYS",IF(H341&lt;121,"91-120DAYS",IF(H341&lt;181,"121-180 DAYS","More than 180 Days")))</f>
        <v>1-90 DAYS</v>
      </c>
      <c r="J341" s="37" t="str">
        <f t="shared" si="29"/>
        <v>0-180 DAYS</v>
      </c>
      <c r="K341" t="s">
        <v>1730</v>
      </c>
      <c r="L341" s="66" t="s">
        <v>4219</v>
      </c>
      <c r="M341" s="66">
        <v>238950</v>
      </c>
    </row>
    <row r="342" spans="1:13" x14ac:dyDescent="0.35">
      <c r="A342" s="2" t="s">
        <v>1085</v>
      </c>
      <c r="B342" s="2" t="s">
        <v>790</v>
      </c>
      <c r="C342" s="18" t="s">
        <v>1086</v>
      </c>
      <c r="D342" s="37" t="s">
        <v>507</v>
      </c>
      <c r="E342" s="18" t="s">
        <v>4229</v>
      </c>
      <c r="F342" s="176">
        <v>45901</v>
      </c>
      <c r="G342" s="18">
        <v>1316776.55</v>
      </c>
      <c r="H342" s="37">
        <f t="shared" si="28"/>
        <v>30</v>
      </c>
      <c r="I342" s="37" t="str">
        <f t="shared" ref="I342:I405" si="30">IF(H342&lt;121,"0-120 DAYS",IF(H342&lt;181,"121-180 DAYS","More than 180 Days"))</f>
        <v>0-120 DAYS</v>
      </c>
      <c r="J342" s="37" t="str">
        <f t="shared" si="29"/>
        <v>0-180 DAYS</v>
      </c>
    </row>
    <row r="343" spans="1:13" x14ac:dyDescent="0.35">
      <c r="A343" s="2" t="s">
        <v>1085</v>
      </c>
      <c r="B343" s="2" t="s">
        <v>790</v>
      </c>
      <c r="C343" s="18" t="s">
        <v>1086</v>
      </c>
      <c r="D343" s="37" t="s">
        <v>507</v>
      </c>
      <c r="E343" s="18" t="s">
        <v>4230</v>
      </c>
      <c r="F343" s="176">
        <v>45901</v>
      </c>
      <c r="G343" s="18">
        <v>713853.23</v>
      </c>
      <c r="H343" s="37">
        <f t="shared" si="28"/>
        <v>30</v>
      </c>
      <c r="I343" s="37" t="str">
        <f t="shared" si="30"/>
        <v>0-120 DAYS</v>
      </c>
      <c r="J343" s="37" t="str">
        <f t="shared" si="29"/>
        <v>0-180 DAYS</v>
      </c>
    </row>
    <row r="344" spans="1:13" x14ac:dyDescent="0.35">
      <c r="A344" s="2" t="s">
        <v>1085</v>
      </c>
      <c r="B344" s="2" t="s">
        <v>790</v>
      </c>
      <c r="C344" s="18" t="s">
        <v>1086</v>
      </c>
      <c r="D344" s="37" t="s">
        <v>507</v>
      </c>
      <c r="E344" s="18" t="s">
        <v>4231</v>
      </c>
      <c r="F344" s="176">
        <v>45901</v>
      </c>
      <c r="G344" s="18">
        <v>536510.52</v>
      </c>
      <c r="H344" s="37">
        <f t="shared" si="28"/>
        <v>30</v>
      </c>
      <c r="I344" s="37" t="str">
        <f t="shared" si="30"/>
        <v>0-120 DAYS</v>
      </c>
      <c r="J344" s="37" t="str">
        <f t="shared" si="29"/>
        <v>0-180 DAYS</v>
      </c>
    </row>
    <row r="345" spans="1:13" x14ac:dyDescent="0.35">
      <c r="A345" s="2" t="s">
        <v>1085</v>
      </c>
      <c r="B345" s="2" t="s">
        <v>790</v>
      </c>
      <c r="C345" s="18" t="s">
        <v>814</v>
      </c>
      <c r="D345" s="37" t="s">
        <v>507</v>
      </c>
      <c r="E345" s="18" t="s">
        <v>4232</v>
      </c>
      <c r="F345" s="176">
        <v>45901</v>
      </c>
      <c r="G345" s="18">
        <v>63405.440000000002</v>
      </c>
      <c r="H345" s="37">
        <f t="shared" si="28"/>
        <v>30</v>
      </c>
      <c r="I345" s="37" t="str">
        <f t="shared" si="30"/>
        <v>0-120 DAYS</v>
      </c>
      <c r="J345" s="37" t="str">
        <f t="shared" si="29"/>
        <v>0-180 DAYS</v>
      </c>
    </row>
    <row r="346" spans="1:13" x14ac:dyDescent="0.35">
      <c r="A346" s="2" t="s">
        <v>1085</v>
      </c>
      <c r="B346" s="2" t="s">
        <v>790</v>
      </c>
      <c r="C346" s="18" t="s">
        <v>3796</v>
      </c>
      <c r="D346" s="37" t="s">
        <v>507</v>
      </c>
      <c r="E346" s="18" t="s">
        <v>4233</v>
      </c>
      <c r="F346" s="176">
        <v>45902</v>
      </c>
      <c r="G346" s="18">
        <v>3365938.36</v>
      </c>
      <c r="H346" s="37">
        <f t="shared" si="28"/>
        <v>29</v>
      </c>
      <c r="I346" s="37" t="str">
        <f t="shared" si="30"/>
        <v>0-120 DAYS</v>
      </c>
      <c r="J346" s="37" t="str">
        <f t="shared" si="29"/>
        <v>0-180 DAYS</v>
      </c>
    </row>
    <row r="347" spans="1:13" x14ac:dyDescent="0.35">
      <c r="A347" s="2" t="s">
        <v>1085</v>
      </c>
      <c r="B347" s="2" t="s">
        <v>790</v>
      </c>
      <c r="C347" s="18" t="s">
        <v>598</v>
      </c>
      <c r="D347" s="37" t="s">
        <v>507</v>
      </c>
      <c r="E347" s="18" t="s">
        <v>1798</v>
      </c>
      <c r="F347" s="176">
        <v>45902</v>
      </c>
      <c r="G347" s="18">
        <v>3918048.6</v>
      </c>
      <c r="H347" s="37">
        <f t="shared" si="28"/>
        <v>29</v>
      </c>
      <c r="I347" s="37" t="str">
        <f t="shared" si="30"/>
        <v>0-120 DAYS</v>
      </c>
      <c r="J347" s="37" t="str">
        <f t="shared" si="29"/>
        <v>0-180 DAYS</v>
      </c>
    </row>
    <row r="348" spans="1:13" x14ac:dyDescent="0.35">
      <c r="A348" s="2" t="s">
        <v>1085</v>
      </c>
      <c r="B348" s="2" t="s">
        <v>790</v>
      </c>
      <c r="C348" s="18" t="s">
        <v>4227</v>
      </c>
      <c r="D348" s="37" t="s">
        <v>507</v>
      </c>
      <c r="E348" s="18" t="s">
        <v>4234</v>
      </c>
      <c r="F348" s="176">
        <v>45903</v>
      </c>
      <c r="G348" s="18">
        <v>3411864.96</v>
      </c>
      <c r="H348" s="37">
        <f t="shared" si="28"/>
        <v>28</v>
      </c>
      <c r="I348" s="37" t="str">
        <f t="shared" si="30"/>
        <v>0-120 DAYS</v>
      </c>
      <c r="J348" s="37" t="str">
        <f t="shared" si="29"/>
        <v>0-180 DAYS</v>
      </c>
    </row>
    <row r="349" spans="1:13" x14ac:dyDescent="0.35">
      <c r="A349" s="2" t="s">
        <v>1085</v>
      </c>
      <c r="B349" s="2" t="s">
        <v>790</v>
      </c>
      <c r="C349" s="18" t="s">
        <v>2066</v>
      </c>
      <c r="D349" s="37" t="s">
        <v>507</v>
      </c>
      <c r="E349" s="18" t="s">
        <v>4235</v>
      </c>
      <c r="F349" s="176">
        <v>45904</v>
      </c>
      <c r="G349" s="18">
        <v>3585890.55</v>
      </c>
      <c r="H349" s="37">
        <f t="shared" si="28"/>
        <v>27</v>
      </c>
      <c r="I349" s="37" t="str">
        <f t="shared" si="30"/>
        <v>0-120 DAYS</v>
      </c>
      <c r="J349" s="37" t="str">
        <f t="shared" si="29"/>
        <v>0-180 DAYS</v>
      </c>
    </row>
    <row r="350" spans="1:13" x14ac:dyDescent="0.35">
      <c r="A350" s="2" t="s">
        <v>1085</v>
      </c>
      <c r="B350" s="2" t="s">
        <v>790</v>
      </c>
      <c r="C350" s="18" t="s">
        <v>2066</v>
      </c>
      <c r="D350" s="37" t="s">
        <v>507</v>
      </c>
      <c r="E350" s="18" t="s">
        <v>4236</v>
      </c>
      <c r="F350" s="176">
        <v>45904</v>
      </c>
      <c r="G350" s="18">
        <v>1874805.24</v>
      </c>
      <c r="H350" s="37">
        <f t="shared" si="28"/>
        <v>27</v>
      </c>
      <c r="I350" s="37" t="str">
        <f t="shared" si="30"/>
        <v>0-120 DAYS</v>
      </c>
      <c r="J350" s="37" t="str">
        <f t="shared" si="29"/>
        <v>0-180 DAYS</v>
      </c>
    </row>
    <row r="351" spans="1:13" x14ac:dyDescent="0.35">
      <c r="A351" s="2" t="s">
        <v>1085</v>
      </c>
      <c r="B351" s="2" t="s">
        <v>790</v>
      </c>
      <c r="C351" s="18" t="s">
        <v>814</v>
      </c>
      <c r="D351" s="37" t="s">
        <v>507</v>
      </c>
      <c r="E351" s="18" t="s">
        <v>4237</v>
      </c>
      <c r="F351" s="176">
        <v>45904</v>
      </c>
      <c r="G351" s="18">
        <v>114873</v>
      </c>
      <c r="H351" s="37">
        <f t="shared" si="28"/>
        <v>27</v>
      </c>
      <c r="I351" s="37" t="str">
        <f t="shared" si="30"/>
        <v>0-120 DAYS</v>
      </c>
      <c r="J351" s="37" t="str">
        <f t="shared" si="29"/>
        <v>0-180 DAYS</v>
      </c>
    </row>
    <row r="352" spans="1:13" x14ac:dyDescent="0.35">
      <c r="A352" s="2" t="s">
        <v>1085</v>
      </c>
      <c r="B352" s="2" t="s">
        <v>790</v>
      </c>
      <c r="C352" s="18" t="s">
        <v>575</v>
      </c>
      <c r="D352" s="37" t="s">
        <v>507</v>
      </c>
      <c r="E352" s="18" t="s">
        <v>4238</v>
      </c>
      <c r="F352" s="176">
        <v>45905</v>
      </c>
      <c r="G352" s="18">
        <v>3814035.14</v>
      </c>
      <c r="H352" s="37">
        <f t="shared" si="28"/>
        <v>26</v>
      </c>
      <c r="I352" s="37" t="str">
        <f t="shared" si="30"/>
        <v>0-120 DAYS</v>
      </c>
      <c r="J352" s="37" t="str">
        <f t="shared" si="29"/>
        <v>0-180 DAYS</v>
      </c>
    </row>
    <row r="353" spans="1:10" x14ac:dyDescent="0.35">
      <c r="A353" s="2" t="s">
        <v>1085</v>
      </c>
      <c r="B353" s="2" t="s">
        <v>790</v>
      </c>
      <c r="C353" s="18" t="s">
        <v>506</v>
      </c>
      <c r="D353" s="37" t="s">
        <v>507</v>
      </c>
      <c r="E353" s="18" t="s">
        <v>4239</v>
      </c>
      <c r="F353" s="176">
        <v>45905</v>
      </c>
      <c r="G353" s="18">
        <v>2407874.5600000001</v>
      </c>
      <c r="H353" s="37">
        <f t="shared" si="28"/>
        <v>26</v>
      </c>
      <c r="I353" s="37" t="str">
        <f t="shared" si="30"/>
        <v>0-120 DAYS</v>
      </c>
      <c r="J353" s="37" t="str">
        <f t="shared" si="29"/>
        <v>0-180 DAYS</v>
      </c>
    </row>
    <row r="354" spans="1:10" x14ac:dyDescent="0.35">
      <c r="A354" s="2" t="s">
        <v>1085</v>
      </c>
      <c r="B354" s="2" t="s">
        <v>790</v>
      </c>
      <c r="C354" s="18" t="s">
        <v>506</v>
      </c>
      <c r="D354" s="37" t="s">
        <v>507</v>
      </c>
      <c r="E354" s="18" t="s">
        <v>4240</v>
      </c>
      <c r="F354" s="176">
        <v>45905</v>
      </c>
      <c r="G354" s="18">
        <v>382490.99</v>
      </c>
      <c r="H354" s="37">
        <f t="shared" si="28"/>
        <v>26</v>
      </c>
      <c r="I354" s="37" t="str">
        <f t="shared" si="30"/>
        <v>0-120 DAYS</v>
      </c>
      <c r="J354" s="37" t="str">
        <f t="shared" si="29"/>
        <v>0-180 DAYS</v>
      </c>
    </row>
    <row r="355" spans="1:10" x14ac:dyDescent="0.35">
      <c r="A355" s="2" t="s">
        <v>1085</v>
      </c>
      <c r="B355" s="2" t="s">
        <v>790</v>
      </c>
      <c r="C355" s="18" t="s">
        <v>506</v>
      </c>
      <c r="D355" s="37" t="s">
        <v>507</v>
      </c>
      <c r="E355" s="18" t="s">
        <v>4241</v>
      </c>
      <c r="F355" s="176">
        <v>45905</v>
      </c>
      <c r="G355" s="18">
        <v>345305.54</v>
      </c>
      <c r="H355" s="37">
        <f t="shared" si="28"/>
        <v>26</v>
      </c>
      <c r="I355" s="37" t="str">
        <f t="shared" si="30"/>
        <v>0-120 DAYS</v>
      </c>
      <c r="J355" s="37" t="str">
        <f t="shared" si="29"/>
        <v>0-180 DAYS</v>
      </c>
    </row>
    <row r="356" spans="1:10" x14ac:dyDescent="0.35">
      <c r="A356" s="2" t="s">
        <v>1085</v>
      </c>
      <c r="B356" s="2" t="s">
        <v>790</v>
      </c>
      <c r="C356" s="18" t="s">
        <v>681</v>
      </c>
      <c r="D356" s="37" t="s">
        <v>507</v>
      </c>
      <c r="E356" s="18" t="s">
        <v>1800</v>
      </c>
      <c r="F356" s="176">
        <v>45905</v>
      </c>
      <c r="G356" s="18">
        <v>3625534.08</v>
      </c>
      <c r="H356" s="37">
        <f t="shared" si="28"/>
        <v>26</v>
      </c>
      <c r="I356" s="37" t="str">
        <f t="shared" si="30"/>
        <v>0-120 DAYS</v>
      </c>
      <c r="J356" s="37" t="str">
        <f t="shared" si="29"/>
        <v>0-180 DAYS</v>
      </c>
    </row>
    <row r="357" spans="1:10" x14ac:dyDescent="0.35">
      <c r="A357" s="2" t="s">
        <v>1085</v>
      </c>
      <c r="B357" s="2" t="s">
        <v>790</v>
      </c>
      <c r="C357" s="18" t="s">
        <v>3797</v>
      </c>
      <c r="D357" s="37" t="s">
        <v>507</v>
      </c>
      <c r="E357" s="18" t="s">
        <v>4242</v>
      </c>
      <c r="F357" s="176">
        <v>45907</v>
      </c>
      <c r="G357" s="18">
        <v>3988795.2</v>
      </c>
      <c r="H357" s="37">
        <f t="shared" si="28"/>
        <v>24</v>
      </c>
      <c r="I357" s="37" t="str">
        <f t="shared" si="30"/>
        <v>0-120 DAYS</v>
      </c>
      <c r="J357" s="37" t="str">
        <f t="shared" si="29"/>
        <v>0-180 DAYS</v>
      </c>
    </row>
    <row r="358" spans="1:10" x14ac:dyDescent="0.35">
      <c r="A358" s="2" t="s">
        <v>1085</v>
      </c>
      <c r="B358" s="2" t="s">
        <v>790</v>
      </c>
      <c r="C358" s="18" t="s">
        <v>1244</v>
      </c>
      <c r="D358" s="37" t="s">
        <v>507</v>
      </c>
      <c r="E358" s="18" t="s">
        <v>4243</v>
      </c>
      <c r="F358" s="176">
        <v>45909</v>
      </c>
      <c r="G358" s="18">
        <v>3716917.97</v>
      </c>
      <c r="H358" s="37">
        <f t="shared" si="28"/>
        <v>22</v>
      </c>
      <c r="I358" s="37" t="str">
        <f t="shared" si="30"/>
        <v>0-120 DAYS</v>
      </c>
      <c r="J358" s="37" t="str">
        <f t="shared" si="29"/>
        <v>0-180 DAYS</v>
      </c>
    </row>
    <row r="359" spans="1:10" x14ac:dyDescent="0.35">
      <c r="A359" s="2" t="s">
        <v>1085</v>
      </c>
      <c r="B359" s="2" t="s">
        <v>790</v>
      </c>
      <c r="C359" s="18" t="s">
        <v>540</v>
      </c>
      <c r="D359" s="37" t="s">
        <v>507</v>
      </c>
      <c r="E359" s="18" t="s">
        <v>4244</v>
      </c>
      <c r="F359" s="176">
        <v>45909</v>
      </c>
      <c r="G359" s="18">
        <v>2617779.87</v>
      </c>
      <c r="H359" s="37">
        <f t="shared" si="28"/>
        <v>22</v>
      </c>
      <c r="I359" s="37" t="str">
        <f t="shared" si="30"/>
        <v>0-120 DAYS</v>
      </c>
      <c r="J359" s="37" t="str">
        <f t="shared" si="29"/>
        <v>0-180 DAYS</v>
      </c>
    </row>
    <row r="360" spans="1:10" x14ac:dyDescent="0.35">
      <c r="A360" s="2" t="s">
        <v>1085</v>
      </c>
      <c r="B360" s="2" t="s">
        <v>790</v>
      </c>
      <c r="C360" s="18" t="s">
        <v>540</v>
      </c>
      <c r="D360" s="37" t="s">
        <v>507</v>
      </c>
      <c r="E360" s="18" t="s">
        <v>4245</v>
      </c>
      <c r="F360" s="176">
        <v>45909</v>
      </c>
      <c r="G360" s="18">
        <v>957339.2</v>
      </c>
      <c r="H360" s="37">
        <f t="shared" si="28"/>
        <v>22</v>
      </c>
      <c r="I360" s="37" t="str">
        <f t="shared" si="30"/>
        <v>0-120 DAYS</v>
      </c>
      <c r="J360" s="37" t="str">
        <f t="shared" si="29"/>
        <v>0-180 DAYS</v>
      </c>
    </row>
    <row r="361" spans="1:10" x14ac:dyDescent="0.35">
      <c r="A361" s="2" t="s">
        <v>1085</v>
      </c>
      <c r="B361" s="2" t="s">
        <v>790</v>
      </c>
      <c r="C361" s="18" t="s">
        <v>2066</v>
      </c>
      <c r="D361" s="37" t="s">
        <v>507</v>
      </c>
      <c r="E361" s="18" t="s">
        <v>4246</v>
      </c>
      <c r="F361" s="176">
        <v>45910</v>
      </c>
      <c r="G361" s="18">
        <v>3845404.94</v>
      </c>
      <c r="H361" s="37">
        <f t="shared" si="28"/>
        <v>21</v>
      </c>
      <c r="I361" s="37" t="str">
        <f t="shared" si="30"/>
        <v>0-120 DAYS</v>
      </c>
      <c r="J361" s="37" t="str">
        <f t="shared" si="29"/>
        <v>0-180 DAYS</v>
      </c>
    </row>
    <row r="362" spans="1:10" x14ac:dyDescent="0.35">
      <c r="A362" s="2" t="s">
        <v>1085</v>
      </c>
      <c r="B362" s="2" t="s">
        <v>790</v>
      </c>
      <c r="C362" s="18" t="s">
        <v>1244</v>
      </c>
      <c r="D362" s="37" t="s">
        <v>507</v>
      </c>
      <c r="E362" s="18" t="s">
        <v>4247</v>
      </c>
      <c r="F362" s="176">
        <v>45910</v>
      </c>
      <c r="G362" s="18">
        <v>3683213.19</v>
      </c>
      <c r="H362" s="37">
        <f t="shared" si="28"/>
        <v>21</v>
      </c>
      <c r="I362" s="37" t="str">
        <f t="shared" si="30"/>
        <v>0-120 DAYS</v>
      </c>
      <c r="J362" s="37" t="str">
        <f t="shared" si="29"/>
        <v>0-180 DAYS</v>
      </c>
    </row>
    <row r="363" spans="1:10" x14ac:dyDescent="0.35">
      <c r="A363" s="2" t="s">
        <v>1085</v>
      </c>
      <c r="B363" s="2" t="s">
        <v>790</v>
      </c>
      <c r="C363" s="18" t="s">
        <v>536</v>
      </c>
      <c r="D363" s="37" t="s">
        <v>507</v>
      </c>
      <c r="E363" s="18" t="s">
        <v>4248</v>
      </c>
      <c r="F363" s="176">
        <v>45911</v>
      </c>
      <c r="G363" s="18">
        <v>3127289.7</v>
      </c>
      <c r="H363" s="37">
        <f t="shared" si="28"/>
        <v>20</v>
      </c>
      <c r="I363" s="37" t="str">
        <f t="shared" si="30"/>
        <v>0-120 DAYS</v>
      </c>
      <c r="J363" s="37" t="str">
        <f t="shared" si="29"/>
        <v>0-180 DAYS</v>
      </c>
    </row>
    <row r="364" spans="1:10" x14ac:dyDescent="0.35">
      <c r="A364" s="2" t="s">
        <v>1085</v>
      </c>
      <c r="B364" s="2" t="s">
        <v>790</v>
      </c>
      <c r="C364" s="18" t="s">
        <v>1086</v>
      </c>
      <c r="D364" s="37" t="s">
        <v>507</v>
      </c>
      <c r="E364" s="18" t="s">
        <v>4249</v>
      </c>
      <c r="F364" s="176">
        <v>45912</v>
      </c>
      <c r="G364" s="18">
        <v>519484.76</v>
      </c>
      <c r="H364" s="37">
        <f t="shared" si="28"/>
        <v>19</v>
      </c>
      <c r="I364" s="37" t="str">
        <f t="shared" si="30"/>
        <v>0-120 DAYS</v>
      </c>
      <c r="J364" s="37" t="str">
        <f t="shared" si="29"/>
        <v>0-180 DAYS</v>
      </c>
    </row>
    <row r="365" spans="1:10" x14ac:dyDescent="0.35">
      <c r="A365" s="2" t="s">
        <v>1085</v>
      </c>
      <c r="B365" s="2" t="s">
        <v>790</v>
      </c>
      <c r="C365" s="18" t="s">
        <v>1086</v>
      </c>
      <c r="D365" s="37" t="s">
        <v>507</v>
      </c>
      <c r="E365" s="18" t="s">
        <v>4250</v>
      </c>
      <c r="F365" s="176">
        <v>45912</v>
      </c>
      <c r="G365" s="18">
        <v>818769.24</v>
      </c>
      <c r="H365" s="37">
        <f t="shared" si="28"/>
        <v>19</v>
      </c>
      <c r="I365" s="37" t="str">
        <f t="shared" si="30"/>
        <v>0-120 DAYS</v>
      </c>
      <c r="J365" s="37" t="str">
        <f t="shared" si="29"/>
        <v>0-180 DAYS</v>
      </c>
    </row>
    <row r="366" spans="1:10" x14ac:dyDescent="0.35">
      <c r="A366" s="2" t="s">
        <v>1085</v>
      </c>
      <c r="B366" s="2" t="s">
        <v>790</v>
      </c>
      <c r="C366" s="18" t="s">
        <v>1086</v>
      </c>
      <c r="D366" s="37" t="s">
        <v>507</v>
      </c>
      <c r="E366" s="18" t="s">
        <v>4251</v>
      </c>
      <c r="F366" s="176">
        <v>45912</v>
      </c>
      <c r="G366" s="18">
        <v>1176513.29</v>
      </c>
      <c r="H366" s="37">
        <f t="shared" si="28"/>
        <v>19</v>
      </c>
      <c r="I366" s="37" t="str">
        <f t="shared" si="30"/>
        <v>0-120 DAYS</v>
      </c>
      <c r="J366" s="37" t="str">
        <f t="shared" si="29"/>
        <v>0-180 DAYS</v>
      </c>
    </row>
    <row r="367" spans="1:10" x14ac:dyDescent="0.35">
      <c r="A367" s="2" t="s">
        <v>1085</v>
      </c>
      <c r="B367" s="2" t="s">
        <v>790</v>
      </c>
      <c r="C367" s="18" t="s">
        <v>1086</v>
      </c>
      <c r="D367" s="37" t="s">
        <v>507</v>
      </c>
      <c r="E367" s="18" t="s">
        <v>4252</v>
      </c>
      <c r="F367" s="176">
        <v>45912</v>
      </c>
      <c r="G367" s="18">
        <v>32192.75</v>
      </c>
      <c r="H367" s="37">
        <f t="shared" si="28"/>
        <v>19</v>
      </c>
      <c r="I367" s="37" t="str">
        <f t="shared" si="30"/>
        <v>0-120 DAYS</v>
      </c>
      <c r="J367" s="37" t="str">
        <f t="shared" si="29"/>
        <v>0-180 DAYS</v>
      </c>
    </row>
    <row r="368" spans="1:10" x14ac:dyDescent="0.35">
      <c r="A368" s="2" t="s">
        <v>1085</v>
      </c>
      <c r="B368" s="2" t="s">
        <v>790</v>
      </c>
      <c r="C368" s="18" t="s">
        <v>2066</v>
      </c>
      <c r="D368" s="37" t="s">
        <v>507</v>
      </c>
      <c r="E368" s="18" t="s">
        <v>4253</v>
      </c>
      <c r="F368" s="176">
        <v>45914</v>
      </c>
      <c r="G368" s="18">
        <v>4758645.8</v>
      </c>
      <c r="H368" s="37">
        <f t="shared" si="28"/>
        <v>17</v>
      </c>
      <c r="I368" s="37" t="str">
        <f t="shared" si="30"/>
        <v>0-120 DAYS</v>
      </c>
      <c r="J368" s="37" t="str">
        <f t="shared" si="29"/>
        <v>0-180 DAYS</v>
      </c>
    </row>
    <row r="369" spans="1:10" x14ac:dyDescent="0.35">
      <c r="A369" s="2" t="s">
        <v>1085</v>
      </c>
      <c r="B369" s="2" t="s">
        <v>790</v>
      </c>
      <c r="C369" s="18" t="s">
        <v>538</v>
      </c>
      <c r="D369" s="37" t="s">
        <v>507</v>
      </c>
      <c r="E369" s="18" t="s">
        <v>4254</v>
      </c>
      <c r="F369" s="176">
        <v>45914</v>
      </c>
      <c r="G369" s="18">
        <v>3740282.28</v>
      </c>
      <c r="H369" s="37">
        <f t="shared" si="28"/>
        <v>17</v>
      </c>
      <c r="I369" s="37" t="str">
        <f t="shared" si="30"/>
        <v>0-120 DAYS</v>
      </c>
      <c r="J369" s="37" t="str">
        <f t="shared" si="29"/>
        <v>0-180 DAYS</v>
      </c>
    </row>
    <row r="370" spans="1:10" x14ac:dyDescent="0.35">
      <c r="A370" s="2" t="s">
        <v>1085</v>
      </c>
      <c r="B370" s="2" t="s">
        <v>790</v>
      </c>
      <c r="C370" s="18" t="s">
        <v>530</v>
      </c>
      <c r="D370" s="37" t="s">
        <v>507</v>
      </c>
      <c r="E370" s="18" t="s">
        <v>4255</v>
      </c>
      <c r="F370" s="176">
        <v>45916</v>
      </c>
      <c r="G370" s="18">
        <v>4256704.3499999996</v>
      </c>
      <c r="H370" s="37">
        <f t="shared" si="28"/>
        <v>15</v>
      </c>
      <c r="I370" s="37" t="str">
        <f t="shared" si="30"/>
        <v>0-120 DAYS</v>
      </c>
      <c r="J370" s="37" t="str">
        <f t="shared" si="29"/>
        <v>0-180 DAYS</v>
      </c>
    </row>
    <row r="371" spans="1:10" x14ac:dyDescent="0.35">
      <c r="A371" s="2" t="s">
        <v>1085</v>
      </c>
      <c r="B371" s="2" t="s">
        <v>790</v>
      </c>
      <c r="C371" s="18" t="s">
        <v>548</v>
      </c>
      <c r="D371" s="37" t="s">
        <v>507</v>
      </c>
      <c r="E371" s="18" t="s">
        <v>1801</v>
      </c>
      <c r="F371" s="176">
        <v>45918</v>
      </c>
      <c r="G371" s="18">
        <v>3536968.35</v>
      </c>
      <c r="H371" s="37">
        <f t="shared" si="28"/>
        <v>13</v>
      </c>
      <c r="I371" s="37" t="str">
        <f t="shared" si="30"/>
        <v>0-120 DAYS</v>
      </c>
      <c r="J371" s="37" t="str">
        <f t="shared" si="29"/>
        <v>0-180 DAYS</v>
      </c>
    </row>
    <row r="372" spans="1:10" x14ac:dyDescent="0.35">
      <c r="A372" s="2" t="s">
        <v>1085</v>
      </c>
      <c r="B372" s="2" t="s">
        <v>790</v>
      </c>
      <c r="C372" s="18" t="s">
        <v>540</v>
      </c>
      <c r="D372" s="37" t="s">
        <v>507</v>
      </c>
      <c r="E372" s="18" t="s">
        <v>4256</v>
      </c>
      <c r="F372" s="176">
        <v>45919</v>
      </c>
      <c r="G372" s="18">
        <v>3548425.41</v>
      </c>
      <c r="H372" s="37">
        <f t="shared" si="28"/>
        <v>12</v>
      </c>
      <c r="I372" s="37" t="str">
        <f t="shared" si="30"/>
        <v>0-120 DAYS</v>
      </c>
      <c r="J372" s="37" t="str">
        <f t="shared" si="29"/>
        <v>0-180 DAYS</v>
      </c>
    </row>
    <row r="373" spans="1:10" x14ac:dyDescent="0.35">
      <c r="A373" s="2" t="s">
        <v>1085</v>
      </c>
      <c r="B373" s="2" t="s">
        <v>790</v>
      </c>
      <c r="C373" s="18" t="s">
        <v>540</v>
      </c>
      <c r="D373" s="37" t="s">
        <v>507</v>
      </c>
      <c r="E373" s="18" t="s">
        <v>4257</v>
      </c>
      <c r="F373" s="176">
        <v>45919</v>
      </c>
      <c r="G373" s="18">
        <v>3598519.77</v>
      </c>
      <c r="H373" s="37">
        <f t="shared" si="28"/>
        <v>12</v>
      </c>
      <c r="I373" s="37" t="str">
        <f t="shared" si="30"/>
        <v>0-120 DAYS</v>
      </c>
      <c r="J373" s="37" t="str">
        <f t="shared" si="29"/>
        <v>0-180 DAYS</v>
      </c>
    </row>
    <row r="374" spans="1:10" x14ac:dyDescent="0.35">
      <c r="A374" s="2" t="s">
        <v>1085</v>
      </c>
      <c r="B374" s="2" t="s">
        <v>790</v>
      </c>
      <c r="C374" s="18" t="s">
        <v>538</v>
      </c>
      <c r="D374" s="37" t="s">
        <v>507</v>
      </c>
      <c r="E374" s="18" t="s">
        <v>4258</v>
      </c>
      <c r="F374" s="176">
        <v>45920</v>
      </c>
      <c r="G374" s="18">
        <v>3835298.36</v>
      </c>
      <c r="H374" s="37">
        <f t="shared" si="28"/>
        <v>11</v>
      </c>
      <c r="I374" s="37" t="str">
        <f t="shared" si="30"/>
        <v>0-120 DAYS</v>
      </c>
      <c r="J374" s="37" t="str">
        <f t="shared" si="29"/>
        <v>0-180 DAYS</v>
      </c>
    </row>
    <row r="375" spans="1:10" x14ac:dyDescent="0.35">
      <c r="A375" s="2" t="s">
        <v>1085</v>
      </c>
      <c r="B375" s="2" t="s">
        <v>790</v>
      </c>
      <c r="C375" s="18" t="s">
        <v>814</v>
      </c>
      <c r="D375" s="37" t="s">
        <v>507</v>
      </c>
      <c r="E375" s="18" t="s">
        <v>4259</v>
      </c>
      <c r="F375" s="176">
        <v>45920</v>
      </c>
      <c r="G375" s="18">
        <v>206293</v>
      </c>
      <c r="H375" s="37">
        <f t="shared" si="28"/>
        <v>11</v>
      </c>
      <c r="I375" s="37" t="str">
        <f t="shared" si="30"/>
        <v>0-120 DAYS</v>
      </c>
      <c r="J375" s="37" t="str">
        <f t="shared" si="29"/>
        <v>0-180 DAYS</v>
      </c>
    </row>
    <row r="376" spans="1:10" x14ac:dyDescent="0.35">
      <c r="A376" s="2" t="s">
        <v>1085</v>
      </c>
      <c r="B376" s="2" t="s">
        <v>790</v>
      </c>
      <c r="C376" s="18" t="s">
        <v>1243</v>
      </c>
      <c r="D376" s="37" t="s">
        <v>507</v>
      </c>
      <c r="E376" s="18" t="s">
        <v>4260</v>
      </c>
      <c r="F376" s="176">
        <v>45924</v>
      </c>
      <c r="G376" s="18">
        <v>3912670.86</v>
      </c>
      <c r="H376" s="37">
        <f t="shared" si="28"/>
        <v>7</v>
      </c>
      <c r="I376" s="37" t="str">
        <f t="shared" si="30"/>
        <v>0-120 DAYS</v>
      </c>
      <c r="J376" s="37" t="str">
        <f t="shared" si="29"/>
        <v>0-180 DAYS</v>
      </c>
    </row>
    <row r="377" spans="1:10" x14ac:dyDescent="0.35">
      <c r="A377" s="2" t="s">
        <v>1085</v>
      </c>
      <c r="B377" s="2" t="s">
        <v>790</v>
      </c>
      <c r="C377" s="18" t="s">
        <v>548</v>
      </c>
      <c r="D377" s="37" t="s">
        <v>507</v>
      </c>
      <c r="E377" s="18" t="s">
        <v>4261</v>
      </c>
      <c r="F377" s="176">
        <v>45925</v>
      </c>
      <c r="G377" s="18">
        <v>3634887.06</v>
      </c>
      <c r="H377" s="37">
        <f t="shared" si="28"/>
        <v>6</v>
      </c>
      <c r="I377" s="37" t="str">
        <f t="shared" si="30"/>
        <v>0-120 DAYS</v>
      </c>
      <c r="J377" s="37" t="str">
        <f t="shared" si="29"/>
        <v>0-180 DAYS</v>
      </c>
    </row>
    <row r="378" spans="1:10" x14ac:dyDescent="0.35">
      <c r="A378" s="2" t="s">
        <v>1085</v>
      </c>
      <c r="B378" s="2" t="s">
        <v>790</v>
      </c>
      <c r="C378" s="18" t="s">
        <v>573</v>
      </c>
      <c r="D378" s="37" t="s">
        <v>507</v>
      </c>
      <c r="E378" s="18" t="s">
        <v>1802</v>
      </c>
      <c r="F378" s="176">
        <v>45925</v>
      </c>
      <c r="G378" s="18">
        <v>4156030.96</v>
      </c>
      <c r="H378" s="37">
        <f t="shared" si="28"/>
        <v>6</v>
      </c>
      <c r="I378" s="37" t="str">
        <f t="shared" si="30"/>
        <v>0-120 DAYS</v>
      </c>
      <c r="J378" s="37" t="str">
        <f t="shared" si="29"/>
        <v>0-180 DAYS</v>
      </c>
    </row>
    <row r="379" spans="1:10" x14ac:dyDescent="0.35">
      <c r="A379" s="2" t="s">
        <v>1085</v>
      </c>
      <c r="B379" s="2" t="s">
        <v>790</v>
      </c>
      <c r="C379" s="18" t="s">
        <v>538</v>
      </c>
      <c r="D379" s="37" t="s">
        <v>507</v>
      </c>
      <c r="E379" s="18" t="s">
        <v>4262</v>
      </c>
      <c r="F379" s="176">
        <v>45926</v>
      </c>
      <c r="G379" s="18">
        <v>3505527.52</v>
      </c>
      <c r="H379" s="37">
        <f t="shared" si="28"/>
        <v>5</v>
      </c>
      <c r="I379" s="37" t="str">
        <f t="shared" si="30"/>
        <v>0-120 DAYS</v>
      </c>
      <c r="J379" s="37" t="str">
        <f t="shared" si="29"/>
        <v>0-180 DAYS</v>
      </c>
    </row>
    <row r="380" spans="1:10" x14ac:dyDescent="0.35">
      <c r="A380" s="2" t="s">
        <v>1085</v>
      </c>
      <c r="B380" s="2" t="s">
        <v>790</v>
      </c>
      <c r="C380" s="18" t="s">
        <v>814</v>
      </c>
      <c r="D380" s="37" t="s">
        <v>507</v>
      </c>
      <c r="E380" s="18" t="s">
        <v>4263</v>
      </c>
      <c r="F380" s="176">
        <v>45926</v>
      </c>
      <c r="G380" s="18">
        <v>106440</v>
      </c>
      <c r="H380" s="37">
        <f t="shared" si="28"/>
        <v>5</v>
      </c>
      <c r="I380" s="37" t="str">
        <f t="shared" si="30"/>
        <v>0-120 DAYS</v>
      </c>
      <c r="J380" s="37" t="str">
        <f t="shared" si="29"/>
        <v>0-180 DAYS</v>
      </c>
    </row>
    <row r="381" spans="1:10" x14ac:dyDescent="0.35">
      <c r="A381" s="2" t="s">
        <v>1085</v>
      </c>
      <c r="B381" s="2" t="s">
        <v>790</v>
      </c>
      <c r="C381" s="18" t="s">
        <v>4228</v>
      </c>
      <c r="D381" s="37" t="s">
        <v>507</v>
      </c>
      <c r="E381" s="18" t="s">
        <v>4264</v>
      </c>
      <c r="F381" s="176">
        <v>45926</v>
      </c>
      <c r="G381" s="18">
        <v>3552582.6</v>
      </c>
      <c r="H381" s="37">
        <f t="shared" si="28"/>
        <v>5</v>
      </c>
      <c r="I381" s="37" t="str">
        <f t="shared" si="30"/>
        <v>0-120 DAYS</v>
      </c>
      <c r="J381" s="37" t="str">
        <f t="shared" si="29"/>
        <v>0-180 DAYS</v>
      </c>
    </row>
    <row r="382" spans="1:10" x14ac:dyDescent="0.35">
      <c r="A382" s="2" t="s">
        <v>1085</v>
      </c>
      <c r="B382" s="2" t="s">
        <v>790</v>
      </c>
      <c r="C382" s="18" t="s">
        <v>536</v>
      </c>
      <c r="D382" s="37" t="s">
        <v>507</v>
      </c>
      <c r="E382" s="18" t="s">
        <v>4265</v>
      </c>
      <c r="F382" s="176">
        <v>45929</v>
      </c>
      <c r="G382" s="18">
        <v>3133369.35</v>
      </c>
      <c r="H382" s="37">
        <f t="shared" si="28"/>
        <v>2</v>
      </c>
      <c r="I382" s="37" t="str">
        <f t="shared" si="30"/>
        <v>0-120 DAYS</v>
      </c>
      <c r="J382" s="37" t="str">
        <f t="shared" si="29"/>
        <v>0-180 DAYS</v>
      </c>
    </row>
    <row r="383" spans="1:10" x14ac:dyDescent="0.35">
      <c r="A383" s="2" t="s">
        <v>1085</v>
      </c>
      <c r="B383" s="2" t="s">
        <v>790</v>
      </c>
      <c r="C383" s="18" t="s">
        <v>548</v>
      </c>
      <c r="D383" s="37" t="s">
        <v>507</v>
      </c>
      <c r="E383" s="18" t="s">
        <v>4266</v>
      </c>
      <c r="F383" s="176">
        <v>45929</v>
      </c>
      <c r="G383" s="18">
        <v>3659512.16</v>
      </c>
      <c r="H383" s="37">
        <f t="shared" si="28"/>
        <v>2</v>
      </c>
      <c r="I383" s="37" t="str">
        <f t="shared" si="30"/>
        <v>0-120 DAYS</v>
      </c>
      <c r="J383" s="37" t="str">
        <f t="shared" si="29"/>
        <v>0-180 DAYS</v>
      </c>
    </row>
    <row r="384" spans="1:10" x14ac:dyDescent="0.35">
      <c r="A384" s="2" t="s">
        <v>1085</v>
      </c>
      <c r="B384" s="2" t="s">
        <v>790</v>
      </c>
      <c r="C384" s="18" t="s">
        <v>3797</v>
      </c>
      <c r="D384" s="37" t="s">
        <v>507</v>
      </c>
      <c r="E384" s="18" t="s">
        <v>4267</v>
      </c>
      <c r="F384" s="176">
        <v>45929</v>
      </c>
      <c r="G384" s="18">
        <v>3993862.5</v>
      </c>
      <c r="H384" s="37">
        <f t="shared" si="28"/>
        <v>2</v>
      </c>
      <c r="I384" s="37" t="str">
        <f t="shared" si="30"/>
        <v>0-120 DAYS</v>
      </c>
      <c r="J384" s="37" t="str">
        <f t="shared" si="29"/>
        <v>0-180 DAYS</v>
      </c>
    </row>
    <row r="385" spans="1:10" x14ac:dyDescent="0.35">
      <c r="A385" s="2" t="s">
        <v>1085</v>
      </c>
      <c r="B385" s="2" t="s">
        <v>790</v>
      </c>
      <c r="C385" s="18" t="s">
        <v>522</v>
      </c>
      <c r="D385" s="37" t="s">
        <v>507</v>
      </c>
      <c r="E385" s="18" t="s">
        <v>4268</v>
      </c>
      <c r="F385" s="176">
        <v>45904</v>
      </c>
      <c r="G385" s="18">
        <v>3926057.88</v>
      </c>
      <c r="H385" s="37">
        <f t="shared" si="28"/>
        <v>27</v>
      </c>
      <c r="I385" s="37" t="str">
        <f t="shared" si="30"/>
        <v>0-120 DAYS</v>
      </c>
      <c r="J385" s="37" t="str">
        <f t="shared" si="29"/>
        <v>0-180 DAYS</v>
      </c>
    </row>
    <row r="386" spans="1:10" x14ac:dyDescent="0.35">
      <c r="A386" s="2" t="s">
        <v>1085</v>
      </c>
      <c r="B386" s="2" t="s">
        <v>790</v>
      </c>
      <c r="C386" s="18" t="s">
        <v>538</v>
      </c>
      <c r="D386" s="37" t="s">
        <v>507</v>
      </c>
      <c r="E386" s="18" t="s">
        <v>4269</v>
      </c>
      <c r="F386" s="176">
        <v>45905</v>
      </c>
      <c r="G386" s="18">
        <v>3482941.88</v>
      </c>
      <c r="H386" s="37">
        <f t="shared" si="28"/>
        <v>26</v>
      </c>
      <c r="I386" s="37" t="str">
        <f t="shared" si="30"/>
        <v>0-120 DAYS</v>
      </c>
      <c r="J386" s="37" t="str">
        <f t="shared" si="29"/>
        <v>0-180 DAYS</v>
      </c>
    </row>
    <row r="387" spans="1:10" x14ac:dyDescent="0.35">
      <c r="A387" s="2" t="s">
        <v>1085</v>
      </c>
      <c r="B387" s="2" t="s">
        <v>790</v>
      </c>
      <c r="C387" s="18" t="s">
        <v>1247</v>
      </c>
      <c r="D387" s="37" t="s">
        <v>507</v>
      </c>
      <c r="E387" s="18" t="s">
        <v>4270</v>
      </c>
      <c r="F387" s="176">
        <v>45906</v>
      </c>
      <c r="G387" s="18">
        <v>1944917.42</v>
      </c>
      <c r="H387" s="37">
        <f t="shared" si="28"/>
        <v>25</v>
      </c>
      <c r="I387" s="37" t="str">
        <f t="shared" si="30"/>
        <v>0-120 DAYS</v>
      </c>
      <c r="J387" s="37" t="str">
        <f t="shared" si="29"/>
        <v>0-180 DAYS</v>
      </c>
    </row>
    <row r="388" spans="1:10" x14ac:dyDescent="0.35">
      <c r="A388" s="2" t="s">
        <v>1085</v>
      </c>
      <c r="B388" s="2" t="s">
        <v>790</v>
      </c>
      <c r="C388" s="18" t="s">
        <v>650</v>
      </c>
      <c r="D388" s="37" t="s">
        <v>507</v>
      </c>
      <c r="E388" s="18" t="s">
        <v>4271</v>
      </c>
      <c r="F388" s="176">
        <v>45908</v>
      </c>
      <c r="G388" s="18">
        <v>3103522.56</v>
      </c>
      <c r="H388" s="37">
        <f t="shared" si="28"/>
        <v>23</v>
      </c>
      <c r="I388" s="37" t="str">
        <f t="shared" si="30"/>
        <v>0-120 DAYS</v>
      </c>
      <c r="J388" s="37" t="str">
        <f t="shared" si="29"/>
        <v>0-180 DAYS</v>
      </c>
    </row>
    <row r="389" spans="1:10" x14ac:dyDescent="0.35">
      <c r="A389" s="2" t="s">
        <v>1085</v>
      </c>
      <c r="B389" s="2" t="s">
        <v>790</v>
      </c>
      <c r="C389" s="18" t="s">
        <v>2559</v>
      </c>
      <c r="D389" s="37" t="s">
        <v>507</v>
      </c>
      <c r="E389" s="18" t="s">
        <v>4272</v>
      </c>
      <c r="F389" s="176">
        <v>45909</v>
      </c>
      <c r="G389" s="18">
        <v>3707997.66</v>
      </c>
      <c r="H389" s="37">
        <f t="shared" si="28"/>
        <v>22</v>
      </c>
      <c r="I389" s="37" t="str">
        <f t="shared" si="30"/>
        <v>0-120 DAYS</v>
      </c>
      <c r="J389" s="37" t="str">
        <f t="shared" si="29"/>
        <v>0-180 DAYS</v>
      </c>
    </row>
    <row r="390" spans="1:10" x14ac:dyDescent="0.35">
      <c r="A390" s="2" t="s">
        <v>1085</v>
      </c>
      <c r="B390" s="2" t="s">
        <v>790</v>
      </c>
      <c r="C390" s="18" t="s">
        <v>650</v>
      </c>
      <c r="D390" s="37" t="s">
        <v>507</v>
      </c>
      <c r="E390" s="18" t="s">
        <v>4273</v>
      </c>
      <c r="F390" s="176">
        <v>45909</v>
      </c>
      <c r="G390" s="18">
        <v>30270</v>
      </c>
      <c r="H390" s="37">
        <f t="shared" si="28"/>
        <v>22</v>
      </c>
      <c r="I390" s="37" t="str">
        <f t="shared" si="30"/>
        <v>0-120 DAYS</v>
      </c>
      <c r="J390" s="37" t="str">
        <f t="shared" si="29"/>
        <v>0-180 DAYS</v>
      </c>
    </row>
    <row r="391" spans="1:10" x14ac:dyDescent="0.35">
      <c r="A391" s="2" t="s">
        <v>1085</v>
      </c>
      <c r="B391" s="2" t="s">
        <v>790</v>
      </c>
      <c r="C391" s="18" t="s">
        <v>650</v>
      </c>
      <c r="D391" s="37" t="s">
        <v>507</v>
      </c>
      <c r="E391" s="18" t="s">
        <v>1205</v>
      </c>
      <c r="F391" s="176">
        <v>45909</v>
      </c>
      <c r="G391" s="18">
        <v>3811436.96</v>
      </c>
      <c r="H391" s="37">
        <f t="shared" si="28"/>
        <v>22</v>
      </c>
      <c r="I391" s="37" t="str">
        <f t="shared" si="30"/>
        <v>0-120 DAYS</v>
      </c>
      <c r="J391" s="37" t="str">
        <f t="shared" si="29"/>
        <v>0-180 DAYS</v>
      </c>
    </row>
    <row r="392" spans="1:10" x14ac:dyDescent="0.35">
      <c r="A392" s="2" t="s">
        <v>1085</v>
      </c>
      <c r="B392" s="2" t="s">
        <v>790</v>
      </c>
      <c r="C392" s="18" t="s">
        <v>1086</v>
      </c>
      <c r="D392" s="37" t="s">
        <v>507</v>
      </c>
      <c r="E392" s="18" t="s">
        <v>4274</v>
      </c>
      <c r="F392" s="176">
        <v>45911</v>
      </c>
      <c r="G392" s="18">
        <v>1135084.2</v>
      </c>
      <c r="H392" s="37">
        <f t="shared" si="28"/>
        <v>20</v>
      </c>
      <c r="I392" s="37" t="str">
        <f t="shared" si="30"/>
        <v>0-120 DAYS</v>
      </c>
      <c r="J392" s="37" t="str">
        <f t="shared" si="29"/>
        <v>0-180 DAYS</v>
      </c>
    </row>
    <row r="393" spans="1:10" x14ac:dyDescent="0.35">
      <c r="A393" s="2" t="s">
        <v>1085</v>
      </c>
      <c r="B393" s="2" t="s">
        <v>790</v>
      </c>
      <c r="C393" s="18" t="s">
        <v>538</v>
      </c>
      <c r="D393" s="37" t="s">
        <v>507</v>
      </c>
      <c r="E393" s="18" t="s">
        <v>4275</v>
      </c>
      <c r="F393" s="176">
        <v>45911</v>
      </c>
      <c r="G393" s="18">
        <v>3501467.12</v>
      </c>
      <c r="H393" s="37">
        <f t="shared" si="28"/>
        <v>20</v>
      </c>
      <c r="I393" s="37" t="str">
        <f t="shared" si="30"/>
        <v>0-120 DAYS</v>
      </c>
      <c r="J393" s="37" t="str">
        <f t="shared" si="29"/>
        <v>0-180 DAYS</v>
      </c>
    </row>
    <row r="394" spans="1:10" x14ac:dyDescent="0.35">
      <c r="A394" s="2" t="s">
        <v>1085</v>
      </c>
      <c r="B394" s="2" t="s">
        <v>790</v>
      </c>
      <c r="C394" s="18" t="s">
        <v>1086</v>
      </c>
      <c r="D394" s="37" t="s">
        <v>507</v>
      </c>
      <c r="E394" s="18" t="s">
        <v>4276</v>
      </c>
      <c r="F394" s="176">
        <v>45912</v>
      </c>
      <c r="G394" s="18">
        <v>2788065.18</v>
      </c>
      <c r="H394" s="37">
        <f t="shared" si="28"/>
        <v>19</v>
      </c>
      <c r="I394" s="37" t="str">
        <f t="shared" si="30"/>
        <v>0-120 DAYS</v>
      </c>
      <c r="J394" s="37" t="str">
        <f t="shared" si="29"/>
        <v>0-180 DAYS</v>
      </c>
    </row>
    <row r="395" spans="1:10" x14ac:dyDescent="0.35">
      <c r="A395" s="2" t="s">
        <v>1085</v>
      </c>
      <c r="B395" s="2" t="s">
        <v>790</v>
      </c>
      <c r="C395" s="18" t="s">
        <v>1086</v>
      </c>
      <c r="D395" s="37" t="s">
        <v>507</v>
      </c>
      <c r="E395" s="18" t="s">
        <v>4277</v>
      </c>
      <c r="F395" s="176">
        <v>45914</v>
      </c>
      <c r="G395" s="18">
        <v>301066.27</v>
      </c>
      <c r="H395" s="37">
        <f t="shared" si="28"/>
        <v>17</v>
      </c>
      <c r="I395" s="37" t="str">
        <f t="shared" si="30"/>
        <v>0-120 DAYS</v>
      </c>
      <c r="J395" s="37" t="str">
        <f t="shared" si="29"/>
        <v>0-180 DAYS</v>
      </c>
    </row>
    <row r="396" spans="1:10" x14ac:dyDescent="0.35">
      <c r="A396" s="2" t="s">
        <v>1085</v>
      </c>
      <c r="B396" s="2" t="s">
        <v>790</v>
      </c>
      <c r="C396" s="18" t="s">
        <v>1086</v>
      </c>
      <c r="D396" s="37" t="s">
        <v>507</v>
      </c>
      <c r="E396" s="18" t="s">
        <v>4278</v>
      </c>
      <c r="F396" s="176">
        <v>45914</v>
      </c>
      <c r="G396" s="18">
        <v>2881184.6</v>
      </c>
      <c r="H396" s="37">
        <f t="shared" ref="H396:H459" si="31">$H$9-F396+1</f>
        <v>17</v>
      </c>
      <c r="I396" s="37" t="str">
        <f t="shared" si="30"/>
        <v>0-120 DAYS</v>
      </c>
      <c r="J396" s="37" t="str">
        <f t="shared" si="29"/>
        <v>0-180 DAYS</v>
      </c>
    </row>
    <row r="397" spans="1:10" x14ac:dyDescent="0.35">
      <c r="A397" s="2" t="s">
        <v>1085</v>
      </c>
      <c r="B397" s="2" t="s">
        <v>790</v>
      </c>
      <c r="C397" s="18" t="s">
        <v>538</v>
      </c>
      <c r="D397" s="37" t="s">
        <v>507</v>
      </c>
      <c r="E397" s="18" t="s">
        <v>4279</v>
      </c>
      <c r="F397" s="176">
        <v>45918</v>
      </c>
      <c r="G397" s="18">
        <v>3500422.8</v>
      </c>
      <c r="H397" s="37">
        <f t="shared" si="31"/>
        <v>13</v>
      </c>
      <c r="I397" s="37" t="str">
        <f t="shared" si="30"/>
        <v>0-120 DAYS</v>
      </c>
      <c r="J397" s="37" t="str">
        <f t="shared" si="29"/>
        <v>0-180 DAYS</v>
      </c>
    </row>
    <row r="398" spans="1:10" x14ac:dyDescent="0.35">
      <c r="A398" s="2" t="s">
        <v>1085</v>
      </c>
      <c r="B398" s="2" t="s">
        <v>790</v>
      </c>
      <c r="C398" s="18" t="s">
        <v>1086</v>
      </c>
      <c r="D398" s="37" t="s">
        <v>507</v>
      </c>
      <c r="E398" s="18" t="s">
        <v>4280</v>
      </c>
      <c r="F398" s="176">
        <v>45920</v>
      </c>
      <c r="G398" s="18">
        <v>31865.53</v>
      </c>
      <c r="H398" s="37">
        <f t="shared" si="31"/>
        <v>11</v>
      </c>
      <c r="I398" s="37" t="str">
        <f t="shared" si="30"/>
        <v>0-120 DAYS</v>
      </c>
      <c r="J398" s="37" t="str">
        <f t="shared" ref="J398:J461" si="32">IF(H398&lt;180,"0-180 DAYS","More than 180 Days")</f>
        <v>0-180 DAYS</v>
      </c>
    </row>
    <row r="399" spans="1:10" x14ac:dyDescent="0.35">
      <c r="A399" s="2" t="s">
        <v>1085</v>
      </c>
      <c r="B399" s="2" t="s">
        <v>790</v>
      </c>
      <c r="C399" s="18" t="s">
        <v>1086</v>
      </c>
      <c r="D399" s="37" t="s">
        <v>507</v>
      </c>
      <c r="E399" s="18" t="s">
        <v>4281</v>
      </c>
      <c r="F399" s="176">
        <v>45920</v>
      </c>
      <c r="G399" s="18">
        <v>576347.35</v>
      </c>
      <c r="H399" s="37">
        <f t="shared" si="31"/>
        <v>11</v>
      </c>
      <c r="I399" s="37" t="str">
        <f t="shared" si="30"/>
        <v>0-120 DAYS</v>
      </c>
      <c r="J399" s="37" t="str">
        <f t="shared" si="32"/>
        <v>0-180 DAYS</v>
      </c>
    </row>
    <row r="400" spans="1:10" x14ac:dyDescent="0.35">
      <c r="A400" s="2" t="s">
        <v>1085</v>
      </c>
      <c r="B400" s="2" t="s">
        <v>790</v>
      </c>
      <c r="C400" s="18" t="s">
        <v>1086</v>
      </c>
      <c r="D400" s="37" t="s">
        <v>507</v>
      </c>
      <c r="E400" s="18" t="s">
        <v>4282</v>
      </c>
      <c r="F400" s="176">
        <v>45920</v>
      </c>
      <c r="G400" s="18">
        <v>1672901.77</v>
      </c>
      <c r="H400" s="37">
        <f t="shared" si="31"/>
        <v>11</v>
      </c>
      <c r="I400" s="37" t="str">
        <f t="shared" si="30"/>
        <v>0-120 DAYS</v>
      </c>
      <c r="J400" s="37" t="str">
        <f t="shared" si="32"/>
        <v>0-180 DAYS</v>
      </c>
    </row>
    <row r="401" spans="1:10" x14ac:dyDescent="0.35">
      <c r="A401" s="2" t="s">
        <v>1085</v>
      </c>
      <c r="B401" s="2" t="s">
        <v>790</v>
      </c>
      <c r="C401" s="18" t="s">
        <v>2560</v>
      </c>
      <c r="D401" s="37" t="s">
        <v>507</v>
      </c>
      <c r="E401" s="18" t="s">
        <v>4283</v>
      </c>
      <c r="F401" s="176">
        <v>45921</v>
      </c>
      <c r="G401" s="18">
        <v>1777707.49</v>
      </c>
      <c r="H401" s="37">
        <f t="shared" si="31"/>
        <v>10</v>
      </c>
      <c r="I401" s="37" t="str">
        <f t="shared" si="30"/>
        <v>0-120 DAYS</v>
      </c>
      <c r="J401" s="37" t="str">
        <f t="shared" si="32"/>
        <v>0-180 DAYS</v>
      </c>
    </row>
    <row r="402" spans="1:10" x14ac:dyDescent="0.35">
      <c r="A402" s="2" t="s">
        <v>1085</v>
      </c>
      <c r="B402" s="2" t="s">
        <v>790</v>
      </c>
      <c r="C402" s="18" t="s">
        <v>596</v>
      </c>
      <c r="D402" s="37" t="s">
        <v>507</v>
      </c>
      <c r="E402" s="18" t="s">
        <v>4284</v>
      </c>
      <c r="F402" s="176">
        <v>45921</v>
      </c>
      <c r="G402" s="18">
        <v>4520933.2699999996</v>
      </c>
      <c r="H402" s="37">
        <f t="shared" si="31"/>
        <v>10</v>
      </c>
      <c r="I402" s="37" t="str">
        <f t="shared" si="30"/>
        <v>0-120 DAYS</v>
      </c>
      <c r="J402" s="37" t="str">
        <f t="shared" si="32"/>
        <v>0-180 DAYS</v>
      </c>
    </row>
    <row r="403" spans="1:10" x14ac:dyDescent="0.35">
      <c r="A403" s="2" t="s">
        <v>1085</v>
      </c>
      <c r="B403" s="2" t="s">
        <v>790</v>
      </c>
      <c r="C403" s="18" t="s">
        <v>653</v>
      </c>
      <c r="D403" s="37" t="s">
        <v>507</v>
      </c>
      <c r="E403" s="18" t="s">
        <v>2129</v>
      </c>
      <c r="F403" s="176">
        <v>45924</v>
      </c>
      <c r="G403" s="18">
        <v>3463336.61</v>
      </c>
      <c r="H403" s="37">
        <f t="shared" si="31"/>
        <v>7</v>
      </c>
      <c r="I403" s="37" t="str">
        <f t="shared" si="30"/>
        <v>0-120 DAYS</v>
      </c>
      <c r="J403" s="37" t="str">
        <f t="shared" si="32"/>
        <v>0-180 DAYS</v>
      </c>
    </row>
    <row r="404" spans="1:10" x14ac:dyDescent="0.35">
      <c r="A404" s="2" t="s">
        <v>1085</v>
      </c>
      <c r="B404" s="2" t="s">
        <v>790</v>
      </c>
      <c r="C404" s="18" t="s">
        <v>1086</v>
      </c>
      <c r="D404" s="37" t="s">
        <v>507</v>
      </c>
      <c r="E404" s="18" t="s">
        <v>4285</v>
      </c>
      <c r="F404" s="176">
        <v>45925</v>
      </c>
      <c r="G404" s="18">
        <v>2064150.37</v>
      </c>
      <c r="H404" s="37">
        <f t="shared" si="31"/>
        <v>6</v>
      </c>
      <c r="I404" s="37" t="str">
        <f t="shared" si="30"/>
        <v>0-120 DAYS</v>
      </c>
      <c r="J404" s="37" t="str">
        <f t="shared" si="32"/>
        <v>0-180 DAYS</v>
      </c>
    </row>
    <row r="405" spans="1:10" x14ac:dyDescent="0.35">
      <c r="A405" s="2" t="s">
        <v>1085</v>
      </c>
      <c r="B405" s="2" t="s">
        <v>790</v>
      </c>
      <c r="C405" s="18" t="s">
        <v>545</v>
      </c>
      <c r="D405" s="37" t="s">
        <v>507</v>
      </c>
      <c r="E405" s="18" t="s">
        <v>4286</v>
      </c>
      <c r="F405" s="176">
        <v>45927</v>
      </c>
      <c r="G405" s="18">
        <v>3667598.81</v>
      </c>
      <c r="H405" s="37">
        <f t="shared" si="31"/>
        <v>4</v>
      </c>
      <c r="I405" s="37" t="str">
        <f t="shared" si="30"/>
        <v>0-120 DAYS</v>
      </c>
      <c r="J405" s="37" t="str">
        <f t="shared" si="32"/>
        <v>0-180 DAYS</v>
      </c>
    </row>
    <row r="406" spans="1:10" x14ac:dyDescent="0.35">
      <c r="A406" s="2" t="s">
        <v>1085</v>
      </c>
      <c r="B406" s="2" t="s">
        <v>790</v>
      </c>
      <c r="C406" s="18" t="s">
        <v>1243</v>
      </c>
      <c r="D406" s="37" t="s">
        <v>507</v>
      </c>
      <c r="E406" s="18" t="s">
        <v>4287</v>
      </c>
      <c r="F406" s="176">
        <v>45930</v>
      </c>
      <c r="G406" s="18">
        <v>3689933.8</v>
      </c>
      <c r="H406" s="37">
        <f t="shared" si="31"/>
        <v>1</v>
      </c>
      <c r="I406" s="37" t="str">
        <f t="shared" ref="I406" si="33">IF(H406&lt;121,"0-120 DAYS",IF(H406&lt;181,"121-180 DAYS","More than 180 Days"))</f>
        <v>0-120 DAYS</v>
      </c>
      <c r="J406" s="37" t="str">
        <f t="shared" si="32"/>
        <v>0-180 DAYS</v>
      </c>
    </row>
    <row r="407" spans="1:10" x14ac:dyDescent="0.35">
      <c r="A407" s="2" t="s">
        <v>477</v>
      </c>
      <c r="B407" s="2" t="s">
        <v>790</v>
      </c>
      <c r="C407" s="18" t="s">
        <v>4288</v>
      </c>
      <c r="D407" s="18" t="s">
        <v>4331</v>
      </c>
      <c r="E407" s="18" t="s">
        <v>4290</v>
      </c>
      <c r="F407" s="176">
        <v>45903</v>
      </c>
      <c r="G407" s="18">
        <v>1556473.1</v>
      </c>
      <c r="H407" s="37">
        <f t="shared" si="31"/>
        <v>28</v>
      </c>
      <c r="I407" s="37" t="str">
        <f t="shared" ref="I407:I470" si="34">IF(H407&lt;91,"1-90 DAYS",IF(H407&lt;121,"91-120DAYS",IF(H407&lt;181,"121-180 DAYS","More than 180 Days")))</f>
        <v>1-90 DAYS</v>
      </c>
      <c r="J407" s="37" t="str">
        <f t="shared" si="32"/>
        <v>0-180 DAYS</v>
      </c>
    </row>
    <row r="408" spans="1:10" x14ac:dyDescent="0.35">
      <c r="A408" s="2" t="s">
        <v>4333</v>
      </c>
      <c r="B408" s="2" t="s">
        <v>790</v>
      </c>
      <c r="C408" s="18" t="s">
        <v>125</v>
      </c>
      <c r="D408" s="18" t="s">
        <v>57</v>
      </c>
      <c r="E408" s="18" t="s">
        <v>4291</v>
      </c>
      <c r="F408" s="176">
        <v>45915</v>
      </c>
      <c r="G408" s="18">
        <v>232381</v>
      </c>
      <c r="H408" s="37">
        <f t="shared" si="31"/>
        <v>16</v>
      </c>
      <c r="I408" s="37" t="str">
        <f t="shared" si="34"/>
        <v>1-90 DAYS</v>
      </c>
      <c r="J408" s="37" t="str">
        <f t="shared" si="32"/>
        <v>0-180 DAYS</v>
      </c>
    </row>
    <row r="409" spans="1:10" x14ac:dyDescent="0.35">
      <c r="A409" s="2" t="s">
        <v>4333</v>
      </c>
      <c r="B409" s="2" t="s">
        <v>790</v>
      </c>
      <c r="C409" s="18" t="s">
        <v>125</v>
      </c>
      <c r="D409" s="18" t="s">
        <v>57</v>
      </c>
      <c r="E409" s="18" t="s">
        <v>909</v>
      </c>
      <c r="F409" s="176">
        <v>45915</v>
      </c>
      <c r="G409" s="18">
        <v>28768</v>
      </c>
      <c r="H409" s="37">
        <f t="shared" si="31"/>
        <v>16</v>
      </c>
      <c r="I409" s="37" t="str">
        <f t="shared" si="34"/>
        <v>1-90 DAYS</v>
      </c>
      <c r="J409" s="37" t="str">
        <f t="shared" si="32"/>
        <v>0-180 DAYS</v>
      </c>
    </row>
    <row r="410" spans="1:10" x14ac:dyDescent="0.35">
      <c r="A410" s="2" t="s">
        <v>4333</v>
      </c>
      <c r="B410" s="2" t="s">
        <v>790</v>
      </c>
      <c r="C410" s="18" t="s">
        <v>125</v>
      </c>
      <c r="D410" s="18" t="s">
        <v>57</v>
      </c>
      <c r="E410" s="18" t="s">
        <v>906</v>
      </c>
      <c r="F410" s="176">
        <v>45915</v>
      </c>
      <c r="G410" s="18">
        <v>45375</v>
      </c>
      <c r="H410" s="37">
        <f t="shared" si="31"/>
        <v>16</v>
      </c>
      <c r="I410" s="37" t="str">
        <f t="shared" si="34"/>
        <v>1-90 DAYS</v>
      </c>
      <c r="J410" s="37" t="str">
        <f t="shared" si="32"/>
        <v>0-180 DAYS</v>
      </c>
    </row>
    <row r="411" spans="1:10" x14ac:dyDescent="0.35">
      <c r="A411" s="2" t="s">
        <v>477</v>
      </c>
      <c r="B411" s="2" t="s">
        <v>790</v>
      </c>
      <c r="C411" s="18" t="s">
        <v>26</v>
      </c>
      <c r="D411" s="18" t="s">
        <v>27</v>
      </c>
      <c r="E411" s="18" t="s">
        <v>4292</v>
      </c>
      <c r="F411" s="176">
        <v>45916</v>
      </c>
      <c r="G411" s="18">
        <v>726145.51</v>
      </c>
      <c r="H411" s="37">
        <f t="shared" si="31"/>
        <v>15</v>
      </c>
      <c r="I411" s="37" t="str">
        <f t="shared" si="34"/>
        <v>1-90 DAYS</v>
      </c>
      <c r="J411" s="37" t="str">
        <f t="shared" si="32"/>
        <v>0-180 DAYS</v>
      </c>
    </row>
    <row r="412" spans="1:10" x14ac:dyDescent="0.35">
      <c r="A412" s="2" t="s">
        <v>4333</v>
      </c>
      <c r="B412" s="2" t="s">
        <v>790</v>
      </c>
      <c r="C412" s="18" t="s">
        <v>125</v>
      </c>
      <c r="D412" s="18" t="s">
        <v>57</v>
      </c>
      <c r="E412" s="18" t="s">
        <v>912</v>
      </c>
      <c r="F412" s="176">
        <v>45916</v>
      </c>
      <c r="G412" s="18">
        <v>71242.570000000007</v>
      </c>
      <c r="H412" s="37">
        <f t="shared" si="31"/>
        <v>15</v>
      </c>
      <c r="I412" s="37" t="str">
        <f t="shared" si="34"/>
        <v>1-90 DAYS</v>
      </c>
      <c r="J412" s="37" t="str">
        <f t="shared" si="32"/>
        <v>0-180 DAYS</v>
      </c>
    </row>
    <row r="413" spans="1:10" x14ac:dyDescent="0.35">
      <c r="A413" s="2" t="s">
        <v>4333</v>
      </c>
      <c r="B413" s="2" t="s">
        <v>790</v>
      </c>
      <c r="C413" s="18" t="s">
        <v>125</v>
      </c>
      <c r="D413" s="18" t="s">
        <v>57</v>
      </c>
      <c r="E413" s="18" t="s">
        <v>4293</v>
      </c>
      <c r="F413" s="176">
        <v>45916</v>
      </c>
      <c r="G413" s="18">
        <v>991408.74</v>
      </c>
      <c r="H413" s="37">
        <f t="shared" si="31"/>
        <v>15</v>
      </c>
      <c r="I413" s="37" t="str">
        <f t="shared" si="34"/>
        <v>1-90 DAYS</v>
      </c>
      <c r="J413" s="37" t="str">
        <f t="shared" si="32"/>
        <v>0-180 DAYS</v>
      </c>
    </row>
    <row r="414" spans="1:10" x14ac:dyDescent="0.35">
      <c r="A414" s="2" t="s">
        <v>4333</v>
      </c>
      <c r="B414" s="2" t="s">
        <v>790</v>
      </c>
      <c r="C414" s="18" t="s">
        <v>125</v>
      </c>
      <c r="D414" s="18" t="s">
        <v>57</v>
      </c>
      <c r="E414" s="18" t="s">
        <v>4294</v>
      </c>
      <c r="F414" s="176">
        <v>45916</v>
      </c>
      <c r="G414" s="18">
        <v>14714.4</v>
      </c>
      <c r="H414" s="37">
        <f t="shared" si="31"/>
        <v>15</v>
      </c>
      <c r="I414" s="37" t="str">
        <f t="shared" si="34"/>
        <v>1-90 DAYS</v>
      </c>
      <c r="J414" s="37" t="str">
        <f t="shared" si="32"/>
        <v>0-180 DAYS</v>
      </c>
    </row>
    <row r="415" spans="1:10" x14ac:dyDescent="0.35">
      <c r="A415" s="2" t="s">
        <v>4333</v>
      </c>
      <c r="B415" s="2" t="s">
        <v>790</v>
      </c>
      <c r="C415" s="18" t="s">
        <v>125</v>
      </c>
      <c r="D415" s="18" t="s">
        <v>57</v>
      </c>
      <c r="E415" s="18" t="s">
        <v>4295</v>
      </c>
      <c r="F415" s="176">
        <v>45916</v>
      </c>
      <c r="G415" s="18">
        <v>1239903.95</v>
      </c>
      <c r="H415" s="37">
        <f t="shared" si="31"/>
        <v>15</v>
      </c>
      <c r="I415" s="37" t="str">
        <f t="shared" si="34"/>
        <v>1-90 DAYS</v>
      </c>
      <c r="J415" s="37" t="str">
        <f t="shared" si="32"/>
        <v>0-180 DAYS</v>
      </c>
    </row>
    <row r="416" spans="1:10" x14ac:dyDescent="0.35">
      <c r="A416" s="2" t="s">
        <v>4333</v>
      </c>
      <c r="B416" s="2" t="s">
        <v>790</v>
      </c>
      <c r="C416" s="18" t="s">
        <v>125</v>
      </c>
      <c r="D416" s="18" t="s">
        <v>57</v>
      </c>
      <c r="E416" s="18" t="s">
        <v>916</v>
      </c>
      <c r="F416" s="176">
        <v>45916</v>
      </c>
      <c r="G416" s="18">
        <v>92783.86</v>
      </c>
      <c r="H416" s="37">
        <f t="shared" si="31"/>
        <v>15</v>
      </c>
      <c r="I416" s="37" t="str">
        <f t="shared" si="34"/>
        <v>1-90 DAYS</v>
      </c>
      <c r="J416" s="37" t="str">
        <f t="shared" si="32"/>
        <v>0-180 DAYS</v>
      </c>
    </row>
    <row r="417" spans="1:10" x14ac:dyDescent="0.35">
      <c r="A417" s="2" t="s">
        <v>4333</v>
      </c>
      <c r="B417" s="2" t="s">
        <v>790</v>
      </c>
      <c r="C417" s="18" t="s">
        <v>125</v>
      </c>
      <c r="D417" s="18" t="s">
        <v>57</v>
      </c>
      <c r="E417" s="18" t="s">
        <v>922</v>
      </c>
      <c r="F417" s="176">
        <v>45917</v>
      </c>
      <c r="G417" s="18">
        <v>923192.02</v>
      </c>
      <c r="H417" s="37">
        <f t="shared" si="31"/>
        <v>14</v>
      </c>
      <c r="I417" s="37" t="str">
        <f t="shared" si="34"/>
        <v>1-90 DAYS</v>
      </c>
      <c r="J417" s="37" t="str">
        <f t="shared" si="32"/>
        <v>0-180 DAYS</v>
      </c>
    </row>
    <row r="418" spans="1:10" x14ac:dyDescent="0.35">
      <c r="A418" s="2" t="s">
        <v>4333</v>
      </c>
      <c r="B418" s="2" t="s">
        <v>790</v>
      </c>
      <c r="C418" s="18" t="s">
        <v>125</v>
      </c>
      <c r="D418" s="18" t="s">
        <v>57</v>
      </c>
      <c r="E418" s="18" t="s">
        <v>929</v>
      </c>
      <c r="F418" s="176">
        <v>45917</v>
      </c>
      <c r="G418" s="18">
        <v>10922.52</v>
      </c>
      <c r="H418" s="37">
        <f t="shared" si="31"/>
        <v>14</v>
      </c>
      <c r="I418" s="37" t="str">
        <f t="shared" si="34"/>
        <v>1-90 DAYS</v>
      </c>
      <c r="J418" s="37" t="str">
        <f t="shared" si="32"/>
        <v>0-180 DAYS</v>
      </c>
    </row>
    <row r="419" spans="1:10" x14ac:dyDescent="0.35">
      <c r="A419" s="2" t="s">
        <v>4333</v>
      </c>
      <c r="B419" s="2" t="s">
        <v>790</v>
      </c>
      <c r="C419" s="18" t="s">
        <v>125</v>
      </c>
      <c r="D419" s="18" t="s">
        <v>57</v>
      </c>
      <c r="E419" s="18" t="s">
        <v>927</v>
      </c>
      <c r="F419" s="176">
        <v>45918</v>
      </c>
      <c r="G419" s="18">
        <v>705273.32</v>
      </c>
      <c r="H419" s="37">
        <f t="shared" si="31"/>
        <v>13</v>
      </c>
      <c r="I419" s="37" t="str">
        <f t="shared" si="34"/>
        <v>1-90 DAYS</v>
      </c>
      <c r="J419" s="37" t="str">
        <f t="shared" si="32"/>
        <v>0-180 DAYS</v>
      </c>
    </row>
    <row r="420" spans="1:10" x14ac:dyDescent="0.35">
      <c r="A420" s="2" t="s">
        <v>4333</v>
      </c>
      <c r="B420" s="2" t="s">
        <v>790</v>
      </c>
      <c r="C420" s="18" t="s">
        <v>125</v>
      </c>
      <c r="D420" s="18" t="s">
        <v>57</v>
      </c>
      <c r="E420" s="18" t="s">
        <v>2902</v>
      </c>
      <c r="F420" s="176">
        <v>45918</v>
      </c>
      <c r="G420" s="18">
        <v>14034.72</v>
      </c>
      <c r="H420" s="37">
        <f t="shared" si="31"/>
        <v>13</v>
      </c>
      <c r="I420" s="37" t="str">
        <f t="shared" si="34"/>
        <v>1-90 DAYS</v>
      </c>
      <c r="J420" s="37" t="str">
        <f t="shared" si="32"/>
        <v>0-180 DAYS</v>
      </c>
    </row>
    <row r="421" spans="1:10" x14ac:dyDescent="0.35">
      <c r="A421" s="2" t="s">
        <v>4333</v>
      </c>
      <c r="B421" s="2" t="s">
        <v>790</v>
      </c>
      <c r="C421" s="18" t="s">
        <v>125</v>
      </c>
      <c r="D421" s="18" t="s">
        <v>57</v>
      </c>
      <c r="E421" s="18" t="s">
        <v>2903</v>
      </c>
      <c r="F421" s="176">
        <v>45918</v>
      </c>
      <c r="G421" s="18">
        <v>990028.02</v>
      </c>
      <c r="H421" s="37">
        <f t="shared" si="31"/>
        <v>13</v>
      </c>
      <c r="I421" s="37" t="str">
        <f t="shared" si="34"/>
        <v>1-90 DAYS</v>
      </c>
      <c r="J421" s="37" t="str">
        <f t="shared" si="32"/>
        <v>0-180 DAYS</v>
      </c>
    </row>
    <row r="422" spans="1:10" x14ac:dyDescent="0.35">
      <c r="A422" s="2" t="s">
        <v>4333</v>
      </c>
      <c r="B422" s="2" t="s">
        <v>790</v>
      </c>
      <c r="C422" s="18" t="s">
        <v>125</v>
      </c>
      <c r="D422" s="18" t="s">
        <v>57</v>
      </c>
      <c r="E422" s="18" t="s">
        <v>928</v>
      </c>
      <c r="F422" s="176">
        <v>45918</v>
      </c>
      <c r="G422" s="18">
        <v>47850</v>
      </c>
      <c r="H422" s="37">
        <f t="shared" si="31"/>
        <v>13</v>
      </c>
      <c r="I422" s="37" t="str">
        <f t="shared" si="34"/>
        <v>1-90 DAYS</v>
      </c>
      <c r="J422" s="37" t="str">
        <f t="shared" si="32"/>
        <v>0-180 DAYS</v>
      </c>
    </row>
    <row r="423" spans="1:10" x14ac:dyDescent="0.35">
      <c r="A423" s="2" t="s">
        <v>4333</v>
      </c>
      <c r="B423" s="2" t="s">
        <v>790</v>
      </c>
      <c r="C423" s="18" t="s">
        <v>125</v>
      </c>
      <c r="D423" s="18" t="s">
        <v>57</v>
      </c>
      <c r="E423" s="18" t="s">
        <v>878</v>
      </c>
      <c r="F423" s="176">
        <v>45919</v>
      </c>
      <c r="G423" s="18">
        <v>1074805.5</v>
      </c>
      <c r="H423" s="37">
        <f t="shared" si="31"/>
        <v>12</v>
      </c>
      <c r="I423" s="37" t="str">
        <f t="shared" si="34"/>
        <v>1-90 DAYS</v>
      </c>
      <c r="J423" s="37" t="str">
        <f t="shared" si="32"/>
        <v>0-180 DAYS</v>
      </c>
    </row>
    <row r="424" spans="1:10" x14ac:dyDescent="0.35">
      <c r="A424" s="2" t="s">
        <v>4333</v>
      </c>
      <c r="B424" s="2" t="s">
        <v>790</v>
      </c>
      <c r="C424" s="18" t="s">
        <v>125</v>
      </c>
      <c r="D424" s="18" t="s">
        <v>57</v>
      </c>
      <c r="E424" s="18" t="s">
        <v>2906</v>
      </c>
      <c r="F424" s="176">
        <v>45919</v>
      </c>
      <c r="G424" s="18">
        <v>14883.32</v>
      </c>
      <c r="H424" s="37">
        <f t="shared" si="31"/>
        <v>12</v>
      </c>
      <c r="I424" s="37" t="str">
        <f t="shared" si="34"/>
        <v>1-90 DAYS</v>
      </c>
      <c r="J424" s="37" t="str">
        <f t="shared" si="32"/>
        <v>0-180 DAYS</v>
      </c>
    </row>
    <row r="425" spans="1:10" x14ac:dyDescent="0.35">
      <c r="A425" s="2" t="s">
        <v>4333</v>
      </c>
      <c r="B425" s="2" t="s">
        <v>790</v>
      </c>
      <c r="C425" s="18" t="s">
        <v>125</v>
      </c>
      <c r="D425" s="18" t="s">
        <v>57</v>
      </c>
      <c r="E425" s="18" t="s">
        <v>944</v>
      </c>
      <c r="F425" s="176">
        <v>45919</v>
      </c>
      <c r="G425" s="18">
        <v>1427407.19</v>
      </c>
      <c r="H425" s="37">
        <f t="shared" si="31"/>
        <v>12</v>
      </c>
      <c r="I425" s="37" t="str">
        <f t="shared" si="34"/>
        <v>1-90 DAYS</v>
      </c>
      <c r="J425" s="37" t="str">
        <f t="shared" si="32"/>
        <v>0-180 DAYS</v>
      </c>
    </row>
    <row r="426" spans="1:10" x14ac:dyDescent="0.35">
      <c r="A426" s="2" t="s">
        <v>477</v>
      </c>
      <c r="B426" s="2" t="s">
        <v>790</v>
      </c>
      <c r="C426" s="18" t="s">
        <v>1087</v>
      </c>
      <c r="D426" s="18" t="s">
        <v>1088</v>
      </c>
      <c r="E426" s="18" t="s">
        <v>947</v>
      </c>
      <c r="F426" s="176">
        <v>45920</v>
      </c>
      <c r="G426" s="18">
        <v>282728</v>
      </c>
      <c r="H426" s="37">
        <f t="shared" si="31"/>
        <v>11</v>
      </c>
      <c r="I426" s="37" t="str">
        <f t="shared" si="34"/>
        <v>1-90 DAYS</v>
      </c>
      <c r="J426" s="37" t="str">
        <f t="shared" si="32"/>
        <v>0-180 DAYS</v>
      </c>
    </row>
    <row r="427" spans="1:10" x14ac:dyDescent="0.35">
      <c r="A427" s="2" t="s">
        <v>477</v>
      </c>
      <c r="B427" s="2" t="s">
        <v>790</v>
      </c>
      <c r="C427" s="18" t="s">
        <v>1087</v>
      </c>
      <c r="D427" s="18" t="s">
        <v>1088</v>
      </c>
      <c r="E427" s="18" t="s">
        <v>948</v>
      </c>
      <c r="F427" s="176">
        <v>45920</v>
      </c>
      <c r="G427" s="18">
        <v>64310</v>
      </c>
      <c r="H427" s="37">
        <f t="shared" si="31"/>
        <v>11</v>
      </c>
      <c r="I427" s="37" t="str">
        <f t="shared" si="34"/>
        <v>1-90 DAYS</v>
      </c>
      <c r="J427" s="37" t="str">
        <f t="shared" si="32"/>
        <v>0-180 DAYS</v>
      </c>
    </row>
    <row r="428" spans="1:10" x14ac:dyDescent="0.35">
      <c r="A428" s="2" t="s">
        <v>4333</v>
      </c>
      <c r="B428" s="2" t="s">
        <v>790</v>
      </c>
      <c r="C428" s="18" t="s">
        <v>125</v>
      </c>
      <c r="D428" s="18" t="s">
        <v>57</v>
      </c>
      <c r="E428" s="18" t="s">
        <v>2910</v>
      </c>
      <c r="F428" s="176">
        <v>45920</v>
      </c>
      <c r="G428" s="18">
        <v>153503.01999999999</v>
      </c>
      <c r="H428" s="37">
        <f t="shared" si="31"/>
        <v>11</v>
      </c>
      <c r="I428" s="37" t="str">
        <f t="shared" si="34"/>
        <v>1-90 DAYS</v>
      </c>
      <c r="J428" s="37" t="str">
        <f t="shared" si="32"/>
        <v>0-180 DAYS</v>
      </c>
    </row>
    <row r="429" spans="1:10" x14ac:dyDescent="0.35">
      <c r="A429" s="2" t="s">
        <v>4333</v>
      </c>
      <c r="B429" s="2" t="s">
        <v>790</v>
      </c>
      <c r="C429" s="18" t="s">
        <v>125</v>
      </c>
      <c r="D429" s="18" t="s">
        <v>57</v>
      </c>
      <c r="E429" s="18" t="s">
        <v>954</v>
      </c>
      <c r="F429" s="176">
        <v>45920</v>
      </c>
      <c r="G429" s="18">
        <v>9734.08</v>
      </c>
      <c r="H429" s="37">
        <f t="shared" si="31"/>
        <v>11</v>
      </c>
      <c r="I429" s="37" t="str">
        <f t="shared" si="34"/>
        <v>1-90 DAYS</v>
      </c>
      <c r="J429" s="37" t="str">
        <f t="shared" si="32"/>
        <v>0-180 DAYS</v>
      </c>
    </row>
    <row r="430" spans="1:10" x14ac:dyDescent="0.35">
      <c r="A430" s="2" t="s">
        <v>4333</v>
      </c>
      <c r="B430" s="2" t="s">
        <v>790</v>
      </c>
      <c r="C430" s="18" t="s">
        <v>125</v>
      </c>
      <c r="D430" s="18" t="s">
        <v>57</v>
      </c>
      <c r="E430" s="18" t="s">
        <v>955</v>
      </c>
      <c r="F430" s="176">
        <v>45920</v>
      </c>
      <c r="G430" s="18">
        <v>859453.07</v>
      </c>
      <c r="H430" s="37">
        <f t="shared" si="31"/>
        <v>11</v>
      </c>
      <c r="I430" s="37" t="str">
        <f t="shared" si="34"/>
        <v>1-90 DAYS</v>
      </c>
      <c r="J430" s="37" t="str">
        <f t="shared" si="32"/>
        <v>0-180 DAYS</v>
      </c>
    </row>
    <row r="431" spans="1:10" x14ac:dyDescent="0.35">
      <c r="A431" s="2" t="s">
        <v>4333</v>
      </c>
      <c r="B431" s="2" t="s">
        <v>790</v>
      </c>
      <c r="C431" s="18" t="s">
        <v>125</v>
      </c>
      <c r="D431" s="18" t="s">
        <v>57</v>
      </c>
      <c r="E431" s="18" t="s">
        <v>962</v>
      </c>
      <c r="F431" s="176">
        <v>45921</v>
      </c>
      <c r="G431" s="18">
        <v>47994.92</v>
      </c>
      <c r="H431" s="37">
        <f t="shared" si="31"/>
        <v>10</v>
      </c>
      <c r="I431" s="37" t="str">
        <f t="shared" si="34"/>
        <v>1-90 DAYS</v>
      </c>
      <c r="J431" s="37" t="str">
        <f t="shared" si="32"/>
        <v>0-180 DAYS</v>
      </c>
    </row>
    <row r="432" spans="1:10" x14ac:dyDescent="0.35">
      <c r="A432" s="2" t="s">
        <v>4333</v>
      </c>
      <c r="B432" s="2" t="s">
        <v>790</v>
      </c>
      <c r="C432" s="18" t="s">
        <v>125</v>
      </c>
      <c r="D432" s="18" t="s">
        <v>57</v>
      </c>
      <c r="E432" s="18" t="s">
        <v>963</v>
      </c>
      <c r="F432" s="176">
        <v>45921</v>
      </c>
      <c r="G432" s="18">
        <v>8205.7999999999993</v>
      </c>
      <c r="H432" s="37">
        <f t="shared" si="31"/>
        <v>10</v>
      </c>
      <c r="I432" s="37" t="str">
        <f t="shared" si="34"/>
        <v>1-90 DAYS</v>
      </c>
      <c r="J432" s="37" t="str">
        <f t="shared" si="32"/>
        <v>0-180 DAYS</v>
      </c>
    </row>
    <row r="433" spans="1:10" x14ac:dyDescent="0.35">
      <c r="A433" s="2" t="s">
        <v>4333</v>
      </c>
      <c r="B433" s="2" t="s">
        <v>790</v>
      </c>
      <c r="C433" s="18" t="s">
        <v>125</v>
      </c>
      <c r="D433" s="18" t="s">
        <v>57</v>
      </c>
      <c r="E433" s="18" t="s">
        <v>2913</v>
      </c>
      <c r="F433" s="176">
        <v>45921</v>
      </c>
      <c r="G433" s="18">
        <v>791507.85</v>
      </c>
      <c r="H433" s="37">
        <f t="shared" si="31"/>
        <v>10</v>
      </c>
      <c r="I433" s="37" t="str">
        <f t="shared" si="34"/>
        <v>1-90 DAYS</v>
      </c>
      <c r="J433" s="37" t="str">
        <f t="shared" si="32"/>
        <v>0-180 DAYS</v>
      </c>
    </row>
    <row r="434" spans="1:10" x14ac:dyDescent="0.35">
      <c r="A434" s="2" t="s">
        <v>4333</v>
      </c>
      <c r="B434" s="2" t="s">
        <v>790</v>
      </c>
      <c r="C434" s="18" t="s">
        <v>125</v>
      </c>
      <c r="D434" s="18" t="s">
        <v>57</v>
      </c>
      <c r="E434" s="18" t="s">
        <v>2914</v>
      </c>
      <c r="F434" s="176">
        <v>45921</v>
      </c>
      <c r="G434" s="18">
        <v>22000</v>
      </c>
      <c r="H434" s="37">
        <f t="shared" si="31"/>
        <v>10</v>
      </c>
      <c r="I434" s="37" t="str">
        <f t="shared" si="34"/>
        <v>1-90 DAYS</v>
      </c>
      <c r="J434" s="37" t="str">
        <f t="shared" si="32"/>
        <v>0-180 DAYS</v>
      </c>
    </row>
    <row r="435" spans="1:10" x14ac:dyDescent="0.35">
      <c r="A435" s="2" t="s">
        <v>4333</v>
      </c>
      <c r="B435" s="2" t="s">
        <v>790</v>
      </c>
      <c r="C435" s="18" t="s">
        <v>125</v>
      </c>
      <c r="D435" s="18" t="s">
        <v>57</v>
      </c>
      <c r="E435" s="18" t="s">
        <v>973</v>
      </c>
      <c r="F435" s="176">
        <v>45922</v>
      </c>
      <c r="G435" s="18">
        <v>1317886</v>
      </c>
      <c r="H435" s="37">
        <f t="shared" si="31"/>
        <v>9</v>
      </c>
      <c r="I435" s="37" t="str">
        <f t="shared" si="34"/>
        <v>1-90 DAYS</v>
      </c>
      <c r="J435" s="37" t="str">
        <f t="shared" si="32"/>
        <v>0-180 DAYS</v>
      </c>
    </row>
    <row r="436" spans="1:10" x14ac:dyDescent="0.35">
      <c r="A436" s="2" t="s">
        <v>4333</v>
      </c>
      <c r="B436" s="2" t="s">
        <v>790</v>
      </c>
      <c r="C436" s="18" t="s">
        <v>125</v>
      </c>
      <c r="D436" s="18" t="s">
        <v>57</v>
      </c>
      <c r="E436" s="18" t="s">
        <v>977</v>
      </c>
      <c r="F436" s="176">
        <v>45922</v>
      </c>
      <c r="G436" s="18">
        <v>4244</v>
      </c>
      <c r="H436" s="37">
        <f t="shared" si="31"/>
        <v>9</v>
      </c>
      <c r="I436" s="37" t="str">
        <f t="shared" si="34"/>
        <v>1-90 DAYS</v>
      </c>
      <c r="J436" s="37" t="str">
        <f t="shared" si="32"/>
        <v>0-180 DAYS</v>
      </c>
    </row>
    <row r="437" spans="1:10" x14ac:dyDescent="0.35">
      <c r="A437" s="2" t="s">
        <v>4333</v>
      </c>
      <c r="B437" s="2" t="s">
        <v>790</v>
      </c>
      <c r="C437" s="18" t="s">
        <v>125</v>
      </c>
      <c r="D437" s="18" t="s">
        <v>57</v>
      </c>
      <c r="E437" s="18" t="s">
        <v>978</v>
      </c>
      <c r="F437" s="176">
        <v>45922</v>
      </c>
      <c r="G437" s="18">
        <v>523779.29</v>
      </c>
      <c r="H437" s="37">
        <f t="shared" si="31"/>
        <v>9</v>
      </c>
      <c r="I437" s="37" t="str">
        <f t="shared" si="34"/>
        <v>1-90 DAYS</v>
      </c>
      <c r="J437" s="37" t="str">
        <f t="shared" si="32"/>
        <v>0-180 DAYS</v>
      </c>
    </row>
    <row r="438" spans="1:10" x14ac:dyDescent="0.35">
      <c r="A438" s="2" t="s">
        <v>4333</v>
      </c>
      <c r="B438" s="2" t="s">
        <v>790</v>
      </c>
      <c r="C438" s="18" t="s">
        <v>125</v>
      </c>
      <c r="D438" s="18" t="s">
        <v>57</v>
      </c>
      <c r="E438" s="18" t="s">
        <v>986</v>
      </c>
      <c r="F438" s="176">
        <v>45923</v>
      </c>
      <c r="G438" s="18">
        <v>2942.28</v>
      </c>
      <c r="H438" s="37">
        <f t="shared" si="31"/>
        <v>8</v>
      </c>
      <c r="I438" s="37" t="str">
        <f t="shared" si="34"/>
        <v>1-90 DAYS</v>
      </c>
      <c r="J438" s="37" t="str">
        <f t="shared" si="32"/>
        <v>0-180 DAYS</v>
      </c>
    </row>
    <row r="439" spans="1:10" x14ac:dyDescent="0.35">
      <c r="A439" s="2" t="s">
        <v>4333</v>
      </c>
      <c r="B439" s="2" t="s">
        <v>790</v>
      </c>
      <c r="C439" s="18" t="s">
        <v>125</v>
      </c>
      <c r="D439" s="18" t="s">
        <v>57</v>
      </c>
      <c r="E439" s="18" t="s">
        <v>990</v>
      </c>
      <c r="F439" s="176">
        <v>45923</v>
      </c>
      <c r="G439" s="18">
        <v>788117.37</v>
      </c>
      <c r="H439" s="37">
        <f t="shared" si="31"/>
        <v>8</v>
      </c>
      <c r="I439" s="37" t="str">
        <f t="shared" si="34"/>
        <v>1-90 DAYS</v>
      </c>
      <c r="J439" s="37" t="str">
        <f t="shared" si="32"/>
        <v>0-180 DAYS</v>
      </c>
    </row>
    <row r="440" spans="1:10" x14ac:dyDescent="0.35">
      <c r="A440" s="2" t="s">
        <v>4333</v>
      </c>
      <c r="B440" s="2" t="s">
        <v>790</v>
      </c>
      <c r="C440" s="18" t="s">
        <v>125</v>
      </c>
      <c r="D440" s="18" t="s">
        <v>57</v>
      </c>
      <c r="E440" s="18" t="s">
        <v>987</v>
      </c>
      <c r="F440" s="176">
        <v>45923</v>
      </c>
      <c r="G440" s="18">
        <v>382074.96</v>
      </c>
      <c r="H440" s="37">
        <f t="shared" si="31"/>
        <v>8</v>
      </c>
      <c r="I440" s="37" t="str">
        <f t="shared" si="34"/>
        <v>1-90 DAYS</v>
      </c>
      <c r="J440" s="37" t="str">
        <f t="shared" si="32"/>
        <v>0-180 DAYS</v>
      </c>
    </row>
    <row r="441" spans="1:10" x14ac:dyDescent="0.35">
      <c r="A441" s="2" t="s">
        <v>4333</v>
      </c>
      <c r="B441" s="2" t="s">
        <v>790</v>
      </c>
      <c r="C441" s="18" t="s">
        <v>125</v>
      </c>
      <c r="D441" s="18" t="s">
        <v>57</v>
      </c>
      <c r="E441" s="18" t="s">
        <v>985</v>
      </c>
      <c r="F441" s="176">
        <v>45923</v>
      </c>
      <c r="G441" s="18">
        <v>52490</v>
      </c>
      <c r="H441" s="37">
        <f t="shared" si="31"/>
        <v>8</v>
      </c>
      <c r="I441" s="37" t="str">
        <f t="shared" si="34"/>
        <v>1-90 DAYS</v>
      </c>
      <c r="J441" s="37" t="str">
        <f t="shared" si="32"/>
        <v>0-180 DAYS</v>
      </c>
    </row>
    <row r="442" spans="1:10" x14ac:dyDescent="0.35">
      <c r="A442" s="2" t="s">
        <v>4333</v>
      </c>
      <c r="B442" s="2" t="s">
        <v>790</v>
      </c>
      <c r="C442" s="18" t="s">
        <v>125</v>
      </c>
      <c r="D442" s="18" t="s">
        <v>57</v>
      </c>
      <c r="E442" s="18" t="s">
        <v>991</v>
      </c>
      <c r="F442" s="176">
        <v>45924</v>
      </c>
      <c r="G442" s="18">
        <v>186451.13</v>
      </c>
      <c r="H442" s="37">
        <f t="shared" si="31"/>
        <v>7</v>
      </c>
      <c r="I442" s="37" t="str">
        <f t="shared" si="34"/>
        <v>1-90 DAYS</v>
      </c>
      <c r="J442" s="37" t="str">
        <f t="shared" si="32"/>
        <v>0-180 DAYS</v>
      </c>
    </row>
    <row r="443" spans="1:10" x14ac:dyDescent="0.35">
      <c r="A443" s="2" t="s">
        <v>4333</v>
      </c>
      <c r="B443" s="2" t="s">
        <v>790</v>
      </c>
      <c r="C443" s="18" t="s">
        <v>125</v>
      </c>
      <c r="D443" s="18" t="s">
        <v>57</v>
      </c>
      <c r="E443" s="18" t="s">
        <v>996</v>
      </c>
      <c r="F443" s="176">
        <v>45924</v>
      </c>
      <c r="G443" s="18">
        <v>8092.52</v>
      </c>
      <c r="H443" s="37">
        <f t="shared" si="31"/>
        <v>7</v>
      </c>
      <c r="I443" s="37" t="str">
        <f t="shared" si="34"/>
        <v>1-90 DAYS</v>
      </c>
      <c r="J443" s="37" t="str">
        <f t="shared" si="32"/>
        <v>0-180 DAYS</v>
      </c>
    </row>
    <row r="444" spans="1:10" x14ac:dyDescent="0.35">
      <c r="A444" s="2" t="s">
        <v>4333</v>
      </c>
      <c r="B444" s="2" t="s">
        <v>790</v>
      </c>
      <c r="C444" s="18" t="s">
        <v>125</v>
      </c>
      <c r="D444" s="18" t="s">
        <v>57</v>
      </c>
      <c r="E444" s="18" t="s">
        <v>997</v>
      </c>
      <c r="F444" s="176">
        <v>45924</v>
      </c>
      <c r="G444" s="18">
        <v>631763.54</v>
      </c>
      <c r="H444" s="37">
        <f t="shared" si="31"/>
        <v>7</v>
      </c>
      <c r="I444" s="37" t="str">
        <f t="shared" si="34"/>
        <v>1-90 DAYS</v>
      </c>
      <c r="J444" s="37" t="str">
        <f t="shared" si="32"/>
        <v>0-180 DAYS</v>
      </c>
    </row>
    <row r="445" spans="1:10" x14ac:dyDescent="0.35">
      <c r="A445" s="2" t="s">
        <v>4333</v>
      </c>
      <c r="B445" s="2" t="s">
        <v>790</v>
      </c>
      <c r="C445" s="18" t="s">
        <v>125</v>
      </c>
      <c r="D445" s="18" t="s">
        <v>57</v>
      </c>
      <c r="E445" s="18" t="s">
        <v>2925</v>
      </c>
      <c r="F445" s="176">
        <v>45925</v>
      </c>
      <c r="G445" s="18">
        <v>112519.13</v>
      </c>
      <c r="H445" s="37">
        <f t="shared" si="31"/>
        <v>6</v>
      </c>
      <c r="I445" s="37" t="str">
        <f t="shared" si="34"/>
        <v>1-90 DAYS</v>
      </c>
      <c r="J445" s="37" t="str">
        <f t="shared" si="32"/>
        <v>0-180 DAYS</v>
      </c>
    </row>
    <row r="446" spans="1:10" x14ac:dyDescent="0.35">
      <c r="A446" s="2" t="s">
        <v>4333</v>
      </c>
      <c r="B446" s="2" t="s">
        <v>790</v>
      </c>
      <c r="C446" s="18" t="s">
        <v>125</v>
      </c>
      <c r="D446" s="18" t="s">
        <v>57</v>
      </c>
      <c r="E446" s="18" t="s">
        <v>2931</v>
      </c>
      <c r="F446" s="176">
        <v>45925</v>
      </c>
      <c r="G446" s="18">
        <v>6904.08</v>
      </c>
      <c r="H446" s="37">
        <f t="shared" si="31"/>
        <v>6</v>
      </c>
      <c r="I446" s="37" t="str">
        <f t="shared" si="34"/>
        <v>1-90 DAYS</v>
      </c>
      <c r="J446" s="37" t="str">
        <f t="shared" si="32"/>
        <v>0-180 DAYS</v>
      </c>
    </row>
    <row r="447" spans="1:10" x14ac:dyDescent="0.35">
      <c r="A447" s="2" t="s">
        <v>4333</v>
      </c>
      <c r="B447" s="2" t="s">
        <v>790</v>
      </c>
      <c r="C447" s="18" t="s">
        <v>125</v>
      </c>
      <c r="D447" s="18" t="s">
        <v>57</v>
      </c>
      <c r="E447" s="18" t="s">
        <v>1313</v>
      </c>
      <c r="F447" s="176">
        <v>45925</v>
      </c>
      <c r="G447" s="18">
        <v>544773.72</v>
      </c>
      <c r="H447" s="37">
        <f t="shared" si="31"/>
        <v>6</v>
      </c>
      <c r="I447" s="37" t="str">
        <f t="shared" si="34"/>
        <v>1-90 DAYS</v>
      </c>
      <c r="J447" s="37" t="str">
        <f t="shared" si="32"/>
        <v>0-180 DAYS</v>
      </c>
    </row>
    <row r="448" spans="1:10" x14ac:dyDescent="0.35">
      <c r="A448" s="2" t="s">
        <v>4333</v>
      </c>
      <c r="B448" s="2" t="s">
        <v>790</v>
      </c>
      <c r="C448" s="18" t="s">
        <v>125</v>
      </c>
      <c r="D448" s="18" t="s">
        <v>57</v>
      </c>
      <c r="E448" s="18" t="s">
        <v>1314</v>
      </c>
      <c r="F448" s="176">
        <v>45925</v>
      </c>
      <c r="G448" s="18">
        <v>11600</v>
      </c>
      <c r="H448" s="37">
        <f t="shared" si="31"/>
        <v>6</v>
      </c>
      <c r="I448" s="37" t="str">
        <f t="shared" si="34"/>
        <v>1-90 DAYS</v>
      </c>
      <c r="J448" s="37" t="str">
        <f t="shared" si="32"/>
        <v>0-180 DAYS</v>
      </c>
    </row>
    <row r="449" spans="1:10" x14ac:dyDescent="0.35">
      <c r="A449" s="2" t="s">
        <v>477</v>
      </c>
      <c r="B449" s="2" t="s">
        <v>790</v>
      </c>
      <c r="C449" s="18" t="s">
        <v>1087</v>
      </c>
      <c r="D449" s="18" t="s">
        <v>1088</v>
      </c>
      <c r="E449" s="18" t="s">
        <v>2935</v>
      </c>
      <c r="F449" s="176">
        <v>45926</v>
      </c>
      <c r="G449" s="18">
        <v>282728</v>
      </c>
      <c r="H449" s="37">
        <f t="shared" si="31"/>
        <v>5</v>
      </c>
      <c r="I449" s="37" t="str">
        <f t="shared" si="34"/>
        <v>1-90 DAYS</v>
      </c>
      <c r="J449" s="37" t="str">
        <f t="shared" si="32"/>
        <v>0-180 DAYS</v>
      </c>
    </row>
    <row r="450" spans="1:10" x14ac:dyDescent="0.35">
      <c r="A450" s="2" t="s">
        <v>477</v>
      </c>
      <c r="B450" s="2" t="s">
        <v>790</v>
      </c>
      <c r="C450" s="18" t="s">
        <v>1087</v>
      </c>
      <c r="D450" s="18" t="s">
        <v>1088</v>
      </c>
      <c r="E450" s="18" t="s">
        <v>2936</v>
      </c>
      <c r="F450" s="176">
        <v>45926</v>
      </c>
      <c r="G450" s="18">
        <v>64310</v>
      </c>
      <c r="H450" s="37">
        <f t="shared" si="31"/>
        <v>5</v>
      </c>
      <c r="I450" s="37" t="str">
        <f t="shared" si="34"/>
        <v>1-90 DAYS</v>
      </c>
      <c r="J450" s="37" t="str">
        <f t="shared" si="32"/>
        <v>0-180 DAYS</v>
      </c>
    </row>
    <row r="451" spans="1:10" x14ac:dyDescent="0.35">
      <c r="A451" s="2" t="s">
        <v>4333</v>
      </c>
      <c r="B451" s="2" t="s">
        <v>790</v>
      </c>
      <c r="C451" s="18" t="s">
        <v>125</v>
      </c>
      <c r="D451" s="18" t="s">
        <v>57</v>
      </c>
      <c r="E451" s="18" t="s">
        <v>2928</v>
      </c>
      <c r="F451" s="176">
        <v>45926</v>
      </c>
      <c r="G451" s="18">
        <v>24142.74</v>
      </c>
      <c r="H451" s="37">
        <f t="shared" si="31"/>
        <v>5</v>
      </c>
      <c r="I451" s="37" t="str">
        <f t="shared" si="34"/>
        <v>1-90 DAYS</v>
      </c>
      <c r="J451" s="37" t="str">
        <f t="shared" si="32"/>
        <v>0-180 DAYS</v>
      </c>
    </row>
    <row r="452" spans="1:10" x14ac:dyDescent="0.35">
      <c r="A452" s="2" t="s">
        <v>4333</v>
      </c>
      <c r="B452" s="2" t="s">
        <v>790</v>
      </c>
      <c r="C452" s="18" t="s">
        <v>125</v>
      </c>
      <c r="D452" s="18" t="s">
        <v>57</v>
      </c>
      <c r="E452" s="18" t="s">
        <v>1315</v>
      </c>
      <c r="F452" s="176">
        <v>45926</v>
      </c>
      <c r="G452" s="18">
        <v>6395.32</v>
      </c>
      <c r="H452" s="37">
        <f t="shared" si="31"/>
        <v>5</v>
      </c>
      <c r="I452" s="37" t="str">
        <f t="shared" si="34"/>
        <v>1-90 DAYS</v>
      </c>
      <c r="J452" s="37" t="str">
        <f t="shared" si="32"/>
        <v>0-180 DAYS</v>
      </c>
    </row>
    <row r="453" spans="1:10" x14ac:dyDescent="0.35">
      <c r="A453" s="2" t="s">
        <v>4333</v>
      </c>
      <c r="B453" s="2" t="s">
        <v>790</v>
      </c>
      <c r="C453" s="18" t="s">
        <v>125</v>
      </c>
      <c r="D453" s="18" t="s">
        <v>57</v>
      </c>
      <c r="E453" s="18" t="s">
        <v>2937</v>
      </c>
      <c r="F453" s="176">
        <v>45926</v>
      </c>
      <c r="G453" s="18">
        <v>724053.83</v>
      </c>
      <c r="H453" s="37">
        <f t="shared" si="31"/>
        <v>5</v>
      </c>
      <c r="I453" s="37" t="str">
        <f t="shared" si="34"/>
        <v>1-90 DAYS</v>
      </c>
      <c r="J453" s="37" t="str">
        <f t="shared" si="32"/>
        <v>0-180 DAYS</v>
      </c>
    </row>
    <row r="454" spans="1:10" x14ac:dyDescent="0.35">
      <c r="A454" s="2" t="s">
        <v>4333</v>
      </c>
      <c r="B454" s="2" t="s">
        <v>790</v>
      </c>
      <c r="C454" s="18" t="s">
        <v>125</v>
      </c>
      <c r="D454" s="18" t="s">
        <v>57</v>
      </c>
      <c r="E454" s="18" t="s">
        <v>2933</v>
      </c>
      <c r="F454" s="176">
        <v>45926</v>
      </c>
      <c r="G454" s="18">
        <v>55680</v>
      </c>
      <c r="H454" s="37">
        <f t="shared" si="31"/>
        <v>5</v>
      </c>
      <c r="I454" s="37" t="str">
        <f t="shared" si="34"/>
        <v>1-90 DAYS</v>
      </c>
      <c r="J454" s="37" t="str">
        <f t="shared" si="32"/>
        <v>0-180 DAYS</v>
      </c>
    </row>
    <row r="455" spans="1:10" x14ac:dyDescent="0.35">
      <c r="A455" s="2" t="s">
        <v>4333</v>
      </c>
      <c r="B455" s="2" t="s">
        <v>790</v>
      </c>
      <c r="C455" s="18" t="s">
        <v>125</v>
      </c>
      <c r="D455" s="18" t="s">
        <v>57</v>
      </c>
      <c r="E455" s="18" t="s">
        <v>2939</v>
      </c>
      <c r="F455" s="176">
        <v>45927</v>
      </c>
      <c r="G455" s="18">
        <v>670.59</v>
      </c>
      <c r="H455" s="37">
        <f t="shared" si="31"/>
        <v>4</v>
      </c>
      <c r="I455" s="37" t="str">
        <f t="shared" si="34"/>
        <v>1-90 DAYS</v>
      </c>
      <c r="J455" s="37" t="str">
        <f t="shared" si="32"/>
        <v>0-180 DAYS</v>
      </c>
    </row>
    <row r="456" spans="1:10" x14ac:dyDescent="0.35">
      <c r="A456" s="2" t="s">
        <v>4333</v>
      </c>
      <c r="B456" s="2" t="s">
        <v>790</v>
      </c>
      <c r="C456" s="18" t="s">
        <v>125</v>
      </c>
      <c r="D456" s="18" t="s">
        <v>57</v>
      </c>
      <c r="E456" s="18" t="s">
        <v>4296</v>
      </c>
      <c r="F456" s="176">
        <v>45927</v>
      </c>
      <c r="G456" s="18">
        <v>5263.52</v>
      </c>
      <c r="H456" s="37">
        <f t="shared" si="31"/>
        <v>4</v>
      </c>
      <c r="I456" s="37" t="str">
        <f t="shared" si="34"/>
        <v>1-90 DAYS</v>
      </c>
      <c r="J456" s="37" t="str">
        <f t="shared" si="32"/>
        <v>0-180 DAYS</v>
      </c>
    </row>
    <row r="457" spans="1:10" x14ac:dyDescent="0.35">
      <c r="A457" s="2" t="s">
        <v>4333</v>
      </c>
      <c r="B457" s="2" t="s">
        <v>790</v>
      </c>
      <c r="C457" s="18" t="s">
        <v>125</v>
      </c>
      <c r="D457" s="18" t="s">
        <v>57</v>
      </c>
      <c r="E457" s="18" t="s">
        <v>4297</v>
      </c>
      <c r="F457" s="176">
        <v>45927</v>
      </c>
      <c r="G457" s="18">
        <v>531958.44999999995</v>
      </c>
      <c r="H457" s="37">
        <f t="shared" si="31"/>
        <v>4</v>
      </c>
      <c r="I457" s="37" t="str">
        <f t="shared" si="34"/>
        <v>1-90 DAYS</v>
      </c>
      <c r="J457" s="37" t="str">
        <f t="shared" si="32"/>
        <v>0-180 DAYS</v>
      </c>
    </row>
    <row r="458" spans="1:10" x14ac:dyDescent="0.35">
      <c r="A458" s="2" t="s">
        <v>4333</v>
      </c>
      <c r="B458" s="2" t="s">
        <v>790</v>
      </c>
      <c r="C458" s="18" t="s">
        <v>125</v>
      </c>
      <c r="D458" s="18" t="s">
        <v>57</v>
      </c>
      <c r="E458" s="18" t="s">
        <v>3258</v>
      </c>
      <c r="F458" s="176">
        <v>45928</v>
      </c>
      <c r="G458" s="18">
        <v>1980.4</v>
      </c>
      <c r="H458" s="37">
        <f t="shared" si="31"/>
        <v>3</v>
      </c>
      <c r="I458" s="37" t="str">
        <f t="shared" si="34"/>
        <v>1-90 DAYS</v>
      </c>
      <c r="J458" s="37" t="str">
        <f t="shared" si="32"/>
        <v>0-180 DAYS</v>
      </c>
    </row>
    <row r="459" spans="1:10" x14ac:dyDescent="0.35">
      <c r="A459" s="2" t="s">
        <v>4333</v>
      </c>
      <c r="B459" s="2" t="s">
        <v>790</v>
      </c>
      <c r="C459" s="18" t="s">
        <v>125</v>
      </c>
      <c r="D459" s="18" t="s">
        <v>57</v>
      </c>
      <c r="E459" s="18" t="s">
        <v>4298</v>
      </c>
      <c r="F459" s="176">
        <v>45928</v>
      </c>
      <c r="G459" s="18">
        <v>231203.96</v>
      </c>
      <c r="H459" s="37">
        <f t="shared" si="31"/>
        <v>3</v>
      </c>
      <c r="I459" s="37" t="str">
        <f t="shared" si="34"/>
        <v>1-90 DAYS</v>
      </c>
      <c r="J459" s="37" t="str">
        <f t="shared" si="32"/>
        <v>0-180 DAYS</v>
      </c>
    </row>
    <row r="460" spans="1:10" x14ac:dyDescent="0.35">
      <c r="A460" s="2" t="s">
        <v>4333</v>
      </c>
      <c r="B460" s="2" t="s">
        <v>790</v>
      </c>
      <c r="C460" s="18" t="s">
        <v>125</v>
      </c>
      <c r="D460" s="18" t="s">
        <v>57</v>
      </c>
      <c r="E460" s="18" t="s">
        <v>3257</v>
      </c>
      <c r="F460" s="176">
        <v>45928</v>
      </c>
      <c r="G460" s="18">
        <v>48720</v>
      </c>
      <c r="H460" s="37">
        <f t="shared" ref="H460:H499" si="35">$H$9-F460+1</f>
        <v>3</v>
      </c>
      <c r="I460" s="37" t="str">
        <f t="shared" si="34"/>
        <v>1-90 DAYS</v>
      </c>
      <c r="J460" s="37" t="str">
        <f t="shared" si="32"/>
        <v>0-180 DAYS</v>
      </c>
    </row>
    <row r="461" spans="1:10" x14ac:dyDescent="0.35">
      <c r="A461" s="2" t="s">
        <v>477</v>
      </c>
      <c r="B461" s="2" t="s">
        <v>790</v>
      </c>
      <c r="C461" s="18" t="s">
        <v>1087</v>
      </c>
      <c r="D461" s="18" t="s">
        <v>1088</v>
      </c>
      <c r="E461" s="18" t="s">
        <v>3263</v>
      </c>
      <c r="F461" s="176">
        <v>45929</v>
      </c>
      <c r="G461" s="18">
        <v>192930</v>
      </c>
      <c r="H461" s="37">
        <f t="shared" si="35"/>
        <v>2</v>
      </c>
      <c r="I461" s="37" t="str">
        <f t="shared" si="34"/>
        <v>1-90 DAYS</v>
      </c>
      <c r="J461" s="37" t="str">
        <f t="shared" si="32"/>
        <v>0-180 DAYS</v>
      </c>
    </row>
    <row r="462" spans="1:10" x14ac:dyDescent="0.35">
      <c r="A462" s="2" t="s">
        <v>4333</v>
      </c>
      <c r="B462" s="2" t="s">
        <v>790</v>
      </c>
      <c r="C462" s="18" t="s">
        <v>125</v>
      </c>
      <c r="D462" s="18" t="s">
        <v>57</v>
      </c>
      <c r="E462" s="18" t="s">
        <v>4299</v>
      </c>
      <c r="F462" s="176">
        <v>45929</v>
      </c>
      <c r="G462" s="18">
        <v>9139.36</v>
      </c>
      <c r="H462" s="37">
        <f t="shared" si="35"/>
        <v>2</v>
      </c>
      <c r="I462" s="37" t="str">
        <f t="shared" si="34"/>
        <v>1-90 DAYS</v>
      </c>
      <c r="J462" s="37" t="str">
        <f t="shared" ref="J462:J499" si="36">IF(H462&lt;180,"0-180 DAYS","More than 180 Days")</f>
        <v>0-180 DAYS</v>
      </c>
    </row>
    <row r="463" spans="1:10" x14ac:dyDescent="0.35">
      <c r="A463" s="2" t="s">
        <v>4333</v>
      </c>
      <c r="B463" s="2" t="s">
        <v>790</v>
      </c>
      <c r="C463" s="18" t="s">
        <v>125</v>
      </c>
      <c r="D463" s="18" t="s">
        <v>57</v>
      </c>
      <c r="E463" s="18" t="s">
        <v>4300</v>
      </c>
      <c r="F463" s="176">
        <v>45929</v>
      </c>
      <c r="G463" s="18">
        <v>431653.01</v>
      </c>
      <c r="H463" s="37">
        <f t="shared" si="35"/>
        <v>2</v>
      </c>
      <c r="I463" s="37" t="str">
        <f t="shared" si="34"/>
        <v>1-90 DAYS</v>
      </c>
      <c r="J463" s="37" t="str">
        <f t="shared" si="36"/>
        <v>0-180 DAYS</v>
      </c>
    </row>
    <row r="464" spans="1:10" x14ac:dyDescent="0.35">
      <c r="A464" s="2" t="s">
        <v>4333</v>
      </c>
      <c r="B464" s="2" t="s">
        <v>790</v>
      </c>
      <c r="C464" s="18" t="s">
        <v>125</v>
      </c>
      <c r="D464" s="18" t="s">
        <v>57</v>
      </c>
      <c r="E464" s="18" t="s">
        <v>3262</v>
      </c>
      <c r="F464" s="176">
        <v>45929</v>
      </c>
      <c r="G464" s="18">
        <v>261837.62</v>
      </c>
      <c r="H464" s="37">
        <f t="shared" si="35"/>
        <v>2</v>
      </c>
      <c r="I464" s="37" t="str">
        <f t="shared" si="34"/>
        <v>1-90 DAYS</v>
      </c>
      <c r="J464" s="37" t="str">
        <f t="shared" si="36"/>
        <v>0-180 DAYS</v>
      </c>
    </row>
    <row r="465" spans="1:10" x14ac:dyDescent="0.35">
      <c r="A465" s="2" t="s">
        <v>4333</v>
      </c>
      <c r="B465" s="2" t="s">
        <v>790</v>
      </c>
      <c r="C465" s="18" t="s">
        <v>125</v>
      </c>
      <c r="D465" s="18" t="s">
        <v>57</v>
      </c>
      <c r="E465" s="18" t="s">
        <v>4301</v>
      </c>
      <c r="F465" s="176">
        <v>45929</v>
      </c>
      <c r="G465" s="18">
        <v>1301.72</v>
      </c>
      <c r="H465" s="37">
        <f t="shared" si="35"/>
        <v>2</v>
      </c>
      <c r="I465" s="37" t="str">
        <f t="shared" si="34"/>
        <v>1-90 DAYS</v>
      </c>
      <c r="J465" s="37" t="str">
        <f t="shared" si="36"/>
        <v>0-180 DAYS</v>
      </c>
    </row>
    <row r="466" spans="1:10" x14ac:dyDescent="0.35">
      <c r="A466" s="2" t="s">
        <v>4333</v>
      </c>
      <c r="B466" s="2" t="s">
        <v>790</v>
      </c>
      <c r="C466" s="18" t="s">
        <v>125</v>
      </c>
      <c r="D466" s="18" t="s">
        <v>57</v>
      </c>
      <c r="E466" s="18" t="s">
        <v>3104</v>
      </c>
      <c r="F466" s="176">
        <v>45929</v>
      </c>
      <c r="G466" s="18">
        <v>127787.28</v>
      </c>
      <c r="H466" s="37">
        <f t="shared" si="35"/>
        <v>2</v>
      </c>
      <c r="I466" s="37" t="str">
        <f t="shared" si="34"/>
        <v>1-90 DAYS</v>
      </c>
      <c r="J466" s="37" t="str">
        <f t="shared" si="36"/>
        <v>0-180 DAYS</v>
      </c>
    </row>
    <row r="467" spans="1:10" x14ac:dyDescent="0.35">
      <c r="A467" s="2" t="s">
        <v>4333</v>
      </c>
      <c r="B467" s="2" t="s">
        <v>790</v>
      </c>
      <c r="C467" s="18" t="s">
        <v>125</v>
      </c>
      <c r="D467" s="18" t="s">
        <v>57</v>
      </c>
      <c r="E467" s="18" t="s">
        <v>4302</v>
      </c>
      <c r="F467" s="176">
        <v>45930</v>
      </c>
      <c r="G467" s="18">
        <v>35385.06</v>
      </c>
      <c r="H467" s="37">
        <f t="shared" si="35"/>
        <v>1</v>
      </c>
      <c r="I467" s="37" t="str">
        <f t="shared" si="34"/>
        <v>1-90 DAYS</v>
      </c>
      <c r="J467" s="37" t="str">
        <f t="shared" si="36"/>
        <v>0-180 DAYS</v>
      </c>
    </row>
    <row r="468" spans="1:10" x14ac:dyDescent="0.35">
      <c r="A468" s="2" t="s">
        <v>4333</v>
      </c>
      <c r="B468" s="2" t="s">
        <v>790</v>
      </c>
      <c r="C468" s="18" t="s">
        <v>125</v>
      </c>
      <c r="D468" s="18" t="s">
        <v>57</v>
      </c>
      <c r="E468" s="18" t="s">
        <v>3267</v>
      </c>
      <c r="F468" s="176">
        <v>45930</v>
      </c>
      <c r="G468" s="18">
        <v>1301.72</v>
      </c>
      <c r="H468" s="37">
        <f t="shared" si="35"/>
        <v>1</v>
      </c>
      <c r="I468" s="37" t="str">
        <f t="shared" si="34"/>
        <v>1-90 DAYS</v>
      </c>
      <c r="J468" s="37" t="str">
        <f t="shared" si="36"/>
        <v>0-180 DAYS</v>
      </c>
    </row>
    <row r="469" spans="1:10" x14ac:dyDescent="0.35">
      <c r="A469" s="2" t="s">
        <v>4333</v>
      </c>
      <c r="B469" s="2" t="s">
        <v>790</v>
      </c>
      <c r="C469" s="18" t="s">
        <v>125</v>
      </c>
      <c r="D469" s="18" t="s">
        <v>57</v>
      </c>
      <c r="E469" s="18" t="s">
        <v>3268</v>
      </c>
      <c r="F469" s="176">
        <v>45930</v>
      </c>
      <c r="G469" s="18">
        <v>130106.95</v>
      </c>
      <c r="H469" s="37">
        <f t="shared" si="35"/>
        <v>1</v>
      </c>
      <c r="I469" s="37" t="str">
        <f t="shared" si="34"/>
        <v>1-90 DAYS</v>
      </c>
      <c r="J469" s="37" t="str">
        <f t="shared" si="36"/>
        <v>0-180 DAYS</v>
      </c>
    </row>
    <row r="470" spans="1:10" x14ac:dyDescent="0.35">
      <c r="A470" s="2" t="s">
        <v>4333</v>
      </c>
      <c r="B470" s="2" t="s">
        <v>790</v>
      </c>
      <c r="C470" s="18" t="s">
        <v>125</v>
      </c>
      <c r="D470" s="18" t="s">
        <v>57</v>
      </c>
      <c r="E470" s="18" t="s">
        <v>4303</v>
      </c>
      <c r="F470" s="176">
        <v>45901</v>
      </c>
      <c r="G470" s="18">
        <v>800066.86</v>
      </c>
      <c r="H470" s="37">
        <f t="shared" si="35"/>
        <v>30</v>
      </c>
      <c r="I470" s="37" t="str">
        <f t="shared" si="34"/>
        <v>1-90 DAYS</v>
      </c>
      <c r="J470" s="37" t="str">
        <f t="shared" si="36"/>
        <v>0-180 DAYS</v>
      </c>
    </row>
    <row r="471" spans="1:10" x14ac:dyDescent="0.35">
      <c r="A471" s="2" t="s">
        <v>4333</v>
      </c>
      <c r="B471" s="2" t="s">
        <v>790</v>
      </c>
      <c r="C471" s="18" t="s">
        <v>125</v>
      </c>
      <c r="D471" s="18" t="s">
        <v>57</v>
      </c>
      <c r="E471" s="18" t="s">
        <v>4304</v>
      </c>
      <c r="F471" s="176">
        <v>45901</v>
      </c>
      <c r="G471" s="18">
        <v>2716.42</v>
      </c>
      <c r="H471" s="37">
        <f t="shared" si="35"/>
        <v>30</v>
      </c>
      <c r="I471" s="37" t="str">
        <f t="shared" ref="I471:I499" si="37">IF(H471&lt;91,"1-90 DAYS",IF(H471&lt;121,"91-120DAYS",IF(H471&lt;181,"121-180 DAYS","More than 180 Days")))</f>
        <v>1-90 DAYS</v>
      </c>
      <c r="J471" s="37" t="str">
        <f t="shared" si="36"/>
        <v>0-180 DAYS</v>
      </c>
    </row>
    <row r="472" spans="1:10" x14ac:dyDescent="0.35">
      <c r="A472" s="2" t="s">
        <v>4333</v>
      </c>
      <c r="B472" s="2" t="s">
        <v>790</v>
      </c>
      <c r="C472" s="18" t="s">
        <v>125</v>
      </c>
      <c r="D472" s="18" t="s">
        <v>57</v>
      </c>
      <c r="E472" s="18" t="s">
        <v>4305</v>
      </c>
      <c r="F472" s="176">
        <v>45901</v>
      </c>
      <c r="G472" s="18">
        <v>81125.81</v>
      </c>
      <c r="H472" s="37">
        <f t="shared" si="35"/>
        <v>30</v>
      </c>
      <c r="I472" s="37" t="str">
        <f t="shared" si="37"/>
        <v>1-90 DAYS</v>
      </c>
      <c r="J472" s="37" t="str">
        <f t="shared" si="36"/>
        <v>0-180 DAYS</v>
      </c>
    </row>
    <row r="473" spans="1:10" x14ac:dyDescent="0.35">
      <c r="A473" s="2" t="s">
        <v>4333</v>
      </c>
      <c r="B473" s="2" t="s">
        <v>790</v>
      </c>
      <c r="C473" s="18" t="s">
        <v>125</v>
      </c>
      <c r="D473" s="18" t="s">
        <v>57</v>
      </c>
      <c r="E473" s="18" t="s">
        <v>2235</v>
      </c>
      <c r="F473" s="176">
        <v>45901</v>
      </c>
      <c r="G473" s="18">
        <v>16151.82</v>
      </c>
      <c r="H473" s="37">
        <f t="shared" si="35"/>
        <v>30</v>
      </c>
      <c r="I473" s="37" t="str">
        <f t="shared" si="37"/>
        <v>1-90 DAYS</v>
      </c>
      <c r="J473" s="37" t="str">
        <f t="shared" si="36"/>
        <v>0-180 DAYS</v>
      </c>
    </row>
    <row r="474" spans="1:10" x14ac:dyDescent="0.35">
      <c r="A474" s="2" t="s">
        <v>4333</v>
      </c>
      <c r="B474" s="2" t="s">
        <v>790</v>
      </c>
      <c r="C474" s="18" t="s">
        <v>125</v>
      </c>
      <c r="D474" s="18" t="s">
        <v>57</v>
      </c>
      <c r="E474" s="18" t="s">
        <v>4306</v>
      </c>
      <c r="F474" s="176">
        <v>45904</v>
      </c>
      <c r="G474" s="18">
        <v>1466488</v>
      </c>
      <c r="H474" s="37">
        <f t="shared" si="35"/>
        <v>27</v>
      </c>
      <c r="I474" s="37" t="str">
        <f t="shared" si="37"/>
        <v>1-90 DAYS</v>
      </c>
      <c r="J474" s="37" t="str">
        <f t="shared" si="36"/>
        <v>0-180 DAYS</v>
      </c>
    </row>
    <row r="475" spans="1:10" x14ac:dyDescent="0.35">
      <c r="A475" s="2" t="s">
        <v>4333</v>
      </c>
      <c r="B475" s="2" t="s">
        <v>790</v>
      </c>
      <c r="C475" s="18" t="s">
        <v>125</v>
      </c>
      <c r="D475" s="18" t="s">
        <v>57</v>
      </c>
      <c r="E475" s="18" t="s">
        <v>4307</v>
      </c>
      <c r="F475" s="176">
        <v>45904</v>
      </c>
      <c r="G475" s="18">
        <v>1754.35</v>
      </c>
      <c r="H475" s="37">
        <f t="shared" si="35"/>
        <v>27</v>
      </c>
      <c r="I475" s="37" t="str">
        <f t="shared" si="37"/>
        <v>1-90 DAYS</v>
      </c>
      <c r="J475" s="37" t="str">
        <f t="shared" si="36"/>
        <v>0-180 DAYS</v>
      </c>
    </row>
    <row r="476" spans="1:10" x14ac:dyDescent="0.35">
      <c r="A476" s="2" t="s">
        <v>4333</v>
      </c>
      <c r="B476" s="2" t="s">
        <v>790</v>
      </c>
      <c r="C476" s="18" t="s">
        <v>125</v>
      </c>
      <c r="D476" s="18" t="s">
        <v>57</v>
      </c>
      <c r="E476" s="18" t="s">
        <v>4308</v>
      </c>
      <c r="F476" s="176">
        <v>45908</v>
      </c>
      <c r="G476" s="18">
        <v>618884.32999999996</v>
      </c>
      <c r="H476" s="37">
        <f t="shared" si="35"/>
        <v>23</v>
      </c>
      <c r="I476" s="37" t="str">
        <f t="shared" si="37"/>
        <v>1-90 DAYS</v>
      </c>
      <c r="J476" s="37" t="str">
        <f t="shared" si="36"/>
        <v>0-180 DAYS</v>
      </c>
    </row>
    <row r="477" spans="1:10" x14ac:dyDescent="0.35">
      <c r="A477" s="2" t="s">
        <v>477</v>
      </c>
      <c r="B477" s="2" t="s">
        <v>790</v>
      </c>
      <c r="C477" s="18" t="s">
        <v>5</v>
      </c>
      <c r="D477" s="18" t="s">
        <v>6</v>
      </c>
      <c r="E477" s="18" t="s">
        <v>4309</v>
      </c>
      <c r="F477" s="176">
        <v>45910</v>
      </c>
      <c r="G477" s="18">
        <v>293112</v>
      </c>
      <c r="H477" s="37">
        <f t="shared" si="35"/>
        <v>21</v>
      </c>
      <c r="I477" s="37" t="str">
        <f t="shared" si="37"/>
        <v>1-90 DAYS</v>
      </c>
      <c r="J477" s="37" t="str">
        <f t="shared" si="36"/>
        <v>0-180 DAYS</v>
      </c>
    </row>
    <row r="478" spans="1:10" x14ac:dyDescent="0.35">
      <c r="A478" s="2" t="s">
        <v>4333</v>
      </c>
      <c r="B478" s="2" t="s">
        <v>790</v>
      </c>
      <c r="C478" s="18" t="s">
        <v>125</v>
      </c>
      <c r="D478" s="18" t="s">
        <v>57</v>
      </c>
      <c r="E478" s="18" t="s">
        <v>4310</v>
      </c>
      <c r="F478" s="176">
        <v>45911</v>
      </c>
      <c r="G478" s="18">
        <v>218555.86</v>
      </c>
      <c r="H478" s="37">
        <f t="shared" si="35"/>
        <v>20</v>
      </c>
      <c r="I478" s="37" t="str">
        <f t="shared" si="37"/>
        <v>1-90 DAYS</v>
      </c>
      <c r="J478" s="37" t="str">
        <f t="shared" si="36"/>
        <v>0-180 DAYS</v>
      </c>
    </row>
    <row r="479" spans="1:10" x14ac:dyDescent="0.35">
      <c r="A479" s="2" t="s">
        <v>4333</v>
      </c>
      <c r="B479" s="2" t="s">
        <v>790</v>
      </c>
      <c r="C479" s="18" t="s">
        <v>125</v>
      </c>
      <c r="D479" s="18" t="s">
        <v>57</v>
      </c>
      <c r="E479" s="18" t="s">
        <v>4311</v>
      </c>
      <c r="F479" s="176">
        <v>45912</v>
      </c>
      <c r="G479" s="18">
        <v>458554.92</v>
      </c>
      <c r="H479" s="37">
        <f t="shared" si="35"/>
        <v>19</v>
      </c>
      <c r="I479" s="37" t="str">
        <f t="shared" si="37"/>
        <v>1-90 DAYS</v>
      </c>
      <c r="J479" s="37" t="str">
        <f t="shared" si="36"/>
        <v>0-180 DAYS</v>
      </c>
    </row>
    <row r="480" spans="1:10" x14ac:dyDescent="0.35">
      <c r="A480" s="2" t="s">
        <v>4333</v>
      </c>
      <c r="B480" s="2" t="s">
        <v>790</v>
      </c>
      <c r="C480" s="18" t="s">
        <v>125</v>
      </c>
      <c r="D480" s="18" t="s">
        <v>57</v>
      </c>
      <c r="E480" s="18" t="s">
        <v>4312</v>
      </c>
      <c r="F480" s="176">
        <v>45913</v>
      </c>
      <c r="G480" s="18">
        <v>1121125.3400000001</v>
      </c>
      <c r="H480" s="37">
        <f t="shared" si="35"/>
        <v>18</v>
      </c>
      <c r="I480" s="37" t="str">
        <f t="shared" si="37"/>
        <v>1-90 DAYS</v>
      </c>
      <c r="J480" s="37" t="str">
        <f t="shared" si="36"/>
        <v>0-180 DAYS</v>
      </c>
    </row>
    <row r="481" spans="1:10" x14ac:dyDescent="0.35">
      <c r="A481" s="2" t="s">
        <v>4333</v>
      </c>
      <c r="B481" s="2" t="s">
        <v>790</v>
      </c>
      <c r="C481" s="18" t="s">
        <v>125</v>
      </c>
      <c r="D481" s="18" t="s">
        <v>57</v>
      </c>
      <c r="E481" s="18" t="s">
        <v>4313</v>
      </c>
      <c r="F481" s="176">
        <v>45913</v>
      </c>
      <c r="G481" s="18">
        <v>5772.38</v>
      </c>
      <c r="H481" s="37">
        <f t="shared" si="35"/>
        <v>18</v>
      </c>
      <c r="I481" s="37" t="str">
        <f t="shared" si="37"/>
        <v>1-90 DAYS</v>
      </c>
      <c r="J481" s="37" t="str">
        <f t="shared" si="36"/>
        <v>0-180 DAYS</v>
      </c>
    </row>
    <row r="482" spans="1:10" x14ac:dyDescent="0.35">
      <c r="A482" s="2" t="s">
        <v>4333</v>
      </c>
      <c r="B482" s="2" t="s">
        <v>790</v>
      </c>
      <c r="C482" s="18" t="s">
        <v>125</v>
      </c>
      <c r="D482" s="18" t="s">
        <v>57</v>
      </c>
      <c r="E482" s="18" t="s">
        <v>4314</v>
      </c>
      <c r="F482" s="176">
        <v>45913</v>
      </c>
      <c r="G482" s="18">
        <v>1866802.06</v>
      </c>
      <c r="H482" s="37">
        <f t="shared" si="35"/>
        <v>18</v>
      </c>
      <c r="I482" s="37" t="str">
        <f t="shared" si="37"/>
        <v>1-90 DAYS</v>
      </c>
      <c r="J482" s="37" t="str">
        <f t="shared" si="36"/>
        <v>0-180 DAYS</v>
      </c>
    </row>
    <row r="483" spans="1:10" x14ac:dyDescent="0.35">
      <c r="A483" s="2" t="s">
        <v>4333</v>
      </c>
      <c r="B483" s="2" t="s">
        <v>790</v>
      </c>
      <c r="C483" s="18" t="s">
        <v>125</v>
      </c>
      <c r="D483" s="18" t="s">
        <v>57</v>
      </c>
      <c r="E483" s="18" t="s">
        <v>4315</v>
      </c>
      <c r="F483" s="176">
        <v>45916</v>
      </c>
      <c r="G483" s="18">
        <v>1241244.43</v>
      </c>
      <c r="H483" s="37">
        <f t="shared" si="35"/>
        <v>15</v>
      </c>
      <c r="I483" s="37" t="str">
        <f t="shared" si="37"/>
        <v>1-90 DAYS</v>
      </c>
      <c r="J483" s="37" t="str">
        <f t="shared" si="36"/>
        <v>0-180 DAYS</v>
      </c>
    </row>
    <row r="484" spans="1:10" x14ac:dyDescent="0.35">
      <c r="A484" s="2" t="s">
        <v>4333</v>
      </c>
      <c r="B484" s="2" t="s">
        <v>790</v>
      </c>
      <c r="C484" s="18" t="s">
        <v>125</v>
      </c>
      <c r="D484" s="18" t="s">
        <v>57</v>
      </c>
      <c r="E484" s="18" t="s">
        <v>4316</v>
      </c>
      <c r="F484" s="176">
        <v>45916</v>
      </c>
      <c r="G484" s="18">
        <v>518754.83</v>
      </c>
      <c r="H484" s="37">
        <f t="shared" si="35"/>
        <v>15</v>
      </c>
      <c r="I484" s="37" t="str">
        <f t="shared" si="37"/>
        <v>1-90 DAYS</v>
      </c>
      <c r="J484" s="37" t="str">
        <f t="shared" si="36"/>
        <v>0-180 DAYS</v>
      </c>
    </row>
    <row r="485" spans="1:10" x14ac:dyDescent="0.35">
      <c r="A485" s="2" t="s">
        <v>477</v>
      </c>
      <c r="B485" s="2" t="s">
        <v>790</v>
      </c>
      <c r="C485" s="18" t="s">
        <v>2527</v>
      </c>
      <c r="D485" s="18" t="s">
        <v>2529</v>
      </c>
      <c r="E485" s="18" t="s">
        <v>4317</v>
      </c>
      <c r="F485" s="176">
        <v>45917</v>
      </c>
      <c r="G485" s="18">
        <v>23937.48</v>
      </c>
      <c r="H485" s="37">
        <f t="shared" si="35"/>
        <v>14</v>
      </c>
      <c r="I485" s="37" t="str">
        <f t="shared" si="37"/>
        <v>1-90 DAYS</v>
      </c>
      <c r="J485" s="37" t="str">
        <f t="shared" si="36"/>
        <v>0-180 DAYS</v>
      </c>
    </row>
    <row r="486" spans="1:10" x14ac:dyDescent="0.35">
      <c r="A486" s="2" t="s">
        <v>4333</v>
      </c>
      <c r="B486" s="2" t="s">
        <v>790</v>
      </c>
      <c r="C486" s="18" t="s">
        <v>125</v>
      </c>
      <c r="D486" s="18" t="s">
        <v>57</v>
      </c>
      <c r="E486" s="18" t="s">
        <v>4318</v>
      </c>
      <c r="F486" s="176">
        <v>45917</v>
      </c>
      <c r="G486" s="18">
        <v>221781.33</v>
      </c>
      <c r="H486" s="37">
        <f t="shared" si="35"/>
        <v>14</v>
      </c>
      <c r="I486" s="37" t="str">
        <f t="shared" si="37"/>
        <v>1-90 DAYS</v>
      </c>
      <c r="J486" s="37" t="str">
        <f t="shared" si="36"/>
        <v>0-180 DAYS</v>
      </c>
    </row>
    <row r="487" spans="1:10" x14ac:dyDescent="0.35">
      <c r="A487" s="2" t="s">
        <v>4333</v>
      </c>
      <c r="B487" s="2" t="s">
        <v>790</v>
      </c>
      <c r="C487" s="18" t="s">
        <v>125</v>
      </c>
      <c r="D487" s="18" t="s">
        <v>57</v>
      </c>
      <c r="E487" s="18" t="s">
        <v>4319</v>
      </c>
      <c r="F487" s="176">
        <v>45918</v>
      </c>
      <c r="G487" s="18">
        <v>1390778.75</v>
      </c>
      <c r="H487" s="37">
        <f t="shared" si="35"/>
        <v>13</v>
      </c>
      <c r="I487" s="37" t="str">
        <f t="shared" si="37"/>
        <v>1-90 DAYS</v>
      </c>
      <c r="J487" s="37" t="str">
        <f t="shared" si="36"/>
        <v>0-180 DAYS</v>
      </c>
    </row>
    <row r="488" spans="1:10" x14ac:dyDescent="0.35">
      <c r="A488" s="2" t="s">
        <v>4333</v>
      </c>
      <c r="B488" s="2" t="s">
        <v>790</v>
      </c>
      <c r="C488" s="18" t="s">
        <v>125</v>
      </c>
      <c r="D488" s="18" t="s">
        <v>57</v>
      </c>
      <c r="E488" s="18" t="s">
        <v>4320</v>
      </c>
      <c r="F488" s="176">
        <v>45919</v>
      </c>
      <c r="G488" s="18">
        <v>1128583.17</v>
      </c>
      <c r="H488" s="37">
        <f t="shared" si="35"/>
        <v>12</v>
      </c>
      <c r="I488" s="37" t="str">
        <f t="shared" si="37"/>
        <v>1-90 DAYS</v>
      </c>
      <c r="J488" s="37" t="str">
        <f t="shared" si="36"/>
        <v>0-180 DAYS</v>
      </c>
    </row>
    <row r="489" spans="1:10" x14ac:dyDescent="0.35">
      <c r="A489" s="2" t="s">
        <v>4333</v>
      </c>
      <c r="B489" s="2" t="s">
        <v>790</v>
      </c>
      <c r="C489" s="18" t="s">
        <v>125</v>
      </c>
      <c r="D489" s="18" t="s">
        <v>57</v>
      </c>
      <c r="E489" s="18" t="s">
        <v>4321</v>
      </c>
      <c r="F489" s="176">
        <v>45921</v>
      </c>
      <c r="G489" s="18">
        <v>678330.58</v>
      </c>
      <c r="H489" s="37">
        <f t="shared" si="35"/>
        <v>10</v>
      </c>
      <c r="I489" s="37" t="str">
        <f t="shared" si="37"/>
        <v>1-90 DAYS</v>
      </c>
      <c r="J489" s="37" t="str">
        <f t="shared" si="36"/>
        <v>0-180 DAYS</v>
      </c>
    </row>
    <row r="490" spans="1:10" x14ac:dyDescent="0.35">
      <c r="A490" s="2" t="s">
        <v>4333</v>
      </c>
      <c r="B490" s="2" t="s">
        <v>790</v>
      </c>
      <c r="C490" s="18" t="s">
        <v>125</v>
      </c>
      <c r="D490" s="18" t="s">
        <v>57</v>
      </c>
      <c r="E490" s="18" t="s">
        <v>4322</v>
      </c>
      <c r="F490" s="176">
        <v>45921</v>
      </c>
      <c r="G490" s="18">
        <v>7470.14</v>
      </c>
      <c r="H490" s="37">
        <f t="shared" si="35"/>
        <v>10</v>
      </c>
      <c r="I490" s="37" t="str">
        <f t="shared" si="37"/>
        <v>1-90 DAYS</v>
      </c>
      <c r="J490" s="37" t="str">
        <f t="shared" si="36"/>
        <v>0-180 DAYS</v>
      </c>
    </row>
    <row r="491" spans="1:10" x14ac:dyDescent="0.35">
      <c r="A491" s="2" t="s">
        <v>4333</v>
      </c>
      <c r="B491" s="2" t="s">
        <v>790</v>
      </c>
      <c r="C491" s="18" t="s">
        <v>125</v>
      </c>
      <c r="D491" s="18" t="s">
        <v>57</v>
      </c>
      <c r="E491" s="18" t="s">
        <v>4323</v>
      </c>
      <c r="F491" s="176">
        <v>45922</v>
      </c>
      <c r="G491" s="18">
        <v>4290324.41</v>
      </c>
      <c r="H491" s="37">
        <f t="shared" si="35"/>
        <v>9</v>
      </c>
      <c r="I491" s="37" t="str">
        <f t="shared" si="37"/>
        <v>1-90 DAYS</v>
      </c>
      <c r="J491" s="37" t="str">
        <f t="shared" si="36"/>
        <v>0-180 DAYS</v>
      </c>
    </row>
    <row r="492" spans="1:10" x14ac:dyDescent="0.35">
      <c r="A492" s="2" t="s">
        <v>477</v>
      </c>
      <c r="B492" s="2" t="s">
        <v>790</v>
      </c>
      <c r="C492" s="18" t="s">
        <v>4289</v>
      </c>
      <c r="D492" s="18" t="s">
        <v>4332</v>
      </c>
      <c r="E492" s="18" t="s">
        <v>4324</v>
      </c>
      <c r="F492" s="176">
        <v>45924</v>
      </c>
      <c r="G492" s="18">
        <v>354000</v>
      </c>
      <c r="H492" s="37">
        <f t="shared" si="35"/>
        <v>7</v>
      </c>
      <c r="I492" s="37" t="str">
        <f t="shared" si="37"/>
        <v>1-90 DAYS</v>
      </c>
      <c r="J492" s="37" t="str">
        <f t="shared" si="36"/>
        <v>0-180 DAYS</v>
      </c>
    </row>
    <row r="493" spans="1:10" x14ac:dyDescent="0.35">
      <c r="A493" s="2" t="s">
        <v>4333</v>
      </c>
      <c r="B493" s="2" t="s">
        <v>790</v>
      </c>
      <c r="C493" s="18" t="s">
        <v>125</v>
      </c>
      <c r="D493" s="18" t="s">
        <v>57</v>
      </c>
      <c r="E493" s="18" t="s">
        <v>4325</v>
      </c>
      <c r="F493" s="176">
        <v>45924</v>
      </c>
      <c r="G493" s="18">
        <v>2287185.88</v>
      </c>
      <c r="H493" s="37">
        <f t="shared" si="35"/>
        <v>7</v>
      </c>
      <c r="I493" s="37" t="str">
        <f t="shared" si="37"/>
        <v>1-90 DAYS</v>
      </c>
      <c r="J493" s="37" t="str">
        <f t="shared" si="36"/>
        <v>0-180 DAYS</v>
      </c>
    </row>
    <row r="494" spans="1:10" x14ac:dyDescent="0.35">
      <c r="A494" s="2" t="s">
        <v>4333</v>
      </c>
      <c r="B494" s="2" t="s">
        <v>790</v>
      </c>
      <c r="C494" s="18" t="s">
        <v>125</v>
      </c>
      <c r="D494" s="18" t="s">
        <v>57</v>
      </c>
      <c r="E494" s="18" t="s">
        <v>2345</v>
      </c>
      <c r="F494" s="176">
        <v>45924</v>
      </c>
      <c r="G494" s="18">
        <v>399065.98</v>
      </c>
      <c r="H494" s="37">
        <f t="shared" si="35"/>
        <v>7</v>
      </c>
      <c r="I494" s="37" t="str">
        <f t="shared" si="37"/>
        <v>1-90 DAYS</v>
      </c>
      <c r="J494" s="37" t="str">
        <f t="shared" si="36"/>
        <v>0-180 DAYS</v>
      </c>
    </row>
    <row r="495" spans="1:10" x14ac:dyDescent="0.35">
      <c r="A495" s="2" t="s">
        <v>4333</v>
      </c>
      <c r="B495" s="2" t="s">
        <v>790</v>
      </c>
      <c r="C495" s="18" t="s">
        <v>125</v>
      </c>
      <c r="D495" s="18" t="s">
        <v>57</v>
      </c>
      <c r="E495" s="18" t="s">
        <v>4326</v>
      </c>
      <c r="F495" s="176">
        <v>45926</v>
      </c>
      <c r="G495" s="18">
        <v>982498.05</v>
      </c>
      <c r="H495" s="37">
        <f t="shared" si="35"/>
        <v>5</v>
      </c>
      <c r="I495" s="37" t="str">
        <f t="shared" si="37"/>
        <v>1-90 DAYS</v>
      </c>
      <c r="J495" s="37" t="str">
        <f t="shared" si="36"/>
        <v>0-180 DAYS</v>
      </c>
    </row>
    <row r="496" spans="1:10" x14ac:dyDescent="0.35">
      <c r="A496" s="2" t="s">
        <v>4333</v>
      </c>
      <c r="B496" s="2" t="s">
        <v>790</v>
      </c>
      <c r="C496" s="18" t="s">
        <v>125</v>
      </c>
      <c r="D496" s="18" t="s">
        <v>57</v>
      </c>
      <c r="E496" s="18" t="s">
        <v>4327</v>
      </c>
      <c r="F496" s="176">
        <v>45926</v>
      </c>
      <c r="G496" s="18">
        <v>4131.22</v>
      </c>
      <c r="H496" s="37">
        <f t="shared" si="35"/>
        <v>5</v>
      </c>
      <c r="I496" s="37" t="str">
        <f t="shared" si="37"/>
        <v>1-90 DAYS</v>
      </c>
      <c r="J496" s="37" t="str">
        <f t="shared" si="36"/>
        <v>0-180 DAYS</v>
      </c>
    </row>
    <row r="497" spans="1:10" x14ac:dyDescent="0.35">
      <c r="A497" s="2" t="s">
        <v>4333</v>
      </c>
      <c r="B497" s="2" t="s">
        <v>790</v>
      </c>
      <c r="C497" s="18" t="s">
        <v>125</v>
      </c>
      <c r="D497" s="18" t="s">
        <v>57</v>
      </c>
      <c r="E497" s="18" t="s">
        <v>4328</v>
      </c>
      <c r="F497" s="176">
        <v>45928</v>
      </c>
      <c r="G497" s="18">
        <v>2048095.23</v>
      </c>
      <c r="H497" s="37">
        <f t="shared" si="35"/>
        <v>3</v>
      </c>
      <c r="I497" s="37" t="str">
        <f t="shared" si="37"/>
        <v>1-90 DAYS</v>
      </c>
      <c r="J497" s="37" t="str">
        <f t="shared" si="36"/>
        <v>0-180 DAYS</v>
      </c>
    </row>
    <row r="498" spans="1:10" x14ac:dyDescent="0.35">
      <c r="A498" s="2" t="s">
        <v>4333</v>
      </c>
      <c r="B498" s="2" t="s">
        <v>790</v>
      </c>
      <c r="C498" s="18" t="s">
        <v>125</v>
      </c>
      <c r="D498" s="18" t="s">
        <v>57</v>
      </c>
      <c r="E498" s="18" t="s">
        <v>4329</v>
      </c>
      <c r="F498" s="176">
        <v>45930</v>
      </c>
      <c r="G498" s="18">
        <v>680682.34</v>
      </c>
      <c r="H498" s="37">
        <f t="shared" si="35"/>
        <v>1</v>
      </c>
      <c r="I498" s="37" t="str">
        <f t="shared" si="37"/>
        <v>1-90 DAYS</v>
      </c>
      <c r="J498" s="37" t="str">
        <f t="shared" si="36"/>
        <v>0-180 DAYS</v>
      </c>
    </row>
    <row r="499" spans="1:10" x14ac:dyDescent="0.35">
      <c r="A499" s="2" t="s">
        <v>4333</v>
      </c>
      <c r="B499" s="2" t="s">
        <v>790</v>
      </c>
      <c r="C499" s="18" t="s">
        <v>125</v>
      </c>
      <c r="D499" s="18" t="s">
        <v>57</v>
      </c>
      <c r="E499" s="18" t="s">
        <v>4330</v>
      </c>
      <c r="F499" s="176">
        <v>45930</v>
      </c>
      <c r="G499" s="18">
        <v>3338.93</v>
      </c>
      <c r="H499" s="37">
        <f t="shared" si="35"/>
        <v>1</v>
      </c>
      <c r="I499" s="37" t="str">
        <f t="shared" si="37"/>
        <v>1-90 DAYS</v>
      </c>
      <c r="J499" s="37" t="str">
        <f t="shared" si="36"/>
        <v>0-180 DAYS</v>
      </c>
    </row>
  </sheetData>
  <autoFilter ref="A11:N499" xr:uid="{D9B0BCB8-4627-4ED4-A100-692B0189EE50}"/>
  <conditionalFormatting sqref="E11">
    <cfRule type="duplicateValues" dxfId="56" priority="1"/>
    <cfRule type="duplicateValues" dxfId="55" priority="2"/>
  </conditionalFormatting>
  <conditionalFormatting sqref="E12">
    <cfRule type="duplicateValues" dxfId="54" priority="3"/>
  </conditionalFormatting>
  <conditionalFormatting sqref="E12:E13">
    <cfRule type="duplicateValues" dxfId="53" priority="4"/>
    <cfRule type="duplicateValues" dxfId="52" priority="5"/>
  </conditionalFormatting>
  <conditionalFormatting sqref="E15:E16">
    <cfRule type="duplicateValues" dxfId="51" priority="6"/>
  </conditionalFormatting>
  <conditionalFormatting sqref="E15:E19">
    <cfRule type="duplicateValues" dxfId="50" priority="7"/>
    <cfRule type="duplicateValues" dxfId="49" priority="8"/>
  </conditionalFormatting>
  <dataValidations count="2">
    <dataValidation type="textLength" allowBlank="1" showInputMessage="1" showErrorMessage="1" error="GST Number, please update 15 characters" sqref="D12 D15:D16 D251:D330 D160:D239" xr:uid="{ED6647F9-70F5-421E-96B5-F6E395E60DA5}">
      <formula1>15</formula1>
      <formula2>15</formula2>
    </dataValidation>
    <dataValidation type="textLength" operator="lessThanOrEqual" allowBlank="1" showInputMessage="1" showErrorMessage="1" error="Invoice number cannot be greater 18 characters" sqref="E12 E15:E16" xr:uid="{0A2D723F-7693-46EB-BF08-DD2F769B4EC6}">
      <formula1>18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A6E4E-6DC0-46DD-9E20-7C871C6B6578}">
  <sheetPr codeName="Sheet14">
    <tabColor theme="7"/>
  </sheetPr>
  <dimension ref="A1:O487"/>
  <sheetViews>
    <sheetView workbookViewId="0">
      <selection activeCell="A2" sqref="A2"/>
    </sheetView>
  </sheetViews>
  <sheetFormatPr defaultRowHeight="14.5" x14ac:dyDescent="0.35"/>
  <cols>
    <col min="3" max="3" width="38.7265625" bestFit="1" customWidth="1"/>
    <col min="4" max="4" width="16.7265625" bestFit="1" customWidth="1"/>
    <col min="5" max="5" width="16.6328125" bestFit="1" customWidth="1"/>
    <col min="6" max="6" width="17.453125" bestFit="1" customWidth="1"/>
    <col min="7" max="7" width="16.08984375" style="150" bestFit="1" customWidth="1"/>
    <col min="8" max="8" width="14.6328125" bestFit="1" customWidth="1"/>
    <col min="9" max="9" width="12.54296875" bestFit="1" customWidth="1"/>
    <col min="10" max="10" width="16.1796875" bestFit="1" customWidth="1"/>
    <col min="12" max="12" width="10" bestFit="1" customWidth="1"/>
    <col min="13" max="13" width="11" bestFit="1" customWidth="1"/>
    <col min="14" max="14" width="10" bestFit="1" customWidth="1"/>
  </cols>
  <sheetData>
    <row r="1" spans="1:15" x14ac:dyDescent="0.35">
      <c r="C1" s="149" t="s">
        <v>1052</v>
      </c>
      <c r="D1" s="168"/>
    </row>
    <row r="2" spans="1:15" x14ac:dyDescent="0.35">
      <c r="C2" s="149" t="s">
        <v>1086</v>
      </c>
      <c r="D2" s="168"/>
    </row>
    <row r="3" spans="1:15" x14ac:dyDescent="0.35">
      <c r="C3" s="149" t="s">
        <v>577</v>
      </c>
      <c r="D3" s="168"/>
    </row>
    <row r="4" spans="1:15" x14ac:dyDescent="0.35">
      <c r="C4" s="149" t="s">
        <v>573</v>
      </c>
      <c r="D4" s="168"/>
    </row>
    <row r="5" spans="1:15" x14ac:dyDescent="0.35">
      <c r="C5" s="149" t="s">
        <v>588</v>
      </c>
      <c r="D5" s="168"/>
    </row>
    <row r="6" spans="1:15" x14ac:dyDescent="0.35">
      <c r="C6" s="149" t="s">
        <v>596</v>
      </c>
      <c r="D6" s="168"/>
    </row>
    <row r="7" spans="1:15" x14ac:dyDescent="0.35">
      <c r="C7" s="149" t="s">
        <v>3761</v>
      </c>
      <c r="D7" s="168"/>
    </row>
    <row r="8" spans="1:15" x14ac:dyDescent="0.35">
      <c r="H8" s="97"/>
      <c r="I8" s="73"/>
    </row>
    <row r="9" spans="1:15" x14ac:dyDescent="0.35">
      <c r="E9" s="66"/>
      <c r="F9" s="66"/>
      <c r="G9" s="150">
        <v>29060039.050000001</v>
      </c>
      <c r="H9" s="174">
        <v>45991</v>
      </c>
    </row>
    <row r="10" spans="1:15" x14ac:dyDescent="0.35">
      <c r="E10" s="66"/>
      <c r="F10" s="66"/>
      <c r="G10" s="150">
        <f>SUBTOTAL(9,G12:G487)</f>
        <v>909918859.80873704</v>
      </c>
      <c r="H10" s="35"/>
      <c r="L10" s="66"/>
    </row>
    <row r="11" spans="1:15" x14ac:dyDescent="0.35">
      <c r="A11" s="80" t="s">
        <v>478</v>
      </c>
      <c r="B11" s="80" t="s">
        <v>787</v>
      </c>
      <c r="C11" s="80" t="s">
        <v>472</v>
      </c>
      <c r="D11" s="80" t="s">
        <v>473</v>
      </c>
      <c r="E11" s="81" t="s">
        <v>474</v>
      </c>
      <c r="F11" s="80" t="s">
        <v>475</v>
      </c>
      <c r="G11" s="177" t="s">
        <v>476</v>
      </c>
      <c r="H11" s="83" t="s">
        <v>483</v>
      </c>
      <c r="I11" s="83" t="s">
        <v>484</v>
      </c>
      <c r="J11" s="83" t="s">
        <v>1051</v>
      </c>
      <c r="K11" s="89"/>
    </row>
    <row r="12" spans="1:15" x14ac:dyDescent="0.35">
      <c r="A12" s="2" t="s">
        <v>1085</v>
      </c>
      <c r="B12" s="2" t="s">
        <v>790</v>
      </c>
      <c r="C12" s="37" t="s">
        <v>518</v>
      </c>
      <c r="D12" s="37" t="s">
        <v>507</v>
      </c>
      <c r="E12" s="37" t="s">
        <v>519</v>
      </c>
      <c r="F12" s="174" t="s">
        <v>1406</v>
      </c>
      <c r="G12" s="47">
        <v>3151699.2</v>
      </c>
      <c r="H12" s="37">
        <f t="shared" ref="H12:H75" si="0">$H$9-F12+1</f>
        <v>1361</v>
      </c>
      <c r="I12" s="37" t="str">
        <f>IF(H12&lt;121,"0-120 DAYS",IF(H12&lt;181,"121-180 DAYS","More than 180 Days"))</f>
        <v>More than 180 Days</v>
      </c>
      <c r="J12" s="37" t="str">
        <f>IF(H12&lt;180,"0-180 DAYS","More than 180 Days")</f>
        <v>More than 180 Days</v>
      </c>
      <c r="L12" s="66"/>
      <c r="M12" s="66">
        <v>3151699.2</v>
      </c>
      <c r="N12" s="66"/>
      <c r="O12" t="s">
        <v>4576</v>
      </c>
    </row>
    <row r="13" spans="1:15" x14ac:dyDescent="0.35">
      <c r="A13" s="2" t="s">
        <v>1085</v>
      </c>
      <c r="B13" s="2" t="s">
        <v>790</v>
      </c>
      <c r="C13" s="37" t="s">
        <v>520</v>
      </c>
      <c r="D13" s="37" t="s">
        <v>507</v>
      </c>
      <c r="E13" s="37" t="s">
        <v>521</v>
      </c>
      <c r="F13" s="174" t="s">
        <v>1406</v>
      </c>
      <c r="G13" s="47">
        <v>3151699.2</v>
      </c>
      <c r="H13" s="37">
        <f t="shared" si="0"/>
        <v>1361</v>
      </c>
      <c r="I13" s="37" t="str">
        <f>IF(H13&lt;121,"0-120 DAYS",IF(H13&lt;181,"121-180 DAYS","More than 180 Days"))</f>
        <v>More than 180 Days</v>
      </c>
      <c r="J13" s="37" t="str">
        <f>IF(H13&lt;180,"0-180 DAYS","More than 180 Days")</f>
        <v>More than 180 Days</v>
      </c>
      <c r="L13" s="66"/>
      <c r="M13" s="66">
        <v>3151699.2</v>
      </c>
      <c r="N13" s="66"/>
      <c r="O13" t="s">
        <v>4576</v>
      </c>
    </row>
    <row r="14" spans="1:15" x14ac:dyDescent="0.35">
      <c r="A14" s="2" t="s">
        <v>1727</v>
      </c>
      <c r="B14" s="2" t="s">
        <v>788</v>
      </c>
      <c r="C14" s="44" t="s">
        <v>1729</v>
      </c>
      <c r="D14" s="2" t="s">
        <v>507</v>
      </c>
      <c r="E14" s="140" t="s">
        <v>4546</v>
      </c>
      <c r="F14" s="174">
        <v>45991</v>
      </c>
      <c r="G14" s="178">
        <v>60929152.698736101</v>
      </c>
      <c r="H14" s="37">
        <f t="shared" si="0"/>
        <v>1</v>
      </c>
      <c r="I14" s="37" t="str">
        <f>IF(H14&lt;91,"1-90 DAYS",IF(H14&lt;121,"91-120DAYS",IF(H14&lt;181,"121-180 DAYS","More than 180 Days")))</f>
        <v>1-90 DAYS</v>
      </c>
      <c r="J14" s="37" t="str">
        <f t="shared" ref="J14:J77" si="1">IF(H14&lt;180,"0-180 DAYS","More than 180 Days")</f>
        <v>0-180 DAYS</v>
      </c>
      <c r="K14" t="s">
        <v>1730</v>
      </c>
      <c r="L14" s="66"/>
      <c r="M14" s="66">
        <v>60929152.700000003</v>
      </c>
      <c r="N14" s="66"/>
      <c r="O14" t="s">
        <v>4577</v>
      </c>
    </row>
    <row r="15" spans="1:15" x14ac:dyDescent="0.35">
      <c r="A15" s="2" t="s">
        <v>1727</v>
      </c>
      <c r="B15" s="2" t="s">
        <v>788</v>
      </c>
      <c r="C15" s="44" t="s">
        <v>4338</v>
      </c>
      <c r="D15" s="2" t="s">
        <v>507</v>
      </c>
      <c r="E15" s="140" t="s">
        <v>4546</v>
      </c>
      <c r="F15" s="174">
        <v>45991</v>
      </c>
      <c r="G15" s="178">
        <v>3654449.1199999899</v>
      </c>
      <c r="H15" s="37">
        <f t="shared" si="0"/>
        <v>1</v>
      </c>
      <c r="I15" s="37" t="str">
        <f>IF(H15&lt;91,"1-90 DAYS",IF(H15&lt;121,"91-120DAYS",IF(H15&lt;181,"121-180 DAYS","More than 180 Days")))</f>
        <v>1-90 DAYS</v>
      </c>
      <c r="J15" s="37" t="str">
        <f t="shared" si="1"/>
        <v>0-180 DAYS</v>
      </c>
      <c r="K15" t="s">
        <v>1730</v>
      </c>
      <c r="L15" s="66"/>
      <c r="M15" s="66">
        <v>3654449.12</v>
      </c>
      <c r="N15" s="66"/>
      <c r="O15" t="s">
        <v>4577</v>
      </c>
    </row>
    <row r="16" spans="1:15" x14ac:dyDescent="0.35">
      <c r="A16" s="2" t="s">
        <v>477</v>
      </c>
      <c r="B16" s="2" t="s">
        <v>790</v>
      </c>
      <c r="C16" s="2" t="s">
        <v>0</v>
      </c>
      <c r="D16" s="2" t="s">
        <v>1</v>
      </c>
      <c r="E16" s="3" t="s">
        <v>1058</v>
      </c>
      <c r="F16" s="174" t="s">
        <v>1425</v>
      </c>
      <c r="G16" s="47">
        <v>82517.399999999994</v>
      </c>
      <c r="H16" s="37">
        <f t="shared" si="0"/>
        <v>1339</v>
      </c>
      <c r="I16" s="37" t="str">
        <f>IF(H16&lt;91,"1-90 DAYS",IF(H16&lt;121,"91-120DAYS",IF(H16&lt;181,"121-180 DAYS","More than 180 Days")))</f>
        <v>More than 180 Days</v>
      </c>
      <c r="J16" s="37" t="str">
        <f t="shared" si="1"/>
        <v>More than 180 Days</v>
      </c>
      <c r="L16" s="66"/>
      <c r="M16" s="66">
        <v>82517.399999999994</v>
      </c>
      <c r="N16" s="66"/>
      <c r="O16" t="s">
        <v>4578</v>
      </c>
    </row>
    <row r="17" spans="1:15" x14ac:dyDescent="0.35">
      <c r="A17" s="2" t="s">
        <v>477</v>
      </c>
      <c r="B17" s="2" t="s">
        <v>790</v>
      </c>
      <c r="C17" s="44" t="s">
        <v>0</v>
      </c>
      <c r="D17" s="44" t="s">
        <v>1</v>
      </c>
      <c r="E17" s="44" t="s">
        <v>1059</v>
      </c>
      <c r="F17" s="174" t="s">
        <v>1426</v>
      </c>
      <c r="G17" s="47">
        <v>49754.7</v>
      </c>
      <c r="H17" s="37">
        <f t="shared" si="0"/>
        <v>972</v>
      </c>
      <c r="I17" s="37" t="str">
        <f t="shared" ref="I17:I25" si="2">IF(H17&lt;91,"1-90 DAYS",IF(H17&lt;121,"91-120DAYS",IF(H17&lt;181,"121-180 DAYS","More than 180 Days")))</f>
        <v>More than 180 Days</v>
      </c>
      <c r="J17" s="37" t="str">
        <f t="shared" si="1"/>
        <v>More than 180 Days</v>
      </c>
      <c r="L17" s="66"/>
      <c r="M17" s="66">
        <v>49754.7</v>
      </c>
      <c r="N17" s="66"/>
      <c r="O17" t="s">
        <v>4579</v>
      </c>
    </row>
    <row r="18" spans="1:15" x14ac:dyDescent="0.35">
      <c r="A18" s="2" t="s">
        <v>477</v>
      </c>
      <c r="B18" s="2" t="s">
        <v>790</v>
      </c>
      <c r="C18" s="44" t="s">
        <v>35</v>
      </c>
      <c r="D18" s="44" t="s">
        <v>36</v>
      </c>
      <c r="E18" s="44" t="s">
        <v>1192</v>
      </c>
      <c r="F18" s="174" t="s">
        <v>1436</v>
      </c>
      <c r="G18" s="47">
        <v>580857.09</v>
      </c>
      <c r="H18" s="37">
        <f t="shared" si="0"/>
        <v>721</v>
      </c>
      <c r="I18" s="37" t="str">
        <f t="shared" si="2"/>
        <v>More than 180 Days</v>
      </c>
      <c r="J18" s="37" t="str">
        <f t="shared" si="1"/>
        <v>More than 180 Days</v>
      </c>
      <c r="L18" s="66"/>
      <c r="M18" s="66">
        <v>580857.09</v>
      </c>
      <c r="N18" s="66"/>
      <c r="O18" t="s">
        <v>4580</v>
      </c>
    </row>
    <row r="19" spans="1:15" x14ac:dyDescent="0.35">
      <c r="A19" s="2" t="s">
        <v>477</v>
      </c>
      <c r="B19" s="2" t="s">
        <v>790</v>
      </c>
      <c r="C19" s="2" t="s">
        <v>38</v>
      </c>
      <c r="D19" s="2" t="s">
        <v>39</v>
      </c>
      <c r="E19" s="2" t="s">
        <v>40</v>
      </c>
      <c r="F19" s="174">
        <v>42760</v>
      </c>
      <c r="G19" s="47">
        <v>1507988</v>
      </c>
      <c r="H19" s="37">
        <f t="shared" si="0"/>
        <v>3232</v>
      </c>
      <c r="I19" s="37" t="str">
        <f t="shared" si="2"/>
        <v>More than 180 Days</v>
      </c>
      <c r="J19" s="37" t="str">
        <f t="shared" si="1"/>
        <v>More than 180 Days</v>
      </c>
      <c r="L19" s="66"/>
      <c r="M19" s="66">
        <v>1507988</v>
      </c>
      <c r="N19" s="66"/>
      <c r="O19" t="s">
        <v>4581</v>
      </c>
    </row>
    <row r="20" spans="1:15" x14ac:dyDescent="0.35">
      <c r="A20" s="2" t="s">
        <v>477</v>
      </c>
      <c r="B20" s="2" t="s">
        <v>790</v>
      </c>
      <c r="C20" s="2" t="s">
        <v>38</v>
      </c>
      <c r="D20" s="2" t="s">
        <v>39</v>
      </c>
      <c r="E20" s="2" t="s">
        <v>41</v>
      </c>
      <c r="F20" s="174" t="s">
        <v>1438</v>
      </c>
      <c r="G20" s="47">
        <v>2089970</v>
      </c>
      <c r="H20" s="37">
        <f t="shared" si="0"/>
        <v>3216</v>
      </c>
      <c r="I20" s="37" t="str">
        <f t="shared" si="2"/>
        <v>More than 180 Days</v>
      </c>
      <c r="J20" s="37" t="str">
        <f t="shared" si="1"/>
        <v>More than 180 Days</v>
      </c>
      <c r="L20" s="66"/>
      <c r="M20" s="66">
        <v>2089970</v>
      </c>
      <c r="N20" s="66"/>
      <c r="O20" t="s">
        <v>4582</v>
      </c>
    </row>
    <row r="21" spans="1:15" x14ac:dyDescent="0.35">
      <c r="A21" s="2" t="s">
        <v>477</v>
      </c>
      <c r="B21" s="2" t="s">
        <v>790</v>
      </c>
      <c r="C21" s="44" t="s">
        <v>0</v>
      </c>
      <c r="D21" s="44" t="s">
        <v>1</v>
      </c>
      <c r="E21" s="44" t="s">
        <v>1610</v>
      </c>
      <c r="F21" s="174" t="s">
        <v>1739</v>
      </c>
      <c r="G21" s="47">
        <v>52321.2</v>
      </c>
      <c r="H21" s="37">
        <f t="shared" si="0"/>
        <v>569</v>
      </c>
      <c r="I21" s="37" t="str">
        <f t="shared" si="2"/>
        <v>More than 180 Days</v>
      </c>
      <c r="J21" s="37" t="str">
        <f t="shared" si="1"/>
        <v>More than 180 Days</v>
      </c>
      <c r="L21" s="66"/>
      <c r="M21" s="66">
        <v>52321.2</v>
      </c>
      <c r="N21" s="66"/>
      <c r="O21" t="s">
        <v>4583</v>
      </c>
    </row>
    <row r="22" spans="1:15" x14ac:dyDescent="0.35">
      <c r="A22" s="2" t="s">
        <v>477</v>
      </c>
      <c r="B22" s="2" t="s">
        <v>790</v>
      </c>
      <c r="C22" s="44" t="s">
        <v>430</v>
      </c>
      <c r="D22" s="44" t="s">
        <v>431</v>
      </c>
      <c r="E22" s="44" t="s">
        <v>1986</v>
      </c>
      <c r="F22" s="174">
        <v>45462</v>
      </c>
      <c r="G22" s="47">
        <v>78690.48</v>
      </c>
      <c r="H22" s="37">
        <f t="shared" si="0"/>
        <v>530</v>
      </c>
      <c r="I22" s="37" t="str">
        <f t="shared" si="2"/>
        <v>More than 180 Days</v>
      </c>
      <c r="J22" s="37" t="str">
        <f t="shared" si="1"/>
        <v>More than 180 Days</v>
      </c>
      <c r="L22" s="66"/>
      <c r="M22" s="66">
        <v>78690.48</v>
      </c>
      <c r="N22" s="66"/>
      <c r="O22" t="s">
        <v>4584</v>
      </c>
    </row>
    <row r="23" spans="1:15" x14ac:dyDescent="0.35">
      <c r="A23" s="88" t="s">
        <v>477</v>
      </c>
      <c r="B23" s="2" t="s">
        <v>790</v>
      </c>
      <c r="C23" s="18" t="s">
        <v>1206</v>
      </c>
      <c r="D23" s="18" t="s">
        <v>1207</v>
      </c>
      <c r="E23" s="18" t="s">
        <v>2538</v>
      </c>
      <c r="F23" s="175">
        <v>45587</v>
      </c>
      <c r="G23" s="179">
        <v>5339.9</v>
      </c>
      <c r="H23" s="37">
        <f t="shared" si="0"/>
        <v>405</v>
      </c>
      <c r="I23" s="37" t="str">
        <f t="shared" si="2"/>
        <v>More than 180 Days</v>
      </c>
      <c r="J23" s="37" t="str">
        <f t="shared" si="1"/>
        <v>More than 180 Days</v>
      </c>
      <c r="L23" s="66"/>
      <c r="M23" s="66">
        <v>5339.9</v>
      </c>
      <c r="N23" s="66"/>
      <c r="O23" t="s">
        <v>4585</v>
      </c>
    </row>
    <row r="24" spans="1:15" x14ac:dyDescent="0.35">
      <c r="A24" s="88" t="s">
        <v>477</v>
      </c>
      <c r="B24" s="2" t="s">
        <v>790</v>
      </c>
      <c r="C24" s="18" t="s">
        <v>51</v>
      </c>
      <c r="D24" s="18" t="s">
        <v>52</v>
      </c>
      <c r="E24" s="18" t="s">
        <v>2541</v>
      </c>
      <c r="F24" s="175" t="s">
        <v>2665</v>
      </c>
      <c r="G24" s="179">
        <v>2043</v>
      </c>
      <c r="H24" s="37">
        <f t="shared" si="0"/>
        <v>423</v>
      </c>
      <c r="I24" s="37" t="str">
        <f t="shared" si="2"/>
        <v>More than 180 Days</v>
      </c>
      <c r="J24" s="37" t="str">
        <f t="shared" si="1"/>
        <v>More than 180 Days</v>
      </c>
      <c r="L24" s="66"/>
      <c r="M24" s="66">
        <v>2043</v>
      </c>
      <c r="N24" s="66"/>
      <c r="O24" t="s">
        <v>4586</v>
      </c>
    </row>
    <row r="25" spans="1:15" x14ac:dyDescent="0.35">
      <c r="A25" s="2" t="s">
        <v>477</v>
      </c>
      <c r="B25" s="2" t="s">
        <v>790</v>
      </c>
      <c r="C25" s="18" t="s">
        <v>2321</v>
      </c>
      <c r="D25" s="18" t="s">
        <v>2347</v>
      </c>
      <c r="E25" s="18" t="s">
        <v>315</v>
      </c>
      <c r="F25" s="175">
        <v>45609</v>
      </c>
      <c r="G25" s="179">
        <v>40000</v>
      </c>
      <c r="H25" s="37">
        <f t="shared" si="0"/>
        <v>383</v>
      </c>
      <c r="I25" s="37" t="str">
        <f t="shared" si="2"/>
        <v>More than 180 Days</v>
      </c>
      <c r="J25" s="37" t="str">
        <f t="shared" si="1"/>
        <v>More than 180 Days</v>
      </c>
      <c r="L25" s="66"/>
      <c r="M25" s="66">
        <v>40000</v>
      </c>
      <c r="N25" s="66"/>
      <c r="O25" t="s">
        <v>4587</v>
      </c>
    </row>
    <row r="26" spans="1:15" x14ac:dyDescent="0.35">
      <c r="A26" s="2" t="s">
        <v>1209</v>
      </c>
      <c r="B26" s="2" t="s">
        <v>789</v>
      </c>
      <c r="C26" s="18" t="s">
        <v>506</v>
      </c>
      <c r="D26" t="s">
        <v>507</v>
      </c>
      <c r="E26" s="18" t="s">
        <v>3155</v>
      </c>
      <c r="F26" s="175">
        <v>45666</v>
      </c>
      <c r="G26" s="179">
        <f>3233676.3-74926-913517</f>
        <v>2245233.2999999998</v>
      </c>
      <c r="H26" s="37">
        <f t="shared" si="0"/>
        <v>326</v>
      </c>
      <c r="I26" s="37" t="str">
        <f t="shared" ref="I26:I27" si="3">IF(H26&lt;121,"0-120 DAYS",IF(H26&lt;181,"121-180 DAYS","More than 180 Days"))</f>
        <v>More than 180 Days</v>
      </c>
      <c r="J26" s="37" t="str">
        <f t="shared" si="1"/>
        <v>More than 180 Days</v>
      </c>
      <c r="L26" s="66"/>
      <c r="M26" s="66">
        <v>2245233.2999999998</v>
      </c>
      <c r="N26" s="66"/>
      <c r="O26" t="s">
        <v>4588</v>
      </c>
    </row>
    <row r="27" spans="1:15" x14ac:dyDescent="0.35">
      <c r="A27" s="2" t="s">
        <v>1209</v>
      </c>
      <c r="B27" s="2" t="s">
        <v>789</v>
      </c>
      <c r="C27" s="18" t="s">
        <v>506</v>
      </c>
      <c r="D27" t="s">
        <v>507</v>
      </c>
      <c r="E27" s="18" t="s">
        <v>3185</v>
      </c>
      <c r="F27" s="175">
        <v>45681</v>
      </c>
      <c r="G27" s="179">
        <v>3159009.2</v>
      </c>
      <c r="H27" s="37">
        <f t="shared" si="0"/>
        <v>311</v>
      </c>
      <c r="I27" s="37" t="str">
        <f t="shared" si="3"/>
        <v>More than 180 Days</v>
      </c>
      <c r="J27" s="37" t="str">
        <f t="shared" si="1"/>
        <v>More than 180 Days</v>
      </c>
      <c r="L27" s="66"/>
      <c r="M27" s="66">
        <v>3159009.2</v>
      </c>
      <c r="N27" s="66"/>
      <c r="O27" t="s">
        <v>4589</v>
      </c>
    </row>
    <row r="28" spans="1:15" x14ac:dyDescent="0.35">
      <c r="A28" s="2" t="s">
        <v>477</v>
      </c>
      <c r="B28" s="2" t="s">
        <v>790</v>
      </c>
      <c r="C28" s="18" t="s">
        <v>2382</v>
      </c>
      <c r="D28" s="18" t="s">
        <v>2424</v>
      </c>
      <c r="E28" s="18" t="s">
        <v>272</v>
      </c>
      <c r="F28" s="175">
        <v>45693</v>
      </c>
      <c r="G28" s="179">
        <v>94164</v>
      </c>
      <c r="H28" s="37">
        <f t="shared" si="0"/>
        <v>299</v>
      </c>
      <c r="I28" s="37" t="str">
        <f>IF(H28&lt;91,"1-90 DAYS",IF(H28&lt;121,"91-120DAYS",IF(H28&lt;181,"121-180 DAYS","More than 180 Days")))</f>
        <v>More than 180 Days</v>
      </c>
      <c r="J28" s="37" t="str">
        <f t="shared" si="1"/>
        <v>More than 180 Days</v>
      </c>
      <c r="L28" s="66"/>
      <c r="M28" s="66">
        <v>94164</v>
      </c>
      <c r="N28" s="66"/>
      <c r="O28" t="s">
        <v>4590</v>
      </c>
    </row>
    <row r="29" spans="1:15" x14ac:dyDescent="0.35">
      <c r="A29" s="2" t="s">
        <v>1209</v>
      </c>
      <c r="B29" s="2" t="s">
        <v>789</v>
      </c>
      <c r="C29" s="18" t="s">
        <v>506</v>
      </c>
      <c r="D29" t="s">
        <v>507</v>
      </c>
      <c r="E29" s="18" t="s">
        <v>3437</v>
      </c>
      <c r="F29" s="175">
        <v>45701</v>
      </c>
      <c r="G29" s="150">
        <v>3260837.29</v>
      </c>
      <c r="H29" s="37">
        <f t="shared" si="0"/>
        <v>291</v>
      </c>
      <c r="I29" s="37" t="str">
        <f t="shared" ref="I29:I33" si="4">IF(H29&lt;121,"0-120 DAYS",IF(H29&lt;181,"121-180 DAYS","More than 180 Days"))</f>
        <v>More than 180 Days</v>
      </c>
      <c r="J29" s="37" t="str">
        <f t="shared" si="1"/>
        <v>More than 180 Days</v>
      </c>
      <c r="L29" s="66"/>
      <c r="M29" s="66">
        <v>3260837.29</v>
      </c>
      <c r="N29" s="66"/>
      <c r="O29" t="s">
        <v>4591</v>
      </c>
    </row>
    <row r="30" spans="1:15" x14ac:dyDescent="0.35">
      <c r="A30" s="2" t="s">
        <v>1209</v>
      </c>
      <c r="B30" s="2" t="s">
        <v>789</v>
      </c>
      <c r="C30" s="18" t="s">
        <v>506</v>
      </c>
      <c r="D30" t="s">
        <v>507</v>
      </c>
      <c r="E30" s="18" t="s">
        <v>3447</v>
      </c>
      <c r="F30" s="175">
        <v>45714</v>
      </c>
      <c r="G30" s="150">
        <v>2794948.74</v>
      </c>
      <c r="H30" s="37">
        <f t="shared" si="0"/>
        <v>278</v>
      </c>
      <c r="I30" s="37" t="str">
        <f t="shared" si="4"/>
        <v>More than 180 Days</v>
      </c>
      <c r="J30" s="37" t="str">
        <f t="shared" si="1"/>
        <v>More than 180 Days</v>
      </c>
      <c r="L30" s="66"/>
      <c r="M30" s="66">
        <v>2794948.74</v>
      </c>
      <c r="N30" s="66"/>
      <c r="O30" t="s">
        <v>4592</v>
      </c>
    </row>
    <row r="31" spans="1:15" x14ac:dyDescent="0.35">
      <c r="A31" s="2" t="s">
        <v>1209</v>
      </c>
      <c r="B31" s="2" t="s">
        <v>789</v>
      </c>
      <c r="C31" s="18" t="s">
        <v>506</v>
      </c>
      <c r="D31" t="s">
        <v>507</v>
      </c>
      <c r="E31" s="18" t="s">
        <v>3453</v>
      </c>
      <c r="F31" s="175">
        <v>45716</v>
      </c>
      <c r="G31" s="150">
        <v>2879593.55</v>
      </c>
      <c r="H31" s="37">
        <f t="shared" si="0"/>
        <v>276</v>
      </c>
      <c r="I31" s="37" t="str">
        <f t="shared" si="4"/>
        <v>More than 180 Days</v>
      </c>
      <c r="J31" s="37" t="str">
        <f t="shared" si="1"/>
        <v>More than 180 Days</v>
      </c>
      <c r="L31" s="66"/>
      <c r="M31" s="66">
        <v>2879593.55</v>
      </c>
      <c r="N31" s="66"/>
      <c r="O31" t="s">
        <v>4593</v>
      </c>
    </row>
    <row r="32" spans="1:15" x14ac:dyDescent="0.35">
      <c r="A32" s="2" t="s">
        <v>1209</v>
      </c>
      <c r="B32" s="2" t="s">
        <v>789</v>
      </c>
      <c r="C32" s="18" t="s">
        <v>506</v>
      </c>
      <c r="D32" t="s">
        <v>507</v>
      </c>
      <c r="E32" s="18" t="s">
        <v>3463</v>
      </c>
      <c r="F32" s="175">
        <v>45702</v>
      </c>
      <c r="G32" s="150">
        <v>2253903.4900000002</v>
      </c>
      <c r="H32" s="37">
        <f t="shared" si="0"/>
        <v>290</v>
      </c>
      <c r="I32" s="37" t="str">
        <f t="shared" si="4"/>
        <v>More than 180 Days</v>
      </c>
      <c r="J32" s="37" t="str">
        <f t="shared" si="1"/>
        <v>More than 180 Days</v>
      </c>
      <c r="L32" s="66"/>
      <c r="M32" s="66">
        <v>2253903.4900000002</v>
      </c>
      <c r="N32" s="66"/>
      <c r="O32" t="s">
        <v>4594</v>
      </c>
    </row>
    <row r="33" spans="1:15" x14ac:dyDescent="0.35">
      <c r="A33" s="2" t="s">
        <v>1209</v>
      </c>
      <c r="B33" s="2" t="s">
        <v>789</v>
      </c>
      <c r="C33" s="18" t="s">
        <v>506</v>
      </c>
      <c r="D33" t="s">
        <v>507</v>
      </c>
      <c r="E33" s="18" t="s">
        <v>3464</v>
      </c>
      <c r="F33" s="175">
        <v>45702</v>
      </c>
      <c r="G33" s="150">
        <v>248789.98</v>
      </c>
      <c r="H33" s="37">
        <f t="shared" si="0"/>
        <v>290</v>
      </c>
      <c r="I33" s="37" t="str">
        <f t="shared" si="4"/>
        <v>More than 180 Days</v>
      </c>
      <c r="J33" s="37" t="str">
        <f t="shared" si="1"/>
        <v>More than 180 Days</v>
      </c>
      <c r="L33" s="66"/>
      <c r="M33" s="66">
        <v>248789.98</v>
      </c>
      <c r="N33" s="66"/>
      <c r="O33" t="s">
        <v>4594</v>
      </c>
    </row>
    <row r="34" spans="1:15" x14ac:dyDescent="0.35">
      <c r="A34" s="88" t="s">
        <v>477</v>
      </c>
      <c r="B34" s="2" t="s">
        <v>790</v>
      </c>
      <c r="C34" s="18" t="s">
        <v>263</v>
      </c>
      <c r="D34" s="18" t="s">
        <v>264</v>
      </c>
      <c r="E34" s="18" t="s">
        <v>3564</v>
      </c>
      <c r="F34" s="175">
        <v>45738</v>
      </c>
      <c r="G34" s="179">
        <f>1059178.28-471808</f>
        <v>587370.28</v>
      </c>
      <c r="H34" s="37">
        <f t="shared" si="0"/>
        <v>254</v>
      </c>
      <c r="I34" s="37" t="str">
        <f t="shared" ref="I34:I37" si="5">IF(H34&lt;91,"1-90 DAYS",IF(H34&lt;121,"91-120DAYS",IF(H34&lt;181,"121-180 DAYS","More than 180 Days")))</f>
        <v>More than 180 Days</v>
      </c>
      <c r="J34" s="37" t="str">
        <f t="shared" si="1"/>
        <v>More than 180 Days</v>
      </c>
      <c r="L34" s="66"/>
      <c r="M34" s="66">
        <v>587370.28</v>
      </c>
      <c r="N34" s="66"/>
      <c r="O34" t="s">
        <v>4595</v>
      </c>
    </row>
    <row r="35" spans="1:15" x14ac:dyDescent="0.35">
      <c r="A35" s="88" t="s">
        <v>477</v>
      </c>
      <c r="B35" s="2" t="s">
        <v>790</v>
      </c>
      <c r="C35" s="18" t="s">
        <v>263</v>
      </c>
      <c r="D35" s="18" t="s">
        <v>264</v>
      </c>
      <c r="E35" s="18" t="s">
        <v>3566</v>
      </c>
      <c r="F35" s="175">
        <v>45745</v>
      </c>
      <c r="G35" s="179">
        <v>376210.55</v>
      </c>
      <c r="H35" s="37">
        <f t="shared" si="0"/>
        <v>247</v>
      </c>
      <c r="I35" s="37" t="str">
        <f t="shared" si="5"/>
        <v>More than 180 Days</v>
      </c>
      <c r="J35" s="37" t="str">
        <f t="shared" si="1"/>
        <v>More than 180 Days</v>
      </c>
      <c r="L35" s="66"/>
      <c r="M35" s="66">
        <v>376210.55</v>
      </c>
      <c r="N35" s="66"/>
      <c r="O35" t="s">
        <v>4596</v>
      </c>
    </row>
    <row r="36" spans="1:15" x14ac:dyDescent="0.35">
      <c r="A36" s="88" t="s">
        <v>477</v>
      </c>
      <c r="B36" s="2" t="s">
        <v>790</v>
      </c>
      <c r="C36" s="18" t="s">
        <v>263</v>
      </c>
      <c r="D36" s="18" t="s">
        <v>264</v>
      </c>
      <c r="E36" s="18" t="s">
        <v>3762</v>
      </c>
      <c r="F36" s="175">
        <v>45763</v>
      </c>
      <c r="G36" s="179">
        <v>568249.16</v>
      </c>
      <c r="H36" s="37">
        <f t="shared" si="0"/>
        <v>229</v>
      </c>
      <c r="I36" s="37" t="str">
        <f t="shared" si="5"/>
        <v>More than 180 Days</v>
      </c>
      <c r="J36" s="37" t="str">
        <f t="shared" si="1"/>
        <v>More than 180 Days</v>
      </c>
      <c r="L36" s="66"/>
      <c r="M36" s="66">
        <v>568249.16</v>
      </c>
      <c r="N36" s="66"/>
      <c r="O36" t="s">
        <v>4597</v>
      </c>
    </row>
    <row r="37" spans="1:15" x14ac:dyDescent="0.35">
      <c r="A37" s="88" t="s">
        <v>477</v>
      </c>
      <c r="B37" s="2" t="s">
        <v>790</v>
      </c>
      <c r="C37" s="18" t="s">
        <v>263</v>
      </c>
      <c r="D37" s="18" t="s">
        <v>264</v>
      </c>
      <c r="E37" s="18" t="s">
        <v>3763</v>
      </c>
      <c r="F37" s="175">
        <v>45777</v>
      </c>
      <c r="G37" s="179">
        <v>389194.68</v>
      </c>
      <c r="H37" s="37">
        <f t="shared" si="0"/>
        <v>215</v>
      </c>
      <c r="I37" s="37" t="str">
        <f t="shared" si="5"/>
        <v>More than 180 Days</v>
      </c>
      <c r="J37" s="37" t="str">
        <f t="shared" si="1"/>
        <v>More than 180 Days</v>
      </c>
      <c r="L37" s="66"/>
      <c r="M37" s="66">
        <v>389194.68</v>
      </c>
      <c r="N37" s="66"/>
      <c r="O37" t="s">
        <v>4598</v>
      </c>
    </row>
    <row r="38" spans="1:15" x14ac:dyDescent="0.35">
      <c r="A38" s="2" t="s">
        <v>1209</v>
      </c>
      <c r="B38" s="2" t="s">
        <v>789</v>
      </c>
      <c r="C38" s="18" t="s">
        <v>506</v>
      </c>
      <c r="D38" t="s">
        <v>507</v>
      </c>
      <c r="E38" s="18" t="s">
        <v>3767</v>
      </c>
      <c r="F38" s="175">
        <v>45765</v>
      </c>
      <c r="G38" s="179">
        <v>1601616.87</v>
      </c>
      <c r="H38" s="37">
        <f t="shared" si="0"/>
        <v>227</v>
      </c>
      <c r="I38" s="37" t="str">
        <f t="shared" ref="I38:I39" si="6">IF(H38&lt;121,"0-120 DAYS",IF(H38&lt;181,"121-180 DAYS","More than 180 Days"))</f>
        <v>More than 180 Days</v>
      </c>
      <c r="J38" s="37" t="str">
        <f t="shared" si="1"/>
        <v>More than 180 Days</v>
      </c>
      <c r="L38" s="66"/>
      <c r="M38" s="66">
        <v>1601616.87</v>
      </c>
      <c r="N38" s="66"/>
      <c r="O38" t="s">
        <v>4599</v>
      </c>
    </row>
    <row r="39" spans="1:15" x14ac:dyDescent="0.35">
      <c r="A39" s="2" t="s">
        <v>1209</v>
      </c>
      <c r="B39" s="2" t="s">
        <v>789</v>
      </c>
      <c r="C39" s="18" t="s">
        <v>506</v>
      </c>
      <c r="D39" t="s">
        <v>507</v>
      </c>
      <c r="E39" s="18" t="s">
        <v>3769</v>
      </c>
      <c r="F39" s="175">
        <v>45765</v>
      </c>
      <c r="G39" s="179">
        <v>731889.31</v>
      </c>
      <c r="H39" s="37">
        <f t="shared" si="0"/>
        <v>227</v>
      </c>
      <c r="I39" s="37" t="str">
        <f t="shared" si="6"/>
        <v>More than 180 Days</v>
      </c>
      <c r="J39" s="37" t="str">
        <f t="shared" si="1"/>
        <v>More than 180 Days</v>
      </c>
      <c r="L39" s="66"/>
      <c r="M39" s="66">
        <v>731889.31</v>
      </c>
      <c r="N39" s="66"/>
      <c r="O39" t="s">
        <v>4599</v>
      </c>
    </row>
    <row r="40" spans="1:15" x14ac:dyDescent="0.35">
      <c r="A40" s="88" t="s">
        <v>477</v>
      </c>
      <c r="B40" s="2" t="s">
        <v>790</v>
      </c>
      <c r="C40" s="18" t="s">
        <v>221</v>
      </c>
      <c r="D40" t="str">
        <f>_xlfn.XLOOKUP(C40,[4]Sheet1!$D:$D,[4]Sheet1!$AB:$AB)</f>
        <v>24AIGPD1030P1ZK</v>
      </c>
      <c r="E40" s="18" t="s">
        <v>3794</v>
      </c>
      <c r="F40" s="175">
        <v>45783</v>
      </c>
      <c r="G40" s="179">
        <v>252256.39</v>
      </c>
      <c r="H40" s="37">
        <f t="shared" si="0"/>
        <v>209</v>
      </c>
      <c r="I40" s="37" t="str">
        <f t="shared" ref="I40" si="7">IF(H40&lt;91,"1-90 DAYS",IF(H40&lt;121,"91-120DAYS",IF(H40&lt;181,"121-180 DAYS","More than 180 Days")))</f>
        <v>More than 180 Days</v>
      </c>
      <c r="J40" s="37" t="str">
        <f t="shared" si="1"/>
        <v>More than 180 Days</v>
      </c>
      <c r="L40" s="66"/>
      <c r="M40" s="66">
        <v>252256.39</v>
      </c>
      <c r="O40" t="s">
        <v>4600</v>
      </c>
    </row>
    <row r="41" spans="1:15" x14ac:dyDescent="0.35">
      <c r="A41" s="2" t="s">
        <v>1085</v>
      </c>
      <c r="B41" s="2" t="s">
        <v>790</v>
      </c>
      <c r="C41" s="18" t="s">
        <v>1086</v>
      </c>
      <c r="D41" s="2" t="s">
        <v>507</v>
      </c>
      <c r="E41" s="18" t="s">
        <v>3822</v>
      </c>
      <c r="F41" s="175">
        <v>45793</v>
      </c>
      <c r="G41" s="179">
        <v>3685605.31</v>
      </c>
      <c r="H41" s="37">
        <f t="shared" si="0"/>
        <v>199</v>
      </c>
      <c r="I41" s="37" t="str">
        <f t="shared" ref="I41:I77" si="8">IF(H41&lt;121,"0-120 DAYS",IF(H41&lt;181,"121-180 DAYS","More than 180 Days"))</f>
        <v>More than 180 Days</v>
      </c>
      <c r="J41" s="37" t="str">
        <f t="shared" si="1"/>
        <v>More than 180 Days</v>
      </c>
      <c r="L41" s="66"/>
      <c r="M41" s="66">
        <v>3685605.31</v>
      </c>
      <c r="O41" t="s">
        <v>4601</v>
      </c>
    </row>
    <row r="42" spans="1:15" x14ac:dyDescent="0.35">
      <c r="A42" s="2" t="s">
        <v>1085</v>
      </c>
      <c r="B42" s="2" t="s">
        <v>790</v>
      </c>
      <c r="C42" s="18" t="s">
        <v>1086</v>
      </c>
      <c r="D42" s="2" t="s">
        <v>507</v>
      </c>
      <c r="E42" s="18" t="s">
        <v>3823</v>
      </c>
      <c r="F42" s="175">
        <v>45795</v>
      </c>
      <c r="G42" s="179">
        <v>688909.99</v>
      </c>
      <c r="H42" s="37">
        <f t="shared" si="0"/>
        <v>197</v>
      </c>
      <c r="I42" s="37" t="str">
        <f t="shared" si="8"/>
        <v>More than 180 Days</v>
      </c>
      <c r="J42" s="37" t="str">
        <f t="shared" si="1"/>
        <v>More than 180 Days</v>
      </c>
      <c r="L42" s="66"/>
      <c r="M42" s="66">
        <v>688909.99</v>
      </c>
      <c r="O42" t="s">
        <v>4602</v>
      </c>
    </row>
    <row r="43" spans="1:15" x14ac:dyDescent="0.35">
      <c r="A43" s="2" t="s">
        <v>1085</v>
      </c>
      <c r="B43" s="2" t="s">
        <v>790</v>
      </c>
      <c r="C43" s="18" t="s">
        <v>1086</v>
      </c>
      <c r="D43" s="2" t="s">
        <v>507</v>
      </c>
      <c r="E43" s="18" t="s">
        <v>3824</v>
      </c>
      <c r="F43" s="175">
        <v>45795</v>
      </c>
      <c r="G43" s="179">
        <v>26301.05</v>
      </c>
      <c r="H43" s="37">
        <f t="shared" si="0"/>
        <v>197</v>
      </c>
      <c r="I43" s="37" t="str">
        <f t="shared" si="8"/>
        <v>More than 180 Days</v>
      </c>
      <c r="J43" s="37" t="str">
        <f t="shared" si="1"/>
        <v>More than 180 Days</v>
      </c>
      <c r="L43" s="66"/>
      <c r="M43" s="66">
        <v>26301.05</v>
      </c>
      <c r="O43" t="s">
        <v>4602</v>
      </c>
    </row>
    <row r="44" spans="1:15" x14ac:dyDescent="0.35">
      <c r="A44" s="2" t="s">
        <v>1085</v>
      </c>
      <c r="B44" s="2" t="s">
        <v>790</v>
      </c>
      <c r="C44" s="18" t="s">
        <v>1086</v>
      </c>
      <c r="D44" s="2" t="s">
        <v>507</v>
      </c>
      <c r="E44" s="18" t="s">
        <v>3825</v>
      </c>
      <c r="F44" s="175">
        <v>45795</v>
      </c>
      <c r="G44" s="179">
        <v>27932.36</v>
      </c>
      <c r="H44" s="37">
        <f t="shared" si="0"/>
        <v>197</v>
      </c>
      <c r="I44" s="37" t="str">
        <f t="shared" si="8"/>
        <v>More than 180 Days</v>
      </c>
      <c r="J44" s="37" t="str">
        <f t="shared" si="1"/>
        <v>More than 180 Days</v>
      </c>
      <c r="L44" s="66"/>
      <c r="M44" s="66">
        <v>27932.36</v>
      </c>
      <c r="O44" t="s">
        <v>4602</v>
      </c>
    </row>
    <row r="45" spans="1:15" x14ac:dyDescent="0.35">
      <c r="A45" s="2" t="s">
        <v>1085</v>
      </c>
      <c r="B45" s="2" t="s">
        <v>790</v>
      </c>
      <c r="C45" s="18" t="s">
        <v>1086</v>
      </c>
      <c r="D45" s="2" t="s">
        <v>507</v>
      </c>
      <c r="E45" s="18" t="s">
        <v>3826</v>
      </c>
      <c r="F45" s="175">
        <v>45795</v>
      </c>
      <c r="G45" s="179">
        <v>1743398.73</v>
      </c>
      <c r="H45" s="37">
        <f t="shared" si="0"/>
        <v>197</v>
      </c>
      <c r="I45" s="37" t="str">
        <f t="shared" si="8"/>
        <v>More than 180 Days</v>
      </c>
      <c r="J45" s="37" t="str">
        <f t="shared" si="1"/>
        <v>More than 180 Days</v>
      </c>
      <c r="L45" s="66"/>
      <c r="M45" s="66">
        <v>1743398.73</v>
      </c>
      <c r="O45" t="s">
        <v>4602</v>
      </c>
    </row>
    <row r="46" spans="1:15" x14ac:dyDescent="0.35">
      <c r="A46" s="2" t="s">
        <v>1085</v>
      </c>
      <c r="B46" s="2" t="s">
        <v>790</v>
      </c>
      <c r="C46" s="18" t="s">
        <v>1086</v>
      </c>
      <c r="D46" s="2" t="s">
        <v>507</v>
      </c>
      <c r="E46" s="18" t="s">
        <v>3827</v>
      </c>
      <c r="F46" s="175">
        <v>45795</v>
      </c>
      <c r="G46" s="179">
        <v>359945.36</v>
      </c>
      <c r="H46" s="37">
        <f t="shared" si="0"/>
        <v>197</v>
      </c>
      <c r="I46" s="37" t="str">
        <f t="shared" si="8"/>
        <v>More than 180 Days</v>
      </c>
      <c r="J46" s="37" t="str">
        <f t="shared" si="1"/>
        <v>More than 180 Days</v>
      </c>
      <c r="L46" s="66"/>
      <c r="M46" s="66">
        <v>359945.36</v>
      </c>
      <c r="O46" t="s">
        <v>4602</v>
      </c>
    </row>
    <row r="47" spans="1:15" x14ac:dyDescent="0.35">
      <c r="A47" s="2" t="s">
        <v>1085</v>
      </c>
      <c r="B47" s="2" t="s">
        <v>790</v>
      </c>
      <c r="C47" s="18" t="s">
        <v>1086</v>
      </c>
      <c r="D47" s="2" t="s">
        <v>507</v>
      </c>
      <c r="E47" s="18" t="s">
        <v>3828</v>
      </c>
      <c r="F47" s="175">
        <v>45795</v>
      </c>
      <c r="G47" s="179">
        <v>30507.25</v>
      </c>
      <c r="H47" s="37">
        <f t="shared" si="0"/>
        <v>197</v>
      </c>
      <c r="I47" s="37" t="str">
        <f t="shared" si="8"/>
        <v>More than 180 Days</v>
      </c>
      <c r="J47" s="37" t="str">
        <f t="shared" si="1"/>
        <v>More than 180 Days</v>
      </c>
      <c r="L47" s="66"/>
      <c r="M47" s="66">
        <v>30507.25</v>
      </c>
      <c r="O47" t="s">
        <v>4602</v>
      </c>
    </row>
    <row r="48" spans="1:15" x14ac:dyDescent="0.35">
      <c r="A48" s="2" t="s">
        <v>1085</v>
      </c>
      <c r="B48" s="2" t="s">
        <v>790</v>
      </c>
      <c r="C48" s="18" t="s">
        <v>1086</v>
      </c>
      <c r="D48" s="2" t="s">
        <v>507</v>
      </c>
      <c r="E48" s="18" t="s">
        <v>3830</v>
      </c>
      <c r="F48" s="175">
        <v>45802</v>
      </c>
      <c r="G48" s="179">
        <v>2314327.5499999998</v>
      </c>
      <c r="H48" s="37">
        <f t="shared" si="0"/>
        <v>190</v>
      </c>
      <c r="I48" s="37" t="str">
        <f t="shared" si="8"/>
        <v>More than 180 Days</v>
      </c>
      <c r="J48" s="37" t="str">
        <f t="shared" si="1"/>
        <v>More than 180 Days</v>
      </c>
      <c r="L48" s="66"/>
      <c r="M48" s="66">
        <v>2314327.5499999998</v>
      </c>
      <c r="O48" t="s">
        <v>4603</v>
      </c>
    </row>
    <row r="49" spans="1:15" x14ac:dyDescent="0.35">
      <c r="A49" s="2" t="s">
        <v>1085</v>
      </c>
      <c r="B49" s="2" t="s">
        <v>790</v>
      </c>
      <c r="C49" s="18" t="s">
        <v>1086</v>
      </c>
      <c r="D49" s="2" t="s">
        <v>507</v>
      </c>
      <c r="E49" s="18" t="s">
        <v>3831</v>
      </c>
      <c r="F49" s="175">
        <v>45802</v>
      </c>
      <c r="G49" s="179">
        <v>882812.01</v>
      </c>
      <c r="H49" s="37">
        <f t="shared" si="0"/>
        <v>190</v>
      </c>
      <c r="I49" s="37" t="str">
        <f t="shared" si="8"/>
        <v>More than 180 Days</v>
      </c>
      <c r="J49" s="37" t="str">
        <f t="shared" si="1"/>
        <v>More than 180 Days</v>
      </c>
      <c r="L49" s="66"/>
      <c r="M49" s="66">
        <v>882812.01</v>
      </c>
      <c r="O49" t="s">
        <v>4603</v>
      </c>
    </row>
    <row r="50" spans="1:15" x14ac:dyDescent="0.35">
      <c r="A50" s="2" t="s">
        <v>1085</v>
      </c>
      <c r="B50" s="2" t="s">
        <v>790</v>
      </c>
      <c r="C50" s="18" t="s">
        <v>3796</v>
      </c>
      <c r="D50" s="2" t="s">
        <v>507</v>
      </c>
      <c r="E50" s="18" t="s">
        <v>3859</v>
      </c>
      <c r="F50" s="176">
        <v>45828</v>
      </c>
      <c r="G50" s="179">
        <v>3819768.75</v>
      </c>
      <c r="H50" s="37">
        <f t="shared" si="0"/>
        <v>164</v>
      </c>
      <c r="I50" s="37" t="str">
        <f t="shared" si="8"/>
        <v>121-180 DAYS</v>
      </c>
      <c r="J50" s="37" t="str">
        <f t="shared" si="1"/>
        <v>0-180 DAYS</v>
      </c>
      <c r="L50" s="66"/>
      <c r="M50" s="66">
        <v>3819768.75</v>
      </c>
      <c r="O50" t="s">
        <v>4604</v>
      </c>
    </row>
    <row r="51" spans="1:15" x14ac:dyDescent="0.35">
      <c r="A51" s="2" t="s">
        <v>1085</v>
      </c>
      <c r="B51" s="2" t="s">
        <v>790</v>
      </c>
      <c r="C51" s="18" t="s">
        <v>1086</v>
      </c>
      <c r="D51" s="2" t="s">
        <v>507</v>
      </c>
      <c r="E51" s="18" t="s">
        <v>3862</v>
      </c>
      <c r="F51" s="176">
        <v>45832</v>
      </c>
      <c r="G51" s="179">
        <v>1466733.31</v>
      </c>
      <c r="H51" s="37">
        <f t="shared" si="0"/>
        <v>160</v>
      </c>
      <c r="I51" s="37" t="str">
        <f t="shared" si="8"/>
        <v>121-180 DAYS</v>
      </c>
      <c r="J51" s="37" t="str">
        <f t="shared" si="1"/>
        <v>0-180 DAYS</v>
      </c>
      <c r="L51" s="66"/>
      <c r="M51" s="66">
        <v>1466733.31</v>
      </c>
      <c r="O51" t="s">
        <v>4605</v>
      </c>
    </row>
    <row r="52" spans="1:15" x14ac:dyDescent="0.35">
      <c r="A52" s="2" t="s">
        <v>1085</v>
      </c>
      <c r="B52" s="2" t="s">
        <v>790</v>
      </c>
      <c r="C52" s="18" t="s">
        <v>1086</v>
      </c>
      <c r="D52" s="2" t="s">
        <v>507</v>
      </c>
      <c r="E52" s="18" t="s">
        <v>3863</v>
      </c>
      <c r="F52" s="176">
        <v>45832</v>
      </c>
      <c r="G52" s="179">
        <v>976392</v>
      </c>
      <c r="H52" s="37">
        <f t="shared" si="0"/>
        <v>160</v>
      </c>
      <c r="I52" s="37" t="str">
        <f t="shared" si="8"/>
        <v>121-180 DAYS</v>
      </c>
      <c r="J52" s="37" t="str">
        <f t="shared" si="1"/>
        <v>0-180 DAYS</v>
      </c>
      <c r="L52" s="66"/>
      <c r="M52" s="66">
        <v>976392</v>
      </c>
      <c r="O52" t="s">
        <v>4605</v>
      </c>
    </row>
    <row r="53" spans="1:15" x14ac:dyDescent="0.35">
      <c r="A53" s="2" t="s">
        <v>1209</v>
      </c>
      <c r="B53" s="2" t="s">
        <v>789</v>
      </c>
      <c r="C53" s="18" t="s">
        <v>506</v>
      </c>
      <c r="D53" s="2" t="s">
        <v>507</v>
      </c>
      <c r="E53" s="18" t="s">
        <v>3864</v>
      </c>
      <c r="F53" s="176">
        <v>45832</v>
      </c>
      <c r="G53" s="179">
        <v>1473617.91</v>
      </c>
      <c r="H53" s="37">
        <f t="shared" si="0"/>
        <v>160</v>
      </c>
      <c r="I53" s="37" t="str">
        <f t="shared" si="8"/>
        <v>121-180 DAYS</v>
      </c>
      <c r="J53" s="37" t="str">
        <f t="shared" si="1"/>
        <v>0-180 DAYS</v>
      </c>
      <c r="L53" s="66"/>
      <c r="M53" s="66">
        <v>1473617.91</v>
      </c>
      <c r="O53" t="s">
        <v>4605</v>
      </c>
    </row>
    <row r="54" spans="1:15" x14ac:dyDescent="0.35">
      <c r="A54" s="2" t="s">
        <v>1209</v>
      </c>
      <c r="B54" s="2" t="s">
        <v>789</v>
      </c>
      <c r="C54" s="18" t="s">
        <v>506</v>
      </c>
      <c r="D54" s="2" t="s">
        <v>507</v>
      </c>
      <c r="E54" s="18" t="s">
        <v>3865</v>
      </c>
      <c r="F54" s="176">
        <v>45832</v>
      </c>
      <c r="G54" s="179">
        <v>716337.38</v>
      </c>
      <c r="H54" s="37">
        <f t="shared" si="0"/>
        <v>160</v>
      </c>
      <c r="I54" s="37" t="str">
        <f t="shared" si="8"/>
        <v>121-180 DAYS</v>
      </c>
      <c r="J54" s="37" t="str">
        <f t="shared" si="1"/>
        <v>0-180 DAYS</v>
      </c>
      <c r="L54" s="66"/>
      <c r="M54" s="66">
        <v>716337.38</v>
      </c>
      <c r="O54" t="s">
        <v>4605</v>
      </c>
    </row>
    <row r="55" spans="1:15" x14ac:dyDescent="0.35">
      <c r="A55" s="2" t="s">
        <v>1209</v>
      </c>
      <c r="B55" s="2" t="s">
        <v>789</v>
      </c>
      <c r="C55" s="18" t="s">
        <v>506</v>
      </c>
      <c r="D55" s="2" t="s">
        <v>507</v>
      </c>
      <c r="E55" s="18" t="s">
        <v>3866</v>
      </c>
      <c r="F55" s="176">
        <v>45832</v>
      </c>
      <c r="G55" s="179">
        <v>265716.14</v>
      </c>
      <c r="H55" s="37">
        <f t="shared" si="0"/>
        <v>160</v>
      </c>
      <c r="I55" s="37" t="str">
        <f t="shared" si="8"/>
        <v>121-180 DAYS</v>
      </c>
      <c r="J55" s="37" t="str">
        <f t="shared" si="1"/>
        <v>0-180 DAYS</v>
      </c>
      <c r="L55" s="66"/>
      <c r="M55" s="66">
        <v>265716.14</v>
      </c>
      <c r="O55" t="s">
        <v>4605</v>
      </c>
    </row>
    <row r="56" spans="1:15" x14ac:dyDescent="0.35">
      <c r="A56" s="2" t="s">
        <v>1209</v>
      </c>
      <c r="B56" s="2" t="s">
        <v>789</v>
      </c>
      <c r="C56" s="18" t="s">
        <v>506</v>
      </c>
      <c r="D56" s="2" t="s">
        <v>507</v>
      </c>
      <c r="E56" s="18" t="s">
        <v>3867</v>
      </c>
      <c r="F56" s="176">
        <v>45832</v>
      </c>
      <c r="G56" s="179">
        <v>829457.9</v>
      </c>
      <c r="H56" s="37">
        <f t="shared" si="0"/>
        <v>160</v>
      </c>
      <c r="I56" s="37" t="str">
        <f t="shared" si="8"/>
        <v>121-180 DAYS</v>
      </c>
      <c r="J56" s="37" t="str">
        <f t="shared" si="1"/>
        <v>0-180 DAYS</v>
      </c>
      <c r="L56" s="66"/>
      <c r="M56" s="66">
        <v>829457.9</v>
      </c>
      <c r="O56" t="s">
        <v>4605</v>
      </c>
    </row>
    <row r="57" spans="1:15" x14ac:dyDescent="0.35">
      <c r="A57" s="2" t="s">
        <v>1085</v>
      </c>
      <c r="B57" s="2" t="s">
        <v>790</v>
      </c>
      <c r="C57" s="18" t="s">
        <v>2066</v>
      </c>
      <c r="D57" s="2" t="s">
        <v>507</v>
      </c>
      <c r="E57" s="18" t="s">
        <v>3870</v>
      </c>
      <c r="F57" s="176">
        <v>45835</v>
      </c>
      <c r="G57" s="179">
        <v>4427894.17</v>
      </c>
      <c r="H57" s="37">
        <f t="shared" si="0"/>
        <v>157</v>
      </c>
      <c r="I57" s="37" t="str">
        <f t="shared" si="8"/>
        <v>121-180 DAYS</v>
      </c>
      <c r="J57" s="37" t="str">
        <f t="shared" si="1"/>
        <v>0-180 DAYS</v>
      </c>
      <c r="L57" s="66"/>
      <c r="M57" s="66">
        <v>4427894.17</v>
      </c>
      <c r="O57" t="s">
        <v>4606</v>
      </c>
    </row>
    <row r="58" spans="1:15" x14ac:dyDescent="0.35">
      <c r="A58" s="2" t="s">
        <v>1085</v>
      </c>
      <c r="B58" s="2" t="s">
        <v>790</v>
      </c>
      <c r="C58" s="18" t="s">
        <v>1086</v>
      </c>
      <c r="D58" s="2" t="s">
        <v>507</v>
      </c>
      <c r="E58" s="18" t="s">
        <v>3875</v>
      </c>
      <c r="F58" s="176">
        <v>45813</v>
      </c>
      <c r="G58" s="179">
        <v>1482651.48</v>
      </c>
      <c r="H58" s="37">
        <f t="shared" si="0"/>
        <v>179</v>
      </c>
      <c r="I58" s="37" t="str">
        <f t="shared" si="8"/>
        <v>121-180 DAYS</v>
      </c>
      <c r="J58" s="37" t="str">
        <f t="shared" si="1"/>
        <v>0-180 DAYS</v>
      </c>
      <c r="L58" s="66"/>
      <c r="M58" s="66">
        <v>1482651.48</v>
      </c>
      <c r="O58" t="s">
        <v>4607</v>
      </c>
    </row>
    <row r="59" spans="1:15" x14ac:dyDescent="0.35">
      <c r="A59" s="2" t="s">
        <v>1085</v>
      </c>
      <c r="B59" s="2" t="s">
        <v>790</v>
      </c>
      <c r="C59" s="18" t="s">
        <v>1086</v>
      </c>
      <c r="D59" s="2" t="s">
        <v>507</v>
      </c>
      <c r="E59" s="18" t="s">
        <v>3876</v>
      </c>
      <c r="F59" s="176">
        <v>45813</v>
      </c>
      <c r="G59" s="179">
        <v>94326.16</v>
      </c>
      <c r="H59" s="37">
        <f t="shared" si="0"/>
        <v>179</v>
      </c>
      <c r="I59" s="37" t="str">
        <f t="shared" si="8"/>
        <v>121-180 DAYS</v>
      </c>
      <c r="J59" s="37" t="str">
        <f t="shared" si="1"/>
        <v>0-180 DAYS</v>
      </c>
      <c r="L59" s="66"/>
      <c r="M59" s="66">
        <v>94326.16</v>
      </c>
      <c r="O59" t="s">
        <v>4607</v>
      </c>
    </row>
    <row r="60" spans="1:15" x14ac:dyDescent="0.35">
      <c r="A60" s="2" t="s">
        <v>1085</v>
      </c>
      <c r="B60" s="2" t="s">
        <v>790</v>
      </c>
      <c r="C60" s="18" t="s">
        <v>1086</v>
      </c>
      <c r="D60" s="2" t="s">
        <v>507</v>
      </c>
      <c r="E60" s="18" t="s">
        <v>3877</v>
      </c>
      <c r="F60" s="176">
        <v>45813</v>
      </c>
      <c r="G60" s="179">
        <v>131455.25</v>
      </c>
      <c r="H60" s="37">
        <f t="shared" si="0"/>
        <v>179</v>
      </c>
      <c r="I60" s="37" t="str">
        <f t="shared" si="8"/>
        <v>121-180 DAYS</v>
      </c>
      <c r="J60" s="37" t="str">
        <f t="shared" si="1"/>
        <v>0-180 DAYS</v>
      </c>
      <c r="L60" s="66"/>
      <c r="M60" s="66">
        <v>131455.25</v>
      </c>
      <c r="O60" t="s">
        <v>4607</v>
      </c>
    </row>
    <row r="61" spans="1:15" x14ac:dyDescent="0.35">
      <c r="A61" s="2" t="s">
        <v>1085</v>
      </c>
      <c r="B61" s="2" t="s">
        <v>790</v>
      </c>
      <c r="C61" s="18" t="s">
        <v>1086</v>
      </c>
      <c r="D61" s="2" t="s">
        <v>507</v>
      </c>
      <c r="E61" s="18" t="s">
        <v>3878</v>
      </c>
      <c r="F61" s="176">
        <v>45813</v>
      </c>
      <c r="G61" s="179">
        <v>1240738.96</v>
      </c>
      <c r="H61" s="37">
        <f t="shared" si="0"/>
        <v>179</v>
      </c>
      <c r="I61" s="37" t="str">
        <f t="shared" si="8"/>
        <v>121-180 DAYS</v>
      </c>
      <c r="J61" s="37" t="str">
        <f t="shared" si="1"/>
        <v>0-180 DAYS</v>
      </c>
      <c r="L61" s="66"/>
      <c r="M61" s="66">
        <v>1240738.96</v>
      </c>
      <c r="O61" t="s">
        <v>4607</v>
      </c>
    </row>
    <row r="62" spans="1:15" x14ac:dyDescent="0.35">
      <c r="A62" s="2" t="s">
        <v>1209</v>
      </c>
      <c r="B62" s="2" t="s">
        <v>789</v>
      </c>
      <c r="C62" s="18" t="s">
        <v>506</v>
      </c>
      <c r="D62" s="2" t="s">
        <v>507</v>
      </c>
      <c r="E62" s="18" t="s">
        <v>3880</v>
      </c>
      <c r="F62" s="176">
        <v>45818</v>
      </c>
      <c r="G62" s="179">
        <v>579946.59</v>
      </c>
      <c r="H62" s="37">
        <f t="shared" si="0"/>
        <v>174</v>
      </c>
      <c r="I62" s="37" t="str">
        <f t="shared" si="8"/>
        <v>121-180 DAYS</v>
      </c>
      <c r="J62" s="37" t="str">
        <f t="shared" si="1"/>
        <v>0-180 DAYS</v>
      </c>
      <c r="L62" s="66"/>
      <c r="M62" s="66">
        <v>579946.59</v>
      </c>
      <c r="O62" t="s">
        <v>4608</v>
      </c>
    </row>
    <row r="63" spans="1:15" x14ac:dyDescent="0.35">
      <c r="A63" s="2" t="s">
        <v>1209</v>
      </c>
      <c r="B63" s="2" t="s">
        <v>789</v>
      </c>
      <c r="C63" s="18" t="s">
        <v>506</v>
      </c>
      <c r="D63" s="2" t="s">
        <v>507</v>
      </c>
      <c r="E63" s="18" t="s">
        <v>3881</v>
      </c>
      <c r="F63" s="176">
        <v>45818</v>
      </c>
      <c r="G63" s="179">
        <v>1626044.59</v>
      </c>
      <c r="H63" s="37">
        <f t="shared" si="0"/>
        <v>174</v>
      </c>
      <c r="I63" s="37" t="str">
        <f t="shared" si="8"/>
        <v>121-180 DAYS</v>
      </c>
      <c r="J63" s="37" t="str">
        <f t="shared" si="1"/>
        <v>0-180 DAYS</v>
      </c>
      <c r="L63" s="66"/>
      <c r="M63" s="66">
        <v>1626044.59</v>
      </c>
      <c r="O63" t="s">
        <v>4608</v>
      </c>
    </row>
    <row r="64" spans="1:15" x14ac:dyDescent="0.35">
      <c r="A64" s="2" t="s">
        <v>1209</v>
      </c>
      <c r="B64" s="2" t="s">
        <v>789</v>
      </c>
      <c r="C64" s="18" t="s">
        <v>506</v>
      </c>
      <c r="D64" s="2" t="s">
        <v>507</v>
      </c>
      <c r="E64" s="18" t="s">
        <v>3882</v>
      </c>
      <c r="F64" s="176">
        <v>45818</v>
      </c>
      <c r="G64" s="179">
        <v>553115.02</v>
      </c>
      <c r="H64" s="37">
        <f t="shared" si="0"/>
        <v>174</v>
      </c>
      <c r="I64" s="37" t="str">
        <f t="shared" si="8"/>
        <v>121-180 DAYS</v>
      </c>
      <c r="J64" s="37" t="str">
        <f t="shared" si="1"/>
        <v>0-180 DAYS</v>
      </c>
      <c r="L64" s="66"/>
      <c r="M64" s="66">
        <v>553115.02</v>
      </c>
      <c r="O64" t="s">
        <v>4608</v>
      </c>
    </row>
    <row r="65" spans="1:15" x14ac:dyDescent="0.35">
      <c r="A65" s="2" t="s">
        <v>1085</v>
      </c>
      <c r="B65" s="2" t="s">
        <v>790</v>
      </c>
      <c r="C65" s="18" t="s">
        <v>1086</v>
      </c>
      <c r="D65" s="2" t="s">
        <v>507</v>
      </c>
      <c r="E65" s="18" t="s">
        <v>3883</v>
      </c>
      <c r="F65" s="176">
        <v>45823</v>
      </c>
      <c r="G65" s="179">
        <v>3306342.56</v>
      </c>
      <c r="H65" s="37">
        <f t="shared" si="0"/>
        <v>169</v>
      </c>
      <c r="I65" s="37" t="str">
        <f t="shared" si="8"/>
        <v>121-180 DAYS</v>
      </c>
      <c r="J65" s="37" t="str">
        <f t="shared" si="1"/>
        <v>0-180 DAYS</v>
      </c>
      <c r="L65" s="66"/>
      <c r="M65" s="66">
        <v>3306342.56</v>
      </c>
      <c r="O65" t="s">
        <v>4609</v>
      </c>
    </row>
    <row r="66" spans="1:15" x14ac:dyDescent="0.35">
      <c r="A66" s="2" t="s">
        <v>1085</v>
      </c>
      <c r="B66" s="2" t="s">
        <v>790</v>
      </c>
      <c r="C66" s="18" t="s">
        <v>1086</v>
      </c>
      <c r="D66" s="2" t="s">
        <v>507</v>
      </c>
      <c r="E66" s="18" t="s">
        <v>3884</v>
      </c>
      <c r="F66" s="176">
        <v>45825</v>
      </c>
      <c r="G66" s="179">
        <v>3559643.58</v>
      </c>
      <c r="H66" s="37">
        <f t="shared" si="0"/>
        <v>167</v>
      </c>
      <c r="I66" s="37" t="str">
        <f t="shared" si="8"/>
        <v>121-180 DAYS</v>
      </c>
      <c r="J66" s="37" t="str">
        <f t="shared" si="1"/>
        <v>0-180 DAYS</v>
      </c>
      <c r="L66" s="66"/>
      <c r="M66" s="66">
        <v>3559643.58</v>
      </c>
      <c r="O66" t="s">
        <v>4610</v>
      </c>
    </row>
    <row r="67" spans="1:15" x14ac:dyDescent="0.35">
      <c r="A67" s="2" t="s">
        <v>1085</v>
      </c>
      <c r="B67" s="2" t="s">
        <v>790</v>
      </c>
      <c r="C67" s="18" t="s">
        <v>650</v>
      </c>
      <c r="D67" s="2" t="s">
        <v>507</v>
      </c>
      <c r="E67" s="18" t="s">
        <v>3886</v>
      </c>
      <c r="F67" s="176">
        <v>45826</v>
      </c>
      <c r="G67" s="179">
        <f>2912112-2147911</f>
        <v>764201</v>
      </c>
      <c r="H67" s="37">
        <f t="shared" si="0"/>
        <v>166</v>
      </c>
      <c r="I67" s="37" t="str">
        <f t="shared" si="8"/>
        <v>121-180 DAYS</v>
      </c>
      <c r="J67" s="37" t="str">
        <f t="shared" si="1"/>
        <v>0-180 DAYS</v>
      </c>
      <c r="L67" s="66"/>
      <c r="M67" s="66">
        <v>764201</v>
      </c>
      <c r="O67" t="s">
        <v>4611</v>
      </c>
    </row>
    <row r="68" spans="1:15" x14ac:dyDescent="0.35">
      <c r="A68" s="2" t="s">
        <v>1085</v>
      </c>
      <c r="B68" s="2" t="s">
        <v>790</v>
      </c>
      <c r="C68" s="18" t="s">
        <v>1086</v>
      </c>
      <c r="D68" s="2" t="s">
        <v>507</v>
      </c>
      <c r="E68" s="18" t="s">
        <v>3887</v>
      </c>
      <c r="F68" s="176">
        <v>45827</v>
      </c>
      <c r="G68" s="179">
        <v>713498.06</v>
      </c>
      <c r="H68" s="37">
        <f t="shared" si="0"/>
        <v>165</v>
      </c>
      <c r="I68" s="37" t="str">
        <f t="shared" si="8"/>
        <v>121-180 DAYS</v>
      </c>
      <c r="J68" s="37" t="str">
        <f t="shared" si="1"/>
        <v>0-180 DAYS</v>
      </c>
      <c r="L68" s="66"/>
      <c r="M68" s="66">
        <v>713498.06</v>
      </c>
      <c r="O68" t="s">
        <v>4612</v>
      </c>
    </row>
    <row r="69" spans="1:15" x14ac:dyDescent="0.35">
      <c r="A69" s="2" t="s">
        <v>1085</v>
      </c>
      <c r="B69" s="2" t="s">
        <v>790</v>
      </c>
      <c r="C69" s="18" t="s">
        <v>1086</v>
      </c>
      <c r="D69" s="2" t="s">
        <v>507</v>
      </c>
      <c r="E69" s="18" t="s">
        <v>3888</v>
      </c>
      <c r="F69" s="176">
        <v>45827</v>
      </c>
      <c r="G69" s="179">
        <v>224217.32</v>
      </c>
      <c r="H69" s="37">
        <f t="shared" si="0"/>
        <v>165</v>
      </c>
      <c r="I69" s="37" t="str">
        <f t="shared" si="8"/>
        <v>121-180 DAYS</v>
      </c>
      <c r="J69" s="37" t="str">
        <f t="shared" si="1"/>
        <v>0-180 DAYS</v>
      </c>
      <c r="L69" s="66"/>
      <c r="M69" s="66">
        <v>224217.32</v>
      </c>
      <c r="O69" t="s">
        <v>4612</v>
      </c>
    </row>
    <row r="70" spans="1:15" x14ac:dyDescent="0.35">
      <c r="A70" s="2" t="s">
        <v>1085</v>
      </c>
      <c r="B70" s="2" t="s">
        <v>790</v>
      </c>
      <c r="C70" s="18" t="s">
        <v>1086</v>
      </c>
      <c r="D70" s="2" t="s">
        <v>507</v>
      </c>
      <c r="E70" s="18" t="s">
        <v>3889</v>
      </c>
      <c r="F70" s="176">
        <v>45827</v>
      </c>
      <c r="G70" s="179">
        <v>1434421.83</v>
      </c>
      <c r="H70" s="37">
        <f t="shared" si="0"/>
        <v>165</v>
      </c>
      <c r="I70" s="37" t="str">
        <f t="shared" si="8"/>
        <v>121-180 DAYS</v>
      </c>
      <c r="J70" s="37" t="str">
        <f t="shared" si="1"/>
        <v>0-180 DAYS</v>
      </c>
      <c r="L70" s="66"/>
      <c r="M70" s="66">
        <v>1434421.83</v>
      </c>
      <c r="O70" t="s">
        <v>4612</v>
      </c>
    </row>
    <row r="71" spans="1:15" x14ac:dyDescent="0.35">
      <c r="A71" s="2" t="s">
        <v>1085</v>
      </c>
      <c r="B71" s="2" t="s">
        <v>790</v>
      </c>
      <c r="C71" s="18" t="s">
        <v>1086</v>
      </c>
      <c r="D71" s="2" t="s">
        <v>507</v>
      </c>
      <c r="E71" s="18" t="s">
        <v>3891</v>
      </c>
      <c r="F71" s="176">
        <v>45832</v>
      </c>
      <c r="G71" s="179">
        <v>11896.34</v>
      </c>
      <c r="H71" s="37">
        <f t="shared" si="0"/>
        <v>160</v>
      </c>
      <c r="I71" s="37" t="str">
        <f t="shared" si="8"/>
        <v>121-180 DAYS</v>
      </c>
      <c r="J71" s="37" t="str">
        <f t="shared" si="1"/>
        <v>0-180 DAYS</v>
      </c>
      <c r="L71" s="66"/>
      <c r="M71" s="66">
        <v>11896.34</v>
      </c>
      <c r="O71" t="s">
        <v>4605</v>
      </c>
    </row>
    <row r="72" spans="1:15" x14ac:dyDescent="0.35">
      <c r="A72" s="2" t="s">
        <v>1085</v>
      </c>
      <c r="B72" s="2" t="s">
        <v>790</v>
      </c>
      <c r="C72" s="18" t="s">
        <v>1086</v>
      </c>
      <c r="D72" s="2" t="s">
        <v>507</v>
      </c>
      <c r="E72" s="18" t="s">
        <v>3892</v>
      </c>
      <c r="F72" s="176">
        <v>45832</v>
      </c>
      <c r="G72" s="179">
        <v>516627.4</v>
      </c>
      <c r="H72" s="37">
        <f t="shared" si="0"/>
        <v>160</v>
      </c>
      <c r="I72" s="37" t="str">
        <f t="shared" si="8"/>
        <v>121-180 DAYS</v>
      </c>
      <c r="J72" s="37" t="str">
        <f t="shared" si="1"/>
        <v>0-180 DAYS</v>
      </c>
      <c r="L72" s="66"/>
      <c r="M72" s="66">
        <v>516627.4</v>
      </c>
      <c r="O72" t="s">
        <v>4605</v>
      </c>
    </row>
    <row r="73" spans="1:15" x14ac:dyDescent="0.35">
      <c r="A73" s="2" t="s">
        <v>1085</v>
      </c>
      <c r="B73" s="2" t="s">
        <v>790</v>
      </c>
      <c r="C73" s="18" t="s">
        <v>1086</v>
      </c>
      <c r="D73" s="2" t="s">
        <v>507</v>
      </c>
      <c r="E73" s="18" t="s">
        <v>3893</v>
      </c>
      <c r="F73" s="176">
        <v>45832</v>
      </c>
      <c r="G73" s="179">
        <v>1438051.8</v>
      </c>
      <c r="H73" s="37">
        <f t="shared" si="0"/>
        <v>160</v>
      </c>
      <c r="I73" s="37" t="str">
        <f t="shared" si="8"/>
        <v>121-180 DAYS</v>
      </c>
      <c r="J73" s="37" t="str">
        <f t="shared" si="1"/>
        <v>0-180 DAYS</v>
      </c>
      <c r="L73" s="66"/>
      <c r="M73" s="66">
        <v>1438051.8</v>
      </c>
      <c r="O73" t="s">
        <v>4605</v>
      </c>
    </row>
    <row r="74" spans="1:15" x14ac:dyDescent="0.35">
      <c r="A74" s="2" t="s">
        <v>1085</v>
      </c>
      <c r="B74" s="2" t="s">
        <v>790</v>
      </c>
      <c r="C74" s="18" t="s">
        <v>1086</v>
      </c>
      <c r="D74" s="2" t="s">
        <v>507</v>
      </c>
      <c r="E74" s="18" t="s">
        <v>3894</v>
      </c>
      <c r="F74" s="176">
        <v>45832</v>
      </c>
      <c r="G74" s="179">
        <v>418746.68</v>
      </c>
      <c r="H74" s="37">
        <f t="shared" si="0"/>
        <v>160</v>
      </c>
      <c r="I74" s="37" t="str">
        <f t="shared" si="8"/>
        <v>121-180 DAYS</v>
      </c>
      <c r="J74" s="37" t="str">
        <f t="shared" si="1"/>
        <v>0-180 DAYS</v>
      </c>
      <c r="L74" s="66"/>
      <c r="M74" s="66">
        <v>418746.68</v>
      </c>
      <c r="O74" t="s">
        <v>4605</v>
      </c>
    </row>
    <row r="75" spans="1:15" x14ac:dyDescent="0.35">
      <c r="A75" s="2" t="s">
        <v>1085</v>
      </c>
      <c r="B75" s="2" t="s">
        <v>790</v>
      </c>
      <c r="C75" s="18" t="s">
        <v>1086</v>
      </c>
      <c r="D75" s="2" t="s">
        <v>507</v>
      </c>
      <c r="E75" s="18" t="s">
        <v>3899</v>
      </c>
      <c r="F75" s="176">
        <v>45837</v>
      </c>
      <c r="G75" s="179">
        <v>1154757.1599999999</v>
      </c>
      <c r="H75" s="37">
        <f t="shared" si="0"/>
        <v>155</v>
      </c>
      <c r="I75" s="37" t="str">
        <f t="shared" si="8"/>
        <v>121-180 DAYS</v>
      </c>
      <c r="J75" s="37" t="str">
        <f t="shared" si="1"/>
        <v>0-180 DAYS</v>
      </c>
      <c r="L75" s="66"/>
      <c r="M75" s="66">
        <v>1154757.1599999999</v>
      </c>
      <c r="O75" t="s">
        <v>4613</v>
      </c>
    </row>
    <row r="76" spans="1:15" x14ac:dyDescent="0.35">
      <c r="A76" s="2" t="s">
        <v>1085</v>
      </c>
      <c r="B76" s="2" t="s">
        <v>790</v>
      </c>
      <c r="C76" s="18" t="s">
        <v>1086</v>
      </c>
      <c r="D76" s="2" t="s">
        <v>507</v>
      </c>
      <c r="E76" s="18" t="s">
        <v>3900</v>
      </c>
      <c r="F76" s="176">
        <v>45837</v>
      </c>
      <c r="G76" s="179">
        <v>2555739.58</v>
      </c>
      <c r="H76" s="37">
        <f t="shared" ref="H76:H139" si="9">$H$9-F76+1</f>
        <v>155</v>
      </c>
      <c r="I76" s="37" t="str">
        <f t="shared" si="8"/>
        <v>121-180 DAYS</v>
      </c>
      <c r="J76" s="37" t="str">
        <f t="shared" si="1"/>
        <v>0-180 DAYS</v>
      </c>
      <c r="L76" s="66"/>
      <c r="M76" s="66">
        <v>2555739.58</v>
      </c>
      <c r="O76" t="s">
        <v>4613</v>
      </c>
    </row>
    <row r="77" spans="1:15" x14ac:dyDescent="0.35">
      <c r="A77" s="2" t="s">
        <v>1085</v>
      </c>
      <c r="B77" s="2" t="s">
        <v>790</v>
      </c>
      <c r="C77" s="18" t="s">
        <v>650</v>
      </c>
      <c r="D77" s="2" t="s">
        <v>507</v>
      </c>
      <c r="E77" s="18" t="s">
        <v>3901</v>
      </c>
      <c r="F77" s="176">
        <v>45838</v>
      </c>
      <c r="G77" s="179">
        <v>4299199.45</v>
      </c>
      <c r="H77" s="37">
        <f t="shared" si="9"/>
        <v>154</v>
      </c>
      <c r="I77" s="37" t="str">
        <f t="shared" si="8"/>
        <v>121-180 DAYS</v>
      </c>
      <c r="J77" s="37" t="str">
        <f t="shared" si="1"/>
        <v>0-180 DAYS</v>
      </c>
      <c r="L77" s="66"/>
      <c r="M77" s="66">
        <v>4299199.45</v>
      </c>
      <c r="O77" t="s">
        <v>4614</v>
      </c>
    </row>
    <row r="78" spans="1:15" x14ac:dyDescent="0.35">
      <c r="A78" s="2" t="s">
        <v>477</v>
      </c>
      <c r="B78" s="2" t="s">
        <v>790</v>
      </c>
      <c r="C78" s="18" t="s">
        <v>2789</v>
      </c>
      <c r="D78" s="18" t="s">
        <v>2801</v>
      </c>
      <c r="E78" s="18" t="s">
        <v>3903</v>
      </c>
      <c r="F78" s="176">
        <v>45811</v>
      </c>
      <c r="G78" s="179">
        <f>7917080-482873-965746</f>
        <v>6468461</v>
      </c>
      <c r="H78" s="37">
        <f t="shared" si="9"/>
        <v>181</v>
      </c>
      <c r="I78" s="37" t="str">
        <f t="shared" ref="I78:I86" si="10">IF(H78&lt;91,"1-90 DAYS",IF(H78&lt;121,"91-120DAYS",IF(H78&lt;181,"121-180 DAYS","More than 180 Days")))</f>
        <v>More than 180 Days</v>
      </c>
      <c r="J78" s="37" t="str">
        <f t="shared" ref="J78:J141" si="11">IF(H78&lt;180,"0-180 DAYS","More than 180 Days")</f>
        <v>More than 180 Days</v>
      </c>
      <c r="L78" s="66"/>
      <c r="M78" s="66">
        <v>6468461</v>
      </c>
      <c r="O78" t="s">
        <v>4615</v>
      </c>
    </row>
    <row r="79" spans="1:15" x14ac:dyDescent="0.35">
      <c r="A79" s="2" t="s">
        <v>477</v>
      </c>
      <c r="B79" s="2" t="s">
        <v>790</v>
      </c>
      <c r="C79" s="18" t="s">
        <v>3</v>
      </c>
      <c r="D79" s="18" t="s">
        <v>4</v>
      </c>
      <c r="E79" s="18" t="s">
        <v>3904</v>
      </c>
      <c r="F79" s="176">
        <v>45819</v>
      </c>
      <c r="G79" s="179">
        <v>18614.97</v>
      </c>
      <c r="H79" s="37">
        <f t="shared" si="9"/>
        <v>173</v>
      </c>
      <c r="I79" s="37" t="str">
        <f t="shared" si="10"/>
        <v>121-180 DAYS</v>
      </c>
      <c r="J79" s="37" t="str">
        <f t="shared" si="11"/>
        <v>0-180 DAYS</v>
      </c>
      <c r="L79" s="66"/>
      <c r="M79" s="66">
        <v>18614.97</v>
      </c>
      <c r="O79" t="s">
        <v>4616</v>
      </c>
    </row>
    <row r="80" spans="1:15" x14ac:dyDescent="0.35">
      <c r="A80" s="2" t="s">
        <v>477</v>
      </c>
      <c r="B80" s="2" t="s">
        <v>790</v>
      </c>
      <c r="C80" s="18" t="s">
        <v>2890</v>
      </c>
      <c r="D80" s="18" t="s">
        <v>2966</v>
      </c>
      <c r="E80" s="18" t="s">
        <v>3905</v>
      </c>
      <c r="F80" s="176">
        <v>45831</v>
      </c>
      <c r="G80" s="179">
        <f>991200-985273</f>
        <v>5927</v>
      </c>
      <c r="H80" s="37">
        <f t="shared" si="9"/>
        <v>161</v>
      </c>
      <c r="I80" s="37" t="str">
        <f t="shared" si="10"/>
        <v>121-180 DAYS</v>
      </c>
      <c r="J80" s="37" t="str">
        <f t="shared" si="11"/>
        <v>0-180 DAYS</v>
      </c>
      <c r="L80" s="66"/>
      <c r="M80" s="66">
        <v>5927</v>
      </c>
      <c r="O80" t="s">
        <v>4617</v>
      </c>
    </row>
    <row r="81" spans="1:15" x14ac:dyDescent="0.35">
      <c r="A81" s="2" t="s">
        <v>477</v>
      </c>
      <c r="B81" s="2" t="s">
        <v>790</v>
      </c>
      <c r="C81" s="18" t="s">
        <v>263</v>
      </c>
      <c r="D81" s="18" t="s">
        <v>264</v>
      </c>
      <c r="E81" s="18" t="s">
        <v>3906</v>
      </c>
      <c r="F81" s="176">
        <v>45836</v>
      </c>
      <c r="G81" s="179">
        <v>628534.07999999996</v>
      </c>
      <c r="H81" s="37">
        <f t="shared" si="9"/>
        <v>156</v>
      </c>
      <c r="I81" s="37" t="str">
        <f t="shared" si="10"/>
        <v>121-180 DAYS</v>
      </c>
      <c r="J81" s="37" t="str">
        <f t="shared" si="11"/>
        <v>0-180 DAYS</v>
      </c>
      <c r="L81" s="66"/>
      <c r="M81" s="66">
        <v>628534.07999999996</v>
      </c>
      <c r="O81" t="s">
        <v>4618</v>
      </c>
    </row>
    <row r="82" spans="1:15" x14ac:dyDescent="0.35">
      <c r="A82" s="2" t="s">
        <v>477</v>
      </c>
      <c r="B82" s="2" t="s">
        <v>790</v>
      </c>
      <c r="C82" s="18" t="s">
        <v>3907</v>
      </c>
      <c r="D82" s="18" t="s">
        <v>3909</v>
      </c>
      <c r="E82" s="18" t="s">
        <v>3908</v>
      </c>
      <c r="F82" s="176">
        <v>45827</v>
      </c>
      <c r="G82" s="179">
        <v>7966530</v>
      </c>
      <c r="H82" s="37">
        <f t="shared" si="9"/>
        <v>165</v>
      </c>
      <c r="I82" s="37" t="str">
        <f t="shared" si="10"/>
        <v>121-180 DAYS</v>
      </c>
      <c r="J82" s="37" t="str">
        <f t="shared" si="11"/>
        <v>0-180 DAYS</v>
      </c>
      <c r="L82" s="66"/>
      <c r="M82" s="66">
        <v>7966530</v>
      </c>
      <c r="O82" t="s">
        <v>4612</v>
      </c>
    </row>
    <row r="83" spans="1:15" x14ac:dyDescent="0.35">
      <c r="A83" s="2" t="s">
        <v>477</v>
      </c>
      <c r="B83" s="2" t="s">
        <v>790</v>
      </c>
      <c r="C83" s="18" t="s">
        <v>2789</v>
      </c>
      <c r="D83" s="18" t="s">
        <v>2801</v>
      </c>
      <c r="E83" s="18" t="s">
        <v>3948</v>
      </c>
      <c r="F83" s="176">
        <v>45853</v>
      </c>
      <c r="G83" s="179">
        <v>16484818.68</v>
      </c>
      <c r="H83" s="37">
        <f t="shared" si="9"/>
        <v>139</v>
      </c>
      <c r="I83" s="37" t="str">
        <f t="shared" si="10"/>
        <v>121-180 DAYS</v>
      </c>
      <c r="J83" s="37" t="str">
        <f t="shared" si="11"/>
        <v>0-180 DAYS</v>
      </c>
      <c r="L83" s="66"/>
      <c r="M83" s="66">
        <v>16484818.68</v>
      </c>
      <c r="O83" t="s">
        <v>4619</v>
      </c>
    </row>
    <row r="84" spans="1:15" x14ac:dyDescent="0.35">
      <c r="A84" s="2" t="s">
        <v>477</v>
      </c>
      <c r="B84" s="2" t="s">
        <v>790</v>
      </c>
      <c r="C84" s="18" t="s">
        <v>2789</v>
      </c>
      <c r="D84" s="18" t="s">
        <v>2801</v>
      </c>
      <c r="E84" s="18" t="s">
        <v>3949</v>
      </c>
      <c r="F84" s="176">
        <v>45853</v>
      </c>
      <c r="G84" s="179">
        <v>16484818.68</v>
      </c>
      <c r="H84" s="37">
        <f t="shared" si="9"/>
        <v>139</v>
      </c>
      <c r="I84" s="37" t="str">
        <f t="shared" si="10"/>
        <v>121-180 DAYS</v>
      </c>
      <c r="J84" s="37" t="str">
        <f t="shared" si="11"/>
        <v>0-180 DAYS</v>
      </c>
      <c r="L84" s="66"/>
      <c r="M84" s="66">
        <v>16484818.68</v>
      </c>
      <c r="O84" t="s">
        <v>4619</v>
      </c>
    </row>
    <row r="85" spans="1:15" x14ac:dyDescent="0.35">
      <c r="A85" s="2" t="s">
        <v>477</v>
      </c>
      <c r="B85" s="2" t="s">
        <v>790</v>
      </c>
      <c r="C85" s="18" t="s">
        <v>3946</v>
      </c>
      <c r="D85" s="18" t="s">
        <v>3947</v>
      </c>
      <c r="E85" s="18" t="s">
        <v>3953</v>
      </c>
      <c r="F85" s="176">
        <v>45864</v>
      </c>
      <c r="G85" s="179">
        <v>25700</v>
      </c>
      <c r="H85" s="37">
        <f t="shared" si="9"/>
        <v>128</v>
      </c>
      <c r="I85" s="37" t="str">
        <f t="shared" si="10"/>
        <v>121-180 DAYS</v>
      </c>
      <c r="J85" s="37" t="str">
        <f t="shared" si="11"/>
        <v>0-180 DAYS</v>
      </c>
      <c r="L85" s="66"/>
      <c r="M85" s="66">
        <v>25700</v>
      </c>
      <c r="O85" t="s">
        <v>4620</v>
      </c>
    </row>
    <row r="86" spans="1:15" x14ac:dyDescent="0.35">
      <c r="A86" s="2" t="s">
        <v>477</v>
      </c>
      <c r="B86" s="2" t="s">
        <v>790</v>
      </c>
      <c r="C86" s="18" t="s">
        <v>3409</v>
      </c>
      <c r="D86" s="18" t="s">
        <v>3060</v>
      </c>
      <c r="E86" s="18" t="s">
        <v>3954</v>
      </c>
      <c r="F86" s="176">
        <v>45867</v>
      </c>
      <c r="G86" s="179">
        <v>43680</v>
      </c>
      <c r="H86" s="37">
        <f t="shared" si="9"/>
        <v>125</v>
      </c>
      <c r="I86" s="37" t="str">
        <f t="shared" si="10"/>
        <v>121-180 DAYS</v>
      </c>
      <c r="J86" s="37" t="str">
        <f t="shared" si="11"/>
        <v>0-180 DAYS</v>
      </c>
      <c r="L86" s="66"/>
      <c r="M86" s="66">
        <v>43680</v>
      </c>
      <c r="O86" t="s">
        <v>4621</v>
      </c>
    </row>
    <row r="87" spans="1:15" x14ac:dyDescent="0.35">
      <c r="A87" s="2" t="s">
        <v>1085</v>
      </c>
      <c r="B87" s="2" t="s">
        <v>790</v>
      </c>
      <c r="C87" s="18" t="s">
        <v>3796</v>
      </c>
      <c r="D87" s="37" t="s">
        <v>507</v>
      </c>
      <c r="E87" s="18" t="s">
        <v>3955</v>
      </c>
      <c r="F87" s="176">
        <v>45839</v>
      </c>
      <c r="G87" s="179">
        <v>3757622.4</v>
      </c>
      <c r="H87" s="37">
        <f t="shared" si="9"/>
        <v>153</v>
      </c>
      <c r="I87" s="37" t="str">
        <f t="shared" ref="I87:I150" si="12">IF(H87&lt;121,"0-120 DAYS",IF(H87&lt;181,"121-180 DAYS","More than 180 Days"))</f>
        <v>121-180 DAYS</v>
      </c>
      <c r="J87" s="37" t="str">
        <f t="shared" si="11"/>
        <v>0-180 DAYS</v>
      </c>
      <c r="L87" s="66"/>
      <c r="M87" s="66">
        <v>3757622.4</v>
      </c>
      <c r="O87" t="s">
        <v>4622</v>
      </c>
    </row>
    <row r="88" spans="1:15" x14ac:dyDescent="0.35">
      <c r="A88" s="2" t="s">
        <v>1085</v>
      </c>
      <c r="B88" s="2" t="s">
        <v>790</v>
      </c>
      <c r="C88" s="18" t="s">
        <v>814</v>
      </c>
      <c r="D88" s="37" t="s">
        <v>507</v>
      </c>
      <c r="E88" s="18" t="s">
        <v>3960</v>
      </c>
      <c r="F88" s="176">
        <v>45845</v>
      </c>
      <c r="G88" s="179">
        <v>157842</v>
      </c>
      <c r="H88" s="37">
        <f t="shared" si="9"/>
        <v>147</v>
      </c>
      <c r="I88" s="37" t="str">
        <f t="shared" si="12"/>
        <v>121-180 DAYS</v>
      </c>
      <c r="J88" s="37" t="str">
        <f t="shared" si="11"/>
        <v>0-180 DAYS</v>
      </c>
      <c r="L88" s="66"/>
      <c r="M88" s="66">
        <v>157842</v>
      </c>
      <c r="O88" t="s">
        <v>4623</v>
      </c>
    </row>
    <row r="89" spans="1:15" x14ac:dyDescent="0.35">
      <c r="A89" s="2" t="s">
        <v>1085</v>
      </c>
      <c r="B89" s="2" t="s">
        <v>790</v>
      </c>
      <c r="C89" s="18" t="s">
        <v>1086</v>
      </c>
      <c r="D89" s="37" t="s">
        <v>507</v>
      </c>
      <c r="E89" s="18" t="s">
        <v>3964</v>
      </c>
      <c r="F89" s="176">
        <v>45849</v>
      </c>
      <c r="G89" s="179">
        <v>2925390</v>
      </c>
      <c r="H89" s="37">
        <f t="shared" si="9"/>
        <v>143</v>
      </c>
      <c r="I89" s="37" t="str">
        <f t="shared" si="12"/>
        <v>121-180 DAYS</v>
      </c>
      <c r="J89" s="37" t="str">
        <f t="shared" si="11"/>
        <v>0-180 DAYS</v>
      </c>
      <c r="L89" s="66"/>
      <c r="M89" s="66">
        <v>2925390</v>
      </c>
      <c r="O89" t="s">
        <v>4624</v>
      </c>
    </row>
    <row r="90" spans="1:15" x14ac:dyDescent="0.35">
      <c r="A90" s="2" t="s">
        <v>1085</v>
      </c>
      <c r="B90" s="2" t="s">
        <v>790</v>
      </c>
      <c r="C90" s="18" t="s">
        <v>814</v>
      </c>
      <c r="D90" s="37" t="s">
        <v>507</v>
      </c>
      <c r="E90" s="18" t="s">
        <v>3965</v>
      </c>
      <c r="F90" s="176">
        <v>45850</v>
      </c>
      <c r="G90" s="179">
        <v>1709</v>
      </c>
      <c r="H90" s="37">
        <f t="shared" si="9"/>
        <v>142</v>
      </c>
      <c r="I90" s="37" t="str">
        <f t="shared" si="12"/>
        <v>121-180 DAYS</v>
      </c>
      <c r="J90" s="37" t="str">
        <f t="shared" si="11"/>
        <v>0-180 DAYS</v>
      </c>
      <c r="L90" s="66"/>
      <c r="M90" s="66">
        <v>1709</v>
      </c>
      <c r="O90" t="s">
        <v>4625</v>
      </c>
    </row>
    <row r="91" spans="1:15" x14ac:dyDescent="0.35">
      <c r="A91" s="2" t="s">
        <v>1085</v>
      </c>
      <c r="B91" s="2" t="s">
        <v>790</v>
      </c>
      <c r="C91" s="18" t="s">
        <v>3796</v>
      </c>
      <c r="D91" s="37" t="s">
        <v>507</v>
      </c>
      <c r="E91" s="18" t="s">
        <v>3967</v>
      </c>
      <c r="F91" s="176">
        <v>45852</v>
      </c>
      <c r="G91" s="179">
        <v>3669096.83</v>
      </c>
      <c r="H91" s="37">
        <f t="shared" si="9"/>
        <v>140</v>
      </c>
      <c r="I91" s="37" t="str">
        <f t="shared" si="12"/>
        <v>121-180 DAYS</v>
      </c>
      <c r="J91" s="37" t="str">
        <f t="shared" si="11"/>
        <v>0-180 DAYS</v>
      </c>
      <c r="L91" s="66"/>
      <c r="M91" s="66">
        <v>3669096.83</v>
      </c>
      <c r="O91" t="s">
        <v>4626</v>
      </c>
    </row>
    <row r="92" spans="1:15" x14ac:dyDescent="0.35">
      <c r="A92" s="2" t="s">
        <v>1085</v>
      </c>
      <c r="B92" s="2" t="s">
        <v>790</v>
      </c>
      <c r="C92" s="18" t="s">
        <v>814</v>
      </c>
      <c r="D92" s="37" t="s">
        <v>507</v>
      </c>
      <c r="E92" s="18" t="s">
        <v>3971</v>
      </c>
      <c r="F92" s="176">
        <v>45856</v>
      </c>
      <c r="G92" s="179">
        <v>15909</v>
      </c>
      <c r="H92" s="37">
        <f t="shared" si="9"/>
        <v>136</v>
      </c>
      <c r="I92" s="37" t="str">
        <f t="shared" si="12"/>
        <v>121-180 DAYS</v>
      </c>
      <c r="J92" s="37" t="str">
        <f t="shared" si="11"/>
        <v>0-180 DAYS</v>
      </c>
      <c r="L92" s="66"/>
      <c r="M92" s="66">
        <v>15909</v>
      </c>
      <c r="O92" t="s">
        <v>4627</v>
      </c>
    </row>
    <row r="93" spans="1:15" x14ac:dyDescent="0.35">
      <c r="A93" s="2" t="s">
        <v>1085</v>
      </c>
      <c r="B93" s="2" t="s">
        <v>790</v>
      </c>
      <c r="C93" s="18" t="s">
        <v>814</v>
      </c>
      <c r="D93" s="37" t="s">
        <v>507</v>
      </c>
      <c r="E93" s="18" t="s">
        <v>3973</v>
      </c>
      <c r="F93" s="176">
        <v>45857</v>
      </c>
      <c r="G93" s="179">
        <v>804</v>
      </c>
      <c r="H93" s="37">
        <f t="shared" si="9"/>
        <v>135</v>
      </c>
      <c r="I93" s="37" t="str">
        <f t="shared" si="12"/>
        <v>121-180 DAYS</v>
      </c>
      <c r="J93" s="37" t="str">
        <f t="shared" si="11"/>
        <v>0-180 DAYS</v>
      </c>
      <c r="L93" s="66"/>
      <c r="M93" s="66">
        <v>804</v>
      </c>
      <c r="O93" t="s">
        <v>4628</v>
      </c>
    </row>
    <row r="94" spans="1:15" x14ac:dyDescent="0.35">
      <c r="A94" s="2" t="s">
        <v>1085</v>
      </c>
      <c r="B94" s="2" t="s">
        <v>790</v>
      </c>
      <c r="C94" s="18" t="s">
        <v>814</v>
      </c>
      <c r="D94" s="37" t="s">
        <v>507</v>
      </c>
      <c r="E94" s="18" t="s">
        <v>3974</v>
      </c>
      <c r="F94" s="176">
        <v>45859</v>
      </c>
      <c r="G94" s="179">
        <v>313686</v>
      </c>
      <c r="H94" s="37">
        <f t="shared" si="9"/>
        <v>133</v>
      </c>
      <c r="I94" s="37" t="str">
        <f t="shared" si="12"/>
        <v>121-180 DAYS</v>
      </c>
      <c r="J94" s="37" t="str">
        <f t="shared" si="11"/>
        <v>0-180 DAYS</v>
      </c>
      <c r="L94" s="66"/>
      <c r="M94" s="66">
        <v>313686</v>
      </c>
      <c r="O94" t="s">
        <v>4629</v>
      </c>
    </row>
    <row r="95" spans="1:15" x14ac:dyDescent="0.35">
      <c r="A95" s="2" t="s">
        <v>1085</v>
      </c>
      <c r="B95" s="2" t="s">
        <v>790</v>
      </c>
      <c r="C95" s="18" t="s">
        <v>814</v>
      </c>
      <c r="D95" s="37" t="s">
        <v>507</v>
      </c>
      <c r="E95" s="18" t="s">
        <v>3976</v>
      </c>
      <c r="F95" s="176">
        <v>45861</v>
      </c>
      <c r="G95" s="179">
        <v>32567</v>
      </c>
      <c r="H95" s="37">
        <f t="shared" si="9"/>
        <v>131</v>
      </c>
      <c r="I95" s="37" t="str">
        <f t="shared" si="12"/>
        <v>121-180 DAYS</v>
      </c>
      <c r="J95" s="37" t="str">
        <f t="shared" si="11"/>
        <v>0-180 DAYS</v>
      </c>
      <c r="L95" s="66"/>
      <c r="M95" s="66">
        <v>32567</v>
      </c>
      <c r="O95" t="s">
        <v>4630</v>
      </c>
    </row>
    <row r="96" spans="1:15" x14ac:dyDescent="0.35">
      <c r="A96" s="2" t="s">
        <v>1085</v>
      </c>
      <c r="B96" s="2" t="s">
        <v>790</v>
      </c>
      <c r="C96" s="18" t="s">
        <v>814</v>
      </c>
      <c r="D96" s="37" t="s">
        <v>507</v>
      </c>
      <c r="E96" s="18" t="s">
        <v>3977</v>
      </c>
      <c r="F96" s="176">
        <v>45862</v>
      </c>
      <c r="G96" s="179">
        <v>18555.5</v>
      </c>
      <c r="H96" s="37">
        <f t="shared" si="9"/>
        <v>130</v>
      </c>
      <c r="I96" s="37" t="str">
        <f t="shared" si="12"/>
        <v>121-180 DAYS</v>
      </c>
      <c r="J96" s="37" t="str">
        <f t="shared" si="11"/>
        <v>0-180 DAYS</v>
      </c>
      <c r="L96" s="66"/>
      <c r="M96" s="66">
        <v>18555.5</v>
      </c>
      <c r="O96" t="s">
        <v>4631</v>
      </c>
    </row>
    <row r="97" spans="1:15" x14ac:dyDescent="0.35">
      <c r="A97" s="2" t="s">
        <v>1085</v>
      </c>
      <c r="B97" s="2" t="s">
        <v>790</v>
      </c>
      <c r="C97" s="18" t="s">
        <v>3796</v>
      </c>
      <c r="D97" s="37" t="s">
        <v>507</v>
      </c>
      <c r="E97" s="18" t="s">
        <v>3978</v>
      </c>
      <c r="F97" s="176">
        <v>45862</v>
      </c>
      <c r="G97" s="179">
        <v>3713130.4</v>
      </c>
      <c r="H97" s="37">
        <f t="shared" si="9"/>
        <v>130</v>
      </c>
      <c r="I97" s="37" t="str">
        <f t="shared" si="12"/>
        <v>121-180 DAYS</v>
      </c>
      <c r="J97" s="37" t="str">
        <f t="shared" si="11"/>
        <v>0-180 DAYS</v>
      </c>
      <c r="L97" s="66"/>
      <c r="M97" s="66">
        <v>3713130.4</v>
      </c>
      <c r="O97" t="s">
        <v>4631</v>
      </c>
    </row>
    <row r="98" spans="1:15" x14ac:dyDescent="0.35">
      <c r="A98" s="2" t="s">
        <v>1085</v>
      </c>
      <c r="B98" s="2" t="s">
        <v>790</v>
      </c>
      <c r="C98" s="18" t="s">
        <v>814</v>
      </c>
      <c r="D98" s="37" t="s">
        <v>507</v>
      </c>
      <c r="E98" s="18" t="s">
        <v>3980</v>
      </c>
      <c r="F98" s="176">
        <v>45863</v>
      </c>
      <c r="G98" s="179">
        <v>273326</v>
      </c>
      <c r="H98" s="37">
        <f t="shared" si="9"/>
        <v>129</v>
      </c>
      <c r="I98" s="37" t="str">
        <f t="shared" si="12"/>
        <v>121-180 DAYS</v>
      </c>
      <c r="J98" s="37" t="str">
        <f t="shared" si="11"/>
        <v>0-180 DAYS</v>
      </c>
      <c r="L98" s="66"/>
      <c r="M98" s="66">
        <v>273326</v>
      </c>
      <c r="O98" t="s">
        <v>4632</v>
      </c>
    </row>
    <row r="99" spans="1:15" x14ac:dyDescent="0.35">
      <c r="A99" s="2" t="s">
        <v>1085</v>
      </c>
      <c r="B99" s="2" t="s">
        <v>790</v>
      </c>
      <c r="C99" s="18" t="s">
        <v>1086</v>
      </c>
      <c r="D99" s="37" t="s">
        <v>507</v>
      </c>
      <c r="E99" s="18" t="s">
        <v>3986</v>
      </c>
      <c r="F99" s="176">
        <v>45839</v>
      </c>
      <c r="G99" s="179">
        <v>3204931.11</v>
      </c>
      <c r="H99" s="37">
        <f t="shared" si="9"/>
        <v>153</v>
      </c>
      <c r="I99" s="37" t="str">
        <f t="shared" si="12"/>
        <v>121-180 DAYS</v>
      </c>
      <c r="J99" s="37" t="str">
        <f t="shared" si="11"/>
        <v>0-180 DAYS</v>
      </c>
      <c r="L99" s="66"/>
      <c r="M99" s="66">
        <v>3204931.11</v>
      </c>
      <c r="O99" t="s">
        <v>4622</v>
      </c>
    </row>
    <row r="100" spans="1:15" x14ac:dyDescent="0.35">
      <c r="A100" s="2" t="s">
        <v>1085</v>
      </c>
      <c r="B100" s="2" t="s">
        <v>790</v>
      </c>
      <c r="C100" s="18" t="s">
        <v>1086</v>
      </c>
      <c r="D100" s="37" t="s">
        <v>507</v>
      </c>
      <c r="E100" s="18" t="s">
        <v>3987</v>
      </c>
      <c r="F100" s="176">
        <v>45840</v>
      </c>
      <c r="G100" s="179">
        <v>11781.17</v>
      </c>
      <c r="H100" s="37">
        <f t="shared" si="9"/>
        <v>152</v>
      </c>
      <c r="I100" s="37" t="str">
        <f t="shared" si="12"/>
        <v>121-180 DAYS</v>
      </c>
      <c r="J100" s="37" t="str">
        <f t="shared" si="11"/>
        <v>0-180 DAYS</v>
      </c>
      <c r="L100" s="66"/>
      <c r="M100" s="66">
        <v>11781.17</v>
      </c>
      <c r="O100" t="s">
        <v>4633</v>
      </c>
    </row>
    <row r="101" spans="1:15" x14ac:dyDescent="0.35">
      <c r="A101" s="2" t="s">
        <v>1085</v>
      </c>
      <c r="B101" s="2" t="s">
        <v>790</v>
      </c>
      <c r="C101" s="18" t="s">
        <v>1086</v>
      </c>
      <c r="D101" s="37" t="s">
        <v>507</v>
      </c>
      <c r="E101" s="18" t="s">
        <v>3988</v>
      </c>
      <c r="F101" s="176">
        <v>45840</v>
      </c>
      <c r="G101" s="179">
        <v>188868.25</v>
      </c>
      <c r="H101" s="37">
        <f t="shared" si="9"/>
        <v>152</v>
      </c>
      <c r="I101" s="37" t="str">
        <f t="shared" si="12"/>
        <v>121-180 DAYS</v>
      </c>
      <c r="J101" s="37" t="str">
        <f t="shared" si="11"/>
        <v>0-180 DAYS</v>
      </c>
      <c r="L101" s="66"/>
      <c r="M101" s="66">
        <v>188868.25</v>
      </c>
      <c r="O101" t="s">
        <v>4633</v>
      </c>
    </row>
    <row r="102" spans="1:15" x14ac:dyDescent="0.35">
      <c r="A102" s="2" t="s">
        <v>1085</v>
      </c>
      <c r="B102" s="2" t="s">
        <v>790</v>
      </c>
      <c r="C102" s="18" t="s">
        <v>1086</v>
      </c>
      <c r="D102" s="37" t="s">
        <v>507</v>
      </c>
      <c r="E102" s="18" t="s">
        <v>3989</v>
      </c>
      <c r="F102" s="176">
        <v>45841</v>
      </c>
      <c r="G102" s="179">
        <v>43661.74</v>
      </c>
      <c r="H102" s="37">
        <f t="shared" si="9"/>
        <v>151</v>
      </c>
      <c r="I102" s="37" t="str">
        <f t="shared" si="12"/>
        <v>121-180 DAYS</v>
      </c>
      <c r="J102" s="37" t="str">
        <f t="shared" si="11"/>
        <v>0-180 DAYS</v>
      </c>
      <c r="L102" s="66"/>
      <c r="M102" s="66">
        <v>43661.74</v>
      </c>
      <c r="O102" t="s">
        <v>4634</v>
      </c>
    </row>
    <row r="103" spans="1:15" x14ac:dyDescent="0.35">
      <c r="A103" s="2" t="s">
        <v>1085</v>
      </c>
      <c r="B103" s="2" t="s">
        <v>790</v>
      </c>
      <c r="C103" s="18" t="s">
        <v>1086</v>
      </c>
      <c r="D103" s="37" t="s">
        <v>507</v>
      </c>
      <c r="E103" s="18" t="s">
        <v>3990</v>
      </c>
      <c r="F103" s="176">
        <v>45841</v>
      </c>
      <c r="G103" s="179">
        <v>616704.14</v>
      </c>
      <c r="H103" s="37">
        <f t="shared" si="9"/>
        <v>151</v>
      </c>
      <c r="I103" s="37" t="str">
        <f t="shared" si="12"/>
        <v>121-180 DAYS</v>
      </c>
      <c r="J103" s="37" t="str">
        <f t="shared" si="11"/>
        <v>0-180 DAYS</v>
      </c>
      <c r="L103" s="66"/>
      <c r="M103" s="66">
        <v>616704.14</v>
      </c>
      <c r="O103" t="s">
        <v>4634</v>
      </c>
    </row>
    <row r="104" spans="1:15" x14ac:dyDescent="0.35">
      <c r="A104" s="2" t="s">
        <v>1085</v>
      </c>
      <c r="B104" s="2" t="s">
        <v>790</v>
      </c>
      <c r="C104" s="18" t="s">
        <v>1086</v>
      </c>
      <c r="D104" s="37" t="s">
        <v>507</v>
      </c>
      <c r="E104" s="18" t="s">
        <v>3991</v>
      </c>
      <c r="F104" s="176">
        <v>45841</v>
      </c>
      <c r="G104" s="179">
        <v>945419.06</v>
      </c>
      <c r="H104" s="37">
        <f t="shared" si="9"/>
        <v>151</v>
      </c>
      <c r="I104" s="37" t="str">
        <f t="shared" si="12"/>
        <v>121-180 DAYS</v>
      </c>
      <c r="J104" s="37" t="str">
        <f t="shared" si="11"/>
        <v>0-180 DAYS</v>
      </c>
      <c r="L104" s="66"/>
      <c r="M104" s="66">
        <v>945419.06</v>
      </c>
      <c r="O104" t="s">
        <v>4634</v>
      </c>
    </row>
    <row r="105" spans="1:15" x14ac:dyDescent="0.35">
      <c r="A105" s="2" t="s">
        <v>1085</v>
      </c>
      <c r="B105" s="2" t="s">
        <v>790</v>
      </c>
      <c r="C105" s="18" t="s">
        <v>1086</v>
      </c>
      <c r="D105" s="37" t="s">
        <v>507</v>
      </c>
      <c r="E105" s="18" t="s">
        <v>3992</v>
      </c>
      <c r="F105" s="176">
        <v>45841</v>
      </c>
      <c r="G105" s="179">
        <v>512178.63</v>
      </c>
      <c r="H105" s="37">
        <f t="shared" si="9"/>
        <v>151</v>
      </c>
      <c r="I105" s="37" t="str">
        <f t="shared" si="12"/>
        <v>121-180 DAYS</v>
      </c>
      <c r="J105" s="37" t="str">
        <f t="shared" si="11"/>
        <v>0-180 DAYS</v>
      </c>
      <c r="L105" s="66"/>
      <c r="M105" s="66">
        <v>512178.63</v>
      </c>
      <c r="O105" t="s">
        <v>4634</v>
      </c>
    </row>
    <row r="106" spans="1:15" x14ac:dyDescent="0.35">
      <c r="A106" s="2" t="s">
        <v>1085</v>
      </c>
      <c r="B106" s="2" t="s">
        <v>790</v>
      </c>
      <c r="C106" s="18" t="s">
        <v>650</v>
      </c>
      <c r="D106" s="37" t="s">
        <v>507</v>
      </c>
      <c r="E106" s="18" t="s">
        <v>3993</v>
      </c>
      <c r="F106" s="176">
        <v>45841</v>
      </c>
      <c r="G106" s="179">
        <v>2955960</v>
      </c>
      <c r="H106" s="37">
        <f t="shared" si="9"/>
        <v>151</v>
      </c>
      <c r="I106" s="37" t="str">
        <f t="shared" si="12"/>
        <v>121-180 DAYS</v>
      </c>
      <c r="J106" s="37" t="str">
        <f t="shared" si="11"/>
        <v>0-180 DAYS</v>
      </c>
      <c r="L106" s="66"/>
      <c r="M106" s="66">
        <v>2955960</v>
      </c>
      <c r="O106" t="s">
        <v>4634</v>
      </c>
    </row>
    <row r="107" spans="1:15" x14ac:dyDescent="0.35">
      <c r="A107" s="2" t="s">
        <v>1085</v>
      </c>
      <c r="B107" s="2" t="s">
        <v>790</v>
      </c>
      <c r="C107" s="18" t="s">
        <v>573</v>
      </c>
      <c r="D107" s="37" t="s">
        <v>507</v>
      </c>
      <c r="E107" s="18" t="s">
        <v>3996</v>
      </c>
      <c r="F107" s="176">
        <v>45844</v>
      </c>
      <c r="G107" s="179">
        <f>3671525-3346857</f>
        <v>324668</v>
      </c>
      <c r="H107" s="37">
        <f t="shared" si="9"/>
        <v>148</v>
      </c>
      <c r="I107" s="37" t="str">
        <f t="shared" si="12"/>
        <v>121-180 DAYS</v>
      </c>
      <c r="J107" s="37" t="str">
        <f t="shared" si="11"/>
        <v>0-180 DAYS</v>
      </c>
      <c r="L107" s="66"/>
      <c r="M107" s="66">
        <v>324668</v>
      </c>
      <c r="O107" t="s">
        <v>4635</v>
      </c>
    </row>
    <row r="108" spans="1:15" x14ac:dyDescent="0.35">
      <c r="A108" s="2" t="s">
        <v>1085</v>
      </c>
      <c r="B108" s="2" t="s">
        <v>790</v>
      </c>
      <c r="C108" s="18" t="s">
        <v>1086</v>
      </c>
      <c r="D108" s="37" t="s">
        <v>507</v>
      </c>
      <c r="E108" s="18" t="s">
        <v>3997</v>
      </c>
      <c r="F108" s="176">
        <v>45845</v>
      </c>
      <c r="G108" s="179">
        <v>3315780</v>
      </c>
      <c r="H108" s="37">
        <f t="shared" si="9"/>
        <v>147</v>
      </c>
      <c r="I108" s="37" t="str">
        <f t="shared" si="12"/>
        <v>121-180 DAYS</v>
      </c>
      <c r="J108" s="37" t="str">
        <f t="shared" si="11"/>
        <v>0-180 DAYS</v>
      </c>
      <c r="L108" s="66"/>
      <c r="M108" s="66">
        <v>3315780</v>
      </c>
      <c r="O108" t="s">
        <v>4623</v>
      </c>
    </row>
    <row r="109" spans="1:15" x14ac:dyDescent="0.35">
      <c r="A109" s="2" t="s">
        <v>1085</v>
      </c>
      <c r="B109" s="2" t="s">
        <v>790</v>
      </c>
      <c r="C109" s="18" t="s">
        <v>650</v>
      </c>
      <c r="D109" s="37" t="s">
        <v>507</v>
      </c>
      <c r="E109" s="18" t="s">
        <v>3998</v>
      </c>
      <c r="F109" s="176">
        <v>45846</v>
      </c>
      <c r="G109" s="179">
        <v>4330316.43</v>
      </c>
      <c r="H109" s="37">
        <f t="shared" si="9"/>
        <v>146</v>
      </c>
      <c r="I109" s="37" t="str">
        <f t="shared" si="12"/>
        <v>121-180 DAYS</v>
      </c>
      <c r="J109" s="37" t="str">
        <f t="shared" si="11"/>
        <v>0-180 DAYS</v>
      </c>
      <c r="L109" s="66"/>
      <c r="M109" s="66">
        <v>4330316.43</v>
      </c>
      <c r="O109" t="s">
        <v>4636</v>
      </c>
    </row>
    <row r="110" spans="1:15" x14ac:dyDescent="0.35">
      <c r="A110" s="2" t="s">
        <v>1085</v>
      </c>
      <c r="B110" s="2" t="s">
        <v>790</v>
      </c>
      <c r="C110" s="18" t="s">
        <v>1086</v>
      </c>
      <c r="D110" s="37" t="s">
        <v>507</v>
      </c>
      <c r="E110" s="18" t="s">
        <v>3999</v>
      </c>
      <c r="F110" s="176">
        <v>45848</v>
      </c>
      <c r="G110" s="179">
        <v>1228249.75</v>
      </c>
      <c r="H110" s="37">
        <f t="shared" si="9"/>
        <v>144</v>
      </c>
      <c r="I110" s="37" t="str">
        <f t="shared" si="12"/>
        <v>121-180 DAYS</v>
      </c>
      <c r="J110" s="37" t="str">
        <f t="shared" si="11"/>
        <v>0-180 DAYS</v>
      </c>
      <c r="L110" s="66"/>
      <c r="M110" s="66">
        <v>1228249.75</v>
      </c>
      <c r="O110" t="s">
        <v>4637</v>
      </c>
    </row>
    <row r="111" spans="1:15" x14ac:dyDescent="0.35">
      <c r="A111" s="2" t="s">
        <v>1085</v>
      </c>
      <c r="B111" s="2" t="s">
        <v>790</v>
      </c>
      <c r="C111" s="18" t="s">
        <v>1086</v>
      </c>
      <c r="D111" s="37" t="s">
        <v>507</v>
      </c>
      <c r="E111" s="18" t="s">
        <v>4000</v>
      </c>
      <c r="F111" s="176">
        <v>45848</v>
      </c>
      <c r="G111" s="179">
        <v>2548932.36</v>
      </c>
      <c r="H111" s="37">
        <f t="shared" si="9"/>
        <v>144</v>
      </c>
      <c r="I111" s="37" t="str">
        <f t="shared" si="12"/>
        <v>121-180 DAYS</v>
      </c>
      <c r="J111" s="37" t="str">
        <f t="shared" si="11"/>
        <v>0-180 DAYS</v>
      </c>
      <c r="L111" s="66"/>
      <c r="M111" s="66">
        <v>2548932.36</v>
      </c>
      <c r="O111" t="s">
        <v>4637</v>
      </c>
    </row>
    <row r="112" spans="1:15" x14ac:dyDescent="0.35">
      <c r="A112" s="2" t="s">
        <v>1085</v>
      </c>
      <c r="B112" s="2" t="s">
        <v>790</v>
      </c>
      <c r="C112" s="18" t="s">
        <v>1086</v>
      </c>
      <c r="D112" s="37" t="s">
        <v>507</v>
      </c>
      <c r="E112" s="18" t="s">
        <v>4001</v>
      </c>
      <c r="F112" s="176">
        <v>45849</v>
      </c>
      <c r="G112" s="179">
        <v>1165410.48</v>
      </c>
      <c r="H112" s="37">
        <f t="shared" si="9"/>
        <v>143</v>
      </c>
      <c r="I112" s="37" t="str">
        <f t="shared" si="12"/>
        <v>121-180 DAYS</v>
      </c>
      <c r="J112" s="37" t="str">
        <f t="shared" si="11"/>
        <v>0-180 DAYS</v>
      </c>
      <c r="L112" s="66"/>
      <c r="M112" s="66">
        <v>1165410.48</v>
      </c>
      <c r="O112" t="s">
        <v>4624</v>
      </c>
    </row>
    <row r="113" spans="1:15" x14ac:dyDescent="0.35">
      <c r="A113" s="2" t="s">
        <v>1085</v>
      </c>
      <c r="B113" s="2" t="s">
        <v>790</v>
      </c>
      <c r="C113" s="18" t="s">
        <v>1086</v>
      </c>
      <c r="D113" s="37" t="s">
        <v>507</v>
      </c>
      <c r="E113" s="18" t="s">
        <v>4002</v>
      </c>
      <c r="F113" s="176">
        <v>45849</v>
      </c>
      <c r="G113" s="179">
        <v>955960.33</v>
      </c>
      <c r="H113" s="37">
        <f t="shared" si="9"/>
        <v>143</v>
      </c>
      <c r="I113" s="37" t="str">
        <f t="shared" si="12"/>
        <v>121-180 DAYS</v>
      </c>
      <c r="J113" s="37" t="str">
        <f t="shared" si="11"/>
        <v>0-180 DAYS</v>
      </c>
      <c r="L113" s="66"/>
      <c r="M113" s="66">
        <v>955960.33</v>
      </c>
      <c r="O113" t="s">
        <v>4624</v>
      </c>
    </row>
    <row r="114" spans="1:15" x14ac:dyDescent="0.35">
      <c r="A114" s="2" t="s">
        <v>1085</v>
      </c>
      <c r="B114" s="2" t="s">
        <v>790</v>
      </c>
      <c r="C114" s="18" t="s">
        <v>1086</v>
      </c>
      <c r="D114" s="37" t="s">
        <v>507</v>
      </c>
      <c r="E114" s="18" t="s">
        <v>4003</v>
      </c>
      <c r="F114" s="176">
        <v>45849</v>
      </c>
      <c r="G114" s="179">
        <v>226860.53</v>
      </c>
      <c r="H114" s="37">
        <f t="shared" si="9"/>
        <v>143</v>
      </c>
      <c r="I114" s="37" t="str">
        <f t="shared" si="12"/>
        <v>121-180 DAYS</v>
      </c>
      <c r="J114" s="37" t="str">
        <f t="shared" si="11"/>
        <v>0-180 DAYS</v>
      </c>
      <c r="L114" s="66"/>
      <c r="M114" s="66">
        <v>226860.53</v>
      </c>
      <c r="O114" t="s">
        <v>4624</v>
      </c>
    </row>
    <row r="115" spans="1:15" x14ac:dyDescent="0.35">
      <c r="A115" s="2" t="s">
        <v>1085</v>
      </c>
      <c r="B115" s="2" t="s">
        <v>790</v>
      </c>
      <c r="C115" s="18" t="s">
        <v>1249</v>
      </c>
      <c r="D115" s="37" t="s">
        <v>507</v>
      </c>
      <c r="E115" s="18" t="s">
        <v>4007</v>
      </c>
      <c r="F115" s="176">
        <v>45850</v>
      </c>
      <c r="G115" s="179">
        <f>3498300-7820</f>
        <v>3490480</v>
      </c>
      <c r="H115" s="37">
        <f t="shared" si="9"/>
        <v>142</v>
      </c>
      <c r="I115" s="37" t="str">
        <f t="shared" si="12"/>
        <v>121-180 DAYS</v>
      </c>
      <c r="J115" s="37" t="str">
        <f t="shared" si="11"/>
        <v>0-180 DAYS</v>
      </c>
      <c r="L115" s="66"/>
      <c r="M115" s="66">
        <v>3490480</v>
      </c>
      <c r="O115" t="s">
        <v>4625</v>
      </c>
    </row>
    <row r="116" spans="1:15" x14ac:dyDescent="0.35">
      <c r="A116" s="2" t="s">
        <v>1085</v>
      </c>
      <c r="B116" s="2" t="s">
        <v>790</v>
      </c>
      <c r="C116" s="18" t="s">
        <v>570</v>
      </c>
      <c r="D116" s="37" t="s">
        <v>507</v>
      </c>
      <c r="E116" s="18" t="s">
        <v>4008</v>
      </c>
      <c r="F116" s="176">
        <v>45855</v>
      </c>
      <c r="G116" s="179">
        <f>3204240-14318</f>
        <v>3189922</v>
      </c>
      <c r="H116" s="37">
        <f t="shared" si="9"/>
        <v>137</v>
      </c>
      <c r="I116" s="37" t="str">
        <f t="shared" si="12"/>
        <v>121-180 DAYS</v>
      </c>
      <c r="J116" s="37" t="str">
        <f t="shared" si="11"/>
        <v>0-180 DAYS</v>
      </c>
      <c r="L116" s="66"/>
      <c r="M116" s="66">
        <v>3189922</v>
      </c>
      <c r="O116" t="s">
        <v>4638</v>
      </c>
    </row>
    <row r="117" spans="1:15" x14ac:dyDescent="0.35">
      <c r="A117" s="2" t="s">
        <v>1085</v>
      </c>
      <c r="B117" s="2" t="s">
        <v>790</v>
      </c>
      <c r="C117" s="18" t="s">
        <v>1086</v>
      </c>
      <c r="D117" s="37" t="s">
        <v>507</v>
      </c>
      <c r="E117" s="18" t="s">
        <v>4010</v>
      </c>
      <c r="F117" s="176">
        <v>45856</v>
      </c>
      <c r="G117" s="179">
        <v>3372976.8</v>
      </c>
      <c r="H117" s="37">
        <f t="shared" si="9"/>
        <v>136</v>
      </c>
      <c r="I117" s="37" t="str">
        <f t="shared" si="12"/>
        <v>121-180 DAYS</v>
      </c>
      <c r="J117" s="37" t="str">
        <f t="shared" si="11"/>
        <v>0-180 DAYS</v>
      </c>
      <c r="L117" s="66"/>
      <c r="M117" s="66">
        <v>3372976.8</v>
      </c>
      <c r="O117" t="s">
        <v>4627</v>
      </c>
    </row>
    <row r="118" spans="1:15" x14ac:dyDescent="0.35">
      <c r="A118" s="2" t="s">
        <v>1085</v>
      </c>
      <c r="B118" s="2" t="s">
        <v>790</v>
      </c>
      <c r="C118" s="18" t="s">
        <v>1249</v>
      </c>
      <c r="D118" s="37" t="s">
        <v>507</v>
      </c>
      <c r="E118" s="18" t="s">
        <v>4012</v>
      </c>
      <c r="F118" s="176">
        <v>45857</v>
      </c>
      <c r="G118" s="179">
        <v>3523140</v>
      </c>
      <c r="H118" s="37">
        <f t="shared" si="9"/>
        <v>135</v>
      </c>
      <c r="I118" s="37" t="str">
        <f t="shared" si="12"/>
        <v>121-180 DAYS</v>
      </c>
      <c r="J118" s="37" t="str">
        <f t="shared" si="11"/>
        <v>0-180 DAYS</v>
      </c>
      <c r="L118" s="66"/>
      <c r="M118" s="66">
        <v>3523140</v>
      </c>
      <c r="O118" t="s">
        <v>4628</v>
      </c>
    </row>
    <row r="119" spans="1:15" x14ac:dyDescent="0.35">
      <c r="A119" s="2" t="s">
        <v>1085</v>
      </c>
      <c r="B119" s="2" t="s">
        <v>790</v>
      </c>
      <c r="C119" s="18" t="s">
        <v>1086</v>
      </c>
      <c r="D119" s="37" t="s">
        <v>507</v>
      </c>
      <c r="E119" s="18" t="s">
        <v>4013</v>
      </c>
      <c r="F119" s="176">
        <v>45858</v>
      </c>
      <c r="G119" s="179">
        <v>1039170.57</v>
      </c>
      <c r="H119" s="37">
        <f t="shared" si="9"/>
        <v>134</v>
      </c>
      <c r="I119" s="37" t="str">
        <f t="shared" si="12"/>
        <v>121-180 DAYS</v>
      </c>
      <c r="J119" s="37" t="str">
        <f t="shared" si="11"/>
        <v>0-180 DAYS</v>
      </c>
      <c r="L119" s="66"/>
      <c r="M119" s="66">
        <v>1039170.57</v>
      </c>
      <c r="O119" t="s">
        <v>4639</v>
      </c>
    </row>
    <row r="120" spans="1:15" x14ac:dyDescent="0.35">
      <c r="A120" s="2" t="s">
        <v>1085</v>
      </c>
      <c r="B120" s="2" t="s">
        <v>790</v>
      </c>
      <c r="C120" s="18" t="s">
        <v>1086</v>
      </c>
      <c r="D120" s="37" t="s">
        <v>507</v>
      </c>
      <c r="E120" s="18" t="s">
        <v>4014</v>
      </c>
      <c r="F120" s="176">
        <v>45858</v>
      </c>
      <c r="G120" s="179">
        <v>12576.93</v>
      </c>
      <c r="H120" s="37">
        <f t="shared" si="9"/>
        <v>134</v>
      </c>
      <c r="I120" s="37" t="str">
        <f t="shared" si="12"/>
        <v>121-180 DAYS</v>
      </c>
      <c r="J120" s="37" t="str">
        <f t="shared" si="11"/>
        <v>0-180 DAYS</v>
      </c>
      <c r="L120" s="66"/>
      <c r="M120" s="66">
        <v>12576.93</v>
      </c>
      <c r="O120" t="s">
        <v>4639</v>
      </c>
    </row>
    <row r="121" spans="1:15" x14ac:dyDescent="0.35">
      <c r="A121" s="2" t="s">
        <v>1085</v>
      </c>
      <c r="B121" s="2" t="s">
        <v>790</v>
      </c>
      <c r="C121" s="18" t="s">
        <v>1086</v>
      </c>
      <c r="D121" s="37" t="s">
        <v>507</v>
      </c>
      <c r="E121" s="18" t="s">
        <v>4015</v>
      </c>
      <c r="F121" s="176">
        <v>45858</v>
      </c>
      <c r="G121" s="179">
        <v>1648337.64</v>
      </c>
      <c r="H121" s="37">
        <f t="shared" si="9"/>
        <v>134</v>
      </c>
      <c r="I121" s="37" t="str">
        <f t="shared" si="12"/>
        <v>121-180 DAYS</v>
      </c>
      <c r="J121" s="37" t="str">
        <f t="shared" si="11"/>
        <v>0-180 DAYS</v>
      </c>
      <c r="L121" s="66"/>
      <c r="M121" s="66">
        <v>1648337.64</v>
      </c>
      <c r="O121" t="s">
        <v>4639</v>
      </c>
    </row>
    <row r="122" spans="1:15" x14ac:dyDescent="0.35">
      <c r="A122" s="2" t="s">
        <v>1085</v>
      </c>
      <c r="B122" s="2" t="s">
        <v>790</v>
      </c>
      <c r="C122" s="18" t="s">
        <v>1249</v>
      </c>
      <c r="D122" s="37" t="s">
        <v>507</v>
      </c>
      <c r="E122" s="18" t="s">
        <v>4016</v>
      </c>
      <c r="F122" s="176">
        <v>45859</v>
      </c>
      <c r="G122" s="179">
        <v>3506120</v>
      </c>
      <c r="H122" s="37">
        <f t="shared" si="9"/>
        <v>133</v>
      </c>
      <c r="I122" s="37" t="str">
        <f t="shared" si="12"/>
        <v>121-180 DAYS</v>
      </c>
      <c r="J122" s="37" t="str">
        <f t="shared" si="11"/>
        <v>0-180 DAYS</v>
      </c>
      <c r="L122" s="66"/>
      <c r="M122" s="66">
        <v>3506120</v>
      </c>
      <c r="O122" t="s">
        <v>4629</v>
      </c>
    </row>
    <row r="123" spans="1:15" x14ac:dyDescent="0.35">
      <c r="A123" s="2" t="s">
        <v>1085</v>
      </c>
      <c r="B123" s="2" t="s">
        <v>790</v>
      </c>
      <c r="C123" s="18" t="s">
        <v>2559</v>
      </c>
      <c r="D123" s="37" t="s">
        <v>507</v>
      </c>
      <c r="E123" s="18" t="s">
        <v>4017</v>
      </c>
      <c r="F123" s="176">
        <v>45859</v>
      </c>
      <c r="G123" s="179">
        <f>3528654.48-2500000</f>
        <v>1028654.48</v>
      </c>
      <c r="H123" s="37">
        <f t="shared" si="9"/>
        <v>133</v>
      </c>
      <c r="I123" s="37" t="str">
        <f t="shared" si="12"/>
        <v>121-180 DAYS</v>
      </c>
      <c r="J123" s="37" t="str">
        <f t="shared" si="11"/>
        <v>0-180 DAYS</v>
      </c>
      <c r="L123" s="66"/>
      <c r="M123" s="66">
        <v>1028654.48</v>
      </c>
      <c r="O123" t="s">
        <v>4629</v>
      </c>
    </row>
    <row r="124" spans="1:15" x14ac:dyDescent="0.35">
      <c r="A124" s="2" t="s">
        <v>1085</v>
      </c>
      <c r="B124" s="2" t="s">
        <v>790</v>
      </c>
      <c r="C124" s="18" t="s">
        <v>650</v>
      </c>
      <c r="D124" s="37" t="s">
        <v>507</v>
      </c>
      <c r="E124" s="18" t="s">
        <v>1813</v>
      </c>
      <c r="F124" s="176">
        <v>45860</v>
      </c>
      <c r="G124" s="179">
        <v>3591689.2</v>
      </c>
      <c r="H124" s="37">
        <f t="shared" si="9"/>
        <v>132</v>
      </c>
      <c r="I124" s="37" t="str">
        <f t="shared" si="12"/>
        <v>121-180 DAYS</v>
      </c>
      <c r="J124" s="37" t="str">
        <f t="shared" si="11"/>
        <v>0-180 DAYS</v>
      </c>
      <c r="L124" s="66"/>
      <c r="M124" s="66">
        <v>3591689.2</v>
      </c>
      <c r="O124" t="s">
        <v>4640</v>
      </c>
    </row>
    <row r="125" spans="1:15" x14ac:dyDescent="0.35">
      <c r="A125" s="2" t="s">
        <v>1085</v>
      </c>
      <c r="B125" s="2" t="s">
        <v>790</v>
      </c>
      <c r="C125" s="18" t="s">
        <v>1086</v>
      </c>
      <c r="D125" s="37" t="s">
        <v>507</v>
      </c>
      <c r="E125" s="18" t="s">
        <v>4018</v>
      </c>
      <c r="F125" s="176">
        <v>45862</v>
      </c>
      <c r="G125" s="179">
        <v>402974.03</v>
      </c>
      <c r="H125" s="37">
        <f t="shared" si="9"/>
        <v>130</v>
      </c>
      <c r="I125" s="37" t="str">
        <f t="shared" si="12"/>
        <v>121-180 DAYS</v>
      </c>
      <c r="J125" s="37" t="str">
        <f t="shared" si="11"/>
        <v>0-180 DAYS</v>
      </c>
      <c r="L125" s="66"/>
      <c r="M125" s="66">
        <v>402974.03</v>
      </c>
      <c r="O125" t="s">
        <v>4631</v>
      </c>
    </row>
    <row r="126" spans="1:15" x14ac:dyDescent="0.35">
      <c r="A126" s="2" t="s">
        <v>1085</v>
      </c>
      <c r="B126" s="2" t="s">
        <v>790</v>
      </c>
      <c r="C126" s="18" t="s">
        <v>1086</v>
      </c>
      <c r="D126" s="37" t="s">
        <v>507</v>
      </c>
      <c r="E126" s="18" t="s">
        <v>4019</v>
      </c>
      <c r="F126" s="176">
        <v>45862</v>
      </c>
      <c r="G126" s="179">
        <v>1446140.89</v>
      </c>
      <c r="H126" s="37">
        <f t="shared" si="9"/>
        <v>130</v>
      </c>
      <c r="I126" s="37" t="str">
        <f t="shared" si="12"/>
        <v>121-180 DAYS</v>
      </c>
      <c r="J126" s="37" t="str">
        <f t="shared" si="11"/>
        <v>0-180 DAYS</v>
      </c>
      <c r="L126" s="66"/>
      <c r="M126" s="66">
        <v>1446140.89</v>
      </c>
      <c r="O126" t="s">
        <v>4631</v>
      </c>
    </row>
    <row r="127" spans="1:15" x14ac:dyDescent="0.35">
      <c r="A127" s="2" t="s">
        <v>1085</v>
      </c>
      <c r="B127" s="2" t="s">
        <v>790</v>
      </c>
      <c r="C127" s="18" t="s">
        <v>1086</v>
      </c>
      <c r="D127" s="37" t="s">
        <v>507</v>
      </c>
      <c r="E127" s="18" t="s">
        <v>4020</v>
      </c>
      <c r="F127" s="176">
        <v>45862</v>
      </c>
      <c r="G127" s="179">
        <v>12291.85</v>
      </c>
      <c r="H127" s="37">
        <f t="shared" si="9"/>
        <v>130</v>
      </c>
      <c r="I127" s="37" t="str">
        <f t="shared" si="12"/>
        <v>121-180 DAYS</v>
      </c>
      <c r="J127" s="37" t="str">
        <f t="shared" si="11"/>
        <v>0-180 DAYS</v>
      </c>
      <c r="L127" s="66"/>
      <c r="M127" s="66">
        <v>12291.85</v>
      </c>
      <c r="O127" t="s">
        <v>4631</v>
      </c>
    </row>
    <row r="128" spans="1:15" x14ac:dyDescent="0.35">
      <c r="A128" s="2" t="s">
        <v>1085</v>
      </c>
      <c r="B128" s="2" t="s">
        <v>790</v>
      </c>
      <c r="C128" s="18" t="s">
        <v>1086</v>
      </c>
      <c r="D128" s="37" t="s">
        <v>507</v>
      </c>
      <c r="E128" s="18" t="s">
        <v>4021</v>
      </c>
      <c r="F128" s="176">
        <v>45862</v>
      </c>
      <c r="G128" s="179">
        <v>1078957.3700000001</v>
      </c>
      <c r="H128" s="37">
        <f t="shared" si="9"/>
        <v>130</v>
      </c>
      <c r="I128" s="37" t="str">
        <f t="shared" si="12"/>
        <v>121-180 DAYS</v>
      </c>
      <c r="J128" s="37" t="str">
        <f t="shared" si="11"/>
        <v>0-180 DAYS</v>
      </c>
      <c r="L128" s="66"/>
      <c r="M128" s="66">
        <v>1078957.3700000001</v>
      </c>
      <c r="O128" t="s">
        <v>4631</v>
      </c>
    </row>
    <row r="129" spans="1:15" x14ac:dyDescent="0.35">
      <c r="A129" s="2" t="s">
        <v>1085</v>
      </c>
      <c r="B129" s="2" t="s">
        <v>790</v>
      </c>
      <c r="C129" s="18" t="s">
        <v>1086</v>
      </c>
      <c r="D129" s="37" t="s">
        <v>507</v>
      </c>
      <c r="E129" s="18" t="s">
        <v>4023</v>
      </c>
      <c r="F129" s="176">
        <v>45863</v>
      </c>
      <c r="G129" s="179">
        <v>3561752.42</v>
      </c>
      <c r="H129" s="37">
        <f t="shared" si="9"/>
        <v>129</v>
      </c>
      <c r="I129" s="37" t="str">
        <f t="shared" si="12"/>
        <v>121-180 DAYS</v>
      </c>
      <c r="J129" s="37" t="str">
        <f t="shared" si="11"/>
        <v>0-180 DAYS</v>
      </c>
      <c r="L129" s="66"/>
      <c r="M129" s="66">
        <v>3561752.42</v>
      </c>
      <c r="O129" t="s">
        <v>4632</v>
      </c>
    </row>
    <row r="130" spans="1:15" x14ac:dyDescent="0.35">
      <c r="A130" s="2" t="s">
        <v>1085</v>
      </c>
      <c r="B130" s="2" t="s">
        <v>790</v>
      </c>
      <c r="C130" s="18" t="s">
        <v>650</v>
      </c>
      <c r="D130" s="37" t="s">
        <v>507</v>
      </c>
      <c r="E130" s="18" t="s">
        <v>4025</v>
      </c>
      <c r="F130" s="176">
        <v>45863</v>
      </c>
      <c r="G130" s="179">
        <v>3362252.16</v>
      </c>
      <c r="H130" s="37">
        <f t="shared" si="9"/>
        <v>129</v>
      </c>
      <c r="I130" s="37" t="str">
        <f t="shared" si="12"/>
        <v>121-180 DAYS</v>
      </c>
      <c r="J130" s="37" t="str">
        <f t="shared" si="11"/>
        <v>0-180 DAYS</v>
      </c>
      <c r="L130" s="66"/>
      <c r="M130" s="66">
        <v>3362252.16</v>
      </c>
      <c r="O130" t="s">
        <v>4632</v>
      </c>
    </row>
    <row r="131" spans="1:15" x14ac:dyDescent="0.35">
      <c r="A131" s="2" t="s">
        <v>1085</v>
      </c>
      <c r="B131" s="2" t="s">
        <v>790</v>
      </c>
      <c r="C131" s="18" t="s">
        <v>1249</v>
      </c>
      <c r="D131" s="37" t="s">
        <v>507</v>
      </c>
      <c r="E131" s="18" t="s">
        <v>4027</v>
      </c>
      <c r="F131" s="176">
        <v>45865</v>
      </c>
      <c r="G131" s="179">
        <v>3523140</v>
      </c>
      <c r="H131" s="37">
        <f t="shared" si="9"/>
        <v>127</v>
      </c>
      <c r="I131" s="37" t="str">
        <f t="shared" si="12"/>
        <v>121-180 DAYS</v>
      </c>
      <c r="J131" s="37" t="str">
        <f t="shared" si="11"/>
        <v>0-180 DAYS</v>
      </c>
      <c r="L131" s="66"/>
      <c r="M131" s="66">
        <v>3523140</v>
      </c>
      <c r="O131" t="s">
        <v>4641</v>
      </c>
    </row>
    <row r="132" spans="1:15" x14ac:dyDescent="0.35">
      <c r="A132" s="2" t="s">
        <v>1085</v>
      </c>
      <c r="B132" s="2" t="s">
        <v>790</v>
      </c>
      <c r="C132" s="18" t="s">
        <v>1086</v>
      </c>
      <c r="D132" s="37" t="s">
        <v>507</v>
      </c>
      <c r="E132" s="18" t="s">
        <v>4028</v>
      </c>
      <c r="F132" s="176">
        <v>45867</v>
      </c>
      <c r="G132" s="179">
        <v>1543634.86</v>
      </c>
      <c r="H132" s="37">
        <f t="shared" si="9"/>
        <v>125</v>
      </c>
      <c r="I132" s="37" t="str">
        <f t="shared" si="12"/>
        <v>121-180 DAYS</v>
      </c>
      <c r="J132" s="37" t="str">
        <f t="shared" si="11"/>
        <v>0-180 DAYS</v>
      </c>
      <c r="L132" s="66"/>
      <c r="M132" s="66">
        <v>1543634.86</v>
      </c>
      <c r="O132" t="s">
        <v>4621</v>
      </c>
    </row>
    <row r="133" spans="1:15" x14ac:dyDescent="0.35">
      <c r="A133" s="2" t="s">
        <v>1085</v>
      </c>
      <c r="B133" s="2" t="s">
        <v>790</v>
      </c>
      <c r="C133" s="18" t="s">
        <v>1086</v>
      </c>
      <c r="D133" s="37" t="s">
        <v>507</v>
      </c>
      <c r="E133" s="18" t="s">
        <v>4029</v>
      </c>
      <c r="F133" s="176">
        <v>45867</v>
      </c>
      <c r="G133" s="179">
        <v>1679508.92</v>
      </c>
      <c r="H133" s="37">
        <f t="shared" si="9"/>
        <v>125</v>
      </c>
      <c r="I133" s="37" t="str">
        <f t="shared" si="12"/>
        <v>121-180 DAYS</v>
      </c>
      <c r="J133" s="37" t="str">
        <f t="shared" si="11"/>
        <v>0-180 DAYS</v>
      </c>
      <c r="L133" s="66"/>
      <c r="M133" s="66">
        <v>1679508.92</v>
      </c>
      <c r="O133" t="s">
        <v>4621</v>
      </c>
    </row>
    <row r="134" spans="1:15" x14ac:dyDescent="0.35">
      <c r="A134" s="2" t="s">
        <v>1209</v>
      </c>
      <c r="B134" s="2" t="s">
        <v>789</v>
      </c>
      <c r="C134" s="18" t="s">
        <v>506</v>
      </c>
      <c r="D134" s="37" t="s">
        <v>507</v>
      </c>
      <c r="E134" s="18" t="s">
        <v>4031</v>
      </c>
      <c r="F134" s="176">
        <v>45868</v>
      </c>
      <c r="G134" s="179">
        <v>3020702.8</v>
      </c>
      <c r="H134" s="37">
        <f t="shared" si="9"/>
        <v>124</v>
      </c>
      <c r="I134" s="37" t="str">
        <f t="shared" si="12"/>
        <v>121-180 DAYS</v>
      </c>
      <c r="J134" s="37" t="str">
        <f t="shared" si="11"/>
        <v>0-180 DAYS</v>
      </c>
      <c r="L134" s="66"/>
      <c r="M134" s="66">
        <v>3020702.8</v>
      </c>
      <c r="O134" t="s">
        <v>4642</v>
      </c>
    </row>
    <row r="135" spans="1:15" x14ac:dyDescent="0.35">
      <c r="A135" s="2" t="s">
        <v>1085</v>
      </c>
      <c r="B135" s="2" t="s">
        <v>790</v>
      </c>
      <c r="C135" s="18" t="s">
        <v>2064</v>
      </c>
      <c r="D135" s="37" t="s">
        <v>507</v>
      </c>
      <c r="E135" s="18" t="s">
        <v>4077</v>
      </c>
      <c r="F135" s="176">
        <v>45872</v>
      </c>
      <c r="G135" s="179">
        <v>2120821.5</v>
      </c>
      <c r="H135" s="37">
        <f t="shared" si="9"/>
        <v>120</v>
      </c>
      <c r="I135" s="37" t="str">
        <f t="shared" si="12"/>
        <v>0-120 DAYS</v>
      </c>
      <c r="J135" s="37" t="str">
        <f t="shared" si="11"/>
        <v>0-180 DAYS</v>
      </c>
      <c r="K135" t="s">
        <v>1730</v>
      </c>
      <c r="L135" s="66"/>
      <c r="M135" s="66">
        <v>2120821.5</v>
      </c>
      <c r="O135" t="s">
        <v>4643</v>
      </c>
    </row>
    <row r="136" spans="1:15" x14ac:dyDescent="0.35">
      <c r="A136" s="2" t="s">
        <v>1085</v>
      </c>
      <c r="B136" s="2" t="s">
        <v>790</v>
      </c>
      <c r="C136" s="18" t="s">
        <v>1086</v>
      </c>
      <c r="D136" s="37" t="s">
        <v>507</v>
      </c>
      <c r="E136" s="18" t="s">
        <v>4079</v>
      </c>
      <c r="F136" s="176">
        <v>45874</v>
      </c>
      <c r="G136" s="179">
        <v>1511054.32</v>
      </c>
      <c r="H136" s="37">
        <f t="shared" si="9"/>
        <v>118</v>
      </c>
      <c r="I136" s="37" t="str">
        <f t="shared" si="12"/>
        <v>0-120 DAYS</v>
      </c>
      <c r="J136" s="37" t="str">
        <f t="shared" si="11"/>
        <v>0-180 DAYS</v>
      </c>
      <c r="K136" t="s">
        <v>1730</v>
      </c>
      <c r="L136" s="66"/>
      <c r="M136" s="66">
        <v>1511054.32</v>
      </c>
      <c r="O136" t="s">
        <v>4644</v>
      </c>
    </row>
    <row r="137" spans="1:15" x14ac:dyDescent="0.35">
      <c r="A137" s="2" t="s">
        <v>1085</v>
      </c>
      <c r="B137" s="2" t="s">
        <v>790</v>
      </c>
      <c r="C137" s="18" t="s">
        <v>1086</v>
      </c>
      <c r="D137" s="37" t="s">
        <v>507</v>
      </c>
      <c r="E137" s="18" t="s">
        <v>4080</v>
      </c>
      <c r="F137" s="176">
        <v>45874</v>
      </c>
      <c r="G137" s="179">
        <v>321973.3</v>
      </c>
      <c r="H137" s="37">
        <f t="shared" si="9"/>
        <v>118</v>
      </c>
      <c r="I137" s="37" t="str">
        <f t="shared" si="12"/>
        <v>0-120 DAYS</v>
      </c>
      <c r="J137" s="37" t="str">
        <f t="shared" si="11"/>
        <v>0-180 DAYS</v>
      </c>
      <c r="K137" t="s">
        <v>1730</v>
      </c>
      <c r="L137" s="66"/>
      <c r="M137" s="66">
        <v>321973.3</v>
      </c>
      <c r="O137" t="s">
        <v>4644</v>
      </c>
    </row>
    <row r="138" spans="1:15" x14ac:dyDescent="0.35">
      <c r="A138" s="2" t="s">
        <v>1085</v>
      </c>
      <c r="B138" s="2" t="s">
        <v>790</v>
      </c>
      <c r="C138" s="18" t="s">
        <v>1086</v>
      </c>
      <c r="D138" s="37" t="s">
        <v>507</v>
      </c>
      <c r="E138" s="18" t="s">
        <v>4081</v>
      </c>
      <c r="F138" s="176">
        <v>45874</v>
      </c>
      <c r="G138" s="179">
        <v>429317.59</v>
      </c>
      <c r="H138" s="37">
        <f t="shared" si="9"/>
        <v>118</v>
      </c>
      <c r="I138" s="37" t="str">
        <f t="shared" si="12"/>
        <v>0-120 DAYS</v>
      </c>
      <c r="J138" s="37" t="str">
        <f t="shared" si="11"/>
        <v>0-180 DAYS</v>
      </c>
      <c r="K138" t="s">
        <v>1730</v>
      </c>
      <c r="L138" s="66"/>
      <c r="M138" s="66">
        <v>429317.59</v>
      </c>
      <c r="O138" t="s">
        <v>4644</v>
      </c>
    </row>
    <row r="139" spans="1:15" x14ac:dyDescent="0.35">
      <c r="A139" s="2" t="s">
        <v>1085</v>
      </c>
      <c r="B139" s="2" t="s">
        <v>790</v>
      </c>
      <c r="C139" s="18" t="s">
        <v>1086</v>
      </c>
      <c r="D139" s="37" t="s">
        <v>507</v>
      </c>
      <c r="E139" s="18" t="s">
        <v>4082</v>
      </c>
      <c r="F139" s="176">
        <v>45874</v>
      </c>
      <c r="G139" s="179">
        <v>391460</v>
      </c>
      <c r="H139" s="37">
        <f t="shared" si="9"/>
        <v>118</v>
      </c>
      <c r="I139" s="37" t="str">
        <f t="shared" si="12"/>
        <v>0-120 DAYS</v>
      </c>
      <c r="J139" s="37" t="str">
        <f t="shared" si="11"/>
        <v>0-180 DAYS</v>
      </c>
      <c r="K139" t="s">
        <v>1730</v>
      </c>
      <c r="L139" s="66"/>
      <c r="M139" s="66">
        <v>391460</v>
      </c>
      <c r="O139" t="s">
        <v>4644</v>
      </c>
    </row>
    <row r="140" spans="1:15" x14ac:dyDescent="0.35">
      <c r="A140" s="2" t="s">
        <v>1085</v>
      </c>
      <c r="B140" s="2" t="s">
        <v>790</v>
      </c>
      <c r="C140" s="18" t="s">
        <v>1086</v>
      </c>
      <c r="D140" s="37" t="s">
        <v>507</v>
      </c>
      <c r="E140" s="18" t="s">
        <v>4083</v>
      </c>
      <c r="F140" s="176">
        <v>45874</v>
      </c>
      <c r="G140" s="179">
        <v>12539.49</v>
      </c>
      <c r="H140" s="37">
        <f t="shared" ref="H140:H203" si="13">$H$9-F140+1</f>
        <v>118</v>
      </c>
      <c r="I140" s="37" t="str">
        <f t="shared" si="12"/>
        <v>0-120 DAYS</v>
      </c>
      <c r="J140" s="37" t="str">
        <f t="shared" si="11"/>
        <v>0-180 DAYS</v>
      </c>
      <c r="K140" t="s">
        <v>1730</v>
      </c>
      <c r="L140" s="66"/>
      <c r="M140" s="66">
        <v>12539.49</v>
      </c>
      <c r="O140" t="s">
        <v>4644</v>
      </c>
    </row>
    <row r="141" spans="1:15" x14ac:dyDescent="0.35">
      <c r="A141" s="2" t="s">
        <v>1085</v>
      </c>
      <c r="B141" s="2" t="s">
        <v>790</v>
      </c>
      <c r="C141" s="18" t="s">
        <v>797</v>
      </c>
      <c r="D141" s="37" t="s">
        <v>507</v>
      </c>
      <c r="E141" s="18" t="s">
        <v>4084</v>
      </c>
      <c r="F141" s="176">
        <v>45881</v>
      </c>
      <c r="G141" s="179">
        <v>3620601.6</v>
      </c>
      <c r="H141" s="37">
        <f t="shared" si="13"/>
        <v>111</v>
      </c>
      <c r="I141" s="37" t="str">
        <f t="shared" si="12"/>
        <v>0-120 DAYS</v>
      </c>
      <c r="J141" s="37" t="str">
        <f t="shared" si="11"/>
        <v>0-180 DAYS</v>
      </c>
      <c r="K141" t="s">
        <v>1730</v>
      </c>
      <c r="L141" s="66"/>
      <c r="M141" s="66">
        <v>3620601.6</v>
      </c>
      <c r="O141" t="s">
        <v>4645</v>
      </c>
    </row>
    <row r="142" spans="1:15" x14ac:dyDescent="0.35">
      <c r="A142" s="2" t="s">
        <v>1085</v>
      </c>
      <c r="B142" s="2" t="s">
        <v>790</v>
      </c>
      <c r="C142" s="18" t="s">
        <v>532</v>
      </c>
      <c r="D142" s="37" t="s">
        <v>507</v>
      </c>
      <c r="E142" s="18" t="s">
        <v>4085</v>
      </c>
      <c r="F142" s="176">
        <v>45881</v>
      </c>
      <c r="G142" s="179">
        <f>3336960-1700000</f>
        <v>1636960</v>
      </c>
      <c r="H142" s="37">
        <f t="shared" si="13"/>
        <v>111</v>
      </c>
      <c r="I142" s="37" t="str">
        <f t="shared" si="12"/>
        <v>0-120 DAYS</v>
      </c>
      <c r="J142" s="37" t="str">
        <f t="shared" ref="J142:J205" si="14">IF(H142&lt;180,"0-180 DAYS","More than 180 Days")</f>
        <v>0-180 DAYS</v>
      </c>
      <c r="K142" t="s">
        <v>1730</v>
      </c>
      <c r="L142" s="66"/>
      <c r="M142" s="66">
        <v>1636960</v>
      </c>
      <c r="O142" t="s">
        <v>4645</v>
      </c>
    </row>
    <row r="143" spans="1:15" x14ac:dyDescent="0.35">
      <c r="A143" s="2" t="s">
        <v>1085</v>
      </c>
      <c r="B143" s="2" t="s">
        <v>790</v>
      </c>
      <c r="C143" s="18" t="s">
        <v>3796</v>
      </c>
      <c r="D143" s="37" t="s">
        <v>507</v>
      </c>
      <c r="E143" s="18" t="s">
        <v>4086</v>
      </c>
      <c r="F143" s="176">
        <v>45881</v>
      </c>
      <c r="G143" s="179">
        <v>3717504.01</v>
      </c>
      <c r="H143" s="37">
        <f t="shared" si="13"/>
        <v>111</v>
      </c>
      <c r="I143" s="37" t="str">
        <f t="shared" si="12"/>
        <v>0-120 DAYS</v>
      </c>
      <c r="J143" s="37" t="str">
        <f t="shared" si="14"/>
        <v>0-180 DAYS</v>
      </c>
      <c r="K143" t="s">
        <v>1730</v>
      </c>
      <c r="L143" s="66"/>
      <c r="M143" s="66">
        <v>3717504.01</v>
      </c>
      <c r="O143" t="s">
        <v>4645</v>
      </c>
    </row>
    <row r="144" spans="1:15" x14ac:dyDescent="0.35">
      <c r="A144" s="2" t="s">
        <v>1085</v>
      </c>
      <c r="B144" s="2" t="s">
        <v>790</v>
      </c>
      <c r="C144" s="18" t="s">
        <v>2426</v>
      </c>
      <c r="D144" s="37" t="s">
        <v>507</v>
      </c>
      <c r="E144" s="18" t="s">
        <v>1794</v>
      </c>
      <c r="F144" s="176">
        <v>45883</v>
      </c>
      <c r="G144" s="179">
        <f>5859753.9-900000</f>
        <v>4959753.9000000004</v>
      </c>
      <c r="H144" s="37">
        <f t="shared" si="13"/>
        <v>109</v>
      </c>
      <c r="I144" s="37" t="str">
        <f t="shared" si="12"/>
        <v>0-120 DAYS</v>
      </c>
      <c r="J144" s="37" t="str">
        <f t="shared" si="14"/>
        <v>0-180 DAYS</v>
      </c>
      <c r="K144" t="s">
        <v>1730</v>
      </c>
      <c r="L144" s="66"/>
      <c r="M144" s="66">
        <v>4959753.9000000004</v>
      </c>
      <c r="O144" t="s">
        <v>4646</v>
      </c>
    </row>
    <row r="145" spans="1:15" x14ac:dyDescent="0.35">
      <c r="A145" s="2" t="s">
        <v>1085</v>
      </c>
      <c r="B145" s="2" t="s">
        <v>790</v>
      </c>
      <c r="C145" s="18" t="s">
        <v>1086</v>
      </c>
      <c r="D145" s="37" t="s">
        <v>507</v>
      </c>
      <c r="E145" s="18" t="s">
        <v>4088</v>
      </c>
      <c r="F145" s="176">
        <v>45884</v>
      </c>
      <c r="G145" s="179">
        <v>1257578.56</v>
      </c>
      <c r="H145" s="37">
        <f t="shared" si="13"/>
        <v>108</v>
      </c>
      <c r="I145" s="37" t="str">
        <f t="shared" si="12"/>
        <v>0-120 DAYS</v>
      </c>
      <c r="J145" s="37" t="str">
        <f t="shared" si="14"/>
        <v>0-180 DAYS</v>
      </c>
      <c r="K145" t="s">
        <v>1730</v>
      </c>
      <c r="L145" s="66"/>
      <c r="M145" s="66">
        <v>1257578.56</v>
      </c>
      <c r="O145" t="s">
        <v>4647</v>
      </c>
    </row>
    <row r="146" spans="1:15" x14ac:dyDescent="0.35">
      <c r="A146" s="2" t="s">
        <v>1085</v>
      </c>
      <c r="B146" s="2" t="s">
        <v>790</v>
      </c>
      <c r="C146" s="18" t="s">
        <v>1086</v>
      </c>
      <c r="D146" s="37" t="s">
        <v>507</v>
      </c>
      <c r="E146" s="18" t="s">
        <v>4089</v>
      </c>
      <c r="F146" s="176">
        <v>45884</v>
      </c>
      <c r="G146" s="179">
        <v>160243.6</v>
      </c>
      <c r="H146" s="37">
        <f t="shared" si="13"/>
        <v>108</v>
      </c>
      <c r="I146" s="37" t="str">
        <f t="shared" si="12"/>
        <v>0-120 DAYS</v>
      </c>
      <c r="J146" s="37" t="str">
        <f t="shared" si="14"/>
        <v>0-180 DAYS</v>
      </c>
      <c r="K146" t="s">
        <v>1730</v>
      </c>
      <c r="L146" s="66"/>
      <c r="M146" s="66">
        <v>160243.6</v>
      </c>
      <c r="O146" t="s">
        <v>4647</v>
      </c>
    </row>
    <row r="147" spans="1:15" x14ac:dyDescent="0.35">
      <c r="A147" s="2" t="s">
        <v>1085</v>
      </c>
      <c r="B147" s="2" t="s">
        <v>790</v>
      </c>
      <c r="C147" s="18" t="s">
        <v>1086</v>
      </c>
      <c r="D147" s="37" t="s">
        <v>507</v>
      </c>
      <c r="E147" s="18" t="s">
        <v>4090</v>
      </c>
      <c r="F147" s="176">
        <v>45884</v>
      </c>
      <c r="G147" s="179">
        <v>33939.660000000003</v>
      </c>
      <c r="H147" s="37">
        <f t="shared" si="13"/>
        <v>108</v>
      </c>
      <c r="I147" s="37" t="str">
        <f t="shared" si="12"/>
        <v>0-120 DAYS</v>
      </c>
      <c r="J147" s="37" t="str">
        <f t="shared" si="14"/>
        <v>0-180 DAYS</v>
      </c>
      <c r="K147" t="s">
        <v>1730</v>
      </c>
      <c r="L147" s="66"/>
      <c r="M147" s="66">
        <v>33939.660000000003</v>
      </c>
      <c r="O147" t="s">
        <v>4647</v>
      </c>
    </row>
    <row r="148" spans="1:15" x14ac:dyDescent="0.35">
      <c r="A148" s="2" t="s">
        <v>1085</v>
      </c>
      <c r="B148" s="2" t="s">
        <v>790</v>
      </c>
      <c r="C148" s="18" t="s">
        <v>1086</v>
      </c>
      <c r="D148" s="37" t="s">
        <v>507</v>
      </c>
      <c r="E148" s="18" t="s">
        <v>4091</v>
      </c>
      <c r="F148" s="176">
        <v>45884</v>
      </c>
      <c r="G148" s="179">
        <v>91473.55</v>
      </c>
      <c r="H148" s="37">
        <f t="shared" si="13"/>
        <v>108</v>
      </c>
      <c r="I148" s="37" t="str">
        <f t="shared" si="12"/>
        <v>0-120 DAYS</v>
      </c>
      <c r="J148" s="37" t="str">
        <f t="shared" si="14"/>
        <v>0-180 DAYS</v>
      </c>
      <c r="K148" t="s">
        <v>1730</v>
      </c>
      <c r="L148" s="66"/>
      <c r="M148" s="66">
        <v>91473.55</v>
      </c>
      <c r="O148" t="s">
        <v>4647</v>
      </c>
    </row>
    <row r="149" spans="1:15" x14ac:dyDescent="0.35">
      <c r="A149" s="2" t="s">
        <v>1085</v>
      </c>
      <c r="B149" s="2" t="s">
        <v>790</v>
      </c>
      <c r="C149" s="18" t="s">
        <v>1086</v>
      </c>
      <c r="D149" s="37" t="s">
        <v>507</v>
      </c>
      <c r="E149" s="18" t="s">
        <v>4092</v>
      </c>
      <c r="F149" s="176">
        <v>45884</v>
      </c>
      <c r="G149" s="179">
        <v>826102.68</v>
      </c>
      <c r="H149" s="37">
        <f t="shared" si="13"/>
        <v>108</v>
      </c>
      <c r="I149" s="37" t="str">
        <f t="shared" si="12"/>
        <v>0-120 DAYS</v>
      </c>
      <c r="J149" s="37" t="str">
        <f t="shared" si="14"/>
        <v>0-180 DAYS</v>
      </c>
      <c r="K149" t="s">
        <v>1730</v>
      </c>
      <c r="L149" s="66"/>
      <c r="M149" s="66">
        <v>826102.68</v>
      </c>
      <c r="O149" t="s">
        <v>4647</v>
      </c>
    </row>
    <row r="150" spans="1:15" x14ac:dyDescent="0.35">
      <c r="A150" s="2" t="s">
        <v>1085</v>
      </c>
      <c r="B150" s="2" t="s">
        <v>790</v>
      </c>
      <c r="C150" s="18" t="s">
        <v>1245</v>
      </c>
      <c r="D150" s="37" t="s">
        <v>507</v>
      </c>
      <c r="E150" s="18" t="s">
        <v>4093</v>
      </c>
      <c r="F150" s="176">
        <v>45886</v>
      </c>
      <c r="G150" s="179">
        <v>1354271.32</v>
      </c>
      <c r="H150" s="37">
        <f t="shared" si="13"/>
        <v>106</v>
      </c>
      <c r="I150" s="37" t="str">
        <f t="shared" si="12"/>
        <v>0-120 DAYS</v>
      </c>
      <c r="J150" s="37" t="str">
        <f t="shared" si="14"/>
        <v>0-180 DAYS</v>
      </c>
      <c r="K150" t="s">
        <v>1730</v>
      </c>
      <c r="L150" s="66"/>
      <c r="M150" s="66">
        <v>1354271.32</v>
      </c>
      <c r="O150" t="s">
        <v>4648</v>
      </c>
    </row>
    <row r="151" spans="1:15" x14ac:dyDescent="0.35">
      <c r="A151" s="2" t="s">
        <v>1085</v>
      </c>
      <c r="B151" s="2" t="s">
        <v>790</v>
      </c>
      <c r="C151" s="18" t="s">
        <v>1245</v>
      </c>
      <c r="D151" s="37" t="s">
        <v>507</v>
      </c>
      <c r="E151" s="18" t="s">
        <v>4094</v>
      </c>
      <c r="F151" s="176">
        <v>45886</v>
      </c>
      <c r="G151" s="179">
        <v>159548.4</v>
      </c>
      <c r="H151" s="37">
        <f t="shared" si="13"/>
        <v>106</v>
      </c>
      <c r="I151" s="37" t="str">
        <f t="shared" ref="I151:I202" si="15">IF(H151&lt;121,"0-120 DAYS",IF(H151&lt;181,"121-180 DAYS","More than 180 Days"))</f>
        <v>0-120 DAYS</v>
      </c>
      <c r="J151" s="37" t="str">
        <f t="shared" si="14"/>
        <v>0-180 DAYS</v>
      </c>
      <c r="K151" t="s">
        <v>1730</v>
      </c>
      <c r="L151" s="66"/>
      <c r="M151" s="66">
        <v>159548.4</v>
      </c>
      <c r="O151" t="s">
        <v>4648</v>
      </c>
    </row>
    <row r="152" spans="1:15" x14ac:dyDescent="0.35">
      <c r="A152" s="2" t="s">
        <v>1085</v>
      </c>
      <c r="B152" s="2" t="s">
        <v>790</v>
      </c>
      <c r="C152" s="18" t="s">
        <v>3764</v>
      </c>
      <c r="D152" s="37" t="s">
        <v>507</v>
      </c>
      <c r="E152" s="18" t="s">
        <v>4096</v>
      </c>
      <c r="F152" s="176">
        <v>45887</v>
      </c>
      <c r="G152" s="179">
        <v>3373492.76</v>
      </c>
      <c r="H152" s="37">
        <f t="shared" si="13"/>
        <v>105</v>
      </c>
      <c r="I152" s="37" t="str">
        <f t="shared" si="15"/>
        <v>0-120 DAYS</v>
      </c>
      <c r="J152" s="37" t="str">
        <f t="shared" si="14"/>
        <v>0-180 DAYS</v>
      </c>
      <c r="K152" t="s">
        <v>1730</v>
      </c>
      <c r="L152" s="66"/>
      <c r="M152" s="66">
        <v>3373492.76</v>
      </c>
      <c r="O152" t="s">
        <v>4649</v>
      </c>
    </row>
    <row r="153" spans="1:15" x14ac:dyDescent="0.35">
      <c r="A153" s="2" t="s">
        <v>1085</v>
      </c>
      <c r="B153" s="2" t="s">
        <v>790</v>
      </c>
      <c r="C153" s="18" t="s">
        <v>598</v>
      </c>
      <c r="D153" s="37" t="s">
        <v>507</v>
      </c>
      <c r="E153" s="18" t="s">
        <v>4097</v>
      </c>
      <c r="F153" s="176">
        <v>45887</v>
      </c>
      <c r="G153" s="179">
        <v>2346300</v>
      </c>
      <c r="H153" s="37">
        <f t="shared" si="13"/>
        <v>105</v>
      </c>
      <c r="I153" s="37" t="str">
        <f t="shared" si="15"/>
        <v>0-120 DAYS</v>
      </c>
      <c r="J153" s="37" t="str">
        <f t="shared" si="14"/>
        <v>0-180 DAYS</v>
      </c>
      <c r="K153" t="s">
        <v>1730</v>
      </c>
      <c r="L153" s="66"/>
      <c r="M153" s="66">
        <v>2346300</v>
      </c>
      <c r="O153" t="s">
        <v>4649</v>
      </c>
    </row>
    <row r="154" spans="1:15" x14ac:dyDescent="0.35">
      <c r="A154" s="2" t="s">
        <v>1209</v>
      </c>
      <c r="B154" s="2" t="s">
        <v>789</v>
      </c>
      <c r="C154" s="18" t="s">
        <v>506</v>
      </c>
      <c r="D154" s="37" t="s">
        <v>507</v>
      </c>
      <c r="E154" s="18" t="s">
        <v>4099</v>
      </c>
      <c r="F154" s="176">
        <v>45889</v>
      </c>
      <c r="G154" s="179">
        <v>2013374.8</v>
      </c>
      <c r="H154" s="37">
        <f t="shared" si="13"/>
        <v>103</v>
      </c>
      <c r="I154" s="37" t="str">
        <f t="shared" si="15"/>
        <v>0-120 DAYS</v>
      </c>
      <c r="J154" s="37" t="str">
        <f t="shared" si="14"/>
        <v>0-180 DAYS</v>
      </c>
      <c r="L154" s="66"/>
      <c r="M154" s="66">
        <v>2013374.8</v>
      </c>
      <c r="O154" t="s">
        <v>4650</v>
      </c>
    </row>
    <row r="155" spans="1:15" x14ac:dyDescent="0.35">
      <c r="A155" s="2" t="s">
        <v>1209</v>
      </c>
      <c r="B155" s="2" t="s">
        <v>789</v>
      </c>
      <c r="C155" s="18" t="s">
        <v>506</v>
      </c>
      <c r="D155" s="37" t="s">
        <v>507</v>
      </c>
      <c r="E155" s="18" t="s">
        <v>4100</v>
      </c>
      <c r="F155" s="176">
        <v>45889</v>
      </c>
      <c r="G155" s="179">
        <v>443448.97</v>
      </c>
      <c r="H155" s="37">
        <f t="shared" si="13"/>
        <v>103</v>
      </c>
      <c r="I155" s="37" t="str">
        <f t="shared" si="15"/>
        <v>0-120 DAYS</v>
      </c>
      <c r="J155" s="37" t="str">
        <f t="shared" si="14"/>
        <v>0-180 DAYS</v>
      </c>
      <c r="L155" s="66"/>
      <c r="M155" s="66">
        <v>443448.97</v>
      </c>
      <c r="O155" t="s">
        <v>4650</v>
      </c>
    </row>
    <row r="156" spans="1:15" x14ac:dyDescent="0.35">
      <c r="A156" s="2" t="s">
        <v>1209</v>
      </c>
      <c r="B156" s="2" t="s">
        <v>789</v>
      </c>
      <c r="C156" s="18" t="s">
        <v>506</v>
      </c>
      <c r="D156" s="37" t="s">
        <v>507</v>
      </c>
      <c r="E156" s="18" t="s">
        <v>4101</v>
      </c>
      <c r="F156" s="176">
        <v>45889</v>
      </c>
      <c r="G156" s="179">
        <v>102122.27</v>
      </c>
      <c r="H156" s="37">
        <f t="shared" si="13"/>
        <v>103</v>
      </c>
      <c r="I156" s="37" t="str">
        <f t="shared" si="15"/>
        <v>0-120 DAYS</v>
      </c>
      <c r="J156" s="37" t="str">
        <f t="shared" si="14"/>
        <v>0-180 DAYS</v>
      </c>
      <c r="L156" s="66"/>
      <c r="M156" s="66">
        <v>102122.27</v>
      </c>
      <c r="O156" t="s">
        <v>4650</v>
      </c>
    </row>
    <row r="157" spans="1:15" x14ac:dyDescent="0.35">
      <c r="A157" s="2" t="s">
        <v>1209</v>
      </c>
      <c r="B157" s="2" t="s">
        <v>789</v>
      </c>
      <c r="C157" s="18" t="s">
        <v>506</v>
      </c>
      <c r="D157" s="37" t="s">
        <v>507</v>
      </c>
      <c r="E157" s="18" t="s">
        <v>4102</v>
      </c>
      <c r="F157" s="176">
        <v>45889</v>
      </c>
      <c r="G157" s="179">
        <v>287053.3</v>
      </c>
      <c r="H157" s="37">
        <f t="shared" si="13"/>
        <v>103</v>
      </c>
      <c r="I157" s="37" t="str">
        <f t="shared" si="15"/>
        <v>0-120 DAYS</v>
      </c>
      <c r="J157" s="37" t="str">
        <f t="shared" si="14"/>
        <v>0-180 DAYS</v>
      </c>
      <c r="L157" s="66"/>
      <c r="M157" s="66">
        <v>287053.3</v>
      </c>
      <c r="O157" t="s">
        <v>4650</v>
      </c>
    </row>
    <row r="158" spans="1:15" x14ac:dyDescent="0.35">
      <c r="A158" s="2" t="s">
        <v>1209</v>
      </c>
      <c r="B158" s="2" t="s">
        <v>789</v>
      </c>
      <c r="C158" s="18" t="s">
        <v>506</v>
      </c>
      <c r="D158" s="37" t="s">
        <v>507</v>
      </c>
      <c r="E158" s="18" t="s">
        <v>4103</v>
      </c>
      <c r="F158" s="176">
        <v>45889</v>
      </c>
      <c r="G158" s="179">
        <v>136124.5</v>
      </c>
      <c r="H158" s="37">
        <f t="shared" si="13"/>
        <v>103</v>
      </c>
      <c r="I158" s="37" t="str">
        <f t="shared" si="15"/>
        <v>0-120 DAYS</v>
      </c>
      <c r="J158" s="37" t="str">
        <f t="shared" si="14"/>
        <v>0-180 DAYS</v>
      </c>
      <c r="L158" s="66"/>
      <c r="M158" s="66">
        <v>136124.5</v>
      </c>
      <c r="O158" t="s">
        <v>4650</v>
      </c>
    </row>
    <row r="159" spans="1:15" x14ac:dyDescent="0.35">
      <c r="A159" s="2" t="s">
        <v>1085</v>
      </c>
      <c r="B159" s="2" t="s">
        <v>790</v>
      </c>
      <c r="C159" s="18" t="s">
        <v>1086</v>
      </c>
      <c r="D159" s="37" t="s">
        <v>507</v>
      </c>
      <c r="E159" s="18" t="s">
        <v>4104</v>
      </c>
      <c r="F159" s="176">
        <v>45890</v>
      </c>
      <c r="G159" s="179">
        <v>1432696.84</v>
      </c>
      <c r="H159" s="37">
        <f t="shared" si="13"/>
        <v>102</v>
      </c>
      <c r="I159" s="37" t="str">
        <f t="shared" si="15"/>
        <v>0-120 DAYS</v>
      </c>
      <c r="J159" s="37" t="str">
        <f t="shared" si="14"/>
        <v>0-180 DAYS</v>
      </c>
      <c r="K159" t="s">
        <v>1730</v>
      </c>
      <c r="L159" s="66"/>
      <c r="M159" s="66">
        <v>1432696.84</v>
      </c>
      <c r="O159" t="s">
        <v>4651</v>
      </c>
    </row>
    <row r="160" spans="1:15" x14ac:dyDescent="0.35">
      <c r="A160" s="2" t="s">
        <v>1085</v>
      </c>
      <c r="B160" s="2" t="s">
        <v>790</v>
      </c>
      <c r="C160" s="18" t="s">
        <v>1086</v>
      </c>
      <c r="D160" s="37" t="s">
        <v>507</v>
      </c>
      <c r="E160" s="18" t="s">
        <v>4105</v>
      </c>
      <c r="F160" s="176">
        <v>45890</v>
      </c>
      <c r="G160" s="179">
        <v>940434.41</v>
      </c>
      <c r="H160" s="37">
        <f t="shared" si="13"/>
        <v>102</v>
      </c>
      <c r="I160" s="37" t="str">
        <f t="shared" si="15"/>
        <v>0-120 DAYS</v>
      </c>
      <c r="J160" s="37" t="str">
        <f t="shared" si="14"/>
        <v>0-180 DAYS</v>
      </c>
      <c r="K160" t="s">
        <v>1730</v>
      </c>
      <c r="L160" s="66"/>
      <c r="M160" s="66">
        <v>940434.41</v>
      </c>
      <c r="O160" t="s">
        <v>4651</v>
      </c>
    </row>
    <row r="161" spans="1:15" x14ac:dyDescent="0.35">
      <c r="A161" s="2" t="s">
        <v>1085</v>
      </c>
      <c r="B161" s="2" t="s">
        <v>790</v>
      </c>
      <c r="C161" s="18" t="s">
        <v>1086</v>
      </c>
      <c r="D161" s="37" t="s">
        <v>507</v>
      </c>
      <c r="E161" s="18" t="s">
        <v>4106</v>
      </c>
      <c r="F161" s="176">
        <v>45890</v>
      </c>
      <c r="G161" s="179">
        <v>25318.32</v>
      </c>
      <c r="H161" s="37">
        <f t="shared" si="13"/>
        <v>102</v>
      </c>
      <c r="I161" s="37" t="str">
        <f t="shared" si="15"/>
        <v>0-120 DAYS</v>
      </c>
      <c r="J161" s="37" t="str">
        <f t="shared" si="14"/>
        <v>0-180 DAYS</v>
      </c>
      <c r="K161" t="s">
        <v>1730</v>
      </c>
      <c r="L161" s="66"/>
      <c r="M161" s="66">
        <v>25318.32</v>
      </c>
      <c r="O161" t="s">
        <v>4651</v>
      </c>
    </row>
    <row r="162" spans="1:15" x14ac:dyDescent="0.35">
      <c r="A162" s="2" t="s">
        <v>1085</v>
      </c>
      <c r="B162" s="2" t="s">
        <v>790</v>
      </c>
      <c r="C162" s="18" t="s">
        <v>557</v>
      </c>
      <c r="D162" s="37" t="s">
        <v>507</v>
      </c>
      <c r="E162" s="18" t="s">
        <v>4107</v>
      </c>
      <c r="F162" s="176">
        <v>45892</v>
      </c>
      <c r="G162" s="179">
        <v>709857</v>
      </c>
      <c r="H162" s="37">
        <f t="shared" si="13"/>
        <v>100</v>
      </c>
      <c r="I162" s="37" t="str">
        <f t="shared" si="15"/>
        <v>0-120 DAYS</v>
      </c>
      <c r="J162" s="37" t="str">
        <f t="shared" si="14"/>
        <v>0-180 DAYS</v>
      </c>
      <c r="K162" t="s">
        <v>1730</v>
      </c>
      <c r="L162" s="66"/>
      <c r="M162" s="66">
        <v>709857</v>
      </c>
      <c r="O162" t="s">
        <v>4652</v>
      </c>
    </row>
    <row r="163" spans="1:15" x14ac:dyDescent="0.35">
      <c r="A163" s="2" t="s">
        <v>1085</v>
      </c>
      <c r="B163" s="2" t="s">
        <v>790</v>
      </c>
      <c r="C163" s="18" t="s">
        <v>598</v>
      </c>
      <c r="D163" s="37" t="s">
        <v>507</v>
      </c>
      <c r="E163" s="18" t="s">
        <v>4108</v>
      </c>
      <c r="F163" s="176">
        <v>45893</v>
      </c>
      <c r="G163" s="179">
        <v>3853596.86</v>
      </c>
      <c r="H163" s="37">
        <f t="shared" si="13"/>
        <v>99</v>
      </c>
      <c r="I163" s="37" t="str">
        <f t="shared" si="15"/>
        <v>0-120 DAYS</v>
      </c>
      <c r="J163" s="37" t="str">
        <f t="shared" si="14"/>
        <v>0-180 DAYS</v>
      </c>
      <c r="K163" t="s">
        <v>1730</v>
      </c>
      <c r="L163" s="66"/>
      <c r="M163" s="66">
        <v>3853596.86</v>
      </c>
      <c r="O163" t="s">
        <v>4653</v>
      </c>
    </row>
    <row r="164" spans="1:15" x14ac:dyDescent="0.35">
      <c r="A164" s="2" t="s">
        <v>1085</v>
      </c>
      <c r="B164" s="2" t="s">
        <v>790</v>
      </c>
      <c r="C164" s="18" t="s">
        <v>2561</v>
      </c>
      <c r="D164" s="37" t="s">
        <v>507</v>
      </c>
      <c r="E164" s="18" t="s">
        <v>4109</v>
      </c>
      <c r="F164" s="176">
        <v>45897</v>
      </c>
      <c r="G164" s="179">
        <f>3512581.04-2300000</f>
        <v>1212581.04</v>
      </c>
      <c r="H164" s="37">
        <f t="shared" si="13"/>
        <v>95</v>
      </c>
      <c r="I164" s="37" t="str">
        <f t="shared" si="15"/>
        <v>0-120 DAYS</v>
      </c>
      <c r="J164" s="37" t="str">
        <f t="shared" si="14"/>
        <v>0-180 DAYS</v>
      </c>
      <c r="K164" t="s">
        <v>1730</v>
      </c>
      <c r="L164" s="66"/>
      <c r="M164" s="66">
        <v>1212581.04</v>
      </c>
      <c r="O164" t="s">
        <v>4654</v>
      </c>
    </row>
    <row r="165" spans="1:15" x14ac:dyDescent="0.35">
      <c r="A165" s="2" t="s">
        <v>1085</v>
      </c>
      <c r="B165" s="2" t="s">
        <v>790</v>
      </c>
      <c r="C165" s="18" t="s">
        <v>1243</v>
      </c>
      <c r="D165" s="37" t="s">
        <v>507</v>
      </c>
      <c r="E165" s="18" t="s">
        <v>4110</v>
      </c>
      <c r="F165" s="176">
        <v>45897</v>
      </c>
      <c r="G165" s="179">
        <v>3809837.24</v>
      </c>
      <c r="H165" s="37">
        <f t="shared" si="13"/>
        <v>95</v>
      </c>
      <c r="I165" s="37" t="str">
        <f t="shared" si="15"/>
        <v>0-120 DAYS</v>
      </c>
      <c r="J165" s="37" t="str">
        <f t="shared" si="14"/>
        <v>0-180 DAYS</v>
      </c>
      <c r="K165" t="s">
        <v>1730</v>
      </c>
      <c r="L165" s="66"/>
      <c r="M165" s="66">
        <v>3809837.24</v>
      </c>
      <c r="O165" t="s">
        <v>4654</v>
      </c>
    </row>
    <row r="166" spans="1:15" x14ac:dyDescent="0.35">
      <c r="A166" s="2" t="s">
        <v>1085</v>
      </c>
      <c r="B166" s="2" t="s">
        <v>790</v>
      </c>
      <c r="C166" s="18" t="s">
        <v>1243</v>
      </c>
      <c r="D166" s="37" t="s">
        <v>507</v>
      </c>
      <c r="E166" s="18" t="s">
        <v>4111</v>
      </c>
      <c r="F166" s="176">
        <v>45897</v>
      </c>
      <c r="G166" s="179">
        <v>621944.6</v>
      </c>
      <c r="H166" s="37">
        <f t="shared" si="13"/>
        <v>95</v>
      </c>
      <c r="I166" s="37" t="str">
        <f t="shared" si="15"/>
        <v>0-120 DAYS</v>
      </c>
      <c r="J166" s="37" t="str">
        <f t="shared" si="14"/>
        <v>0-180 DAYS</v>
      </c>
      <c r="K166" t="s">
        <v>1730</v>
      </c>
      <c r="L166" s="66"/>
      <c r="M166" s="66">
        <v>621944.6</v>
      </c>
      <c r="O166" t="s">
        <v>4654</v>
      </c>
    </row>
    <row r="167" spans="1:15" x14ac:dyDescent="0.35">
      <c r="A167" s="2" t="s">
        <v>1085</v>
      </c>
      <c r="B167" s="2" t="s">
        <v>790</v>
      </c>
      <c r="C167" s="18" t="s">
        <v>577</v>
      </c>
      <c r="D167" s="37" t="s">
        <v>507</v>
      </c>
      <c r="E167" s="18" t="s">
        <v>4112</v>
      </c>
      <c r="F167" s="176">
        <v>45898</v>
      </c>
      <c r="G167" s="179">
        <v>3687458.7</v>
      </c>
      <c r="H167" s="37">
        <f t="shared" si="13"/>
        <v>94</v>
      </c>
      <c r="I167" s="37" t="str">
        <f t="shared" si="15"/>
        <v>0-120 DAYS</v>
      </c>
      <c r="J167" s="37" t="str">
        <f t="shared" si="14"/>
        <v>0-180 DAYS</v>
      </c>
      <c r="K167" t="s">
        <v>1730</v>
      </c>
      <c r="L167" s="66"/>
      <c r="M167" s="66">
        <v>3687458.7</v>
      </c>
      <c r="O167" t="s">
        <v>4655</v>
      </c>
    </row>
    <row r="168" spans="1:15" x14ac:dyDescent="0.35">
      <c r="A168" s="2" t="s">
        <v>1085</v>
      </c>
      <c r="B168" s="2" t="s">
        <v>790</v>
      </c>
      <c r="C168" s="18" t="s">
        <v>707</v>
      </c>
      <c r="D168" s="37" t="s">
        <v>507</v>
      </c>
      <c r="E168" s="18" t="s">
        <v>4113</v>
      </c>
      <c r="F168" s="176">
        <v>45899</v>
      </c>
      <c r="G168" s="179">
        <f>3403176-1800000</f>
        <v>1603176</v>
      </c>
      <c r="H168" s="37">
        <f t="shared" si="13"/>
        <v>93</v>
      </c>
      <c r="I168" s="37" t="str">
        <f t="shared" si="15"/>
        <v>0-120 DAYS</v>
      </c>
      <c r="J168" s="37" t="str">
        <f t="shared" si="14"/>
        <v>0-180 DAYS</v>
      </c>
      <c r="K168" t="s">
        <v>1730</v>
      </c>
      <c r="L168" s="66"/>
      <c r="M168" s="66">
        <v>1603176</v>
      </c>
      <c r="O168" t="s">
        <v>4656</v>
      </c>
    </row>
    <row r="169" spans="1:15" x14ac:dyDescent="0.35">
      <c r="A169" s="2" t="s">
        <v>1085</v>
      </c>
      <c r="B169" s="2" t="s">
        <v>790</v>
      </c>
      <c r="C169" s="18" t="s">
        <v>631</v>
      </c>
      <c r="D169" s="37" t="s">
        <v>507</v>
      </c>
      <c r="E169" s="18" t="s">
        <v>4114</v>
      </c>
      <c r="F169" s="176">
        <v>45899</v>
      </c>
      <c r="G169" s="179">
        <v>3110096</v>
      </c>
      <c r="H169" s="37">
        <f t="shared" si="13"/>
        <v>93</v>
      </c>
      <c r="I169" s="37" t="str">
        <f t="shared" si="15"/>
        <v>0-120 DAYS</v>
      </c>
      <c r="J169" s="37" t="str">
        <f t="shared" si="14"/>
        <v>0-180 DAYS</v>
      </c>
      <c r="K169" t="s">
        <v>1730</v>
      </c>
      <c r="L169" s="66"/>
      <c r="M169" s="66">
        <v>3110096</v>
      </c>
      <c r="O169" t="s">
        <v>4656</v>
      </c>
    </row>
    <row r="170" spans="1:15" x14ac:dyDescent="0.35">
      <c r="A170" s="2" t="s">
        <v>1085</v>
      </c>
      <c r="B170" s="2" t="s">
        <v>790</v>
      </c>
      <c r="C170" s="18" t="s">
        <v>650</v>
      </c>
      <c r="D170" s="37" t="s">
        <v>507</v>
      </c>
      <c r="E170" s="18" t="s">
        <v>4117</v>
      </c>
      <c r="F170" s="176">
        <v>45874</v>
      </c>
      <c r="G170" s="179">
        <v>2965032</v>
      </c>
      <c r="H170" s="37">
        <f t="shared" si="13"/>
        <v>118</v>
      </c>
      <c r="I170" s="37" t="str">
        <f t="shared" si="15"/>
        <v>0-120 DAYS</v>
      </c>
      <c r="J170" s="37" t="str">
        <f t="shared" si="14"/>
        <v>0-180 DAYS</v>
      </c>
      <c r="K170" t="s">
        <v>1730</v>
      </c>
      <c r="L170" s="66"/>
      <c r="M170" s="66">
        <v>2965032</v>
      </c>
      <c r="O170" t="s">
        <v>4644</v>
      </c>
    </row>
    <row r="171" spans="1:15" x14ac:dyDescent="0.35">
      <c r="A171" s="2" t="s">
        <v>1085</v>
      </c>
      <c r="B171" s="2" t="s">
        <v>790</v>
      </c>
      <c r="C171" s="18" t="s">
        <v>1086</v>
      </c>
      <c r="D171" s="37" t="s">
        <v>507</v>
      </c>
      <c r="E171" s="18" t="s">
        <v>4118</v>
      </c>
      <c r="F171" s="176">
        <v>45877</v>
      </c>
      <c r="G171" s="179">
        <v>773781.07</v>
      </c>
      <c r="H171" s="37">
        <f t="shared" si="13"/>
        <v>115</v>
      </c>
      <c r="I171" s="37" t="str">
        <f t="shared" si="15"/>
        <v>0-120 DAYS</v>
      </c>
      <c r="J171" s="37" t="str">
        <f t="shared" si="14"/>
        <v>0-180 DAYS</v>
      </c>
      <c r="K171" t="s">
        <v>1730</v>
      </c>
      <c r="L171" s="66"/>
      <c r="M171" s="66">
        <v>773781.07</v>
      </c>
      <c r="O171" t="s">
        <v>4657</v>
      </c>
    </row>
    <row r="172" spans="1:15" x14ac:dyDescent="0.35">
      <c r="A172" s="2" t="s">
        <v>1085</v>
      </c>
      <c r="B172" s="2" t="s">
        <v>790</v>
      </c>
      <c r="C172" s="18" t="s">
        <v>1086</v>
      </c>
      <c r="D172" s="37" t="s">
        <v>507</v>
      </c>
      <c r="E172" s="18" t="s">
        <v>4119</v>
      </c>
      <c r="F172" s="176">
        <v>45877</v>
      </c>
      <c r="G172" s="179">
        <v>337530.9</v>
      </c>
      <c r="H172" s="37">
        <f t="shared" si="13"/>
        <v>115</v>
      </c>
      <c r="I172" s="37" t="str">
        <f t="shared" si="15"/>
        <v>0-120 DAYS</v>
      </c>
      <c r="J172" s="37" t="str">
        <f t="shared" si="14"/>
        <v>0-180 DAYS</v>
      </c>
      <c r="K172" t="s">
        <v>1730</v>
      </c>
      <c r="L172" s="66"/>
      <c r="M172" s="66">
        <v>337530.9</v>
      </c>
      <c r="O172" t="s">
        <v>4657</v>
      </c>
    </row>
    <row r="173" spans="1:15" x14ac:dyDescent="0.35">
      <c r="A173" s="2" t="s">
        <v>1085</v>
      </c>
      <c r="B173" s="2" t="s">
        <v>790</v>
      </c>
      <c r="C173" s="18" t="s">
        <v>1086</v>
      </c>
      <c r="D173" s="37" t="s">
        <v>507</v>
      </c>
      <c r="E173" s="18" t="s">
        <v>4120</v>
      </c>
      <c r="F173" s="176">
        <v>45877</v>
      </c>
      <c r="G173" s="179">
        <v>13192.29</v>
      </c>
      <c r="H173" s="37">
        <f t="shared" si="13"/>
        <v>115</v>
      </c>
      <c r="I173" s="37" t="str">
        <f t="shared" si="15"/>
        <v>0-120 DAYS</v>
      </c>
      <c r="J173" s="37" t="str">
        <f t="shared" si="14"/>
        <v>0-180 DAYS</v>
      </c>
      <c r="K173" t="s">
        <v>1730</v>
      </c>
      <c r="L173" s="66"/>
      <c r="M173" s="66">
        <v>13192.29</v>
      </c>
      <c r="O173" t="s">
        <v>4657</v>
      </c>
    </row>
    <row r="174" spans="1:15" x14ac:dyDescent="0.35">
      <c r="A174" s="2" t="s">
        <v>1085</v>
      </c>
      <c r="B174" s="2" t="s">
        <v>790</v>
      </c>
      <c r="C174" s="18" t="s">
        <v>1086</v>
      </c>
      <c r="D174" s="37" t="s">
        <v>507</v>
      </c>
      <c r="E174" s="18" t="s">
        <v>4121</v>
      </c>
      <c r="F174" s="176">
        <v>45877</v>
      </c>
      <c r="G174" s="179">
        <v>231886.57</v>
      </c>
      <c r="H174" s="37">
        <f t="shared" si="13"/>
        <v>115</v>
      </c>
      <c r="I174" s="37" t="str">
        <f t="shared" si="15"/>
        <v>0-120 DAYS</v>
      </c>
      <c r="J174" s="37" t="str">
        <f t="shared" si="14"/>
        <v>0-180 DAYS</v>
      </c>
      <c r="K174" t="s">
        <v>1730</v>
      </c>
      <c r="L174" s="66"/>
      <c r="M174" s="66">
        <v>231886.57</v>
      </c>
      <c r="O174" t="s">
        <v>4657</v>
      </c>
    </row>
    <row r="175" spans="1:15" x14ac:dyDescent="0.35">
      <c r="A175" s="2" t="s">
        <v>1085</v>
      </c>
      <c r="B175" s="2" t="s">
        <v>790</v>
      </c>
      <c r="C175" s="18" t="s">
        <v>1086</v>
      </c>
      <c r="D175" s="37" t="s">
        <v>507</v>
      </c>
      <c r="E175" s="18" t="s">
        <v>4122</v>
      </c>
      <c r="F175" s="176">
        <v>45877</v>
      </c>
      <c r="G175" s="179">
        <v>1082398.6000000001</v>
      </c>
      <c r="H175" s="37">
        <f t="shared" si="13"/>
        <v>115</v>
      </c>
      <c r="I175" s="37" t="str">
        <f t="shared" si="15"/>
        <v>0-120 DAYS</v>
      </c>
      <c r="J175" s="37" t="str">
        <f t="shared" si="14"/>
        <v>0-180 DAYS</v>
      </c>
      <c r="K175" t="s">
        <v>1730</v>
      </c>
      <c r="L175" s="66"/>
      <c r="M175" s="66">
        <v>1082398.6000000001</v>
      </c>
      <c r="O175" t="s">
        <v>4657</v>
      </c>
    </row>
    <row r="176" spans="1:15" x14ac:dyDescent="0.35">
      <c r="A176" s="2" t="s">
        <v>1085</v>
      </c>
      <c r="B176" s="2" t="s">
        <v>790</v>
      </c>
      <c r="C176" s="18" t="s">
        <v>1086</v>
      </c>
      <c r="D176" s="37" t="s">
        <v>507</v>
      </c>
      <c r="E176" s="18" t="s">
        <v>4123</v>
      </c>
      <c r="F176" s="176">
        <v>45877</v>
      </c>
      <c r="G176" s="179">
        <v>41298.36</v>
      </c>
      <c r="H176" s="37">
        <f t="shared" si="13"/>
        <v>115</v>
      </c>
      <c r="I176" s="37" t="str">
        <f t="shared" si="15"/>
        <v>0-120 DAYS</v>
      </c>
      <c r="J176" s="37" t="str">
        <f t="shared" si="14"/>
        <v>0-180 DAYS</v>
      </c>
      <c r="K176" t="s">
        <v>1730</v>
      </c>
      <c r="L176" s="66"/>
      <c r="M176" s="66">
        <v>41298.36</v>
      </c>
      <c r="O176" t="s">
        <v>4657</v>
      </c>
    </row>
    <row r="177" spans="1:15" x14ac:dyDescent="0.35">
      <c r="A177" s="2" t="s">
        <v>1085</v>
      </c>
      <c r="B177" s="2" t="s">
        <v>790</v>
      </c>
      <c r="C177" s="18" t="s">
        <v>650</v>
      </c>
      <c r="D177" s="37" t="s">
        <v>507</v>
      </c>
      <c r="E177" s="18" t="s">
        <v>1815</v>
      </c>
      <c r="F177" s="176">
        <v>45877</v>
      </c>
      <c r="G177" s="179">
        <v>3253600.79</v>
      </c>
      <c r="H177" s="37">
        <f t="shared" si="13"/>
        <v>115</v>
      </c>
      <c r="I177" s="37" t="str">
        <f t="shared" si="15"/>
        <v>0-120 DAYS</v>
      </c>
      <c r="J177" s="37" t="str">
        <f t="shared" si="14"/>
        <v>0-180 DAYS</v>
      </c>
      <c r="K177" t="s">
        <v>1730</v>
      </c>
      <c r="L177" s="66"/>
      <c r="M177" s="66">
        <v>3253600.79</v>
      </c>
      <c r="O177" t="s">
        <v>4657</v>
      </c>
    </row>
    <row r="178" spans="1:15" x14ac:dyDescent="0.35">
      <c r="A178" s="2" t="s">
        <v>1085</v>
      </c>
      <c r="B178" s="2" t="s">
        <v>790</v>
      </c>
      <c r="C178" s="18" t="s">
        <v>650</v>
      </c>
      <c r="D178" s="37" t="s">
        <v>507</v>
      </c>
      <c r="E178" s="18" t="s">
        <v>4124</v>
      </c>
      <c r="F178" s="176">
        <v>45878</v>
      </c>
      <c r="G178" s="179">
        <v>4724806.5</v>
      </c>
      <c r="H178" s="37">
        <f t="shared" si="13"/>
        <v>114</v>
      </c>
      <c r="I178" s="37" t="str">
        <f t="shared" si="15"/>
        <v>0-120 DAYS</v>
      </c>
      <c r="J178" s="37" t="str">
        <f t="shared" si="14"/>
        <v>0-180 DAYS</v>
      </c>
      <c r="K178" t="s">
        <v>1730</v>
      </c>
      <c r="L178" s="66"/>
      <c r="M178" s="66">
        <v>4724806.5</v>
      </c>
      <c r="O178" t="s">
        <v>4658</v>
      </c>
    </row>
    <row r="179" spans="1:15" x14ac:dyDescent="0.35">
      <c r="A179" s="2" t="s">
        <v>1085</v>
      </c>
      <c r="B179" s="2" t="s">
        <v>790</v>
      </c>
      <c r="C179" s="18" t="s">
        <v>650</v>
      </c>
      <c r="D179" s="37" t="s">
        <v>507</v>
      </c>
      <c r="E179" s="18" t="s">
        <v>4125</v>
      </c>
      <c r="F179" s="176">
        <v>45882</v>
      </c>
      <c r="G179" s="179">
        <v>2961353.1</v>
      </c>
      <c r="H179" s="37">
        <f t="shared" si="13"/>
        <v>110</v>
      </c>
      <c r="I179" s="37" t="str">
        <f t="shared" si="15"/>
        <v>0-120 DAYS</v>
      </c>
      <c r="J179" s="37" t="str">
        <f t="shared" si="14"/>
        <v>0-180 DAYS</v>
      </c>
      <c r="K179" t="s">
        <v>1730</v>
      </c>
      <c r="L179" s="66"/>
      <c r="M179" s="66">
        <v>2961353.1</v>
      </c>
      <c r="O179" t="s">
        <v>4659</v>
      </c>
    </row>
    <row r="180" spans="1:15" x14ac:dyDescent="0.35">
      <c r="A180" s="2" t="s">
        <v>1085</v>
      </c>
      <c r="B180" s="2" t="s">
        <v>790</v>
      </c>
      <c r="C180" s="18" t="s">
        <v>650</v>
      </c>
      <c r="D180" s="37" t="s">
        <v>507</v>
      </c>
      <c r="E180" s="18" t="s">
        <v>4126</v>
      </c>
      <c r="F180" s="176">
        <v>45882</v>
      </c>
      <c r="G180" s="179">
        <v>361800</v>
      </c>
      <c r="H180" s="37">
        <f t="shared" si="13"/>
        <v>110</v>
      </c>
      <c r="I180" s="37" t="str">
        <f t="shared" si="15"/>
        <v>0-120 DAYS</v>
      </c>
      <c r="J180" s="37" t="str">
        <f t="shared" si="14"/>
        <v>0-180 DAYS</v>
      </c>
      <c r="K180" t="s">
        <v>1730</v>
      </c>
      <c r="L180" s="66"/>
      <c r="M180" s="66">
        <v>361800</v>
      </c>
      <c r="O180" t="s">
        <v>4659</v>
      </c>
    </row>
    <row r="181" spans="1:15" x14ac:dyDescent="0.35">
      <c r="A181" s="2" t="s">
        <v>1085</v>
      </c>
      <c r="B181" s="2" t="s">
        <v>790</v>
      </c>
      <c r="C181" s="18" t="s">
        <v>650</v>
      </c>
      <c r="D181" s="37" t="s">
        <v>507</v>
      </c>
      <c r="E181" s="18" t="s">
        <v>1818</v>
      </c>
      <c r="F181" s="176">
        <v>45882</v>
      </c>
      <c r="G181" s="179">
        <v>3747645.11</v>
      </c>
      <c r="H181" s="37">
        <f t="shared" si="13"/>
        <v>110</v>
      </c>
      <c r="I181" s="37" t="str">
        <f t="shared" si="15"/>
        <v>0-120 DAYS</v>
      </c>
      <c r="J181" s="37" t="str">
        <f t="shared" si="14"/>
        <v>0-180 DAYS</v>
      </c>
      <c r="K181" t="s">
        <v>1730</v>
      </c>
      <c r="L181" s="66"/>
      <c r="M181" s="66">
        <v>3747645.11</v>
      </c>
      <c r="O181" t="s">
        <v>4659</v>
      </c>
    </row>
    <row r="182" spans="1:15" x14ac:dyDescent="0.35">
      <c r="A182" s="2" t="s">
        <v>1085</v>
      </c>
      <c r="B182" s="2" t="s">
        <v>790</v>
      </c>
      <c r="C182" s="18" t="s">
        <v>1086</v>
      </c>
      <c r="D182" s="37" t="s">
        <v>507</v>
      </c>
      <c r="E182" s="18" t="s">
        <v>4127</v>
      </c>
      <c r="F182" s="176">
        <v>45883</v>
      </c>
      <c r="G182" s="179">
        <v>3364101.48</v>
      </c>
      <c r="H182" s="37">
        <f t="shared" si="13"/>
        <v>109</v>
      </c>
      <c r="I182" s="37" t="str">
        <f t="shared" si="15"/>
        <v>0-120 DAYS</v>
      </c>
      <c r="J182" s="37" t="str">
        <f t="shared" si="14"/>
        <v>0-180 DAYS</v>
      </c>
      <c r="K182" t="s">
        <v>1730</v>
      </c>
      <c r="L182" s="66"/>
      <c r="M182" s="66">
        <v>3364101.48</v>
      </c>
      <c r="O182" t="s">
        <v>4646</v>
      </c>
    </row>
    <row r="183" spans="1:15" x14ac:dyDescent="0.35">
      <c r="A183" s="2" t="s">
        <v>1085</v>
      </c>
      <c r="B183" s="2" t="s">
        <v>790</v>
      </c>
      <c r="C183" s="18" t="s">
        <v>538</v>
      </c>
      <c r="D183" s="37" t="s">
        <v>507</v>
      </c>
      <c r="E183" s="18" t="s">
        <v>4130</v>
      </c>
      <c r="F183" s="176">
        <v>45887</v>
      </c>
      <c r="G183" s="179">
        <f>2515012.5-1654508</f>
        <v>860504.5</v>
      </c>
      <c r="H183" s="37">
        <f t="shared" si="13"/>
        <v>105</v>
      </c>
      <c r="I183" s="37" t="str">
        <f t="shared" si="15"/>
        <v>0-120 DAYS</v>
      </c>
      <c r="J183" s="37" t="str">
        <f t="shared" si="14"/>
        <v>0-180 DAYS</v>
      </c>
      <c r="K183" t="s">
        <v>1730</v>
      </c>
      <c r="L183" s="66"/>
      <c r="M183" s="66">
        <v>860504.5</v>
      </c>
      <c r="O183" t="s">
        <v>4649</v>
      </c>
    </row>
    <row r="184" spans="1:15" x14ac:dyDescent="0.35">
      <c r="A184" s="2" t="s">
        <v>1085</v>
      </c>
      <c r="B184" s="2" t="s">
        <v>790</v>
      </c>
      <c r="C184" s="18" t="s">
        <v>538</v>
      </c>
      <c r="D184" s="37" t="s">
        <v>507</v>
      </c>
      <c r="E184" s="18" t="s">
        <v>4131</v>
      </c>
      <c r="F184" s="176">
        <v>45887</v>
      </c>
      <c r="G184" s="179">
        <v>1382226.75</v>
      </c>
      <c r="H184" s="37">
        <f t="shared" si="13"/>
        <v>105</v>
      </c>
      <c r="I184" s="37" t="str">
        <f t="shared" si="15"/>
        <v>0-120 DAYS</v>
      </c>
      <c r="J184" s="37" t="str">
        <f t="shared" si="14"/>
        <v>0-180 DAYS</v>
      </c>
      <c r="K184" t="s">
        <v>1730</v>
      </c>
      <c r="L184" s="66"/>
      <c r="M184" s="66">
        <v>1382226.75</v>
      </c>
      <c r="O184" t="s">
        <v>4649</v>
      </c>
    </row>
    <row r="185" spans="1:15" x14ac:dyDescent="0.35">
      <c r="A185" s="2" t="s">
        <v>1085</v>
      </c>
      <c r="B185" s="2" t="s">
        <v>790</v>
      </c>
      <c r="C185" s="18" t="s">
        <v>538</v>
      </c>
      <c r="D185" s="37" t="s">
        <v>507</v>
      </c>
      <c r="E185" s="18" t="s">
        <v>4132</v>
      </c>
      <c r="F185" s="176">
        <v>45888</v>
      </c>
      <c r="G185" s="179">
        <v>3518886.9</v>
      </c>
      <c r="H185" s="37">
        <f t="shared" si="13"/>
        <v>104</v>
      </c>
      <c r="I185" s="37" t="str">
        <f t="shared" si="15"/>
        <v>0-120 DAYS</v>
      </c>
      <c r="J185" s="37" t="str">
        <f t="shared" si="14"/>
        <v>0-180 DAYS</v>
      </c>
      <c r="K185" t="s">
        <v>1730</v>
      </c>
      <c r="L185" s="66"/>
      <c r="M185" s="66">
        <v>3518886.9</v>
      </c>
      <c r="O185" t="s">
        <v>4660</v>
      </c>
    </row>
    <row r="186" spans="1:15" x14ac:dyDescent="0.35">
      <c r="A186" s="2" t="s">
        <v>1085</v>
      </c>
      <c r="B186" s="2" t="s">
        <v>790</v>
      </c>
      <c r="C186" s="18" t="s">
        <v>1086</v>
      </c>
      <c r="D186" s="37" t="s">
        <v>507</v>
      </c>
      <c r="E186" s="18" t="s">
        <v>4133</v>
      </c>
      <c r="F186" s="176">
        <v>45889</v>
      </c>
      <c r="G186" s="179">
        <v>676378.33</v>
      </c>
      <c r="H186" s="37">
        <f t="shared" si="13"/>
        <v>103</v>
      </c>
      <c r="I186" s="37" t="str">
        <f t="shared" si="15"/>
        <v>0-120 DAYS</v>
      </c>
      <c r="J186" s="37" t="str">
        <f t="shared" si="14"/>
        <v>0-180 DAYS</v>
      </c>
      <c r="K186" t="s">
        <v>1730</v>
      </c>
      <c r="L186" s="66"/>
      <c r="M186" s="66">
        <v>676378.33</v>
      </c>
      <c r="O186" t="s">
        <v>4650</v>
      </c>
    </row>
    <row r="187" spans="1:15" x14ac:dyDescent="0.35">
      <c r="A187" s="2" t="s">
        <v>1085</v>
      </c>
      <c r="B187" s="2" t="s">
        <v>790</v>
      </c>
      <c r="C187" s="18" t="s">
        <v>1086</v>
      </c>
      <c r="D187" s="37" t="s">
        <v>507</v>
      </c>
      <c r="E187" s="18" t="s">
        <v>4134</v>
      </c>
      <c r="F187" s="176">
        <v>45889</v>
      </c>
      <c r="G187" s="179">
        <v>2683834.37</v>
      </c>
      <c r="H187" s="37">
        <f t="shared" si="13"/>
        <v>103</v>
      </c>
      <c r="I187" s="37" t="str">
        <f t="shared" si="15"/>
        <v>0-120 DAYS</v>
      </c>
      <c r="J187" s="37" t="str">
        <f t="shared" si="14"/>
        <v>0-180 DAYS</v>
      </c>
      <c r="K187" t="s">
        <v>1730</v>
      </c>
      <c r="L187" s="66"/>
      <c r="M187" s="66">
        <v>2683834.37</v>
      </c>
      <c r="O187" t="s">
        <v>4650</v>
      </c>
    </row>
    <row r="188" spans="1:15" x14ac:dyDescent="0.35">
      <c r="A188" s="2" t="s">
        <v>1085</v>
      </c>
      <c r="B188" s="2" t="s">
        <v>790</v>
      </c>
      <c r="C188" s="18" t="s">
        <v>650</v>
      </c>
      <c r="D188" s="37" t="s">
        <v>507</v>
      </c>
      <c r="E188" s="18" t="s">
        <v>4136</v>
      </c>
      <c r="F188" s="176">
        <v>45889</v>
      </c>
      <c r="G188" s="179">
        <v>3039120</v>
      </c>
      <c r="H188" s="37">
        <f t="shared" si="13"/>
        <v>103</v>
      </c>
      <c r="I188" s="37" t="str">
        <f t="shared" si="15"/>
        <v>0-120 DAYS</v>
      </c>
      <c r="J188" s="37" t="str">
        <f t="shared" si="14"/>
        <v>0-180 DAYS</v>
      </c>
      <c r="K188" t="s">
        <v>1730</v>
      </c>
      <c r="L188" s="66"/>
      <c r="M188" s="66">
        <v>3039120</v>
      </c>
      <c r="O188" t="s">
        <v>4650</v>
      </c>
    </row>
    <row r="189" spans="1:15" x14ac:dyDescent="0.35">
      <c r="A189" s="2" t="s">
        <v>1085</v>
      </c>
      <c r="B189" s="2" t="s">
        <v>790</v>
      </c>
      <c r="C189" s="18" t="s">
        <v>575</v>
      </c>
      <c r="D189" s="37" t="s">
        <v>507</v>
      </c>
      <c r="E189" s="18" t="s">
        <v>4137</v>
      </c>
      <c r="F189" s="176">
        <v>45890</v>
      </c>
      <c r="G189" s="179">
        <v>3875209.65</v>
      </c>
      <c r="H189" s="37">
        <f t="shared" si="13"/>
        <v>102</v>
      </c>
      <c r="I189" s="37" t="str">
        <f t="shared" si="15"/>
        <v>0-120 DAYS</v>
      </c>
      <c r="J189" s="37" t="str">
        <f t="shared" si="14"/>
        <v>0-180 DAYS</v>
      </c>
      <c r="K189" t="s">
        <v>1730</v>
      </c>
      <c r="L189" s="66"/>
      <c r="M189" s="66">
        <v>3875209.65</v>
      </c>
      <c r="O189" t="s">
        <v>4651</v>
      </c>
    </row>
    <row r="190" spans="1:15" x14ac:dyDescent="0.35">
      <c r="A190" s="2" t="s">
        <v>1085</v>
      </c>
      <c r="B190" s="2" t="s">
        <v>790</v>
      </c>
      <c r="C190" s="18" t="s">
        <v>653</v>
      </c>
      <c r="D190" s="37" t="s">
        <v>507</v>
      </c>
      <c r="E190" s="18" t="s">
        <v>4138</v>
      </c>
      <c r="F190" s="176">
        <v>45890</v>
      </c>
      <c r="G190" s="179">
        <f>3276460.8-3024210</f>
        <v>252250.79999999981</v>
      </c>
      <c r="H190" s="37">
        <f t="shared" si="13"/>
        <v>102</v>
      </c>
      <c r="I190" s="37" t="str">
        <f t="shared" si="15"/>
        <v>0-120 DAYS</v>
      </c>
      <c r="J190" s="37" t="str">
        <f t="shared" si="14"/>
        <v>0-180 DAYS</v>
      </c>
      <c r="K190" t="s">
        <v>1730</v>
      </c>
      <c r="L190" s="66"/>
      <c r="M190" s="66">
        <v>252250.8</v>
      </c>
      <c r="O190" t="s">
        <v>4651</v>
      </c>
    </row>
    <row r="191" spans="1:15" x14ac:dyDescent="0.35">
      <c r="A191" s="2" t="s">
        <v>1085</v>
      </c>
      <c r="B191" s="2" t="s">
        <v>790</v>
      </c>
      <c r="C191" s="18" t="s">
        <v>650</v>
      </c>
      <c r="D191" s="37" t="s">
        <v>507</v>
      </c>
      <c r="E191" s="18" t="s">
        <v>1819</v>
      </c>
      <c r="F191" s="176">
        <v>45890</v>
      </c>
      <c r="G191" s="179">
        <v>3940685.41</v>
      </c>
      <c r="H191" s="37">
        <f t="shared" si="13"/>
        <v>102</v>
      </c>
      <c r="I191" s="37" t="str">
        <f t="shared" si="15"/>
        <v>0-120 DAYS</v>
      </c>
      <c r="J191" s="37" t="str">
        <f t="shared" si="14"/>
        <v>0-180 DAYS</v>
      </c>
      <c r="K191" t="s">
        <v>1730</v>
      </c>
      <c r="L191" s="66"/>
      <c r="M191" s="66">
        <v>3940685.41</v>
      </c>
      <c r="O191" t="s">
        <v>4651</v>
      </c>
    </row>
    <row r="192" spans="1:15" x14ac:dyDescent="0.35">
      <c r="A192" s="2" t="s">
        <v>1085</v>
      </c>
      <c r="B192" s="2" t="s">
        <v>790</v>
      </c>
      <c r="C192" s="18" t="s">
        <v>575</v>
      </c>
      <c r="D192" s="37" t="s">
        <v>507</v>
      </c>
      <c r="E192" s="18" t="s">
        <v>4140</v>
      </c>
      <c r="F192" s="176">
        <v>45892</v>
      </c>
      <c r="G192" s="179">
        <v>3529774.22</v>
      </c>
      <c r="H192" s="37">
        <f t="shared" si="13"/>
        <v>100</v>
      </c>
      <c r="I192" s="37" t="str">
        <f t="shared" si="15"/>
        <v>0-120 DAYS</v>
      </c>
      <c r="J192" s="37" t="str">
        <f t="shared" si="14"/>
        <v>0-180 DAYS</v>
      </c>
      <c r="K192" t="s">
        <v>1730</v>
      </c>
      <c r="L192" s="66"/>
      <c r="M192" s="66">
        <v>3529774.22</v>
      </c>
      <c r="O192" t="s">
        <v>4652</v>
      </c>
    </row>
    <row r="193" spans="1:15" x14ac:dyDescent="0.35">
      <c r="A193" s="2" t="s">
        <v>1085</v>
      </c>
      <c r="B193" s="2" t="s">
        <v>790</v>
      </c>
      <c r="C193" s="18" t="s">
        <v>1086</v>
      </c>
      <c r="D193" s="37" t="s">
        <v>507</v>
      </c>
      <c r="E193" s="18" t="s">
        <v>4141</v>
      </c>
      <c r="F193" s="176">
        <v>45893</v>
      </c>
      <c r="G193" s="179">
        <v>726797.89</v>
      </c>
      <c r="H193" s="37">
        <f t="shared" si="13"/>
        <v>99</v>
      </c>
      <c r="I193" s="37" t="str">
        <f t="shared" si="15"/>
        <v>0-120 DAYS</v>
      </c>
      <c r="J193" s="37" t="str">
        <f t="shared" si="14"/>
        <v>0-180 DAYS</v>
      </c>
      <c r="K193" t="s">
        <v>1730</v>
      </c>
      <c r="L193" s="66"/>
      <c r="M193" s="66">
        <v>726797.89</v>
      </c>
      <c r="O193" t="s">
        <v>4653</v>
      </c>
    </row>
    <row r="194" spans="1:15" x14ac:dyDescent="0.35">
      <c r="A194" s="2" t="s">
        <v>1085</v>
      </c>
      <c r="B194" s="2" t="s">
        <v>790</v>
      </c>
      <c r="C194" s="18" t="s">
        <v>1086</v>
      </c>
      <c r="D194" s="37" t="s">
        <v>507</v>
      </c>
      <c r="E194" s="18" t="s">
        <v>4142</v>
      </c>
      <c r="F194" s="176">
        <v>45893</v>
      </c>
      <c r="G194" s="179">
        <v>2501286.9500000002</v>
      </c>
      <c r="H194" s="37">
        <f t="shared" si="13"/>
        <v>99</v>
      </c>
      <c r="I194" s="37" t="str">
        <f t="shared" si="15"/>
        <v>0-120 DAYS</v>
      </c>
      <c r="J194" s="37" t="str">
        <f t="shared" si="14"/>
        <v>0-180 DAYS</v>
      </c>
      <c r="K194" t="s">
        <v>1730</v>
      </c>
      <c r="L194" s="66"/>
      <c r="M194" s="66">
        <v>2501286.9500000002</v>
      </c>
      <c r="O194" t="s">
        <v>4653</v>
      </c>
    </row>
    <row r="195" spans="1:15" x14ac:dyDescent="0.35">
      <c r="A195" s="2" t="s">
        <v>1085</v>
      </c>
      <c r="B195" s="2" t="s">
        <v>790</v>
      </c>
      <c r="C195" s="18" t="s">
        <v>538</v>
      </c>
      <c r="D195" s="37" t="s">
        <v>507</v>
      </c>
      <c r="E195" s="18" t="s">
        <v>4143</v>
      </c>
      <c r="F195" s="176">
        <v>45894</v>
      </c>
      <c r="G195" s="179">
        <v>3401723.05</v>
      </c>
      <c r="H195" s="37">
        <f t="shared" si="13"/>
        <v>98</v>
      </c>
      <c r="I195" s="37" t="str">
        <f t="shared" si="15"/>
        <v>0-120 DAYS</v>
      </c>
      <c r="J195" s="37" t="str">
        <f t="shared" si="14"/>
        <v>0-180 DAYS</v>
      </c>
      <c r="K195" t="s">
        <v>1730</v>
      </c>
      <c r="L195" s="66"/>
      <c r="M195" s="66">
        <v>3401723.05</v>
      </c>
      <c r="O195" t="s">
        <v>4661</v>
      </c>
    </row>
    <row r="196" spans="1:15" x14ac:dyDescent="0.35">
      <c r="A196" s="2" t="s">
        <v>1085</v>
      </c>
      <c r="B196" s="2" t="s">
        <v>790</v>
      </c>
      <c r="C196" s="18" t="s">
        <v>650</v>
      </c>
      <c r="D196" s="37" t="s">
        <v>507</v>
      </c>
      <c r="E196" s="18" t="s">
        <v>2111</v>
      </c>
      <c r="F196" s="176">
        <v>45895</v>
      </c>
      <c r="G196" s="179">
        <v>3347732.37</v>
      </c>
      <c r="H196" s="37">
        <f t="shared" si="13"/>
        <v>97</v>
      </c>
      <c r="I196" s="37" t="str">
        <f t="shared" si="15"/>
        <v>0-120 DAYS</v>
      </c>
      <c r="J196" s="37" t="str">
        <f t="shared" si="14"/>
        <v>0-180 DAYS</v>
      </c>
      <c r="K196" t="s">
        <v>1730</v>
      </c>
      <c r="L196" s="66"/>
      <c r="M196" s="66">
        <v>3347732.37</v>
      </c>
      <c r="O196" t="s">
        <v>4662</v>
      </c>
    </row>
    <row r="197" spans="1:15" x14ac:dyDescent="0.35">
      <c r="A197" s="2" t="s">
        <v>1085</v>
      </c>
      <c r="B197" s="2" t="s">
        <v>790</v>
      </c>
      <c r="C197" s="18" t="s">
        <v>715</v>
      </c>
      <c r="D197" s="37" t="s">
        <v>507</v>
      </c>
      <c r="E197" s="18" t="s">
        <v>4144</v>
      </c>
      <c r="F197" s="176">
        <v>45896</v>
      </c>
      <c r="G197" s="179">
        <v>3541992.48</v>
      </c>
      <c r="H197" s="37">
        <f t="shared" si="13"/>
        <v>96</v>
      </c>
      <c r="I197" s="37" t="str">
        <f t="shared" si="15"/>
        <v>0-120 DAYS</v>
      </c>
      <c r="J197" s="37" t="str">
        <f t="shared" si="14"/>
        <v>0-180 DAYS</v>
      </c>
      <c r="K197" t="s">
        <v>1730</v>
      </c>
      <c r="L197" s="66"/>
      <c r="M197" s="66">
        <v>3541992.48</v>
      </c>
      <c r="O197" t="s">
        <v>4663</v>
      </c>
    </row>
    <row r="198" spans="1:15" x14ac:dyDescent="0.35">
      <c r="A198" s="2" t="s">
        <v>1085</v>
      </c>
      <c r="B198" s="2" t="s">
        <v>790</v>
      </c>
      <c r="C198" s="18" t="s">
        <v>650</v>
      </c>
      <c r="D198" s="37" t="s">
        <v>507</v>
      </c>
      <c r="E198" s="18" t="s">
        <v>4145</v>
      </c>
      <c r="F198" s="176">
        <v>45896</v>
      </c>
      <c r="G198" s="179">
        <v>108111.3</v>
      </c>
      <c r="H198" s="37">
        <f t="shared" si="13"/>
        <v>96</v>
      </c>
      <c r="I198" s="37" t="str">
        <f t="shared" si="15"/>
        <v>0-120 DAYS</v>
      </c>
      <c r="J198" s="37" t="str">
        <f t="shared" si="14"/>
        <v>0-180 DAYS</v>
      </c>
      <c r="K198" t="s">
        <v>1730</v>
      </c>
      <c r="L198" s="66"/>
      <c r="M198" s="66">
        <v>108111.3</v>
      </c>
      <c r="O198" t="s">
        <v>4663</v>
      </c>
    </row>
    <row r="199" spans="1:15" x14ac:dyDescent="0.35">
      <c r="A199" s="2" t="s">
        <v>1085</v>
      </c>
      <c r="B199" s="2" t="s">
        <v>790</v>
      </c>
      <c r="C199" s="18" t="s">
        <v>650</v>
      </c>
      <c r="D199" s="37" t="s">
        <v>507</v>
      </c>
      <c r="E199" s="18" t="s">
        <v>4146</v>
      </c>
      <c r="F199" s="176">
        <v>45897</v>
      </c>
      <c r="G199" s="179">
        <v>3061998.72</v>
      </c>
      <c r="H199" s="37">
        <f t="shared" si="13"/>
        <v>95</v>
      </c>
      <c r="I199" s="37" t="str">
        <f t="shared" si="15"/>
        <v>0-120 DAYS</v>
      </c>
      <c r="J199" s="37" t="str">
        <f t="shared" si="14"/>
        <v>0-180 DAYS</v>
      </c>
      <c r="K199" t="s">
        <v>1730</v>
      </c>
      <c r="L199" s="66"/>
      <c r="M199" s="66">
        <v>3061998.72</v>
      </c>
      <c r="O199" t="s">
        <v>4654</v>
      </c>
    </row>
    <row r="200" spans="1:15" x14ac:dyDescent="0.35">
      <c r="A200" s="2" t="s">
        <v>1085</v>
      </c>
      <c r="B200" s="2" t="s">
        <v>790</v>
      </c>
      <c r="C200" s="18" t="s">
        <v>1086</v>
      </c>
      <c r="D200" s="37" t="s">
        <v>507</v>
      </c>
      <c r="E200" s="18" t="s">
        <v>4147</v>
      </c>
      <c r="F200" s="176">
        <v>45898</v>
      </c>
      <c r="G200" s="179">
        <v>3294072.66</v>
      </c>
      <c r="H200" s="37">
        <f t="shared" si="13"/>
        <v>94</v>
      </c>
      <c r="I200" s="37" t="str">
        <f t="shared" si="15"/>
        <v>0-120 DAYS</v>
      </c>
      <c r="J200" s="37" t="str">
        <f t="shared" si="14"/>
        <v>0-180 DAYS</v>
      </c>
      <c r="K200" t="s">
        <v>1730</v>
      </c>
      <c r="L200" s="66"/>
      <c r="M200" s="66">
        <v>3294072.66</v>
      </c>
      <c r="O200" t="s">
        <v>4655</v>
      </c>
    </row>
    <row r="201" spans="1:15" x14ac:dyDescent="0.35">
      <c r="A201" s="2" t="s">
        <v>1085</v>
      </c>
      <c r="B201" s="2" t="s">
        <v>790</v>
      </c>
      <c r="C201" s="18" t="s">
        <v>1086</v>
      </c>
      <c r="D201" s="37" t="s">
        <v>507</v>
      </c>
      <c r="E201" s="18" t="s">
        <v>4148</v>
      </c>
      <c r="F201" s="176">
        <v>45898</v>
      </c>
      <c r="G201" s="179">
        <v>44961.919999999998</v>
      </c>
      <c r="H201" s="37">
        <f t="shared" si="13"/>
        <v>94</v>
      </c>
      <c r="I201" s="37" t="str">
        <f t="shared" si="15"/>
        <v>0-120 DAYS</v>
      </c>
      <c r="J201" s="37" t="str">
        <f t="shared" si="14"/>
        <v>0-180 DAYS</v>
      </c>
      <c r="K201" t="s">
        <v>1730</v>
      </c>
      <c r="L201" s="66"/>
      <c r="M201" s="66">
        <v>44961.919999999998</v>
      </c>
      <c r="O201" t="s">
        <v>4655</v>
      </c>
    </row>
    <row r="202" spans="1:15" x14ac:dyDescent="0.35">
      <c r="A202" s="2" t="s">
        <v>1085</v>
      </c>
      <c r="B202" s="2" t="s">
        <v>790</v>
      </c>
      <c r="C202" s="18" t="s">
        <v>538</v>
      </c>
      <c r="D202" s="37" t="s">
        <v>507</v>
      </c>
      <c r="E202" s="18" t="s">
        <v>4149</v>
      </c>
      <c r="F202" s="176">
        <v>45898</v>
      </c>
      <c r="G202" s="179">
        <v>3418243.37</v>
      </c>
      <c r="H202" s="37">
        <f t="shared" si="13"/>
        <v>94</v>
      </c>
      <c r="I202" s="37" t="str">
        <f t="shared" si="15"/>
        <v>0-120 DAYS</v>
      </c>
      <c r="J202" s="37" t="str">
        <f t="shared" si="14"/>
        <v>0-180 DAYS</v>
      </c>
      <c r="K202" t="s">
        <v>1730</v>
      </c>
      <c r="L202" s="66"/>
      <c r="M202" s="66">
        <v>3418243.37</v>
      </c>
      <c r="O202" t="s">
        <v>4655</v>
      </c>
    </row>
    <row r="203" spans="1:15" x14ac:dyDescent="0.35">
      <c r="A203" s="2" t="s">
        <v>477</v>
      </c>
      <c r="B203" s="2" t="s">
        <v>790</v>
      </c>
      <c r="C203" s="18" t="s">
        <v>1838</v>
      </c>
      <c r="D203" s="18" t="s">
        <v>2001</v>
      </c>
      <c r="E203" s="18" t="s">
        <v>328</v>
      </c>
      <c r="F203" s="176">
        <v>45898</v>
      </c>
      <c r="G203" s="179">
        <f>710551.16-488306</f>
        <v>222245.16000000003</v>
      </c>
      <c r="H203" s="37">
        <f t="shared" si="13"/>
        <v>94</v>
      </c>
      <c r="I203" s="37" t="str">
        <f t="shared" ref="I203:I204" si="16">IF(H203&lt;91,"1-90 DAYS",IF(H203&lt;121,"91-120DAYS",IF(H203&lt;181,"121-180 DAYS","More than 180 Days")))</f>
        <v>91-120DAYS</v>
      </c>
      <c r="J203" s="37" t="str">
        <f t="shared" si="14"/>
        <v>0-180 DAYS</v>
      </c>
      <c r="L203" s="66"/>
      <c r="M203" s="66">
        <v>222245.16</v>
      </c>
      <c r="O203" t="s">
        <v>4655</v>
      </c>
    </row>
    <row r="204" spans="1:15" x14ac:dyDescent="0.35">
      <c r="A204" s="2" t="s">
        <v>477</v>
      </c>
      <c r="B204" s="2" t="s">
        <v>790</v>
      </c>
      <c r="C204" s="18" t="s">
        <v>263</v>
      </c>
      <c r="D204" s="18" t="s">
        <v>264</v>
      </c>
      <c r="E204" s="18" t="s">
        <v>4152</v>
      </c>
      <c r="F204" s="176">
        <v>45890</v>
      </c>
      <c r="G204" s="179">
        <v>691354.92</v>
      </c>
      <c r="H204" s="37">
        <f t="shared" ref="H204:H267" si="17">$H$9-F204+1</f>
        <v>102</v>
      </c>
      <c r="I204" s="37" t="str">
        <f t="shared" si="16"/>
        <v>91-120DAYS</v>
      </c>
      <c r="J204" s="37" t="str">
        <f t="shared" si="14"/>
        <v>0-180 DAYS</v>
      </c>
      <c r="L204" s="66"/>
      <c r="M204" s="66">
        <v>691354.92</v>
      </c>
      <c r="O204" t="s">
        <v>4651</v>
      </c>
    </row>
    <row r="205" spans="1:15" x14ac:dyDescent="0.35">
      <c r="A205" s="2" t="s">
        <v>1085</v>
      </c>
      <c r="B205" s="2" t="s">
        <v>790</v>
      </c>
      <c r="C205" s="18" t="s">
        <v>1086</v>
      </c>
      <c r="D205" s="37" t="s">
        <v>507</v>
      </c>
      <c r="E205" s="18" t="s">
        <v>4229</v>
      </c>
      <c r="F205" s="176">
        <v>45901</v>
      </c>
      <c r="G205" s="179">
        <v>1316776.55</v>
      </c>
      <c r="H205" s="37">
        <f t="shared" si="17"/>
        <v>91</v>
      </c>
      <c r="I205" s="37" t="str">
        <f t="shared" ref="I205:I263" si="18">IF(H205&lt;121,"0-120 DAYS",IF(H205&lt;181,"121-180 DAYS","More than 180 Days"))</f>
        <v>0-120 DAYS</v>
      </c>
      <c r="J205" s="37" t="str">
        <f t="shared" si="14"/>
        <v>0-180 DAYS</v>
      </c>
      <c r="K205" t="s">
        <v>1730</v>
      </c>
      <c r="L205" s="66"/>
      <c r="M205" s="66">
        <v>1316776.55</v>
      </c>
      <c r="O205" t="s">
        <v>4664</v>
      </c>
    </row>
    <row r="206" spans="1:15" x14ac:dyDescent="0.35">
      <c r="A206" s="2" t="s">
        <v>1085</v>
      </c>
      <c r="B206" s="2" t="s">
        <v>790</v>
      </c>
      <c r="C206" s="18" t="s">
        <v>1086</v>
      </c>
      <c r="D206" s="37" t="s">
        <v>507</v>
      </c>
      <c r="E206" s="18" t="s">
        <v>4230</v>
      </c>
      <c r="F206" s="176">
        <v>45901</v>
      </c>
      <c r="G206" s="179">
        <v>713853.23</v>
      </c>
      <c r="H206" s="37">
        <f t="shared" si="17"/>
        <v>91</v>
      </c>
      <c r="I206" s="37" t="str">
        <f t="shared" si="18"/>
        <v>0-120 DAYS</v>
      </c>
      <c r="J206" s="37" t="str">
        <f t="shared" ref="J206:J269" si="19">IF(H206&lt;180,"0-180 DAYS","More than 180 Days")</f>
        <v>0-180 DAYS</v>
      </c>
      <c r="K206" t="s">
        <v>1730</v>
      </c>
      <c r="L206" s="66"/>
      <c r="M206" s="66">
        <v>713853.23</v>
      </c>
      <c r="O206" t="s">
        <v>4664</v>
      </c>
    </row>
    <row r="207" spans="1:15" x14ac:dyDescent="0.35">
      <c r="A207" s="2" t="s">
        <v>1085</v>
      </c>
      <c r="B207" s="2" t="s">
        <v>790</v>
      </c>
      <c r="C207" s="18" t="s">
        <v>1086</v>
      </c>
      <c r="D207" s="37" t="s">
        <v>507</v>
      </c>
      <c r="E207" s="18" t="s">
        <v>4231</v>
      </c>
      <c r="F207" s="176">
        <v>45901</v>
      </c>
      <c r="G207" s="179">
        <v>536510.52</v>
      </c>
      <c r="H207" s="37">
        <f t="shared" si="17"/>
        <v>91</v>
      </c>
      <c r="I207" s="37" t="str">
        <f t="shared" si="18"/>
        <v>0-120 DAYS</v>
      </c>
      <c r="J207" s="37" t="str">
        <f t="shared" si="19"/>
        <v>0-180 DAYS</v>
      </c>
      <c r="K207" t="s">
        <v>1730</v>
      </c>
      <c r="L207" s="66"/>
      <c r="M207" s="66">
        <v>536510.52</v>
      </c>
      <c r="O207" t="s">
        <v>4664</v>
      </c>
    </row>
    <row r="208" spans="1:15" x14ac:dyDescent="0.35">
      <c r="A208" s="2" t="s">
        <v>1085</v>
      </c>
      <c r="B208" s="2" t="s">
        <v>790</v>
      </c>
      <c r="C208" s="18" t="s">
        <v>814</v>
      </c>
      <c r="D208" s="37" t="s">
        <v>507</v>
      </c>
      <c r="E208" s="18" t="s">
        <v>4232</v>
      </c>
      <c r="F208" s="176">
        <v>45901</v>
      </c>
      <c r="G208" s="179">
        <v>63405.440000000002</v>
      </c>
      <c r="H208" s="37">
        <f t="shared" si="17"/>
        <v>91</v>
      </c>
      <c r="I208" s="37" t="str">
        <f t="shared" si="18"/>
        <v>0-120 DAYS</v>
      </c>
      <c r="J208" s="37" t="str">
        <f t="shared" si="19"/>
        <v>0-180 DAYS</v>
      </c>
      <c r="K208" t="s">
        <v>1730</v>
      </c>
      <c r="L208" s="66"/>
      <c r="M208" s="66">
        <v>63405.440000000002</v>
      </c>
      <c r="O208" t="s">
        <v>4664</v>
      </c>
    </row>
    <row r="209" spans="1:15" x14ac:dyDescent="0.35">
      <c r="A209" s="2" t="s">
        <v>1085</v>
      </c>
      <c r="B209" s="2" t="s">
        <v>790</v>
      </c>
      <c r="C209" s="18" t="s">
        <v>3796</v>
      </c>
      <c r="D209" s="37" t="s">
        <v>507</v>
      </c>
      <c r="E209" s="18" t="s">
        <v>4233</v>
      </c>
      <c r="F209" s="176">
        <v>45902</v>
      </c>
      <c r="G209" s="179">
        <v>3365938.36</v>
      </c>
      <c r="H209" s="37">
        <f t="shared" si="17"/>
        <v>90</v>
      </c>
      <c r="I209" s="37" t="str">
        <f t="shared" si="18"/>
        <v>0-120 DAYS</v>
      </c>
      <c r="J209" s="37" t="str">
        <f t="shared" si="19"/>
        <v>0-180 DAYS</v>
      </c>
      <c r="K209" t="s">
        <v>1730</v>
      </c>
      <c r="L209" s="66"/>
      <c r="M209" s="66">
        <v>3365938.36</v>
      </c>
      <c r="O209" t="s">
        <v>4665</v>
      </c>
    </row>
    <row r="210" spans="1:15" x14ac:dyDescent="0.35">
      <c r="A210" s="2" t="s">
        <v>1085</v>
      </c>
      <c r="B210" s="2" t="s">
        <v>790</v>
      </c>
      <c r="C210" s="18" t="s">
        <v>598</v>
      </c>
      <c r="D210" s="37" t="s">
        <v>507</v>
      </c>
      <c r="E210" s="18" t="s">
        <v>1798</v>
      </c>
      <c r="F210" s="176">
        <v>45902</v>
      </c>
      <c r="G210" s="179">
        <v>3918048.6</v>
      </c>
      <c r="H210" s="37">
        <f t="shared" si="17"/>
        <v>90</v>
      </c>
      <c r="I210" s="37" t="str">
        <f t="shared" si="18"/>
        <v>0-120 DAYS</v>
      </c>
      <c r="J210" s="37" t="str">
        <f t="shared" si="19"/>
        <v>0-180 DAYS</v>
      </c>
      <c r="K210" t="s">
        <v>1730</v>
      </c>
      <c r="L210" s="66"/>
      <c r="M210" s="66">
        <v>3918048.6</v>
      </c>
      <c r="O210" t="s">
        <v>4665</v>
      </c>
    </row>
    <row r="211" spans="1:15" x14ac:dyDescent="0.35">
      <c r="A211" s="2" t="s">
        <v>1085</v>
      </c>
      <c r="B211" s="2" t="s">
        <v>790</v>
      </c>
      <c r="C211" s="18" t="s">
        <v>4227</v>
      </c>
      <c r="D211" s="37" t="s">
        <v>507</v>
      </c>
      <c r="E211" s="18" t="s">
        <v>4234</v>
      </c>
      <c r="F211" s="176">
        <v>45903</v>
      </c>
      <c r="G211" s="179">
        <v>3411864.96</v>
      </c>
      <c r="H211" s="37">
        <f t="shared" si="17"/>
        <v>89</v>
      </c>
      <c r="I211" s="37" t="str">
        <f t="shared" si="18"/>
        <v>0-120 DAYS</v>
      </c>
      <c r="J211" s="37" t="str">
        <f t="shared" si="19"/>
        <v>0-180 DAYS</v>
      </c>
      <c r="K211" t="s">
        <v>1730</v>
      </c>
      <c r="L211" s="66"/>
      <c r="M211" s="66">
        <v>3411864.96</v>
      </c>
      <c r="O211" t="s">
        <v>4666</v>
      </c>
    </row>
    <row r="212" spans="1:15" x14ac:dyDescent="0.35">
      <c r="A212" s="2" t="s">
        <v>1085</v>
      </c>
      <c r="B212" s="2" t="s">
        <v>790</v>
      </c>
      <c r="C212" s="18" t="s">
        <v>2066</v>
      </c>
      <c r="D212" s="37" t="s">
        <v>507</v>
      </c>
      <c r="E212" s="18" t="s">
        <v>4235</v>
      </c>
      <c r="F212" s="176">
        <v>45904</v>
      </c>
      <c r="G212" s="179">
        <v>3585890.55</v>
      </c>
      <c r="H212" s="37">
        <f t="shared" si="17"/>
        <v>88</v>
      </c>
      <c r="I212" s="37" t="str">
        <f t="shared" si="18"/>
        <v>0-120 DAYS</v>
      </c>
      <c r="J212" s="37" t="str">
        <f t="shared" si="19"/>
        <v>0-180 DAYS</v>
      </c>
      <c r="K212" t="s">
        <v>1730</v>
      </c>
      <c r="L212" s="66"/>
      <c r="M212" s="66">
        <v>3585890.55</v>
      </c>
      <c r="O212" t="s">
        <v>4667</v>
      </c>
    </row>
    <row r="213" spans="1:15" x14ac:dyDescent="0.35">
      <c r="A213" s="2" t="s">
        <v>1085</v>
      </c>
      <c r="B213" s="2" t="s">
        <v>790</v>
      </c>
      <c r="C213" s="18" t="s">
        <v>2066</v>
      </c>
      <c r="D213" s="37" t="s">
        <v>507</v>
      </c>
      <c r="E213" s="18" t="s">
        <v>4236</v>
      </c>
      <c r="F213" s="176">
        <v>45904</v>
      </c>
      <c r="G213" s="179">
        <v>1874805.24</v>
      </c>
      <c r="H213" s="37">
        <f t="shared" si="17"/>
        <v>88</v>
      </c>
      <c r="I213" s="37" t="str">
        <f t="shared" si="18"/>
        <v>0-120 DAYS</v>
      </c>
      <c r="J213" s="37" t="str">
        <f t="shared" si="19"/>
        <v>0-180 DAYS</v>
      </c>
      <c r="K213" t="s">
        <v>1730</v>
      </c>
      <c r="L213" s="66"/>
      <c r="M213" s="66">
        <v>1874805.24</v>
      </c>
      <c r="O213" t="s">
        <v>4667</v>
      </c>
    </row>
    <row r="214" spans="1:15" x14ac:dyDescent="0.35">
      <c r="A214" s="2" t="s">
        <v>1085</v>
      </c>
      <c r="B214" s="2" t="s">
        <v>790</v>
      </c>
      <c r="C214" s="18" t="s">
        <v>814</v>
      </c>
      <c r="D214" s="37" t="s">
        <v>507</v>
      </c>
      <c r="E214" s="18" t="s">
        <v>4237</v>
      </c>
      <c r="F214" s="176">
        <v>45904</v>
      </c>
      <c r="G214" s="179">
        <v>114873</v>
      </c>
      <c r="H214" s="37">
        <f t="shared" si="17"/>
        <v>88</v>
      </c>
      <c r="I214" s="37" t="str">
        <f t="shared" si="18"/>
        <v>0-120 DAYS</v>
      </c>
      <c r="J214" s="37" t="str">
        <f t="shared" si="19"/>
        <v>0-180 DAYS</v>
      </c>
      <c r="K214" t="s">
        <v>1730</v>
      </c>
      <c r="L214" s="66"/>
      <c r="M214" s="66">
        <v>114873</v>
      </c>
      <c r="O214" t="s">
        <v>4667</v>
      </c>
    </row>
    <row r="215" spans="1:15" x14ac:dyDescent="0.35">
      <c r="A215" s="2" t="s">
        <v>1085</v>
      </c>
      <c r="B215" s="2" t="s">
        <v>790</v>
      </c>
      <c r="C215" s="18" t="s">
        <v>575</v>
      </c>
      <c r="D215" s="37" t="s">
        <v>507</v>
      </c>
      <c r="E215" s="18" t="s">
        <v>4238</v>
      </c>
      <c r="F215" s="176">
        <v>45905</v>
      </c>
      <c r="G215" s="179">
        <v>3814035.14</v>
      </c>
      <c r="H215" s="37">
        <f t="shared" si="17"/>
        <v>87</v>
      </c>
      <c r="I215" s="37" t="str">
        <f t="shared" si="18"/>
        <v>0-120 DAYS</v>
      </c>
      <c r="J215" s="37" t="str">
        <f t="shared" si="19"/>
        <v>0-180 DAYS</v>
      </c>
      <c r="K215" t="s">
        <v>1730</v>
      </c>
      <c r="L215" s="66"/>
      <c r="M215" s="66">
        <v>3814035.14</v>
      </c>
      <c r="O215" t="s">
        <v>4668</v>
      </c>
    </row>
    <row r="216" spans="1:15" x14ac:dyDescent="0.35">
      <c r="A216" s="2" t="s">
        <v>1209</v>
      </c>
      <c r="B216" s="2" t="s">
        <v>789</v>
      </c>
      <c r="C216" s="18" t="s">
        <v>506</v>
      </c>
      <c r="D216" s="37" t="s">
        <v>507</v>
      </c>
      <c r="E216" s="18" t="s">
        <v>4239</v>
      </c>
      <c r="F216" s="176">
        <v>45905</v>
      </c>
      <c r="G216" s="179">
        <v>2407874.5600000001</v>
      </c>
      <c r="H216" s="37">
        <f t="shared" si="17"/>
        <v>87</v>
      </c>
      <c r="I216" s="37" t="str">
        <f t="shared" si="18"/>
        <v>0-120 DAYS</v>
      </c>
      <c r="J216" s="37" t="str">
        <f t="shared" si="19"/>
        <v>0-180 DAYS</v>
      </c>
      <c r="L216" s="66"/>
      <c r="M216" s="66">
        <v>2407874.5600000001</v>
      </c>
      <c r="O216" t="s">
        <v>4668</v>
      </c>
    </row>
    <row r="217" spans="1:15" x14ac:dyDescent="0.35">
      <c r="A217" s="2" t="s">
        <v>1209</v>
      </c>
      <c r="B217" s="2" t="s">
        <v>789</v>
      </c>
      <c r="C217" s="18" t="s">
        <v>506</v>
      </c>
      <c r="D217" s="37" t="s">
        <v>507</v>
      </c>
      <c r="E217" s="18" t="s">
        <v>4240</v>
      </c>
      <c r="F217" s="176">
        <v>45905</v>
      </c>
      <c r="G217" s="179">
        <v>382490.99</v>
      </c>
      <c r="H217" s="37">
        <f t="shared" si="17"/>
        <v>87</v>
      </c>
      <c r="I217" s="37" t="str">
        <f t="shared" si="18"/>
        <v>0-120 DAYS</v>
      </c>
      <c r="J217" s="37" t="str">
        <f t="shared" si="19"/>
        <v>0-180 DAYS</v>
      </c>
      <c r="L217" s="66"/>
      <c r="M217" s="66">
        <v>382490.99</v>
      </c>
      <c r="O217" t="s">
        <v>4668</v>
      </c>
    </row>
    <row r="218" spans="1:15" x14ac:dyDescent="0.35">
      <c r="A218" s="2" t="s">
        <v>1209</v>
      </c>
      <c r="B218" s="2" t="s">
        <v>789</v>
      </c>
      <c r="C218" s="18" t="s">
        <v>506</v>
      </c>
      <c r="D218" s="37" t="s">
        <v>507</v>
      </c>
      <c r="E218" s="18" t="s">
        <v>4241</v>
      </c>
      <c r="F218" s="176">
        <v>45905</v>
      </c>
      <c r="G218" s="179">
        <v>345305.54</v>
      </c>
      <c r="H218" s="37">
        <f t="shared" si="17"/>
        <v>87</v>
      </c>
      <c r="I218" s="37" t="str">
        <f t="shared" si="18"/>
        <v>0-120 DAYS</v>
      </c>
      <c r="J218" s="37" t="str">
        <f t="shared" si="19"/>
        <v>0-180 DAYS</v>
      </c>
      <c r="L218" s="66"/>
      <c r="M218" s="66">
        <v>345305.54</v>
      </c>
      <c r="O218" t="s">
        <v>4668</v>
      </c>
    </row>
    <row r="219" spans="1:15" x14ac:dyDescent="0.35">
      <c r="A219" s="2" t="s">
        <v>1085</v>
      </c>
      <c r="B219" s="2" t="s">
        <v>790</v>
      </c>
      <c r="C219" s="18" t="s">
        <v>681</v>
      </c>
      <c r="D219" s="37" t="s">
        <v>507</v>
      </c>
      <c r="E219" s="18" t="s">
        <v>1800</v>
      </c>
      <c r="F219" s="176">
        <v>45905</v>
      </c>
      <c r="G219" s="179">
        <v>3625534.08</v>
      </c>
      <c r="H219" s="37">
        <f t="shared" si="17"/>
        <v>87</v>
      </c>
      <c r="I219" s="37" t="str">
        <f t="shared" si="18"/>
        <v>0-120 DAYS</v>
      </c>
      <c r="J219" s="37" t="str">
        <f t="shared" si="19"/>
        <v>0-180 DAYS</v>
      </c>
      <c r="K219" t="s">
        <v>1730</v>
      </c>
      <c r="L219" s="66"/>
      <c r="M219" s="66">
        <v>3625534.08</v>
      </c>
      <c r="O219" t="s">
        <v>4668</v>
      </c>
    </row>
    <row r="220" spans="1:15" x14ac:dyDescent="0.35">
      <c r="A220" s="2" t="s">
        <v>1085</v>
      </c>
      <c r="B220" s="2" t="s">
        <v>790</v>
      </c>
      <c r="C220" s="18" t="s">
        <v>3797</v>
      </c>
      <c r="D220" s="37" t="s">
        <v>507</v>
      </c>
      <c r="E220" s="18" t="s">
        <v>4242</v>
      </c>
      <c r="F220" s="176">
        <v>45907</v>
      </c>
      <c r="G220" s="179">
        <v>3988795.2</v>
      </c>
      <c r="H220" s="37">
        <f t="shared" si="17"/>
        <v>85</v>
      </c>
      <c r="I220" s="37" t="str">
        <f t="shared" si="18"/>
        <v>0-120 DAYS</v>
      </c>
      <c r="J220" s="37" t="str">
        <f t="shared" si="19"/>
        <v>0-180 DAYS</v>
      </c>
      <c r="K220" t="s">
        <v>1730</v>
      </c>
      <c r="L220" s="66"/>
      <c r="M220" s="66">
        <v>3988795.2</v>
      </c>
      <c r="O220" t="s">
        <v>4669</v>
      </c>
    </row>
    <row r="221" spans="1:15" x14ac:dyDescent="0.35">
      <c r="A221" s="2" t="s">
        <v>1085</v>
      </c>
      <c r="B221" s="2" t="s">
        <v>790</v>
      </c>
      <c r="C221" s="18" t="s">
        <v>1244</v>
      </c>
      <c r="D221" s="37" t="s">
        <v>507</v>
      </c>
      <c r="E221" s="18" t="s">
        <v>4243</v>
      </c>
      <c r="F221" s="176">
        <v>45909</v>
      </c>
      <c r="G221" s="179">
        <f>3716917.97-2500000</f>
        <v>1216917.9700000002</v>
      </c>
      <c r="H221" s="37">
        <f t="shared" si="17"/>
        <v>83</v>
      </c>
      <c r="I221" s="37" t="str">
        <f t="shared" si="18"/>
        <v>0-120 DAYS</v>
      </c>
      <c r="J221" s="37" t="str">
        <f t="shared" si="19"/>
        <v>0-180 DAYS</v>
      </c>
      <c r="K221" t="s">
        <v>1730</v>
      </c>
      <c r="L221" s="66"/>
      <c r="M221" s="66">
        <v>1216917.97</v>
      </c>
      <c r="O221" t="s">
        <v>4670</v>
      </c>
    </row>
    <row r="222" spans="1:15" x14ac:dyDescent="0.35">
      <c r="A222" s="2" t="s">
        <v>1085</v>
      </c>
      <c r="B222" s="2" t="s">
        <v>790</v>
      </c>
      <c r="C222" s="18" t="s">
        <v>2066</v>
      </c>
      <c r="D222" s="37" t="s">
        <v>507</v>
      </c>
      <c r="E222" s="18" t="s">
        <v>4246</v>
      </c>
      <c r="F222" s="176">
        <v>45910</v>
      </c>
      <c r="G222" s="179">
        <v>3845404.94</v>
      </c>
      <c r="H222" s="37">
        <f t="shared" si="17"/>
        <v>82</v>
      </c>
      <c r="I222" s="37" t="str">
        <f t="shared" si="18"/>
        <v>0-120 DAYS</v>
      </c>
      <c r="J222" s="37" t="str">
        <f t="shared" si="19"/>
        <v>0-180 DAYS</v>
      </c>
      <c r="K222" t="s">
        <v>1730</v>
      </c>
      <c r="L222" s="66"/>
      <c r="M222" s="66">
        <v>3845404.94</v>
      </c>
      <c r="O222" t="s">
        <v>4671</v>
      </c>
    </row>
    <row r="223" spans="1:15" x14ac:dyDescent="0.35">
      <c r="A223" s="2" t="s">
        <v>1085</v>
      </c>
      <c r="B223" s="2" t="s">
        <v>790</v>
      </c>
      <c r="C223" s="18" t="s">
        <v>1244</v>
      </c>
      <c r="D223" s="37" t="s">
        <v>507</v>
      </c>
      <c r="E223" s="18" t="s">
        <v>4247</v>
      </c>
      <c r="F223" s="176">
        <v>45910</v>
      </c>
      <c r="G223" s="179">
        <v>3683213.19</v>
      </c>
      <c r="H223" s="37">
        <f t="shared" si="17"/>
        <v>82</v>
      </c>
      <c r="I223" s="37" t="str">
        <f t="shared" si="18"/>
        <v>0-120 DAYS</v>
      </c>
      <c r="J223" s="37" t="str">
        <f t="shared" si="19"/>
        <v>0-180 DAYS</v>
      </c>
      <c r="K223" t="s">
        <v>1730</v>
      </c>
      <c r="L223" s="66"/>
      <c r="M223" s="66">
        <v>3683213.19</v>
      </c>
      <c r="O223" t="s">
        <v>4671</v>
      </c>
    </row>
    <row r="224" spans="1:15" x14ac:dyDescent="0.35">
      <c r="A224" s="2" t="s">
        <v>1085</v>
      </c>
      <c r="B224" s="2" t="s">
        <v>790</v>
      </c>
      <c r="C224" s="18" t="s">
        <v>536</v>
      </c>
      <c r="D224" s="37" t="s">
        <v>507</v>
      </c>
      <c r="E224" s="18" t="s">
        <v>4248</v>
      </c>
      <c r="F224" s="176">
        <v>45911</v>
      </c>
      <c r="G224" s="179">
        <f>3127289.7-1300000</f>
        <v>1827289.7000000002</v>
      </c>
      <c r="H224" s="37">
        <f t="shared" si="17"/>
        <v>81</v>
      </c>
      <c r="I224" s="37" t="str">
        <f t="shared" si="18"/>
        <v>0-120 DAYS</v>
      </c>
      <c r="J224" s="37" t="str">
        <f t="shared" si="19"/>
        <v>0-180 DAYS</v>
      </c>
      <c r="K224" t="s">
        <v>1730</v>
      </c>
      <c r="L224" s="66"/>
      <c r="M224" s="66">
        <v>1827289.7</v>
      </c>
      <c r="O224" t="s">
        <v>4672</v>
      </c>
    </row>
    <row r="225" spans="1:15" x14ac:dyDescent="0.35">
      <c r="A225" s="2" t="s">
        <v>1085</v>
      </c>
      <c r="B225" s="2" t="s">
        <v>790</v>
      </c>
      <c r="C225" s="18" t="s">
        <v>1086</v>
      </c>
      <c r="D225" s="37" t="s">
        <v>507</v>
      </c>
      <c r="E225" s="18" t="s">
        <v>4249</v>
      </c>
      <c r="F225" s="176">
        <v>45912</v>
      </c>
      <c r="G225" s="179">
        <v>519484.76</v>
      </c>
      <c r="H225" s="37">
        <f t="shared" si="17"/>
        <v>80</v>
      </c>
      <c r="I225" s="37" t="str">
        <f t="shared" si="18"/>
        <v>0-120 DAYS</v>
      </c>
      <c r="J225" s="37" t="str">
        <f t="shared" si="19"/>
        <v>0-180 DAYS</v>
      </c>
      <c r="K225" t="s">
        <v>1730</v>
      </c>
      <c r="L225" s="66"/>
      <c r="M225" s="66">
        <v>519484.76</v>
      </c>
      <c r="O225" t="s">
        <v>4673</v>
      </c>
    </row>
    <row r="226" spans="1:15" x14ac:dyDescent="0.35">
      <c r="A226" s="2" t="s">
        <v>1085</v>
      </c>
      <c r="B226" s="2" t="s">
        <v>790</v>
      </c>
      <c r="C226" s="18" t="s">
        <v>1086</v>
      </c>
      <c r="D226" s="37" t="s">
        <v>507</v>
      </c>
      <c r="E226" s="18" t="s">
        <v>4250</v>
      </c>
      <c r="F226" s="176">
        <v>45912</v>
      </c>
      <c r="G226" s="179">
        <v>818769.24</v>
      </c>
      <c r="H226" s="37">
        <f t="shared" si="17"/>
        <v>80</v>
      </c>
      <c r="I226" s="37" t="str">
        <f t="shared" si="18"/>
        <v>0-120 DAYS</v>
      </c>
      <c r="J226" s="37" t="str">
        <f t="shared" si="19"/>
        <v>0-180 DAYS</v>
      </c>
      <c r="K226" t="s">
        <v>1730</v>
      </c>
      <c r="L226" s="66"/>
      <c r="M226" s="66">
        <v>818769.24</v>
      </c>
      <c r="O226" t="s">
        <v>4673</v>
      </c>
    </row>
    <row r="227" spans="1:15" x14ac:dyDescent="0.35">
      <c r="A227" s="2" t="s">
        <v>1085</v>
      </c>
      <c r="B227" s="2" t="s">
        <v>790</v>
      </c>
      <c r="C227" s="18" t="s">
        <v>1086</v>
      </c>
      <c r="D227" s="37" t="s">
        <v>507</v>
      </c>
      <c r="E227" s="18" t="s">
        <v>4251</v>
      </c>
      <c r="F227" s="176">
        <v>45912</v>
      </c>
      <c r="G227" s="179">
        <v>1176513.29</v>
      </c>
      <c r="H227" s="37">
        <f t="shared" si="17"/>
        <v>80</v>
      </c>
      <c r="I227" s="37" t="str">
        <f t="shared" si="18"/>
        <v>0-120 DAYS</v>
      </c>
      <c r="J227" s="37" t="str">
        <f t="shared" si="19"/>
        <v>0-180 DAYS</v>
      </c>
      <c r="K227" t="s">
        <v>1730</v>
      </c>
      <c r="L227" s="66"/>
      <c r="M227" s="66">
        <v>1176513.29</v>
      </c>
      <c r="O227" t="s">
        <v>4673</v>
      </c>
    </row>
    <row r="228" spans="1:15" x14ac:dyDescent="0.35">
      <c r="A228" s="2" t="s">
        <v>1085</v>
      </c>
      <c r="B228" s="2" t="s">
        <v>790</v>
      </c>
      <c r="C228" s="18" t="s">
        <v>1086</v>
      </c>
      <c r="D228" s="37" t="s">
        <v>507</v>
      </c>
      <c r="E228" s="18" t="s">
        <v>4252</v>
      </c>
      <c r="F228" s="176">
        <v>45912</v>
      </c>
      <c r="G228" s="179">
        <v>32192.75</v>
      </c>
      <c r="H228" s="37">
        <f t="shared" si="17"/>
        <v>80</v>
      </c>
      <c r="I228" s="37" t="str">
        <f t="shared" si="18"/>
        <v>0-120 DAYS</v>
      </c>
      <c r="J228" s="37" t="str">
        <f t="shared" si="19"/>
        <v>0-180 DAYS</v>
      </c>
      <c r="K228" t="s">
        <v>1730</v>
      </c>
      <c r="L228" s="66"/>
      <c r="M228" s="66">
        <v>32192.75</v>
      </c>
      <c r="O228" t="s">
        <v>4673</v>
      </c>
    </row>
    <row r="229" spans="1:15" x14ac:dyDescent="0.35">
      <c r="A229" s="2" t="s">
        <v>1085</v>
      </c>
      <c r="B229" s="2" t="s">
        <v>790</v>
      </c>
      <c r="C229" s="18" t="s">
        <v>2066</v>
      </c>
      <c r="D229" s="37" t="s">
        <v>507</v>
      </c>
      <c r="E229" s="18" t="s">
        <v>4253</v>
      </c>
      <c r="F229" s="176">
        <v>45914</v>
      </c>
      <c r="G229" s="179">
        <v>4758645.8</v>
      </c>
      <c r="H229" s="37">
        <f t="shared" si="17"/>
        <v>78</v>
      </c>
      <c r="I229" s="37" t="str">
        <f t="shared" si="18"/>
        <v>0-120 DAYS</v>
      </c>
      <c r="J229" s="37" t="str">
        <f t="shared" si="19"/>
        <v>0-180 DAYS</v>
      </c>
      <c r="K229" t="s">
        <v>1730</v>
      </c>
      <c r="L229" s="66"/>
      <c r="M229" s="66">
        <v>4758645.8</v>
      </c>
      <c r="O229" t="s">
        <v>4674</v>
      </c>
    </row>
    <row r="230" spans="1:15" x14ac:dyDescent="0.35">
      <c r="A230" s="2" t="s">
        <v>1085</v>
      </c>
      <c r="B230" s="2" t="s">
        <v>790</v>
      </c>
      <c r="C230" s="18" t="s">
        <v>538</v>
      </c>
      <c r="D230" s="37" t="s">
        <v>507</v>
      </c>
      <c r="E230" s="18" t="s">
        <v>4254</v>
      </c>
      <c r="F230" s="176">
        <v>45914</v>
      </c>
      <c r="G230" s="179">
        <v>3740282.28</v>
      </c>
      <c r="H230" s="37">
        <f t="shared" si="17"/>
        <v>78</v>
      </c>
      <c r="I230" s="37" t="str">
        <f t="shared" si="18"/>
        <v>0-120 DAYS</v>
      </c>
      <c r="J230" s="37" t="str">
        <f t="shared" si="19"/>
        <v>0-180 DAYS</v>
      </c>
      <c r="K230" t="s">
        <v>1730</v>
      </c>
      <c r="L230" s="66"/>
      <c r="M230" s="66">
        <v>3740282.28</v>
      </c>
      <c r="O230" t="s">
        <v>4674</v>
      </c>
    </row>
    <row r="231" spans="1:15" x14ac:dyDescent="0.35">
      <c r="A231" s="2" t="s">
        <v>1085</v>
      </c>
      <c r="B231" s="2" t="s">
        <v>790</v>
      </c>
      <c r="C231" s="18" t="s">
        <v>530</v>
      </c>
      <c r="D231" s="37" t="s">
        <v>507</v>
      </c>
      <c r="E231" s="18" t="s">
        <v>4255</v>
      </c>
      <c r="F231" s="176">
        <v>45916</v>
      </c>
      <c r="G231" s="179">
        <v>4256704.3499999996</v>
      </c>
      <c r="H231" s="37">
        <f t="shared" si="17"/>
        <v>76</v>
      </c>
      <c r="I231" s="37" t="str">
        <f t="shared" si="18"/>
        <v>0-120 DAYS</v>
      </c>
      <c r="J231" s="37" t="str">
        <f t="shared" si="19"/>
        <v>0-180 DAYS</v>
      </c>
      <c r="K231" t="s">
        <v>1730</v>
      </c>
      <c r="L231" s="66"/>
      <c r="M231" s="66">
        <v>4256704.3499999996</v>
      </c>
      <c r="O231" t="s">
        <v>4675</v>
      </c>
    </row>
    <row r="232" spans="1:15" x14ac:dyDescent="0.35">
      <c r="A232" s="2" t="s">
        <v>1085</v>
      </c>
      <c r="B232" s="2" t="s">
        <v>790</v>
      </c>
      <c r="C232" s="18" t="s">
        <v>540</v>
      </c>
      <c r="D232" s="37" t="s">
        <v>507</v>
      </c>
      <c r="E232" s="18" t="s">
        <v>4257</v>
      </c>
      <c r="F232" s="176">
        <v>45919</v>
      </c>
      <c r="G232" s="179">
        <f>3598519.77-927304</f>
        <v>2671215.77</v>
      </c>
      <c r="H232" s="37">
        <f t="shared" si="17"/>
        <v>73</v>
      </c>
      <c r="I232" s="37" t="str">
        <f t="shared" si="18"/>
        <v>0-120 DAYS</v>
      </c>
      <c r="J232" s="37" t="str">
        <f t="shared" si="19"/>
        <v>0-180 DAYS</v>
      </c>
      <c r="K232" t="s">
        <v>1730</v>
      </c>
      <c r="L232" s="66"/>
      <c r="M232" s="66">
        <v>2671215.77</v>
      </c>
      <c r="O232" t="s">
        <v>4676</v>
      </c>
    </row>
    <row r="233" spans="1:15" x14ac:dyDescent="0.35">
      <c r="A233" s="2" t="s">
        <v>1085</v>
      </c>
      <c r="B233" s="2" t="s">
        <v>790</v>
      </c>
      <c r="C233" s="18" t="s">
        <v>538</v>
      </c>
      <c r="D233" s="37" t="s">
        <v>507</v>
      </c>
      <c r="E233" s="18" t="s">
        <v>4258</v>
      </c>
      <c r="F233" s="176">
        <v>45920</v>
      </c>
      <c r="G233" s="179">
        <v>3835298.36</v>
      </c>
      <c r="H233" s="37">
        <f t="shared" si="17"/>
        <v>72</v>
      </c>
      <c r="I233" s="37" t="str">
        <f t="shared" si="18"/>
        <v>0-120 DAYS</v>
      </c>
      <c r="J233" s="37" t="str">
        <f t="shared" si="19"/>
        <v>0-180 DAYS</v>
      </c>
      <c r="K233" t="s">
        <v>1730</v>
      </c>
      <c r="L233" s="66"/>
      <c r="M233" s="66">
        <v>3835298.36</v>
      </c>
      <c r="O233" t="s">
        <v>4677</v>
      </c>
    </row>
    <row r="234" spans="1:15" x14ac:dyDescent="0.35">
      <c r="A234" s="2" t="s">
        <v>1085</v>
      </c>
      <c r="B234" s="2" t="s">
        <v>790</v>
      </c>
      <c r="C234" s="18" t="s">
        <v>814</v>
      </c>
      <c r="D234" s="37" t="s">
        <v>507</v>
      </c>
      <c r="E234" s="18" t="s">
        <v>4259</v>
      </c>
      <c r="F234" s="176">
        <v>45920</v>
      </c>
      <c r="G234" s="179">
        <v>206293</v>
      </c>
      <c r="H234" s="37">
        <f t="shared" si="17"/>
        <v>72</v>
      </c>
      <c r="I234" s="37" t="str">
        <f t="shared" si="18"/>
        <v>0-120 DAYS</v>
      </c>
      <c r="J234" s="37" t="str">
        <f t="shared" si="19"/>
        <v>0-180 DAYS</v>
      </c>
      <c r="K234" t="s">
        <v>1730</v>
      </c>
      <c r="L234" s="66"/>
      <c r="M234" s="66">
        <v>206293</v>
      </c>
      <c r="O234" t="s">
        <v>4677</v>
      </c>
    </row>
    <row r="235" spans="1:15" x14ac:dyDescent="0.35">
      <c r="A235" s="2" t="s">
        <v>1085</v>
      </c>
      <c r="B235" s="2" t="s">
        <v>790</v>
      </c>
      <c r="C235" s="18" t="s">
        <v>1243</v>
      </c>
      <c r="D235" s="37" t="s">
        <v>507</v>
      </c>
      <c r="E235" s="18" t="s">
        <v>4260</v>
      </c>
      <c r="F235" s="176">
        <v>45924</v>
      </c>
      <c r="G235" s="179">
        <v>3912670.86</v>
      </c>
      <c r="H235" s="37">
        <f t="shared" si="17"/>
        <v>68</v>
      </c>
      <c r="I235" s="37" t="str">
        <f t="shared" si="18"/>
        <v>0-120 DAYS</v>
      </c>
      <c r="J235" s="37" t="str">
        <f t="shared" si="19"/>
        <v>0-180 DAYS</v>
      </c>
      <c r="K235" t="s">
        <v>1730</v>
      </c>
      <c r="L235" s="66"/>
      <c r="M235" s="66">
        <v>3912670.86</v>
      </c>
      <c r="O235" t="s">
        <v>4678</v>
      </c>
    </row>
    <row r="236" spans="1:15" x14ac:dyDescent="0.35">
      <c r="A236" s="2" t="s">
        <v>1085</v>
      </c>
      <c r="B236" s="2" t="s">
        <v>790</v>
      </c>
      <c r="C236" s="18" t="s">
        <v>548</v>
      </c>
      <c r="D236" s="37" t="s">
        <v>507</v>
      </c>
      <c r="E236" s="18" t="s">
        <v>4261</v>
      </c>
      <c r="F236" s="176">
        <v>45925</v>
      </c>
      <c r="G236" s="179">
        <v>3634887.06</v>
      </c>
      <c r="H236" s="37">
        <f t="shared" si="17"/>
        <v>67</v>
      </c>
      <c r="I236" s="37" t="str">
        <f t="shared" si="18"/>
        <v>0-120 DAYS</v>
      </c>
      <c r="J236" s="37" t="str">
        <f t="shared" si="19"/>
        <v>0-180 DAYS</v>
      </c>
      <c r="K236" t="s">
        <v>1730</v>
      </c>
      <c r="L236" s="66"/>
      <c r="M236" s="66">
        <v>3634887.06</v>
      </c>
      <c r="O236" t="s">
        <v>4679</v>
      </c>
    </row>
    <row r="237" spans="1:15" x14ac:dyDescent="0.35">
      <c r="A237" s="2" t="s">
        <v>1085</v>
      </c>
      <c r="B237" s="2" t="s">
        <v>790</v>
      </c>
      <c r="C237" s="18" t="s">
        <v>573</v>
      </c>
      <c r="D237" s="37" t="s">
        <v>507</v>
      </c>
      <c r="E237" s="18" t="s">
        <v>1802</v>
      </c>
      <c r="F237" s="176">
        <v>45925</v>
      </c>
      <c r="G237" s="179">
        <v>4156030.96</v>
      </c>
      <c r="H237" s="37">
        <f t="shared" si="17"/>
        <v>67</v>
      </c>
      <c r="I237" s="37" t="str">
        <f t="shared" si="18"/>
        <v>0-120 DAYS</v>
      </c>
      <c r="J237" s="37" t="str">
        <f t="shared" si="19"/>
        <v>0-180 DAYS</v>
      </c>
      <c r="K237" t="s">
        <v>1730</v>
      </c>
      <c r="L237" s="66"/>
      <c r="M237" s="66">
        <v>4156030.96</v>
      </c>
      <c r="O237" t="s">
        <v>4679</v>
      </c>
    </row>
    <row r="238" spans="1:15" x14ac:dyDescent="0.35">
      <c r="A238" s="2" t="s">
        <v>1085</v>
      </c>
      <c r="B238" s="2" t="s">
        <v>790</v>
      </c>
      <c r="C238" s="18" t="s">
        <v>538</v>
      </c>
      <c r="D238" s="37" t="s">
        <v>507</v>
      </c>
      <c r="E238" s="18" t="s">
        <v>4262</v>
      </c>
      <c r="F238" s="176">
        <v>45926</v>
      </c>
      <c r="G238" s="179">
        <v>3505527.52</v>
      </c>
      <c r="H238" s="37">
        <f t="shared" si="17"/>
        <v>66</v>
      </c>
      <c r="I238" s="37" t="str">
        <f t="shared" si="18"/>
        <v>0-120 DAYS</v>
      </c>
      <c r="J238" s="37" t="str">
        <f t="shared" si="19"/>
        <v>0-180 DAYS</v>
      </c>
      <c r="K238" t="s">
        <v>1730</v>
      </c>
      <c r="L238" s="66"/>
      <c r="M238" s="66">
        <v>3505527.52</v>
      </c>
      <c r="O238" t="s">
        <v>4680</v>
      </c>
    </row>
    <row r="239" spans="1:15" x14ac:dyDescent="0.35">
      <c r="A239" s="2" t="s">
        <v>1085</v>
      </c>
      <c r="B239" s="2" t="s">
        <v>790</v>
      </c>
      <c r="C239" s="18" t="s">
        <v>814</v>
      </c>
      <c r="D239" s="37" t="s">
        <v>507</v>
      </c>
      <c r="E239" s="18" t="s">
        <v>4263</v>
      </c>
      <c r="F239" s="176">
        <v>45926</v>
      </c>
      <c r="G239" s="179">
        <v>106440</v>
      </c>
      <c r="H239" s="37">
        <f t="shared" si="17"/>
        <v>66</v>
      </c>
      <c r="I239" s="37" t="str">
        <f t="shared" si="18"/>
        <v>0-120 DAYS</v>
      </c>
      <c r="J239" s="37" t="str">
        <f t="shared" si="19"/>
        <v>0-180 DAYS</v>
      </c>
      <c r="K239" t="s">
        <v>1730</v>
      </c>
      <c r="L239" s="66"/>
      <c r="M239" s="66">
        <v>106440</v>
      </c>
      <c r="O239" t="s">
        <v>4680</v>
      </c>
    </row>
    <row r="240" spans="1:15" x14ac:dyDescent="0.35">
      <c r="A240" s="2" t="s">
        <v>1085</v>
      </c>
      <c r="B240" s="2" t="s">
        <v>790</v>
      </c>
      <c r="C240" s="18" t="s">
        <v>536</v>
      </c>
      <c r="D240" s="37" t="s">
        <v>507</v>
      </c>
      <c r="E240" s="18" t="s">
        <v>4265</v>
      </c>
      <c r="F240" s="176">
        <v>45929</v>
      </c>
      <c r="G240" s="179">
        <v>3133369.35</v>
      </c>
      <c r="H240" s="37">
        <f t="shared" si="17"/>
        <v>63</v>
      </c>
      <c r="I240" s="37" t="str">
        <f t="shared" si="18"/>
        <v>0-120 DAYS</v>
      </c>
      <c r="J240" s="37" t="str">
        <f t="shared" si="19"/>
        <v>0-180 DAYS</v>
      </c>
      <c r="K240" t="s">
        <v>1730</v>
      </c>
      <c r="L240" s="66"/>
      <c r="M240" s="66">
        <v>3133369.35</v>
      </c>
      <c r="O240" t="s">
        <v>4681</v>
      </c>
    </row>
    <row r="241" spans="1:15" x14ac:dyDescent="0.35">
      <c r="A241" s="2" t="s">
        <v>1085</v>
      </c>
      <c r="B241" s="2" t="s">
        <v>790</v>
      </c>
      <c r="C241" s="18" t="s">
        <v>548</v>
      </c>
      <c r="D241" s="37" t="s">
        <v>507</v>
      </c>
      <c r="E241" s="18" t="s">
        <v>4266</v>
      </c>
      <c r="F241" s="176">
        <v>45929</v>
      </c>
      <c r="G241" s="179">
        <v>3659512.16</v>
      </c>
      <c r="H241" s="37">
        <f t="shared" si="17"/>
        <v>63</v>
      </c>
      <c r="I241" s="37" t="str">
        <f t="shared" si="18"/>
        <v>0-120 DAYS</v>
      </c>
      <c r="J241" s="37" t="str">
        <f t="shared" si="19"/>
        <v>0-180 DAYS</v>
      </c>
      <c r="K241" t="s">
        <v>1730</v>
      </c>
      <c r="L241" s="66"/>
      <c r="M241" s="66">
        <v>3659512.16</v>
      </c>
      <c r="O241" t="s">
        <v>4681</v>
      </c>
    </row>
    <row r="242" spans="1:15" x14ac:dyDescent="0.35">
      <c r="A242" s="2" t="s">
        <v>1085</v>
      </c>
      <c r="B242" s="2" t="s">
        <v>790</v>
      </c>
      <c r="C242" s="18" t="s">
        <v>3797</v>
      </c>
      <c r="D242" s="37" t="s">
        <v>507</v>
      </c>
      <c r="E242" s="18" t="s">
        <v>4267</v>
      </c>
      <c r="F242" s="176">
        <v>45929</v>
      </c>
      <c r="G242" s="179">
        <v>3993862.5</v>
      </c>
      <c r="H242" s="37">
        <f t="shared" si="17"/>
        <v>63</v>
      </c>
      <c r="I242" s="37" t="str">
        <f t="shared" si="18"/>
        <v>0-120 DAYS</v>
      </c>
      <c r="J242" s="37" t="str">
        <f t="shared" si="19"/>
        <v>0-180 DAYS</v>
      </c>
      <c r="K242" t="s">
        <v>1730</v>
      </c>
      <c r="L242" s="66"/>
      <c r="M242" s="66">
        <v>3993862.5</v>
      </c>
      <c r="O242" t="s">
        <v>4681</v>
      </c>
    </row>
    <row r="243" spans="1:15" x14ac:dyDescent="0.35">
      <c r="A243" s="2" t="s">
        <v>1085</v>
      </c>
      <c r="B243" s="2" t="s">
        <v>790</v>
      </c>
      <c r="C243" s="18" t="s">
        <v>538</v>
      </c>
      <c r="D243" s="37" t="s">
        <v>507</v>
      </c>
      <c r="E243" s="18" t="s">
        <v>4269</v>
      </c>
      <c r="F243" s="176">
        <v>45905</v>
      </c>
      <c r="G243" s="179">
        <v>3482941.88</v>
      </c>
      <c r="H243" s="37">
        <f t="shared" si="17"/>
        <v>87</v>
      </c>
      <c r="I243" s="37" t="str">
        <f t="shared" si="18"/>
        <v>0-120 DAYS</v>
      </c>
      <c r="J243" s="37" t="str">
        <f t="shared" si="19"/>
        <v>0-180 DAYS</v>
      </c>
      <c r="K243" t="s">
        <v>1730</v>
      </c>
      <c r="L243" s="66"/>
      <c r="M243" s="66">
        <v>3482941.88</v>
      </c>
      <c r="O243" t="s">
        <v>4668</v>
      </c>
    </row>
    <row r="244" spans="1:15" x14ac:dyDescent="0.35">
      <c r="A244" s="2" t="s">
        <v>1085</v>
      </c>
      <c r="B244" s="2" t="s">
        <v>790</v>
      </c>
      <c r="C244" s="18" t="s">
        <v>1247</v>
      </c>
      <c r="D244" s="37" t="s">
        <v>507</v>
      </c>
      <c r="E244" s="18" t="s">
        <v>4270</v>
      </c>
      <c r="F244" s="176">
        <v>45906</v>
      </c>
      <c r="G244" s="179">
        <v>1054786.07</v>
      </c>
      <c r="H244" s="37">
        <f t="shared" si="17"/>
        <v>86</v>
      </c>
      <c r="I244" s="37" t="str">
        <f t="shared" si="18"/>
        <v>0-120 DAYS</v>
      </c>
      <c r="J244" s="37" t="str">
        <f t="shared" si="19"/>
        <v>0-180 DAYS</v>
      </c>
      <c r="K244" t="s">
        <v>1730</v>
      </c>
      <c r="L244" s="66"/>
      <c r="M244" s="66">
        <v>1054786.07</v>
      </c>
      <c r="O244" t="s">
        <v>4682</v>
      </c>
    </row>
    <row r="245" spans="1:15" x14ac:dyDescent="0.35">
      <c r="A245" s="2" t="s">
        <v>1085</v>
      </c>
      <c r="B245" s="2" t="s">
        <v>790</v>
      </c>
      <c r="C245" s="18" t="s">
        <v>650</v>
      </c>
      <c r="D245" s="37" t="s">
        <v>507</v>
      </c>
      <c r="E245" s="18" t="s">
        <v>4271</v>
      </c>
      <c r="F245" s="176">
        <v>45908</v>
      </c>
      <c r="G245" s="179">
        <v>3103522.56</v>
      </c>
      <c r="H245" s="37">
        <f t="shared" si="17"/>
        <v>84</v>
      </c>
      <c r="I245" s="37" t="str">
        <f t="shared" si="18"/>
        <v>0-120 DAYS</v>
      </c>
      <c r="J245" s="37" t="str">
        <f t="shared" si="19"/>
        <v>0-180 DAYS</v>
      </c>
      <c r="K245" t="s">
        <v>1730</v>
      </c>
      <c r="L245" s="66"/>
      <c r="M245" s="66">
        <v>3103522.56</v>
      </c>
      <c r="O245" t="s">
        <v>4683</v>
      </c>
    </row>
    <row r="246" spans="1:15" x14ac:dyDescent="0.35">
      <c r="A246" s="2" t="s">
        <v>1085</v>
      </c>
      <c r="B246" s="2" t="s">
        <v>790</v>
      </c>
      <c r="C246" s="18" t="s">
        <v>2559</v>
      </c>
      <c r="D246" s="37" t="s">
        <v>507</v>
      </c>
      <c r="E246" s="18" t="s">
        <v>4272</v>
      </c>
      <c r="F246" s="176">
        <v>45909</v>
      </c>
      <c r="G246" s="179">
        <v>3707997.66</v>
      </c>
      <c r="H246" s="37">
        <f t="shared" si="17"/>
        <v>83</v>
      </c>
      <c r="I246" s="37" t="str">
        <f t="shared" si="18"/>
        <v>0-120 DAYS</v>
      </c>
      <c r="J246" s="37" t="str">
        <f t="shared" si="19"/>
        <v>0-180 DAYS</v>
      </c>
      <c r="K246" t="s">
        <v>1730</v>
      </c>
      <c r="L246" s="66"/>
      <c r="M246" s="66">
        <v>3707997.66</v>
      </c>
      <c r="O246" t="s">
        <v>4670</v>
      </c>
    </row>
    <row r="247" spans="1:15" x14ac:dyDescent="0.35">
      <c r="A247" s="2" t="s">
        <v>1085</v>
      </c>
      <c r="B247" s="2" t="s">
        <v>790</v>
      </c>
      <c r="C247" s="18" t="s">
        <v>650</v>
      </c>
      <c r="D247" s="37" t="s">
        <v>507</v>
      </c>
      <c r="E247" s="18" t="s">
        <v>4273</v>
      </c>
      <c r="F247" s="176">
        <v>45909</v>
      </c>
      <c r="G247" s="179">
        <v>30270</v>
      </c>
      <c r="H247" s="37">
        <f t="shared" si="17"/>
        <v>83</v>
      </c>
      <c r="I247" s="37" t="str">
        <f t="shared" si="18"/>
        <v>0-120 DAYS</v>
      </c>
      <c r="J247" s="37" t="str">
        <f t="shared" si="19"/>
        <v>0-180 DAYS</v>
      </c>
      <c r="K247" t="s">
        <v>1730</v>
      </c>
      <c r="L247" s="66"/>
      <c r="M247" s="66">
        <v>30270</v>
      </c>
      <c r="O247" t="s">
        <v>4670</v>
      </c>
    </row>
    <row r="248" spans="1:15" x14ac:dyDescent="0.35">
      <c r="A248" s="2" t="s">
        <v>1085</v>
      </c>
      <c r="B248" s="2" t="s">
        <v>790</v>
      </c>
      <c r="C248" s="18" t="s">
        <v>650</v>
      </c>
      <c r="D248" s="37" t="s">
        <v>507</v>
      </c>
      <c r="E248" s="18" t="s">
        <v>1205</v>
      </c>
      <c r="F248" s="176">
        <v>45909</v>
      </c>
      <c r="G248" s="179">
        <v>3811436.96</v>
      </c>
      <c r="H248" s="37">
        <f t="shared" si="17"/>
        <v>83</v>
      </c>
      <c r="I248" s="37" t="str">
        <f t="shared" si="18"/>
        <v>0-120 DAYS</v>
      </c>
      <c r="J248" s="37" t="str">
        <f t="shared" si="19"/>
        <v>0-180 DAYS</v>
      </c>
      <c r="K248" t="s">
        <v>1730</v>
      </c>
      <c r="L248" s="66"/>
      <c r="M248" s="66">
        <v>3811436.96</v>
      </c>
      <c r="O248" t="s">
        <v>4670</v>
      </c>
    </row>
    <row r="249" spans="1:15" x14ac:dyDescent="0.35">
      <c r="A249" s="2" t="s">
        <v>1085</v>
      </c>
      <c r="B249" s="2" t="s">
        <v>790</v>
      </c>
      <c r="C249" s="18" t="s">
        <v>1086</v>
      </c>
      <c r="D249" s="37" t="s">
        <v>507</v>
      </c>
      <c r="E249" s="18" t="s">
        <v>4274</v>
      </c>
      <c r="F249" s="176">
        <v>45911</v>
      </c>
      <c r="G249" s="179">
        <v>1135084.2</v>
      </c>
      <c r="H249" s="37">
        <f t="shared" si="17"/>
        <v>81</v>
      </c>
      <c r="I249" s="37" t="str">
        <f t="shared" si="18"/>
        <v>0-120 DAYS</v>
      </c>
      <c r="J249" s="37" t="str">
        <f t="shared" si="19"/>
        <v>0-180 DAYS</v>
      </c>
      <c r="K249" t="s">
        <v>1730</v>
      </c>
      <c r="L249" s="66"/>
      <c r="M249" s="66">
        <v>1135084.2</v>
      </c>
      <c r="O249" t="s">
        <v>4672</v>
      </c>
    </row>
    <row r="250" spans="1:15" x14ac:dyDescent="0.35">
      <c r="A250" s="2" t="s">
        <v>1085</v>
      </c>
      <c r="B250" s="2" t="s">
        <v>790</v>
      </c>
      <c r="C250" s="18" t="s">
        <v>538</v>
      </c>
      <c r="D250" s="37" t="s">
        <v>507</v>
      </c>
      <c r="E250" s="18" t="s">
        <v>4275</v>
      </c>
      <c r="F250" s="176">
        <v>45911</v>
      </c>
      <c r="G250" s="179">
        <v>3501467.12</v>
      </c>
      <c r="H250" s="37">
        <f t="shared" si="17"/>
        <v>81</v>
      </c>
      <c r="I250" s="37" t="str">
        <f t="shared" si="18"/>
        <v>0-120 DAYS</v>
      </c>
      <c r="J250" s="37" t="str">
        <f t="shared" si="19"/>
        <v>0-180 DAYS</v>
      </c>
      <c r="K250" t="s">
        <v>1730</v>
      </c>
      <c r="L250" s="66"/>
      <c r="M250" s="66">
        <v>3501467.12</v>
      </c>
      <c r="O250" t="s">
        <v>4672</v>
      </c>
    </row>
    <row r="251" spans="1:15" x14ac:dyDescent="0.35">
      <c r="A251" s="2" t="s">
        <v>1085</v>
      </c>
      <c r="B251" s="2" t="s">
        <v>790</v>
      </c>
      <c r="C251" s="18" t="s">
        <v>1086</v>
      </c>
      <c r="D251" s="37" t="s">
        <v>507</v>
      </c>
      <c r="E251" s="18" t="s">
        <v>4276</v>
      </c>
      <c r="F251" s="176">
        <v>45912</v>
      </c>
      <c r="G251" s="179">
        <v>2788065.18</v>
      </c>
      <c r="H251" s="37">
        <f t="shared" si="17"/>
        <v>80</v>
      </c>
      <c r="I251" s="37" t="str">
        <f t="shared" si="18"/>
        <v>0-120 DAYS</v>
      </c>
      <c r="J251" s="37" t="str">
        <f t="shared" si="19"/>
        <v>0-180 DAYS</v>
      </c>
      <c r="K251" t="s">
        <v>1730</v>
      </c>
      <c r="L251" s="66"/>
      <c r="M251" s="66">
        <v>2788065.18</v>
      </c>
      <c r="O251" t="s">
        <v>4673</v>
      </c>
    </row>
    <row r="252" spans="1:15" x14ac:dyDescent="0.35">
      <c r="A252" s="2" t="s">
        <v>1085</v>
      </c>
      <c r="B252" s="2" t="s">
        <v>790</v>
      </c>
      <c r="C252" s="18" t="s">
        <v>1086</v>
      </c>
      <c r="D252" s="37" t="s">
        <v>507</v>
      </c>
      <c r="E252" s="18" t="s">
        <v>4277</v>
      </c>
      <c r="F252" s="176">
        <v>45914</v>
      </c>
      <c r="G252" s="179">
        <v>301066.27</v>
      </c>
      <c r="H252" s="37">
        <f t="shared" si="17"/>
        <v>78</v>
      </c>
      <c r="I252" s="37" t="str">
        <f t="shared" si="18"/>
        <v>0-120 DAYS</v>
      </c>
      <c r="J252" s="37" t="str">
        <f t="shared" si="19"/>
        <v>0-180 DAYS</v>
      </c>
      <c r="K252" t="s">
        <v>1730</v>
      </c>
      <c r="L252" s="66"/>
      <c r="M252" s="66">
        <v>301066.27</v>
      </c>
      <c r="O252" t="s">
        <v>4674</v>
      </c>
    </row>
    <row r="253" spans="1:15" x14ac:dyDescent="0.35">
      <c r="A253" s="2" t="s">
        <v>1085</v>
      </c>
      <c r="B253" s="2" t="s">
        <v>790</v>
      </c>
      <c r="C253" s="18" t="s">
        <v>1086</v>
      </c>
      <c r="D253" s="37" t="s">
        <v>507</v>
      </c>
      <c r="E253" s="18" t="s">
        <v>4278</v>
      </c>
      <c r="F253" s="176">
        <v>45914</v>
      </c>
      <c r="G253" s="179">
        <v>2881184.6</v>
      </c>
      <c r="H253" s="37">
        <f t="shared" si="17"/>
        <v>78</v>
      </c>
      <c r="I253" s="37" t="str">
        <f t="shared" si="18"/>
        <v>0-120 DAYS</v>
      </c>
      <c r="J253" s="37" t="str">
        <f t="shared" si="19"/>
        <v>0-180 DAYS</v>
      </c>
      <c r="K253" t="s">
        <v>1730</v>
      </c>
      <c r="L253" s="66"/>
      <c r="M253" s="66">
        <v>2881184.6</v>
      </c>
      <c r="O253" t="s">
        <v>4674</v>
      </c>
    </row>
    <row r="254" spans="1:15" x14ac:dyDescent="0.35">
      <c r="A254" s="2" t="s">
        <v>1085</v>
      </c>
      <c r="B254" s="2" t="s">
        <v>790</v>
      </c>
      <c r="C254" s="18" t="s">
        <v>538</v>
      </c>
      <c r="D254" s="37" t="s">
        <v>507</v>
      </c>
      <c r="E254" s="18" t="s">
        <v>4279</v>
      </c>
      <c r="F254" s="176">
        <v>45918</v>
      </c>
      <c r="G254" s="179">
        <v>3500422.8</v>
      </c>
      <c r="H254" s="37">
        <f t="shared" si="17"/>
        <v>74</v>
      </c>
      <c r="I254" s="37" t="str">
        <f t="shared" si="18"/>
        <v>0-120 DAYS</v>
      </c>
      <c r="J254" s="37" t="str">
        <f t="shared" si="19"/>
        <v>0-180 DAYS</v>
      </c>
      <c r="K254" t="s">
        <v>1730</v>
      </c>
      <c r="L254" s="66"/>
      <c r="M254" s="66">
        <v>3500422.8</v>
      </c>
      <c r="O254" t="s">
        <v>4684</v>
      </c>
    </row>
    <row r="255" spans="1:15" x14ac:dyDescent="0.35">
      <c r="A255" s="2" t="s">
        <v>1085</v>
      </c>
      <c r="B255" s="2" t="s">
        <v>790</v>
      </c>
      <c r="C255" s="18" t="s">
        <v>1086</v>
      </c>
      <c r="D255" s="37" t="s">
        <v>507</v>
      </c>
      <c r="E255" s="18" t="s">
        <v>4280</v>
      </c>
      <c r="F255" s="176">
        <v>45920</v>
      </c>
      <c r="G255" s="179">
        <v>31865.53</v>
      </c>
      <c r="H255" s="37">
        <f t="shared" si="17"/>
        <v>72</v>
      </c>
      <c r="I255" s="37" t="str">
        <f t="shared" si="18"/>
        <v>0-120 DAYS</v>
      </c>
      <c r="J255" s="37" t="str">
        <f t="shared" si="19"/>
        <v>0-180 DAYS</v>
      </c>
      <c r="K255" t="s">
        <v>1730</v>
      </c>
      <c r="L255" s="66"/>
      <c r="M255" s="66">
        <v>31865.53</v>
      </c>
      <c r="O255" t="s">
        <v>4677</v>
      </c>
    </row>
    <row r="256" spans="1:15" x14ac:dyDescent="0.35">
      <c r="A256" s="2" t="s">
        <v>1085</v>
      </c>
      <c r="B256" s="2" t="s">
        <v>790</v>
      </c>
      <c r="C256" s="18" t="s">
        <v>1086</v>
      </c>
      <c r="D256" s="37" t="s">
        <v>507</v>
      </c>
      <c r="E256" s="18" t="s">
        <v>4281</v>
      </c>
      <c r="F256" s="176">
        <v>45920</v>
      </c>
      <c r="G256" s="179">
        <v>576347.35</v>
      </c>
      <c r="H256" s="37">
        <f t="shared" si="17"/>
        <v>72</v>
      </c>
      <c r="I256" s="37" t="str">
        <f t="shared" si="18"/>
        <v>0-120 DAYS</v>
      </c>
      <c r="J256" s="37" t="str">
        <f t="shared" si="19"/>
        <v>0-180 DAYS</v>
      </c>
      <c r="K256" t="s">
        <v>1730</v>
      </c>
      <c r="L256" s="66"/>
      <c r="M256" s="66">
        <v>576347.35</v>
      </c>
      <c r="O256" t="s">
        <v>4677</v>
      </c>
    </row>
    <row r="257" spans="1:15" x14ac:dyDescent="0.35">
      <c r="A257" s="2" t="s">
        <v>1085</v>
      </c>
      <c r="B257" s="2" t="s">
        <v>790</v>
      </c>
      <c r="C257" s="18" t="s">
        <v>1086</v>
      </c>
      <c r="D257" s="37" t="s">
        <v>507</v>
      </c>
      <c r="E257" s="18" t="s">
        <v>4282</v>
      </c>
      <c r="F257" s="176">
        <v>45920</v>
      </c>
      <c r="G257" s="179">
        <v>1672901.77</v>
      </c>
      <c r="H257" s="37">
        <f t="shared" si="17"/>
        <v>72</v>
      </c>
      <c r="I257" s="37" t="str">
        <f t="shared" si="18"/>
        <v>0-120 DAYS</v>
      </c>
      <c r="J257" s="37" t="str">
        <f t="shared" si="19"/>
        <v>0-180 DAYS</v>
      </c>
      <c r="K257" t="s">
        <v>1730</v>
      </c>
      <c r="L257" s="66"/>
      <c r="M257" s="66">
        <v>1672901.77</v>
      </c>
      <c r="O257" t="s">
        <v>4677</v>
      </c>
    </row>
    <row r="258" spans="1:15" x14ac:dyDescent="0.35">
      <c r="A258" s="2" t="s">
        <v>1085</v>
      </c>
      <c r="B258" s="2" t="s">
        <v>790</v>
      </c>
      <c r="C258" s="18" t="s">
        <v>2560</v>
      </c>
      <c r="D258" s="37" t="s">
        <v>507</v>
      </c>
      <c r="E258" s="18" t="s">
        <v>4283</v>
      </c>
      <c r="F258" s="176">
        <v>45921</v>
      </c>
      <c r="G258" s="179">
        <v>1777707.49</v>
      </c>
      <c r="H258" s="37">
        <f t="shared" si="17"/>
        <v>71</v>
      </c>
      <c r="I258" s="37" t="str">
        <f t="shared" si="18"/>
        <v>0-120 DAYS</v>
      </c>
      <c r="J258" s="37" t="str">
        <f t="shared" si="19"/>
        <v>0-180 DAYS</v>
      </c>
      <c r="K258" t="s">
        <v>1730</v>
      </c>
      <c r="L258" s="66"/>
      <c r="M258" s="66">
        <v>1777707.49</v>
      </c>
      <c r="O258" t="s">
        <v>4685</v>
      </c>
    </row>
    <row r="259" spans="1:15" x14ac:dyDescent="0.35">
      <c r="A259" s="2" t="s">
        <v>1085</v>
      </c>
      <c r="B259" s="2" t="s">
        <v>790</v>
      </c>
      <c r="C259" s="18" t="s">
        <v>596</v>
      </c>
      <c r="D259" s="37" t="s">
        <v>507</v>
      </c>
      <c r="E259" s="18" t="s">
        <v>4284</v>
      </c>
      <c r="F259" s="176">
        <v>45921</v>
      </c>
      <c r="G259" s="179">
        <v>4520933.2699999996</v>
      </c>
      <c r="H259" s="37">
        <f t="shared" si="17"/>
        <v>71</v>
      </c>
      <c r="I259" s="37" t="str">
        <f t="shared" si="18"/>
        <v>0-120 DAYS</v>
      </c>
      <c r="J259" s="37" t="str">
        <f t="shared" si="19"/>
        <v>0-180 DAYS</v>
      </c>
      <c r="K259" t="s">
        <v>1730</v>
      </c>
      <c r="L259" s="66"/>
      <c r="M259" s="66">
        <v>4520933.2699999996</v>
      </c>
      <c r="O259" t="s">
        <v>4685</v>
      </c>
    </row>
    <row r="260" spans="1:15" x14ac:dyDescent="0.35">
      <c r="A260" s="2" t="s">
        <v>1085</v>
      </c>
      <c r="B260" s="2" t="s">
        <v>790</v>
      </c>
      <c r="C260" s="18" t="s">
        <v>653</v>
      </c>
      <c r="D260" s="37" t="s">
        <v>507</v>
      </c>
      <c r="E260" s="18" t="s">
        <v>2129</v>
      </c>
      <c r="F260" s="176">
        <v>45924</v>
      </c>
      <c r="G260" s="179">
        <v>3463336.61</v>
      </c>
      <c r="H260" s="37">
        <f t="shared" si="17"/>
        <v>68</v>
      </c>
      <c r="I260" s="37" t="str">
        <f t="shared" si="18"/>
        <v>0-120 DAYS</v>
      </c>
      <c r="J260" s="37" t="str">
        <f t="shared" si="19"/>
        <v>0-180 DAYS</v>
      </c>
      <c r="K260" t="s">
        <v>1730</v>
      </c>
      <c r="L260" s="66"/>
      <c r="M260" s="66">
        <v>3463336.61</v>
      </c>
      <c r="O260" t="s">
        <v>4678</v>
      </c>
    </row>
    <row r="261" spans="1:15" x14ac:dyDescent="0.35">
      <c r="A261" s="2" t="s">
        <v>1085</v>
      </c>
      <c r="B261" s="2" t="s">
        <v>790</v>
      </c>
      <c r="C261" s="18" t="s">
        <v>1086</v>
      </c>
      <c r="D261" s="37" t="s">
        <v>507</v>
      </c>
      <c r="E261" s="18" t="s">
        <v>4285</v>
      </c>
      <c r="F261" s="176">
        <v>45925</v>
      </c>
      <c r="G261" s="179">
        <v>2064150.37</v>
      </c>
      <c r="H261" s="37">
        <f t="shared" si="17"/>
        <v>67</v>
      </c>
      <c r="I261" s="37" t="str">
        <f t="shared" si="18"/>
        <v>0-120 DAYS</v>
      </c>
      <c r="J261" s="37" t="str">
        <f t="shared" si="19"/>
        <v>0-180 DAYS</v>
      </c>
      <c r="K261" t="s">
        <v>1730</v>
      </c>
      <c r="L261" s="66"/>
      <c r="M261" s="66">
        <v>2064150.37</v>
      </c>
      <c r="O261" t="s">
        <v>4679</v>
      </c>
    </row>
    <row r="262" spans="1:15" x14ac:dyDescent="0.35">
      <c r="A262" s="2" t="s">
        <v>1085</v>
      </c>
      <c r="B262" s="2" t="s">
        <v>790</v>
      </c>
      <c r="C262" s="18" t="s">
        <v>545</v>
      </c>
      <c r="D262" s="37" t="s">
        <v>507</v>
      </c>
      <c r="E262" s="18" t="s">
        <v>4286</v>
      </c>
      <c r="F262" s="176">
        <v>45927</v>
      </c>
      <c r="G262" s="179">
        <v>3667598.81</v>
      </c>
      <c r="H262" s="37">
        <f t="shared" si="17"/>
        <v>65</v>
      </c>
      <c r="I262" s="37" t="str">
        <f t="shared" si="18"/>
        <v>0-120 DAYS</v>
      </c>
      <c r="J262" s="37" t="str">
        <f t="shared" si="19"/>
        <v>0-180 DAYS</v>
      </c>
      <c r="K262" t="s">
        <v>1730</v>
      </c>
      <c r="L262" s="66"/>
      <c r="M262" s="66">
        <v>3667598.81</v>
      </c>
      <c r="O262" t="s">
        <v>4686</v>
      </c>
    </row>
    <row r="263" spans="1:15" x14ac:dyDescent="0.35">
      <c r="A263" s="2" t="s">
        <v>1085</v>
      </c>
      <c r="B263" s="2" t="s">
        <v>790</v>
      </c>
      <c r="C263" s="18" t="s">
        <v>1243</v>
      </c>
      <c r="D263" s="37" t="s">
        <v>507</v>
      </c>
      <c r="E263" s="18" t="s">
        <v>4287</v>
      </c>
      <c r="F263" s="176">
        <v>45930</v>
      </c>
      <c r="G263" s="179">
        <v>3689933.8</v>
      </c>
      <c r="H263" s="37">
        <f t="shared" si="17"/>
        <v>62</v>
      </c>
      <c r="I263" s="37" t="str">
        <f t="shared" si="18"/>
        <v>0-120 DAYS</v>
      </c>
      <c r="J263" s="37" t="str">
        <f t="shared" si="19"/>
        <v>0-180 DAYS</v>
      </c>
      <c r="K263" t="s">
        <v>1730</v>
      </c>
      <c r="L263" s="66"/>
      <c r="M263" s="66">
        <v>3689933.8</v>
      </c>
      <c r="O263" t="s">
        <v>4687</v>
      </c>
    </row>
    <row r="264" spans="1:15" x14ac:dyDescent="0.35">
      <c r="A264" s="2" t="s">
        <v>477</v>
      </c>
      <c r="B264" s="2" t="s">
        <v>790</v>
      </c>
      <c r="C264" s="18" t="s">
        <v>4288</v>
      </c>
      <c r="D264" s="18" t="s">
        <v>4331</v>
      </c>
      <c r="E264" s="18" t="s">
        <v>4290</v>
      </c>
      <c r="F264" s="176">
        <v>45903</v>
      </c>
      <c r="G264" s="179">
        <v>226504.1</v>
      </c>
      <c r="H264" s="37">
        <f t="shared" si="17"/>
        <v>89</v>
      </c>
      <c r="I264" s="37" t="str">
        <f t="shared" ref="I264:I267" si="20">IF(H264&lt;91,"1-90 DAYS",IF(H264&lt;121,"91-120DAYS",IF(H264&lt;181,"121-180 DAYS","More than 180 Days")))</f>
        <v>1-90 DAYS</v>
      </c>
      <c r="J264" s="37" t="str">
        <f t="shared" si="19"/>
        <v>0-180 DAYS</v>
      </c>
      <c r="K264" t="s">
        <v>1730</v>
      </c>
      <c r="L264" s="66"/>
      <c r="M264" s="66">
        <v>226504.1</v>
      </c>
      <c r="O264" t="s">
        <v>4666</v>
      </c>
    </row>
    <row r="265" spans="1:15" x14ac:dyDescent="0.35">
      <c r="A265" s="2" t="s">
        <v>477</v>
      </c>
      <c r="B265" s="2" t="s">
        <v>790</v>
      </c>
      <c r="C265" s="18" t="s">
        <v>5</v>
      </c>
      <c r="D265" s="18" t="s">
        <v>6</v>
      </c>
      <c r="E265" s="18" t="s">
        <v>4309</v>
      </c>
      <c r="F265" s="176">
        <v>45910</v>
      </c>
      <c r="G265" s="179">
        <v>747</v>
      </c>
      <c r="H265" s="37">
        <f t="shared" si="17"/>
        <v>82</v>
      </c>
      <c r="I265" s="37" t="str">
        <f t="shared" si="20"/>
        <v>1-90 DAYS</v>
      </c>
      <c r="J265" s="37" t="str">
        <f t="shared" si="19"/>
        <v>0-180 DAYS</v>
      </c>
      <c r="K265" t="s">
        <v>1730</v>
      </c>
      <c r="L265" s="66"/>
      <c r="M265" s="66">
        <v>747</v>
      </c>
      <c r="O265" t="s">
        <v>4671</v>
      </c>
    </row>
    <row r="266" spans="1:15" x14ac:dyDescent="0.35">
      <c r="A266" s="2" t="s">
        <v>477</v>
      </c>
      <c r="B266" s="2" t="s">
        <v>790</v>
      </c>
      <c r="C266" s="18" t="s">
        <v>2527</v>
      </c>
      <c r="D266" s="18" t="s">
        <v>2529</v>
      </c>
      <c r="E266" s="18" t="s">
        <v>4317</v>
      </c>
      <c r="F266" s="176">
        <v>45917</v>
      </c>
      <c r="G266" s="179">
        <v>23937.48</v>
      </c>
      <c r="H266" s="37">
        <f t="shared" si="17"/>
        <v>75</v>
      </c>
      <c r="I266" s="37" t="str">
        <f t="shared" si="20"/>
        <v>1-90 DAYS</v>
      </c>
      <c r="J266" s="37" t="str">
        <f t="shared" si="19"/>
        <v>0-180 DAYS</v>
      </c>
      <c r="K266" t="s">
        <v>1730</v>
      </c>
      <c r="L266" s="66"/>
      <c r="M266" s="66">
        <v>23937.48</v>
      </c>
      <c r="O266" t="s">
        <v>4688</v>
      </c>
    </row>
    <row r="267" spans="1:15" x14ac:dyDescent="0.35">
      <c r="A267" s="2" t="s">
        <v>477</v>
      </c>
      <c r="B267" s="2" t="s">
        <v>790</v>
      </c>
      <c r="C267" s="18" t="s">
        <v>4289</v>
      </c>
      <c r="D267" s="18" t="s">
        <v>4332</v>
      </c>
      <c r="E267" s="18" t="s">
        <v>4324</v>
      </c>
      <c r="F267" s="176">
        <v>45924</v>
      </c>
      <c r="G267" s="179">
        <v>7080.4</v>
      </c>
      <c r="H267" s="37">
        <f t="shared" si="17"/>
        <v>68</v>
      </c>
      <c r="I267" s="37" t="str">
        <f t="shared" si="20"/>
        <v>1-90 DAYS</v>
      </c>
      <c r="J267" s="37" t="str">
        <f t="shared" si="19"/>
        <v>0-180 DAYS</v>
      </c>
      <c r="K267" t="s">
        <v>1730</v>
      </c>
      <c r="L267" s="66"/>
      <c r="M267" s="66">
        <v>7080.4</v>
      </c>
      <c r="O267" t="s">
        <v>4678</v>
      </c>
    </row>
    <row r="268" spans="1:15" x14ac:dyDescent="0.35">
      <c r="A268" s="2" t="s">
        <v>1085</v>
      </c>
      <c r="B268" s="2" t="s">
        <v>790</v>
      </c>
      <c r="C268" t="s">
        <v>600</v>
      </c>
      <c r="D268" s="37" t="s">
        <v>507</v>
      </c>
      <c r="E268" t="s">
        <v>4339</v>
      </c>
      <c r="F268" s="181">
        <v>45931</v>
      </c>
      <c r="G268" s="47">
        <v>4024299.41</v>
      </c>
      <c r="H268" s="37">
        <f t="shared" ref="H268:H331" si="21">$H$9-F268+1</f>
        <v>61</v>
      </c>
      <c r="I268" s="37" t="str">
        <f t="shared" ref="I268:I325" si="22">IF(H268&lt;121,"0-120 DAYS",IF(H268&lt;181,"121-180 DAYS","More than 180 Days"))</f>
        <v>0-120 DAYS</v>
      </c>
      <c r="J268" s="37" t="str">
        <f t="shared" si="19"/>
        <v>0-180 DAYS</v>
      </c>
      <c r="K268" t="s">
        <v>1730</v>
      </c>
      <c r="L268" s="66"/>
      <c r="M268" s="66">
        <v>4024299.41</v>
      </c>
      <c r="O268" t="s">
        <v>4689</v>
      </c>
    </row>
    <row r="269" spans="1:15" x14ac:dyDescent="0.35">
      <c r="A269" s="2" t="s">
        <v>1085</v>
      </c>
      <c r="B269" s="2" t="s">
        <v>790</v>
      </c>
      <c r="C269" t="s">
        <v>548</v>
      </c>
      <c r="D269" s="37" t="s">
        <v>507</v>
      </c>
      <c r="E269" t="s">
        <v>4340</v>
      </c>
      <c r="F269" s="181">
        <v>45931</v>
      </c>
      <c r="G269" s="47">
        <v>3687909.12</v>
      </c>
      <c r="H269" s="37">
        <f t="shared" si="21"/>
        <v>61</v>
      </c>
      <c r="I269" s="37" t="str">
        <f t="shared" si="22"/>
        <v>0-120 DAYS</v>
      </c>
      <c r="J269" s="37" t="str">
        <f t="shared" si="19"/>
        <v>0-180 DAYS</v>
      </c>
      <c r="K269" t="s">
        <v>1730</v>
      </c>
      <c r="L269" s="66"/>
      <c r="M269" s="66">
        <v>3687909.12</v>
      </c>
      <c r="O269" t="s">
        <v>4689</v>
      </c>
    </row>
    <row r="270" spans="1:15" x14ac:dyDescent="0.35">
      <c r="A270" s="2" t="s">
        <v>1085</v>
      </c>
      <c r="B270" s="2" t="s">
        <v>790</v>
      </c>
      <c r="C270" t="s">
        <v>3796</v>
      </c>
      <c r="D270" s="37" t="s">
        <v>507</v>
      </c>
      <c r="E270" t="s">
        <v>4341</v>
      </c>
      <c r="F270" s="181">
        <v>45931</v>
      </c>
      <c r="G270" s="47">
        <v>3330056.02</v>
      </c>
      <c r="H270" s="37">
        <f t="shared" si="21"/>
        <v>61</v>
      </c>
      <c r="I270" s="37" t="str">
        <f t="shared" si="22"/>
        <v>0-120 DAYS</v>
      </c>
      <c r="J270" s="37" t="str">
        <f t="shared" ref="J270:J326" si="23">IF(H270&lt;180,"0-180 DAYS","More than 180 Days")</f>
        <v>0-180 DAYS</v>
      </c>
      <c r="K270" t="s">
        <v>1730</v>
      </c>
      <c r="L270" s="66"/>
      <c r="M270" s="66">
        <v>3330056.02</v>
      </c>
      <c r="O270" t="s">
        <v>4689</v>
      </c>
    </row>
    <row r="271" spans="1:15" x14ac:dyDescent="0.35">
      <c r="A271" s="2" t="s">
        <v>1085</v>
      </c>
      <c r="B271" s="2" t="s">
        <v>790</v>
      </c>
      <c r="C271" t="s">
        <v>1086</v>
      </c>
      <c r="D271" s="37" t="s">
        <v>507</v>
      </c>
      <c r="E271" t="s">
        <v>4342</v>
      </c>
      <c r="F271" s="181">
        <v>45933</v>
      </c>
      <c r="G271" s="47">
        <v>742049.44</v>
      </c>
      <c r="H271" s="37">
        <f t="shared" si="21"/>
        <v>59</v>
      </c>
      <c r="I271" s="37" t="str">
        <f t="shared" si="22"/>
        <v>0-120 DAYS</v>
      </c>
      <c r="J271" s="37" t="str">
        <f t="shared" si="23"/>
        <v>0-180 DAYS</v>
      </c>
      <c r="K271" t="s">
        <v>1730</v>
      </c>
      <c r="L271" s="66"/>
      <c r="M271" s="66">
        <v>742049.44</v>
      </c>
      <c r="O271" t="s">
        <v>4690</v>
      </c>
    </row>
    <row r="272" spans="1:15" x14ac:dyDescent="0.35">
      <c r="A272" s="2" t="s">
        <v>1085</v>
      </c>
      <c r="B272" s="2" t="s">
        <v>790</v>
      </c>
      <c r="C272" t="s">
        <v>1086</v>
      </c>
      <c r="D272" s="37" t="s">
        <v>507</v>
      </c>
      <c r="E272" t="s">
        <v>4343</v>
      </c>
      <c r="F272" s="181">
        <v>45933</v>
      </c>
      <c r="G272" s="47">
        <v>470690.88</v>
      </c>
      <c r="H272" s="37">
        <f t="shared" si="21"/>
        <v>59</v>
      </c>
      <c r="I272" s="37" t="str">
        <f t="shared" si="22"/>
        <v>0-120 DAYS</v>
      </c>
      <c r="J272" s="37" t="str">
        <f t="shared" si="23"/>
        <v>0-180 DAYS</v>
      </c>
      <c r="K272" t="s">
        <v>1730</v>
      </c>
      <c r="L272" s="66"/>
      <c r="M272" s="66">
        <v>470690.88</v>
      </c>
      <c r="O272" t="s">
        <v>4690</v>
      </c>
    </row>
    <row r="273" spans="1:15" x14ac:dyDescent="0.35">
      <c r="A273" s="2" t="s">
        <v>1085</v>
      </c>
      <c r="B273" s="2" t="s">
        <v>790</v>
      </c>
      <c r="C273" t="s">
        <v>1086</v>
      </c>
      <c r="D273" s="37" t="s">
        <v>507</v>
      </c>
      <c r="E273" t="s">
        <v>4344</v>
      </c>
      <c r="F273" s="181">
        <v>45933</v>
      </c>
      <c r="G273" s="47">
        <v>223209.36</v>
      </c>
      <c r="H273" s="37">
        <f t="shared" si="21"/>
        <v>59</v>
      </c>
      <c r="I273" s="37" t="str">
        <f t="shared" si="22"/>
        <v>0-120 DAYS</v>
      </c>
      <c r="J273" s="37" t="str">
        <f t="shared" si="23"/>
        <v>0-180 DAYS</v>
      </c>
      <c r="K273" t="s">
        <v>1730</v>
      </c>
      <c r="L273" s="66"/>
      <c r="M273" s="66">
        <v>223209.36</v>
      </c>
      <c r="O273" t="s">
        <v>4690</v>
      </c>
    </row>
    <row r="274" spans="1:15" x14ac:dyDescent="0.35">
      <c r="A274" s="2" t="s">
        <v>1085</v>
      </c>
      <c r="B274" s="2" t="s">
        <v>790</v>
      </c>
      <c r="C274" t="s">
        <v>1086</v>
      </c>
      <c r="D274" s="37" t="s">
        <v>507</v>
      </c>
      <c r="E274" t="s">
        <v>4345</v>
      </c>
      <c r="F274" s="181">
        <v>45933</v>
      </c>
      <c r="G274" s="47">
        <v>972400</v>
      </c>
      <c r="H274" s="37">
        <f t="shared" si="21"/>
        <v>59</v>
      </c>
      <c r="I274" s="37" t="str">
        <f t="shared" si="22"/>
        <v>0-120 DAYS</v>
      </c>
      <c r="J274" s="37" t="str">
        <f t="shared" si="23"/>
        <v>0-180 DAYS</v>
      </c>
      <c r="K274" t="s">
        <v>1730</v>
      </c>
      <c r="L274" s="66"/>
      <c r="M274" s="66">
        <v>972400</v>
      </c>
      <c r="O274" t="s">
        <v>4690</v>
      </c>
    </row>
    <row r="275" spans="1:15" x14ac:dyDescent="0.35">
      <c r="A275" s="2" t="s">
        <v>1085</v>
      </c>
      <c r="B275" s="2" t="s">
        <v>790</v>
      </c>
      <c r="C275" t="s">
        <v>1086</v>
      </c>
      <c r="D275" s="37" t="s">
        <v>507</v>
      </c>
      <c r="E275" t="s">
        <v>4346</v>
      </c>
      <c r="F275" s="181">
        <v>45933</v>
      </c>
      <c r="G275" s="47">
        <v>343462.24</v>
      </c>
      <c r="H275" s="37">
        <f t="shared" si="21"/>
        <v>59</v>
      </c>
      <c r="I275" s="37" t="str">
        <f t="shared" si="22"/>
        <v>0-120 DAYS</v>
      </c>
      <c r="J275" s="37" t="str">
        <f t="shared" si="23"/>
        <v>0-180 DAYS</v>
      </c>
      <c r="K275" t="s">
        <v>1730</v>
      </c>
      <c r="L275" s="66"/>
      <c r="M275" s="66">
        <v>343462.24</v>
      </c>
      <c r="O275" t="s">
        <v>4690</v>
      </c>
    </row>
    <row r="276" spans="1:15" x14ac:dyDescent="0.35">
      <c r="A276" s="2" t="s">
        <v>1085</v>
      </c>
      <c r="B276" s="2" t="s">
        <v>790</v>
      </c>
      <c r="C276" t="s">
        <v>536</v>
      </c>
      <c r="D276" s="37" t="s">
        <v>507</v>
      </c>
      <c r="E276" t="s">
        <v>4347</v>
      </c>
      <c r="F276" s="181">
        <v>45933</v>
      </c>
      <c r="G276" s="47">
        <v>3073899.08</v>
      </c>
      <c r="H276" s="37">
        <f t="shared" si="21"/>
        <v>59</v>
      </c>
      <c r="I276" s="37" t="str">
        <f t="shared" si="22"/>
        <v>0-120 DAYS</v>
      </c>
      <c r="J276" s="37" t="str">
        <f t="shared" si="23"/>
        <v>0-180 DAYS</v>
      </c>
      <c r="K276" t="s">
        <v>1730</v>
      </c>
      <c r="L276" s="66"/>
      <c r="M276" s="66">
        <v>3073899.08</v>
      </c>
      <c r="O276" t="s">
        <v>4690</v>
      </c>
    </row>
    <row r="277" spans="1:15" x14ac:dyDescent="0.35">
      <c r="A277" s="2" t="s">
        <v>1085</v>
      </c>
      <c r="B277" s="2" t="s">
        <v>790</v>
      </c>
      <c r="C277" t="s">
        <v>1052</v>
      </c>
      <c r="D277" s="37" t="s">
        <v>507</v>
      </c>
      <c r="E277" t="s">
        <v>4348</v>
      </c>
      <c r="F277" s="181">
        <v>45934</v>
      </c>
      <c r="G277" s="47">
        <v>2883302.4</v>
      </c>
      <c r="H277" s="37">
        <f t="shared" si="21"/>
        <v>58</v>
      </c>
      <c r="I277" s="37" t="str">
        <f t="shared" si="22"/>
        <v>0-120 DAYS</v>
      </c>
      <c r="J277" s="37" t="str">
        <f t="shared" si="23"/>
        <v>0-180 DAYS</v>
      </c>
      <c r="K277" t="s">
        <v>1730</v>
      </c>
      <c r="L277" s="66"/>
      <c r="M277" s="66">
        <v>2883302.4</v>
      </c>
      <c r="O277" t="s">
        <v>4691</v>
      </c>
    </row>
    <row r="278" spans="1:15" x14ac:dyDescent="0.35">
      <c r="A278" s="2" t="s">
        <v>1085</v>
      </c>
      <c r="B278" s="2" t="s">
        <v>790</v>
      </c>
      <c r="C278" t="s">
        <v>548</v>
      </c>
      <c r="D278" s="37" t="s">
        <v>507</v>
      </c>
      <c r="E278" t="s">
        <v>4349</v>
      </c>
      <c r="F278" s="181">
        <v>45934</v>
      </c>
      <c r="G278" s="47">
        <v>3918173.6</v>
      </c>
      <c r="H278" s="37">
        <f t="shared" si="21"/>
        <v>58</v>
      </c>
      <c r="I278" s="37" t="str">
        <f t="shared" si="22"/>
        <v>0-120 DAYS</v>
      </c>
      <c r="J278" s="37" t="str">
        <f t="shared" si="23"/>
        <v>0-180 DAYS</v>
      </c>
      <c r="K278" t="s">
        <v>1730</v>
      </c>
      <c r="L278" s="66"/>
      <c r="M278" s="66">
        <v>3918173.6</v>
      </c>
      <c r="O278" t="s">
        <v>4691</v>
      </c>
    </row>
    <row r="279" spans="1:15" x14ac:dyDescent="0.35">
      <c r="A279" s="2" t="s">
        <v>1085</v>
      </c>
      <c r="B279" s="2" t="s">
        <v>790</v>
      </c>
      <c r="C279" t="s">
        <v>600</v>
      </c>
      <c r="D279" s="37" t="s">
        <v>507</v>
      </c>
      <c r="E279" t="s">
        <v>4350</v>
      </c>
      <c r="F279" s="181">
        <v>45935</v>
      </c>
      <c r="G279" s="47">
        <v>4275069.92</v>
      </c>
      <c r="H279" s="37">
        <f t="shared" si="21"/>
        <v>57</v>
      </c>
      <c r="I279" s="37" t="str">
        <f t="shared" si="22"/>
        <v>0-120 DAYS</v>
      </c>
      <c r="J279" s="37" t="str">
        <f t="shared" si="23"/>
        <v>0-180 DAYS</v>
      </c>
      <c r="K279" t="s">
        <v>1730</v>
      </c>
      <c r="L279" s="66"/>
      <c r="M279" s="66">
        <v>4275069.92</v>
      </c>
      <c r="O279" t="s">
        <v>4692</v>
      </c>
    </row>
    <row r="280" spans="1:15" x14ac:dyDescent="0.35">
      <c r="A280" s="2" t="s">
        <v>1085</v>
      </c>
      <c r="B280" s="2" t="s">
        <v>790</v>
      </c>
      <c r="C280" t="s">
        <v>814</v>
      </c>
      <c r="D280" s="37" t="s">
        <v>507</v>
      </c>
      <c r="E280" t="s">
        <v>4351</v>
      </c>
      <c r="F280" s="181">
        <v>45936</v>
      </c>
      <c r="G280" s="47">
        <v>206293</v>
      </c>
      <c r="H280" s="37">
        <f t="shared" si="21"/>
        <v>56</v>
      </c>
      <c r="I280" s="37" t="str">
        <f t="shared" si="22"/>
        <v>0-120 DAYS</v>
      </c>
      <c r="J280" s="37" t="str">
        <f t="shared" si="23"/>
        <v>0-180 DAYS</v>
      </c>
      <c r="K280" t="s">
        <v>1730</v>
      </c>
      <c r="L280" s="66"/>
      <c r="M280" s="66">
        <v>206293</v>
      </c>
      <c r="O280" t="s">
        <v>4693</v>
      </c>
    </row>
    <row r="281" spans="1:15" x14ac:dyDescent="0.35">
      <c r="A281" s="2" t="s">
        <v>1085</v>
      </c>
      <c r="B281" s="2" t="s">
        <v>790</v>
      </c>
      <c r="C281" t="s">
        <v>530</v>
      </c>
      <c r="D281" s="37" t="s">
        <v>507</v>
      </c>
      <c r="E281" t="s">
        <v>4352</v>
      </c>
      <c r="F281" s="181">
        <v>45937</v>
      </c>
      <c r="G281" s="47">
        <v>4297370</v>
      </c>
      <c r="H281" s="37">
        <f t="shared" si="21"/>
        <v>55</v>
      </c>
      <c r="I281" s="37" t="str">
        <f t="shared" si="22"/>
        <v>0-120 DAYS</v>
      </c>
      <c r="J281" s="37" t="str">
        <f t="shared" si="23"/>
        <v>0-180 DAYS</v>
      </c>
      <c r="K281" t="s">
        <v>1730</v>
      </c>
      <c r="L281" s="66"/>
      <c r="M281" s="66">
        <v>4297370</v>
      </c>
      <c r="O281" t="s">
        <v>4694</v>
      </c>
    </row>
    <row r="282" spans="1:15" x14ac:dyDescent="0.35">
      <c r="A282" s="2" t="s">
        <v>1085</v>
      </c>
      <c r="B282" s="2" t="s">
        <v>790</v>
      </c>
      <c r="C282" t="s">
        <v>540</v>
      </c>
      <c r="D282" s="37" t="s">
        <v>507</v>
      </c>
      <c r="E282" t="s">
        <v>4353</v>
      </c>
      <c r="F282" s="181">
        <v>45937</v>
      </c>
      <c r="G282" s="47">
        <v>3439792.58</v>
      </c>
      <c r="H282" s="37">
        <f t="shared" si="21"/>
        <v>55</v>
      </c>
      <c r="I282" s="37" t="str">
        <f t="shared" si="22"/>
        <v>0-120 DAYS</v>
      </c>
      <c r="J282" s="37" t="str">
        <f t="shared" si="23"/>
        <v>0-180 DAYS</v>
      </c>
      <c r="K282" t="s">
        <v>1730</v>
      </c>
      <c r="L282" s="66"/>
      <c r="M282" s="66">
        <v>3439792.58</v>
      </c>
      <c r="O282" t="s">
        <v>4694</v>
      </c>
    </row>
    <row r="283" spans="1:15" x14ac:dyDescent="0.35">
      <c r="A283" s="2" t="s">
        <v>1085</v>
      </c>
      <c r="B283" s="2" t="s">
        <v>790</v>
      </c>
      <c r="C283" t="s">
        <v>4228</v>
      </c>
      <c r="D283" s="37" t="s">
        <v>507</v>
      </c>
      <c r="E283" t="s">
        <v>4354</v>
      </c>
      <c r="F283" s="181">
        <v>45937</v>
      </c>
      <c r="G283" s="47">
        <v>3587232</v>
      </c>
      <c r="H283" s="37">
        <f t="shared" si="21"/>
        <v>55</v>
      </c>
      <c r="I283" s="37" t="str">
        <f t="shared" si="22"/>
        <v>0-120 DAYS</v>
      </c>
      <c r="J283" s="37" t="str">
        <f t="shared" si="23"/>
        <v>0-180 DAYS</v>
      </c>
      <c r="K283" t="s">
        <v>1730</v>
      </c>
      <c r="L283" s="66"/>
      <c r="M283" s="66">
        <v>3587232</v>
      </c>
      <c r="O283" t="s">
        <v>4694</v>
      </c>
    </row>
    <row r="284" spans="1:15" x14ac:dyDescent="0.35">
      <c r="A284" s="2" t="s">
        <v>1085</v>
      </c>
      <c r="B284" s="2" t="s">
        <v>790</v>
      </c>
      <c r="C284" t="s">
        <v>681</v>
      </c>
      <c r="D284" s="37" t="s">
        <v>507</v>
      </c>
      <c r="E284" t="s">
        <v>4355</v>
      </c>
      <c r="F284" s="181">
        <v>45937</v>
      </c>
      <c r="G284" s="47">
        <v>3829760</v>
      </c>
      <c r="H284" s="37">
        <f t="shared" si="21"/>
        <v>55</v>
      </c>
      <c r="I284" s="37" t="str">
        <f t="shared" si="22"/>
        <v>0-120 DAYS</v>
      </c>
      <c r="J284" s="37" t="str">
        <f t="shared" si="23"/>
        <v>0-180 DAYS</v>
      </c>
      <c r="K284" t="s">
        <v>1730</v>
      </c>
      <c r="L284" s="66"/>
      <c r="M284" s="66">
        <v>3829760</v>
      </c>
      <c r="O284" t="s">
        <v>4694</v>
      </c>
    </row>
    <row r="285" spans="1:15" x14ac:dyDescent="0.35">
      <c r="A285" s="2" t="s">
        <v>1085</v>
      </c>
      <c r="B285" s="2" t="s">
        <v>790</v>
      </c>
      <c r="C285" t="s">
        <v>814</v>
      </c>
      <c r="D285" s="37" t="s">
        <v>507</v>
      </c>
      <c r="E285" t="s">
        <v>4356</v>
      </c>
      <c r="F285" s="181">
        <v>45938</v>
      </c>
      <c r="G285" s="47">
        <v>37313</v>
      </c>
      <c r="H285" s="37">
        <f t="shared" si="21"/>
        <v>54</v>
      </c>
      <c r="I285" s="37" t="str">
        <f t="shared" si="22"/>
        <v>0-120 DAYS</v>
      </c>
      <c r="J285" s="37" t="str">
        <f t="shared" si="23"/>
        <v>0-180 DAYS</v>
      </c>
      <c r="K285" t="s">
        <v>1730</v>
      </c>
      <c r="L285" s="66"/>
      <c r="M285" s="66">
        <v>37313</v>
      </c>
      <c r="O285" t="s">
        <v>4695</v>
      </c>
    </row>
    <row r="286" spans="1:15" x14ac:dyDescent="0.35">
      <c r="A286" s="2" t="s">
        <v>1085</v>
      </c>
      <c r="B286" s="2" t="s">
        <v>790</v>
      </c>
      <c r="C286" t="s">
        <v>1243</v>
      </c>
      <c r="D286" s="37" t="s">
        <v>507</v>
      </c>
      <c r="E286" t="s">
        <v>4357</v>
      </c>
      <c r="F286" s="181">
        <v>45939</v>
      </c>
      <c r="G286" s="47">
        <v>3913745.44</v>
      </c>
      <c r="H286" s="37">
        <f t="shared" si="21"/>
        <v>53</v>
      </c>
      <c r="I286" s="37" t="str">
        <f t="shared" si="22"/>
        <v>0-120 DAYS</v>
      </c>
      <c r="J286" s="37" t="str">
        <f t="shared" si="23"/>
        <v>0-180 DAYS</v>
      </c>
      <c r="K286" t="s">
        <v>1730</v>
      </c>
      <c r="L286" s="66"/>
      <c r="M286" s="66">
        <v>3913745.44</v>
      </c>
      <c r="O286" t="s">
        <v>4696</v>
      </c>
    </row>
    <row r="287" spans="1:15" x14ac:dyDescent="0.35">
      <c r="A287" s="2" t="s">
        <v>1085</v>
      </c>
      <c r="B287" s="2" t="s">
        <v>790</v>
      </c>
      <c r="C287" t="s">
        <v>814</v>
      </c>
      <c r="D287" s="37" t="s">
        <v>507</v>
      </c>
      <c r="E287" t="s">
        <v>4358</v>
      </c>
      <c r="F287" s="181">
        <v>45940</v>
      </c>
      <c r="G287" s="47">
        <v>27872</v>
      </c>
      <c r="H287" s="37">
        <f t="shared" si="21"/>
        <v>52</v>
      </c>
      <c r="I287" s="37" t="str">
        <f t="shared" si="22"/>
        <v>0-120 DAYS</v>
      </c>
      <c r="J287" s="37" t="str">
        <f t="shared" si="23"/>
        <v>0-180 DAYS</v>
      </c>
      <c r="K287" t="s">
        <v>1730</v>
      </c>
      <c r="L287" s="66"/>
      <c r="M287" s="66">
        <v>27872</v>
      </c>
      <c r="O287" t="s">
        <v>4697</v>
      </c>
    </row>
    <row r="288" spans="1:15" x14ac:dyDescent="0.35">
      <c r="A288" s="2" t="s">
        <v>1085</v>
      </c>
      <c r="B288" s="2" t="s">
        <v>790</v>
      </c>
      <c r="C288" t="s">
        <v>653</v>
      </c>
      <c r="D288" s="37" t="s">
        <v>507</v>
      </c>
      <c r="E288" t="s">
        <v>4359</v>
      </c>
      <c r="F288" s="181">
        <v>45940</v>
      </c>
      <c r="G288" s="47">
        <v>5106148.93</v>
      </c>
      <c r="H288" s="37">
        <f t="shared" si="21"/>
        <v>52</v>
      </c>
      <c r="I288" s="37" t="str">
        <f t="shared" si="22"/>
        <v>0-120 DAYS</v>
      </c>
      <c r="J288" s="37" t="str">
        <f t="shared" si="23"/>
        <v>0-180 DAYS</v>
      </c>
      <c r="K288" t="s">
        <v>1730</v>
      </c>
      <c r="L288" s="66"/>
      <c r="M288" s="66">
        <v>5106148.93</v>
      </c>
      <c r="O288" t="s">
        <v>4697</v>
      </c>
    </row>
    <row r="289" spans="1:15" x14ac:dyDescent="0.35">
      <c r="A289" s="2" t="s">
        <v>1085</v>
      </c>
      <c r="B289" s="2" t="s">
        <v>790</v>
      </c>
      <c r="C289" t="s">
        <v>814</v>
      </c>
      <c r="D289" s="37" t="s">
        <v>507</v>
      </c>
      <c r="E289" t="s">
        <v>4360</v>
      </c>
      <c r="F289" s="181">
        <v>45942</v>
      </c>
      <c r="G289" s="47">
        <v>40172</v>
      </c>
      <c r="H289" s="37">
        <f t="shared" si="21"/>
        <v>50</v>
      </c>
      <c r="I289" s="37" t="str">
        <f t="shared" si="22"/>
        <v>0-120 DAYS</v>
      </c>
      <c r="J289" s="37" t="str">
        <f t="shared" si="23"/>
        <v>0-180 DAYS</v>
      </c>
      <c r="K289" t="s">
        <v>1730</v>
      </c>
      <c r="L289" s="66"/>
      <c r="M289" s="66">
        <v>40172</v>
      </c>
      <c r="O289" t="s">
        <v>4698</v>
      </c>
    </row>
    <row r="290" spans="1:15" x14ac:dyDescent="0.35">
      <c r="A290" s="2" t="s">
        <v>1085</v>
      </c>
      <c r="B290" s="2" t="s">
        <v>790</v>
      </c>
      <c r="C290" t="s">
        <v>1329</v>
      </c>
      <c r="D290" s="37" t="s">
        <v>507</v>
      </c>
      <c r="E290" t="s">
        <v>4361</v>
      </c>
      <c r="F290" s="181">
        <v>45943</v>
      </c>
      <c r="G290" s="47">
        <f>1149087.14-1147028</f>
        <v>2059.1399999998976</v>
      </c>
      <c r="H290" s="37">
        <f t="shared" si="21"/>
        <v>49</v>
      </c>
      <c r="I290" s="37" t="str">
        <f t="shared" si="22"/>
        <v>0-120 DAYS</v>
      </c>
      <c r="J290" s="37" t="str">
        <f t="shared" si="23"/>
        <v>0-180 DAYS</v>
      </c>
      <c r="K290" t="s">
        <v>1730</v>
      </c>
      <c r="L290" s="66"/>
      <c r="M290" s="66">
        <v>2059.14</v>
      </c>
      <c r="O290" t="s">
        <v>4699</v>
      </c>
    </row>
    <row r="291" spans="1:15" x14ac:dyDescent="0.35">
      <c r="A291" s="2" t="s">
        <v>1085</v>
      </c>
      <c r="B291" s="2" t="s">
        <v>790</v>
      </c>
      <c r="C291" t="s">
        <v>814</v>
      </c>
      <c r="D291" s="37" t="s">
        <v>507</v>
      </c>
      <c r="E291" t="s">
        <v>4362</v>
      </c>
      <c r="F291" s="181">
        <v>45943</v>
      </c>
      <c r="G291" s="47">
        <v>60240</v>
      </c>
      <c r="H291" s="37">
        <f t="shared" si="21"/>
        <v>49</v>
      </c>
      <c r="I291" s="37" t="str">
        <f t="shared" si="22"/>
        <v>0-120 DAYS</v>
      </c>
      <c r="J291" s="37" t="str">
        <f t="shared" si="23"/>
        <v>0-180 DAYS</v>
      </c>
      <c r="K291" t="s">
        <v>1730</v>
      </c>
      <c r="L291" s="66"/>
      <c r="M291" s="66">
        <v>60240</v>
      </c>
      <c r="O291" t="s">
        <v>4699</v>
      </c>
    </row>
    <row r="292" spans="1:15" x14ac:dyDescent="0.35">
      <c r="A292" s="2" t="s">
        <v>1085</v>
      </c>
      <c r="B292" s="2" t="s">
        <v>790</v>
      </c>
      <c r="C292" t="s">
        <v>3797</v>
      </c>
      <c r="D292" s="37" t="s">
        <v>507</v>
      </c>
      <c r="E292" t="s">
        <v>4363</v>
      </c>
      <c r="F292" s="181">
        <v>45943</v>
      </c>
      <c r="G292" s="47">
        <v>4082392.5</v>
      </c>
      <c r="H292" s="37">
        <f t="shared" si="21"/>
        <v>49</v>
      </c>
      <c r="I292" s="37" t="str">
        <f t="shared" si="22"/>
        <v>0-120 DAYS</v>
      </c>
      <c r="J292" s="37" t="str">
        <f t="shared" si="23"/>
        <v>0-180 DAYS</v>
      </c>
      <c r="K292" t="s">
        <v>1730</v>
      </c>
      <c r="L292" s="66"/>
      <c r="M292" s="66">
        <v>4082392.5</v>
      </c>
      <c r="O292" t="s">
        <v>4699</v>
      </c>
    </row>
    <row r="293" spans="1:15" x14ac:dyDescent="0.35">
      <c r="A293" s="2" t="s">
        <v>1085</v>
      </c>
      <c r="B293" s="2" t="s">
        <v>790</v>
      </c>
      <c r="C293" t="s">
        <v>814</v>
      </c>
      <c r="D293" s="37" t="s">
        <v>507</v>
      </c>
      <c r="E293" t="s">
        <v>4364</v>
      </c>
      <c r="F293" s="181">
        <v>45944</v>
      </c>
      <c r="G293" s="47">
        <v>58937</v>
      </c>
      <c r="H293" s="37">
        <f t="shared" si="21"/>
        <v>48</v>
      </c>
      <c r="I293" s="37" t="str">
        <f t="shared" si="22"/>
        <v>0-120 DAYS</v>
      </c>
      <c r="J293" s="37" t="str">
        <f t="shared" si="23"/>
        <v>0-180 DAYS</v>
      </c>
      <c r="K293" t="s">
        <v>1730</v>
      </c>
      <c r="L293" s="66"/>
      <c r="M293" s="66">
        <v>58937</v>
      </c>
      <c r="O293" t="s">
        <v>4700</v>
      </c>
    </row>
    <row r="294" spans="1:15" x14ac:dyDescent="0.35">
      <c r="A294" s="2" t="s">
        <v>1085</v>
      </c>
      <c r="B294" s="2" t="s">
        <v>790</v>
      </c>
      <c r="C294" t="s">
        <v>4228</v>
      </c>
      <c r="D294" s="37" t="s">
        <v>507</v>
      </c>
      <c r="E294" t="s">
        <v>4365</v>
      </c>
      <c r="F294" s="181">
        <v>45945</v>
      </c>
      <c r="G294" s="47">
        <v>3587232</v>
      </c>
      <c r="H294" s="37">
        <f t="shared" si="21"/>
        <v>47</v>
      </c>
      <c r="I294" s="37" t="str">
        <f t="shared" si="22"/>
        <v>0-120 DAYS</v>
      </c>
      <c r="J294" s="37" t="str">
        <f t="shared" si="23"/>
        <v>0-180 DAYS</v>
      </c>
      <c r="K294" t="s">
        <v>1730</v>
      </c>
      <c r="L294" s="66"/>
      <c r="M294" s="66">
        <v>3587232</v>
      </c>
      <c r="O294" t="s">
        <v>4701</v>
      </c>
    </row>
    <row r="295" spans="1:15" x14ac:dyDescent="0.35">
      <c r="A295" s="2" t="s">
        <v>1085</v>
      </c>
      <c r="B295" s="2" t="s">
        <v>790</v>
      </c>
      <c r="C295" t="s">
        <v>1086</v>
      </c>
      <c r="D295" s="37" t="s">
        <v>507</v>
      </c>
      <c r="E295" t="s">
        <v>4366</v>
      </c>
      <c r="F295" s="181">
        <v>45946</v>
      </c>
      <c r="G295" s="47">
        <v>2046000</v>
      </c>
      <c r="H295" s="37">
        <f t="shared" si="21"/>
        <v>46</v>
      </c>
      <c r="I295" s="37" t="str">
        <f t="shared" si="22"/>
        <v>0-120 DAYS</v>
      </c>
      <c r="J295" s="37" t="str">
        <f t="shared" si="23"/>
        <v>0-180 DAYS</v>
      </c>
      <c r="K295" t="s">
        <v>1730</v>
      </c>
      <c r="L295" s="66"/>
      <c r="M295" s="66">
        <v>2046000</v>
      </c>
      <c r="O295" t="s">
        <v>4702</v>
      </c>
    </row>
    <row r="296" spans="1:15" x14ac:dyDescent="0.35">
      <c r="A296" s="2" t="s">
        <v>1085</v>
      </c>
      <c r="B296" s="2" t="s">
        <v>790</v>
      </c>
      <c r="C296" t="s">
        <v>1086</v>
      </c>
      <c r="D296" s="37" t="s">
        <v>507</v>
      </c>
      <c r="E296" t="s">
        <v>4367</v>
      </c>
      <c r="F296" s="181">
        <v>45946</v>
      </c>
      <c r="G296" s="47">
        <v>898925.28</v>
      </c>
      <c r="H296" s="37">
        <f t="shared" si="21"/>
        <v>46</v>
      </c>
      <c r="I296" s="37" t="str">
        <f t="shared" si="22"/>
        <v>0-120 DAYS</v>
      </c>
      <c r="J296" s="37" t="str">
        <f t="shared" si="23"/>
        <v>0-180 DAYS</v>
      </c>
      <c r="K296" t="s">
        <v>1730</v>
      </c>
      <c r="L296" s="66"/>
      <c r="M296" s="66">
        <v>898925.28</v>
      </c>
      <c r="O296" t="s">
        <v>4702</v>
      </c>
    </row>
    <row r="297" spans="1:15" x14ac:dyDescent="0.35">
      <c r="A297" s="2" t="s">
        <v>1085</v>
      </c>
      <c r="B297" s="2" t="s">
        <v>790</v>
      </c>
      <c r="C297" t="s">
        <v>600</v>
      </c>
      <c r="D297" s="37" t="s">
        <v>507</v>
      </c>
      <c r="E297" t="s">
        <v>4368</v>
      </c>
      <c r="F297" s="181">
        <v>45946</v>
      </c>
      <c r="G297" s="47">
        <v>4241383.5199999996</v>
      </c>
      <c r="H297" s="37">
        <f t="shared" si="21"/>
        <v>46</v>
      </c>
      <c r="I297" s="37" t="str">
        <f t="shared" si="22"/>
        <v>0-120 DAYS</v>
      </c>
      <c r="J297" s="37" t="str">
        <f t="shared" si="23"/>
        <v>0-180 DAYS</v>
      </c>
      <c r="K297" t="s">
        <v>1730</v>
      </c>
      <c r="L297" s="66"/>
      <c r="M297" s="66">
        <v>4241383.5199999996</v>
      </c>
      <c r="O297" t="s">
        <v>4702</v>
      </c>
    </row>
    <row r="298" spans="1:15" x14ac:dyDescent="0.35">
      <c r="A298" s="2" t="s">
        <v>1085</v>
      </c>
      <c r="B298" s="2" t="s">
        <v>790</v>
      </c>
      <c r="C298" t="s">
        <v>631</v>
      </c>
      <c r="D298" s="37" t="s">
        <v>507</v>
      </c>
      <c r="E298" t="s">
        <v>4369</v>
      </c>
      <c r="F298" s="181">
        <v>45946</v>
      </c>
      <c r="G298" s="47">
        <v>3124704</v>
      </c>
      <c r="H298" s="37">
        <f t="shared" si="21"/>
        <v>46</v>
      </c>
      <c r="I298" s="37" t="str">
        <f t="shared" si="22"/>
        <v>0-120 DAYS</v>
      </c>
      <c r="J298" s="37" t="str">
        <f t="shared" si="23"/>
        <v>0-180 DAYS</v>
      </c>
      <c r="K298" t="s">
        <v>1730</v>
      </c>
      <c r="L298" s="66"/>
      <c r="M298" s="66">
        <v>3124704</v>
      </c>
      <c r="O298" t="s">
        <v>4702</v>
      </c>
    </row>
    <row r="299" spans="1:15" x14ac:dyDescent="0.35">
      <c r="A299" s="2" t="s">
        <v>1085</v>
      </c>
      <c r="B299" s="2" t="s">
        <v>790</v>
      </c>
      <c r="C299" t="s">
        <v>814</v>
      </c>
      <c r="D299" s="37" t="s">
        <v>507</v>
      </c>
      <c r="E299" t="s">
        <v>4370</v>
      </c>
      <c r="F299" s="181">
        <v>45946</v>
      </c>
      <c r="G299" s="47">
        <v>62369</v>
      </c>
      <c r="H299" s="37">
        <f t="shared" si="21"/>
        <v>46</v>
      </c>
      <c r="I299" s="37" t="str">
        <f t="shared" si="22"/>
        <v>0-120 DAYS</v>
      </c>
      <c r="J299" s="37" t="str">
        <f t="shared" si="23"/>
        <v>0-180 DAYS</v>
      </c>
      <c r="K299" t="s">
        <v>1730</v>
      </c>
      <c r="L299" s="66"/>
      <c r="M299" s="66">
        <v>62369</v>
      </c>
      <c r="O299" t="s">
        <v>4702</v>
      </c>
    </row>
    <row r="300" spans="1:15" x14ac:dyDescent="0.35">
      <c r="A300" s="2" t="s">
        <v>1085</v>
      </c>
      <c r="B300" s="2" t="s">
        <v>790</v>
      </c>
      <c r="C300" t="s">
        <v>598</v>
      </c>
      <c r="D300" s="37" t="s">
        <v>507</v>
      </c>
      <c r="E300" t="s">
        <v>2069</v>
      </c>
      <c r="F300" s="181">
        <v>45946</v>
      </c>
      <c r="G300" s="47">
        <v>3781531.14</v>
      </c>
      <c r="H300" s="37">
        <f t="shared" si="21"/>
        <v>46</v>
      </c>
      <c r="I300" s="37" t="str">
        <f t="shared" si="22"/>
        <v>0-120 DAYS</v>
      </c>
      <c r="J300" s="37" t="str">
        <f t="shared" si="23"/>
        <v>0-180 DAYS</v>
      </c>
      <c r="K300" t="s">
        <v>1730</v>
      </c>
      <c r="L300" s="66"/>
      <c r="M300" s="66">
        <v>3781531.14</v>
      </c>
      <c r="O300" t="s">
        <v>4702</v>
      </c>
    </row>
    <row r="301" spans="1:15" x14ac:dyDescent="0.35">
      <c r="A301" s="2" t="s">
        <v>1085</v>
      </c>
      <c r="B301" s="2" t="s">
        <v>790</v>
      </c>
      <c r="C301" t="s">
        <v>1052</v>
      </c>
      <c r="D301" s="37" t="s">
        <v>507</v>
      </c>
      <c r="E301" t="s">
        <v>4371</v>
      </c>
      <c r="F301" s="181">
        <v>45947</v>
      </c>
      <c r="G301" s="47">
        <v>2770358.4</v>
      </c>
      <c r="H301" s="37">
        <f t="shared" si="21"/>
        <v>45</v>
      </c>
      <c r="I301" s="37" t="str">
        <f t="shared" si="22"/>
        <v>0-120 DAYS</v>
      </c>
      <c r="J301" s="37" t="str">
        <f t="shared" si="23"/>
        <v>0-180 DAYS</v>
      </c>
      <c r="K301" t="s">
        <v>1730</v>
      </c>
      <c r="L301" s="66"/>
      <c r="M301" s="66">
        <v>2770358.4</v>
      </c>
      <c r="O301" t="s">
        <v>4703</v>
      </c>
    </row>
    <row r="302" spans="1:15" x14ac:dyDescent="0.35">
      <c r="A302" s="2" t="s">
        <v>1085</v>
      </c>
      <c r="B302" s="2" t="s">
        <v>790</v>
      </c>
      <c r="C302" t="s">
        <v>591</v>
      </c>
      <c r="D302" s="37" t="s">
        <v>507</v>
      </c>
      <c r="E302" t="s">
        <v>4372</v>
      </c>
      <c r="F302" s="181">
        <v>45948</v>
      </c>
      <c r="G302" s="47">
        <v>1579248.83</v>
      </c>
      <c r="H302" s="37">
        <f t="shared" si="21"/>
        <v>44</v>
      </c>
      <c r="I302" s="37" t="str">
        <f t="shared" si="22"/>
        <v>0-120 DAYS</v>
      </c>
      <c r="J302" s="37" t="str">
        <f t="shared" si="23"/>
        <v>0-180 DAYS</v>
      </c>
      <c r="K302" t="s">
        <v>1730</v>
      </c>
      <c r="L302" s="66"/>
      <c r="M302" s="66">
        <v>1579248.83</v>
      </c>
      <c r="O302" t="s">
        <v>4704</v>
      </c>
    </row>
    <row r="303" spans="1:15" x14ac:dyDescent="0.35">
      <c r="A303" s="2" t="s">
        <v>1085</v>
      </c>
      <c r="B303" s="2" t="s">
        <v>790</v>
      </c>
      <c r="C303" t="s">
        <v>814</v>
      </c>
      <c r="D303" s="37" t="s">
        <v>507</v>
      </c>
      <c r="E303" t="s">
        <v>4373</v>
      </c>
      <c r="F303" s="181">
        <v>45952</v>
      </c>
      <c r="G303" s="47">
        <v>289710</v>
      </c>
      <c r="H303" s="37">
        <f t="shared" si="21"/>
        <v>40</v>
      </c>
      <c r="I303" s="37" t="str">
        <f t="shared" si="22"/>
        <v>0-120 DAYS</v>
      </c>
      <c r="J303" s="37" t="str">
        <f t="shared" si="23"/>
        <v>0-180 DAYS</v>
      </c>
      <c r="K303" t="s">
        <v>1730</v>
      </c>
      <c r="L303" s="66"/>
      <c r="M303" s="66">
        <v>289710</v>
      </c>
      <c r="O303" t="s">
        <v>4705</v>
      </c>
    </row>
    <row r="304" spans="1:15" x14ac:dyDescent="0.35">
      <c r="A304" s="2" t="s">
        <v>1085</v>
      </c>
      <c r="B304" s="2" t="s">
        <v>790</v>
      </c>
      <c r="C304" t="s">
        <v>548</v>
      </c>
      <c r="D304" s="37" t="s">
        <v>507</v>
      </c>
      <c r="E304" t="s">
        <v>4374</v>
      </c>
      <c r="F304" s="181">
        <v>45955</v>
      </c>
      <c r="G304" s="47">
        <v>3934644.6</v>
      </c>
      <c r="H304" s="37">
        <f t="shared" si="21"/>
        <v>37</v>
      </c>
      <c r="I304" s="37" t="str">
        <f t="shared" si="22"/>
        <v>0-120 DAYS</v>
      </c>
      <c r="J304" s="37" t="str">
        <f t="shared" si="23"/>
        <v>0-180 DAYS</v>
      </c>
      <c r="K304" t="s">
        <v>1730</v>
      </c>
      <c r="L304" s="66"/>
      <c r="M304" s="66">
        <v>3934644.6</v>
      </c>
      <c r="O304" t="s">
        <v>4706</v>
      </c>
    </row>
    <row r="305" spans="1:15" x14ac:dyDescent="0.35">
      <c r="A305" s="2" t="s">
        <v>1085</v>
      </c>
      <c r="B305" s="2" t="s">
        <v>790</v>
      </c>
      <c r="C305" t="s">
        <v>3796</v>
      </c>
      <c r="D305" s="37" t="s">
        <v>507</v>
      </c>
      <c r="E305" t="s">
        <v>4375</v>
      </c>
      <c r="F305" s="181">
        <v>45955</v>
      </c>
      <c r="G305" s="47">
        <v>3586232.8</v>
      </c>
      <c r="H305" s="37">
        <f t="shared" si="21"/>
        <v>37</v>
      </c>
      <c r="I305" s="37" t="str">
        <f t="shared" si="22"/>
        <v>0-120 DAYS</v>
      </c>
      <c r="J305" s="37" t="str">
        <f t="shared" si="23"/>
        <v>0-180 DAYS</v>
      </c>
      <c r="K305" t="s">
        <v>1730</v>
      </c>
      <c r="L305" s="66"/>
      <c r="M305" s="66">
        <v>3586232.8</v>
      </c>
      <c r="O305" t="s">
        <v>4706</v>
      </c>
    </row>
    <row r="306" spans="1:15" x14ac:dyDescent="0.35">
      <c r="A306" s="2" t="s">
        <v>1085</v>
      </c>
      <c r="B306" s="2" t="s">
        <v>790</v>
      </c>
      <c r="C306" t="s">
        <v>2561</v>
      </c>
      <c r="D306" s="37" t="s">
        <v>507</v>
      </c>
      <c r="E306" t="s">
        <v>4376</v>
      </c>
      <c r="F306" s="181">
        <v>45957</v>
      </c>
      <c r="G306" s="47">
        <v>3407616</v>
      </c>
      <c r="H306" s="37">
        <f t="shared" si="21"/>
        <v>35</v>
      </c>
      <c r="I306" s="37" t="str">
        <f t="shared" si="22"/>
        <v>0-120 DAYS</v>
      </c>
      <c r="J306" s="37" t="str">
        <f t="shared" si="23"/>
        <v>0-180 DAYS</v>
      </c>
      <c r="K306" t="s">
        <v>1730</v>
      </c>
      <c r="L306" s="66"/>
      <c r="M306" s="66">
        <v>3407616</v>
      </c>
      <c r="O306" t="s">
        <v>4707</v>
      </c>
    </row>
    <row r="307" spans="1:15" x14ac:dyDescent="0.35">
      <c r="A307" s="2" t="s">
        <v>1085</v>
      </c>
      <c r="B307" s="2" t="s">
        <v>790</v>
      </c>
      <c r="C307" t="s">
        <v>4228</v>
      </c>
      <c r="D307" s="37" t="s">
        <v>507</v>
      </c>
      <c r="E307" t="s">
        <v>4377</v>
      </c>
      <c r="F307" s="181">
        <v>45957</v>
      </c>
      <c r="G307" s="47">
        <v>3546468</v>
      </c>
      <c r="H307" s="37">
        <f t="shared" si="21"/>
        <v>35</v>
      </c>
      <c r="I307" s="37" t="str">
        <f t="shared" si="22"/>
        <v>0-120 DAYS</v>
      </c>
      <c r="J307" s="37" t="str">
        <f t="shared" si="23"/>
        <v>0-180 DAYS</v>
      </c>
      <c r="K307" t="s">
        <v>1730</v>
      </c>
      <c r="L307" s="66"/>
      <c r="M307" s="66">
        <v>3546468</v>
      </c>
      <c r="O307" t="s">
        <v>4707</v>
      </c>
    </row>
    <row r="308" spans="1:15" x14ac:dyDescent="0.35">
      <c r="A308" s="2" t="s">
        <v>1085</v>
      </c>
      <c r="B308" s="2" t="s">
        <v>790</v>
      </c>
      <c r="C308" t="s">
        <v>3797</v>
      </c>
      <c r="D308" s="37" t="s">
        <v>507</v>
      </c>
      <c r="E308" t="s">
        <v>4378</v>
      </c>
      <c r="F308" s="181">
        <v>45957</v>
      </c>
      <c r="G308" s="47">
        <v>3792040</v>
      </c>
      <c r="H308" s="37">
        <f t="shared" si="21"/>
        <v>35</v>
      </c>
      <c r="I308" s="37" t="str">
        <f t="shared" si="22"/>
        <v>0-120 DAYS</v>
      </c>
      <c r="J308" s="37" t="str">
        <f t="shared" si="23"/>
        <v>0-180 DAYS</v>
      </c>
      <c r="K308" t="s">
        <v>1730</v>
      </c>
      <c r="L308" s="66"/>
      <c r="M308" s="66">
        <v>3792040</v>
      </c>
      <c r="O308" t="s">
        <v>4707</v>
      </c>
    </row>
    <row r="309" spans="1:15" x14ac:dyDescent="0.35">
      <c r="A309" s="2" t="s">
        <v>1085</v>
      </c>
      <c r="B309" s="2" t="s">
        <v>790</v>
      </c>
      <c r="C309" t="s">
        <v>1329</v>
      </c>
      <c r="D309" s="37" t="s">
        <v>507</v>
      </c>
      <c r="E309" t="s">
        <v>4379</v>
      </c>
      <c r="F309" s="181">
        <v>45960</v>
      </c>
      <c r="G309" s="47">
        <v>3389157.26</v>
      </c>
      <c r="H309" s="37">
        <f t="shared" si="21"/>
        <v>32</v>
      </c>
      <c r="I309" s="37" t="str">
        <f t="shared" si="22"/>
        <v>0-120 DAYS</v>
      </c>
      <c r="J309" s="37" t="str">
        <f t="shared" si="23"/>
        <v>0-180 DAYS</v>
      </c>
      <c r="K309" t="s">
        <v>1730</v>
      </c>
      <c r="L309" s="66"/>
      <c r="M309" s="66">
        <v>3389157.26</v>
      </c>
      <c r="O309" t="s">
        <v>4708</v>
      </c>
    </row>
    <row r="310" spans="1:15" x14ac:dyDescent="0.35">
      <c r="A310" s="2" t="s">
        <v>1085</v>
      </c>
      <c r="B310" s="2" t="s">
        <v>790</v>
      </c>
      <c r="C310" t="s">
        <v>1243</v>
      </c>
      <c r="D310" s="37" t="s">
        <v>507</v>
      </c>
      <c r="E310" t="s">
        <v>4380</v>
      </c>
      <c r="F310" s="181">
        <v>45961</v>
      </c>
      <c r="G310" s="47">
        <v>3752774.5</v>
      </c>
      <c r="H310" s="37">
        <f t="shared" si="21"/>
        <v>31</v>
      </c>
      <c r="I310" s="37" t="str">
        <f t="shared" si="22"/>
        <v>0-120 DAYS</v>
      </c>
      <c r="J310" s="37" t="str">
        <f t="shared" si="23"/>
        <v>0-180 DAYS</v>
      </c>
      <c r="K310" t="s">
        <v>1730</v>
      </c>
      <c r="L310" s="66"/>
      <c r="M310" s="66">
        <v>3752774.5</v>
      </c>
      <c r="O310" t="s">
        <v>4709</v>
      </c>
    </row>
    <row r="311" spans="1:15" x14ac:dyDescent="0.35">
      <c r="A311" s="2" t="s">
        <v>1085</v>
      </c>
      <c r="B311" s="2" t="s">
        <v>790</v>
      </c>
      <c r="C311" t="s">
        <v>1243</v>
      </c>
      <c r="D311" s="37" t="s">
        <v>507</v>
      </c>
      <c r="E311" t="s">
        <v>4381</v>
      </c>
      <c r="F311" s="181">
        <v>45961</v>
      </c>
      <c r="G311" s="47">
        <v>337204.67</v>
      </c>
      <c r="H311" s="37">
        <f t="shared" si="21"/>
        <v>31</v>
      </c>
      <c r="I311" s="37" t="str">
        <f t="shared" si="22"/>
        <v>0-120 DAYS</v>
      </c>
      <c r="J311" s="37" t="str">
        <f t="shared" si="23"/>
        <v>0-180 DAYS</v>
      </c>
      <c r="K311" t="s">
        <v>1730</v>
      </c>
      <c r="L311" s="66"/>
      <c r="M311" s="66">
        <v>337204.67</v>
      </c>
      <c r="O311" t="s">
        <v>4709</v>
      </c>
    </row>
    <row r="312" spans="1:15" x14ac:dyDescent="0.35">
      <c r="A312" s="2" t="s">
        <v>1085</v>
      </c>
      <c r="B312" s="2" t="s">
        <v>790</v>
      </c>
      <c r="C312" t="s">
        <v>575</v>
      </c>
      <c r="D312" s="37" t="s">
        <v>507</v>
      </c>
      <c r="E312" t="s">
        <v>4382</v>
      </c>
      <c r="F312" s="181">
        <v>45961</v>
      </c>
      <c r="G312" s="47">
        <v>3675134.1</v>
      </c>
      <c r="H312" s="37">
        <f t="shared" si="21"/>
        <v>31</v>
      </c>
      <c r="I312" s="37" t="str">
        <f t="shared" si="22"/>
        <v>0-120 DAYS</v>
      </c>
      <c r="J312" s="37" t="str">
        <f t="shared" si="23"/>
        <v>0-180 DAYS</v>
      </c>
      <c r="K312" t="s">
        <v>1730</v>
      </c>
      <c r="L312" s="66"/>
      <c r="M312" s="66">
        <v>3675134.1</v>
      </c>
      <c r="O312" t="s">
        <v>4709</v>
      </c>
    </row>
    <row r="313" spans="1:15" x14ac:dyDescent="0.35">
      <c r="A313" s="2" t="s">
        <v>1085</v>
      </c>
      <c r="B313" s="2" t="s">
        <v>790</v>
      </c>
      <c r="C313" t="s">
        <v>538</v>
      </c>
      <c r="D313" s="37" t="s">
        <v>507</v>
      </c>
      <c r="E313" t="s">
        <v>4383</v>
      </c>
      <c r="F313" s="181">
        <v>45931</v>
      </c>
      <c r="G313" s="47">
        <v>3466705.41</v>
      </c>
      <c r="H313" s="37">
        <f t="shared" si="21"/>
        <v>61</v>
      </c>
      <c r="I313" s="37" t="str">
        <f t="shared" si="22"/>
        <v>0-120 DAYS</v>
      </c>
      <c r="J313" s="37" t="str">
        <f t="shared" si="23"/>
        <v>0-180 DAYS</v>
      </c>
      <c r="K313" t="s">
        <v>1730</v>
      </c>
      <c r="L313" s="66"/>
      <c r="M313" s="66">
        <v>3466705.41</v>
      </c>
      <c r="O313" t="s">
        <v>4689</v>
      </c>
    </row>
    <row r="314" spans="1:15" x14ac:dyDescent="0.35">
      <c r="A314" s="2" t="s">
        <v>1085</v>
      </c>
      <c r="B314" s="2" t="s">
        <v>790</v>
      </c>
      <c r="C314" t="s">
        <v>650</v>
      </c>
      <c r="D314" s="37" t="s">
        <v>507</v>
      </c>
      <c r="E314" t="s">
        <v>2130</v>
      </c>
      <c r="F314" s="181">
        <v>45931</v>
      </c>
      <c r="G314" s="47">
        <v>4146387.96</v>
      </c>
      <c r="H314" s="37">
        <f t="shared" si="21"/>
        <v>61</v>
      </c>
      <c r="I314" s="37" t="str">
        <f t="shared" si="22"/>
        <v>0-120 DAYS</v>
      </c>
      <c r="J314" s="37" t="str">
        <f t="shared" si="23"/>
        <v>0-180 DAYS</v>
      </c>
      <c r="K314" t="s">
        <v>1730</v>
      </c>
      <c r="L314" s="66"/>
      <c r="M314" s="66">
        <v>4146387.96</v>
      </c>
      <c r="O314" t="s">
        <v>4689</v>
      </c>
    </row>
    <row r="315" spans="1:15" x14ac:dyDescent="0.35">
      <c r="A315" s="2" t="s">
        <v>1085</v>
      </c>
      <c r="B315" s="2" t="s">
        <v>790</v>
      </c>
      <c r="C315" t="s">
        <v>570</v>
      </c>
      <c r="D315" s="37" t="s">
        <v>507</v>
      </c>
      <c r="E315" t="s">
        <v>4384</v>
      </c>
      <c r="F315" s="181">
        <v>45933</v>
      </c>
      <c r="G315" s="47">
        <v>3550654.8</v>
      </c>
      <c r="H315" s="37">
        <f t="shared" si="21"/>
        <v>59</v>
      </c>
      <c r="I315" s="37" t="str">
        <f t="shared" si="22"/>
        <v>0-120 DAYS</v>
      </c>
      <c r="J315" s="37" t="str">
        <f t="shared" si="23"/>
        <v>0-180 DAYS</v>
      </c>
      <c r="K315" t="s">
        <v>1730</v>
      </c>
      <c r="L315" s="66"/>
      <c r="M315" s="66">
        <v>3550654.8</v>
      </c>
      <c r="O315" t="s">
        <v>4690</v>
      </c>
    </row>
    <row r="316" spans="1:15" x14ac:dyDescent="0.35">
      <c r="A316" s="2" t="s">
        <v>1085</v>
      </c>
      <c r="B316" s="2" t="s">
        <v>790</v>
      </c>
      <c r="C316" t="s">
        <v>570</v>
      </c>
      <c r="D316" s="37" t="s">
        <v>507</v>
      </c>
      <c r="E316" t="s">
        <v>4385</v>
      </c>
      <c r="F316" s="181">
        <v>45937</v>
      </c>
      <c r="G316" s="47">
        <v>3405600</v>
      </c>
      <c r="H316" s="37">
        <f t="shared" si="21"/>
        <v>55</v>
      </c>
      <c r="I316" s="37" t="str">
        <f t="shared" si="22"/>
        <v>0-120 DAYS</v>
      </c>
      <c r="J316" s="37" t="str">
        <f t="shared" si="23"/>
        <v>0-180 DAYS</v>
      </c>
      <c r="K316" t="s">
        <v>1730</v>
      </c>
      <c r="L316" s="66"/>
      <c r="M316" s="66">
        <v>3405600</v>
      </c>
      <c r="O316" t="s">
        <v>4694</v>
      </c>
    </row>
    <row r="317" spans="1:15" x14ac:dyDescent="0.35">
      <c r="A317" s="2" t="s">
        <v>1085</v>
      </c>
      <c r="B317" s="2" t="s">
        <v>790</v>
      </c>
      <c r="C317" t="s">
        <v>635</v>
      </c>
      <c r="D317" s="37" t="s">
        <v>507</v>
      </c>
      <c r="E317" t="s">
        <v>4386</v>
      </c>
      <c r="F317" s="181">
        <v>45937</v>
      </c>
      <c r="G317" s="47">
        <v>4010242.72</v>
      </c>
      <c r="H317" s="37">
        <f t="shared" si="21"/>
        <v>55</v>
      </c>
      <c r="I317" s="37" t="str">
        <f t="shared" si="22"/>
        <v>0-120 DAYS</v>
      </c>
      <c r="J317" s="37" t="str">
        <f t="shared" si="23"/>
        <v>0-180 DAYS</v>
      </c>
      <c r="K317" t="s">
        <v>1730</v>
      </c>
      <c r="L317" s="66"/>
      <c r="M317" s="66">
        <v>4010242.72</v>
      </c>
      <c r="O317" t="s">
        <v>4694</v>
      </c>
    </row>
    <row r="318" spans="1:15" x14ac:dyDescent="0.35">
      <c r="A318" s="2" t="s">
        <v>1085</v>
      </c>
      <c r="B318" s="2" t="s">
        <v>790</v>
      </c>
      <c r="C318" t="s">
        <v>1086</v>
      </c>
      <c r="D318" s="37" t="s">
        <v>507</v>
      </c>
      <c r="E318" t="s">
        <v>4387</v>
      </c>
      <c r="F318" s="181">
        <v>45941</v>
      </c>
      <c r="G318" s="47">
        <v>677018.32</v>
      </c>
      <c r="H318" s="37">
        <f t="shared" si="21"/>
        <v>51</v>
      </c>
      <c r="I318" s="37" t="str">
        <f t="shared" si="22"/>
        <v>0-120 DAYS</v>
      </c>
      <c r="J318" s="37" t="str">
        <f t="shared" si="23"/>
        <v>0-180 DAYS</v>
      </c>
      <c r="K318" t="s">
        <v>1730</v>
      </c>
      <c r="L318" s="66"/>
      <c r="M318" s="66">
        <v>677018.32</v>
      </c>
      <c r="O318" t="s">
        <v>4710</v>
      </c>
    </row>
    <row r="319" spans="1:15" x14ac:dyDescent="0.35">
      <c r="A319" s="2" t="s">
        <v>1085</v>
      </c>
      <c r="B319" s="2" t="s">
        <v>790</v>
      </c>
      <c r="C319" t="s">
        <v>1086</v>
      </c>
      <c r="D319" s="37" t="s">
        <v>507</v>
      </c>
      <c r="E319" t="s">
        <v>4388</v>
      </c>
      <c r="F319" s="181">
        <v>45941</v>
      </c>
      <c r="G319" s="47">
        <v>2867266.16</v>
      </c>
      <c r="H319" s="37">
        <f t="shared" si="21"/>
        <v>51</v>
      </c>
      <c r="I319" s="37" t="str">
        <f t="shared" si="22"/>
        <v>0-120 DAYS</v>
      </c>
      <c r="J319" s="37" t="str">
        <f t="shared" si="23"/>
        <v>0-180 DAYS</v>
      </c>
      <c r="K319" t="s">
        <v>1730</v>
      </c>
      <c r="L319" s="66"/>
      <c r="M319" s="66">
        <v>2867266.16</v>
      </c>
      <c r="O319" t="s">
        <v>4710</v>
      </c>
    </row>
    <row r="320" spans="1:15" x14ac:dyDescent="0.35">
      <c r="A320" s="2" t="s">
        <v>1085</v>
      </c>
      <c r="B320" s="2" t="s">
        <v>790</v>
      </c>
      <c r="C320" t="s">
        <v>596</v>
      </c>
      <c r="D320" s="37" t="s">
        <v>507</v>
      </c>
      <c r="E320" t="s">
        <v>4389</v>
      </c>
      <c r="F320" s="181">
        <v>45943</v>
      </c>
      <c r="G320" s="47">
        <v>4430268.4800000004</v>
      </c>
      <c r="H320" s="37">
        <f t="shared" si="21"/>
        <v>49</v>
      </c>
      <c r="I320" s="37" t="str">
        <f t="shared" si="22"/>
        <v>0-120 DAYS</v>
      </c>
      <c r="J320" s="37" t="str">
        <f t="shared" si="23"/>
        <v>0-180 DAYS</v>
      </c>
      <c r="K320" t="s">
        <v>1730</v>
      </c>
      <c r="L320" s="66"/>
      <c r="M320" s="66">
        <v>4430268.4800000004</v>
      </c>
      <c r="O320" t="s">
        <v>4699</v>
      </c>
    </row>
    <row r="321" spans="1:15" x14ac:dyDescent="0.35">
      <c r="A321" s="2" t="s">
        <v>1085</v>
      </c>
      <c r="B321" s="2" t="s">
        <v>790</v>
      </c>
      <c r="C321" t="s">
        <v>1086</v>
      </c>
      <c r="D321" s="37" t="s">
        <v>507</v>
      </c>
      <c r="E321" t="s">
        <v>4390</v>
      </c>
      <c r="F321" s="181">
        <v>45944</v>
      </c>
      <c r="G321" s="47">
        <v>46133.120000000003</v>
      </c>
      <c r="H321" s="37">
        <f t="shared" si="21"/>
        <v>48</v>
      </c>
      <c r="I321" s="37" t="str">
        <f t="shared" si="22"/>
        <v>0-120 DAYS</v>
      </c>
      <c r="J321" s="37" t="str">
        <f t="shared" si="23"/>
        <v>0-180 DAYS</v>
      </c>
      <c r="K321" t="s">
        <v>1730</v>
      </c>
      <c r="L321" s="66"/>
      <c r="M321" s="66">
        <v>46133.120000000003</v>
      </c>
      <c r="O321" t="s">
        <v>4700</v>
      </c>
    </row>
    <row r="322" spans="1:15" x14ac:dyDescent="0.35">
      <c r="A322" s="2" t="s">
        <v>1085</v>
      </c>
      <c r="B322" s="2" t="s">
        <v>790</v>
      </c>
      <c r="C322" t="s">
        <v>1086</v>
      </c>
      <c r="D322" s="37" t="s">
        <v>507</v>
      </c>
      <c r="E322" t="s">
        <v>4391</v>
      </c>
      <c r="F322" s="181">
        <v>45944</v>
      </c>
      <c r="G322" s="47">
        <v>2148955.6</v>
      </c>
      <c r="H322" s="37">
        <f t="shared" si="21"/>
        <v>48</v>
      </c>
      <c r="I322" s="37" t="str">
        <f t="shared" si="22"/>
        <v>0-120 DAYS</v>
      </c>
      <c r="J322" s="37" t="str">
        <f t="shared" si="23"/>
        <v>0-180 DAYS</v>
      </c>
      <c r="K322" t="s">
        <v>1730</v>
      </c>
      <c r="L322" s="66"/>
      <c r="M322" s="66">
        <v>2148955.6</v>
      </c>
      <c r="O322" t="s">
        <v>4700</v>
      </c>
    </row>
    <row r="323" spans="1:15" x14ac:dyDescent="0.35">
      <c r="A323" s="2" t="s">
        <v>1085</v>
      </c>
      <c r="B323" s="2" t="s">
        <v>790</v>
      </c>
      <c r="C323" t="s">
        <v>653</v>
      </c>
      <c r="D323" s="37" t="s">
        <v>507</v>
      </c>
      <c r="E323" t="s">
        <v>4392</v>
      </c>
      <c r="F323" s="181">
        <v>45959</v>
      </c>
      <c r="G323" s="47">
        <v>3550207.32</v>
      </c>
      <c r="H323" s="37">
        <f t="shared" si="21"/>
        <v>33</v>
      </c>
      <c r="I323" s="37" t="str">
        <f t="shared" si="22"/>
        <v>0-120 DAYS</v>
      </c>
      <c r="J323" s="37" t="str">
        <f t="shared" si="23"/>
        <v>0-180 DAYS</v>
      </c>
      <c r="K323" t="s">
        <v>1730</v>
      </c>
      <c r="L323" s="66"/>
      <c r="M323" s="66">
        <v>3550207.32</v>
      </c>
      <c r="O323" t="s">
        <v>4711</v>
      </c>
    </row>
    <row r="324" spans="1:15" x14ac:dyDescent="0.35">
      <c r="A324" s="2" t="s">
        <v>1085</v>
      </c>
      <c r="B324" s="2" t="s">
        <v>790</v>
      </c>
      <c r="C324" t="s">
        <v>635</v>
      </c>
      <c r="D324" s="37" t="s">
        <v>507</v>
      </c>
      <c r="E324" t="s">
        <v>4393</v>
      </c>
      <c r="F324" s="181">
        <v>45961</v>
      </c>
      <c r="G324" s="47">
        <v>3666778.56</v>
      </c>
      <c r="H324" s="37">
        <f t="shared" si="21"/>
        <v>31</v>
      </c>
      <c r="I324" s="37" t="str">
        <f t="shared" si="22"/>
        <v>0-120 DAYS</v>
      </c>
      <c r="J324" s="37" t="str">
        <f t="shared" si="23"/>
        <v>0-180 DAYS</v>
      </c>
      <c r="K324" t="s">
        <v>1730</v>
      </c>
      <c r="L324" s="66"/>
      <c r="M324" s="66">
        <v>3666778.56</v>
      </c>
      <c r="O324" t="s">
        <v>4709</v>
      </c>
    </row>
    <row r="325" spans="1:15" x14ac:dyDescent="0.35">
      <c r="A325" s="2" t="s">
        <v>1085</v>
      </c>
      <c r="B325" s="2" t="s">
        <v>790</v>
      </c>
      <c r="C325" t="s">
        <v>600</v>
      </c>
      <c r="D325" s="37" t="s">
        <v>507</v>
      </c>
      <c r="E325" t="s">
        <v>4394</v>
      </c>
      <c r="F325" s="181">
        <v>45943</v>
      </c>
      <c r="G325" s="47">
        <v>4346102.6399999997</v>
      </c>
      <c r="H325" s="37">
        <f t="shared" si="21"/>
        <v>49</v>
      </c>
      <c r="I325" s="37" t="str">
        <f t="shared" si="22"/>
        <v>0-120 DAYS</v>
      </c>
      <c r="J325" s="37" t="str">
        <f t="shared" si="23"/>
        <v>0-180 DAYS</v>
      </c>
      <c r="K325" t="s">
        <v>1730</v>
      </c>
      <c r="L325" s="66"/>
      <c r="M325" s="66">
        <v>4346102.6399999997</v>
      </c>
      <c r="O325" t="s">
        <v>4699</v>
      </c>
    </row>
    <row r="326" spans="1:15" x14ac:dyDescent="0.35">
      <c r="A326" s="2" t="s">
        <v>477</v>
      </c>
      <c r="B326" s="2" t="s">
        <v>790</v>
      </c>
      <c r="C326" t="s">
        <v>1087</v>
      </c>
      <c r="D326" t="s">
        <v>1088</v>
      </c>
      <c r="E326" t="s">
        <v>4395</v>
      </c>
      <c r="F326" s="181">
        <v>45934</v>
      </c>
      <c r="G326" s="47">
        <f>321277-320455</f>
        <v>822</v>
      </c>
      <c r="H326" s="37">
        <f t="shared" si="21"/>
        <v>58</v>
      </c>
      <c r="I326" s="37" t="str">
        <f t="shared" ref="I326" si="24">IF(H326&lt;91,"1-90 DAYS",IF(H326&lt;121,"91-120DAYS",IF(H326&lt;181,"121-180 DAYS","More than 180 Days")))</f>
        <v>1-90 DAYS</v>
      </c>
      <c r="J326" s="37" t="str">
        <f t="shared" si="23"/>
        <v>0-180 DAYS</v>
      </c>
      <c r="K326" t="s">
        <v>1730</v>
      </c>
      <c r="L326" s="66"/>
      <c r="M326" s="66">
        <v>822</v>
      </c>
      <c r="O326" t="s">
        <v>4691</v>
      </c>
    </row>
    <row r="327" spans="1:15" x14ac:dyDescent="0.35">
      <c r="A327" s="2" t="s">
        <v>1085</v>
      </c>
      <c r="B327" s="2" t="s">
        <v>790</v>
      </c>
      <c r="C327" t="s">
        <v>581</v>
      </c>
      <c r="D327" s="37" t="s">
        <v>507</v>
      </c>
      <c r="E327" t="s">
        <v>4396</v>
      </c>
      <c r="F327" s="181">
        <v>45941</v>
      </c>
      <c r="G327" s="47">
        <f>4222206.08-215090</f>
        <v>4007116.08</v>
      </c>
      <c r="H327" s="37">
        <f t="shared" si="21"/>
        <v>51</v>
      </c>
      <c r="I327" s="37" t="str">
        <f>IF(H327&lt;121,"0-120 DAYS",IF(H327&lt;181,"121-180 DAYS","More than 180 Days"))</f>
        <v>0-120 DAYS</v>
      </c>
      <c r="J327" s="37" t="str">
        <f>IF(H327&lt;180,"0-180 DAYS","More than 180 Days")</f>
        <v>0-180 DAYS</v>
      </c>
      <c r="K327" t="s">
        <v>1730</v>
      </c>
      <c r="L327" s="66"/>
      <c r="M327" s="66">
        <v>4007116.08</v>
      </c>
      <c r="O327" t="s">
        <v>4710</v>
      </c>
    </row>
    <row r="328" spans="1:15" x14ac:dyDescent="0.35">
      <c r="A328" s="2" t="s">
        <v>477</v>
      </c>
      <c r="B328" s="2" t="s">
        <v>790</v>
      </c>
      <c r="C328" t="s">
        <v>1196</v>
      </c>
      <c r="D328" t="s">
        <v>1208</v>
      </c>
      <c r="E328" t="s">
        <v>3349</v>
      </c>
      <c r="F328" s="181">
        <v>45947</v>
      </c>
      <c r="G328" s="47">
        <f>1883452-807373</f>
        <v>1076079</v>
      </c>
      <c r="H328" s="37">
        <f t="shared" si="21"/>
        <v>45</v>
      </c>
      <c r="I328" s="37" t="str">
        <f>IF(H328&lt;91,"1-90 DAYS",IF(H328&lt;121,"91-120DAYS",IF(H328&lt;181,"121-180 DAYS","More than 180 Days")))</f>
        <v>1-90 DAYS</v>
      </c>
      <c r="J328" s="37" t="str">
        <f t="shared" ref="J328:J332" si="25">IF(H328&lt;180,"0-180 DAYS","More than 180 Days")</f>
        <v>0-180 DAYS</v>
      </c>
      <c r="K328" t="s">
        <v>1730</v>
      </c>
      <c r="L328" s="66"/>
      <c r="M328" s="66">
        <v>1076079</v>
      </c>
      <c r="O328" t="s">
        <v>4703</v>
      </c>
    </row>
    <row r="329" spans="1:15" x14ac:dyDescent="0.35">
      <c r="A329" s="2" t="s">
        <v>477</v>
      </c>
      <c r="B329" s="2" t="s">
        <v>790</v>
      </c>
      <c r="C329" t="s">
        <v>32</v>
      </c>
      <c r="D329" t="s">
        <v>33</v>
      </c>
      <c r="E329" t="s">
        <v>4397</v>
      </c>
      <c r="F329" s="181">
        <v>45935</v>
      </c>
      <c r="G329" s="47">
        <v>1750</v>
      </c>
      <c r="H329" s="37">
        <f t="shared" si="21"/>
        <v>57</v>
      </c>
      <c r="I329" s="37" t="str">
        <f>IF(H329&lt;91,"1-90 DAYS",IF(H329&lt;121,"91-120DAYS",IF(H329&lt;181,"121-180 DAYS","More than 180 Days")))</f>
        <v>1-90 DAYS</v>
      </c>
      <c r="J329" s="37" t="str">
        <f t="shared" si="25"/>
        <v>0-180 DAYS</v>
      </c>
      <c r="K329" t="s">
        <v>1730</v>
      </c>
      <c r="L329" s="66"/>
      <c r="M329" s="66">
        <v>1750</v>
      </c>
      <c r="O329" t="s">
        <v>4692</v>
      </c>
    </row>
    <row r="330" spans="1:15" x14ac:dyDescent="0.35">
      <c r="A330" s="2" t="s">
        <v>477</v>
      </c>
      <c r="B330" s="2" t="s">
        <v>790</v>
      </c>
      <c r="C330" t="s">
        <v>259</v>
      </c>
      <c r="D330" t="s">
        <v>260</v>
      </c>
      <c r="E330" t="s">
        <v>4398</v>
      </c>
      <c r="F330" s="181">
        <v>45938</v>
      </c>
      <c r="G330" s="47">
        <f>1897246.8-1882809</f>
        <v>14437.800000000047</v>
      </c>
      <c r="H330" s="37">
        <f t="shared" si="21"/>
        <v>54</v>
      </c>
      <c r="I330" s="37" t="str">
        <f>IF(H330&lt;91,"1-90 DAYS",IF(H330&lt;121,"91-120DAYS",IF(H330&lt;181,"121-180 DAYS","More than 180 Days")))</f>
        <v>1-90 DAYS</v>
      </c>
      <c r="J330" s="37" t="str">
        <f t="shared" si="25"/>
        <v>0-180 DAYS</v>
      </c>
      <c r="K330" t="s">
        <v>1730</v>
      </c>
      <c r="L330" s="66"/>
      <c r="M330" s="66">
        <v>14437.8</v>
      </c>
      <c r="O330" t="s">
        <v>4695</v>
      </c>
    </row>
    <row r="331" spans="1:15" x14ac:dyDescent="0.35">
      <c r="A331" s="2" t="s">
        <v>477</v>
      </c>
      <c r="B331" s="2" t="s">
        <v>790</v>
      </c>
      <c r="C331" t="s">
        <v>263</v>
      </c>
      <c r="D331" t="s">
        <v>264</v>
      </c>
      <c r="E331" t="s">
        <v>4399</v>
      </c>
      <c r="F331" s="181">
        <v>45941</v>
      </c>
      <c r="G331" s="47">
        <v>648846.6</v>
      </c>
      <c r="H331" s="37">
        <f t="shared" si="21"/>
        <v>51</v>
      </c>
      <c r="I331" s="37" t="str">
        <f t="shared" ref="I331" si="26">IF(H331&lt;91,"1-90 DAYS",IF(H331&lt;121,"91-120DAYS",IF(H331&lt;181,"121-180 DAYS","More than 180 Days")))</f>
        <v>1-90 DAYS</v>
      </c>
      <c r="J331" s="37" t="str">
        <f t="shared" si="25"/>
        <v>0-180 DAYS</v>
      </c>
      <c r="K331" t="s">
        <v>1730</v>
      </c>
      <c r="L331" s="66"/>
      <c r="M331" s="66">
        <v>648846.6</v>
      </c>
      <c r="O331" t="s">
        <v>4710</v>
      </c>
    </row>
    <row r="332" spans="1:15" x14ac:dyDescent="0.35">
      <c r="A332" s="2" t="s">
        <v>477</v>
      </c>
      <c r="B332" s="2" t="s">
        <v>790</v>
      </c>
      <c r="C332" t="s">
        <v>2527</v>
      </c>
      <c r="D332" t="s">
        <v>2529</v>
      </c>
      <c r="E332" t="s">
        <v>4400</v>
      </c>
      <c r="F332" s="181">
        <v>45945</v>
      </c>
      <c r="G332" s="47">
        <v>11068.4</v>
      </c>
      <c r="H332" s="37">
        <f t="shared" ref="H332:H395" si="27">$H$9-F332+1</f>
        <v>47</v>
      </c>
      <c r="I332" s="37" t="str">
        <f>IF(H332&lt;91,"1-90 DAYS",IF(H332&lt;121,"91-120DAYS",IF(H332&lt;181,"121-180 DAYS","More than 180 Days")))</f>
        <v>1-90 DAYS</v>
      </c>
      <c r="J332" s="37" t="str">
        <f t="shared" si="25"/>
        <v>0-180 DAYS</v>
      </c>
      <c r="K332" t="s">
        <v>1730</v>
      </c>
      <c r="L332" s="66"/>
      <c r="M332" s="66">
        <v>11068.4</v>
      </c>
      <c r="O332" t="s">
        <v>4701</v>
      </c>
    </row>
    <row r="333" spans="1:15" x14ac:dyDescent="0.35">
      <c r="A333" s="2" t="s">
        <v>1085</v>
      </c>
      <c r="B333" s="2" t="s">
        <v>790</v>
      </c>
      <c r="C333" t="s">
        <v>548</v>
      </c>
      <c r="D333" s="37" t="s">
        <v>507</v>
      </c>
      <c r="E333" t="s">
        <v>4404</v>
      </c>
      <c r="F333" s="181">
        <v>45962</v>
      </c>
      <c r="G333">
        <v>3753841.2</v>
      </c>
      <c r="H333" s="37">
        <f t="shared" si="27"/>
        <v>30</v>
      </c>
      <c r="I333" s="37" t="str">
        <f>IF(H333&lt;121,"0-120 DAYS",IF(H333&lt;181,"121-180 DAYS","More than 180 Days"))</f>
        <v>0-120 DAYS</v>
      </c>
      <c r="J333" s="37" t="str">
        <f>IF(H333&lt;180,"0-180 DAYS","More than 180 Days")</f>
        <v>0-180 DAYS</v>
      </c>
      <c r="K333" t="s">
        <v>1730</v>
      </c>
      <c r="L333" s="66" t="s">
        <v>4547</v>
      </c>
      <c r="M333" s="66">
        <v>3753841.2</v>
      </c>
      <c r="O333" t="s">
        <v>4712</v>
      </c>
    </row>
    <row r="334" spans="1:15" x14ac:dyDescent="0.35">
      <c r="A334" s="2" t="s">
        <v>1085</v>
      </c>
      <c r="B334" s="2" t="s">
        <v>790</v>
      </c>
      <c r="C334" t="s">
        <v>600</v>
      </c>
      <c r="D334" s="37" t="s">
        <v>507</v>
      </c>
      <c r="E334" t="s">
        <v>4405</v>
      </c>
      <c r="F334" s="181">
        <v>45964</v>
      </c>
      <c r="G334">
        <v>3719145.6</v>
      </c>
      <c r="H334" s="37">
        <f t="shared" si="27"/>
        <v>28</v>
      </c>
      <c r="I334" s="37" t="str">
        <f t="shared" ref="I334:I393" si="28">IF(H334&lt;121,"0-120 DAYS",IF(H334&lt;181,"121-180 DAYS","More than 180 Days"))</f>
        <v>0-120 DAYS</v>
      </c>
      <c r="J334" s="37" t="str">
        <f t="shared" ref="J334:J397" si="29">IF(H334&lt;180,"0-180 DAYS","More than 180 Days")</f>
        <v>0-180 DAYS</v>
      </c>
      <c r="K334" t="s">
        <v>1730</v>
      </c>
      <c r="L334" s="66" t="s">
        <v>4548</v>
      </c>
      <c r="M334" s="66">
        <v>3719145.6</v>
      </c>
      <c r="O334" t="s">
        <v>4713</v>
      </c>
    </row>
    <row r="335" spans="1:15" x14ac:dyDescent="0.35">
      <c r="A335" s="2" t="s">
        <v>1085</v>
      </c>
      <c r="B335" s="2" t="s">
        <v>790</v>
      </c>
      <c r="C335" t="s">
        <v>3796</v>
      </c>
      <c r="D335" s="37" t="s">
        <v>507</v>
      </c>
      <c r="E335" t="s">
        <v>4406</v>
      </c>
      <c r="F335" s="181">
        <v>45965</v>
      </c>
      <c r="G335">
        <v>3600321</v>
      </c>
      <c r="H335" s="37">
        <f t="shared" si="27"/>
        <v>27</v>
      </c>
      <c r="I335" s="37" t="str">
        <f t="shared" si="28"/>
        <v>0-120 DAYS</v>
      </c>
      <c r="J335" s="37" t="str">
        <f t="shared" si="29"/>
        <v>0-180 DAYS</v>
      </c>
      <c r="K335" t="s">
        <v>1730</v>
      </c>
      <c r="L335" s="66" t="s">
        <v>4549</v>
      </c>
      <c r="M335" s="66">
        <v>3600321</v>
      </c>
      <c r="O335" t="s">
        <v>4714</v>
      </c>
    </row>
    <row r="336" spans="1:15" x14ac:dyDescent="0.35">
      <c r="A336" s="2" t="s">
        <v>1085</v>
      </c>
      <c r="B336" s="2" t="s">
        <v>790</v>
      </c>
      <c r="C336" t="s">
        <v>681</v>
      </c>
      <c r="D336" s="37" t="s">
        <v>507</v>
      </c>
      <c r="E336" t="s">
        <v>2070</v>
      </c>
      <c r="F336" s="181">
        <v>45967</v>
      </c>
      <c r="G336">
        <v>3946320.02</v>
      </c>
      <c r="H336" s="37">
        <f t="shared" si="27"/>
        <v>25</v>
      </c>
      <c r="I336" s="37" t="str">
        <f t="shared" si="28"/>
        <v>0-120 DAYS</v>
      </c>
      <c r="J336" s="37" t="str">
        <f t="shared" si="29"/>
        <v>0-180 DAYS</v>
      </c>
      <c r="K336" t="s">
        <v>1730</v>
      </c>
      <c r="L336" s="66" t="s">
        <v>4550</v>
      </c>
      <c r="M336" s="66">
        <v>3946320.02</v>
      </c>
      <c r="O336" t="s">
        <v>4715</v>
      </c>
    </row>
    <row r="337" spans="1:15" x14ac:dyDescent="0.35">
      <c r="A337" s="2" t="s">
        <v>1085</v>
      </c>
      <c r="B337" s="2" t="s">
        <v>790</v>
      </c>
      <c r="C337" t="s">
        <v>600</v>
      </c>
      <c r="D337" s="37" t="s">
        <v>507</v>
      </c>
      <c r="E337" t="s">
        <v>4407</v>
      </c>
      <c r="F337" s="181">
        <v>45968</v>
      </c>
      <c r="G337">
        <v>4116830.74</v>
      </c>
      <c r="H337" s="37">
        <f t="shared" si="27"/>
        <v>24</v>
      </c>
      <c r="I337" s="37" t="str">
        <f t="shared" si="28"/>
        <v>0-120 DAYS</v>
      </c>
      <c r="J337" s="37" t="str">
        <f t="shared" si="29"/>
        <v>0-180 DAYS</v>
      </c>
      <c r="K337" t="s">
        <v>1730</v>
      </c>
      <c r="L337" s="66" t="s">
        <v>4551</v>
      </c>
      <c r="M337" s="66">
        <v>4116830.74</v>
      </c>
      <c r="O337" t="s">
        <v>4716</v>
      </c>
    </row>
    <row r="338" spans="1:15" x14ac:dyDescent="0.35">
      <c r="A338" s="2" t="s">
        <v>1085</v>
      </c>
      <c r="B338" s="2" t="s">
        <v>790</v>
      </c>
      <c r="C338" t="s">
        <v>573</v>
      </c>
      <c r="D338" s="37" t="s">
        <v>507</v>
      </c>
      <c r="E338" t="s">
        <v>4408</v>
      </c>
      <c r="F338" s="181">
        <v>45968</v>
      </c>
      <c r="G338">
        <v>3683797.65</v>
      </c>
      <c r="H338" s="37">
        <f t="shared" si="27"/>
        <v>24</v>
      </c>
      <c r="I338" s="37" t="str">
        <f t="shared" si="28"/>
        <v>0-120 DAYS</v>
      </c>
      <c r="J338" s="37" t="str">
        <f t="shared" si="29"/>
        <v>0-180 DAYS</v>
      </c>
      <c r="K338" t="s">
        <v>1730</v>
      </c>
      <c r="L338" s="66" t="s">
        <v>4551</v>
      </c>
      <c r="M338" s="66">
        <v>3683797.65</v>
      </c>
      <c r="O338" t="s">
        <v>4716</v>
      </c>
    </row>
    <row r="339" spans="1:15" x14ac:dyDescent="0.35">
      <c r="A339" s="2" t="s">
        <v>1085</v>
      </c>
      <c r="B339" s="2" t="s">
        <v>790</v>
      </c>
      <c r="C339" t="s">
        <v>536</v>
      </c>
      <c r="D339" s="37" t="s">
        <v>507</v>
      </c>
      <c r="E339" t="s">
        <v>4409</v>
      </c>
      <c r="F339" s="181">
        <v>45969</v>
      </c>
      <c r="G339">
        <v>2731136.27</v>
      </c>
      <c r="H339" s="37">
        <f t="shared" si="27"/>
        <v>23</v>
      </c>
      <c r="I339" s="37" t="str">
        <f t="shared" si="28"/>
        <v>0-120 DAYS</v>
      </c>
      <c r="J339" s="37" t="str">
        <f t="shared" si="29"/>
        <v>0-180 DAYS</v>
      </c>
      <c r="K339" t="s">
        <v>1730</v>
      </c>
      <c r="L339" s="66" t="s">
        <v>4552</v>
      </c>
      <c r="M339" s="66">
        <v>2731136.27</v>
      </c>
      <c r="O339" t="s">
        <v>4717</v>
      </c>
    </row>
    <row r="340" spans="1:15" x14ac:dyDescent="0.35">
      <c r="A340" s="2" t="s">
        <v>1085</v>
      </c>
      <c r="B340" s="2" t="s">
        <v>790</v>
      </c>
      <c r="C340" t="s">
        <v>548</v>
      </c>
      <c r="D340" s="37" t="s">
        <v>507</v>
      </c>
      <c r="E340" t="s">
        <v>4410</v>
      </c>
      <c r="F340" s="181">
        <v>45969</v>
      </c>
      <c r="G340">
        <v>3462987.94</v>
      </c>
      <c r="H340" s="37">
        <f t="shared" si="27"/>
        <v>23</v>
      </c>
      <c r="I340" s="37" t="str">
        <f t="shared" si="28"/>
        <v>0-120 DAYS</v>
      </c>
      <c r="J340" s="37" t="str">
        <f t="shared" si="29"/>
        <v>0-180 DAYS</v>
      </c>
      <c r="K340" t="s">
        <v>1730</v>
      </c>
      <c r="L340" s="66" t="s">
        <v>4552</v>
      </c>
      <c r="M340" s="66">
        <v>3462987.94</v>
      </c>
      <c r="O340" t="s">
        <v>4717</v>
      </c>
    </row>
    <row r="341" spans="1:15" x14ac:dyDescent="0.35">
      <c r="A341" s="2" t="s">
        <v>1085</v>
      </c>
      <c r="B341" s="2" t="s">
        <v>790</v>
      </c>
      <c r="C341" t="s">
        <v>814</v>
      </c>
      <c r="D341" s="37" t="s">
        <v>507</v>
      </c>
      <c r="E341" t="s">
        <v>4411</v>
      </c>
      <c r="F341" s="181">
        <v>45969</v>
      </c>
      <c r="G341">
        <v>56432</v>
      </c>
      <c r="H341" s="37">
        <f t="shared" si="27"/>
        <v>23</v>
      </c>
      <c r="I341" s="37" t="str">
        <f t="shared" si="28"/>
        <v>0-120 DAYS</v>
      </c>
      <c r="J341" s="37" t="str">
        <f t="shared" si="29"/>
        <v>0-180 DAYS</v>
      </c>
      <c r="K341" t="s">
        <v>1730</v>
      </c>
      <c r="L341" s="66" t="s">
        <v>4552</v>
      </c>
      <c r="M341" s="66">
        <v>56432</v>
      </c>
      <c r="O341" t="s">
        <v>4717</v>
      </c>
    </row>
    <row r="342" spans="1:15" x14ac:dyDescent="0.35">
      <c r="A342" s="2" t="s">
        <v>1085</v>
      </c>
      <c r="B342" s="2" t="s">
        <v>790</v>
      </c>
      <c r="C342" t="s">
        <v>1086</v>
      </c>
      <c r="D342" s="37" t="s">
        <v>507</v>
      </c>
      <c r="E342" t="s">
        <v>4412</v>
      </c>
      <c r="F342" s="181">
        <v>45970</v>
      </c>
      <c r="G342">
        <v>329229.23</v>
      </c>
      <c r="H342" s="37">
        <f t="shared" si="27"/>
        <v>22</v>
      </c>
      <c r="I342" s="37" t="str">
        <f t="shared" si="28"/>
        <v>0-120 DAYS</v>
      </c>
      <c r="J342" s="37" t="str">
        <f t="shared" si="29"/>
        <v>0-180 DAYS</v>
      </c>
      <c r="K342" t="s">
        <v>1730</v>
      </c>
      <c r="L342" s="66" t="s">
        <v>4553</v>
      </c>
      <c r="M342" s="66">
        <v>329229.23</v>
      </c>
      <c r="O342" t="s">
        <v>4718</v>
      </c>
    </row>
    <row r="343" spans="1:15" x14ac:dyDescent="0.35">
      <c r="A343" s="2" t="s">
        <v>1085</v>
      </c>
      <c r="B343" s="2" t="s">
        <v>790</v>
      </c>
      <c r="C343" t="s">
        <v>1086</v>
      </c>
      <c r="D343" s="37" t="s">
        <v>507</v>
      </c>
      <c r="E343" t="s">
        <v>4413</v>
      </c>
      <c r="F343" s="181">
        <v>45970</v>
      </c>
      <c r="G343">
        <v>634259.63</v>
      </c>
      <c r="H343" s="37">
        <f t="shared" si="27"/>
        <v>22</v>
      </c>
      <c r="I343" s="37" t="str">
        <f t="shared" si="28"/>
        <v>0-120 DAYS</v>
      </c>
      <c r="J343" s="37" t="str">
        <f t="shared" si="29"/>
        <v>0-180 DAYS</v>
      </c>
      <c r="K343" t="s">
        <v>1730</v>
      </c>
      <c r="L343" s="66" t="s">
        <v>4553</v>
      </c>
      <c r="M343" s="66">
        <v>634259.63</v>
      </c>
      <c r="O343" t="s">
        <v>4718</v>
      </c>
    </row>
    <row r="344" spans="1:15" x14ac:dyDescent="0.35">
      <c r="A344" s="2" t="s">
        <v>1085</v>
      </c>
      <c r="B344" s="2" t="s">
        <v>790</v>
      </c>
      <c r="C344" t="s">
        <v>1086</v>
      </c>
      <c r="D344" s="37" t="s">
        <v>507</v>
      </c>
      <c r="E344" t="s">
        <v>4414</v>
      </c>
      <c r="F344" s="181">
        <v>45970</v>
      </c>
      <c r="G344">
        <v>1551863.14</v>
      </c>
      <c r="H344" s="37">
        <f t="shared" si="27"/>
        <v>22</v>
      </c>
      <c r="I344" s="37" t="str">
        <f t="shared" si="28"/>
        <v>0-120 DAYS</v>
      </c>
      <c r="J344" s="37" t="str">
        <f t="shared" si="29"/>
        <v>0-180 DAYS</v>
      </c>
      <c r="K344" t="s">
        <v>1730</v>
      </c>
      <c r="L344" s="66" t="s">
        <v>4553</v>
      </c>
      <c r="M344" s="66">
        <v>1551863.14</v>
      </c>
      <c r="O344" t="s">
        <v>4718</v>
      </c>
    </row>
    <row r="345" spans="1:15" x14ac:dyDescent="0.35">
      <c r="A345" s="2" t="s">
        <v>1085</v>
      </c>
      <c r="B345" s="2" t="s">
        <v>790</v>
      </c>
      <c r="C345" t="s">
        <v>1086</v>
      </c>
      <c r="D345" s="37" t="s">
        <v>507</v>
      </c>
      <c r="E345" t="s">
        <v>4415</v>
      </c>
      <c r="F345" s="181">
        <v>45970</v>
      </c>
      <c r="G345">
        <v>172471.75</v>
      </c>
      <c r="H345" s="37">
        <f t="shared" si="27"/>
        <v>22</v>
      </c>
      <c r="I345" s="37" t="str">
        <f t="shared" si="28"/>
        <v>0-120 DAYS</v>
      </c>
      <c r="J345" s="37" t="str">
        <f t="shared" si="29"/>
        <v>0-180 DAYS</v>
      </c>
      <c r="K345" t="s">
        <v>1730</v>
      </c>
      <c r="L345" s="66" t="s">
        <v>4553</v>
      </c>
      <c r="M345" s="66">
        <v>172471.75</v>
      </c>
      <c r="O345" t="s">
        <v>4718</v>
      </c>
    </row>
    <row r="346" spans="1:15" x14ac:dyDescent="0.35">
      <c r="A346" s="2" t="s">
        <v>1085</v>
      </c>
      <c r="B346" s="2" t="s">
        <v>790</v>
      </c>
      <c r="C346" t="s">
        <v>573</v>
      </c>
      <c r="D346" s="37" t="s">
        <v>507</v>
      </c>
      <c r="E346" t="s">
        <v>4416</v>
      </c>
      <c r="F346" s="181">
        <v>45972</v>
      </c>
      <c r="G346">
        <v>3947916.38</v>
      </c>
      <c r="H346" s="37">
        <f t="shared" si="27"/>
        <v>20</v>
      </c>
      <c r="I346" s="37" t="str">
        <f t="shared" si="28"/>
        <v>0-120 DAYS</v>
      </c>
      <c r="J346" s="37" t="str">
        <f t="shared" si="29"/>
        <v>0-180 DAYS</v>
      </c>
      <c r="K346" t="s">
        <v>1730</v>
      </c>
      <c r="L346" s="66" t="s">
        <v>4554</v>
      </c>
      <c r="M346" s="66">
        <v>3947916.38</v>
      </c>
      <c r="O346" t="s">
        <v>4719</v>
      </c>
    </row>
    <row r="347" spans="1:15" x14ac:dyDescent="0.35">
      <c r="A347" s="2" t="s">
        <v>1085</v>
      </c>
      <c r="B347" s="2" t="s">
        <v>790</v>
      </c>
      <c r="C347" t="s">
        <v>814</v>
      </c>
      <c r="D347" s="37" t="s">
        <v>507</v>
      </c>
      <c r="E347" t="s">
        <v>4417</v>
      </c>
      <c r="F347" s="181">
        <v>45973</v>
      </c>
      <c r="G347">
        <v>255</v>
      </c>
      <c r="H347" s="37">
        <f t="shared" si="27"/>
        <v>19</v>
      </c>
      <c r="I347" s="37" t="str">
        <f t="shared" si="28"/>
        <v>0-120 DAYS</v>
      </c>
      <c r="J347" s="37" t="str">
        <f t="shared" si="29"/>
        <v>0-180 DAYS</v>
      </c>
      <c r="K347" t="s">
        <v>1730</v>
      </c>
      <c r="L347" s="66" t="s">
        <v>4555</v>
      </c>
      <c r="M347" s="66">
        <v>255</v>
      </c>
      <c r="O347" t="s">
        <v>4720</v>
      </c>
    </row>
    <row r="348" spans="1:15" x14ac:dyDescent="0.35">
      <c r="A348" s="2" t="s">
        <v>1085</v>
      </c>
      <c r="B348" s="2" t="s">
        <v>790</v>
      </c>
      <c r="C348" t="s">
        <v>814</v>
      </c>
      <c r="D348" s="37" t="s">
        <v>507</v>
      </c>
      <c r="E348" t="s">
        <v>4418</v>
      </c>
      <c r="F348" s="181">
        <v>45975</v>
      </c>
      <c r="G348">
        <v>149176</v>
      </c>
      <c r="H348" s="37">
        <f t="shared" si="27"/>
        <v>17</v>
      </c>
      <c r="I348" s="37" t="str">
        <f t="shared" si="28"/>
        <v>0-120 DAYS</v>
      </c>
      <c r="J348" s="37" t="str">
        <f t="shared" si="29"/>
        <v>0-180 DAYS</v>
      </c>
      <c r="K348" t="s">
        <v>1730</v>
      </c>
      <c r="L348" s="66" t="s">
        <v>4556</v>
      </c>
      <c r="M348" s="66">
        <v>149176</v>
      </c>
      <c r="O348" t="s">
        <v>4721</v>
      </c>
    </row>
    <row r="349" spans="1:15" x14ac:dyDescent="0.35">
      <c r="A349" s="2" t="s">
        <v>1085</v>
      </c>
      <c r="B349" s="2" t="s">
        <v>790</v>
      </c>
      <c r="C349" t="s">
        <v>4403</v>
      </c>
      <c r="D349" s="37" t="s">
        <v>507</v>
      </c>
      <c r="E349" t="s">
        <v>4419</v>
      </c>
      <c r="F349" s="181">
        <v>45975</v>
      </c>
      <c r="G349">
        <v>3095820</v>
      </c>
      <c r="H349" s="37">
        <f t="shared" si="27"/>
        <v>17</v>
      </c>
      <c r="I349" s="37" t="str">
        <f t="shared" si="28"/>
        <v>0-120 DAYS</v>
      </c>
      <c r="J349" s="37" t="str">
        <f t="shared" si="29"/>
        <v>0-180 DAYS</v>
      </c>
      <c r="K349" t="s">
        <v>1730</v>
      </c>
      <c r="L349" s="66" t="s">
        <v>4556</v>
      </c>
      <c r="M349" s="66">
        <v>3095820</v>
      </c>
      <c r="O349" t="s">
        <v>4721</v>
      </c>
    </row>
    <row r="350" spans="1:15" x14ac:dyDescent="0.35">
      <c r="A350" s="2" t="s">
        <v>1085</v>
      </c>
      <c r="B350" s="2" t="s">
        <v>790</v>
      </c>
      <c r="C350" t="s">
        <v>2678</v>
      </c>
      <c r="D350" s="37" t="s">
        <v>507</v>
      </c>
      <c r="E350" t="s">
        <v>4420</v>
      </c>
      <c r="F350" s="181">
        <v>45976</v>
      </c>
      <c r="G350">
        <v>3158789.4</v>
      </c>
      <c r="H350" s="37">
        <f t="shared" si="27"/>
        <v>16</v>
      </c>
      <c r="I350" s="37" t="str">
        <f t="shared" si="28"/>
        <v>0-120 DAYS</v>
      </c>
      <c r="J350" s="37" t="str">
        <f t="shared" si="29"/>
        <v>0-180 DAYS</v>
      </c>
      <c r="K350" t="s">
        <v>1730</v>
      </c>
      <c r="L350" s="66" t="s">
        <v>4557</v>
      </c>
      <c r="M350" s="66">
        <v>3158789.4</v>
      </c>
      <c r="O350" t="s">
        <v>4722</v>
      </c>
    </row>
    <row r="351" spans="1:15" x14ac:dyDescent="0.35">
      <c r="A351" s="2" t="s">
        <v>1085</v>
      </c>
      <c r="B351" s="2" t="s">
        <v>790</v>
      </c>
      <c r="C351" t="s">
        <v>530</v>
      </c>
      <c r="D351" s="37" t="s">
        <v>507</v>
      </c>
      <c r="E351" t="s">
        <v>4421</v>
      </c>
      <c r="F351" s="181">
        <v>45978</v>
      </c>
      <c r="G351">
        <v>4369489.32</v>
      </c>
      <c r="H351" s="37">
        <f t="shared" si="27"/>
        <v>14</v>
      </c>
      <c r="I351" s="37" t="str">
        <f t="shared" si="28"/>
        <v>0-120 DAYS</v>
      </c>
      <c r="J351" s="37" t="str">
        <f t="shared" si="29"/>
        <v>0-180 DAYS</v>
      </c>
      <c r="K351" t="s">
        <v>1730</v>
      </c>
      <c r="L351" s="66" t="s">
        <v>4558</v>
      </c>
      <c r="M351" s="66">
        <v>4369489.32</v>
      </c>
      <c r="O351" t="s">
        <v>4723</v>
      </c>
    </row>
    <row r="352" spans="1:15" x14ac:dyDescent="0.35">
      <c r="A352" s="2" t="s">
        <v>1085</v>
      </c>
      <c r="B352" s="2" t="s">
        <v>790</v>
      </c>
      <c r="C352" t="s">
        <v>814</v>
      </c>
      <c r="D352" s="37" t="s">
        <v>507</v>
      </c>
      <c r="E352" t="s">
        <v>4422</v>
      </c>
      <c r="F352" s="181">
        <v>45979</v>
      </c>
      <c r="G352">
        <v>23717</v>
      </c>
      <c r="H352" s="37">
        <f t="shared" si="27"/>
        <v>13</v>
      </c>
      <c r="I352" s="37" t="str">
        <f t="shared" si="28"/>
        <v>0-120 DAYS</v>
      </c>
      <c r="J352" s="37" t="str">
        <f t="shared" si="29"/>
        <v>0-180 DAYS</v>
      </c>
      <c r="K352" t="s">
        <v>1730</v>
      </c>
      <c r="L352" s="66" t="s">
        <v>4559</v>
      </c>
      <c r="M352" s="66">
        <v>23717</v>
      </c>
      <c r="O352" t="s">
        <v>4724</v>
      </c>
    </row>
    <row r="353" spans="1:15" x14ac:dyDescent="0.35">
      <c r="A353" s="2" t="s">
        <v>1085</v>
      </c>
      <c r="B353" s="2" t="s">
        <v>790</v>
      </c>
      <c r="C353" t="s">
        <v>598</v>
      </c>
      <c r="D353" s="37" t="s">
        <v>507</v>
      </c>
      <c r="E353" t="s">
        <v>2074</v>
      </c>
      <c r="F353" s="181">
        <v>45979</v>
      </c>
      <c r="G353">
        <v>3368437.31</v>
      </c>
      <c r="H353" s="37">
        <f t="shared" si="27"/>
        <v>13</v>
      </c>
      <c r="I353" s="37" t="str">
        <f t="shared" si="28"/>
        <v>0-120 DAYS</v>
      </c>
      <c r="J353" s="37" t="str">
        <f t="shared" si="29"/>
        <v>0-180 DAYS</v>
      </c>
      <c r="K353" t="s">
        <v>1730</v>
      </c>
      <c r="L353" s="66" t="s">
        <v>4559</v>
      </c>
      <c r="M353" s="66">
        <v>3368437.31</v>
      </c>
      <c r="O353" t="s">
        <v>4724</v>
      </c>
    </row>
    <row r="354" spans="1:15" x14ac:dyDescent="0.35">
      <c r="A354" s="2" t="s">
        <v>1085</v>
      </c>
      <c r="B354" s="2" t="s">
        <v>790</v>
      </c>
      <c r="C354" t="s">
        <v>814</v>
      </c>
      <c r="D354" s="37" t="s">
        <v>507</v>
      </c>
      <c r="E354" t="s">
        <v>4423</v>
      </c>
      <c r="F354" s="181">
        <v>45980</v>
      </c>
      <c r="G354">
        <v>11438</v>
      </c>
      <c r="H354" s="37">
        <f t="shared" si="27"/>
        <v>12</v>
      </c>
      <c r="I354" s="37" t="str">
        <f t="shared" si="28"/>
        <v>0-120 DAYS</v>
      </c>
      <c r="J354" s="37" t="str">
        <f t="shared" si="29"/>
        <v>0-180 DAYS</v>
      </c>
      <c r="K354" t="s">
        <v>1730</v>
      </c>
      <c r="L354" s="66" t="s">
        <v>4560</v>
      </c>
      <c r="M354" s="66">
        <v>11438</v>
      </c>
      <c r="O354" t="s">
        <v>4725</v>
      </c>
    </row>
    <row r="355" spans="1:15" x14ac:dyDescent="0.35">
      <c r="A355" s="2" t="s">
        <v>1085</v>
      </c>
      <c r="B355" s="2" t="s">
        <v>790</v>
      </c>
      <c r="C355" t="s">
        <v>1086</v>
      </c>
      <c r="D355" s="37" t="s">
        <v>507</v>
      </c>
      <c r="E355" t="s">
        <v>4424</v>
      </c>
      <c r="F355" s="181">
        <v>45981</v>
      </c>
      <c r="G355">
        <v>534120.21</v>
      </c>
      <c r="H355" s="37">
        <f t="shared" si="27"/>
        <v>11</v>
      </c>
      <c r="I355" s="37" t="str">
        <f t="shared" si="28"/>
        <v>0-120 DAYS</v>
      </c>
      <c r="J355" s="37" t="str">
        <f t="shared" si="29"/>
        <v>0-180 DAYS</v>
      </c>
      <c r="K355" t="s">
        <v>1730</v>
      </c>
      <c r="L355" s="66" t="s">
        <v>4561</v>
      </c>
      <c r="M355" s="66">
        <v>534120.21</v>
      </c>
      <c r="O355" t="s">
        <v>4726</v>
      </c>
    </row>
    <row r="356" spans="1:15" x14ac:dyDescent="0.35">
      <c r="A356" s="2" t="s">
        <v>1085</v>
      </c>
      <c r="B356" s="2" t="s">
        <v>790</v>
      </c>
      <c r="C356" t="s">
        <v>1086</v>
      </c>
      <c r="D356" s="37" t="s">
        <v>507</v>
      </c>
      <c r="E356" t="s">
        <v>4425</v>
      </c>
      <c r="F356" s="181">
        <v>45981</v>
      </c>
      <c r="G356">
        <v>1233392.94</v>
      </c>
      <c r="H356" s="37">
        <f t="shared" si="27"/>
        <v>11</v>
      </c>
      <c r="I356" s="37" t="str">
        <f t="shared" si="28"/>
        <v>0-120 DAYS</v>
      </c>
      <c r="J356" s="37" t="str">
        <f t="shared" si="29"/>
        <v>0-180 DAYS</v>
      </c>
      <c r="K356" t="s">
        <v>1730</v>
      </c>
      <c r="L356" s="66" t="s">
        <v>4561</v>
      </c>
      <c r="M356" s="66">
        <v>1233392.94</v>
      </c>
      <c r="O356" t="s">
        <v>4726</v>
      </c>
    </row>
    <row r="357" spans="1:15" x14ac:dyDescent="0.35">
      <c r="A357" s="2" t="s">
        <v>1085</v>
      </c>
      <c r="B357" s="2" t="s">
        <v>790</v>
      </c>
      <c r="C357" t="s">
        <v>1086</v>
      </c>
      <c r="D357" s="37" t="s">
        <v>507</v>
      </c>
      <c r="E357" t="s">
        <v>4426</v>
      </c>
      <c r="F357" s="181">
        <v>45981</v>
      </c>
      <c r="G357">
        <v>825350.18</v>
      </c>
      <c r="H357" s="37">
        <f t="shared" si="27"/>
        <v>11</v>
      </c>
      <c r="I357" s="37" t="str">
        <f t="shared" si="28"/>
        <v>0-120 DAYS</v>
      </c>
      <c r="J357" s="37" t="str">
        <f t="shared" si="29"/>
        <v>0-180 DAYS</v>
      </c>
      <c r="K357" t="s">
        <v>1730</v>
      </c>
      <c r="L357" s="66" t="s">
        <v>4561</v>
      </c>
      <c r="M357" s="66">
        <v>825350.18</v>
      </c>
      <c r="O357" t="s">
        <v>4726</v>
      </c>
    </row>
    <row r="358" spans="1:15" x14ac:dyDescent="0.35">
      <c r="A358" s="2" t="s">
        <v>1085</v>
      </c>
      <c r="B358" s="2" t="s">
        <v>790</v>
      </c>
      <c r="C358" t="s">
        <v>1052</v>
      </c>
      <c r="D358" s="37" t="s">
        <v>507</v>
      </c>
      <c r="E358" t="s">
        <v>4427</v>
      </c>
      <c r="F358" s="181">
        <v>45982</v>
      </c>
      <c r="G358">
        <v>2905868.31</v>
      </c>
      <c r="H358" s="37">
        <f t="shared" si="27"/>
        <v>10</v>
      </c>
      <c r="I358" s="37" t="str">
        <f t="shared" si="28"/>
        <v>0-120 DAYS</v>
      </c>
      <c r="J358" s="37" t="str">
        <f t="shared" si="29"/>
        <v>0-180 DAYS</v>
      </c>
      <c r="K358" t="s">
        <v>1730</v>
      </c>
      <c r="L358" s="66" t="s">
        <v>4562</v>
      </c>
      <c r="M358" s="66">
        <v>2905868.31</v>
      </c>
      <c r="O358" t="s">
        <v>4727</v>
      </c>
    </row>
    <row r="359" spans="1:15" x14ac:dyDescent="0.35">
      <c r="A359" s="2" t="s">
        <v>1085</v>
      </c>
      <c r="B359" s="2" t="s">
        <v>790</v>
      </c>
      <c r="C359" t="s">
        <v>540</v>
      </c>
      <c r="D359" s="37" t="s">
        <v>507</v>
      </c>
      <c r="E359" t="s">
        <v>4428</v>
      </c>
      <c r="F359" s="181">
        <v>45982</v>
      </c>
      <c r="G359">
        <v>3139742.88</v>
      </c>
      <c r="H359" s="37">
        <f t="shared" si="27"/>
        <v>10</v>
      </c>
      <c r="I359" s="37" t="str">
        <f t="shared" si="28"/>
        <v>0-120 DAYS</v>
      </c>
      <c r="J359" s="37" t="str">
        <f t="shared" si="29"/>
        <v>0-180 DAYS</v>
      </c>
      <c r="K359" t="s">
        <v>1730</v>
      </c>
      <c r="L359" s="66" t="s">
        <v>4562</v>
      </c>
      <c r="M359" s="66">
        <v>3139742.88</v>
      </c>
      <c r="O359" t="s">
        <v>4727</v>
      </c>
    </row>
    <row r="360" spans="1:15" x14ac:dyDescent="0.35">
      <c r="A360" s="2" t="s">
        <v>1085</v>
      </c>
      <c r="B360" s="2" t="s">
        <v>790</v>
      </c>
      <c r="C360" t="s">
        <v>540</v>
      </c>
      <c r="D360" s="37" t="s">
        <v>507</v>
      </c>
      <c r="E360" t="s">
        <v>4429</v>
      </c>
      <c r="F360" s="181">
        <v>45982</v>
      </c>
      <c r="G360">
        <v>3311429.92</v>
      </c>
      <c r="H360" s="37">
        <f t="shared" si="27"/>
        <v>10</v>
      </c>
      <c r="I360" s="37" t="str">
        <f t="shared" si="28"/>
        <v>0-120 DAYS</v>
      </c>
      <c r="J360" s="37" t="str">
        <f t="shared" si="29"/>
        <v>0-180 DAYS</v>
      </c>
      <c r="K360" t="s">
        <v>1730</v>
      </c>
      <c r="L360" s="66" t="s">
        <v>4562</v>
      </c>
      <c r="M360" s="66">
        <v>3311429.92</v>
      </c>
      <c r="O360" t="s">
        <v>4727</v>
      </c>
    </row>
    <row r="361" spans="1:15" x14ac:dyDescent="0.35">
      <c r="A361" s="2" t="s">
        <v>1085</v>
      </c>
      <c r="B361" s="2" t="s">
        <v>790</v>
      </c>
      <c r="C361" t="s">
        <v>573</v>
      </c>
      <c r="D361" s="37" t="s">
        <v>507</v>
      </c>
      <c r="E361" t="s">
        <v>2076</v>
      </c>
      <c r="F361" s="181">
        <v>45982</v>
      </c>
      <c r="G361">
        <v>3945407.19</v>
      </c>
      <c r="H361" s="37">
        <f t="shared" si="27"/>
        <v>10</v>
      </c>
      <c r="I361" s="37" t="str">
        <f t="shared" si="28"/>
        <v>0-120 DAYS</v>
      </c>
      <c r="J361" s="37" t="str">
        <f t="shared" si="29"/>
        <v>0-180 DAYS</v>
      </c>
      <c r="K361" t="s">
        <v>1730</v>
      </c>
      <c r="L361" s="66" t="s">
        <v>4562</v>
      </c>
      <c r="M361" s="66">
        <v>3945407.19</v>
      </c>
      <c r="O361" t="s">
        <v>4727</v>
      </c>
    </row>
    <row r="362" spans="1:15" x14ac:dyDescent="0.35">
      <c r="A362" s="2" t="s">
        <v>1085</v>
      </c>
      <c r="B362" s="2" t="s">
        <v>790</v>
      </c>
      <c r="C362" t="s">
        <v>814</v>
      </c>
      <c r="D362" s="37" t="s">
        <v>507</v>
      </c>
      <c r="E362" t="s">
        <v>4430</v>
      </c>
      <c r="F362" s="181">
        <v>45983</v>
      </c>
      <c r="G362">
        <v>4321</v>
      </c>
      <c r="H362" s="37">
        <f t="shared" si="27"/>
        <v>9</v>
      </c>
      <c r="I362" s="37" t="str">
        <f t="shared" si="28"/>
        <v>0-120 DAYS</v>
      </c>
      <c r="J362" s="37" t="str">
        <f t="shared" si="29"/>
        <v>0-180 DAYS</v>
      </c>
      <c r="K362" t="s">
        <v>1730</v>
      </c>
      <c r="L362" s="66" t="s">
        <v>4563</v>
      </c>
      <c r="M362" s="66">
        <v>4321</v>
      </c>
      <c r="O362" t="s">
        <v>4728</v>
      </c>
    </row>
    <row r="363" spans="1:15" x14ac:dyDescent="0.35">
      <c r="A363" s="2" t="s">
        <v>1085</v>
      </c>
      <c r="B363" s="2" t="s">
        <v>790</v>
      </c>
      <c r="C363" t="s">
        <v>532</v>
      </c>
      <c r="D363" s="37" t="s">
        <v>507</v>
      </c>
      <c r="E363" t="s">
        <v>4431</v>
      </c>
      <c r="F363" s="181">
        <v>45985</v>
      </c>
      <c r="G363">
        <v>3287232</v>
      </c>
      <c r="H363" s="37">
        <f t="shared" si="27"/>
        <v>7</v>
      </c>
      <c r="I363" s="37" t="str">
        <f t="shared" si="28"/>
        <v>0-120 DAYS</v>
      </c>
      <c r="J363" s="37" t="str">
        <f t="shared" si="29"/>
        <v>0-180 DAYS</v>
      </c>
      <c r="K363" t="s">
        <v>1730</v>
      </c>
      <c r="L363" s="66" t="s">
        <v>4564</v>
      </c>
      <c r="M363" s="66">
        <v>3287232</v>
      </c>
      <c r="O363" t="s">
        <v>4729</v>
      </c>
    </row>
    <row r="364" spans="1:15" x14ac:dyDescent="0.35">
      <c r="A364" s="2" t="s">
        <v>1085</v>
      </c>
      <c r="B364" s="2" t="s">
        <v>790</v>
      </c>
      <c r="C364" t="s">
        <v>540</v>
      </c>
      <c r="D364" s="37" t="s">
        <v>507</v>
      </c>
      <c r="E364" t="s">
        <v>4432</v>
      </c>
      <c r="F364" s="181">
        <v>45985</v>
      </c>
      <c r="G364">
        <v>3201856.4</v>
      </c>
      <c r="H364" s="37">
        <f t="shared" si="27"/>
        <v>7</v>
      </c>
      <c r="I364" s="37" t="str">
        <f t="shared" si="28"/>
        <v>0-120 DAYS</v>
      </c>
      <c r="J364" s="37" t="str">
        <f t="shared" si="29"/>
        <v>0-180 DAYS</v>
      </c>
      <c r="K364" t="s">
        <v>1730</v>
      </c>
      <c r="L364" s="66" t="s">
        <v>4564</v>
      </c>
      <c r="M364" s="66">
        <v>3201856.4</v>
      </c>
      <c r="O364" t="s">
        <v>4729</v>
      </c>
    </row>
    <row r="365" spans="1:15" x14ac:dyDescent="0.35">
      <c r="A365" s="2" t="s">
        <v>1085</v>
      </c>
      <c r="B365" s="2" t="s">
        <v>790</v>
      </c>
      <c r="C365" t="s">
        <v>814</v>
      </c>
      <c r="D365" s="37" t="s">
        <v>507</v>
      </c>
      <c r="E365" t="s">
        <v>4433</v>
      </c>
      <c r="F365" s="181">
        <v>45985</v>
      </c>
      <c r="G365">
        <v>277424</v>
      </c>
      <c r="H365" s="37">
        <f t="shared" si="27"/>
        <v>7</v>
      </c>
      <c r="I365" s="37" t="str">
        <f t="shared" si="28"/>
        <v>0-120 DAYS</v>
      </c>
      <c r="J365" s="37" t="str">
        <f t="shared" si="29"/>
        <v>0-180 DAYS</v>
      </c>
      <c r="K365" t="s">
        <v>1730</v>
      </c>
      <c r="L365" s="66" t="s">
        <v>4564</v>
      </c>
      <c r="M365" s="66">
        <v>277424</v>
      </c>
      <c r="O365" t="s">
        <v>4729</v>
      </c>
    </row>
    <row r="366" spans="1:15" x14ac:dyDescent="0.35">
      <c r="A366" s="2" t="s">
        <v>1085</v>
      </c>
      <c r="B366" s="2" t="s">
        <v>790</v>
      </c>
      <c r="C366" t="s">
        <v>814</v>
      </c>
      <c r="D366" s="37" t="s">
        <v>507</v>
      </c>
      <c r="E366" t="s">
        <v>4434</v>
      </c>
      <c r="F366" s="181">
        <v>45986</v>
      </c>
      <c r="G366">
        <v>202797</v>
      </c>
      <c r="H366" s="37">
        <f t="shared" si="27"/>
        <v>6</v>
      </c>
      <c r="I366" s="37" t="str">
        <f t="shared" si="28"/>
        <v>0-120 DAYS</v>
      </c>
      <c r="J366" s="37" t="str">
        <f t="shared" si="29"/>
        <v>0-180 DAYS</v>
      </c>
      <c r="K366" t="s">
        <v>1730</v>
      </c>
      <c r="L366" s="66" t="s">
        <v>4565</v>
      </c>
      <c r="M366" s="66">
        <v>202797</v>
      </c>
      <c r="O366" t="s">
        <v>4730</v>
      </c>
    </row>
    <row r="367" spans="1:15" x14ac:dyDescent="0.35">
      <c r="A367" s="2" t="s">
        <v>1085</v>
      </c>
      <c r="B367" s="2" t="s">
        <v>790</v>
      </c>
      <c r="C367" t="s">
        <v>3797</v>
      </c>
      <c r="D367" s="37" t="s">
        <v>507</v>
      </c>
      <c r="E367" t="s">
        <v>4435</v>
      </c>
      <c r="F367" s="181">
        <v>45986</v>
      </c>
      <c r="G367">
        <v>3772074.23</v>
      </c>
      <c r="H367" s="37">
        <f t="shared" si="27"/>
        <v>6</v>
      </c>
      <c r="I367" s="37" t="str">
        <f t="shared" si="28"/>
        <v>0-120 DAYS</v>
      </c>
      <c r="J367" s="37" t="str">
        <f t="shared" si="29"/>
        <v>0-180 DAYS</v>
      </c>
      <c r="K367" t="s">
        <v>1730</v>
      </c>
      <c r="L367" s="66" t="s">
        <v>4565</v>
      </c>
      <c r="M367" s="66">
        <v>3772074.23</v>
      </c>
      <c r="O367" t="s">
        <v>4730</v>
      </c>
    </row>
    <row r="368" spans="1:15" x14ac:dyDescent="0.35">
      <c r="A368" s="2" t="s">
        <v>1085</v>
      </c>
      <c r="B368" s="2" t="s">
        <v>790</v>
      </c>
      <c r="C368" t="s">
        <v>707</v>
      </c>
      <c r="D368" s="37" t="s">
        <v>507</v>
      </c>
      <c r="E368" t="s">
        <v>4436</v>
      </c>
      <c r="F368" s="181">
        <v>45987</v>
      </c>
      <c r="G368">
        <v>3372310.2</v>
      </c>
      <c r="H368" s="37">
        <f t="shared" si="27"/>
        <v>5</v>
      </c>
      <c r="I368" s="37" t="str">
        <f t="shared" si="28"/>
        <v>0-120 DAYS</v>
      </c>
      <c r="J368" s="37" t="str">
        <f t="shared" si="29"/>
        <v>0-180 DAYS</v>
      </c>
      <c r="K368" t="s">
        <v>1730</v>
      </c>
      <c r="L368" s="66" t="s">
        <v>4566</v>
      </c>
      <c r="M368" s="66">
        <v>3372310.2</v>
      </c>
      <c r="O368" t="s">
        <v>4731</v>
      </c>
    </row>
    <row r="369" spans="1:15" x14ac:dyDescent="0.35">
      <c r="A369" s="2" t="s">
        <v>1085</v>
      </c>
      <c r="B369" s="2" t="s">
        <v>790</v>
      </c>
      <c r="C369" t="s">
        <v>814</v>
      </c>
      <c r="D369" s="37" t="s">
        <v>507</v>
      </c>
      <c r="E369" t="s">
        <v>4437</v>
      </c>
      <c r="F369" s="181">
        <v>45987</v>
      </c>
      <c r="G369">
        <v>26643</v>
      </c>
      <c r="H369" s="37">
        <f t="shared" si="27"/>
        <v>5</v>
      </c>
      <c r="I369" s="37" t="str">
        <f t="shared" si="28"/>
        <v>0-120 DAYS</v>
      </c>
      <c r="J369" s="37" t="str">
        <f t="shared" si="29"/>
        <v>0-180 DAYS</v>
      </c>
      <c r="K369" t="s">
        <v>1730</v>
      </c>
      <c r="L369" s="66" t="s">
        <v>4566</v>
      </c>
      <c r="M369" s="66">
        <v>26643</v>
      </c>
      <c r="O369" t="s">
        <v>4731</v>
      </c>
    </row>
    <row r="370" spans="1:15" x14ac:dyDescent="0.35">
      <c r="A370" s="2" t="s">
        <v>1085</v>
      </c>
      <c r="B370" s="2" t="s">
        <v>790</v>
      </c>
      <c r="C370" t="s">
        <v>573</v>
      </c>
      <c r="D370" s="37" t="s">
        <v>507</v>
      </c>
      <c r="E370" t="s">
        <v>2081</v>
      </c>
      <c r="F370" s="181">
        <v>45987</v>
      </c>
      <c r="G370">
        <v>4177980.56</v>
      </c>
      <c r="H370" s="37">
        <f t="shared" si="27"/>
        <v>5</v>
      </c>
      <c r="I370" s="37" t="str">
        <f t="shared" si="28"/>
        <v>0-120 DAYS</v>
      </c>
      <c r="J370" s="37" t="str">
        <f t="shared" si="29"/>
        <v>0-180 DAYS</v>
      </c>
      <c r="K370" t="s">
        <v>1730</v>
      </c>
      <c r="L370" s="66" t="s">
        <v>4566</v>
      </c>
      <c r="M370" s="66">
        <v>4177980.56</v>
      </c>
      <c r="O370" t="s">
        <v>4731</v>
      </c>
    </row>
    <row r="371" spans="1:15" x14ac:dyDescent="0.35">
      <c r="A371" s="2" t="s">
        <v>1085</v>
      </c>
      <c r="B371" s="2" t="s">
        <v>790</v>
      </c>
      <c r="C371" t="s">
        <v>4403</v>
      </c>
      <c r="D371" s="37" t="s">
        <v>507</v>
      </c>
      <c r="E371" t="s">
        <v>4438</v>
      </c>
      <c r="F371" s="181">
        <v>45987</v>
      </c>
      <c r="G371">
        <v>3066397.44</v>
      </c>
      <c r="H371" s="37">
        <f t="shared" si="27"/>
        <v>5</v>
      </c>
      <c r="I371" s="37" t="str">
        <f t="shared" si="28"/>
        <v>0-120 DAYS</v>
      </c>
      <c r="J371" s="37" t="str">
        <f t="shared" si="29"/>
        <v>0-180 DAYS</v>
      </c>
      <c r="K371" t="s">
        <v>1730</v>
      </c>
      <c r="L371" s="66" t="s">
        <v>4566</v>
      </c>
      <c r="M371" s="66">
        <v>3066397.44</v>
      </c>
      <c r="O371" t="s">
        <v>4731</v>
      </c>
    </row>
    <row r="372" spans="1:15" x14ac:dyDescent="0.35">
      <c r="A372" s="2" t="s">
        <v>1085</v>
      </c>
      <c r="B372" s="2" t="s">
        <v>790</v>
      </c>
      <c r="C372" t="s">
        <v>2678</v>
      </c>
      <c r="D372" s="37" t="s">
        <v>507</v>
      </c>
      <c r="E372" t="s">
        <v>4439</v>
      </c>
      <c r="F372" s="181">
        <v>45988</v>
      </c>
      <c r="G372">
        <v>3489523.2</v>
      </c>
      <c r="H372" s="37">
        <f t="shared" si="27"/>
        <v>4</v>
      </c>
      <c r="I372" s="37" t="str">
        <f t="shared" si="28"/>
        <v>0-120 DAYS</v>
      </c>
      <c r="J372" s="37" t="str">
        <f t="shared" si="29"/>
        <v>0-180 DAYS</v>
      </c>
      <c r="K372" t="s">
        <v>1730</v>
      </c>
      <c r="L372" s="66" t="s">
        <v>4567</v>
      </c>
      <c r="M372" s="66">
        <v>3489523.2</v>
      </c>
      <c r="O372" t="s">
        <v>4732</v>
      </c>
    </row>
    <row r="373" spans="1:15" x14ac:dyDescent="0.35">
      <c r="A373" s="2" t="s">
        <v>1085</v>
      </c>
      <c r="B373" s="2" t="s">
        <v>790</v>
      </c>
      <c r="C373" t="s">
        <v>814</v>
      </c>
      <c r="D373" s="37" t="s">
        <v>507</v>
      </c>
      <c r="E373" t="s">
        <v>4440</v>
      </c>
      <c r="F373" s="181">
        <v>45989</v>
      </c>
      <c r="G373">
        <v>50904</v>
      </c>
      <c r="H373" s="37">
        <f t="shared" si="27"/>
        <v>3</v>
      </c>
      <c r="I373" s="37" t="str">
        <f t="shared" si="28"/>
        <v>0-120 DAYS</v>
      </c>
      <c r="J373" s="37" t="str">
        <f t="shared" si="29"/>
        <v>0-180 DAYS</v>
      </c>
      <c r="K373" t="s">
        <v>1730</v>
      </c>
      <c r="L373" s="66" t="s">
        <v>4568</v>
      </c>
      <c r="M373" s="66">
        <v>50904</v>
      </c>
      <c r="O373" t="s">
        <v>4733</v>
      </c>
    </row>
    <row r="374" spans="1:15" x14ac:dyDescent="0.35">
      <c r="A374" s="2" t="s">
        <v>1085</v>
      </c>
      <c r="B374" s="2" t="s">
        <v>790</v>
      </c>
      <c r="C374" t="s">
        <v>600</v>
      </c>
      <c r="D374" s="37" t="s">
        <v>507</v>
      </c>
      <c r="E374" t="s">
        <v>4441</v>
      </c>
      <c r="F374" s="181">
        <v>45990</v>
      </c>
      <c r="G374">
        <v>4305764.68</v>
      </c>
      <c r="H374" s="37">
        <f t="shared" si="27"/>
        <v>2</v>
      </c>
      <c r="I374" s="37" t="str">
        <f t="shared" si="28"/>
        <v>0-120 DAYS</v>
      </c>
      <c r="J374" s="37" t="str">
        <f t="shared" si="29"/>
        <v>0-180 DAYS</v>
      </c>
      <c r="K374" t="s">
        <v>1730</v>
      </c>
      <c r="L374" s="66" t="s">
        <v>4569</v>
      </c>
      <c r="M374" s="66">
        <v>4305764.68</v>
      </c>
      <c r="O374" t="s">
        <v>4734</v>
      </c>
    </row>
    <row r="375" spans="1:15" x14ac:dyDescent="0.35">
      <c r="A375" s="2" t="s">
        <v>1085</v>
      </c>
      <c r="B375" s="2" t="s">
        <v>790</v>
      </c>
      <c r="C375" t="s">
        <v>573</v>
      </c>
      <c r="D375" s="37" t="s">
        <v>507</v>
      </c>
      <c r="E375" t="s">
        <v>2082</v>
      </c>
      <c r="F375" s="181">
        <v>45990</v>
      </c>
      <c r="G375">
        <v>4515466.38</v>
      </c>
      <c r="H375" s="37">
        <f t="shared" si="27"/>
        <v>2</v>
      </c>
      <c r="I375" s="37" t="str">
        <f t="shared" si="28"/>
        <v>0-120 DAYS</v>
      </c>
      <c r="J375" s="37" t="str">
        <f t="shared" si="29"/>
        <v>0-180 DAYS</v>
      </c>
      <c r="K375" t="s">
        <v>1730</v>
      </c>
      <c r="L375" s="66" t="s">
        <v>4569</v>
      </c>
      <c r="M375" s="66">
        <v>4515466.38</v>
      </c>
      <c r="O375" t="s">
        <v>4734</v>
      </c>
    </row>
    <row r="376" spans="1:15" x14ac:dyDescent="0.35">
      <c r="A376" s="2" t="s">
        <v>1085</v>
      </c>
      <c r="B376" s="2" t="s">
        <v>790</v>
      </c>
      <c r="C376" t="s">
        <v>3796</v>
      </c>
      <c r="D376" s="37" t="s">
        <v>507</v>
      </c>
      <c r="E376" t="s">
        <v>4442</v>
      </c>
      <c r="F376" s="181">
        <v>45990</v>
      </c>
      <c r="G376">
        <v>3414506.4</v>
      </c>
      <c r="H376" s="37">
        <f t="shared" si="27"/>
        <v>2</v>
      </c>
      <c r="I376" s="37" t="str">
        <f t="shared" si="28"/>
        <v>0-120 DAYS</v>
      </c>
      <c r="J376" s="37" t="str">
        <f t="shared" si="29"/>
        <v>0-180 DAYS</v>
      </c>
      <c r="K376" t="s">
        <v>1730</v>
      </c>
      <c r="L376" s="66" t="s">
        <v>4569</v>
      </c>
      <c r="M376" s="66">
        <v>3414506.4</v>
      </c>
      <c r="O376" t="s">
        <v>4734</v>
      </c>
    </row>
    <row r="377" spans="1:15" x14ac:dyDescent="0.35">
      <c r="A377" s="2" t="s">
        <v>1085</v>
      </c>
      <c r="B377" s="2" t="s">
        <v>790</v>
      </c>
      <c r="C377" t="s">
        <v>681</v>
      </c>
      <c r="D377" s="37" t="s">
        <v>507</v>
      </c>
      <c r="E377" t="s">
        <v>4443</v>
      </c>
      <c r="F377" s="181">
        <v>45990</v>
      </c>
      <c r="G377">
        <v>3277705.7</v>
      </c>
      <c r="H377" s="37">
        <f t="shared" si="27"/>
        <v>2</v>
      </c>
      <c r="I377" s="37" t="str">
        <f t="shared" si="28"/>
        <v>0-120 DAYS</v>
      </c>
      <c r="J377" s="37" t="str">
        <f t="shared" si="29"/>
        <v>0-180 DAYS</v>
      </c>
      <c r="K377" t="s">
        <v>1730</v>
      </c>
      <c r="L377" s="66" t="s">
        <v>4569</v>
      </c>
      <c r="M377" s="66">
        <v>3277705.7</v>
      </c>
      <c r="O377" t="s">
        <v>4734</v>
      </c>
    </row>
    <row r="378" spans="1:15" x14ac:dyDescent="0.35">
      <c r="A378" s="2" t="s">
        <v>1085</v>
      </c>
      <c r="B378" s="2" t="s">
        <v>790</v>
      </c>
      <c r="C378" t="s">
        <v>814</v>
      </c>
      <c r="D378" s="37" t="s">
        <v>507</v>
      </c>
      <c r="E378" t="s">
        <v>4444</v>
      </c>
      <c r="F378" s="181">
        <v>45991</v>
      </c>
      <c r="G378">
        <v>531967</v>
      </c>
      <c r="H378" s="37">
        <f t="shared" si="27"/>
        <v>1</v>
      </c>
      <c r="I378" s="37" t="str">
        <f t="shared" si="28"/>
        <v>0-120 DAYS</v>
      </c>
      <c r="J378" s="37" t="str">
        <f t="shared" si="29"/>
        <v>0-180 DAYS</v>
      </c>
      <c r="K378" t="s">
        <v>1730</v>
      </c>
      <c r="L378" s="66" t="s">
        <v>4570</v>
      </c>
      <c r="M378" s="66">
        <v>531967</v>
      </c>
      <c r="O378" t="s">
        <v>4577</v>
      </c>
    </row>
    <row r="379" spans="1:15" x14ac:dyDescent="0.35">
      <c r="A379" s="2" t="s">
        <v>1085</v>
      </c>
      <c r="B379" s="2" t="s">
        <v>790</v>
      </c>
      <c r="C379" t="s">
        <v>570</v>
      </c>
      <c r="D379" s="37" t="s">
        <v>507</v>
      </c>
      <c r="E379" t="s">
        <v>4445</v>
      </c>
      <c r="F379" s="181">
        <v>45967</v>
      </c>
      <c r="G379">
        <v>3442068</v>
      </c>
      <c r="H379" s="37">
        <f t="shared" si="27"/>
        <v>25</v>
      </c>
      <c r="I379" s="37" t="str">
        <f t="shared" si="28"/>
        <v>0-120 DAYS</v>
      </c>
      <c r="J379" s="37" t="str">
        <f t="shared" si="29"/>
        <v>0-180 DAYS</v>
      </c>
      <c r="K379" t="s">
        <v>1730</v>
      </c>
      <c r="L379" s="66" t="s">
        <v>4550</v>
      </c>
      <c r="M379" s="66">
        <v>3442068</v>
      </c>
      <c r="O379" t="s">
        <v>4715</v>
      </c>
    </row>
    <row r="380" spans="1:15" x14ac:dyDescent="0.35">
      <c r="A380" s="2" t="s">
        <v>1085</v>
      </c>
      <c r="B380" s="2" t="s">
        <v>790</v>
      </c>
      <c r="C380" t="s">
        <v>635</v>
      </c>
      <c r="D380" s="37" t="s">
        <v>507</v>
      </c>
      <c r="E380" t="s">
        <v>4446</v>
      </c>
      <c r="F380" s="181">
        <v>45968</v>
      </c>
      <c r="G380">
        <v>3679028.44</v>
      </c>
      <c r="H380" s="37">
        <f t="shared" si="27"/>
        <v>24</v>
      </c>
      <c r="I380" s="37" t="str">
        <f t="shared" si="28"/>
        <v>0-120 DAYS</v>
      </c>
      <c r="J380" s="37" t="str">
        <f t="shared" si="29"/>
        <v>0-180 DAYS</v>
      </c>
      <c r="K380" t="s">
        <v>1730</v>
      </c>
      <c r="L380" s="66" t="s">
        <v>4551</v>
      </c>
      <c r="M380" s="66">
        <v>3679028.44</v>
      </c>
      <c r="O380" t="s">
        <v>4716</v>
      </c>
    </row>
    <row r="381" spans="1:15" x14ac:dyDescent="0.35">
      <c r="A381" s="2" t="s">
        <v>1085</v>
      </c>
      <c r="B381" s="2" t="s">
        <v>790</v>
      </c>
      <c r="C381" t="s">
        <v>1086</v>
      </c>
      <c r="D381" s="37" t="s">
        <v>507</v>
      </c>
      <c r="E381" t="s">
        <v>4447</v>
      </c>
      <c r="F381" s="181">
        <v>45970</v>
      </c>
      <c r="G381">
        <v>1755327.31</v>
      </c>
      <c r="H381" s="37">
        <f t="shared" si="27"/>
        <v>22</v>
      </c>
      <c r="I381" s="37" t="str">
        <f t="shared" si="28"/>
        <v>0-120 DAYS</v>
      </c>
      <c r="J381" s="37" t="str">
        <f t="shared" si="29"/>
        <v>0-180 DAYS</v>
      </c>
      <c r="K381" t="s">
        <v>1730</v>
      </c>
      <c r="L381" s="66" t="s">
        <v>4553</v>
      </c>
      <c r="M381" s="66">
        <v>1755327.31</v>
      </c>
      <c r="O381" t="s">
        <v>4718</v>
      </c>
    </row>
    <row r="382" spans="1:15" x14ac:dyDescent="0.35">
      <c r="A382" s="2" t="s">
        <v>1085</v>
      </c>
      <c r="B382" s="2" t="s">
        <v>790</v>
      </c>
      <c r="C382" t="s">
        <v>1086</v>
      </c>
      <c r="D382" s="37" t="s">
        <v>507</v>
      </c>
      <c r="E382" t="s">
        <v>4448</v>
      </c>
      <c r="F382" s="181">
        <v>45970</v>
      </c>
      <c r="G382">
        <v>530074.93000000005</v>
      </c>
      <c r="H382" s="37">
        <f t="shared" si="27"/>
        <v>22</v>
      </c>
      <c r="I382" s="37" t="str">
        <f t="shared" si="28"/>
        <v>0-120 DAYS</v>
      </c>
      <c r="J382" s="37" t="str">
        <f t="shared" si="29"/>
        <v>0-180 DAYS</v>
      </c>
      <c r="K382" t="s">
        <v>1730</v>
      </c>
      <c r="L382" s="66" t="s">
        <v>4553</v>
      </c>
      <c r="M382" s="66">
        <v>530074.93000000005</v>
      </c>
      <c r="O382" t="s">
        <v>4718</v>
      </c>
    </row>
    <row r="383" spans="1:15" x14ac:dyDescent="0.35">
      <c r="A383" s="2" t="s">
        <v>1085</v>
      </c>
      <c r="B383" s="2" t="s">
        <v>790</v>
      </c>
      <c r="C383" t="s">
        <v>1086</v>
      </c>
      <c r="D383" s="37" t="s">
        <v>507</v>
      </c>
      <c r="E383" t="s">
        <v>4449</v>
      </c>
      <c r="F383" s="181">
        <v>45970</v>
      </c>
      <c r="G383">
        <v>22724.62</v>
      </c>
      <c r="H383" s="37">
        <f t="shared" si="27"/>
        <v>22</v>
      </c>
      <c r="I383" s="37" t="str">
        <f t="shared" si="28"/>
        <v>0-120 DAYS</v>
      </c>
      <c r="J383" s="37" t="str">
        <f t="shared" si="29"/>
        <v>0-180 DAYS</v>
      </c>
      <c r="K383" t="s">
        <v>1730</v>
      </c>
      <c r="L383" s="66" t="s">
        <v>4553</v>
      </c>
      <c r="M383" s="66">
        <v>22724.62</v>
      </c>
      <c r="O383" t="s">
        <v>4718</v>
      </c>
    </row>
    <row r="384" spans="1:15" x14ac:dyDescent="0.35">
      <c r="A384" s="2" t="s">
        <v>1085</v>
      </c>
      <c r="B384" s="2" t="s">
        <v>790</v>
      </c>
      <c r="C384" t="s">
        <v>1086</v>
      </c>
      <c r="D384" s="37" t="s">
        <v>507</v>
      </c>
      <c r="E384" t="s">
        <v>4450</v>
      </c>
      <c r="F384" s="181">
        <v>45970</v>
      </c>
      <c r="G384">
        <v>90277.2</v>
      </c>
      <c r="H384" s="37">
        <f t="shared" si="27"/>
        <v>22</v>
      </c>
      <c r="I384" s="37" t="str">
        <f t="shared" si="28"/>
        <v>0-120 DAYS</v>
      </c>
      <c r="J384" s="37" t="str">
        <f t="shared" si="29"/>
        <v>0-180 DAYS</v>
      </c>
      <c r="K384" t="s">
        <v>1730</v>
      </c>
      <c r="L384" s="66" t="s">
        <v>4553</v>
      </c>
      <c r="M384" s="66">
        <v>90277.2</v>
      </c>
      <c r="O384" t="s">
        <v>4718</v>
      </c>
    </row>
    <row r="385" spans="1:15" x14ac:dyDescent="0.35">
      <c r="A385" s="2" t="s">
        <v>1085</v>
      </c>
      <c r="B385" s="2" t="s">
        <v>790</v>
      </c>
      <c r="C385" t="s">
        <v>814</v>
      </c>
      <c r="D385" s="37" t="s">
        <v>507</v>
      </c>
      <c r="E385" t="s">
        <v>4451</v>
      </c>
      <c r="F385" s="181">
        <v>45971</v>
      </c>
      <c r="G385">
        <v>955634</v>
      </c>
      <c r="H385" s="37">
        <f t="shared" si="27"/>
        <v>21</v>
      </c>
      <c r="I385" s="37" t="str">
        <f t="shared" si="28"/>
        <v>0-120 DAYS</v>
      </c>
      <c r="J385" s="37" t="str">
        <f t="shared" si="29"/>
        <v>0-180 DAYS</v>
      </c>
      <c r="K385" t="s">
        <v>1730</v>
      </c>
      <c r="L385" s="66" t="s">
        <v>4571</v>
      </c>
      <c r="M385" s="66">
        <v>955634</v>
      </c>
      <c r="O385" t="s">
        <v>4735</v>
      </c>
    </row>
    <row r="386" spans="1:15" x14ac:dyDescent="0.35">
      <c r="A386" s="2" t="s">
        <v>1085</v>
      </c>
      <c r="B386" s="2" t="s">
        <v>790</v>
      </c>
      <c r="C386" t="s">
        <v>635</v>
      </c>
      <c r="D386" s="37" t="s">
        <v>507</v>
      </c>
      <c r="E386" t="s">
        <v>4452</v>
      </c>
      <c r="F386" s="181">
        <v>45977</v>
      </c>
      <c r="G386">
        <v>3327564.24</v>
      </c>
      <c r="H386" s="37">
        <f t="shared" si="27"/>
        <v>15</v>
      </c>
      <c r="I386" s="37" t="str">
        <f t="shared" si="28"/>
        <v>0-120 DAYS</v>
      </c>
      <c r="J386" s="37" t="str">
        <f t="shared" si="29"/>
        <v>0-180 DAYS</v>
      </c>
      <c r="K386" t="s">
        <v>1730</v>
      </c>
      <c r="L386" s="66" t="s">
        <v>4572</v>
      </c>
      <c r="M386" s="66">
        <v>3327564.24</v>
      </c>
      <c r="O386" t="s">
        <v>4736</v>
      </c>
    </row>
    <row r="387" spans="1:15" x14ac:dyDescent="0.35">
      <c r="A387" s="2" t="s">
        <v>1085</v>
      </c>
      <c r="B387" s="2" t="s">
        <v>790</v>
      </c>
      <c r="C387" t="s">
        <v>573</v>
      </c>
      <c r="D387" s="37" t="s">
        <v>507</v>
      </c>
      <c r="E387" t="s">
        <v>4453</v>
      </c>
      <c r="F387" s="181">
        <v>45977</v>
      </c>
      <c r="G387">
        <v>3723008.74</v>
      </c>
      <c r="H387" s="37">
        <f t="shared" si="27"/>
        <v>15</v>
      </c>
      <c r="I387" s="37" t="str">
        <f t="shared" si="28"/>
        <v>0-120 DAYS</v>
      </c>
      <c r="J387" s="37" t="str">
        <f t="shared" si="29"/>
        <v>0-180 DAYS</v>
      </c>
      <c r="K387" t="s">
        <v>1730</v>
      </c>
      <c r="L387" s="66" t="s">
        <v>4572</v>
      </c>
      <c r="M387" s="66">
        <v>3723008.74</v>
      </c>
      <c r="O387" t="s">
        <v>4736</v>
      </c>
    </row>
    <row r="388" spans="1:15" x14ac:dyDescent="0.35">
      <c r="A388" s="2" t="s">
        <v>1085</v>
      </c>
      <c r="B388" s="2" t="s">
        <v>790</v>
      </c>
      <c r="C388" t="s">
        <v>522</v>
      </c>
      <c r="D388" s="37" t="s">
        <v>507</v>
      </c>
      <c r="E388" t="s">
        <v>4454</v>
      </c>
      <c r="F388" s="181">
        <v>45980</v>
      </c>
      <c r="G388">
        <v>3827352.43</v>
      </c>
      <c r="H388" s="37">
        <f t="shared" si="27"/>
        <v>12</v>
      </c>
      <c r="I388" s="37" t="str">
        <f t="shared" si="28"/>
        <v>0-120 DAYS</v>
      </c>
      <c r="J388" s="37" t="str">
        <f t="shared" si="29"/>
        <v>0-180 DAYS</v>
      </c>
      <c r="K388" t="s">
        <v>1730</v>
      </c>
      <c r="L388" s="66" t="s">
        <v>4560</v>
      </c>
      <c r="M388" s="66">
        <v>3827352.43</v>
      </c>
      <c r="O388" t="s">
        <v>4725</v>
      </c>
    </row>
    <row r="389" spans="1:15" x14ac:dyDescent="0.35">
      <c r="A389" s="2" t="s">
        <v>1085</v>
      </c>
      <c r="B389" s="2" t="s">
        <v>790</v>
      </c>
      <c r="C389" t="s">
        <v>1086</v>
      </c>
      <c r="D389" s="37" t="s">
        <v>507</v>
      </c>
      <c r="E389" t="s">
        <v>4455</v>
      </c>
      <c r="F389" s="181">
        <v>45984</v>
      </c>
      <c r="G389">
        <v>3833993.33</v>
      </c>
      <c r="H389" s="37">
        <f t="shared" si="27"/>
        <v>8</v>
      </c>
      <c r="I389" s="37" t="str">
        <f t="shared" si="28"/>
        <v>0-120 DAYS</v>
      </c>
      <c r="J389" s="37" t="str">
        <f t="shared" si="29"/>
        <v>0-180 DAYS</v>
      </c>
      <c r="K389" t="s">
        <v>1730</v>
      </c>
      <c r="L389" s="66" t="s">
        <v>4573</v>
      </c>
      <c r="M389" s="66">
        <v>3833993.33</v>
      </c>
      <c r="O389" t="s">
        <v>4737</v>
      </c>
    </row>
    <row r="390" spans="1:15" x14ac:dyDescent="0.35">
      <c r="A390" s="2" t="s">
        <v>1085</v>
      </c>
      <c r="B390" s="2" t="s">
        <v>790</v>
      </c>
      <c r="C390" t="s">
        <v>814</v>
      </c>
      <c r="D390" s="37" t="s">
        <v>507</v>
      </c>
      <c r="E390" t="s">
        <v>4456</v>
      </c>
      <c r="F390" s="181">
        <v>45984</v>
      </c>
      <c r="G390">
        <v>724606.05</v>
      </c>
      <c r="H390" s="37">
        <f t="shared" si="27"/>
        <v>8</v>
      </c>
      <c r="I390" s="37" t="str">
        <f t="shared" si="28"/>
        <v>0-120 DAYS</v>
      </c>
      <c r="J390" s="37" t="str">
        <f t="shared" si="29"/>
        <v>0-180 DAYS</v>
      </c>
      <c r="K390" t="s">
        <v>1730</v>
      </c>
      <c r="L390" s="66" t="s">
        <v>4573</v>
      </c>
      <c r="M390" s="66">
        <v>724606.05</v>
      </c>
      <c r="O390" t="s">
        <v>4737</v>
      </c>
    </row>
    <row r="391" spans="1:15" x14ac:dyDescent="0.35">
      <c r="A391" s="2" t="s">
        <v>1085</v>
      </c>
      <c r="B391" s="2" t="s">
        <v>790</v>
      </c>
      <c r="C391" t="s">
        <v>538</v>
      </c>
      <c r="D391" s="37" t="s">
        <v>507</v>
      </c>
      <c r="E391" t="s">
        <v>4457</v>
      </c>
      <c r="F391" s="181">
        <v>45986</v>
      </c>
      <c r="G391">
        <v>3440306.14</v>
      </c>
      <c r="H391" s="37">
        <f t="shared" si="27"/>
        <v>6</v>
      </c>
      <c r="I391" s="37" t="str">
        <f t="shared" si="28"/>
        <v>0-120 DAYS</v>
      </c>
      <c r="J391" s="37" t="str">
        <f t="shared" si="29"/>
        <v>0-180 DAYS</v>
      </c>
      <c r="K391" t="s">
        <v>1730</v>
      </c>
      <c r="L391" s="66" t="s">
        <v>4565</v>
      </c>
      <c r="M391" s="66">
        <v>3440306.14</v>
      </c>
      <c r="O391" t="s">
        <v>4730</v>
      </c>
    </row>
    <row r="392" spans="1:15" x14ac:dyDescent="0.35">
      <c r="A392" s="2" t="s">
        <v>1085</v>
      </c>
      <c r="B392" s="2" t="s">
        <v>790</v>
      </c>
      <c r="C392" t="s">
        <v>575</v>
      </c>
      <c r="D392" s="37" t="s">
        <v>507</v>
      </c>
      <c r="E392" t="s">
        <v>4458</v>
      </c>
      <c r="F392" s="181">
        <v>45987</v>
      </c>
      <c r="G392">
        <v>3096494.37</v>
      </c>
      <c r="H392" s="37">
        <f t="shared" si="27"/>
        <v>5</v>
      </c>
      <c r="I392" s="37" t="str">
        <f t="shared" si="28"/>
        <v>0-120 DAYS</v>
      </c>
      <c r="J392" s="37" t="str">
        <f t="shared" si="29"/>
        <v>0-180 DAYS</v>
      </c>
      <c r="K392" t="s">
        <v>1730</v>
      </c>
      <c r="L392" s="66" t="s">
        <v>4566</v>
      </c>
      <c r="M392" s="66">
        <v>3096494.37</v>
      </c>
      <c r="O392" t="s">
        <v>4731</v>
      </c>
    </row>
    <row r="393" spans="1:15" x14ac:dyDescent="0.35">
      <c r="A393" s="2" t="s">
        <v>1085</v>
      </c>
      <c r="B393" s="2" t="s">
        <v>790</v>
      </c>
      <c r="C393" t="s">
        <v>635</v>
      </c>
      <c r="D393" s="37" t="s">
        <v>507</v>
      </c>
      <c r="E393" t="s">
        <v>4459</v>
      </c>
      <c r="F393" s="181">
        <v>45990</v>
      </c>
      <c r="G393">
        <v>3124185.64</v>
      </c>
      <c r="H393" s="37">
        <f t="shared" si="27"/>
        <v>2</v>
      </c>
      <c r="I393" s="37" t="str">
        <f t="shared" si="28"/>
        <v>0-120 DAYS</v>
      </c>
      <c r="J393" s="37" t="str">
        <f t="shared" si="29"/>
        <v>0-180 DAYS</v>
      </c>
      <c r="K393" t="s">
        <v>1730</v>
      </c>
      <c r="L393" s="66" t="s">
        <v>4569</v>
      </c>
      <c r="M393" s="66">
        <v>3124185.64</v>
      </c>
      <c r="O393" t="s">
        <v>4734</v>
      </c>
    </row>
    <row r="394" spans="1:15" x14ac:dyDescent="0.35">
      <c r="A394" s="2" t="s">
        <v>477</v>
      </c>
      <c r="B394" s="2" t="s">
        <v>790</v>
      </c>
      <c r="C394" t="s">
        <v>2526</v>
      </c>
      <c r="D394" t="s">
        <v>2528</v>
      </c>
      <c r="E394" t="s">
        <v>4465</v>
      </c>
      <c r="F394" s="181">
        <v>45962</v>
      </c>
      <c r="G394">
        <v>46480.2</v>
      </c>
      <c r="H394" s="37">
        <f t="shared" si="27"/>
        <v>30</v>
      </c>
      <c r="I394" s="37" t="str">
        <f>IF(H394&lt;91,"1-90 DAYS",IF(H394&lt;121,"91-120DAYS",IF(H394&lt;181,"121-180 DAYS","More than 180 Days")))</f>
        <v>1-90 DAYS</v>
      </c>
      <c r="J394" s="37" t="str">
        <f t="shared" si="29"/>
        <v>0-180 DAYS</v>
      </c>
      <c r="K394" t="s">
        <v>1730</v>
      </c>
      <c r="L394" s="66" t="s">
        <v>4547</v>
      </c>
      <c r="M394" s="66">
        <v>46480.2</v>
      </c>
      <c r="O394" t="s">
        <v>4712</v>
      </c>
    </row>
    <row r="395" spans="1:15" x14ac:dyDescent="0.35">
      <c r="A395" s="2" t="s">
        <v>477</v>
      </c>
      <c r="B395" s="2" t="s">
        <v>790</v>
      </c>
      <c r="C395" t="s">
        <v>26</v>
      </c>
      <c r="D395" t="s">
        <v>27</v>
      </c>
      <c r="E395" t="s">
        <v>4466</v>
      </c>
      <c r="F395" s="181">
        <v>45965</v>
      </c>
      <c r="G395">
        <f>491486.74-1015</f>
        <v>490471.74</v>
      </c>
      <c r="H395" s="37">
        <f t="shared" si="27"/>
        <v>27</v>
      </c>
      <c r="I395" s="37" t="str">
        <f t="shared" ref="I395:I458" si="30">IF(H395&lt;91,"1-90 DAYS",IF(H395&lt;121,"91-120DAYS",IF(H395&lt;181,"121-180 DAYS","More than 180 Days")))</f>
        <v>1-90 DAYS</v>
      </c>
      <c r="J395" s="37" t="str">
        <f t="shared" si="29"/>
        <v>0-180 DAYS</v>
      </c>
      <c r="K395" t="s">
        <v>1730</v>
      </c>
      <c r="L395" s="66" t="s">
        <v>4549</v>
      </c>
      <c r="M395" s="66">
        <v>490471.74</v>
      </c>
      <c r="O395" t="s">
        <v>4714</v>
      </c>
    </row>
    <row r="396" spans="1:15" x14ac:dyDescent="0.35">
      <c r="A396" s="2" t="s">
        <v>1085</v>
      </c>
      <c r="B396" s="2" t="s">
        <v>790</v>
      </c>
      <c r="C396" t="s">
        <v>581</v>
      </c>
      <c r="D396" s="37" t="s">
        <v>507</v>
      </c>
      <c r="E396" t="s">
        <v>4467</v>
      </c>
      <c r="F396" s="181">
        <v>45967</v>
      </c>
      <c r="G396">
        <v>4006590.65</v>
      </c>
      <c r="H396" s="37">
        <f t="shared" ref="H396:H459" si="31">$H$9-F396+1</f>
        <v>25</v>
      </c>
      <c r="I396" s="37" t="str">
        <f>IF(H396&lt;121,"0-120 DAYS",IF(H396&lt;181,"121-180 DAYS","More than 180 Days"))</f>
        <v>0-120 DAYS</v>
      </c>
      <c r="J396" s="37" t="str">
        <f t="shared" si="29"/>
        <v>0-180 DAYS</v>
      </c>
      <c r="K396" t="s">
        <v>1730</v>
      </c>
      <c r="L396" s="66" t="s">
        <v>4550</v>
      </c>
      <c r="M396" s="66">
        <v>4006590.65</v>
      </c>
      <c r="O396" t="s">
        <v>4715</v>
      </c>
    </row>
    <row r="397" spans="1:15" x14ac:dyDescent="0.35">
      <c r="A397" s="2" t="s">
        <v>477</v>
      </c>
      <c r="B397" s="2" t="s">
        <v>790</v>
      </c>
      <c r="C397" t="s">
        <v>1087</v>
      </c>
      <c r="D397" t="s">
        <v>1088</v>
      </c>
      <c r="E397" t="s">
        <v>4468</v>
      </c>
      <c r="F397" s="181">
        <v>45968</v>
      </c>
      <c r="G397">
        <v>205320</v>
      </c>
      <c r="H397" s="37">
        <f t="shared" si="31"/>
        <v>24</v>
      </c>
      <c r="I397" s="37" t="str">
        <f t="shared" si="30"/>
        <v>1-90 DAYS</v>
      </c>
      <c r="J397" s="37" t="str">
        <f t="shared" si="29"/>
        <v>0-180 DAYS</v>
      </c>
      <c r="K397" t="s">
        <v>1730</v>
      </c>
      <c r="L397" s="66" t="s">
        <v>4551</v>
      </c>
      <c r="M397" s="66">
        <v>205320</v>
      </c>
      <c r="O397" t="s">
        <v>4716</v>
      </c>
    </row>
    <row r="398" spans="1:15" x14ac:dyDescent="0.35">
      <c r="A398" s="2" t="s">
        <v>477</v>
      </c>
      <c r="B398" s="2" t="s">
        <v>790</v>
      </c>
      <c r="C398" t="s">
        <v>1087</v>
      </c>
      <c r="D398" t="s">
        <v>1088</v>
      </c>
      <c r="E398" t="s">
        <v>4469</v>
      </c>
      <c r="F398" s="181">
        <v>45968</v>
      </c>
      <c r="G398">
        <v>76180.800000000003</v>
      </c>
      <c r="H398" s="37">
        <f t="shared" si="31"/>
        <v>24</v>
      </c>
      <c r="I398" s="37" t="str">
        <f t="shared" si="30"/>
        <v>1-90 DAYS</v>
      </c>
      <c r="J398" s="37" t="str">
        <f t="shared" ref="J398:J461" si="32">IF(H398&lt;180,"0-180 DAYS","More than 180 Days")</f>
        <v>0-180 DAYS</v>
      </c>
      <c r="K398" t="s">
        <v>1730</v>
      </c>
      <c r="L398" s="66" t="s">
        <v>4551</v>
      </c>
      <c r="M398" s="66">
        <v>76180.800000000003</v>
      </c>
      <c r="O398" t="s">
        <v>4716</v>
      </c>
    </row>
    <row r="399" spans="1:15" x14ac:dyDescent="0.35">
      <c r="A399" s="2" t="s">
        <v>477</v>
      </c>
      <c r="B399" s="2" t="s">
        <v>790</v>
      </c>
      <c r="C399" t="s">
        <v>3537</v>
      </c>
      <c r="D399" t="s">
        <v>3542</v>
      </c>
      <c r="E399" t="s">
        <v>4470</v>
      </c>
      <c r="F399" s="181">
        <v>45971</v>
      </c>
      <c r="G399">
        <v>440040.76</v>
      </c>
      <c r="H399" s="37">
        <f t="shared" si="31"/>
        <v>21</v>
      </c>
      <c r="I399" s="37" t="str">
        <f t="shared" si="30"/>
        <v>1-90 DAYS</v>
      </c>
      <c r="J399" s="37" t="str">
        <f t="shared" si="32"/>
        <v>0-180 DAYS</v>
      </c>
      <c r="K399" t="s">
        <v>1730</v>
      </c>
      <c r="L399" s="66" t="s">
        <v>4571</v>
      </c>
      <c r="M399" s="66">
        <v>440040.76</v>
      </c>
      <c r="O399" t="s">
        <v>4735</v>
      </c>
    </row>
    <row r="400" spans="1:15" x14ac:dyDescent="0.35">
      <c r="A400" s="2" t="s">
        <v>477</v>
      </c>
      <c r="B400" s="2" t="s">
        <v>790</v>
      </c>
      <c r="C400" t="s">
        <v>1196</v>
      </c>
      <c r="D400" t="s">
        <v>1208</v>
      </c>
      <c r="E400" t="s">
        <v>3420</v>
      </c>
      <c r="F400" s="181">
        <v>45972</v>
      </c>
      <c r="G400">
        <v>1865767</v>
      </c>
      <c r="H400" s="37">
        <f t="shared" si="31"/>
        <v>20</v>
      </c>
      <c r="I400" s="37" t="str">
        <f t="shared" si="30"/>
        <v>1-90 DAYS</v>
      </c>
      <c r="J400" s="37" t="str">
        <f t="shared" si="32"/>
        <v>0-180 DAYS</v>
      </c>
      <c r="K400" t="s">
        <v>1730</v>
      </c>
      <c r="L400" s="66" t="s">
        <v>4554</v>
      </c>
      <c r="M400" s="66">
        <v>1865767</v>
      </c>
      <c r="O400" t="s">
        <v>4719</v>
      </c>
    </row>
    <row r="401" spans="1:15" x14ac:dyDescent="0.35">
      <c r="A401" s="2" t="s">
        <v>477</v>
      </c>
      <c r="B401" s="2" t="s">
        <v>790</v>
      </c>
      <c r="C401" t="s">
        <v>1087</v>
      </c>
      <c r="D401" t="s">
        <v>1088</v>
      </c>
      <c r="E401" t="s">
        <v>4471</v>
      </c>
      <c r="F401" s="181">
        <v>45974</v>
      </c>
      <c r="G401">
        <v>258420</v>
      </c>
      <c r="H401" s="37">
        <f t="shared" si="31"/>
        <v>18</v>
      </c>
      <c r="I401" s="37" t="str">
        <f t="shared" si="30"/>
        <v>1-90 DAYS</v>
      </c>
      <c r="J401" s="37" t="str">
        <f t="shared" si="32"/>
        <v>0-180 DAYS</v>
      </c>
      <c r="K401" t="s">
        <v>1730</v>
      </c>
      <c r="L401" s="66" t="s">
        <v>4574</v>
      </c>
      <c r="M401" s="66">
        <v>258420</v>
      </c>
      <c r="O401" t="s">
        <v>4738</v>
      </c>
    </row>
    <row r="402" spans="1:15" x14ac:dyDescent="0.35">
      <c r="A402" s="2" t="s">
        <v>477</v>
      </c>
      <c r="B402" s="2" t="s">
        <v>790</v>
      </c>
      <c r="C402" t="s">
        <v>1087</v>
      </c>
      <c r="D402" t="s">
        <v>1088</v>
      </c>
      <c r="E402" t="s">
        <v>4472</v>
      </c>
      <c r="F402" s="181">
        <v>45974</v>
      </c>
      <c r="G402">
        <v>245499</v>
      </c>
      <c r="H402" s="37">
        <f t="shared" si="31"/>
        <v>18</v>
      </c>
      <c r="I402" s="37" t="str">
        <f t="shared" si="30"/>
        <v>1-90 DAYS</v>
      </c>
      <c r="J402" s="37" t="str">
        <f t="shared" si="32"/>
        <v>0-180 DAYS</v>
      </c>
      <c r="K402" t="s">
        <v>1730</v>
      </c>
      <c r="L402" s="66" t="s">
        <v>4574</v>
      </c>
      <c r="M402" s="66">
        <v>245499</v>
      </c>
      <c r="O402" t="s">
        <v>4738</v>
      </c>
    </row>
    <row r="403" spans="1:15" x14ac:dyDescent="0.35">
      <c r="A403" s="2" t="s">
        <v>477</v>
      </c>
      <c r="B403" s="2" t="s">
        <v>790</v>
      </c>
      <c r="C403" t="s">
        <v>1087</v>
      </c>
      <c r="D403" t="s">
        <v>1088</v>
      </c>
      <c r="E403" t="s">
        <v>4473</v>
      </c>
      <c r="F403" s="181">
        <v>45974</v>
      </c>
      <c r="G403">
        <v>285436</v>
      </c>
      <c r="H403" s="37">
        <f t="shared" si="31"/>
        <v>18</v>
      </c>
      <c r="I403" s="37" t="str">
        <f t="shared" si="30"/>
        <v>1-90 DAYS</v>
      </c>
      <c r="J403" s="37" t="str">
        <f t="shared" si="32"/>
        <v>0-180 DAYS</v>
      </c>
      <c r="K403" t="s">
        <v>1730</v>
      </c>
      <c r="L403" s="66" t="s">
        <v>4574</v>
      </c>
      <c r="M403" s="66">
        <v>285436</v>
      </c>
      <c r="O403" t="s">
        <v>4738</v>
      </c>
    </row>
    <row r="404" spans="1:15" x14ac:dyDescent="0.35">
      <c r="A404" s="2" t="s">
        <v>477</v>
      </c>
      <c r="B404" s="2" t="s">
        <v>790</v>
      </c>
      <c r="C404" t="s">
        <v>1087</v>
      </c>
      <c r="D404" t="s">
        <v>1088</v>
      </c>
      <c r="E404" t="s">
        <v>4474</v>
      </c>
      <c r="F404" s="181">
        <v>45974</v>
      </c>
      <c r="G404">
        <v>341910</v>
      </c>
      <c r="H404" s="37">
        <f t="shared" si="31"/>
        <v>18</v>
      </c>
      <c r="I404" s="37" t="str">
        <f t="shared" si="30"/>
        <v>1-90 DAYS</v>
      </c>
      <c r="J404" s="37" t="str">
        <f t="shared" si="32"/>
        <v>0-180 DAYS</v>
      </c>
      <c r="K404" t="s">
        <v>1730</v>
      </c>
      <c r="L404" s="66" t="s">
        <v>4574</v>
      </c>
      <c r="M404" s="66">
        <v>341910</v>
      </c>
      <c r="O404" t="s">
        <v>4738</v>
      </c>
    </row>
    <row r="405" spans="1:15" x14ac:dyDescent="0.35">
      <c r="A405" s="2" t="s">
        <v>477</v>
      </c>
      <c r="B405" s="2" t="s">
        <v>790</v>
      </c>
      <c r="C405" t="s">
        <v>1838</v>
      </c>
      <c r="D405" t="s">
        <v>2001</v>
      </c>
      <c r="E405" t="s">
        <v>4475</v>
      </c>
      <c r="F405" s="181">
        <v>45975</v>
      </c>
      <c r="G405">
        <v>1452288.46</v>
      </c>
      <c r="H405" s="37">
        <f t="shared" si="31"/>
        <v>17</v>
      </c>
      <c r="I405" s="37" t="str">
        <f t="shared" si="30"/>
        <v>1-90 DAYS</v>
      </c>
      <c r="J405" s="37" t="str">
        <f t="shared" si="32"/>
        <v>0-180 DAYS</v>
      </c>
      <c r="K405" t="s">
        <v>1730</v>
      </c>
      <c r="L405" s="66" t="s">
        <v>4556</v>
      </c>
      <c r="M405" s="66">
        <v>1452288.46</v>
      </c>
      <c r="O405" t="s">
        <v>4721</v>
      </c>
    </row>
    <row r="406" spans="1:15" x14ac:dyDescent="0.35">
      <c r="A406" s="2" t="s">
        <v>477</v>
      </c>
      <c r="B406" s="2" t="s">
        <v>790</v>
      </c>
      <c r="C406" t="s">
        <v>1087</v>
      </c>
      <c r="D406" t="s">
        <v>1088</v>
      </c>
      <c r="E406" t="s">
        <v>4476</v>
      </c>
      <c r="F406" s="181">
        <v>45978</v>
      </c>
      <c r="G406">
        <v>12910</v>
      </c>
      <c r="H406" s="37">
        <f t="shared" si="31"/>
        <v>14</v>
      </c>
      <c r="I406" s="37" t="str">
        <f t="shared" si="30"/>
        <v>1-90 DAYS</v>
      </c>
      <c r="J406" s="37" t="str">
        <f t="shared" si="32"/>
        <v>0-180 DAYS</v>
      </c>
      <c r="K406" t="s">
        <v>1730</v>
      </c>
      <c r="L406" s="66" t="s">
        <v>4558</v>
      </c>
      <c r="M406" s="66">
        <v>12910</v>
      </c>
      <c r="O406" t="s">
        <v>4723</v>
      </c>
    </row>
    <row r="407" spans="1:15" x14ac:dyDescent="0.35">
      <c r="A407" s="2" t="s">
        <v>477</v>
      </c>
      <c r="B407" s="2" t="s">
        <v>790</v>
      </c>
      <c r="C407" t="s">
        <v>1087</v>
      </c>
      <c r="D407" t="s">
        <v>1088</v>
      </c>
      <c r="E407" t="s">
        <v>4477</v>
      </c>
      <c r="F407" s="181">
        <v>45978</v>
      </c>
      <c r="G407">
        <v>258201</v>
      </c>
      <c r="H407" s="37">
        <f t="shared" si="31"/>
        <v>14</v>
      </c>
      <c r="I407" s="37" t="str">
        <f t="shared" si="30"/>
        <v>1-90 DAYS</v>
      </c>
      <c r="J407" s="37" t="str">
        <f t="shared" si="32"/>
        <v>0-180 DAYS</v>
      </c>
      <c r="K407" t="s">
        <v>1730</v>
      </c>
      <c r="L407" s="66" t="s">
        <v>4558</v>
      </c>
      <c r="M407" s="66">
        <v>258201</v>
      </c>
      <c r="O407" t="s">
        <v>4723</v>
      </c>
    </row>
    <row r="408" spans="1:15" x14ac:dyDescent="0.35">
      <c r="A408" s="2" t="s">
        <v>477</v>
      </c>
      <c r="B408" s="2" t="s">
        <v>790</v>
      </c>
      <c r="C408" t="s">
        <v>3538</v>
      </c>
      <c r="D408" t="s">
        <v>3543</v>
      </c>
      <c r="E408" t="s">
        <v>4478</v>
      </c>
      <c r="F408" s="181">
        <v>45978</v>
      </c>
      <c r="G408">
        <v>9858632</v>
      </c>
      <c r="H408" s="37">
        <f t="shared" si="31"/>
        <v>14</v>
      </c>
      <c r="I408" s="37" t="str">
        <f t="shared" si="30"/>
        <v>1-90 DAYS</v>
      </c>
      <c r="J408" s="37" t="str">
        <f t="shared" si="32"/>
        <v>0-180 DAYS</v>
      </c>
      <c r="K408" t="s">
        <v>1730</v>
      </c>
      <c r="L408" s="66" t="s">
        <v>4558</v>
      </c>
      <c r="M408" s="66">
        <v>9858632</v>
      </c>
      <c r="O408" t="s">
        <v>4723</v>
      </c>
    </row>
    <row r="409" spans="1:15" x14ac:dyDescent="0.35">
      <c r="A409" s="2" t="s">
        <v>477</v>
      </c>
      <c r="B409" s="2" t="s">
        <v>790</v>
      </c>
      <c r="C409" t="s">
        <v>1196</v>
      </c>
      <c r="D409" t="s">
        <v>1208</v>
      </c>
      <c r="E409" t="s">
        <v>4479</v>
      </c>
      <c r="F409" s="181">
        <v>45979</v>
      </c>
      <c r="G409">
        <v>1865767</v>
      </c>
      <c r="H409" s="37">
        <f t="shared" si="31"/>
        <v>13</v>
      </c>
      <c r="I409" s="37" t="str">
        <f t="shared" si="30"/>
        <v>1-90 DAYS</v>
      </c>
      <c r="J409" s="37" t="str">
        <f t="shared" si="32"/>
        <v>0-180 DAYS</v>
      </c>
      <c r="K409" t="s">
        <v>1730</v>
      </c>
      <c r="L409" s="66" t="s">
        <v>4559</v>
      </c>
      <c r="M409" s="66">
        <v>1865767</v>
      </c>
      <c r="O409" t="s">
        <v>4724</v>
      </c>
    </row>
    <row r="410" spans="1:15" x14ac:dyDescent="0.35">
      <c r="A410" s="2" t="s">
        <v>477</v>
      </c>
      <c r="B410" s="2" t="s">
        <v>790</v>
      </c>
      <c r="C410" t="s">
        <v>4460</v>
      </c>
      <c r="D410" t="s">
        <v>4538</v>
      </c>
      <c r="E410" t="s">
        <v>4480</v>
      </c>
      <c r="F410" s="181">
        <v>45980</v>
      </c>
      <c r="G410">
        <v>2086830</v>
      </c>
      <c r="H410" s="37">
        <f t="shared" si="31"/>
        <v>12</v>
      </c>
      <c r="I410" s="37" t="str">
        <f t="shared" si="30"/>
        <v>1-90 DAYS</v>
      </c>
      <c r="J410" s="37" t="str">
        <f t="shared" si="32"/>
        <v>0-180 DAYS</v>
      </c>
      <c r="K410" t="s">
        <v>1730</v>
      </c>
      <c r="L410" s="66" t="s">
        <v>4560</v>
      </c>
      <c r="M410" s="66">
        <v>2086830</v>
      </c>
      <c r="O410" t="s">
        <v>4725</v>
      </c>
    </row>
    <row r="411" spans="1:15" x14ac:dyDescent="0.35">
      <c r="A411" s="2" t="s">
        <v>1209</v>
      </c>
      <c r="B411" s="2" t="s">
        <v>789</v>
      </c>
      <c r="C411" t="s">
        <v>125</v>
      </c>
      <c r="D411" t="s">
        <v>57</v>
      </c>
      <c r="E411" t="s">
        <v>4481</v>
      </c>
      <c r="F411" s="181">
        <v>45982</v>
      </c>
      <c r="G411" s="162">
        <v>7922.6</v>
      </c>
      <c r="H411" s="37">
        <f t="shared" si="31"/>
        <v>10</v>
      </c>
      <c r="I411" s="37" t="str">
        <f t="shared" si="30"/>
        <v>1-90 DAYS</v>
      </c>
      <c r="J411" s="37" t="str">
        <f t="shared" si="32"/>
        <v>0-180 DAYS</v>
      </c>
      <c r="L411" s="66" t="s">
        <v>4562</v>
      </c>
      <c r="M411" s="66">
        <v>7922.6</v>
      </c>
      <c r="O411" t="s">
        <v>4727</v>
      </c>
    </row>
    <row r="412" spans="1:15" x14ac:dyDescent="0.35">
      <c r="A412" s="2" t="s">
        <v>1209</v>
      </c>
      <c r="B412" s="2" t="s">
        <v>789</v>
      </c>
      <c r="C412" t="s">
        <v>125</v>
      </c>
      <c r="D412" t="s">
        <v>57</v>
      </c>
      <c r="E412" t="s">
        <v>4482</v>
      </c>
      <c r="F412" s="181">
        <v>45982</v>
      </c>
      <c r="G412" s="162">
        <v>858908.94</v>
      </c>
      <c r="H412" s="37">
        <f t="shared" si="31"/>
        <v>10</v>
      </c>
      <c r="I412" s="37" t="str">
        <f t="shared" si="30"/>
        <v>1-90 DAYS</v>
      </c>
      <c r="J412" s="37" t="str">
        <f t="shared" si="32"/>
        <v>0-180 DAYS</v>
      </c>
      <c r="L412" s="66" t="s">
        <v>4562</v>
      </c>
      <c r="M412" s="66">
        <v>858908.94</v>
      </c>
      <c r="O412" t="s">
        <v>4727</v>
      </c>
    </row>
    <row r="413" spans="1:15" x14ac:dyDescent="0.35">
      <c r="A413" s="2" t="s">
        <v>1209</v>
      </c>
      <c r="B413" s="2" t="s">
        <v>789</v>
      </c>
      <c r="C413" t="s">
        <v>125</v>
      </c>
      <c r="D413" t="s">
        <v>57</v>
      </c>
      <c r="E413" t="s">
        <v>4483</v>
      </c>
      <c r="F413" s="181">
        <v>45983</v>
      </c>
      <c r="G413" s="162">
        <v>951.37</v>
      </c>
      <c r="H413" s="37">
        <f t="shared" si="31"/>
        <v>9</v>
      </c>
      <c r="I413" s="37" t="str">
        <f t="shared" si="30"/>
        <v>1-90 DAYS</v>
      </c>
      <c r="J413" s="37" t="str">
        <f t="shared" si="32"/>
        <v>0-180 DAYS</v>
      </c>
      <c r="L413" s="66" t="s">
        <v>4563</v>
      </c>
      <c r="M413" s="66">
        <v>951.37</v>
      </c>
      <c r="O413" t="s">
        <v>4728</v>
      </c>
    </row>
    <row r="414" spans="1:15" x14ac:dyDescent="0.35">
      <c r="A414" s="2" t="s">
        <v>1209</v>
      </c>
      <c r="B414" s="2" t="s">
        <v>789</v>
      </c>
      <c r="C414" t="s">
        <v>125</v>
      </c>
      <c r="D414" t="s">
        <v>57</v>
      </c>
      <c r="E414" t="s">
        <v>4484</v>
      </c>
      <c r="F414" s="181">
        <v>45983</v>
      </c>
      <c r="G414" s="162">
        <v>22785.55</v>
      </c>
      <c r="H414" s="37">
        <f t="shared" si="31"/>
        <v>9</v>
      </c>
      <c r="I414" s="37" t="str">
        <f t="shared" si="30"/>
        <v>1-90 DAYS</v>
      </c>
      <c r="J414" s="37" t="str">
        <f t="shared" si="32"/>
        <v>0-180 DAYS</v>
      </c>
      <c r="L414" s="66" t="s">
        <v>4563</v>
      </c>
      <c r="M414" s="66">
        <v>22785.55</v>
      </c>
      <c r="O414" t="s">
        <v>4728</v>
      </c>
    </row>
    <row r="415" spans="1:15" x14ac:dyDescent="0.35">
      <c r="A415" s="2" t="s">
        <v>1209</v>
      </c>
      <c r="B415" s="2" t="s">
        <v>789</v>
      </c>
      <c r="C415" t="s">
        <v>125</v>
      </c>
      <c r="D415" t="s">
        <v>57</v>
      </c>
      <c r="E415" t="s">
        <v>4485</v>
      </c>
      <c r="F415" s="181">
        <v>45983</v>
      </c>
      <c r="G415" s="162">
        <v>1803.4</v>
      </c>
      <c r="H415" s="37">
        <f t="shared" si="31"/>
        <v>9</v>
      </c>
      <c r="I415" s="37" t="str">
        <f t="shared" si="30"/>
        <v>1-90 DAYS</v>
      </c>
      <c r="J415" s="37" t="str">
        <f t="shared" si="32"/>
        <v>0-180 DAYS</v>
      </c>
      <c r="L415" s="66" t="s">
        <v>4563</v>
      </c>
      <c r="M415" s="66">
        <v>1803.4</v>
      </c>
      <c r="O415" t="s">
        <v>4728</v>
      </c>
    </row>
    <row r="416" spans="1:15" x14ac:dyDescent="0.35">
      <c r="A416" s="2" t="s">
        <v>1209</v>
      </c>
      <c r="B416" s="2" t="s">
        <v>789</v>
      </c>
      <c r="C416" t="s">
        <v>125</v>
      </c>
      <c r="D416" t="s">
        <v>57</v>
      </c>
      <c r="E416" t="s">
        <v>4486</v>
      </c>
      <c r="F416" s="181">
        <v>45983</v>
      </c>
      <c r="G416" s="162">
        <v>10752.6</v>
      </c>
      <c r="H416" s="37">
        <f t="shared" si="31"/>
        <v>9</v>
      </c>
      <c r="I416" s="37" t="str">
        <f t="shared" si="30"/>
        <v>1-90 DAYS</v>
      </c>
      <c r="J416" s="37" t="str">
        <f t="shared" si="32"/>
        <v>0-180 DAYS</v>
      </c>
      <c r="L416" s="66" t="s">
        <v>4563</v>
      </c>
      <c r="M416" s="66">
        <v>10752.6</v>
      </c>
      <c r="O416" t="s">
        <v>4728</v>
      </c>
    </row>
    <row r="417" spans="1:15" x14ac:dyDescent="0.35">
      <c r="A417" s="2" t="s">
        <v>1209</v>
      </c>
      <c r="B417" s="2" t="s">
        <v>789</v>
      </c>
      <c r="C417" t="s">
        <v>125</v>
      </c>
      <c r="D417" t="s">
        <v>57</v>
      </c>
      <c r="E417" t="s">
        <v>3729</v>
      </c>
      <c r="F417" s="181">
        <v>45983</v>
      </c>
      <c r="G417" s="162">
        <v>869812.07</v>
      </c>
      <c r="H417" s="37">
        <f t="shared" si="31"/>
        <v>9</v>
      </c>
      <c r="I417" s="37" t="str">
        <f t="shared" si="30"/>
        <v>1-90 DAYS</v>
      </c>
      <c r="J417" s="37" t="str">
        <f t="shared" si="32"/>
        <v>0-180 DAYS</v>
      </c>
      <c r="L417" s="66" t="s">
        <v>4563</v>
      </c>
      <c r="M417" s="66">
        <v>869812.07</v>
      </c>
      <c r="O417" t="s">
        <v>4728</v>
      </c>
    </row>
    <row r="418" spans="1:15" x14ac:dyDescent="0.35">
      <c r="A418" s="2" t="s">
        <v>1209</v>
      </c>
      <c r="B418" s="2" t="s">
        <v>789</v>
      </c>
      <c r="C418" t="s">
        <v>125</v>
      </c>
      <c r="D418" t="s">
        <v>57</v>
      </c>
      <c r="E418" t="s">
        <v>4487</v>
      </c>
      <c r="F418" s="181">
        <v>45984</v>
      </c>
      <c r="G418" s="162">
        <v>9181.07</v>
      </c>
      <c r="H418" s="37">
        <f t="shared" si="31"/>
        <v>8</v>
      </c>
      <c r="I418" s="37" t="str">
        <f t="shared" si="30"/>
        <v>1-90 DAYS</v>
      </c>
      <c r="J418" s="37" t="str">
        <f t="shared" si="32"/>
        <v>0-180 DAYS</v>
      </c>
      <c r="L418" s="66" t="s">
        <v>4573</v>
      </c>
      <c r="M418" s="66">
        <v>9181.07</v>
      </c>
      <c r="O418" t="s">
        <v>4737</v>
      </c>
    </row>
    <row r="419" spans="1:15" x14ac:dyDescent="0.35">
      <c r="A419" s="2" t="s">
        <v>1209</v>
      </c>
      <c r="B419" s="2" t="s">
        <v>789</v>
      </c>
      <c r="C419" t="s">
        <v>125</v>
      </c>
      <c r="D419" t="s">
        <v>57</v>
      </c>
      <c r="E419" t="s">
        <v>4488</v>
      </c>
      <c r="F419" s="181">
        <v>45984</v>
      </c>
      <c r="G419" s="162">
        <v>102573</v>
      </c>
      <c r="H419" s="37">
        <f t="shared" si="31"/>
        <v>8</v>
      </c>
      <c r="I419" s="37" t="str">
        <f t="shared" si="30"/>
        <v>1-90 DAYS</v>
      </c>
      <c r="J419" s="37" t="str">
        <f t="shared" si="32"/>
        <v>0-180 DAYS</v>
      </c>
      <c r="L419" s="66" t="s">
        <v>4573</v>
      </c>
      <c r="M419" s="66">
        <v>102573</v>
      </c>
      <c r="O419" t="s">
        <v>4737</v>
      </c>
    </row>
    <row r="420" spans="1:15" x14ac:dyDescent="0.35">
      <c r="A420" s="2" t="s">
        <v>1209</v>
      </c>
      <c r="B420" s="2" t="s">
        <v>789</v>
      </c>
      <c r="C420" t="s">
        <v>125</v>
      </c>
      <c r="D420" t="s">
        <v>57</v>
      </c>
      <c r="E420" t="s">
        <v>4489</v>
      </c>
      <c r="F420" s="181">
        <v>45984</v>
      </c>
      <c r="G420" s="162">
        <v>6451.96</v>
      </c>
      <c r="H420" s="37">
        <f t="shared" si="31"/>
        <v>8</v>
      </c>
      <c r="I420" s="37" t="str">
        <f t="shared" si="30"/>
        <v>1-90 DAYS</v>
      </c>
      <c r="J420" s="37" t="str">
        <f t="shared" si="32"/>
        <v>0-180 DAYS</v>
      </c>
      <c r="L420" s="66" t="s">
        <v>4573</v>
      </c>
      <c r="M420" s="66">
        <v>6451.96</v>
      </c>
      <c r="O420" t="s">
        <v>4737</v>
      </c>
    </row>
    <row r="421" spans="1:15" x14ac:dyDescent="0.35">
      <c r="A421" s="2" t="s">
        <v>1209</v>
      </c>
      <c r="B421" s="2" t="s">
        <v>789</v>
      </c>
      <c r="C421" t="s">
        <v>125</v>
      </c>
      <c r="D421" t="s">
        <v>57</v>
      </c>
      <c r="E421" t="s">
        <v>4490</v>
      </c>
      <c r="F421" s="181">
        <v>45984</v>
      </c>
      <c r="G421" s="162">
        <v>665583.44999999995</v>
      </c>
      <c r="H421" s="37">
        <f t="shared" si="31"/>
        <v>8</v>
      </c>
      <c r="I421" s="37" t="str">
        <f t="shared" si="30"/>
        <v>1-90 DAYS</v>
      </c>
      <c r="J421" s="37" t="str">
        <f t="shared" si="32"/>
        <v>0-180 DAYS</v>
      </c>
      <c r="L421" s="66" t="s">
        <v>4573</v>
      </c>
      <c r="M421" s="66">
        <v>665583.44999999995</v>
      </c>
      <c r="O421" t="s">
        <v>4737</v>
      </c>
    </row>
    <row r="422" spans="1:15" x14ac:dyDescent="0.35">
      <c r="A422" s="2" t="s">
        <v>477</v>
      </c>
      <c r="B422" s="2" t="s">
        <v>790</v>
      </c>
      <c r="C422" t="s">
        <v>1087</v>
      </c>
      <c r="D422" t="s">
        <v>1088</v>
      </c>
      <c r="E422" t="s">
        <v>3730</v>
      </c>
      <c r="F422" s="181">
        <v>45985</v>
      </c>
      <c r="G422">
        <v>154921</v>
      </c>
      <c r="H422" s="37">
        <f t="shared" si="31"/>
        <v>7</v>
      </c>
      <c r="I422" s="37" t="str">
        <f t="shared" si="30"/>
        <v>1-90 DAYS</v>
      </c>
      <c r="J422" s="37" t="str">
        <f t="shared" si="32"/>
        <v>0-180 DAYS</v>
      </c>
      <c r="K422" t="s">
        <v>1730</v>
      </c>
      <c r="L422" s="66" t="s">
        <v>4564</v>
      </c>
      <c r="M422" s="66">
        <v>154921</v>
      </c>
      <c r="O422" t="s">
        <v>4729</v>
      </c>
    </row>
    <row r="423" spans="1:15" x14ac:dyDescent="0.35">
      <c r="A423" s="2" t="s">
        <v>477</v>
      </c>
      <c r="B423" s="2" t="s">
        <v>790</v>
      </c>
      <c r="C423" t="s">
        <v>1087</v>
      </c>
      <c r="D423" t="s">
        <v>1088</v>
      </c>
      <c r="E423" t="s">
        <v>3731</v>
      </c>
      <c r="F423" s="181">
        <v>45985</v>
      </c>
      <c r="G423">
        <v>108232</v>
      </c>
      <c r="H423" s="37">
        <f t="shared" si="31"/>
        <v>7</v>
      </c>
      <c r="I423" s="37" t="str">
        <f t="shared" si="30"/>
        <v>1-90 DAYS</v>
      </c>
      <c r="J423" s="37" t="str">
        <f t="shared" si="32"/>
        <v>0-180 DAYS</v>
      </c>
      <c r="K423" t="s">
        <v>1730</v>
      </c>
      <c r="L423" s="66" t="s">
        <v>4564</v>
      </c>
      <c r="M423" s="66">
        <v>108232</v>
      </c>
      <c r="O423" t="s">
        <v>4729</v>
      </c>
    </row>
    <row r="424" spans="1:15" x14ac:dyDescent="0.35">
      <c r="A424" s="2" t="s">
        <v>477</v>
      </c>
      <c r="B424" s="2" t="s">
        <v>790</v>
      </c>
      <c r="C424" t="s">
        <v>4401</v>
      </c>
      <c r="D424" t="s">
        <v>4539</v>
      </c>
      <c r="E424" t="s">
        <v>4491</v>
      </c>
      <c r="F424" s="181">
        <v>45985</v>
      </c>
      <c r="G424">
        <v>4070</v>
      </c>
      <c r="H424" s="37">
        <f t="shared" si="31"/>
        <v>7</v>
      </c>
      <c r="I424" s="37" t="str">
        <f t="shared" si="30"/>
        <v>1-90 DAYS</v>
      </c>
      <c r="J424" s="37" t="str">
        <f t="shared" si="32"/>
        <v>0-180 DAYS</v>
      </c>
      <c r="K424" t="s">
        <v>1730</v>
      </c>
      <c r="L424" s="66" t="s">
        <v>4564</v>
      </c>
      <c r="M424" s="66">
        <v>4070</v>
      </c>
      <c r="O424" t="s">
        <v>4729</v>
      </c>
    </row>
    <row r="425" spans="1:15" x14ac:dyDescent="0.35">
      <c r="A425" s="2" t="s">
        <v>1209</v>
      </c>
      <c r="B425" s="2" t="s">
        <v>789</v>
      </c>
      <c r="C425" t="s">
        <v>125</v>
      </c>
      <c r="D425" t="s">
        <v>57</v>
      </c>
      <c r="E425" t="s">
        <v>4492</v>
      </c>
      <c r="F425" s="181">
        <v>45985</v>
      </c>
      <c r="G425" s="162">
        <v>295847.82</v>
      </c>
      <c r="H425" s="37">
        <f t="shared" si="31"/>
        <v>7</v>
      </c>
      <c r="I425" s="37" t="str">
        <f t="shared" si="30"/>
        <v>1-90 DAYS</v>
      </c>
      <c r="J425" s="37" t="str">
        <f t="shared" si="32"/>
        <v>0-180 DAYS</v>
      </c>
      <c r="L425" s="66" t="s">
        <v>4564</v>
      </c>
      <c r="M425" s="66">
        <v>295847.82</v>
      </c>
      <c r="O425" t="s">
        <v>4729</v>
      </c>
    </row>
    <row r="426" spans="1:15" x14ac:dyDescent="0.35">
      <c r="A426" s="2" t="s">
        <v>1209</v>
      </c>
      <c r="B426" s="2" t="s">
        <v>789</v>
      </c>
      <c r="C426" t="s">
        <v>125</v>
      </c>
      <c r="D426" t="s">
        <v>57</v>
      </c>
      <c r="E426" t="s">
        <v>4493</v>
      </c>
      <c r="F426" s="181">
        <v>45985</v>
      </c>
      <c r="G426" s="162">
        <v>436.12</v>
      </c>
      <c r="H426" s="37">
        <f t="shared" si="31"/>
        <v>7</v>
      </c>
      <c r="I426" s="37" t="str">
        <f t="shared" si="30"/>
        <v>1-90 DAYS</v>
      </c>
      <c r="J426" s="37" t="str">
        <f t="shared" si="32"/>
        <v>0-180 DAYS</v>
      </c>
      <c r="L426" s="66" t="s">
        <v>4564</v>
      </c>
      <c r="M426" s="66">
        <v>436.12</v>
      </c>
      <c r="O426" t="s">
        <v>4729</v>
      </c>
    </row>
    <row r="427" spans="1:15" x14ac:dyDescent="0.35">
      <c r="A427" s="2" t="s">
        <v>1209</v>
      </c>
      <c r="B427" s="2" t="s">
        <v>789</v>
      </c>
      <c r="C427" t="s">
        <v>125</v>
      </c>
      <c r="D427" t="s">
        <v>57</v>
      </c>
      <c r="E427" t="s">
        <v>3553</v>
      </c>
      <c r="F427" s="181">
        <v>45985</v>
      </c>
      <c r="G427" s="162">
        <v>23698</v>
      </c>
      <c r="H427" s="37">
        <f t="shared" si="31"/>
        <v>7</v>
      </c>
      <c r="I427" s="37" t="str">
        <f t="shared" si="30"/>
        <v>1-90 DAYS</v>
      </c>
      <c r="J427" s="37" t="str">
        <f t="shared" si="32"/>
        <v>0-180 DAYS</v>
      </c>
      <c r="L427" s="66" t="s">
        <v>4564</v>
      </c>
      <c r="M427" s="66">
        <v>23698</v>
      </c>
      <c r="O427" t="s">
        <v>4729</v>
      </c>
    </row>
    <row r="428" spans="1:15" x14ac:dyDescent="0.35">
      <c r="A428" s="2" t="s">
        <v>1209</v>
      </c>
      <c r="B428" s="2" t="s">
        <v>789</v>
      </c>
      <c r="C428" t="s">
        <v>125</v>
      </c>
      <c r="D428" t="s">
        <v>57</v>
      </c>
      <c r="E428" t="s">
        <v>3733</v>
      </c>
      <c r="F428" s="181">
        <v>45985</v>
      </c>
      <c r="G428" s="162">
        <v>2874</v>
      </c>
      <c r="H428" s="37">
        <f t="shared" si="31"/>
        <v>7</v>
      </c>
      <c r="I428" s="37" t="str">
        <f t="shared" si="30"/>
        <v>1-90 DAYS</v>
      </c>
      <c r="J428" s="37" t="str">
        <f t="shared" si="32"/>
        <v>0-180 DAYS</v>
      </c>
      <c r="L428" s="66" t="s">
        <v>4564</v>
      </c>
      <c r="M428" s="66">
        <v>2874</v>
      </c>
      <c r="O428" t="s">
        <v>4729</v>
      </c>
    </row>
    <row r="429" spans="1:15" x14ac:dyDescent="0.35">
      <c r="A429" s="2" t="s">
        <v>1209</v>
      </c>
      <c r="B429" s="2" t="s">
        <v>789</v>
      </c>
      <c r="C429" t="s">
        <v>125</v>
      </c>
      <c r="D429" t="s">
        <v>57</v>
      </c>
      <c r="E429" t="s">
        <v>4494</v>
      </c>
      <c r="F429" s="181">
        <v>45985</v>
      </c>
      <c r="G429" s="162">
        <v>10412.76</v>
      </c>
      <c r="H429" s="37">
        <f t="shared" si="31"/>
        <v>7</v>
      </c>
      <c r="I429" s="37" t="str">
        <f t="shared" si="30"/>
        <v>1-90 DAYS</v>
      </c>
      <c r="J429" s="37" t="str">
        <f t="shared" si="32"/>
        <v>0-180 DAYS</v>
      </c>
      <c r="L429" s="66" t="s">
        <v>4564</v>
      </c>
      <c r="M429" s="66">
        <v>10412.76</v>
      </c>
      <c r="O429" t="s">
        <v>4729</v>
      </c>
    </row>
    <row r="430" spans="1:15" x14ac:dyDescent="0.35">
      <c r="A430" s="2" t="s">
        <v>1209</v>
      </c>
      <c r="B430" s="2" t="s">
        <v>789</v>
      </c>
      <c r="C430" t="s">
        <v>125</v>
      </c>
      <c r="D430" t="s">
        <v>57</v>
      </c>
      <c r="E430" t="s">
        <v>4495</v>
      </c>
      <c r="F430" s="181">
        <v>45985</v>
      </c>
      <c r="G430" s="162">
        <v>1003755.16</v>
      </c>
      <c r="H430" s="37">
        <f t="shared" si="31"/>
        <v>7</v>
      </c>
      <c r="I430" s="37" t="str">
        <f t="shared" si="30"/>
        <v>1-90 DAYS</v>
      </c>
      <c r="J430" s="37" t="str">
        <f t="shared" si="32"/>
        <v>0-180 DAYS</v>
      </c>
      <c r="L430" s="66" t="s">
        <v>4564</v>
      </c>
      <c r="M430" s="66">
        <v>1003755.16</v>
      </c>
      <c r="O430" t="s">
        <v>4729</v>
      </c>
    </row>
    <row r="431" spans="1:15" x14ac:dyDescent="0.35">
      <c r="A431" s="2" t="s">
        <v>477</v>
      </c>
      <c r="B431" s="2" t="s">
        <v>790</v>
      </c>
      <c r="C431" t="s">
        <v>1196</v>
      </c>
      <c r="D431" t="s">
        <v>1208</v>
      </c>
      <c r="E431" t="s">
        <v>3732</v>
      </c>
      <c r="F431" s="181">
        <v>45985</v>
      </c>
      <c r="G431">
        <v>1865767</v>
      </c>
      <c r="H431" s="37">
        <f t="shared" si="31"/>
        <v>7</v>
      </c>
      <c r="I431" s="37" t="str">
        <f t="shared" si="30"/>
        <v>1-90 DAYS</v>
      </c>
      <c r="J431" s="37" t="str">
        <f t="shared" si="32"/>
        <v>0-180 DAYS</v>
      </c>
      <c r="K431" t="s">
        <v>1730</v>
      </c>
      <c r="L431" s="66" t="s">
        <v>4564</v>
      </c>
      <c r="M431" s="66">
        <v>1865767</v>
      </c>
      <c r="O431" t="s">
        <v>4729</v>
      </c>
    </row>
    <row r="432" spans="1:15" x14ac:dyDescent="0.35">
      <c r="A432" s="2" t="s">
        <v>477</v>
      </c>
      <c r="B432" s="2" t="s">
        <v>790</v>
      </c>
      <c r="C432" t="s">
        <v>1087</v>
      </c>
      <c r="D432" t="s">
        <v>1088</v>
      </c>
      <c r="E432" t="s">
        <v>3575</v>
      </c>
      <c r="F432" s="181">
        <v>45986</v>
      </c>
      <c r="G432">
        <v>82459.199999999997</v>
      </c>
      <c r="H432" s="37">
        <f t="shared" si="31"/>
        <v>6</v>
      </c>
      <c r="I432" s="37" t="str">
        <f t="shared" si="30"/>
        <v>1-90 DAYS</v>
      </c>
      <c r="J432" s="37" t="str">
        <f t="shared" si="32"/>
        <v>0-180 DAYS</v>
      </c>
      <c r="K432" t="s">
        <v>1730</v>
      </c>
      <c r="L432" s="66" t="s">
        <v>4565</v>
      </c>
      <c r="M432" s="66">
        <v>82459.199999999997</v>
      </c>
      <c r="O432" t="s">
        <v>4730</v>
      </c>
    </row>
    <row r="433" spans="1:15" x14ac:dyDescent="0.35">
      <c r="A433" s="2" t="s">
        <v>477</v>
      </c>
      <c r="B433" s="2" t="s">
        <v>790</v>
      </c>
      <c r="C433" t="s">
        <v>1087</v>
      </c>
      <c r="D433" t="s">
        <v>1088</v>
      </c>
      <c r="E433" t="s">
        <v>4496</v>
      </c>
      <c r="F433" s="181">
        <v>45986</v>
      </c>
      <c r="G433">
        <v>219530</v>
      </c>
      <c r="H433" s="37">
        <f t="shared" si="31"/>
        <v>6</v>
      </c>
      <c r="I433" s="37" t="str">
        <f t="shared" si="30"/>
        <v>1-90 DAYS</v>
      </c>
      <c r="J433" s="37" t="str">
        <f t="shared" si="32"/>
        <v>0-180 DAYS</v>
      </c>
      <c r="K433" t="s">
        <v>1730</v>
      </c>
      <c r="L433" s="66" t="s">
        <v>4565</v>
      </c>
      <c r="M433" s="66">
        <v>219530</v>
      </c>
      <c r="O433" t="s">
        <v>4730</v>
      </c>
    </row>
    <row r="434" spans="1:15" x14ac:dyDescent="0.35">
      <c r="A434" s="2" t="s">
        <v>1209</v>
      </c>
      <c r="B434" s="2" t="s">
        <v>789</v>
      </c>
      <c r="C434" t="s">
        <v>125</v>
      </c>
      <c r="D434" t="s">
        <v>57</v>
      </c>
      <c r="E434" t="s">
        <v>3573</v>
      </c>
      <c r="F434" s="181">
        <v>45986</v>
      </c>
      <c r="G434" s="162">
        <v>1179</v>
      </c>
      <c r="H434" s="37">
        <f t="shared" si="31"/>
        <v>6</v>
      </c>
      <c r="I434" s="37" t="str">
        <f t="shared" si="30"/>
        <v>1-90 DAYS</v>
      </c>
      <c r="J434" s="37" t="str">
        <f t="shared" si="32"/>
        <v>0-180 DAYS</v>
      </c>
      <c r="L434" s="66" t="s">
        <v>4565</v>
      </c>
      <c r="M434" s="66">
        <v>1179</v>
      </c>
      <c r="O434" t="s">
        <v>4730</v>
      </c>
    </row>
    <row r="435" spans="1:15" x14ac:dyDescent="0.35">
      <c r="A435" s="2" t="s">
        <v>1209</v>
      </c>
      <c r="B435" s="2" t="s">
        <v>789</v>
      </c>
      <c r="C435" t="s">
        <v>125</v>
      </c>
      <c r="D435" t="s">
        <v>57</v>
      </c>
      <c r="E435" t="s">
        <v>3554</v>
      </c>
      <c r="F435" s="181">
        <v>45986</v>
      </c>
      <c r="G435" s="162">
        <v>6904.08</v>
      </c>
      <c r="H435" s="37">
        <f t="shared" si="31"/>
        <v>6</v>
      </c>
      <c r="I435" s="37" t="str">
        <f t="shared" si="30"/>
        <v>1-90 DAYS</v>
      </c>
      <c r="J435" s="37" t="str">
        <f t="shared" si="32"/>
        <v>0-180 DAYS</v>
      </c>
      <c r="L435" s="66" t="s">
        <v>4565</v>
      </c>
      <c r="M435" s="66">
        <v>6904.08</v>
      </c>
      <c r="O435" t="s">
        <v>4730</v>
      </c>
    </row>
    <row r="436" spans="1:15" x14ac:dyDescent="0.35">
      <c r="A436" s="2" t="s">
        <v>1209</v>
      </c>
      <c r="B436" s="2" t="s">
        <v>789</v>
      </c>
      <c r="C436" t="s">
        <v>125</v>
      </c>
      <c r="D436" t="s">
        <v>57</v>
      </c>
      <c r="E436" t="s">
        <v>4497</v>
      </c>
      <c r="F436" s="181">
        <v>45986</v>
      </c>
      <c r="G436" s="162">
        <v>776820.75</v>
      </c>
      <c r="H436" s="37">
        <f t="shared" si="31"/>
        <v>6</v>
      </c>
      <c r="I436" s="37" t="str">
        <f t="shared" si="30"/>
        <v>1-90 DAYS</v>
      </c>
      <c r="J436" s="37" t="str">
        <f t="shared" si="32"/>
        <v>0-180 DAYS</v>
      </c>
      <c r="L436" s="66" t="s">
        <v>4565</v>
      </c>
      <c r="M436" s="66">
        <v>776820.75</v>
      </c>
      <c r="O436" t="s">
        <v>4730</v>
      </c>
    </row>
    <row r="437" spans="1:15" x14ac:dyDescent="0.35">
      <c r="A437" s="2" t="s">
        <v>477</v>
      </c>
      <c r="B437" s="2" t="s">
        <v>790</v>
      </c>
      <c r="C437" t="s">
        <v>4289</v>
      </c>
      <c r="D437" t="s">
        <v>4332</v>
      </c>
      <c r="E437" t="s">
        <v>4498</v>
      </c>
      <c r="F437" s="181">
        <v>45987</v>
      </c>
      <c r="G437">
        <v>472000</v>
      </c>
      <c r="H437" s="37">
        <f t="shared" si="31"/>
        <v>5</v>
      </c>
      <c r="I437" s="37" t="str">
        <f t="shared" si="30"/>
        <v>1-90 DAYS</v>
      </c>
      <c r="J437" s="37" t="str">
        <f t="shared" si="32"/>
        <v>0-180 DAYS</v>
      </c>
      <c r="K437" t="s">
        <v>1730</v>
      </c>
      <c r="L437" s="66" t="s">
        <v>4566</v>
      </c>
      <c r="M437" s="66">
        <v>472000</v>
      </c>
      <c r="O437" t="s">
        <v>4731</v>
      </c>
    </row>
    <row r="438" spans="1:15" x14ac:dyDescent="0.35">
      <c r="A438" s="2" t="s">
        <v>1209</v>
      </c>
      <c r="B438" s="2" t="s">
        <v>789</v>
      </c>
      <c r="C438" t="s">
        <v>125</v>
      </c>
      <c r="D438" t="s">
        <v>57</v>
      </c>
      <c r="E438" t="s">
        <v>4499</v>
      </c>
      <c r="F438" s="181">
        <v>45987</v>
      </c>
      <c r="G438" s="162">
        <v>2842.05</v>
      </c>
      <c r="H438" s="37">
        <f t="shared" si="31"/>
        <v>5</v>
      </c>
      <c r="I438" s="37" t="str">
        <f t="shared" si="30"/>
        <v>1-90 DAYS</v>
      </c>
      <c r="J438" s="37" t="str">
        <f t="shared" si="32"/>
        <v>0-180 DAYS</v>
      </c>
      <c r="L438" s="66" t="s">
        <v>4566</v>
      </c>
      <c r="M438" s="66">
        <v>2842.05</v>
      </c>
      <c r="O438" t="s">
        <v>4731</v>
      </c>
    </row>
    <row r="439" spans="1:15" x14ac:dyDescent="0.35">
      <c r="A439" s="2" t="s">
        <v>1209</v>
      </c>
      <c r="B439" s="2" t="s">
        <v>789</v>
      </c>
      <c r="C439" t="s">
        <v>125</v>
      </c>
      <c r="D439" t="s">
        <v>57</v>
      </c>
      <c r="E439" t="s">
        <v>4500</v>
      </c>
      <c r="F439" s="181">
        <v>45987</v>
      </c>
      <c r="G439" s="162">
        <v>346580.54</v>
      </c>
      <c r="H439" s="37">
        <f t="shared" si="31"/>
        <v>5</v>
      </c>
      <c r="I439" s="37" t="str">
        <f t="shared" si="30"/>
        <v>1-90 DAYS</v>
      </c>
      <c r="J439" s="37" t="str">
        <f t="shared" si="32"/>
        <v>0-180 DAYS</v>
      </c>
      <c r="L439" s="66" t="s">
        <v>4566</v>
      </c>
      <c r="M439" s="66">
        <v>346580.54</v>
      </c>
      <c r="O439" t="s">
        <v>4731</v>
      </c>
    </row>
    <row r="440" spans="1:15" x14ac:dyDescent="0.35">
      <c r="A440" s="2" t="s">
        <v>1209</v>
      </c>
      <c r="B440" s="2" t="s">
        <v>789</v>
      </c>
      <c r="C440" t="s">
        <v>125</v>
      </c>
      <c r="D440" t="s">
        <v>57</v>
      </c>
      <c r="E440" t="s">
        <v>4501</v>
      </c>
      <c r="F440" s="181">
        <v>45987</v>
      </c>
      <c r="G440" s="162">
        <v>8545.64</v>
      </c>
      <c r="H440" s="37">
        <f t="shared" si="31"/>
        <v>5</v>
      </c>
      <c r="I440" s="37" t="str">
        <f t="shared" si="30"/>
        <v>1-90 DAYS</v>
      </c>
      <c r="J440" s="37" t="str">
        <f t="shared" si="32"/>
        <v>0-180 DAYS</v>
      </c>
      <c r="L440" s="66" t="s">
        <v>4566</v>
      </c>
      <c r="M440" s="66">
        <v>8545.64</v>
      </c>
      <c r="O440" t="s">
        <v>4731</v>
      </c>
    </row>
    <row r="441" spans="1:15" x14ac:dyDescent="0.35">
      <c r="A441" s="2" t="s">
        <v>1209</v>
      </c>
      <c r="B441" s="2" t="s">
        <v>789</v>
      </c>
      <c r="C441" t="s">
        <v>125</v>
      </c>
      <c r="D441" t="s">
        <v>57</v>
      </c>
      <c r="E441" t="s">
        <v>4502</v>
      </c>
      <c r="F441" s="181">
        <v>45987</v>
      </c>
      <c r="G441" s="162">
        <v>665074.87</v>
      </c>
      <c r="H441" s="37">
        <f t="shared" si="31"/>
        <v>5</v>
      </c>
      <c r="I441" s="37" t="str">
        <f t="shared" si="30"/>
        <v>1-90 DAYS</v>
      </c>
      <c r="J441" s="37" t="str">
        <f t="shared" si="32"/>
        <v>0-180 DAYS</v>
      </c>
      <c r="L441" s="66" t="s">
        <v>4566</v>
      </c>
      <c r="M441" s="66">
        <v>665074.87</v>
      </c>
      <c r="O441" t="s">
        <v>4731</v>
      </c>
    </row>
    <row r="442" spans="1:15" x14ac:dyDescent="0.35">
      <c r="A442" s="2" t="s">
        <v>1209</v>
      </c>
      <c r="B442" s="2" t="s">
        <v>789</v>
      </c>
      <c r="C442" t="s">
        <v>125</v>
      </c>
      <c r="D442" t="s">
        <v>57</v>
      </c>
      <c r="E442" t="s">
        <v>4503</v>
      </c>
      <c r="F442" s="181">
        <v>45988</v>
      </c>
      <c r="G442" s="162">
        <v>565743</v>
      </c>
      <c r="H442" s="37">
        <f t="shared" si="31"/>
        <v>4</v>
      </c>
      <c r="I442" s="37" t="str">
        <f t="shared" si="30"/>
        <v>1-90 DAYS</v>
      </c>
      <c r="J442" s="37" t="str">
        <f t="shared" si="32"/>
        <v>0-180 DAYS</v>
      </c>
      <c r="L442" s="66" t="s">
        <v>4567</v>
      </c>
      <c r="M442" s="66">
        <v>565743</v>
      </c>
      <c r="O442" t="s">
        <v>4732</v>
      </c>
    </row>
    <row r="443" spans="1:15" x14ac:dyDescent="0.35">
      <c r="A443" s="2" t="s">
        <v>1209</v>
      </c>
      <c r="B443" s="2" t="s">
        <v>789</v>
      </c>
      <c r="C443" t="s">
        <v>125</v>
      </c>
      <c r="D443" t="s">
        <v>57</v>
      </c>
      <c r="E443" t="s">
        <v>3736</v>
      </c>
      <c r="F443" s="181">
        <v>45988</v>
      </c>
      <c r="G443" s="162">
        <v>6882.33</v>
      </c>
      <c r="H443" s="37">
        <f t="shared" si="31"/>
        <v>4</v>
      </c>
      <c r="I443" s="37" t="str">
        <f t="shared" si="30"/>
        <v>1-90 DAYS</v>
      </c>
      <c r="J443" s="37" t="str">
        <f t="shared" si="32"/>
        <v>0-180 DAYS</v>
      </c>
      <c r="L443" s="66" t="s">
        <v>4567</v>
      </c>
      <c r="M443" s="66">
        <v>6882.33</v>
      </c>
      <c r="O443" t="s">
        <v>4732</v>
      </c>
    </row>
    <row r="444" spans="1:15" x14ac:dyDescent="0.35">
      <c r="A444" s="2" t="s">
        <v>1209</v>
      </c>
      <c r="B444" s="2" t="s">
        <v>789</v>
      </c>
      <c r="C444" t="s">
        <v>125</v>
      </c>
      <c r="D444" t="s">
        <v>57</v>
      </c>
      <c r="E444" t="s">
        <v>3589</v>
      </c>
      <c r="F444" s="181">
        <v>45988</v>
      </c>
      <c r="G444" s="162">
        <v>5828.92</v>
      </c>
      <c r="H444" s="37">
        <f t="shared" si="31"/>
        <v>4</v>
      </c>
      <c r="I444" s="37" t="str">
        <f t="shared" si="30"/>
        <v>1-90 DAYS</v>
      </c>
      <c r="J444" s="37" t="str">
        <f t="shared" si="32"/>
        <v>0-180 DAYS</v>
      </c>
      <c r="L444" s="66" t="s">
        <v>4567</v>
      </c>
      <c r="M444" s="66">
        <v>5828.92</v>
      </c>
      <c r="O444" t="s">
        <v>4732</v>
      </c>
    </row>
    <row r="445" spans="1:15" x14ac:dyDescent="0.35">
      <c r="A445" s="2" t="s">
        <v>1209</v>
      </c>
      <c r="B445" s="2" t="s">
        <v>789</v>
      </c>
      <c r="C445" t="s">
        <v>125</v>
      </c>
      <c r="D445" t="s">
        <v>57</v>
      </c>
      <c r="E445" t="s">
        <v>4504</v>
      </c>
      <c r="F445" s="181">
        <v>45988</v>
      </c>
      <c r="G445" s="162">
        <v>573033.68999999994</v>
      </c>
      <c r="H445" s="37">
        <f t="shared" si="31"/>
        <v>4</v>
      </c>
      <c r="I445" s="37" t="str">
        <f t="shared" si="30"/>
        <v>1-90 DAYS</v>
      </c>
      <c r="J445" s="37" t="str">
        <f t="shared" si="32"/>
        <v>0-180 DAYS</v>
      </c>
      <c r="L445" s="66" t="s">
        <v>4567</v>
      </c>
      <c r="M445" s="66">
        <v>573033.68999999994</v>
      </c>
      <c r="O445" t="s">
        <v>4732</v>
      </c>
    </row>
    <row r="446" spans="1:15" x14ac:dyDescent="0.35">
      <c r="A446" s="2" t="s">
        <v>1209</v>
      </c>
      <c r="B446" s="2" t="s">
        <v>789</v>
      </c>
      <c r="C446" t="s">
        <v>125</v>
      </c>
      <c r="D446" t="s">
        <v>57</v>
      </c>
      <c r="E446" t="s">
        <v>3596</v>
      </c>
      <c r="F446" s="181">
        <v>45989</v>
      </c>
      <c r="G446" s="162">
        <v>4187.3599999999997</v>
      </c>
      <c r="H446" s="37">
        <f t="shared" si="31"/>
        <v>3</v>
      </c>
      <c r="I446" s="37" t="str">
        <f t="shared" si="30"/>
        <v>1-90 DAYS</v>
      </c>
      <c r="J446" s="37" t="str">
        <f t="shared" si="32"/>
        <v>0-180 DAYS</v>
      </c>
      <c r="L446" s="66" t="s">
        <v>4568</v>
      </c>
      <c r="M446" s="66">
        <v>4187.3599999999997</v>
      </c>
      <c r="O446" t="s">
        <v>4733</v>
      </c>
    </row>
    <row r="447" spans="1:15" x14ac:dyDescent="0.35">
      <c r="A447" s="2" t="s">
        <v>1209</v>
      </c>
      <c r="B447" s="2" t="s">
        <v>789</v>
      </c>
      <c r="C447" t="s">
        <v>125</v>
      </c>
      <c r="D447" t="s">
        <v>57</v>
      </c>
      <c r="E447" t="s">
        <v>4505</v>
      </c>
      <c r="F447" s="181">
        <v>45989</v>
      </c>
      <c r="G447" s="162">
        <v>641340.31999999995</v>
      </c>
      <c r="H447" s="37">
        <f t="shared" si="31"/>
        <v>3</v>
      </c>
      <c r="I447" s="37" t="str">
        <f t="shared" si="30"/>
        <v>1-90 DAYS</v>
      </c>
      <c r="J447" s="37" t="str">
        <f t="shared" si="32"/>
        <v>0-180 DAYS</v>
      </c>
      <c r="L447" s="66" t="s">
        <v>4568</v>
      </c>
      <c r="M447" s="66">
        <v>641340.31999999995</v>
      </c>
      <c r="O447" t="s">
        <v>4733</v>
      </c>
    </row>
    <row r="448" spans="1:15" x14ac:dyDescent="0.35">
      <c r="A448" s="2" t="s">
        <v>1209</v>
      </c>
      <c r="B448" s="2" t="s">
        <v>789</v>
      </c>
      <c r="C448" t="s">
        <v>125</v>
      </c>
      <c r="D448" t="s">
        <v>57</v>
      </c>
      <c r="E448" t="s">
        <v>4506</v>
      </c>
      <c r="F448" s="181">
        <v>45989</v>
      </c>
      <c r="G448" s="162">
        <v>4980.32</v>
      </c>
      <c r="H448" s="37">
        <f t="shared" si="31"/>
        <v>3</v>
      </c>
      <c r="I448" s="37" t="str">
        <f t="shared" si="30"/>
        <v>1-90 DAYS</v>
      </c>
      <c r="J448" s="37" t="str">
        <f t="shared" si="32"/>
        <v>0-180 DAYS</v>
      </c>
      <c r="L448" s="66" t="s">
        <v>4568</v>
      </c>
      <c r="M448" s="66">
        <v>4980.32</v>
      </c>
      <c r="O448" t="s">
        <v>4733</v>
      </c>
    </row>
    <row r="449" spans="1:15" x14ac:dyDescent="0.35">
      <c r="A449" s="2" t="s">
        <v>1209</v>
      </c>
      <c r="B449" s="2" t="s">
        <v>789</v>
      </c>
      <c r="C449" t="s">
        <v>125</v>
      </c>
      <c r="D449" t="s">
        <v>57</v>
      </c>
      <c r="E449" t="s">
        <v>3600</v>
      </c>
      <c r="F449" s="181">
        <v>45989</v>
      </c>
      <c r="G449" s="162">
        <v>371200.86</v>
      </c>
      <c r="H449" s="37">
        <f t="shared" si="31"/>
        <v>3</v>
      </c>
      <c r="I449" s="37" t="str">
        <f t="shared" si="30"/>
        <v>1-90 DAYS</v>
      </c>
      <c r="J449" s="37" t="str">
        <f t="shared" si="32"/>
        <v>0-180 DAYS</v>
      </c>
      <c r="L449" s="66" t="s">
        <v>4568</v>
      </c>
      <c r="M449" s="66">
        <v>371200.86</v>
      </c>
      <c r="O449" t="s">
        <v>4733</v>
      </c>
    </row>
    <row r="450" spans="1:15" x14ac:dyDescent="0.35">
      <c r="A450" s="2" t="s">
        <v>477</v>
      </c>
      <c r="B450" s="2" t="s">
        <v>790</v>
      </c>
      <c r="C450" t="s">
        <v>4461</v>
      </c>
      <c r="D450" t="s">
        <v>4540</v>
      </c>
      <c r="E450" t="s">
        <v>3595</v>
      </c>
      <c r="F450" s="181">
        <v>45989</v>
      </c>
      <c r="G450">
        <f>2424319-2422263</f>
        <v>2056</v>
      </c>
      <c r="H450" s="37">
        <f t="shared" si="31"/>
        <v>3</v>
      </c>
      <c r="I450" s="37" t="str">
        <f t="shared" si="30"/>
        <v>1-90 DAYS</v>
      </c>
      <c r="J450" s="37" t="str">
        <f t="shared" si="32"/>
        <v>0-180 DAYS</v>
      </c>
      <c r="K450" t="s">
        <v>1730</v>
      </c>
      <c r="L450" s="66" t="s">
        <v>4568</v>
      </c>
      <c r="M450" s="66">
        <v>2056</v>
      </c>
      <c r="O450" t="s">
        <v>4733</v>
      </c>
    </row>
    <row r="451" spans="1:15" x14ac:dyDescent="0.35">
      <c r="A451" s="2" t="s">
        <v>477</v>
      </c>
      <c r="B451" s="2" t="s">
        <v>790</v>
      </c>
      <c r="C451" t="s">
        <v>4462</v>
      </c>
      <c r="D451" t="s">
        <v>4541</v>
      </c>
      <c r="E451" t="s">
        <v>4507</v>
      </c>
      <c r="F451" s="181">
        <v>45990</v>
      </c>
      <c r="G451">
        <v>39468</v>
      </c>
      <c r="H451" s="37">
        <f t="shared" si="31"/>
        <v>2</v>
      </c>
      <c r="I451" s="37" t="str">
        <f t="shared" si="30"/>
        <v>1-90 DAYS</v>
      </c>
      <c r="J451" s="37" t="str">
        <f t="shared" si="32"/>
        <v>0-180 DAYS</v>
      </c>
      <c r="K451" t="s">
        <v>1730</v>
      </c>
      <c r="L451" s="66" t="s">
        <v>4569</v>
      </c>
      <c r="M451" s="66">
        <v>39468</v>
      </c>
      <c r="O451" t="s">
        <v>4734</v>
      </c>
    </row>
    <row r="452" spans="1:15" x14ac:dyDescent="0.35">
      <c r="A452" s="2" t="s">
        <v>1209</v>
      </c>
      <c r="B452" s="2" t="s">
        <v>789</v>
      </c>
      <c r="C452" t="s">
        <v>125</v>
      </c>
      <c r="D452" t="s">
        <v>57</v>
      </c>
      <c r="E452" t="s">
        <v>4508</v>
      </c>
      <c r="F452" s="181">
        <v>45990</v>
      </c>
      <c r="G452" s="162">
        <v>5998.84</v>
      </c>
      <c r="H452" s="37">
        <f t="shared" si="31"/>
        <v>2</v>
      </c>
      <c r="I452" s="37" t="str">
        <f t="shared" si="30"/>
        <v>1-90 DAYS</v>
      </c>
      <c r="J452" s="37" t="str">
        <f t="shared" si="32"/>
        <v>0-180 DAYS</v>
      </c>
      <c r="L452" s="66" t="s">
        <v>4569</v>
      </c>
      <c r="M452" s="66">
        <v>5998.84</v>
      </c>
      <c r="O452" t="s">
        <v>4734</v>
      </c>
    </row>
    <row r="453" spans="1:15" x14ac:dyDescent="0.35">
      <c r="A453" s="2" t="s">
        <v>1209</v>
      </c>
      <c r="B453" s="2" t="s">
        <v>789</v>
      </c>
      <c r="C453" t="s">
        <v>125</v>
      </c>
      <c r="D453" t="s">
        <v>57</v>
      </c>
      <c r="E453" t="s">
        <v>4509</v>
      </c>
      <c r="F453" s="181">
        <v>45990</v>
      </c>
      <c r="G453" s="162">
        <v>446442.28</v>
      </c>
      <c r="H453" s="37">
        <f t="shared" si="31"/>
        <v>2</v>
      </c>
      <c r="I453" s="37" t="str">
        <f t="shared" si="30"/>
        <v>1-90 DAYS</v>
      </c>
      <c r="J453" s="37" t="str">
        <f t="shared" si="32"/>
        <v>0-180 DAYS</v>
      </c>
      <c r="L453" s="66" t="s">
        <v>4569</v>
      </c>
      <c r="M453" s="66">
        <v>446442.28</v>
      </c>
      <c r="O453" t="s">
        <v>4734</v>
      </c>
    </row>
    <row r="454" spans="1:15" x14ac:dyDescent="0.35">
      <c r="A454" s="2" t="s">
        <v>477</v>
      </c>
      <c r="B454" s="2" t="s">
        <v>790</v>
      </c>
      <c r="C454" t="s">
        <v>4461</v>
      </c>
      <c r="D454" t="s">
        <v>4540</v>
      </c>
      <c r="E454" t="s">
        <v>4510</v>
      </c>
      <c r="F454" s="181">
        <v>45990</v>
      </c>
      <c r="G454">
        <v>2424319</v>
      </c>
      <c r="H454" s="37">
        <f t="shared" si="31"/>
        <v>2</v>
      </c>
      <c r="I454" s="37" t="str">
        <f t="shared" si="30"/>
        <v>1-90 DAYS</v>
      </c>
      <c r="J454" s="37" t="str">
        <f t="shared" si="32"/>
        <v>0-180 DAYS</v>
      </c>
      <c r="K454" t="s">
        <v>1730</v>
      </c>
      <c r="L454" s="66" t="s">
        <v>4569</v>
      </c>
      <c r="M454" s="66">
        <v>2424319</v>
      </c>
      <c r="O454" t="s">
        <v>4734</v>
      </c>
    </row>
    <row r="455" spans="1:15" x14ac:dyDescent="0.35">
      <c r="A455" s="2" t="s">
        <v>477</v>
      </c>
      <c r="B455" s="2" t="s">
        <v>790</v>
      </c>
      <c r="C455" t="s">
        <v>4463</v>
      </c>
      <c r="D455" t="s">
        <v>4542</v>
      </c>
      <c r="E455" t="s">
        <v>3612</v>
      </c>
      <c r="F455" s="181">
        <v>45991</v>
      </c>
      <c r="G455">
        <v>280073</v>
      </c>
      <c r="H455" s="37">
        <f t="shared" si="31"/>
        <v>1</v>
      </c>
      <c r="I455" s="37" t="str">
        <f t="shared" si="30"/>
        <v>1-90 DAYS</v>
      </c>
      <c r="J455" s="37" t="str">
        <f t="shared" si="32"/>
        <v>0-180 DAYS</v>
      </c>
      <c r="K455" t="s">
        <v>1730</v>
      </c>
      <c r="L455" s="66" t="s">
        <v>4570</v>
      </c>
      <c r="M455" s="66">
        <v>280073</v>
      </c>
      <c r="O455" t="s">
        <v>4577</v>
      </c>
    </row>
    <row r="456" spans="1:15" x14ac:dyDescent="0.35">
      <c r="A456" s="2" t="s">
        <v>1209</v>
      </c>
      <c r="B456" s="2" t="s">
        <v>789</v>
      </c>
      <c r="C456" t="s">
        <v>125</v>
      </c>
      <c r="D456" t="s">
        <v>57</v>
      </c>
      <c r="E456" t="s">
        <v>3605</v>
      </c>
      <c r="F456" s="181">
        <v>45991</v>
      </c>
      <c r="G456" s="162">
        <v>3508.68</v>
      </c>
      <c r="H456" s="37">
        <f t="shared" si="31"/>
        <v>1</v>
      </c>
      <c r="I456" s="37" t="str">
        <f t="shared" si="30"/>
        <v>1-90 DAYS</v>
      </c>
      <c r="J456" s="37" t="str">
        <f t="shared" si="32"/>
        <v>0-180 DAYS</v>
      </c>
      <c r="L456" s="66" t="s">
        <v>4570</v>
      </c>
      <c r="M456" s="66">
        <v>3508.68</v>
      </c>
      <c r="O456" t="s">
        <v>4577</v>
      </c>
    </row>
    <row r="457" spans="1:15" x14ac:dyDescent="0.35">
      <c r="A457" s="2" t="s">
        <v>1209</v>
      </c>
      <c r="B457" s="2" t="s">
        <v>789</v>
      </c>
      <c r="C457" t="s">
        <v>125</v>
      </c>
      <c r="D457" t="s">
        <v>57</v>
      </c>
      <c r="E457" t="s">
        <v>3609</v>
      </c>
      <c r="F457" s="181">
        <v>45991</v>
      </c>
      <c r="G457" s="162">
        <v>382731.04</v>
      </c>
      <c r="H457" s="37">
        <f t="shared" si="31"/>
        <v>1</v>
      </c>
      <c r="I457" s="37" t="str">
        <f t="shared" si="30"/>
        <v>1-90 DAYS</v>
      </c>
      <c r="J457" s="37" t="str">
        <f t="shared" si="32"/>
        <v>0-180 DAYS</v>
      </c>
      <c r="L457" s="66" t="s">
        <v>4570</v>
      </c>
      <c r="M457" s="66">
        <v>382731.04</v>
      </c>
      <c r="O457" t="s">
        <v>4577</v>
      </c>
    </row>
    <row r="458" spans="1:15" x14ac:dyDescent="0.35">
      <c r="A458" s="2" t="s">
        <v>1209</v>
      </c>
      <c r="B458" s="2" t="s">
        <v>789</v>
      </c>
      <c r="C458" t="s">
        <v>125</v>
      </c>
      <c r="D458" t="s">
        <v>57</v>
      </c>
      <c r="E458" t="s">
        <v>3740</v>
      </c>
      <c r="F458" s="181">
        <v>45991</v>
      </c>
      <c r="G458" s="162">
        <v>53888.82</v>
      </c>
      <c r="H458" s="37">
        <f t="shared" si="31"/>
        <v>1</v>
      </c>
      <c r="I458" s="37" t="str">
        <f t="shared" si="30"/>
        <v>1-90 DAYS</v>
      </c>
      <c r="J458" s="37" t="str">
        <f t="shared" si="32"/>
        <v>0-180 DAYS</v>
      </c>
      <c r="L458" s="66" t="s">
        <v>4570</v>
      </c>
      <c r="M458" s="66">
        <v>53888.82</v>
      </c>
      <c r="O458" t="s">
        <v>4577</v>
      </c>
    </row>
    <row r="459" spans="1:15" x14ac:dyDescent="0.35">
      <c r="A459" s="2" t="s">
        <v>1209</v>
      </c>
      <c r="B459" s="2" t="s">
        <v>789</v>
      </c>
      <c r="C459" t="s">
        <v>125</v>
      </c>
      <c r="D459" t="s">
        <v>57</v>
      </c>
      <c r="E459" t="s">
        <v>3611</v>
      </c>
      <c r="F459" s="181">
        <v>45991</v>
      </c>
      <c r="G459" s="162">
        <v>2830</v>
      </c>
      <c r="H459" s="37">
        <f t="shared" si="31"/>
        <v>1</v>
      </c>
      <c r="I459" s="37" t="str">
        <f t="shared" ref="I459:I487" si="33">IF(H459&lt;91,"1-90 DAYS",IF(H459&lt;121,"91-120DAYS",IF(H459&lt;181,"121-180 DAYS","More than 180 Days")))</f>
        <v>1-90 DAYS</v>
      </c>
      <c r="J459" s="37" t="str">
        <f t="shared" si="32"/>
        <v>0-180 DAYS</v>
      </c>
      <c r="L459" s="66" t="s">
        <v>4570</v>
      </c>
      <c r="M459" s="66">
        <v>2830</v>
      </c>
      <c r="O459" t="s">
        <v>4577</v>
      </c>
    </row>
    <row r="460" spans="1:15" x14ac:dyDescent="0.35">
      <c r="A460" s="2" t="s">
        <v>1209</v>
      </c>
      <c r="B460" s="2" t="s">
        <v>789</v>
      </c>
      <c r="C460" t="s">
        <v>125</v>
      </c>
      <c r="D460" t="s">
        <v>57</v>
      </c>
      <c r="E460" t="s">
        <v>4511</v>
      </c>
      <c r="F460" s="181">
        <v>45962</v>
      </c>
      <c r="G460" s="162">
        <v>797004</v>
      </c>
      <c r="H460" s="37">
        <f t="shared" ref="H460:H487" si="34">$H$9-F460+1</f>
        <v>30</v>
      </c>
      <c r="I460" s="37" t="str">
        <f t="shared" si="33"/>
        <v>1-90 DAYS</v>
      </c>
      <c r="J460" s="37" t="str">
        <f t="shared" si="32"/>
        <v>0-180 DAYS</v>
      </c>
      <c r="L460" s="66" t="s">
        <v>4547</v>
      </c>
      <c r="M460" s="66">
        <v>797004</v>
      </c>
      <c r="O460" t="s">
        <v>4712</v>
      </c>
    </row>
    <row r="461" spans="1:15" x14ac:dyDescent="0.35">
      <c r="A461" s="2" t="s">
        <v>1209</v>
      </c>
      <c r="B461" s="2" t="s">
        <v>789</v>
      </c>
      <c r="C461" t="s">
        <v>125</v>
      </c>
      <c r="D461" t="s">
        <v>57</v>
      </c>
      <c r="E461" t="s">
        <v>4512</v>
      </c>
      <c r="F461" s="181">
        <v>45963</v>
      </c>
      <c r="G461" s="162">
        <v>3844856.54</v>
      </c>
      <c r="H461" s="37">
        <f t="shared" si="34"/>
        <v>29</v>
      </c>
      <c r="I461" s="37" t="str">
        <f t="shared" si="33"/>
        <v>1-90 DAYS</v>
      </c>
      <c r="J461" s="37" t="str">
        <f t="shared" si="32"/>
        <v>0-180 DAYS</v>
      </c>
      <c r="L461" s="66" t="s">
        <v>4575</v>
      </c>
      <c r="M461" s="66">
        <v>3844856.54</v>
      </c>
      <c r="O461" t="s">
        <v>4739</v>
      </c>
    </row>
    <row r="462" spans="1:15" x14ac:dyDescent="0.35">
      <c r="A462" s="2" t="s">
        <v>1209</v>
      </c>
      <c r="B462" s="2" t="s">
        <v>789</v>
      </c>
      <c r="C462" t="s">
        <v>125</v>
      </c>
      <c r="D462" t="s">
        <v>57</v>
      </c>
      <c r="E462" t="s">
        <v>4513</v>
      </c>
      <c r="F462" s="181">
        <v>45963</v>
      </c>
      <c r="G462" s="162">
        <v>878113.67</v>
      </c>
      <c r="H462" s="37">
        <f t="shared" si="34"/>
        <v>29</v>
      </c>
      <c r="I462" s="37" t="str">
        <f t="shared" si="33"/>
        <v>1-90 DAYS</v>
      </c>
      <c r="J462" s="37" t="str">
        <f t="shared" ref="J462:J487" si="35">IF(H462&lt;180,"0-180 DAYS","More than 180 Days")</f>
        <v>0-180 DAYS</v>
      </c>
      <c r="L462" s="66" t="s">
        <v>4575</v>
      </c>
      <c r="M462" s="66">
        <v>878113.67</v>
      </c>
      <c r="O462" t="s">
        <v>4739</v>
      </c>
    </row>
    <row r="463" spans="1:15" x14ac:dyDescent="0.35">
      <c r="A463" s="2" t="s">
        <v>1209</v>
      </c>
      <c r="B463" s="2" t="s">
        <v>789</v>
      </c>
      <c r="C463" t="s">
        <v>125</v>
      </c>
      <c r="D463" t="s">
        <v>57</v>
      </c>
      <c r="E463" t="s">
        <v>4514</v>
      </c>
      <c r="F463" s="181">
        <v>45963</v>
      </c>
      <c r="G463" s="162">
        <v>8771.76</v>
      </c>
      <c r="H463" s="37">
        <f t="shared" si="34"/>
        <v>29</v>
      </c>
      <c r="I463" s="37" t="str">
        <f t="shared" si="33"/>
        <v>1-90 DAYS</v>
      </c>
      <c r="J463" s="37" t="str">
        <f t="shared" si="35"/>
        <v>0-180 DAYS</v>
      </c>
      <c r="L463" s="66" t="s">
        <v>4575</v>
      </c>
      <c r="M463" s="66">
        <v>8771.76</v>
      </c>
      <c r="O463" t="s">
        <v>4739</v>
      </c>
    </row>
    <row r="464" spans="1:15" x14ac:dyDescent="0.35">
      <c r="A464" s="2" t="s">
        <v>1209</v>
      </c>
      <c r="B464" s="2" t="s">
        <v>789</v>
      </c>
      <c r="C464" t="s">
        <v>125</v>
      </c>
      <c r="D464" t="s">
        <v>57</v>
      </c>
      <c r="E464" t="s">
        <v>4515</v>
      </c>
      <c r="F464" s="181">
        <v>45964</v>
      </c>
      <c r="G464" s="162">
        <v>1061.0999999999999</v>
      </c>
      <c r="H464" s="37">
        <f t="shared" si="34"/>
        <v>28</v>
      </c>
      <c r="I464" s="37" t="str">
        <f t="shared" si="33"/>
        <v>1-90 DAYS</v>
      </c>
      <c r="J464" s="37" t="str">
        <f t="shared" si="35"/>
        <v>0-180 DAYS</v>
      </c>
      <c r="L464" s="66" t="s">
        <v>4548</v>
      </c>
      <c r="M464" s="66">
        <v>1061.0999999999999</v>
      </c>
      <c r="O464" t="s">
        <v>4713</v>
      </c>
    </row>
    <row r="465" spans="1:15" x14ac:dyDescent="0.35">
      <c r="A465" s="2" t="s">
        <v>1209</v>
      </c>
      <c r="B465" s="2" t="s">
        <v>789</v>
      </c>
      <c r="C465" t="s">
        <v>125</v>
      </c>
      <c r="D465" t="s">
        <v>57</v>
      </c>
      <c r="E465" t="s">
        <v>4516</v>
      </c>
      <c r="F465" s="181">
        <v>45964</v>
      </c>
      <c r="G465" s="162">
        <v>3418052.06</v>
      </c>
      <c r="H465" s="37">
        <f t="shared" si="34"/>
        <v>28</v>
      </c>
      <c r="I465" s="37" t="str">
        <f t="shared" si="33"/>
        <v>1-90 DAYS</v>
      </c>
      <c r="J465" s="37" t="str">
        <f t="shared" si="35"/>
        <v>0-180 DAYS</v>
      </c>
      <c r="L465" s="66" t="s">
        <v>4548</v>
      </c>
      <c r="M465" s="66">
        <v>3418052.06</v>
      </c>
      <c r="O465" t="s">
        <v>4713</v>
      </c>
    </row>
    <row r="466" spans="1:15" x14ac:dyDescent="0.35">
      <c r="A466" s="2" t="s">
        <v>1209</v>
      </c>
      <c r="B466" s="2" t="s">
        <v>789</v>
      </c>
      <c r="C466" t="s">
        <v>125</v>
      </c>
      <c r="D466" t="s">
        <v>57</v>
      </c>
      <c r="E466" t="s">
        <v>4517</v>
      </c>
      <c r="F466" s="181">
        <v>45965</v>
      </c>
      <c r="G466" s="162">
        <v>34267.339999999997</v>
      </c>
      <c r="H466" s="37">
        <f t="shared" si="34"/>
        <v>27</v>
      </c>
      <c r="I466" s="37" t="str">
        <f t="shared" si="33"/>
        <v>1-90 DAYS</v>
      </c>
      <c r="J466" s="37" t="str">
        <f t="shared" si="35"/>
        <v>0-180 DAYS</v>
      </c>
      <c r="L466" s="66" t="s">
        <v>4549</v>
      </c>
      <c r="M466" s="66">
        <v>34267.339999999997</v>
      </c>
      <c r="O466" t="s">
        <v>4714</v>
      </c>
    </row>
    <row r="467" spans="1:15" x14ac:dyDescent="0.35">
      <c r="A467" s="2" t="s">
        <v>1209</v>
      </c>
      <c r="B467" s="2" t="s">
        <v>789</v>
      </c>
      <c r="C467" t="s">
        <v>125</v>
      </c>
      <c r="D467" t="s">
        <v>57</v>
      </c>
      <c r="E467" t="s">
        <v>4518</v>
      </c>
      <c r="F467" s="181">
        <v>45967</v>
      </c>
      <c r="G467" s="162">
        <v>3866495.25</v>
      </c>
      <c r="H467" s="37">
        <f t="shared" si="34"/>
        <v>25</v>
      </c>
      <c r="I467" s="37" t="str">
        <f t="shared" si="33"/>
        <v>1-90 DAYS</v>
      </c>
      <c r="J467" s="37" t="str">
        <f t="shared" si="35"/>
        <v>0-180 DAYS</v>
      </c>
      <c r="L467" s="66" t="s">
        <v>4550</v>
      </c>
      <c r="M467" s="66">
        <v>3866495.25</v>
      </c>
      <c r="O467" t="s">
        <v>4715</v>
      </c>
    </row>
    <row r="468" spans="1:15" x14ac:dyDescent="0.35">
      <c r="A468" s="2" t="s">
        <v>1209</v>
      </c>
      <c r="B468" s="2" t="s">
        <v>789</v>
      </c>
      <c r="C468" t="s">
        <v>125</v>
      </c>
      <c r="D468" t="s">
        <v>57</v>
      </c>
      <c r="E468" t="s">
        <v>4519</v>
      </c>
      <c r="F468" s="181">
        <v>45968</v>
      </c>
      <c r="G468" s="162">
        <v>1360829.87</v>
      </c>
      <c r="H468" s="37">
        <f t="shared" si="34"/>
        <v>24</v>
      </c>
      <c r="I468" s="37" t="str">
        <f t="shared" si="33"/>
        <v>1-90 DAYS</v>
      </c>
      <c r="J468" s="37" t="str">
        <f t="shared" si="35"/>
        <v>0-180 DAYS</v>
      </c>
      <c r="L468" s="66" t="s">
        <v>4551</v>
      </c>
      <c r="M468" s="66">
        <v>1360829.87</v>
      </c>
      <c r="O468" t="s">
        <v>4716</v>
      </c>
    </row>
    <row r="469" spans="1:15" x14ac:dyDescent="0.35">
      <c r="A469" s="2" t="s">
        <v>1209</v>
      </c>
      <c r="B469" s="2" t="s">
        <v>789</v>
      </c>
      <c r="C469" t="s">
        <v>125</v>
      </c>
      <c r="D469" t="s">
        <v>57</v>
      </c>
      <c r="E469" t="s">
        <v>4520</v>
      </c>
      <c r="F469" s="181">
        <v>45968</v>
      </c>
      <c r="G469" s="162">
        <v>4414.18</v>
      </c>
      <c r="H469" s="37">
        <f t="shared" si="34"/>
        <v>24</v>
      </c>
      <c r="I469" s="37" t="str">
        <f t="shared" si="33"/>
        <v>1-90 DAYS</v>
      </c>
      <c r="J469" s="37" t="str">
        <f t="shared" si="35"/>
        <v>0-180 DAYS</v>
      </c>
      <c r="L469" s="66" t="s">
        <v>4551</v>
      </c>
      <c r="M469" s="66">
        <v>4414.18</v>
      </c>
      <c r="O469" t="s">
        <v>4716</v>
      </c>
    </row>
    <row r="470" spans="1:15" x14ac:dyDescent="0.35">
      <c r="A470" s="2" t="s">
        <v>1209</v>
      </c>
      <c r="B470" s="2" t="s">
        <v>789</v>
      </c>
      <c r="C470" t="s">
        <v>125</v>
      </c>
      <c r="D470" t="s">
        <v>57</v>
      </c>
      <c r="E470" t="s">
        <v>4521</v>
      </c>
      <c r="F470" s="181">
        <v>45971</v>
      </c>
      <c r="G470" s="162">
        <v>3899071.69</v>
      </c>
      <c r="H470" s="37">
        <f t="shared" si="34"/>
        <v>21</v>
      </c>
      <c r="I470" s="37" t="str">
        <f t="shared" si="33"/>
        <v>1-90 DAYS</v>
      </c>
      <c r="J470" s="37" t="str">
        <f t="shared" si="35"/>
        <v>0-180 DAYS</v>
      </c>
      <c r="L470" s="66" t="s">
        <v>4571</v>
      </c>
      <c r="M470" s="66">
        <v>3899071.69</v>
      </c>
      <c r="O470" t="s">
        <v>4735</v>
      </c>
    </row>
    <row r="471" spans="1:15" x14ac:dyDescent="0.35">
      <c r="A471" s="2" t="s">
        <v>477</v>
      </c>
      <c r="B471" s="2" t="s">
        <v>790</v>
      </c>
      <c r="C471" t="s">
        <v>1497</v>
      </c>
      <c r="D471" t="s">
        <v>1500</v>
      </c>
      <c r="E471" t="s">
        <v>4522</v>
      </c>
      <c r="F471" s="181">
        <v>45972</v>
      </c>
      <c r="G471">
        <v>856732.41</v>
      </c>
      <c r="H471" s="37">
        <f t="shared" si="34"/>
        <v>20</v>
      </c>
      <c r="I471" s="37" t="str">
        <f t="shared" si="33"/>
        <v>1-90 DAYS</v>
      </c>
      <c r="J471" s="37" t="str">
        <f t="shared" si="35"/>
        <v>0-180 DAYS</v>
      </c>
      <c r="K471" t="s">
        <v>1730</v>
      </c>
      <c r="L471" s="66" t="s">
        <v>4554</v>
      </c>
      <c r="M471" s="66">
        <v>856732.41</v>
      </c>
      <c r="O471" t="s">
        <v>4719</v>
      </c>
    </row>
    <row r="472" spans="1:15" x14ac:dyDescent="0.35">
      <c r="A472" s="2" t="s">
        <v>1209</v>
      </c>
      <c r="B472" s="2" t="s">
        <v>789</v>
      </c>
      <c r="C472" t="s">
        <v>125</v>
      </c>
      <c r="D472" t="s">
        <v>57</v>
      </c>
      <c r="E472" t="s">
        <v>4523</v>
      </c>
      <c r="F472" s="181">
        <v>45975</v>
      </c>
      <c r="G472" s="162">
        <v>909591.07</v>
      </c>
      <c r="H472" s="37">
        <f t="shared" si="34"/>
        <v>17</v>
      </c>
      <c r="I472" s="37" t="str">
        <f t="shared" si="33"/>
        <v>1-90 DAYS</v>
      </c>
      <c r="J472" s="37" t="str">
        <f t="shared" si="35"/>
        <v>0-180 DAYS</v>
      </c>
      <c r="L472" s="66" t="s">
        <v>4556</v>
      </c>
      <c r="M472" s="66">
        <v>909591.07</v>
      </c>
      <c r="O472" t="s">
        <v>4721</v>
      </c>
    </row>
    <row r="473" spans="1:15" x14ac:dyDescent="0.35">
      <c r="A473" s="2" t="s">
        <v>1209</v>
      </c>
      <c r="B473" s="2" t="s">
        <v>789</v>
      </c>
      <c r="C473" t="s">
        <v>125</v>
      </c>
      <c r="D473" t="s">
        <v>57</v>
      </c>
      <c r="E473" t="s">
        <v>4524</v>
      </c>
      <c r="F473" s="181">
        <v>45975</v>
      </c>
      <c r="G473" s="162">
        <v>6621.26</v>
      </c>
      <c r="H473" s="37">
        <f t="shared" si="34"/>
        <v>17</v>
      </c>
      <c r="I473" s="37" t="str">
        <f t="shared" si="33"/>
        <v>1-90 DAYS</v>
      </c>
      <c r="J473" s="37" t="str">
        <f t="shared" si="35"/>
        <v>0-180 DAYS</v>
      </c>
      <c r="L473" s="66" t="s">
        <v>4556</v>
      </c>
      <c r="M473" s="66">
        <v>6621.26</v>
      </c>
      <c r="O473" t="s">
        <v>4721</v>
      </c>
    </row>
    <row r="474" spans="1:15" x14ac:dyDescent="0.35">
      <c r="A474" s="2" t="s">
        <v>1209</v>
      </c>
      <c r="B474" s="2" t="s">
        <v>789</v>
      </c>
      <c r="C474" t="s">
        <v>125</v>
      </c>
      <c r="D474" t="s">
        <v>57</v>
      </c>
      <c r="E474" t="s">
        <v>4525</v>
      </c>
      <c r="F474" s="181">
        <v>45976</v>
      </c>
      <c r="G474" s="162">
        <v>3766289.48</v>
      </c>
      <c r="H474" s="37">
        <f t="shared" si="34"/>
        <v>16</v>
      </c>
      <c r="I474" s="37" t="str">
        <f t="shared" si="33"/>
        <v>1-90 DAYS</v>
      </c>
      <c r="J474" s="37" t="str">
        <f t="shared" si="35"/>
        <v>0-180 DAYS</v>
      </c>
      <c r="L474" s="66" t="s">
        <v>4557</v>
      </c>
      <c r="M474" s="66">
        <v>3766289.48</v>
      </c>
      <c r="O474" t="s">
        <v>4722</v>
      </c>
    </row>
    <row r="475" spans="1:15" x14ac:dyDescent="0.35">
      <c r="A475" s="2" t="s">
        <v>477</v>
      </c>
      <c r="B475" s="2" t="s">
        <v>790</v>
      </c>
      <c r="C475" t="s">
        <v>4464</v>
      </c>
      <c r="D475" t="s">
        <v>4543</v>
      </c>
      <c r="E475" t="s">
        <v>4526</v>
      </c>
      <c r="F475" s="181">
        <v>45977</v>
      </c>
      <c r="G475">
        <v>201190</v>
      </c>
      <c r="H475" s="37">
        <f t="shared" si="34"/>
        <v>15</v>
      </c>
      <c r="I475" s="37" t="str">
        <f t="shared" si="33"/>
        <v>1-90 DAYS</v>
      </c>
      <c r="J475" s="37" t="str">
        <f t="shared" si="35"/>
        <v>0-180 DAYS</v>
      </c>
      <c r="K475" t="s">
        <v>1730</v>
      </c>
      <c r="L475" s="66" t="s">
        <v>4572</v>
      </c>
      <c r="M475" s="66">
        <v>201190</v>
      </c>
      <c r="O475" t="s">
        <v>4736</v>
      </c>
    </row>
    <row r="476" spans="1:15" x14ac:dyDescent="0.35">
      <c r="A476" s="2" t="s">
        <v>477</v>
      </c>
      <c r="B476" s="2" t="s">
        <v>790</v>
      </c>
      <c r="C476" t="s">
        <v>2527</v>
      </c>
      <c r="D476" t="s">
        <v>2529</v>
      </c>
      <c r="E476" t="s">
        <v>4527</v>
      </c>
      <c r="F476" s="181">
        <v>45978</v>
      </c>
      <c r="G476">
        <v>44359.5</v>
      </c>
      <c r="H476" s="37">
        <f t="shared" si="34"/>
        <v>14</v>
      </c>
      <c r="I476" s="37" t="str">
        <f t="shared" si="33"/>
        <v>1-90 DAYS</v>
      </c>
      <c r="J476" s="37" t="str">
        <f t="shared" si="35"/>
        <v>0-180 DAYS</v>
      </c>
      <c r="K476" t="s">
        <v>1730</v>
      </c>
      <c r="L476" s="66" t="s">
        <v>4558</v>
      </c>
      <c r="M476" s="66">
        <v>44359.5</v>
      </c>
      <c r="O476" t="s">
        <v>4723</v>
      </c>
    </row>
    <row r="477" spans="1:15" x14ac:dyDescent="0.35">
      <c r="A477" s="2" t="s">
        <v>1209</v>
      </c>
      <c r="B477" s="2" t="s">
        <v>789</v>
      </c>
      <c r="C477" t="s">
        <v>125</v>
      </c>
      <c r="D477" t="s">
        <v>57</v>
      </c>
      <c r="E477" t="s">
        <v>4528</v>
      </c>
      <c r="F477" s="181">
        <v>45979</v>
      </c>
      <c r="G477" s="162">
        <v>728255.71</v>
      </c>
      <c r="H477" s="37">
        <f t="shared" si="34"/>
        <v>13</v>
      </c>
      <c r="I477" s="37" t="str">
        <f t="shared" si="33"/>
        <v>1-90 DAYS</v>
      </c>
      <c r="J477" s="37" t="str">
        <f t="shared" si="35"/>
        <v>0-180 DAYS</v>
      </c>
      <c r="L477" s="66" t="s">
        <v>4559</v>
      </c>
      <c r="M477" s="66">
        <v>728255.71</v>
      </c>
      <c r="O477" t="s">
        <v>4724</v>
      </c>
    </row>
    <row r="478" spans="1:15" x14ac:dyDescent="0.35">
      <c r="A478" s="2" t="s">
        <v>1209</v>
      </c>
      <c r="B478" s="2" t="s">
        <v>789</v>
      </c>
      <c r="C478" t="s">
        <v>125</v>
      </c>
      <c r="D478" t="s">
        <v>57</v>
      </c>
      <c r="E478" t="s">
        <v>4529</v>
      </c>
      <c r="F478" s="181">
        <v>45979</v>
      </c>
      <c r="G478" s="162">
        <v>6281.71</v>
      </c>
      <c r="H478" s="37">
        <f t="shared" si="34"/>
        <v>13</v>
      </c>
      <c r="I478" s="37" t="str">
        <f t="shared" si="33"/>
        <v>1-90 DAYS</v>
      </c>
      <c r="J478" s="37" t="str">
        <f t="shared" si="35"/>
        <v>0-180 DAYS</v>
      </c>
      <c r="L478" s="66" t="s">
        <v>4559</v>
      </c>
      <c r="M478" s="66">
        <v>6281.71</v>
      </c>
      <c r="O478" t="s">
        <v>4724</v>
      </c>
    </row>
    <row r="479" spans="1:15" x14ac:dyDescent="0.35">
      <c r="A479" s="2" t="s">
        <v>1209</v>
      </c>
      <c r="B479" s="2" t="s">
        <v>789</v>
      </c>
      <c r="C479" t="s">
        <v>125</v>
      </c>
      <c r="D479" t="s">
        <v>57</v>
      </c>
      <c r="E479" t="s">
        <v>4530</v>
      </c>
      <c r="F479" s="181">
        <v>45980</v>
      </c>
      <c r="G479" s="162">
        <v>1258.8</v>
      </c>
      <c r="H479" s="37">
        <f t="shared" si="34"/>
        <v>12</v>
      </c>
      <c r="I479" s="37" t="str">
        <f t="shared" si="33"/>
        <v>1-90 DAYS</v>
      </c>
      <c r="J479" s="37" t="str">
        <f t="shared" si="35"/>
        <v>0-180 DAYS</v>
      </c>
      <c r="L479" s="66" t="s">
        <v>4560</v>
      </c>
      <c r="M479" s="66">
        <v>1258.8</v>
      </c>
      <c r="O479" t="s">
        <v>4725</v>
      </c>
    </row>
    <row r="480" spans="1:15" x14ac:dyDescent="0.35">
      <c r="A480" s="2" t="s">
        <v>477</v>
      </c>
      <c r="B480" s="2" t="s">
        <v>790</v>
      </c>
      <c r="C480" t="s">
        <v>1840</v>
      </c>
      <c r="D480" t="s">
        <v>2003</v>
      </c>
      <c r="E480" t="s">
        <v>4531</v>
      </c>
      <c r="F480" s="181">
        <v>45982</v>
      </c>
      <c r="G480">
        <v>503435.2</v>
      </c>
      <c r="H480" s="37">
        <f t="shared" si="34"/>
        <v>10</v>
      </c>
      <c r="I480" s="37" t="str">
        <f t="shared" si="33"/>
        <v>1-90 DAYS</v>
      </c>
      <c r="J480" s="37" t="str">
        <f t="shared" si="35"/>
        <v>0-180 DAYS</v>
      </c>
      <c r="K480" t="s">
        <v>1730</v>
      </c>
      <c r="L480" s="66" t="s">
        <v>4562</v>
      </c>
      <c r="M480" s="66">
        <v>503435.2</v>
      </c>
      <c r="O480" t="s">
        <v>4727</v>
      </c>
    </row>
    <row r="481" spans="1:15" x14ac:dyDescent="0.35">
      <c r="A481" s="2" t="s">
        <v>1209</v>
      </c>
      <c r="B481" s="2" t="s">
        <v>789</v>
      </c>
      <c r="C481" t="s">
        <v>125</v>
      </c>
      <c r="D481" t="s">
        <v>57</v>
      </c>
      <c r="E481" t="s">
        <v>4532</v>
      </c>
      <c r="F481" s="181">
        <v>45985</v>
      </c>
      <c r="G481" s="162">
        <v>7788.24</v>
      </c>
      <c r="H481" s="37">
        <f t="shared" si="34"/>
        <v>7</v>
      </c>
      <c r="I481" s="37" t="str">
        <f t="shared" si="33"/>
        <v>1-90 DAYS</v>
      </c>
      <c r="J481" s="37" t="str">
        <f t="shared" si="35"/>
        <v>0-180 DAYS</v>
      </c>
      <c r="L481" s="66" t="s">
        <v>4564</v>
      </c>
      <c r="M481" s="66">
        <v>7788.24</v>
      </c>
      <c r="O481" t="s">
        <v>4729</v>
      </c>
    </row>
    <row r="482" spans="1:15" x14ac:dyDescent="0.35">
      <c r="A482" s="2" t="s">
        <v>1209</v>
      </c>
      <c r="B482" s="2" t="s">
        <v>789</v>
      </c>
      <c r="C482" t="s">
        <v>125</v>
      </c>
      <c r="D482" t="s">
        <v>57</v>
      </c>
      <c r="E482" t="s">
        <v>4533</v>
      </c>
      <c r="F482" s="181">
        <v>45985</v>
      </c>
      <c r="G482" s="162">
        <v>712143.77</v>
      </c>
      <c r="H482" s="37">
        <f t="shared" si="34"/>
        <v>7</v>
      </c>
      <c r="I482" s="37" t="str">
        <f t="shared" si="33"/>
        <v>1-90 DAYS</v>
      </c>
      <c r="J482" s="37" t="str">
        <f t="shared" si="35"/>
        <v>0-180 DAYS</v>
      </c>
      <c r="L482" s="66" t="s">
        <v>4564</v>
      </c>
      <c r="M482" s="66">
        <v>712143.77</v>
      </c>
      <c r="O482" t="s">
        <v>4729</v>
      </c>
    </row>
    <row r="483" spans="1:15" x14ac:dyDescent="0.35">
      <c r="A483" s="2" t="s">
        <v>1209</v>
      </c>
      <c r="B483" s="2" t="s">
        <v>789</v>
      </c>
      <c r="C483" t="s">
        <v>125</v>
      </c>
      <c r="D483" t="s">
        <v>57</v>
      </c>
      <c r="E483" t="s">
        <v>4534</v>
      </c>
      <c r="F483" s="181">
        <v>45985</v>
      </c>
      <c r="G483" s="162">
        <v>5036.6899999999996</v>
      </c>
      <c r="H483" s="37">
        <f t="shared" si="34"/>
        <v>7</v>
      </c>
      <c r="I483" s="37" t="str">
        <f t="shared" si="33"/>
        <v>1-90 DAYS</v>
      </c>
      <c r="J483" s="37" t="str">
        <f t="shared" si="35"/>
        <v>0-180 DAYS</v>
      </c>
      <c r="L483" s="66" t="s">
        <v>4564</v>
      </c>
      <c r="M483" s="66">
        <v>5036.6899999999996</v>
      </c>
      <c r="O483" t="s">
        <v>4729</v>
      </c>
    </row>
    <row r="484" spans="1:15" x14ac:dyDescent="0.35">
      <c r="A484" s="2" t="s">
        <v>1209</v>
      </c>
      <c r="B484" s="2" t="s">
        <v>789</v>
      </c>
      <c r="C484" t="s">
        <v>125</v>
      </c>
      <c r="D484" t="s">
        <v>57</v>
      </c>
      <c r="E484" t="s">
        <v>4535</v>
      </c>
      <c r="F484" s="181">
        <v>45987</v>
      </c>
      <c r="G484" s="162">
        <v>759429.37</v>
      </c>
      <c r="H484" s="37">
        <f t="shared" si="34"/>
        <v>5</v>
      </c>
      <c r="I484" s="37" t="str">
        <f t="shared" si="33"/>
        <v>1-90 DAYS</v>
      </c>
      <c r="J484" s="37" t="str">
        <f t="shared" si="35"/>
        <v>0-180 DAYS</v>
      </c>
      <c r="L484" s="66" t="s">
        <v>4566</v>
      </c>
      <c r="M484" s="66">
        <v>759429.37</v>
      </c>
      <c r="O484" t="s">
        <v>4731</v>
      </c>
    </row>
    <row r="485" spans="1:15" x14ac:dyDescent="0.35">
      <c r="A485" s="2" t="s">
        <v>1209</v>
      </c>
      <c r="B485" s="2" t="s">
        <v>789</v>
      </c>
      <c r="C485" t="s">
        <v>125</v>
      </c>
      <c r="D485" t="s">
        <v>57</v>
      </c>
      <c r="E485" t="s">
        <v>28</v>
      </c>
      <c r="F485" s="181">
        <v>45987</v>
      </c>
      <c r="G485" s="162">
        <v>3225.74</v>
      </c>
      <c r="H485" s="37">
        <f t="shared" si="34"/>
        <v>5</v>
      </c>
      <c r="I485" s="37" t="str">
        <f t="shared" si="33"/>
        <v>1-90 DAYS</v>
      </c>
      <c r="J485" s="37" t="str">
        <f t="shared" si="35"/>
        <v>0-180 DAYS</v>
      </c>
      <c r="L485" s="66" t="s">
        <v>4566</v>
      </c>
      <c r="M485" s="66">
        <v>3225.74</v>
      </c>
      <c r="O485" t="s">
        <v>4731</v>
      </c>
    </row>
    <row r="486" spans="1:15" x14ac:dyDescent="0.35">
      <c r="A486" s="2" t="s">
        <v>1209</v>
      </c>
      <c r="B486" s="2" t="s">
        <v>789</v>
      </c>
      <c r="C486" t="s">
        <v>125</v>
      </c>
      <c r="D486" t="s">
        <v>57</v>
      </c>
      <c r="E486" t="s">
        <v>4536</v>
      </c>
      <c r="F486" s="181">
        <v>45988</v>
      </c>
      <c r="G486" s="162">
        <v>4201289.3499999996</v>
      </c>
      <c r="H486" s="37">
        <f t="shared" si="34"/>
        <v>4</v>
      </c>
      <c r="I486" s="37" t="str">
        <f t="shared" si="33"/>
        <v>1-90 DAYS</v>
      </c>
      <c r="J486" s="37" t="str">
        <f t="shared" si="35"/>
        <v>0-180 DAYS</v>
      </c>
      <c r="L486" s="66" t="s">
        <v>4567</v>
      </c>
      <c r="M486" s="66">
        <v>4201289.3499999996</v>
      </c>
      <c r="O486" t="s">
        <v>4732</v>
      </c>
    </row>
    <row r="487" spans="1:15" x14ac:dyDescent="0.35">
      <c r="A487" s="2" t="s">
        <v>1209</v>
      </c>
      <c r="B487" s="2" t="s">
        <v>789</v>
      </c>
      <c r="C487" t="s">
        <v>125</v>
      </c>
      <c r="D487" t="s">
        <v>57</v>
      </c>
      <c r="E487" t="s">
        <v>4537</v>
      </c>
      <c r="F487" s="181">
        <v>45989</v>
      </c>
      <c r="G487" s="162">
        <v>289985.18</v>
      </c>
      <c r="H487" s="37">
        <f t="shared" si="34"/>
        <v>3</v>
      </c>
      <c r="I487" s="37" t="str">
        <f t="shared" si="33"/>
        <v>1-90 DAYS</v>
      </c>
      <c r="J487" s="37" t="str">
        <f t="shared" si="35"/>
        <v>0-180 DAYS</v>
      </c>
      <c r="L487" s="66" t="s">
        <v>4568</v>
      </c>
      <c r="M487" s="66">
        <v>289985.18</v>
      </c>
      <c r="O487" t="s">
        <v>4733</v>
      </c>
    </row>
  </sheetData>
  <autoFilter ref="A11:N487" xr:uid="{59E0AD59-1091-4DA8-B846-37D67014F025}"/>
  <conditionalFormatting sqref="E11">
    <cfRule type="duplicateValues" dxfId="48" priority="1"/>
    <cfRule type="duplicateValues" dxfId="47" priority="2"/>
  </conditionalFormatting>
  <conditionalFormatting sqref="E12">
    <cfRule type="duplicateValues" dxfId="46" priority="3"/>
  </conditionalFormatting>
  <conditionalFormatting sqref="E12:E13">
    <cfRule type="duplicateValues" dxfId="45" priority="4"/>
    <cfRule type="duplicateValues" dxfId="44" priority="5"/>
  </conditionalFormatting>
  <conditionalFormatting sqref="E16:E17">
    <cfRule type="duplicateValues" dxfId="43" priority="6"/>
  </conditionalFormatting>
  <conditionalFormatting sqref="E16:E20">
    <cfRule type="duplicateValues" dxfId="42" priority="7"/>
    <cfRule type="duplicateValues" dxfId="41" priority="8"/>
  </conditionalFormatting>
  <dataValidations count="2">
    <dataValidation type="textLength" operator="lessThanOrEqual" allowBlank="1" showInputMessage="1" showErrorMessage="1" error="Invoice number cannot be greater 18 characters" sqref="E12 E16:E17" xr:uid="{54A0411C-E339-408E-AB3E-8972AF800BA9}">
      <formula1>18</formula1>
    </dataValidation>
    <dataValidation type="textLength" allowBlank="1" showInputMessage="1" showErrorMessage="1" error="GST Number, please update 15 characters" sqref="D12 D16:D17 D268:D325 D333:D393 D87:D202 D327 D396" xr:uid="{DC297217-72E6-42BF-A6CC-CB5B31BB69DF}">
      <formula1>15</formula1>
      <formula2>15</formula2>
    </dataValidation>
  </dataValidation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AA7A-972D-4FF2-9EAF-044395AFA7F5}">
  <sheetPr filterMode="1">
    <tabColor theme="7"/>
  </sheetPr>
  <dimension ref="A1:N529"/>
  <sheetViews>
    <sheetView tabSelected="1" topLeftCell="A391" workbookViewId="0">
      <selection activeCell="E16" sqref="E16:E407"/>
    </sheetView>
  </sheetViews>
  <sheetFormatPr defaultRowHeight="14.5" x14ac:dyDescent="0.35"/>
  <cols>
    <col min="3" max="3" width="38.7265625" bestFit="1" customWidth="1"/>
    <col min="4" max="4" width="16.7265625" bestFit="1" customWidth="1"/>
    <col min="5" max="5" width="16.6328125" bestFit="1" customWidth="1"/>
    <col min="6" max="6" width="17.453125" bestFit="1" customWidth="1"/>
    <col min="7" max="7" width="16.08984375" style="150" bestFit="1" customWidth="1"/>
    <col min="8" max="8" width="14.6328125" bestFit="1" customWidth="1"/>
    <col min="9" max="9" width="12.54296875" bestFit="1" customWidth="1"/>
    <col min="10" max="10" width="16.1796875" bestFit="1" customWidth="1"/>
    <col min="12" max="12" width="10" bestFit="1" customWidth="1"/>
    <col min="13" max="14" width="11" style="157" bestFit="1" customWidth="1"/>
  </cols>
  <sheetData>
    <row r="1" spans="1:14" x14ac:dyDescent="0.35">
      <c r="A1">
        <f>192+334</f>
        <v>526</v>
      </c>
      <c r="E1" s="66"/>
      <c r="F1" s="66"/>
      <c r="G1" s="150" t="str">
        <f>IF(H9&lt;91,"1-90 DAYS",IF(H9&lt;121,"91-120DAYS",IF(H9&lt;181,"121-180 DAYS","More than 180 Days")))</f>
        <v>More than 180 Days</v>
      </c>
      <c r="H1" s="197">
        <v>46234</v>
      </c>
      <c r="I1" s="198" t="s">
        <v>5193</v>
      </c>
    </row>
    <row r="2" spans="1:14" x14ac:dyDescent="0.35">
      <c r="E2" s="66"/>
      <c r="F2" s="66"/>
      <c r="G2" s="150">
        <f>SUBTOTAL(9,G4:G529)</f>
        <v>317246092.82091206</v>
      </c>
      <c r="H2" s="73">
        <v>317246092.81999999</v>
      </c>
      <c r="I2" s="184"/>
      <c r="L2" s="66"/>
    </row>
    <row r="3" spans="1:14" x14ac:dyDescent="0.35">
      <c r="A3" s="80" t="s">
        <v>478</v>
      </c>
      <c r="B3" s="88" t="s">
        <v>787</v>
      </c>
      <c r="C3" s="80" t="s">
        <v>472</v>
      </c>
      <c r="D3" s="80" t="s">
        <v>473</v>
      </c>
      <c r="E3" s="81" t="s">
        <v>474</v>
      </c>
      <c r="F3" s="80" t="s">
        <v>475</v>
      </c>
      <c r="G3" s="177" t="s">
        <v>476</v>
      </c>
      <c r="H3" s="83" t="s">
        <v>483</v>
      </c>
      <c r="I3" s="83" t="s">
        <v>484</v>
      </c>
      <c r="J3" s="83" t="s">
        <v>1051</v>
      </c>
      <c r="K3" s="89"/>
    </row>
    <row r="4" spans="1:14" hidden="1" x14ac:dyDescent="0.35">
      <c r="A4" s="2" t="s">
        <v>1085</v>
      </c>
      <c r="B4" s="2" t="s">
        <v>790</v>
      </c>
      <c r="C4" s="37" t="s">
        <v>518</v>
      </c>
      <c r="D4" s="37" t="s">
        <v>507</v>
      </c>
      <c r="E4" s="37" t="s">
        <v>519</v>
      </c>
      <c r="F4" s="174" t="s">
        <v>1406</v>
      </c>
      <c r="G4" s="47">
        <v>3151699.2</v>
      </c>
      <c r="H4" s="37">
        <f t="shared" ref="H4:H31" si="0">$H$1-F4+1</f>
        <v>1604</v>
      </c>
      <c r="I4" s="37" t="str">
        <f>IF(H4&lt;121,"0-120 DAYS",IF(H4&lt;181,"121-180 DAYS","More than 180 Days"))</f>
        <v>More than 180 Days</v>
      </c>
      <c r="J4" s="37" t="str">
        <f>IF(H4&lt;180,"0-180 DAYS","More than 180 Days")</f>
        <v>More than 180 Days</v>
      </c>
      <c r="L4" s="66"/>
      <c r="M4" s="158" t="s">
        <v>1406</v>
      </c>
      <c r="N4" s="158">
        <v>3151699.2</v>
      </c>
    </row>
    <row r="5" spans="1:14" hidden="1" x14ac:dyDescent="0.35">
      <c r="A5" s="2" t="s">
        <v>1085</v>
      </c>
      <c r="B5" s="2" t="s">
        <v>790</v>
      </c>
      <c r="C5" s="37" t="s">
        <v>520</v>
      </c>
      <c r="D5" s="37" t="s">
        <v>507</v>
      </c>
      <c r="E5" s="37" t="s">
        <v>521</v>
      </c>
      <c r="F5" s="174" t="s">
        <v>1406</v>
      </c>
      <c r="G5" s="47">
        <v>3151699.2</v>
      </c>
      <c r="H5" s="37">
        <f t="shared" si="0"/>
        <v>1604</v>
      </c>
      <c r="I5" s="37" t="str">
        <f>IF(H5&lt;121,"0-120 DAYS",IF(H5&lt;181,"121-180 DAYS","More than 180 Days"))</f>
        <v>More than 180 Days</v>
      </c>
      <c r="J5" s="37" t="str">
        <f>IF(H5&lt;180,"0-180 DAYS","More than 180 Days")</f>
        <v>More than 180 Days</v>
      </c>
      <c r="L5" s="66"/>
      <c r="M5" s="158" t="s">
        <v>1406</v>
      </c>
      <c r="N5" s="158">
        <v>3151699.2</v>
      </c>
    </row>
    <row r="6" spans="1:14" hidden="1" x14ac:dyDescent="0.35">
      <c r="A6" s="2" t="s">
        <v>1727</v>
      </c>
      <c r="B6" s="2" t="s">
        <v>788</v>
      </c>
      <c r="C6" s="44" t="s">
        <v>1729</v>
      </c>
      <c r="D6" s="2" t="s">
        <v>507</v>
      </c>
      <c r="E6" s="192">
        <v>46204</v>
      </c>
      <c r="F6" s="174">
        <v>46234</v>
      </c>
      <c r="G6" s="151">
        <v>26344440.298192501</v>
      </c>
      <c r="H6" s="37">
        <f>$H$1-F6+1</f>
        <v>1</v>
      </c>
      <c r="I6" s="37" t="str">
        <f>IF(H6&lt;91,"1-90 DAYS",IF(H6&lt;121,"91-120DAYS",IF(H6&lt;181,"121-180 DAYS","More than 180 Days")))</f>
        <v>1-90 DAYS</v>
      </c>
      <c r="J6" s="37" t="str">
        <f t="shared" ref="J6:J31" si="1">IF(H6&lt;180,"0-180 DAYS","More than 180 Days")</f>
        <v>0-180 DAYS</v>
      </c>
      <c r="L6" s="66" t="s">
        <v>1730</v>
      </c>
      <c r="M6" s="158" t="s">
        <v>5563</v>
      </c>
      <c r="N6" s="158">
        <v>26344440.300000001</v>
      </c>
    </row>
    <row r="7" spans="1:14" hidden="1" x14ac:dyDescent="0.35">
      <c r="A7" s="2" t="s">
        <v>1727</v>
      </c>
      <c r="B7" s="2" t="s">
        <v>788</v>
      </c>
      <c r="C7" s="44" t="s">
        <v>4894</v>
      </c>
      <c r="D7" s="2" t="s">
        <v>507</v>
      </c>
      <c r="E7" s="192">
        <v>46204</v>
      </c>
      <c r="F7" s="174">
        <v>46234</v>
      </c>
      <c r="G7" s="151">
        <v>59071026</v>
      </c>
      <c r="H7" s="37">
        <f t="shared" ref="H7" si="2">$H$1-F7+1</f>
        <v>1</v>
      </c>
      <c r="I7" s="37" t="str">
        <f>IF(H7&lt;91,"1-90 DAYS",IF(H7&lt;121,"91-120DAYS",IF(H7&lt;181,"121-180 DAYS","More than 180 Days")))</f>
        <v>1-90 DAYS</v>
      </c>
      <c r="J7" s="37" t="str">
        <f t="shared" si="1"/>
        <v>0-180 DAYS</v>
      </c>
      <c r="L7" s="66" t="s">
        <v>1730</v>
      </c>
      <c r="M7" s="158" t="s">
        <v>5563</v>
      </c>
      <c r="N7" s="158">
        <v>59071026</v>
      </c>
    </row>
    <row r="8" spans="1:14" hidden="1" x14ac:dyDescent="0.35">
      <c r="A8" s="2" t="s">
        <v>477</v>
      </c>
      <c r="B8" s="2" t="s">
        <v>790</v>
      </c>
      <c r="C8" s="2" t="s">
        <v>0</v>
      </c>
      <c r="D8" s="2" t="s">
        <v>1</v>
      </c>
      <c r="E8" s="3" t="s">
        <v>1058</v>
      </c>
      <c r="F8" s="174" t="s">
        <v>1425</v>
      </c>
      <c r="G8" s="47">
        <v>82517.399999999994</v>
      </c>
      <c r="H8" s="37">
        <f t="shared" si="0"/>
        <v>1582</v>
      </c>
      <c r="I8" s="37" t="str">
        <f>IF(H8&lt;91,"1-90 DAYS",IF(H8&lt;121,"91-120DAYS",IF(H8&lt;181,"121-180 DAYS","More than 180 Days")))</f>
        <v>More than 180 Days</v>
      </c>
      <c r="J8" s="37" t="str">
        <f t="shared" si="1"/>
        <v>More than 180 Days</v>
      </c>
      <c r="L8" s="66"/>
      <c r="M8" s="158" t="s">
        <v>1425</v>
      </c>
      <c r="N8" s="158">
        <v>82517.399999999994</v>
      </c>
    </row>
    <row r="9" spans="1:14" hidden="1" x14ac:dyDescent="0.35">
      <c r="A9" s="2" t="s">
        <v>477</v>
      </c>
      <c r="B9" s="2" t="s">
        <v>790</v>
      </c>
      <c r="C9" s="44" t="s">
        <v>0</v>
      </c>
      <c r="D9" s="44" t="s">
        <v>1</v>
      </c>
      <c r="E9" s="44" t="s">
        <v>1059</v>
      </c>
      <c r="F9" s="174" t="s">
        <v>1426</v>
      </c>
      <c r="G9" s="47">
        <v>49754.7</v>
      </c>
      <c r="H9" s="37">
        <f t="shared" si="0"/>
        <v>1215</v>
      </c>
      <c r="I9" s="37" t="str">
        <f>IF(H9&lt;91,"1-90 DAYS",IF(H9&lt;121,"91-120DAYS",IF(H9&lt;181,"121-180 DAYS","More than 180 Days")))</f>
        <v>More than 180 Days</v>
      </c>
      <c r="J9" s="37" t="str">
        <f t="shared" si="1"/>
        <v>More than 180 Days</v>
      </c>
      <c r="L9" s="66"/>
      <c r="M9" s="158" t="s">
        <v>1426</v>
      </c>
      <c r="N9" s="158">
        <v>49754.7</v>
      </c>
    </row>
    <row r="10" spans="1:14" hidden="1" x14ac:dyDescent="0.35">
      <c r="A10" s="2" t="s">
        <v>477</v>
      </c>
      <c r="B10" s="2" t="s">
        <v>790</v>
      </c>
      <c r="C10" s="44" t="s">
        <v>35</v>
      </c>
      <c r="D10" s="44" t="s">
        <v>36</v>
      </c>
      <c r="E10" s="44" t="s">
        <v>1192</v>
      </c>
      <c r="F10" s="174" t="s">
        <v>1436</v>
      </c>
      <c r="G10" s="47">
        <v>580857.09</v>
      </c>
      <c r="H10" s="37">
        <f t="shared" si="0"/>
        <v>964</v>
      </c>
      <c r="I10" s="37" t="str">
        <f t="shared" ref="I10:I14" si="3">IF(H10&lt;91,"1-90 DAYS",IF(H10&lt;121,"91-120DAYS",IF(H10&lt;181,"121-180 DAYS","More than 180 Days")))</f>
        <v>More than 180 Days</v>
      </c>
      <c r="J10" s="37" t="str">
        <f t="shared" si="1"/>
        <v>More than 180 Days</v>
      </c>
      <c r="L10" s="66"/>
      <c r="M10" s="158" t="s">
        <v>1436</v>
      </c>
      <c r="N10" s="158">
        <v>580857.09</v>
      </c>
    </row>
    <row r="11" spans="1:14" hidden="1" x14ac:dyDescent="0.35">
      <c r="A11" s="2" t="s">
        <v>477</v>
      </c>
      <c r="B11" s="2" t="s">
        <v>790</v>
      </c>
      <c r="C11" s="2" t="s">
        <v>38</v>
      </c>
      <c r="D11" s="2" t="s">
        <v>39</v>
      </c>
      <c r="E11" s="2" t="s">
        <v>40</v>
      </c>
      <c r="F11" s="174">
        <v>42760</v>
      </c>
      <c r="G11" s="47">
        <v>1507988</v>
      </c>
      <c r="H11" s="37">
        <f t="shared" si="0"/>
        <v>3475</v>
      </c>
      <c r="I11" s="37" t="str">
        <f t="shared" si="3"/>
        <v>More than 180 Days</v>
      </c>
      <c r="J11" s="37" t="str">
        <f t="shared" si="1"/>
        <v>More than 180 Days</v>
      </c>
      <c r="L11" s="66"/>
      <c r="M11" s="158" t="s">
        <v>1437</v>
      </c>
      <c r="N11" s="158">
        <v>1507988</v>
      </c>
    </row>
    <row r="12" spans="1:14" hidden="1" x14ac:dyDescent="0.35">
      <c r="A12" s="2" t="s">
        <v>477</v>
      </c>
      <c r="B12" s="2" t="s">
        <v>790</v>
      </c>
      <c r="C12" s="2" t="s">
        <v>38</v>
      </c>
      <c r="D12" s="2" t="s">
        <v>39</v>
      </c>
      <c r="E12" s="2" t="s">
        <v>41</v>
      </c>
      <c r="F12" s="174" t="s">
        <v>1438</v>
      </c>
      <c r="G12" s="47">
        <v>2089970</v>
      </c>
      <c r="H12" s="37">
        <f t="shared" si="0"/>
        <v>3459</v>
      </c>
      <c r="I12" s="37" t="str">
        <f t="shared" si="3"/>
        <v>More than 180 Days</v>
      </c>
      <c r="J12" s="37" t="str">
        <f t="shared" si="1"/>
        <v>More than 180 Days</v>
      </c>
      <c r="L12" s="66"/>
      <c r="M12" s="158" t="s">
        <v>1438</v>
      </c>
      <c r="N12" s="158">
        <v>2089970</v>
      </c>
    </row>
    <row r="13" spans="1:14" hidden="1" x14ac:dyDescent="0.35">
      <c r="A13" s="2" t="s">
        <v>477</v>
      </c>
      <c r="B13" s="2" t="s">
        <v>790</v>
      </c>
      <c r="C13" s="44" t="s">
        <v>0</v>
      </c>
      <c r="D13" s="44" t="s">
        <v>1</v>
      </c>
      <c r="E13" s="44" t="s">
        <v>1610</v>
      </c>
      <c r="F13" s="174" t="s">
        <v>1739</v>
      </c>
      <c r="G13" s="47">
        <v>52321.2</v>
      </c>
      <c r="H13" s="37">
        <f t="shared" si="0"/>
        <v>812</v>
      </c>
      <c r="I13" s="37" t="str">
        <f t="shared" si="3"/>
        <v>More than 180 Days</v>
      </c>
      <c r="J13" s="37" t="str">
        <f t="shared" si="1"/>
        <v>More than 180 Days</v>
      </c>
      <c r="L13" s="66"/>
      <c r="M13" s="158" t="s">
        <v>1739</v>
      </c>
      <c r="N13" s="158">
        <v>52321.2</v>
      </c>
    </row>
    <row r="14" spans="1:14" hidden="1" x14ac:dyDescent="0.35">
      <c r="A14" s="2" t="s">
        <v>477</v>
      </c>
      <c r="B14" s="2" t="s">
        <v>790</v>
      </c>
      <c r="C14" s="18" t="s">
        <v>2321</v>
      </c>
      <c r="D14" s="18" t="s">
        <v>2347</v>
      </c>
      <c r="E14" s="18" t="s">
        <v>315</v>
      </c>
      <c r="F14" s="175">
        <v>45609</v>
      </c>
      <c r="G14" s="179">
        <v>40000</v>
      </c>
      <c r="H14" s="37">
        <f t="shared" si="0"/>
        <v>626</v>
      </c>
      <c r="I14" s="37" t="str">
        <f t="shared" si="3"/>
        <v>More than 180 Days</v>
      </c>
      <c r="J14" s="37" t="str">
        <f t="shared" si="1"/>
        <v>More than 180 Days</v>
      </c>
      <c r="L14" s="66"/>
      <c r="M14" s="158" t="s">
        <v>2865</v>
      </c>
      <c r="N14" s="158">
        <v>40000</v>
      </c>
    </row>
    <row r="15" spans="1:14" hidden="1" x14ac:dyDescent="0.35">
      <c r="A15" s="2" t="s">
        <v>1209</v>
      </c>
      <c r="B15" s="2" t="s">
        <v>789</v>
      </c>
      <c r="C15" s="18" t="s">
        <v>506</v>
      </c>
      <c r="D15" s="2" t="s">
        <v>507</v>
      </c>
      <c r="E15" s="18" t="s">
        <v>3882</v>
      </c>
      <c r="F15" s="176">
        <v>45818</v>
      </c>
      <c r="G15" s="179">
        <f>553115.02-464063</f>
        <v>89052.020000000019</v>
      </c>
      <c r="H15" s="37">
        <f t="shared" si="0"/>
        <v>417</v>
      </c>
      <c r="I15" s="37" t="str">
        <f t="shared" ref="I15" si="4">IF(H15&lt;121,"0-120 DAYS",IF(H15&lt;181,"121-180 DAYS","More than 180 Days"))</f>
        <v>More than 180 Days</v>
      </c>
      <c r="J15" s="37" t="str">
        <f t="shared" si="1"/>
        <v>More than 180 Days</v>
      </c>
      <c r="L15" s="66"/>
      <c r="M15" s="158" t="s">
        <v>3940</v>
      </c>
      <c r="N15" s="158">
        <v>89052.02</v>
      </c>
    </row>
    <row r="16" spans="1:14" x14ac:dyDescent="0.35">
      <c r="A16" s="2" t="s">
        <v>477</v>
      </c>
      <c r="B16" s="2" t="s">
        <v>790</v>
      </c>
      <c r="C16" s="18" t="s">
        <v>2789</v>
      </c>
      <c r="D16" s="18" t="s">
        <v>2801</v>
      </c>
      <c r="E16" s="18" t="s">
        <v>5192</v>
      </c>
      <c r="F16" s="176">
        <v>46174</v>
      </c>
      <c r="G16" s="179">
        <v>13608000</v>
      </c>
      <c r="H16" s="37">
        <f t="shared" si="0"/>
        <v>61</v>
      </c>
      <c r="I16" s="37" t="str">
        <f t="shared" ref="I16:I17" si="5">IF(H16&lt;91,"1-90 DAYS",IF(H16&lt;121,"91-120DAYS",IF(H16&lt;181,"121-180 DAYS","More than 180 Days")))</f>
        <v>1-90 DAYS</v>
      </c>
      <c r="J16" s="37" t="str">
        <f t="shared" si="1"/>
        <v>0-180 DAYS</v>
      </c>
      <c r="L16" s="66" t="s">
        <v>1730</v>
      </c>
      <c r="M16" s="158" t="s">
        <v>5196</v>
      </c>
      <c r="N16" s="158">
        <v>13608000</v>
      </c>
    </row>
    <row r="17" spans="1:14" hidden="1" x14ac:dyDescent="0.35">
      <c r="A17" s="2" t="s">
        <v>477</v>
      </c>
      <c r="B17" s="2" t="s">
        <v>790</v>
      </c>
      <c r="C17" s="18" t="s">
        <v>3409</v>
      </c>
      <c r="D17" s="18" t="s">
        <v>3060</v>
      </c>
      <c r="E17" s="18" t="s">
        <v>3954</v>
      </c>
      <c r="F17" s="176">
        <v>45867</v>
      </c>
      <c r="G17" s="179">
        <v>43680</v>
      </c>
      <c r="H17" s="37">
        <f t="shared" si="0"/>
        <v>368</v>
      </c>
      <c r="I17" s="37" t="str">
        <f t="shared" si="5"/>
        <v>More than 180 Days</v>
      </c>
      <c r="J17" s="37" t="str">
        <f t="shared" si="1"/>
        <v>More than 180 Days</v>
      </c>
      <c r="L17" s="66"/>
      <c r="M17" s="158" t="s">
        <v>4073</v>
      </c>
      <c r="N17" s="158">
        <v>43680</v>
      </c>
    </row>
    <row r="18" spans="1:14" hidden="1" x14ac:dyDescent="0.35">
      <c r="A18" s="2" t="s">
        <v>1209</v>
      </c>
      <c r="B18" s="2" t="s">
        <v>789</v>
      </c>
      <c r="C18" s="18" t="s">
        <v>506</v>
      </c>
      <c r="D18" s="37" t="s">
        <v>507</v>
      </c>
      <c r="E18" s="18" t="s">
        <v>4031</v>
      </c>
      <c r="F18" s="176">
        <v>45868</v>
      </c>
      <c r="G18" s="179">
        <v>3020702.8</v>
      </c>
      <c r="H18" s="37">
        <f t="shared" si="0"/>
        <v>367</v>
      </c>
      <c r="I18" s="37" t="str">
        <f t="shared" ref="I18:I26" si="6">IF(H18&lt;121,"0-120 DAYS",IF(H18&lt;181,"121-180 DAYS","More than 180 Days"))</f>
        <v>More than 180 Days</v>
      </c>
      <c r="J18" s="37" t="str">
        <f t="shared" si="1"/>
        <v>More than 180 Days</v>
      </c>
      <c r="L18" s="66"/>
      <c r="M18" s="158" t="s">
        <v>4074</v>
      </c>
      <c r="N18" s="158">
        <v>3020702.8</v>
      </c>
    </row>
    <row r="19" spans="1:14" hidden="1" x14ac:dyDescent="0.35">
      <c r="A19" s="2" t="s">
        <v>1209</v>
      </c>
      <c r="B19" s="2" t="s">
        <v>789</v>
      </c>
      <c r="C19" s="18" t="s">
        <v>506</v>
      </c>
      <c r="D19" s="37" t="s">
        <v>507</v>
      </c>
      <c r="E19" s="18" t="s">
        <v>4099</v>
      </c>
      <c r="F19" s="176">
        <v>45889</v>
      </c>
      <c r="G19" s="179">
        <v>2013374.8</v>
      </c>
      <c r="H19" s="37">
        <f t="shared" si="0"/>
        <v>346</v>
      </c>
      <c r="I19" s="37" t="str">
        <f t="shared" si="6"/>
        <v>More than 180 Days</v>
      </c>
      <c r="J19" s="37" t="str">
        <f t="shared" si="1"/>
        <v>More than 180 Days</v>
      </c>
      <c r="L19" s="66"/>
      <c r="M19" s="158" t="s">
        <v>4192</v>
      </c>
      <c r="N19" s="158">
        <v>2013374.8</v>
      </c>
    </row>
    <row r="20" spans="1:14" hidden="1" x14ac:dyDescent="0.35">
      <c r="A20" s="2" t="s">
        <v>1209</v>
      </c>
      <c r="B20" s="2" t="s">
        <v>789</v>
      </c>
      <c r="C20" s="18" t="s">
        <v>506</v>
      </c>
      <c r="D20" s="37" t="s">
        <v>507</v>
      </c>
      <c r="E20" s="18" t="s">
        <v>4100</v>
      </c>
      <c r="F20" s="176">
        <v>45889</v>
      </c>
      <c r="G20" s="179">
        <v>443448.97</v>
      </c>
      <c r="H20" s="37">
        <f t="shared" si="0"/>
        <v>346</v>
      </c>
      <c r="I20" s="37" t="str">
        <f t="shared" si="6"/>
        <v>More than 180 Days</v>
      </c>
      <c r="J20" s="37" t="str">
        <f t="shared" si="1"/>
        <v>More than 180 Days</v>
      </c>
      <c r="L20" s="66"/>
      <c r="M20" s="158" t="s">
        <v>4192</v>
      </c>
      <c r="N20" s="158">
        <v>443448.97</v>
      </c>
    </row>
    <row r="21" spans="1:14" hidden="1" x14ac:dyDescent="0.35">
      <c r="A21" s="2" t="s">
        <v>1209</v>
      </c>
      <c r="B21" s="2" t="s">
        <v>789</v>
      </c>
      <c r="C21" s="18" t="s">
        <v>506</v>
      </c>
      <c r="D21" s="37" t="s">
        <v>507</v>
      </c>
      <c r="E21" s="18" t="s">
        <v>4101</v>
      </c>
      <c r="F21" s="176">
        <v>45889</v>
      </c>
      <c r="G21" s="179">
        <v>102122.27</v>
      </c>
      <c r="H21" s="37">
        <f t="shared" si="0"/>
        <v>346</v>
      </c>
      <c r="I21" s="37" t="str">
        <f t="shared" si="6"/>
        <v>More than 180 Days</v>
      </c>
      <c r="J21" s="37" t="str">
        <f t="shared" si="1"/>
        <v>More than 180 Days</v>
      </c>
      <c r="L21" s="66"/>
      <c r="M21" s="158" t="s">
        <v>4192</v>
      </c>
      <c r="N21" s="158">
        <v>102122.27</v>
      </c>
    </row>
    <row r="22" spans="1:14" hidden="1" x14ac:dyDescent="0.35">
      <c r="A22" s="2" t="s">
        <v>1209</v>
      </c>
      <c r="B22" s="2" t="s">
        <v>789</v>
      </c>
      <c r="C22" s="18" t="s">
        <v>506</v>
      </c>
      <c r="D22" s="37" t="s">
        <v>507</v>
      </c>
      <c r="E22" s="18" t="s">
        <v>4102</v>
      </c>
      <c r="F22" s="176">
        <v>45889</v>
      </c>
      <c r="G22" s="179">
        <v>287053.3</v>
      </c>
      <c r="H22" s="37">
        <f t="shared" si="0"/>
        <v>346</v>
      </c>
      <c r="I22" s="37" t="str">
        <f t="shared" si="6"/>
        <v>More than 180 Days</v>
      </c>
      <c r="J22" s="37" t="str">
        <f t="shared" si="1"/>
        <v>More than 180 Days</v>
      </c>
      <c r="L22" s="66"/>
      <c r="M22" s="158" t="s">
        <v>4192</v>
      </c>
      <c r="N22" s="158">
        <v>287053.3</v>
      </c>
    </row>
    <row r="23" spans="1:14" hidden="1" x14ac:dyDescent="0.35">
      <c r="A23" s="2" t="s">
        <v>1209</v>
      </c>
      <c r="B23" s="2" t="s">
        <v>789</v>
      </c>
      <c r="C23" s="18" t="s">
        <v>506</v>
      </c>
      <c r="D23" s="37" t="s">
        <v>507</v>
      </c>
      <c r="E23" s="18" t="s">
        <v>4103</v>
      </c>
      <c r="F23" s="176">
        <v>45889</v>
      </c>
      <c r="G23" s="179">
        <v>136124.5</v>
      </c>
      <c r="H23" s="37">
        <f t="shared" si="0"/>
        <v>346</v>
      </c>
      <c r="I23" s="37" t="str">
        <f t="shared" si="6"/>
        <v>More than 180 Days</v>
      </c>
      <c r="J23" s="37" t="str">
        <f t="shared" si="1"/>
        <v>More than 180 Days</v>
      </c>
      <c r="L23" s="66"/>
      <c r="M23" s="158" t="s">
        <v>4192</v>
      </c>
      <c r="N23" s="158">
        <v>136124.5</v>
      </c>
    </row>
    <row r="24" spans="1:14" hidden="1" x14ac:dyDescent="0.35">
      <c r="A24" s="2" t="s">
        <v>1209</v>
      </c>
      <c r="B24" s="2" t="s">
        <v>789</v>
      </c>
      <c r="C24" s="18" t="s">
        <v>506</v>
      </c>
      <c r="D24" s="37" t="s">
        <v>507</v>
      </c>
      <c r="E24" s="18" t="s">
        <v>4239</v>
      </c>
      <c r="F24" s="176">
        <v>45905</v>
      </c>
      <c r="G24" s="179">
        <v>2407874.5600000001</v>
      </c>
      <c r="H24" s="37">
        <f t="shared" si="0"/>
        <v>330</v>
      </c>
      <c r="I24" s="37" t="str">
        <f t="shared" si="6"/>
        <v>More than 180 Days</v>
      </c>
      <c r="J24" s="37" t="str">
        <f t="shared" si="1"/>
        <v>More than 180 Days</v>
      </c>
      <c r="L24" s="66"/>
      <c r="M24" s="158" t="s">
        <v>4758</v>
      </c>
      <c r="N24" s="158">
        <v>2407874.5600000001</v>
      </c>
    </row>
    <row r="25" spans="1:14" hidden="1" x14ac:dyDescent="0.35">
      <c r="A25" s="2" t="s">
        <v>1209</v>
      </c>
      <c r="B25" s="2" t="s">
        <v>789</v>
      </c>
      <c r="C25" s="18" t="s">
        <v>506</v>
      </c>
      <c r="D25" s="37" t="s">
        <v>507</v>
      </c>
      <c r="E25" s="18" t="s">
        <v>4240</v>
      </c>
      <c r="F25" s="176">
        <v>45905</v>
      </c>
      <c r="G25" s="179">
        <v>382490.99</v>
      </c>
      <c r="H25" s="37">
        <f t="shared" si="0"/>
        <v>330</v>
      </c>
      <c r="I25" s="37" t="str">
        <f t="shared" si="6"/>
        <v>More than 180 Days</v>
      </c>
      <c r="J25" s="37" t="str">
        <f t="shared" si="1"/>
        <v>More than 180 Days</v>
      </c>
      <c r="L25" s="66"/>
      <c r="M25" s="158" t="s">
        <v>4758</v>
      </c>
      <c r="N25" s="158">
        <v>382490.99</v>
      </c>
    </row>
    <row r="26" spans="1:14" hidden="1" x14ac:dyDescent="0.35">
      <c r="A26" s="2" t="s">
        <v>1209</v>
      </c>
      <c r="B26" s="2" t="s">
        <v>789</v>
      </c>
      <c r="C26" s="18" t="s">
        <v>506</v>
      </c>
      <c r="D26" s="37" t="s">
        <v>507</v>
      </c>
      <c r="E26" s="18" t="s">
        <v>4241</v>
      </c>
      <c r="F26" s="176">
        <v>45905</v>
      </c>
      <c r="G26" s="179">
        <v>345305.54</v>
      </c>
      <c r="H26" s="37">
        <f t="shared" si="0"/>
        <v>330</v>
      </c>
      <c r="I26" s="37" t="str">
        <f t="shared" si="6"/>
        <v>More than 180 Days</v>
      </c>
      <c r="J26" s="37" t="str">
        <f t="shared" si="1"/>
        <v>More than 180 Days</v>
      </c>
      <c r="L26" s="66"/>
      <c r="M26" s="158" t="s">
        <v>4758</v>
      </c>
      <c r="N26" s="158">
        <v>345305.54</v>
      </c>
    </row>
    <row r="27" spans="1:14" hidden="1" x14ac:dyDescent="0.35">
      <c r="A27" s="88" t="s">
        <v>477</v>
      </c>
      <c r="B27" s="88" t="s">
        <v>790</v>
      </c>
      <c r="C27" t="s">
        <v>4744</v>
      </c>
      <c r="D27" t="s">
        <v>4750</v>
      </c>
      <c r="E27" t="s">
        <v>4746</v>
      </c>
      <c r="F27" s="35">
        <v>45999</v>
      </c>
      <c r="G27" s="47">
        <v>4925269.8</v>
      </c>
      <c r="H27" s="37">
        <f t="shared" si="0"/>
        <v>236</v>
      </c>
      <c r="I27" s="37" t="str">
        <f t="shared" ref="I27:I30" si="7">IF(H27&lt;91,"1-90 DAYS",IF(H27&lt;121,"91-120DAYS",IF(H27&lt;181,"121-180 DAYS","More than 180 Days")))</f>
        <v>More than 180 Days</v>
      </c>
      <c r="J27" s="37" t="str">
        <f t="shared" si="1"/>
        <v>More than 180 Days</v>
      </c>
      <c r="M27" s="158" t="s">
        <v>4759</v>
      </c>
      <c r="N27" s="158">
        <v>4925269.8</v>
      </c>
    </row>
    <row r="28" spans="1:14" hidden="1" x14ac:dyDescent="0.35">
      <c r="A28" s="88" t="s">
        <v>477</v>
      </c>
      <c r="B28" s="88" t="s">
        <v>790</v>
      </c>
      <c r="C28" t="s">
        <v>4744</v>
      </c>
      <c r="D28" t="s">
        <v>4750</v>
      </c>
      <c r="E28" t="s">
        <v>4747</v>
      </c>
      <c r="F28" s="35">
        <v>45999</v>
      </c>
      <c r="G28" s="47">
        <v>4925269.8</v>
      </c>
      <c r="H28" s="37">
        <f t="shared" si="0"/>
        <v>236</v>
      </c>
      <c r="I28" s="37" t="str">
        <f t="shared" si="7"/>
        <v>More than 180 Days</v>
      </c>
      <c r="J28" s="37" t="str">
        <f t="shared" si="1"/>
        <v>More than 180 Days</v>
      </c>
      <c r="M28" s="158" t="s">
        <v>4759</v>
      </c>
      <c r="N28" s="158">
        <v>4925269.8</v>
      </c>
    </row>
    <row r="29" spans="1:14" hidden="1" x14ac:dyDescent="0.35">
      <c r="A29" s="88" t="s">
        <v>477</v>
      </c>
      <c r="B29" s="88" t="s">
        <v>790</v>
      </c>
      <c r="C29" t="s">
        <v>263</v>
      </c>
      <c r="D29" t="s">
        <v>264</v>
      </c>
      <c r="E29" t="s">
        <v>4748</v>
      </c>
      <c r="F29" s="35">
        <v>46005</v>
      </c>
      <c r="G29" s="47">
        <f>-464384+930474.84</f>
        <v>466090.83999999997</v>
      </c>
      <c r="H29" s="37">
        <f t="shared" si="0"/>
        <v>230</v>
      </c>
      <c r="I29" s="37" t="str">
        <f t="shared" si="7"/>
        <v>More than 180 Days</v>
      </c>
      <c r="J29" s="37" t="str">
        <f t="shared" si="1"/>
        <v>More than 180 Days</v>
      </c>
      <c r="M29" s="158" t="s">
        <v>4760</v>
      </c>
      <c r="N29" s="158">
        <v>466090.84</v>
      </c>
    </row>
    <row r="30" spans="1:14" hidden="1" x14ac:dyDescent="0.35">
      <c r="A30" s="88" t="s">
        <v>477</v>
      </c>
      <c r="B30" s="88" t="s">
        <v>790</v>
      </c>
      <c r="C30" t="s">
        <v>263</v>
      </c>
      <c r="D30" t="s">
        <v>264</v>
      </c>
      <c r="E30" t="s">
        <v>4749</v>
      </c>
      <c r="F30" s="35">
        <v>46012</v>
      </c>
      <c r="G30" s="47">
        <v>820239.24</v>
      </c>
      <c r="H30" s="37">
        <f t="shared" si="0"/>
        <v>223</v>
      </c>
      <c r="I30" s="37" t="str">
        <f t="shared" si="7"/>
        <v>More than 180 Days</v>
      </c>
      <c r="J30" s="37" t="str">
        <f t="shared" si="1"/>
        <v>More than 180 Days</v>
      </c>
      <c r="M30" s="158" t="s">
        <v>4761</v>
      </c>
      <c r="N30" s="158">
        <v>820239.24</v>
      </c>
    </row>
    <row r="31" spans="1:14" hidden="1" x14ac:dyDescent="0.35">
      <c r="A31" s="2" t="s">
        <v>1209</v>
      </c>
      <c r="B31" s="2" t="s">
        <v>789</v>
      </c>
      <c r="C31" t="s">
        <v>506</v>
      </c>
      <c r="D31" s="37" t="s">
        <v>507</v>
      </c>
      <c r="E31" t="s">
        <v>4743</v>
      </c>
      <c r="F31" s="35">
        <v>46008</v>
      </c>
      <c r="G31" s="47">
        <v>465127.04</v>
      </c>
      <c r="H31" s="37">
        <f t="shared" si="0"/>
        <v>227</v>
      </c>
      <c r="I31" s="37" t="str">
        <f t="shared" ref="I31:I41" si="8">IF(H31&lt;121,"0-120 DAYS",IF(H31&lt;181,"121-180 DAYS","More than 180 Days"))</f>
        <v>More than 180 Days</v>
      </c>
      <c r="J31" s="37" t="str">
        <f t="shared" si="1"/>
        <v>More than 180 Days</v>
      </c>
      <c r="M31" s="158" t="s">
        <v>4762</v>
      </c>
      <c r="N31" s="158">
        <v>465127.04</v>
      </c>
    </row>
    <row r="32" spans="1:14" hidden="1" x14ac:dyDescent="0.35">
      <c r="A32" s="2" t="s">
        <v>1085</v>
      </c>
      <c r="B32" s="2" t="s">
        <v>790</v>
      </c>
      <c r="C32" s="18" t="s">
        <v>4778</v>
      </c>
      <c r="D32" s="37" t="s">
        <v>507</v>
      </c>
      <c r="E32" s="18" t="s">
        <v>4767</v>
      </c>
      <c r="F32" s="19">
        <v>46039</v>
      </c>
      <c r="G32" s="179">
        <v>511492.5</v>
      </c>
      <c r="H32" s="37">
        <f t="shared" ref="H32:H58" si="9">$H$1-F32+1</f>
        <v>196</v>
      </c>
      <c r="I32" s="37" t="str">
        <f t="shared" si="8"/>
        <v>More than 180 Days</v>
      </c>
      <c r="J32" s="37" t="str">
        <f t="shared" ref="J32:J59" si="10">IF(H32&lt;180,"0-180 DAYS","More than 180 Days")</f>
        <v>More than 180 Days</v>
      </c>
      <c r="M32" s="158" t="s">
        <v>4798</v>
      </c>
      <c r="N32" s="158">
        <v>511492.5</v>
      </c>
    </row>
    <row r="33" spans="1:14" hidden="1" x14ac:dyDescent="0.35">
      <c r="A33" s="2" t="s">
        <v>1085</v>
      </c>
      <c r="B33" s="2" t="s">
        <v>790</v>
      </c>
      <c r="C33" s="18" t="s">
        <v>1086</v>
      </c>
      <c r="D33" s="37" t="s">
        <v>507</v>
      </c>
      <c r="E33" s="18" t="s">
        <v>4768</v>
      </c>
      <c r="F33" s="19">
        <v>46042</v>
      </c>
      <c r="G33" s="179">
        <f>-725208+1653707.61</f>
        <v>928499.6100000001</v>
      </c>
      <c r="H33" s="37">
        <f t="shared" si="9"/>
        <v>193</v>
      </c>
      <c r="I33" s="37" t="str">
        <f t="shared" si="8"/>
        <v>More than 180 Days</v>
      </c>
      <c r="J33" s="37" t="str">
        <f t="shared" si="10"/>
        <v>More than 180 Days</v>
      </c>
      <c r="M33" s="158" t="s">
        <v>4799</v>
      </c>
      <c r="N33" s="158">
        <v>928499.61</v>
      </c>
    </row>
    <row r="34" spans="1:14" hidden="1" x14ac:dyDescent="0.35">
      <c r="A34" s="2" t="s">
        <v>1085</v>
      </c>
      <c r="B34" s="2" t="s">
        <v>790</v>
      </c>
      <c r="C34" s="18" t="s">
        <v>1086</v>
      </c>
      <c r="D34" s="37" t="s">
        <v>507</v>
      </c>
      <c r="E34" s="18" t="s">
        <v>4769</v>
      </c>
      <c r="F34" s="19">
        <v>46042</v>
      </c>
      <c r="G34" s="179">
        <v>89107.1</v>
      </c>
      <c r="H34" s="37">
        <f t="shared" si="9"/>
        <v>193</v>
      </c>
      <c r="I34" s="37" t="str">
        <f t="shared" si="8"/>
        <v>More than 180 Days</v>
      </c>
      <c r="J34" s="37" t="str">
        <f t="shared" si="10"/>
        <v>More than 180 Days</v>
      </c>
      <c r="M34" s="158" t="s">
        <v>4799</v>
      </c>
      <c r="N34" s="158">
        <v>89107.1</v>
      </c>
    </row>
    <row r="35" spans="1:14" hidden="1" x14ac:dyDescent="0.35">
      <c r="A35" s="2" t="s">
        <v>1085</v>
      </c>
      <c r="B35" s="2" t="s">
        <v>790</v>
      </c>
      <c r="C35" s="18" t="s">
        <v>1086</v>
      </c>
      <c r="D35" s="37" t="s">
        <v>507</v>
      </c>
      <c r="E35" s="18" t="s">
        <v>4770</v>
      </c>
      <c r="F35" s="19">
        <v>46042</v>
      </c>
      <c r="G35" s="179">
        <v>1033261.39</v>
      </c>
      <c r="H35" s="37">
        <f t="shared" si="9"/>
        <v>193</v>
      </c>
      <c r="I35" s="37" t="str">
        <f t="shared" si="8"/>
        <v>More than 180 Days</v>
      </c>
      <c r="J35" s="37" t="str">
        <f t="shared" si="10"/>
        <v>More than 180 Days</v>
      </c>
      <c r="M35" s="158" t="s">
        <v>4799</v>
      </c>
      <c r="N35" s="158">
        <v>1033261.39</v>
      </c>
    </row>
    <row r="36" spans="1:14" hidden="1" x14ac:dyDescent="0.35">
      <c r="A36" s="2" t="s">
        <v>1085</v>
      </c>
      <c r="B36" s="2" t="s">
        <v>790</v>
      </c>
      <c r="C36" s="18" t="s">
        <v>1086</v>
      </c>
      <c r="D36" s="37" t="s">
        <v>507</v>
      </c>
      <c r="E36" s="18" t="s">
        <v>4771</v>
      </c>
      <c r="F36" s="19">
        <v>46042</v>
      </c>
      <c r="G36" s="179">
        <v>1266942.32</v>
      </c>
      <c r="H36" s="37">
        <f t="shared" si="9"/>
        <v>193</v>
      </c>
      <c r="I36" s="37" t="str">
        <f t="shared" si="8"/>
        <v>More than 180 Days</v>
      </c>
      <c r="J36" s="37" t="str">
        <f t="shared" si="10"/>
        <v>More than 180 Days</v>
      </c>
      <c r="M36" s="158" t="s">
        <v>4799</v>
      </c>
      <c r="N36" s="158">
        <v>1266942.32</v>
      </c>
    </row>
    <row r="37" spans="1:14" hidden="1" x14ac:dyDescent="0.35">
      <c r="A37" s="2" t="s">
        <v>1085</v>
      </c>
      <c r="B37" s="2" t="s">
        <v>790</v>
      </c>
      <c r="C37" s="18" t="s">
        <v>1086</v>
      </c>
      <c r="D37" s="37" t="s">
        <v>507</v>
      </c>
      <c r="E37" s="18" t="s">
        <v>4772</v>
      </c>
      <c r="F37" s="19">
        <v>46042</v>
      </c>
      <c r="G37" s="179">
        <v>1066773.78</v>
      </c>
      <c r="H37" s="37">
        <f t="shared" si="9"/>
        <v>193</v>
      </c>
      <c r="I37" s="37" t="str">
        <f t="shared" si="8"/>
        <v>More than 180 Days</v>
      </c>
      <c r="J37" s="37" t="str">
        <f t="shared" si="10"/>
        <v>More than 180 Days</v>
      </c>
      <c r="M37" s="158" t="s">
        <v>4799</v>
      </c>
      <c r="N37" s="158">
        <v>1066773.78</v>
      </c>
    </row>
    <row r="38" spans="1:14" hidden="1" x14ac:dyDescent="0.35">
      <c r="A38" s="2" t="s">
        <v>1085</v>
      </c>
      <c r="B38" s="2" t="s">
        <v>790</v>
      </c>
      <c r="C38" s="18" t="s">
        <v>1086</v>
      </c>
      <c r="D38" s="37" t="s">
        <v>507</v>
      </c>
      <c r="E38" s="18" t="s">
        <v>4774</v>
      </c>
      <c r="F38" s="19">
        <v>46047</v>
      </c>
      <c r="G38" s="179">
        <v>3092993.81</v>
      </c>
      <c r="H38" s="37">
        <f t="shared" si="9"/>
        <v>188</v>
      </c>
      <c r="I38" s="37" t="str">
        <f t="shared" si="8"/>
        <v>More than 180 Days</v>
      </c>
      <c r="J38" s="37" t="str">
        <f t="shared" si="10"/>
        <v>More than 180 Days</v>
      </c>
      <c r="M38" s="158" t="s">
        <v>4801</v>
      </c>
      <c r="N38" s="158">
        <v>3092993.81</v>
      </c>
    </row>
    <row r="39" spans="1:14" hidden="1" x14ac:dyDescent="0.35">
      <c r="A39" s="2" t="s">
        <v>1085</v>
      </c>
      <c r="B39" s="2" t="s">
        <v>790</v>
      </c>
      <c r="C39" s="18" t="s">
        <v>1086</v>
      </c>
      <c r="D39" s="37" t="s">
        <v>507</v>
      </c>
      <c r="E39" s="18" t="s">
        <v>4775</v>
      </c>
      <c r="F39" s="19">
        <v>46053</v>
      </c>
      <c r="G39" s="179">
        <v>517808.52</v>
      </c>
      <c r="H39" s="37">
        <f t="shared" si="9"/>
        <v>182</v>
      </c>
      <c r="I39" s="37" t="str">
        <f t="shared" si="8"/>
        <v>More than 180 Days</v>
      </c>
      <c r="J39" s="37" t="str">
        <f t="shared" si="10"/>
        <v>More than 180 Days</v>
      </c>
      <c r="M39" s="158" t="s">
        <v>4795</v>
      </c>
      <c r="N39" s="158">
        <v>517808.52</v>
      </c>
    </row>
    <row r="40" spans="1:14" hidden="1" x14ac:dyDescent="0.35">
      <c r="A40" s="2" t="s">
        <v>1085</v>
      </c>
      <c r="B40" s="2" t="s">
        <v>790</v>
      </c>
      <c r="C40" s="18" t="s">
        <v>1086</v>
      </c>
      <c r="D40" s="37" t="s">
        <v>507</v>
      </c>
      <c r="E40" s="18" t="s">
        <v>4776</v>
      </c>
      <c r="F40" s="19">
        <v>46053</v>
      </c>
      <c r="G40" s="179">
        <v>472167.99</v>
      </c>
      <c r="H40" s="37">
        <f t="shared" si="9"/>
        <v>182</v>
      </c>
      <c r="I40" s="37" t="str">
        <f t="shared" si="8"/>
        <v>More than 180 Days</v>
      </c>
      <c r="J40" s="37" t="str">
        <f t="shared" si="10"/>
        <v>More than 180 Days</v>
      </c>
      <c r="M40" s="158" t="s">
        <v>4795</v>
      </c>
      <c r="N40" s="158">
        <v>472167.99</v>
      </c>
    </row>
    <row r="41" spans="1:14" hidden="1" x14ac:dyDescent="0.35">
      <c r="A41" s="2" t="s">
        <v>1085</v>
      </c>
      <c r="B41" s="2" t="s">
        <v>790</v>
      </c>
      <c r="C41" s="18" t="s">
        <v>1086</v>
      </c>
      <c r="D41" s="37" t="s">
        <v>507</v>
      </c>
      <c r="E41" s="18" t="s">
        <v>4777</v>
      </c>
      <c r="F41" s="19">
        <v>46053</v>
      </c>
      <c r="G41" s="179">
        <v>1557453.95</v>
      </c>
      <c r="H41" s="37">
        <f t="shared" si="9"/>
        <v>182</v>
      </c>
      <c r="I41" s="37" t="str">
        <f t="shared" si="8"/>
        <v>More than 180 Days</v>
      </c>
      <c r="J41" s="37" t="str">
        <f t="shared" si="10"/>
        <v>More than 180 Days</v>
      </c>
      <c r="M41" s="158" t="s">
        <v>4795</v>
      </c>
      <c r="N41" s="158">
        <v>1557453.95</v>
      </c>
    </row>
    <row r="42" spans="1:14" hidden="1" x14ac:dyDescent="0.35">
      <c r="A42" s="2" t="s">
        <v>477</v>
      </c>
      <c r="B42" s="2" t="s">
        <v>790</v>
      </c>
      <c r="C42" s="18" t="s">
        <v>4779</v>
      </c>
      <c r="D42" s="18" t="s">
        <v>4782</v>
      </c>
      <c r="E42" s="18" t="s">
        <v>4785</v>
      </c>
      <c r="F42" s="19">
        <v>46030</v>
      </c>
      <c r="G42" s="179">
        <v>20472507</v>
      </c>
      <c r="H42" s="37">
        <f t="shared" si="9"/>
        <v>205</v>
      </c>
      <c r="I42" s="37" t="str">
        <f t="shared" ref="I42:I44" si="11">IF(H42&lt;91,"1-90 DAYS",IF(H42&lt;121,"91-120DAYS",IF(H42&lt;181,"121-180 DAYS","More than 180 Days")))</f>
        <v>More than 180 Days</v>
      </c>
      <c r="J42" s="37" t="str">
        <f t="shared" si="10"/>
        <v>More than 180 Days</v>
      </c>
      <c r="M42" s="158" t="s">
        <v>4803</v>
      </c>
      <c r="N42" s="158">
        <v>20472507</v>
      </c>
    </row>
    <row r="43" spans="1:14" hidden="1" x14ac:dyDescent="0.35">
      <c r="A43" s="2" t="s">
        <v>477</v>
      </c>
      <c r="B43" s="2" t="s">
        <v>790</v>
      </c>
      <c r="C43" s="18" t="s">
        <v>263</v>
      </c>
      <c r="D43" s="18" t="s">
        <v>264</v>
      </c>
      <c r="E43" s="18" t="s">
        <v>4786</v>
      </c>
      <c r="F43" s="19">
        <v>46032</v>
      </c>
      <c r="G43" s="179">
        <v>861614.76</v>
      </c>
      <c r="H43" s="37">
        <f t="shared" si="9"/>
        <v>203</v>
      </c>
      <c r="I43" s="37" t="str">
        <f t="shared" si="11"/>
        <v>More than 180 Days</v>
      </c>
      <c r="J43" s="37" t="str">
        <f t="shared" si="10"/>
        <v>More than 180 Days</v>
      </c>
      <c r="M43" s="158" t="s">
        <v>4804</v>
      </c>
      <c r="N43" s="158">
        <v>861614.76</v>
      </c>
    </row>
    <row r="44" spans="1:14" hidden="1" x14ac:dyDescent="0.35">
      <c r="A44" s="2" t="s">
        <v>477</v>
      </c>
      <c r="B44" s="2" t="s">
        <v>790</v>
      </c>
      <c r="C44" s="18" t="s">
        <v>263</v>
      </c>
      <c r="D44" s="18" t="s">
        <v>264</v>
      </c>
      <c r="E44" s="18" t="s">
        <v>2962</v>
      </c>
      <c r="F44" s="19">
        <v>46053</v>
      </c>
      <c r="G44" s="179">
        <v>545259.12</v>
      </c>
      <c r="H44" s="37">
        <f t="shared" si="9"/>
        <v>182</v>
      </c>
      <c r="I44" s="37" t="str">
        <f t="shared" si="11"/>
        <v>More than 180 Days</v>
      </c>
      <c r="J44" s="37" t="str">
        <f t="shared" si="10"/>
        <v>More than 180 Days</v>
      </c>
      <c r="M44" s="158" t="s">
        <v>4795</v>
      </c>
      <c r="N44" s="158">
        <v>545259.12</v>
      </c>
    </row>
    <row r="45" spans="1:14" hidden="1" x14ac:dyDescent="0.35">
      <c r="A45" s="2" t="s">
        <v>1085</v>
      </c>
      <c r="B45" s="2" t="s">
        <v>790</v>
      </c>
      <c r="C45" s="18" t="s">
        <v>1086</v>
      </c>
      <c r="D45" s="37" t="s">
        <v>507</v>
      </c>
      <c r="E45" s="18" t="s">
        <v>4811</v>
      </c>
      <c r="F45" s="19">
        <v>46069</v>
      </c>
      <c r="G45" s="179">
        <v>796272.2</v>
      </c>
      <c r="H45" s="37">
        <f t="shared" si="9"/>
        <v>166</v>
      </c>
      <c r="I45" s="37" t="str">
        <f t="shared" ref="I45:I64" si="12">IF(H45&lt;121,"0-120 DAYS",IF(H45&lt;181,"121-180 DAYS","More than 180 Days"))</f>
        <v>121-180 DAYS</v>
      </c>
      <c r="J45" s="37" t="str">
        <f t="shared" si="10"/>
        <v>0-180 DAYS</v>
      </c>
      <c r="M45" s="158" t="s">
        <v>4847</v>
      </c>
      <c r="N45" s="158">
        <v>796272.2</v>
      </c>
    </row>
    <row r="46" spans="1:14" hidden="1" x14ac:dyDescent="0.35">
      <c r="A46" s="2" t="s">
        <v>1085</v>
      </c>
      <c r="B46" s="2" t="s">
        <v>790</v>
      </c>
      <c r="C46" s="18" t="s">
        <v>1086</v>
      </c>
      <c r="D46" s="37" t="s">
        <v>507</v>
      </c>
      <c r="E46" s="18" t="s">
        <v>4812</v>
      </c>
      <c r="F46" s="19">
        <v>46069</v>
      </c>
      <c r="G46" s="179">
        <v>686306.61</v>
      </c>
      <c r="H46" s="37">
        <f t="shared" si="9"/>
        <v>166</v>
      </c>
      <c r="I46" s="37" t="str">
        <f t="shared" si="12"/>
        <v>121-180 DAYS</v>
      </c>
      <c r="J46" s="37" t="str">
        <f t="shared" si="10"/>
        <v>0-180 DAYS</v>
      </c>
      <c r="M46" s="158" t="s">
        <v>4847</v>
      </c>
      <c r="N46" s="158">
        <v>686306.61</v>
      </c>
    </row>
    <row r="47" spans="1:14" hidden="1" x14ac:dyDescent="0.35">
      <c r="A47" s="2" t="s">
        <v>1085</v>
      </c>
      <c r="B47" s="2" t="s">
        <v>790</v>
      </c>
      <c r="C47" s="18" t="s">
        <v>1086</v>
      </c>
      <c r="D47" s="37" t="s">
        <v>507</v>
      </c>
      <c r="E47" s="18" t="s">
        <v>4813</v>
      </c>
      <c r="F47" s="19">
        <v>46069</v>
      </c>
      <c r="G47" s="179">
        <v>627027.34</v>
      </c>
      <c r="H47" s="37">
        <f t="shared" si="9"/>
        <v>166</v>
      </c>
      <c r="I47" s="37" t="str">
        <f t="shared" si="12"/>
        <v>121-180 DAYS</v>
      </c>
      <c r="J47" s="37" t="str">
        <f t="shared" si="10"/>
        <v>0-180 DAYS</v>
      </c>
      <c r="M47" s="158" t="s">
        <v>4847</v>
      </c>
      <c r="N47" s="158">
        <v>627027.34</v>
      </c>
    </row>
    <row r="48" spans="1:14" hidden="1" x14ac:dyDescent="0.35">
      <c r="A48" s="2" t="s">
        <v>1085</v>
      </c>
      <c r="B48" s="2" t="s">
        <v>790</v>
      </c>
      <c r="C48" s="18" t="s">
        <v>1086</v>
      </c>
      <c r="D48" s="37" t="s">
        <v>507</v>
      </c>
      <c r="E48" s="18" t="s">
        <v>4814</v>
      </c>
      <c r="F48" s="19">
        <v>46069</v>
      </c>
      <c r="G48" s="179">
        <v>383813.17</v>
      </c>
      <c r="H48" s="37">
        <f t="shared" si="9"/>
        <v>166</v>
      </c>
      <c r="I48" s="37" t="str">
        <f t="shared" si="12"/>
        <v>121-180 DAYS</v>
      </c>
      <c r="J48" s="37" t="str">
        <f t="shared" si="10"/>
        <v>0-180 DAYS</v>
      </c>
      <c r="M48" s="158" t="s">
        <v>4847</v>
      </c>
      <c r="N48" s="158">
        <v>383813.17</v>
      </c>
    </row>
    <row r="49" spans="1:14" hidden="1" x14ac:dyDescent="0.35">
      <c r="A49" s="2" t="s">
        <v>1085</v>
      </c>
      <c r="B49" s="2" t="s">
        <v>790</v>
      </c>
      <c r="C49" s="18" t="s">
        <v>1086</v>
      </c>
      <c r="D49" s="37" t="s">
        <v>507</v>
      </c>
      <c r="E49" s="18" t="s">
        <v>4816</v>
      </c>
      <c r="F49" s="19">
        <v>46079</v>
      </c>
      <c r="G49" s="179">
        <v>872452.28</v>
      </c>
      <c r="H49" s="37">
        <f t="shared" si="9"/>
        <v>156</v>
      </c>
      <c r="I49" s="37" t="str">
        <f t="shared" si="12"/>
        <v>121-180 DAYS</v>
      </c>
      <c r="J49" s="37" t="str">
        <f t="shared" si="10"/>
        <v>0-180 DAYS</v>
      </c>
      <c r="M49" s="158" t="s">
        <v>4854</v>
      </c>
      <c r="N49" s="158">
        <v>872452.28</v>
      </c>
    </row>
    <row r="50" spans="1:14" hidden="1" x14ac:dyDescent="0.35">
      <c r="A50" s="2" t="s">
        <v>1085</v>
      </c>
      <c r="B50" s="2" t="s">
        <v>790</v>
      </c>
      <c r="C50" s="18" t="s">
        <v>1086</v>
      </c>
      <c r="D50" s="37" t="s">
        <v>507</v>
      </c>
      <c r="E50" s="18" t="s">
        <v>4817</v>
      </c>
      <c r="F50" s="19">
        <v>46079</v>
      </c>
      <c r="G50" s="179">
        <v>541973.92000000004</v>
      </c>
      <c r="H50" s="37">
        <f t="shared" si="9"/>
        <v>156</v>
      </c>
      <c r="I50" s="37" t="str">
        <f t="shared" si="12"/>
        <v>121-180 DAYS</v>
      </c>
      <c r="J50" s="37" t="str">
        <f t="shared" si="10"/>
        <v>0-180 DAYS</v>
      </c>
      <c r="M50" s="158" t="s">
        <v>4854</v>
      </c>
      <c r="N50" s="158">
        <v>541973.92000000004</v>
      </c>
    </row>
    <row r="51" spans="1:14" hidden="1" x14ac:dyDescent="0.35">
      <c r="A51" s="2" t="s">
        <v>1085</v>
      </c>
      <c r="B51" s="2" t="s">
        <v>790</v>
      </c>
      <c r="C51" s="18" t="s">
        <v>1086</v>
      </c>
      <c r="D51" s="37" t="s">
        <v>507</v>
      </c>
      <c r="E51" s="18" t="s">
        <v>4818</v>
      </c>
      <c r="F51" s="19">
        <v>46079</v>
      </c>
      <c r="G51" s="179">
        <v>340716.07</v>
      </c>
      <c r="H51" s="37">
        <f t="shared" si="9"/>
        <v>156</v>
      </c>
      <c r="I51" s="37" t="str">
        <f t="shared" si="12"/>
        <v>121-180 DAYS</v>
      </c>
      <c r="J51" s="37" t="str">
        <f t="shared" si="10"/>
        <v>0-180 DAYS</v>
      </c>
      <c r="M51" s="158" t="s">
        <v>4854</v>
      </c>
      <c r="N51" s="158">
        <v>340716.07</v>
      </c>
    </row>
    <row r="52" spans="1:14" hidden="1" x14ac:dyDescent="0.35">
      <c r="A52" s="2" t="s">
        <v>1085</v>
      </c>
      <c r="B52" s="2" t="s">
        <v>790</v>
      </c>
      <c r="C52" s="18" t="s">
        <v>1086</v>
      </c>
      <c r="D52" s="37" t="s">
        <v>507</v>
      </c>
      <c r="E52" s="18" t="s">
        <v>4819</v>
      </c>
      <c r="F52" s="19">
        <v>46079</v>
      </c>
      <c r="G52" s="179">
        <v>429326.74</v>
      </c>
      <c r="H52" s="37">
        <f t="shared" si="9"/>
        <v>156</v>
      </c>
      <c r="I52" s="37" t="str">
        <f t="shared" si="12"/>
        <v>121-180 DAYS</v>
      </c>
      <c r="J52" s="37" t="str">
        <f t="shared" si="10"/>
        <v>0-180 DAYS</v>
      </c>
      <c r="M52" s="158" t="s">
        <v>4854</v>
      </c>
      <c r="N52" s="158">
        <v>429326.74</v>
      </c>
    </row>
    <row r="53" spans="1:14" hidden="1" x14ac:dyDescent="0.35">
      <c r="A53" s="2" t="s">
        <v>1085</v>
      </c>
      <c r="B53" s="2" t="s">
        <v>790</v>
      </c>
      <c r="C53" s="18" t="s">
        <v>1086</v>
      </c>
      <c r="D53" s="37" t="s">
        <v>507</v>
      </c>
      <c r="E53" s="18" t="s">
        <v>4820</v>
      </c>
      <c r="F53" s="19">
        <v>46079</v>
      </c>
      <c r="G53" s="179">
        <v>320390.40000000002</v>
      </c>
      <c r="H53" s="37">
        <f t="shared" si="9"/>
        <v>156</v>
      </c>
      <c r="I53" s="37" t="str">
        <f t="shared" si="12"/>
        <v>121-180 DAYS</v>
      </c>
      <c r="J53" s="37" t="str">
        <f t="shared" si="10"/>
        <v>0-180 DAYS</v>
      </c>
      <c r="M53" s="158" t="s">
        <v>4854</v>
      </c>
      <c r="N53" s="158">
        <v>320390.40000000002</v>
      </c>
    </row>
    <row r="54" spans="1:14" hidden="1" x14ac:dyDescent="0.35">
      <c r="A54" s="2" t="s">
        <v>1085</v>
      </c>
      <c r="B54" s="2" t="s">
        <v>790</v>
      </c>
      <c r="C54" s="18" t="s">
        <v>1086</v>
      </c>
      <c r="D54" s="37" t="s">
        <v>507</v>
      </c>
      <c r="E54" s="18" t="s">
        <v>4822</v>
      </c>
      <c r="F54" s="19">
        <v>46057</v>
      </c>
      <c r="G54" s="179">
        <v>90475.55</v>
      </c>
      <c r="H54" s="37">
        <f t="shared" si="9"/>
        <v>178</v>
      </c>
      <c r="I54" s="37" t="str">
        <f t="shared" si="12"/>
        <v>121-180 DAYS</v>
      </c>
      <c r="J54" s="37" t="str">
        <f t="shared" si="10"/>
        <v>0-180 DAYS</v>
      </c>
      <c r="M54" s="158" t="s">
        <v>4844</v>
      </c>
      <c r="N54" s="158">
        <v>90475.55</v>
      </c>
    </row>
    <row r="55" spans="1:14" hidden="1" x14ac:dyDescent="0.35">
      <c r="A55" s="2" t="s">
        <v>1085</v>
      </c>
      <c r="B55" s="2" t="s">
        <v>790</v>
      </c>
      <c r="C55" s="18" t="s">
        <v>1086</v>
      </c>
      <c r="D55" s="37" t="s">
        <v>507</v>
      </c>
      <c r="E55" s="18" t="s">
        <v>4823</v>
      </c>
      <c r="F55" s="19">
        <v>46057</v>
      </c>
      <c r="G55" s="179">
        <v>2223085.13</v>
      </c>
      <c r="H55" s="37">
        <f t="shared" si="9"/>
        <v>178</v>
      </c>
      <c r="I55" s="37" t="str">
        <f t="shared" si="12"/>
        <v>121-180 DAYS</v>
      </c>
      <c r="J55" s="37" t="str">
        <f t="shared" si="10"/>
        <v>0-180 DAYS</v>
      </c>
      <c r="M55" s="158" t="s">
        <v>4844</v>
      </c>
      <c r="N55" s="158">
        <v>2223085.13</v>
      </c>
    </row>
    <row r="56" spans="1:14" hidden="1" x14ac:dyDescent="0.35">
      <c r="A56" s="2" t="s">
        <v>1085</v>
      </c>
      <c r="B56" s="2" t="s">
        <v>790</v>
      </c>
      <c r="C56" s="18" t="s">
        <v>1086</v>
      </c>
      <c r="D56" s="37" t="s">
        <v>507</v>
      </c>
      <c r="E56" s="18" t="s">
        <v>4824</v>
      </c>
      <c r="F56" s="19">
        <v>46058</v>
      </c>
      <c r="G56" s="179">
        <v>226322.24</v>
      </c>
      <c r="H56" s="37">
        <f t="shared" si="9"/>
        <v>177</v>
      </c>
      <c r="I56" s="37" t="str">
        <f t="shared" si="12"/>
        <v>121-180 DAYS</v>
      </c>
      <c r="J56" s="37" t="str">
        <f t="shared" si="10"/>
        <v>0-180 DAYS</v>
      </c>
      <c r="M56" s="158" t="s">
        <v>4855</v>
      </c>
      <c r="N56" s="158">
        <v>226322.24</v>
      </c>
    </row>
    <row r="57" spans="1:14" hidden="1" x14ac:dyDescent="0.35">
      <c r="A57" s="2" t="s">
        <v>1085</v>
      </c>
      <c r="B57" s="2" t="s">
        <v>790</v>
      </c>
      <c r="C57" s="18" t="s">
        <v>1086</v>
      </c>
      <c r="D57" s="37" t="s">
        <v>507</v>
      </c>
      <c r="E57" s="18" t="s">
        <v>4825</v>
      </c>
      <c r="F57" s="19">
        <v>46058</v>
      </c>
      <c r="G57" s="179">
        <v>997138.3</v>
      </c>
      <c r="H57" s="37">
        <f t="shared" si="9"/>
        <v>177</v>
      </c>
      <c r="I57" s="37" t="str">
        <f t="shared" si="12"/>
        <v>121-180 DAYS</v>
      </c>
      <c r="J57" s="37" t="str">
        <f t="shared" si="10"/>
        <v>0-180 DAYS</v>
      </c>
      <c r="M57" s="158" t="s">
        <v>4855</v>
      </c>
      <c r="N57" s="158">
        <v>997138.3</v>
      </c>
    </row>
    <row r="58" spans="1:14" hidden="1" x14ac:dyDescent="0.35">
      <c r="A58" s="2" t="s">
        <v>1085</v>
      </c>
      <c r="B58" s="2" t="s">
        <v>790</v>
      </c>
      <c r="C58" s="18" t="s">
        <v>1086</v>
      </c>
      <c r="D58" s="37" t="s">
        <v>507</v>
      </c>
      <c r="E58" s="18" t="s">
        <v>4826</v>
      </c>
      <c r="F58" s="19">
        <v>46058</v>
      </c>
      <c r="G58" s="179">
        <v>586562.42000000004</v>
      </c>
      <c r="H58" s="37">
        <f t="shared" si="9"/>
        <v>177</v>
      </c>
      <c r="I58" s="37" t="str">
        <f t="shared" si="12"/>
        <v>121-180 DAYS</v>
      </c>
      <c r="J58" s="37" t="str">
        <f t="shared" si="10"/>
        <v>0-180 DAYS</v>
      </c>
      <c r="M58" s="158" t="s">
        <v>4855</v>
      </c>
      <c r="N58" s="158">
        <v>586562.42000000004</v>
      </c>
    </row>
    <row r="59" spans="1:14" hidden="1" x14ac:dyDescent="0.35">
      <c r="A59" s="2" t="s">
        <v>1085</v>
      </c>
      <c r="B59" s="2" t="s">
        <v>790</v>
      </c>
      <c r="C59" s="18" t="s">
        <v>1086</v>
      </c>
      <c r="D59" s="37" t="s">
        <v>507</v>
      </c>
      <c r="E59" s="18" t="s">
        <v>4827</v>
      </c>
      <c r="F59" s="19">
        <v>46058</v>
      </c>
      <c r="G59" s="179">
        <v>764710.38</v>
      </c>
      <c r="H59" s="37">
        <f t="shared" ref="H59:H81" si="13">$H$1-F59+1</f>
        <v>177</v>
      </c>
      <c r="I59" s="37" t="str">
        <f t="shared" si="12"/>
        <v>121-180 DAYS</v>
      </c>
      <c r="J59" s="37" t="str">
        <f t="shared" si="10"/>
        <v>0-180 DAYS</v>
      </c>
      <c r="M59" s="158" t="s">
        <v>4855</v>
      </c>
      <c r="N59" s="158">
        <v>764710.38</v>
      </c>
    </row>
    <row r="60" spans="1:14" hidden="1" x14ac:dyDescent="0.35">
      <c r="A60" s="2" t="s">
        <v>1085</v>
      </c>
      <c r="B60" s="2" t="s">
        <v>790</v>
      </c>
      <c r="C60" s="18" t="s">
        <v>1086</v>
      </c>
      <c r="D60" s="37" t="s">
        <v>507</v>
      </c>
      <c r="E60" s="18" t="s">
        <v>4830</v>
      </c>
      <c r="F60" s="19">
        <v>46066</v>
      </c>
      <c r="G60" s="179">
        <v>47492.09</v>
      </c>
      <c r="H60" s="37">
        <f t="shared" si="13"/>
        <v>169</v>
      </c>
      <c r="I60" s="37" t="str">
        <f t="shared" si="12"/>
        <v>121-180 DAYS</v>
      </c>
      <c r="J60" s="37" t="str">
        <f t="shared" ref="J60:J81" si="14">IF(H60&lt;180,"0-180 DAYS","More than 180 Days")</f>
        <v>0-180 DAYS</v>
      </c>
      <c r="M60" s="158" t="s">
        <v>4846</v>
      </c>
      <c r="N60" s="158">
        <v>47492.09</v>
      </c>
    </row>
    <row r="61" spans="1:14" hidden="1" x14ac:dyDescent="0.35">
      <c r="A61" s="2" t="s">
        <v>1085</v>
      </c>
      <c r="B61" s="2" t="s">
        <v>790</v>
      </c>
      <c r="C61" s="18" t="s">
        <v>1086</v>
      </c>
      <c r="D61" s="37" t="s">
        <v>507</v>
      </c>
      <c r="E61" s="18" t="s">
        <v>4831</v>
      </c>
      <c r="F61" s="19">
        <v>46066</v>
      </c>
      <c r="G61" s="179">
        <v>2141245.42</v>
      </c>
      <c r="H61" s="37">
        <f t="shared" si="13"/>
        <v>169</v>
      </c>
      <c r="I61" s="37" t="str">
        <f t="shared" si="12"/>
        <v>121-180 DAYS</v>
      </c>
      <c r="J61" s="37" t="str">
        <f t="shared" si="14"/>
        <v>0-180 DAYS</v>
      </c>
      <c r="M61" s="158" t="s">
        <v>4846</v>
      </c>
      <c r="N61" s="158">
        <v>2141245.42</v>
      </c>
    </row>
    <row r="62" spans="1:14" hidden="1" x14ac:dyDescent="0.35">
      <c r="A62" s="2" t="s">
        <v>1085</v>
      </c>
      <c r="B62" s="2" t="s">
        <v>790</v>
      </c>
      <c r="C62" s="18" t="s">
        <v>1086</v>
      </c>
      <c r="D62" s="37" t="s">
        <v>507</v>
      </c>
      <c r="E62" s="18" t="s">
        <v>4833</v>
      </c>
      <c r="F62" s="19">
        <v>46072</v>
      </c>
      <c r="G62" s="179">
        <v>635323.69999999995</v>
      </c>
      <c r="H62" s="37">
        <f t="shared" si="13"/>
        <v>163</v>
      </c>
      <c r="I62" s="37" t="str">
        <f t="shared" si="12"/>
        <v>121-180 DAYS</v>
      </c>
      <c r="J62" s="37" t="str">
        <f t="shared" si="14"/>
        <v>0-180 DAYS</v>
      </c>
      <c r="M62" s="158" t="s">
        <v>4849</v>
      </c>
      <c r="N62" s="158">
        <v>635323.69999999995</v>
      </c>
    </row>
    <row r="63" spans="1:14" hidden="1" x14ac:dyDescent="0.35">
      <c r="A63" s="2" t="s">
        <v>1085</v>
      </c>
      <c r="B63" s="2" t="s">
        <v>790</v>
      </c>
      <c r="C63" s="18" t="s">
        <v>1086</v>
      </c>
      <c r="D63" s="37" t="s">
        <v>507</v>
      </c>
      <c r="E63" s="18" t="s">
        <v>4834</v>
      </c>
      <c r="F63" s="19">
        <v>46072</v>
      </c>
      <c r="G63" s="179">
        <v>90983.84</v>
      </c>
      <c r="H63" s="37">
        <f t="shared" si="13"/>
        <v>163</v>
      </c>
      <c r="I63" s="37" t="str">
        <f t="shared" si="12"/>
        <v>121-180 DAYS</v>
      </c>
      <c r="J63" s="37" t="str">
        <f t="shared" si="14"/>
        <v>0-180 DAYS</v>
      </c>
      <c r="M63" s="158" t="s">
        <v>4849</v>
      </c>
      <c r="N63" s="158">
        <v>90983.84</v>
      </c>
    </row>
    <row r="64" spans="1:14" hidden="1" x14ac:dyDescent="0.35">
      <c r="A64" s="2" t="s">
        <v>1085</v>
      </c>
      <c r="B64" s="2" t="s">
        <v>790</v>
      </c>
      <c r="C64" s="18" t="s">
        <v>1086</v>
      </c>
      <c r="D64" s="37" t="s">
        <v>507</v>
      </c>
      <c r="E64" s="18" t="s">
        <v>4835</v>
      </c>
      <c r="F64" s="19">
        <v>46072</v>
      </c>
      <c r="G64" s="179">
        <v>1714734.47</v>
      </c>
      <c r="H64" s="37">
        <f t="shared" si="13"/>
        <v>163</v>
      </c>
      <c r="I64" s="37" t="str">
        <f t="shared" si="12"/>
        <v>121-180 DAYS</v>
      </c>
      <c r="J64" s="37" t="str">
        <f t="shared" si="14"/>
        <v>0-180 DAYS</v>
      </c>
      <c r="M64" s="158" t="s">
        <v>4849</v>
      </c>
      <c r="N64" s="158">
        <v>1714734.47</v>
      </c>
    </row>
    <row r="65" spans="1:14" hidden="1" x14ac:dyDescent="0.35">
      <c r="A65" s="2" t="s">
        <v>477</v>
      </c>
      <c r="B65" s="2" t="s">
        <v>790</v>
      </c>
      <c r="C65" s="18" t="s">
        <v>263</v>
      </c>
      <c r="D65" s="18" t="s">
        <v>264</v>
      </c>
      <c r="E65" s="18" t="s">
        <v>4837</v>
      </c>
      <c r="F65" s="19">
        <v>46070</v>
      </c>
      <c r="G65" s="179">
        <v>967574.04</v>
      </c>
      <c r="H65" s="37">
        <f t="shared" si="13"/>
        <v>165</v>
      </c>
      <c r="I65" s="37" t="str">
        <f>IF(H65&lt;91,"1-90 DAYS",IF(H65&lt;121,"91-120DAYS",IF(H65&lt;181,"121-180 DAYS","More than 180 Days")))</f>
        <v>121-180 DAYS</v>
      </c>
      <c r="J65" s="37" t="str">
        <f t="shared" si="14"/>
        <v>0-180 DAYS</v>
      </c>
      <c r="M65" s="158" t="s">
        <v>4848</v>
      </c>
      <c r="N65" s="158">
        <v>967574.04</v>
      </c>
    </row>
    <row r="66" spans="1:14" hidden="1" x14ac:dyDescent="0.35">
      <c r="A66" s="2" t="s">
        <v>477</v>
      </c>
      <c r="B66" s="2" t="s">
        <v>790</v>
      </c>
      <c r="C66" s="18" t="s">
        <v>4745</v>
      </c>
      <c r="D66" s="18" t="s">
        <v>4751</v>
      </c>
      <c r="E66" s="18" t="s">
        <v>3370</v>
      </c>
      <c r="F66" s="19">
        <v>46073</v>
      </c>
      <c r="G66" s="179">
        <f>-34331+117034.76</f>
        <v>82703.759999999995</v>
      </c>
      <c r="H66" s="37">
        <f t="shared" si="13"/>
        <v>162</v>
      </c>
      <c r="I66" s="37" t="str">
        <f>IF(H66&lt;91,"1-90 DAYS",IF(H66&lt;121,"91-120DAYS",IF(H66&lt;181,"121-180 DAYS","More than 180 Days")))</f>
        <v>121-180 DAYS</v>
      </c>
      <c r="J66" s="37" t="str">
        <f t="shared" si="14"/>
        <v>0-180 DAYS</v>
      </c>
      <c r="M66" s="158" t="s">
        <v>4850</v>
      </c>
      <c r="N66" s="158">
        <v>82703.759999999995</v>
      </c>
    </row>
    <row r="67" spans="1:14" hidden="1" x14ac:dyDescent="0.35">
      <c r="A67" s="2" t="s">
        <v>1085</v>
      </c>
      <c r="B67" s="2" t="s">
        <v>790</v>
      </c>
      <c r="C67" s="18" t="s">
        <v>1086</v>
      </c>
      <c r="D67" s="37" t="s">
        <v>507</v>
      </c>
      <c r="E67" s="18" t="s">
        <v>4861</v>
      </c>
      <c r="F67" s="19">
        <v>46094</v>
      </c>
      <c r="G67" s="179">
        <v>817496.01</v>
      </c>
      <c r="H67" s="37">
        <f t="shared" si="13"/>
        <v>141</v>
      </c>
      <c r="I67" s="37" t="str">
        <f t="shared" ref="I67:I81" si="15">IF(H67&lt;121,"0-120 DAYS",IF(H67&lt;181,"121-180 DAYS","More than 180 Days"))</f>
        <v>121-180 DAYS</v>
      </c>
      <c r="J67" s="37" t="str">
        <f t="shared" si="14"/>
        <v>0-180 DAYS</v>
      </c>
      <c r="M67" s="158" t="s">
        <v>4900</v>
      </c>
      <c r="N67" s="158">
        <v>817496.01</v>
      </c>
    </row>
    <row r="68" spans="1:14" hidden="1" x14ac:dyDescent="0.35">
      <c r="A68" s="2" t="s">
        <v>1085</v>
      </c>
      <c r="B68" s="2" t="s">
        <v>790</v>
      </c>
      <c r="C68" s="18" t="s">
        <v>1086</v>
      </c>
      <c r="D68" s="37" t="s">
        <v>507</v>
      </c>
      <c r="E68" s="18" t="s">
        <v>4862</v>
      </c>
      <c r="F68" s="19">
        <v>46094</v>
      </c>
      <c r="G68" s="179">
        <v>687051.82</v>
      </c>
      <c r="H68" s="37">
        <f t="shared" si="13"/>
        <v>141</v>
      </c>
      <c r="I68" s="37" t="str">
        <f t="shared" si="15"/>
        <v>121-180 DAYS</v>
      </c>
      <c r="J68" s="37" t="str">
        <f t="shared" si="14"/>
        <v>0-180 DAYS</v>
      </c>
      <c r="M68" s="158" t="s">
        <v>4900</v>
      </c>
      <c r="N68" s="158">
        <v>687051.82</v>
      </c>
    </row>
    <row r="69" spans="1:14" hidden="1" x14ac:dyDescent="0.35">
      <c r="A69" s="2" t="s">
        <v>1085</v>
      </c>
      <c r="B69" s="2" t="s">
        <v>790</v>
      </c>
      <c r="C69" s="18" t="s">
        <v>1086</v>
      </c>
      <c r="D69" s="37" t="s">
        <v>507</v>
      </c>
      <c r="E69" s="18" t="s">
        <v>4863</v>
      </c>
      <c r="F69" s="19">
        <v>46094</v>
      </c>
      <c r="G69" s="179">
        <v>900740.54</v>
      </c>
      <c r="H69" s="37">
        <f t="shared" si="13"/>
        <v>141</v>
      </c>
      <c r="I69" s="37" t="str">
        <f t="shared" si="15"/>
        <v>121-180 DAYS</v>
      </c>
      <c r="J69" s="37" t="str">
        <f t="shared" si="14"/>
        <v>0-180 DAYS</v>
      </c>
      <c r="M69" s="158" t="s">
        <v>4900</v>
      </c>
      <c r="N69" s="158">
        <v>900740.54</v>
      </c>
    </row>
    <row r="70" spans="1:14" hidden="1" x14ac:dyDescent="0.35">
      <c r="A70" s="2" t="s">
        <v>1085</v>
      </c>
      <c r="B70" s="2" t="s">
        <v>790</v>
      </c>
      <c r="C70" s="18" t="s">
        <v>1086</v>
      </c>
      <c r="D70" s="37" t="s">
        <v>507</v>
      </c>
      <c r="E70" s="18" t="s">
        <v>4864</v>
      </c>
      <c r="F70" s="19">
        <v>46094</v>
      </c>
      <c r="G70" s="179">
        <v>280790.83</v>
      </c>
      <c r="H70" s="37">
        <f t="shared" si="13"/>
        <v>141</v>
      </c>
      <c r="I70" s="37" t="str">
        <f t="shared" si="15"/>
        <v>121-180 DAYS</v>
      </c>
      <c r="J70" s="37" t="str">
        <f t="shared" si="14"/>
        <v>0-180 DAYS</v>
      </c>
      <c r="M70" s="158" t="s">
        <v>4900</v>
      </c>
      <c r="N70" s="158">
        <v>280790.83</v>
      </c>
    </row>
    <row r="71" spans="1:14" hidden="1" x14ac:dyDescent="0.35">
      <c r="A71" s="2" t="s">
        <v>1085</v>
      </c>
      <c r="B71" s="2" t="s">
        <v>790</v>
      </c>
      <c r="C71" s="18" t="s">
        <v>1055</v>
      </c>
      <c r="D71" s="37" t="s">
        <v>507</v>
      </c>
      <c r="E71" s="18" t="s">
        <v>4866</v>
      </c>
      <c r="F71" s="19">
        <v>46101</v>
      </c>
      <c r="G71" s="179">
        <f>3215187-3087537</f>
        <v>127650</v>
      </c>
      <c r="H71" s="37">
        <f t="shared" si="13"/>
        <v>134</v>
      </c>
      <c r="I71" s="37" t="str">
        <f t="shared" si="15"/>
        <v>121-180 DAYS</v>
      </c>
      <c r="J71" s="37" t="str">
        <f t="shared" si="14"/>
        <v>0-180 DAYS</v>
      </c>
      <c r="M71" s="158" t="s">
        <v>4904</v>
      </c>
      <c r="N71" s="158">
        <v>127650</v>
      </c>
    </row>
    <row r="72" spans="1:14" hidden="1" x14ac:dyDescent="0.35">
      <c r="A72" s="2" t="s">
        <v>1085</v>
      </c>
      <c r="B72" s="2" t="s">
        <v>790</v>
      </c>
      <c r="C72" s="18" t="s">
        <v>1764</v>
      </c>
      <c r="D72" s="37" t="s">
        <v>507</v>
      </c>
      <c r="E72" s="18" t="s">
        <v>4867</v>
      </c>
      <c r="F72" s="19">
        <v>46102</v>
      </c>
      <c r="G72" s="179">
        <f>-3898425+3900733.2</f>
        <v>2308.2000000001863</v>
      </c>
      <c r="H72" s="37">
        <f t="shared" si="13"/>
        <v>133</v>
      </c>
      <c r="I72" s="37" t="str">
        <f t="shared" si="15"/>
        <v>121-180 DAYS</v>
      </c>
      <c r="J72" s="37" t="str">
        <f t="shared" si="14"/>
        <v>0-180 DAYS</v>
      </c>
      <c r="M72" s="158" t="s">
        <v>4905</v>
      </c>
      <c r="N72" s="158">
        <v>2308.1999999999998</v>
      </c>
    </row>
    <row r="73" spans="1:14" hidden="1" x14ac:dyDescent="0.35">
      <c r="A73" s="2" t="s">
        <v>1085</v>
      </c>
      <c r="B73" s="2" t="s">
        <v>790</v>
      </c>
      <c r="C73" s="18" t="s">
        <v>596</v>
      </c>
      <c r="D73" s="37" t="s">
        <v>507</v>
      </c>
      <c r="E73" s="18" t="s">
        <v>629</v>
      </c>
      <c r="F73" s="19">
        <v>46106</v>
      </c>
      <c r="G73" s="179">
        <v>5317</v>
      </c>
      <c r="H73" s="37">
        <f t="shared" si="13"/>
        <v>129</v>
      </c>
      <c r="I73" s="37" t="str">
        <f t="shared" si="15"/>
        <v>121-180 DAYS</v>
      </c>
      <c r="J73" s="37" t="str">
        <f t="shared" si="14"/>
        <v>0-180 DAYS</v>
      </c>
      <c r="M73" s="158" t="s">
        <v>4907</v>
      </c>
      <c r="N73" s="158">
        <v>5317</v>
      </c>
    </row>
    <row r="74" spans="1:14" hidden="1" x14ac:dyDescent="0.35">
      <c r="A74" s="2" t="s">
        <v>1085</v>
      </c>
      <c r="B74" s="2" t="s">
        <v>790</v>
      </c>
      <c r="C74" s="18" t="s">
        <v>4859</v>
      </c>
      <c r="D74" s="37" t="s">
        <v>507</v>
      </c>
      <c r="E74" s="18" t="s">
        <v>4869</v>
      </c>
      <c r="F74" s="19">
        <v>46108</v>
      </c>
      <c r="G74" s="179">
        <v>138825</v>
      </c>
      <c r="H74" s="37">
        <f t="shared" si="13"/>
        <v>127</v>
      </c>
      <c r="I74" s="37" t="str">
        <f t="shared" si="15"/>
        <v>121-180 DAYS</v>
      </c>
      <c r="J74" s="37" t="str">
        <f t="shared" si="14"/>
        <v>0-180 DAYS</v>
      </c>
      <c r="M74" s="158" t="s">
        <v>4909</v>
      </c>
      <c r="N74" s="158">
        <v>138825</v>
      </c>
    </row>
    <row r="75" spans="1:14" hidden="1" x14ac:dyDescent="0.35">
      <c r="A75" s="2" t="s">
        <v>1085</v>
      </c>
      <c r="B75" s="2" t="s">
        <v>790</v>
      </c>
      <c r="C75" s="18" t="s">
        <v>3796</v>
      </c>
      <c r="D75" s="37" t="s">
        <v>507</v>
      </c>
      <c r="E75" s="18" t="s">
        <v>4870</v>
      </c>
      <c r="F75" s="19">
        <v>46110</v>
      </c>
      <c r="G75" s="179">
        <f>-3247101+3256693.04</f>
        <v>9592.0400000000373</v>
      </c>
      <c r="H75" s="37">
        <f t="shared" si="13"/>
        <v>125</v>
      </c>
      <c r="I75" s="37" t="str">
        <f t="shared" si="15"/>
        <v>121-180 DAYS</v>
      </c>
      <c r="J75" s="37" t="str">
        <f t="shared" si="14"/>
        <v>0-180 DAYS</v>
      </c>
      <c r="M75" s="158" t="s">
        <v>4910</v>
      </c>
      <c r="N75" s="158">
        <v>9592.0400000000009</v>
      </c>
    </row>
    <row r="76" spans="1:14" hidden="1" x14ac:dyDescent="0.35">
      <c r="A76" s="2" t="s">
        <v>1085</v>
      </c>
      <c r="B76" s="2" t="s">
        <v>790</v>
      </c>
      <c r="C76" s="18" t="s">
        <v>814</v>
      </c>
      <c r="D76" s="37" t="s">
        <v>507</v>
      </c>
      <c r="E76" s="18" t="s">
        <v>4871</v>
      </c>
      <c r="F76" s="19">
        <v>46111</v>
      </c>
      <c r="G76" s="179">
        <v>2035</v>
      </c>
      <c r="H76" s="37">
        <f t="shared" si="13"/>
        <v>124</v>
      </c>
      <c r="I76" s="37" t="str">
        <f t="shared" si="15"/>
        <v>121-180 DAYS</v>
      </c>
      <c r="J76" s="37" t="str">
        <f t="shared" si="14"/>
        <v>0-180 DAYS</v>
      </c>
      <c r="M76" s="158" t="s">
        <v>4911</v>
      </c>
      <c r="N76" s="158">
        <v>2035</v>
      </c>
    </row>
    <row r="77" spans="1:14" hidden="1" x14ac:dyDescent="0.35">
      <c r="A77" s="2" t="s">
        <v>1085</v>
      </c>
      <c r="B77" s="2" t="s">
        <v>790</v>
      </c>
      <c r="C77" s="18" t="s">
        <v>570</v>
      </c>
      <c r="D77" s="37" t="s">
        <v>507</v>
      </c>
      <c r="E77" s="18" t="s">
        <v>4876</v>
      </c>
      <c r="F77" s="19">
        <v>46091</v>
      </c>
      <c r="G77" s="179">
        <v>219902.33000000007</v>
      </c>
      <c r="H77" s="37">
        <f t="shared" si="13"/>
        <v>144</v>
      </c>
      <c r="I77" s="37" t="str">
        <f t="shared" si="15"/>
        <v>121-180 DAYS</v>
      </c>
      <c r="J77" s="37" t="str">
        <f t="shared" si="14"/>
        <v>0-180 DAYS</v>
      </c>
      <c r="M77" s="158" t="s">
        <v>4914</v>
      </c>
      <c r="N77" s="158">
        <v>219902.33</v>
      </c>
    </row>
    <row r="78" spans="1:14" hidden="1" x14ac:dyDescent="0.35">
      <c r="A78" s="2" t="s">
        <v>1085</v>
      </c>
      <c r="B78" s="2" t="s">
        <v>790</v>
      </c>
      <c r="C78" s="18" t="s">
        <v>1086</v>
      </c>
      <c r="D78" s="37" t="s">
        <v>507</v>
      </c>
      <c r="E78" s="18" t="s">
        <v>4877</v>
      </c>
      <c r="F78" s="19">
        <v>46094</v>
      </c>
      <c r="G78" s="179">
        <v>186752.9</v>
      </c>
      <c r="H78" s="37">
        <f t="shared" si="13"/>
        <v>141</v>
      </c>
      <c r="I78" s="37" t="str">
        <f t="shared" si="15"/>
        <v>121-180 DAYS</v>
      </c>
      <c r="J78" s="37" t="str">
        <f t="shared" si="14"/>
        <v>0-180 DAYS</v>
      </c>
      <c r="M78" s="158" t="s">
        <v>4900</v>
      </c>
      <c r="N78" s="158">
        <v>186752.9</v>
      </c>
    </row>
    <row r="79" spans="1:14" hidden="1" x14ac:dyDescent="0.35">
      <c r="A79" s="2" t="s">
        <v>1085</v>
      </c>
      <c r="B79" s="2" t="s">
        <v>790</v>
      </c>
      <c r="C79" s="18" t="s">
        <v>1086</v>
      </c>
      <c r="D79" s="37" t="s">
        <v>507</v>
      </c>
      <c r="E79" s="18" t="s">
        <v>4878</v>
      </c>
      <c r="F79" s="19">
        <v>46094</v>
      </c>
      <c r="G79" s="179">
        <v>1771276.46</v>
      </c>
      <c r="H79" s="37">
        <f t="shared" si="13"/>
        <v>141</v>
      </c>
      <c r="I79" s="37" t="str">
        <f t="shared" si="15"/>
        <v>121-180 DAYS</v>
      </c>
      <c r="J79" s="37" t="str">
        <f t="shared" si="14"/>
        <v>0-180 DAYS</v>
      </c>
      <c r="M79" s="158" t="s">
        <v>4900</v>
      </c>
      <c r="N79" s="158">
        <v>1771276.46</v>
      </c>
    </row>
    <row r="80" spans="1:14" hidden="1" x14ac:dyDescent="0.35">
      <c r="A80" s="2" t="s">
        <v>1085</v>
      </c>
      <c r="B80" s="2" t="s">
        <v>790</v>
      </c>
      <c r="C80" s="18" t="s">
        <v>1086</v>
      </c>
      <c r="D80" s="37" t="s">
        <v>507</v>
      </c>
      <c r="E80" s="18" t="s">
        <v>4879</v>
      </c>
      <c r="F80" s="19">
        <v>46094</v>
      </c>
      <c r="G80" s="179">
        <v>557732.65</v>
      </c>
      <c r="H80" s="37">
        <f t="shared" si="13"/>
        <v>141</v>
      </c>
      <c r="I80" s="37" t="str">
        <f t="shared" si="15"/>
        <v>121-180 DAYS</v>
      </c>
      <c r="J80" s="37" t="str">
        <f t="shared" si="14"/>
        <v>0-180 DAYS</v>
      </c>
      <c r="M80" s="158" t="s">
        <v>4900</v>
      </c>
      <c r="N80" s="158">
        <v>557732.65</v>
      </c>
    </row>
    <row r="81" spans="1:14" hidden="1" x14ac:dyDescent="0.35">
      <c r="A81" s="2" t="s">
        <v>1085</v>
      </c>
      <c r="B81" s="2" t="s">
        <v>790</v>
      </c>
      <c r="C81" s="18" t="s">
        <v>522</v>
      </c>
      <c r="D81" s="37" t="s">
        <v>507</v>
      </c>
      <c r="E81" s="18" t="s">
        <v>4880</v>
      </c>
      <c r="F81" s="19">
        <v>46100</v>
      </c>
      <c r="G81" s="179">
        <v>31380</v>
      </c>
      <c r="H81" s="37">
        <f t="shared" si="13"/>
        <v>135</v>
      </c>
      <c r="I81" s="37" t="str">
        <f t="shared" si="15"/>
        <v>121-180 DAYS</v>
      </c>
      <c r="J81" s="37" t="str">
        <f t="shared" si="14"/>
        <v>0-180 DAYS</v>
      </c>
      <c r="M81" s="158" t="s">
        <v>4903</v>
      </c>
      <c r="N81" s="158">
        <v>31380</v>
      </c>
    </row>
    <row r="82" spans="1:14" hidden="1" x14ac:dyDescent="0.35">
      <c r="A82" s="2" t="s">
        <v>477</v>
      </c>
      <c r="B82" s="2" t="s">
        <v>790</v>
      </c>
      <c r="C82" s="18" t="s">
        <v>4780</v>
      </c>
      <c r="D82" s="18" t="s">
        <v>4783</v>
      </c>
      <c r="E82" s="18" t="s">
        <v>4888</v>
      </c>
      <c r="F82" s="19">
        <v>46106</v>
      </c>
      <c r="G82" s="179">
        <f>-94781+286423.18</f>
        <v>191642.18</v>
      </c>
      <c r="H82" s="37">
        <f t="shared" ref="H82:H102" si="16">$H$1-F82+1</f>
        <v>129</v>
      </c>
      <c r="I82" s="37" t="str">
        <f>IF(H82&lt;91,"1-90 DAYS",IF(H82&lt;121,"91-120DAYS",IF(H82&lt;181,"121-180 DAYS","More than 180 Days")))</f>
        <v>121-180 DAYS</v>
      </c>
      <c r="J82" s="37" t="str">
        <f t="shared" ref="J82:J104" si="17">IF(H82&lt;180,"0-180 DAYS","More than 180 Days")</f>
        <v>0-180 DAYS</v>
      </c>
      <c r="M82" s="158" t="s">
        <v>4907</v>
      </c>
      <c r="N82" s="158">
        <v>191642.18</v>
      </c>
    </row>
    <row r="83" spans="1:14" hidden="1" x14ac:dyDescent="0.35">
      <c r="A83" s="2" t="s">
        <v>477</v>
      </c>
      <c r="B83" s="2" t="s">
        <v>790</v>
      </c>
      <c r="C83" s="18" t="s">
        <v>4460</v>
      </c>
      <c r="D83" s="18" t="s">
        <v>4538</v>
      </c>
      <c r="E83" s="18" t="s">
        <v>4889</v>
      </c>
      <c r="F83" s="19">
        <v>46107</v>
      </c>
      <c r="G83" s="179">
        <f>2585000-2190000</f>
        <v>395000</v>
      </c>
      <c r="H83" s="37">
        <f t="shared" si="16"/>
        <v>128</v>
      </c>
      <c r="I83" s="37" t="str">
        <f t="shared" ref="I83:I86" si="18">IF(H83&lt;91,"1-90 DAYS",IF(H83&lt;121,"91-120DAYS",IF(H83&lt;181,"121-180 DAYS","More than 180 Days")))</f>
        <v>121-180 DAYS</v>
      </c>
      <c r="J83" s="37" t="str">
        <f t="shared" si="17"/>
        <v>0-180 DAYS</v>
      </c>
      <c r="M83" s="158" t="s">
        <v>4908</v>
      </c>
      <c r="N83" s="158">
        <v>395000</v>
      </c>
    </row>
    <row r="84" spans="1:14" hidden="1" x14ac:dyDescent="0.35">
      <c r="A84" s="2" t="s">
        <v>477</v>
      </c>
      <c r="B84" s="2" t="s">
        <v>790</v>
      </c>
      <c r="C84" s="18" t="s">
        <v>1838</v>
      </c>
      <c r="D84" s="18" t="s">
        <v>2001</v>
      </c>
      <c r="E84" s="18" t="s">
        <v>4890</v>
      </c>
      <c r="F84" s="19">
        <v>46112</v>
      </c>
      <c r="G84" s="179">
        <f>1322276-884519</f>
        <v>437757</v>
      </c>
      <c r="H84" s="37">
        <f t="shared" si="16"/>
        <v>123</v>
      </c>
      <c r="I84" s="37" t="str">
        <f t="shared" si="18"/>
        <v>121-180 DAYS</v>
      </c>
      <c r="J84" s="37" t="str">
        <f t="shared" si="17"/>
        <v>0-180 DAYS</v>
      </c>
      <c r="M84" s="158" t="s">
        <v>4896</v>
      </c>
      <c r="N84" s="158">
        <v>437757</v>
      </c>
    </row>
    <row r="85" spans="1:14" hidden="1" x14ac:dyDescent="0.35">
      <c r="A85" s="2" t="s">
        <v>477</v>
      </c>
      <c r="B85" s="2" t="s">
        <v>790</v>
      </c>
      <c r="C85" s="18" t="s">
        <v>4745</v>
      </c>
      <c r="D85" s="18" t="s">
        <v>4751</v>
      </c>
      <c r="E85" s="18" t="s">
        <v>4891</v>
      </c>
      <c r="F85" s="19">
        <v>46083</v>
      </c>
      <c r="G85" s="179">
        <v>114651.16</v>
      </c>
      <c r="H85" s="37">
        <f t="shared" si="16"/>
        <v>152</v>
      </c>
      <c r="I85" s="37" t="str">
        <f t="shared" si="18"/>
        <v>121-180 DAYS</v>
      </c>
      <c r="J85" s="37" t="str">
        <f t="shared" si="17"/>
        <v>0-180 DAYS</v>
      </c>
      <c r="M85" s="158" t="s">
        <v>4897</v>
      </c>
      <c r="N85" s="158">
        <v>114651.16</v>
      </c>
    </row>
    <row r="86" spans="1:14" hidden="1" x14ac:dyDescent="0.35">
      <c r="A86" s="2" t="s">
        <v>477</v>
      </c>
      <c r="B86" s="2" t="s">
        <v>790</v>
      </c>
      <c r="C86" s="18" t="s">
        <v>263</v>
      </c>
      <c r="D86" s="18" t="s">
        <v>264</v>
      </c>
      <c r="E86" s="18" t="s">
        <v>4892</v>
      </c>
      <c r="F86" s="19">
        <v>46092</v>
      </c>
      <c r="G86" s="179">
        <v>855186.12</v>
      </c>
      <c r="H86" s="37">
        <f t="shared" si="16"/>
        <v>143</v>
      </c>
      <c r="I86" s="37" t="str">
        <f t="shared" si="18"/>
        <v>121-180 DAYS</v>
      </c>
      <c r="J86" s="37" t="str">
        <f t="shared" si="17"/>
        <v>0-180 DAYS</v>
      </c>
      <c r="M86" s="158" t="s">
        <v>4895</v>
      </c>
      <c r="N86" s="158">
        <v>855186.12</v>
      </c>
    </row>
    <row r="87" spans="1:14" x14ac:dyDescent="0.35">
      <c r="A87" s="2" t="s">
        <v>1085</v>
      </c>
      <c r="B87" s="2" t="s">
        <v>790</v>
      </c>
      <c r="C87" s="18" t="s">
        <v>814</v>
      </c>
      <c r="D87" s="37" t="s">
        <v>507</v>
      </c>
      <c r="E87" s="18" t="s">
        <v>4923</v>
      </c>
      <c r="F87" s="19">
        <v>46136</v>
      </c>
      <c r="G87" s="179">
        <v>162364</v>
      </c>
      <c r="H87" s="37">
        <f t="shared" si="16"/>
        <v>99</v>
      </c>
      <c r="I87" s="37" t="str">
        <f t="shared" ref="I87" si="19">IF(H87&lt;121,"0-120 DAYS",IF(H87&lt;181,"121-180 DAYS","More than 180 Days"))</f>
        <v>0-120 DAYS</v>
      </c>
      <c r="J87" s="37" t="str">
        <f t="shared" si="17"/>
        <v>0-180 DAYS</v>
      </c>
      <c r="L87" s="66" t="s">
        <v>1730</v>
      </c>
      <c r="M87" s="158" t="s">
        <v>4981</v>
      </c>
      <c r="N87" s="158">
        <v>162364</v>
      </c>
    </row>
    <row r="88" spans="1:14" x14ac:dyDescent="0.35">
      <c r="A88" s="2" t="s">
        <v>1085</v>
      </c>
      <c r="B88" s="2" t="s">
        <v>790</v>
      </c>
      <c r="C88" s="18" t="s">
        <v>3796</v>
      </c>
      <c r="D88" s="37" t="s">
        <v>507</v>
      </c>
      <c r="E88" s="18" t="s">
        <v>4926</v>
      </c>
      <c r="F88" s="19">
        <v>46141</v>
      </c>
      <c r="G88" s="179">
        <v>4975676.16</v>
      </c>
      <c r="H88" s="37">
        <f t="shared" si="16"/>
        <v>94</v>
      </c>
      <c r="I88" s="37" t="str">
        <f t="shared" ref="I88:I93" si="20">IF(H88&lt;121,"0-120 DAYS",IF(H88&lt;181,"121-180 DAYS","More than 180 Days"))</f>
        <v>0-120 DAYS</v>
      </c>
      <c r="J88" s="37" t="str">
        <f t="shared" si="17"/>
        <v>0-180 DAYS</v>
      </c>
      <c r="L88" s="66" t="s">
        <v>1730</v>
      </c>
      <c r="M88" s="158" t="s">
        <v>4983</v>
      </c>
      <c r="N88" s="158">
        <v>4975676.16</v>
      </c>
    </row>
    <row r="89" spans="1:14" x14ac:dyDescent="0.35">
      <c r="A89" s="2" t="s">
        <v>1085</v>
      </c>
      <c r="B89" s="2" t="s">
        <v>790</v>
      </c>
      <c r="C89" s="18" t="s">
        <v>814</v>
      </c>
      <c r="D89" s="37" t="s">
        <v>507</v>
      </c>
      <c r="E89" s="18" t="s">
        <v>4927</v>
      </c>
      <c r="F89" s="19">
        <v>46142</v>
      </c>
      <c r="G89" s="179">
        <v>325</v>
      </c>
      <c r="H89" s="37">
        <f t="shared" si="16"/>
        <v>93</v>
      </c>
      <c r="I89" s="37" t="str">
        <f t="shared" si="20"/>
        <v>0-120 DAYS</v>
      </c>
      <c r="J89" s="37" t="str">
        <f t="shared" si="17"/>
        <v>0-180 DAYS</v>
      </c>
      <c r="L89" s="66" t="s">
        <v>1730</v>
      </c>
      <c r="M89" s="158" t="s">
        <v>4973</v>
      </c>
      <c r="N89" s="158">
        <v>325</v>
      </c>
    </row>
    <row r="90" spans="1:14" x14ac:dyDescent="0.35">
      <c r="A90" s="2" t="s">
        <v>1085</v>
      </c>
      <c r="B90" s="2" t="s">
        <v>790</v>
      </c>
      <c r="C90" s="18" t="s">
        <v>1086</v>
      </c>
      <c r="D90" s="37" t="s">
        <v>507</v>
      </c>
      <c r="E90" s="18" t="s">
        <v>4934</v>
      </c>
      <c r="F90" s="19">
        <v>46128</v>
      </c>
      <c r="G90" s="179">
        <v>3085142.78</v>
      </c>
      <c r="H90" s="37">
        <f t="shared" si="16"/>
        <v>107</v>
      </c>
      <c r="I90" s="37" t="str">
        <f t="shared" si="20"/>
        <v>0-120 DAYS</v>
      </c>
      <c r="J90" s="37" t="str">
        <f t="shared" si="17"/>
        <v>0-180 DAYS</v>
      </c>
      <c r="L90" s="66" t="s">
        <v>1730</v>
      </c>
      <c r="M90" s="158" t="s">
        <v>4971</v>
      </c>
      <c r="N90" s="158">
        <v>3085142.78</v>
      </c>
    </row>
    <row r="91" spans="1:14" x14ac:dyDescent="0.35">
      <c r="A91" s="2" t="s">
        <v>1085</v>
      </c>
      <c r="B91" s="2" t="s">
        <v>790</v>
      </c>
      <c r="C91" s="18" t="s">
        <v>814</v>
      </c>
      <c r="D91" s="37" t="s">
        <v>507</v>
      </c>
      <c r="E91" s="18" t="s">
        <v>4939</v>
      </c>
      <c r="F91" s="19">
        <v>46140</v>
      </c>
      <c r="G91" s="179">
        <v>394345.14</v>
      </c>
      <c r="H91" s="37">
        <f t="shared" si="16"/>
        <v>95</v>
      </c>
      <c r="I91" s="37" t="str">
        <f t="shared" si="20"/>
        <v>0-120 DAYS</v>
      </c>
      <c r="J91" s="37" t="str">
        <f t="shared" si="17"/>
        <v>0-180 DAYS</v>
      </c>
      <c r="L91" s="66" t="s">
        <v>1730</v>
      </c>
      <c r="M91" s="158" t="s">
        <v>4982</v>
      </c>
      <c r="N91" s="158">
        <v>394345.14</v>
      </c>
    </row>
    <row r="92" spans="1:14" x14ac:dyDescent="0.35">
      <c r="A92" s="2" t="s">
        <v>1085</v>
      </c>
      <c r="B92" s="2" t="s">
        <v>790</v>
      </c>
      <c r="C92" s="18" t="s">
        <v>1086</v>
      </c>
      <c r="D92" s="37" t="s">
        <v>507</v>
      </c>
      <c r="E92" s="18" t="s">
        <v>4940</v>
      </c>
      <c r="F92" s="19">
        <v>46142</v>
      </c>
      <c r="G92" s="179">
        <v>2394413.38</v>
      </c>
      <c r="H92" s="37">
        <f t="shared" si="16"/>
        <v>93</v>
      </c>
      <c r="I92" s="37" t="str">
        <f t="shared" si="20"/>
        <v>0-120 DAYS</v>
      </c>
      <c r="J92" s="37" t="str">
        <f t="shared" si="17"/>
        <v>0-180 DAYS</v>
      </c>
      <c r="L92" s="66" t="s">
        <v>1730</v>
      </c>
      <c r="M92" s="158" t="s">
        <v>4973</v>
      </c>
      <c r="N92" s="158">
        <v>2394413.38</v>
      </c>
    </row>
    <row r="93" spans="1:14" x14ac:dyDescent="0.35">
      <c r="A93" s="2" t="s">
        <v>1085</v>
      </c>
      <c r="B93" s="2" t="s">
        <v>790</v>
      </c>
      <c r="C93" s="18" t="s">
        <v>1086</v>
      </c>
      <c r="D93" s="37" t="s">
        <v>507</v>
      </c>
      <c r="E93" s="18" t="s">
        <v>4941</v>
      </c>
      <c r="F93" s="19">
        <v>46142</v>
      </c>
      <c r="G93" s="179">
        <v>112413.4</v>
      </c>
      <c r="H93" s="37">
        <f t="shared" si="16"/>
        <v>93</v>
      </c>
      <c r="I93" s="37" t="str">
        <f t="shared" si="20"/>
        <v>0-120 DAYS</v>
      </c>
      <c r="J93" s="37" t="str">
        <f t="shared" si="17"/>
        <v>0-180 DAYS</v>
      </c>
      <c r="L93" s="66" t="s">
        <v>1730</v>
      </c>
      <c r="M93" s="158" t="s">
        <v>4973</v>
      </c>
      <c r="N93" s="158">
        <v>112413.4</v>
      </c>
    </row>
    <row r="94" spans="1:14" hidden="1" x14ac:dyDescent="0.35">
      <c r="A94" s="2" t="s">
        <v>477</v>
      </c>
      <c r="B94" s="2" t="s">
        <v>790</v>
      </c>
      <c r="C94" s="18" t="s">
        <v>3409</v>
      </c>
      <c r="D94" s="18" t="s">
        <v>3060</v>
      </c>
      <c r="E94" s="18" t="s">
        <v>4946</v>
      </c>
      <c r="F94" s="19">
        <v>46129</v>
      </c>
      <c r="G94" s="179">
        <v>60793.599999999999</v>
      </c>
      <c r="H94" s="37">
        <f t="shared" si="16"/>
        <v>106</v>
      </c>
      <c r="I94" s="37" t="str">
        <f t="shared" ref="I94:I95" si="21">IF(H94&lt;91,"1-90 DAYS",IF(H94&lt;121,"91-120DAYS",IF(H94&lt;181,"121-180 DAYS","More than 180 Days")))</f>
        <v>91-120DAYS</v>
      </c>
      <c r="J94" s="37" t="str">
        <f t="shared" ref="J94:J95" si="22">IF(H94&lt;180,"0-180 DAYS","More than 180 Days")</f>
        <v>0-180 DAYS</v>
      </c>
      <c r="M94" s="158" t="s">
        <v>4991</v>
      </c>
      <c r="N94" s="158">
        <v>60793.599999999999</v>
      </c>
    </row>
    <row r="95" spans="1:14" hidden="1" x14ac:dyDescent="0.35">
      <c r="A95" s="2" t="s">
        <v>477</v>
      </c>
      <c r="B95" s="2" t="s">
        <v>790</v>
      </c>
      <c r="C95" s="18" t="s">
        <v>263</v>
      </c>
      <c r="D95" s="18" t="s">
        <v>264</v>
      </c>
      <c r="E95" s="18" t="s">
        <v>4947</v>
      </c>
      <c r="F95" s="19">
        <v>46114</v>
      </c>
      <c r="G95" s="179">
        <v>1106497.8</v>
      </c>
      <c r="H95" s="37">
        <f t="shared" si="16"/>
        <v>121</v>
      </c>
      <c r="I95" s="37" t="str">
        <f t="shared" si="21"/>
        <v>121-180 DAYS</v>
      </c>
      <c r="J95" s="37" t="str">
        <f t="shared" si="22"/>
        <v>0-180 DAYS</v>
      </c>
      <c r="M95" s="158" t="s">
        <v>4988</v>
      </c>
      <c r="N95" s="158">
        <v>1106497.8</v>
      </c>
    </row>
    <row r="96" spans="1:14" hidden="1" x14ac:dyDescent="0.35">
      <c r="A96" s="2" t="s">
        <v>477</v>
      </c>
      <c r="B96" s="2" t="s">
        <v>790</v>
      </c>
      <c r="C96" s="18" t="s">
        <v>263</v>
      </c>
      <c r="D96" s="18" t="s">
        <v>264</v>
      </c>
      <c r="E96" s="18" t="s">
        <v>4948</v>
      </c>
      <c r="F96" s="19">
        <v>46114</v>
      </c>
      <c r="G96" s="179">
        <v>166103.88</v>
      </c>
      <c r="H96" s="37">
        <f t="shared" si="16"/>
        <v>121</v>
      </c>
      <c r="I96" s="37" t="str">
        <f t="shared" ref="I96:I99" si="23">IF(H96&lt;91,"1-90 DAYS",IF(H96&lt;121,"91-120DAYS",IF(H96&lt;181,"121-180 DAYS","More than 180 Days")))</f>
        <v>121-180 DAYS</v>
      </c>
      <c r="J96" s="37" t="str">
        <f t="shared" ref="J96:J99" si="24">IF(H96&lt;180,"0-180 DAYS","More than 180 Days")</f>
        <v>0-180 DAYS</v>
      </c>
      <c r="M96" s="158" t="s">
        <v>4988</v>
      </c>
      <c r="N96" s="158">
        <v>166103.88</v>
      </c>
    </row>
    <row r="97" spans="1:14" hidden="1" x14ac:dyDescent="0.35">
      <c r="A97" s="2" t="s">
        <v>477</v>
      </c>
      <c r="B97" s="2" t="s">
        <v>790</v>
      </c>
      <c r="C97" s="18" t="s">
        <v>4745</v>
      </c>
      <c r="D97" s="18" t="s">
        <v>4751</v>
      </c>
      <c r="E97" s="18" t="s">
        <v>4949</v>
      </c>
      <c r="F97" s="19">
        <v>46120</v>
      </c>
      <c r="G97" s="179">
        <v>95325.119999999995</v>
      </c>
      <c r="H97" s="37">
        <f t="shared" si="16"/>
        <v>115</v>
      </c>
      <c r="I97" s="37" t="str">
        <f t="shared" si="23"/>
        <v>91-120DAYS</v>
      </c>
      <c r="J97" s="37" t="str">
        <f t="shared" si="24"/>
        <v>0-180 DAYS</v>
      </c>
      <c r="M97" s="158" t="s">
        <v>4985</v>
      </c>
      <c r="N97" s="158">
        <v>95325.119999999995</v>
      </c>
    </row>
    <row r="98" spans="1:14" hidden="1" x14ac:dyDescent="0.35">
      <c r="A98" s="2" t="s">
        <v>477</v>
      </c>
      <c r="B98" s="2" t="s">
        <v>790</v>
      </c>
      <c r="C98" s="18" t="s">
        <v>4745</v>
      </c>
      <c r="D98" s="18" t="s">
        <v>4751</v>
      </c>
      <c r="E98" s="18" t="s">
        <v>4950</v>
      </c>
      <c r="F98" s="19">
        <v>46129</v>
      </c>
      <c r="G98" s="179">
        <v>74502.84</v>
      </c>
      <c r="H98" s="37">
        <f t="shared" si="16"/>
        <v>106</v>
      </c>
      <c r="I98" s="37" t="str">
        <f t="shared" si="23"/>
        <v>91-120DAYS</v>
      </c>
      <c r="J98" s="37" t="str">
        <f t="shared" si="24"/>
        <v>0-180 DAYS</v>
      </c>
      <c r="M98" s="158" t="s">
        <v>4991</v>
      </c>
      <c r="N98" s="158">
        <v>74502.84</v>
      </c>
    </row>
    <row r="99" spans="1:14" hidden="1" x14ac:dyDescent="0.35">
      <c r="A99" s="88" t="s">
        <v>477</v>
      </c>
      <c r="B99" s="88" t="s">
        <v>790</v>
      </c>
      <c r="C99" t="s">
        <v>1838</v>
      </c>
      <c r="D99" t="s">
        <v>2001</v>
      </c>
      <c r="E99" t="s">
        <v>1544</v>
      </c>
      <c r="F99" s="35">
        <v>46144</v>
      </c>
      <c r="G99" s="47">
        <v>884518.56</v>
      </c>
      <c r="H99" s="37">
        <f t="shared" si="16"/>
        <v>91</v>
      </c>
      <c r="I99" s="37" t="str">
        <f t="shared" si="23"/>
        <v>91-120DAYS</v>
      </c>
      <c r="J99" s="37" t="str">
        <f t="shared" si="24"/>
        <v>0-180 DAYS</v>
      </c>
      <c r="M99" s="158" t="s">
        <v>5197</v>
      </c>
      <c r="N99" s="158">
        <v>884518.56</v>
      </c>
    </row>
    <row r="100" spans="1:14" x14ac:dyDescent="0.35">
      <c r="A100" s="88" t="s">
        <v>1085</v>
      </c>
      <c r="B100" s="88" t="s">
        <v>790</v>
      </c>
      <c r="C100" t="s">
        <v>538</v>
      </c>
      <c r="D100" s="37" t="s">
        <v>507</v>
      </c>
      <c r="E100" t="s">
        <v>5016</v>
      </c>
      <c r="F100" s="35">
        <v>46148</v>
      </c>
      <c r="G100" s="47">
        <v>4528872</v>
      </c>
      <c r="H100" s="37">
        <f t="shared" si="16"/>
        <v>87</v>
      </c>
      <c r="I100" s="37" t="str">
        <f t="shared" ref="I100:I108" si="25">IF(H100&lt;121,"0-120 DAYS",IF(H100&lt;181,"121-180 DAYS","More than 180 Days"))</f>
        <v>0-120 DAYS</v>
      </c>
      <c r="J100" s="37" t="str">
        <f t="shared" si="17"/>
        <v>0-180 DAYS</v>
      </c>
      <c r="L100" s="66" t="s">
        <v>1730</v>
      </c>
      <c r="M100" s="158" t="s">
        <v>5199</v>
      </c>
      <c r="N100" s="158">
        <v>4528872</v>
      </c>
    </row>
    <row r="101" spans="1:14" x14ac:dyDescent="0.35">
      <c r="A101" s="88" t="s">
        <v>1085</v>
      </c>
      <c r="B101" s="88" t="s">
        <v>790</v>
      </c>
      <c r="C101" t="s">
        <v>536</v>
      </c>
      <c r="D101" s="37" t="s">
        <v>507</v>
      </c>
      <c r="E101" t="s">
        <v>5017</v>
      </c>
      <c r="F101" s="35">
        <v>46149</v>
      </c>
      <c r="G101" s="47">
        <f>-82352+4039064.64</f>
        <v>3956712.64</v>
      </c>
      <c r="H101" s="37">
        <f t="shared" si="16"/>
        <v>86</v>
      </c>
      <c r="I101" s="37" t="str">
        <f t="shared" si="25"/>
        <v>0-120 DAYS</v>
      </c>
      <c r="J101" s="37" t="str">
        <f t="shared" si="17"/>
        <v>0-180 DAYS</v>
      </c>
      <c r="L101" s="66" t="s">
        <v>1730</v>
      </c>
      <c r="M101" s="158" t="s">
        <v>5200</v>
      </c>
      <c r="N101" s="158">
        <v>3956712.64</v>
      </c>
    </row>
    <row r="102" spans="1:14" x14ac:dyDescent="0.35">
      <c r="A102" s="88" t="s">
        <v>477</v>
      </c>
      <c r="B102" s="88" t="s">
        <v>790</v>
      </c>
      <c r="C102" t="s">
        <v>4780</v>
      </c>
      <c r="D102" t="s">
        <v>4783</v>
      </c>
      <c r="E102" t="s">
        <v>5018</v>
      </c>
      <c r="F102" s="35">
        <v>46150</v>
      </c>
      <c r="G102" s="47">
        <v>193911.66</v>
      </c>
      <c r="H102" s="37">
        <f t="shared" si="16"/>
        <v>85</v>
      </c>
      <c r="I102" s="37" t="str">
        <f t="shared" ref="I102" si="26">IF(H102&lt;91,"1-90 DAYS",IF(H102&lt;121,"91-120DAYS",IF(H102&lt;181,"121-180 DAYS","More than 180 Days")))</f>
        <v>1-90 DAYS</v>
      </c>
      <c r="J102" s="37" t="str">
        <f t="shared" si="17"/>
        <v>0-180 DAYS</v>
      </c>
      <c r="L102" s="66" t="s">
        <v>1730</v>
      </c>
      <c r="M102" s="158" t="s">
        <v>5201</v>
      </c>
      <c r="N102" s="158">
        <v>193911.66</v>
      </c>
    </row>
    <row r="103" spans="1:14" x14ac:dyDescent="0.35">
      <c r="A103" s="88" t="s">
        <v>1085</v>
      </c>
      <c r="B103" s="88" t="s">
        <v>790</v>
      </c>
      <c r="C103" s="18" t="s">
        <v>814</v>
      </c>
      <c r="D103" t="s">
        <v>5019</v>
      </c>
      <c r="E103" t="s">
        <v>5020</v>
      </c>
      <c r="F103" s="35">
        <v>46150</v>
      </c>
      <c r="G103" s="47">
        <v>5775</v>
      </c>
      <c r="H103" s="37">
        <f t="shared" ref="H103:H128" si="27">$H$1-F103+1</f>
        <v>85</v>
      </c>
      <c r="I103" s="37" t="str">
        <f t="shared" ref="I103" si="28">IF(H103&lt;121,"0-120 DAYS",IF(H103&lt;181,"121-180 DAYS","More than 180 Days"))</f>
        <v>0-120 DAYS</v>
      </c>
      <c r="J103" s="37" t="str">
        <f t="shared" si="17"/>
        <v>0-180 DAYS</v>
      </c>
      <c r="L103" s="66" t="s">
        <v>1730</v>
      </c>
      <c r="M103" s="158" t="s">
        <v>5201</v>
      </c>
      <c r="N103" s="158">
        <v>5775</v>
      </c>
    </row>
    <row r="104" spans="1:14" x14ac:dyDescent="0.35">
      <c r="A104" s="88" t="s">
        <v>1085</v>
      </c>
      <c r="B104" s="88" t="s">
        <v>790</v>
      </c>
      <c r="C104" t="s">
        <v>1055</v>
      </c>
      <c r="D104" s="37" t="s">
        <v>507</v>
      </c>
      <c r="E104" t="s">
        <v>5021</v>
      </c>
      <c r="F104" s="35">
        <v>46152</v>
      </c>
      <c r="G104" s="47">
        <v>4741419.38</v>
      </c>
      <c r="H104" s="37">
        <f t="shared" si="27"/>
        <v>83</v>
      </c>
      <c r="I104" s="37" t="str">
        <f t="shared" si="25"/>
        <v>0-120 DAYS</v>
      </c>
      <c r="J104" s="37" t="str">
        <f t="shared" si="17"/>
        <v>0-180 DAYS</v>
      </c>
      <c r="L104" s="66" t="s">
        <v>1730</v>
      </c>
      <c r="M104" s="158" t="s">
        <v>5202</v>
      </c>
      <c r="N104" s="158">
        <v>4741419.38</v>
      </c>
    </row>
    <row r="105" spans="1:14" x14ac:dyDescent="0.35">
      <c r="A105" s="88" t="s">
        <v>477</v>
      </c>
      <c r="B105" s="88" t="s">
        <v>790</v>
      </c>
      <c r="C105" t="s">
        <v>4780</v>
      </c>
      <c r="D105" t="s">
        <v>4783</v>
      </c>
      <c r="E105" t="s">
        <v>1852</v>
      </c>
      <c r="F105" s="35">
        <v>46154</v>
      </c>
      <c r="G105" s="47">
        <v>158025.98000000001</v>
      </c>
      <c r="H105" s="37">
        <f t="shared" si="27"/>
        <v>81</v>
      </c>
      <c r="I105" s="37" t="str">
        <f t="shared" ref="I105" si="29">IF(H105&lt;91,"1-90 DAYS",IF(H105&lt;121,"91-120DAYS",IF(H105&lt;181,"121-180 DAYS","More than 180 Days")))</f>
        <v>1-90 DAYS</v>
      </c>
      <c r="J105" s="37" t="str">
        <f t="shared" ref="J105:J129" si="30">IF(H105&lt;180,"0-180 DAYS","More than 180 Days")</f>
        <v>0-180 DAYS</v>
      </c>
      <c r="L105" s="66" t="s">
        <v>1730</v>
      </c>
      <c r="M105" s="158" t="s">
        <v>5204</v>
      </c>
      <c r="N105" s="158">
        <v>158025.98000000001</v>
      </c>
    </row>
    <row r="106" spans="1:14" x14ac:dyDescent="0.35">
      <c r="A106" s="88" t="s">
        <v>1085</v>
      </c>
      <c r="B106" s="88" t="s">
        <v>790</v>
      </c>
      <c r="C106" t="s">
        <v>1086</v>
      </c>
      <c r="D106" s="37" t="s">
        <v>507</v>
      </c>
      <c r="E106" t="s">
        <v>5023</v>
      </c>
      <c r="F106" s="35">
        <v>46155</v>
      </c>
      <c r="G106" s="47">
        <v>1116455.56</v>
      </c>
      <c r="H106" s="37">
        <f t="shared" si="27"/>
        <v>80</v>
      </c>
      <c r="I106" s="37" t="str">
        <f t="shared" si="25"/>
        <v>0-120 DAYS</v>
      </c>
      <c r="J106" s="37" t="str">
        <f t="shared" si="30"/>
        <v>0-180 DAYS</v>
      </c>
      <c r="L106" s="66" t="s">
        <v>1730</v>
      </c>
      <c r="M106" s="158" t="s">
        <v>5205</v>
      </c>
      <c r="N106" s="158">
        <v>1116455.56</v>
      </c>
    </row>
    <row r="107" spans="1:14" x14ac:dyDescent="0.35">
      <c r="A107" s="88" t="s">
        <v>1085</v>
      </c>
      <c r="B107" s="88" t="s">
        <v>790</v>
      </c>
      <c r="C107" t="s">
        <v>1086</v>
      </c>
      <c r="D107" s="37" t="s">
        <v>507</v>
      </c>
      <c r="E107" t="s">
        <v>5024</v>
      </c>
      <c r="F107" s="35">
        <v>46155</v>
      </c>
      <c r="G107" s="47">
        <v>856138.44</v>
      </c>
      <c r="H107" s="37">
        <f t="shared" si="27"/>
        <v>80</v>
      </c>
      <c r="I107" s="37" t="str">
        <f t="shared" si="25"/>
        <v>0-120 DAYS</v>
      </c>
      <c r="J107" s="37" t="str">
        <f t="shared" si="30"/>
        <v>0-180 DAYS</v>
      </c>
      <c r="L107" s="66" t="s">
        <v>1730</v>
      </c>
      <c r="M107" s="158" t="s">
        <v>5205</v>
      </c>
      <c r="N107" s="158">
        <v>856138.44</v>
      </c>
    </row>
    <row r="108" spans="1:14" x14ac:dyDescent="0.35">
      <c r="A108" s="88" t="s">
        <v>1085</v>
      </c>
      <c r="B108" s="88" t="s">
        <v>790</v>
      </c>
      <c r="C108" t="s">
        <v>1086</v>
      </c>
      <c r="D108" s="37" t="s">
        <v>507</v>
      </c>
      <c r="E108" t="s">
        <v>5025</v>
      </c>
      <c r="F108" s="35">
        <v>46155</v>
      </c>
      <c r="G108" s="47">
        <v>942012.45</v>
      </c>
      <c r="H108" s="37">
        <f t="shared" si="27"/>
        <v>80</v>
      </c>
      <c r="I108" s="37" t="str">
        <f t="shared" si="25"/>
        <v>0-120 DAYS</v>
      </c>
      <c r="J108" s="37" t="str">
        <f t="shared" si="30"/>
        <v>0-180 DAYS</v>
      </c>
      <c r="L108" s="66" t="s">
        <v>1730</v>
      </c>
      <c r="M108" s="158" t="s">
        <v>5205</v>
      </c>
      <c r="N108" s="158">
        <v>942012.45</v>
      </c>
    </row>
    <row r="109" spans="1:14" x14ac:dyDescent="0.35">
      <c r="A109" s="88" t="s">
        <v>477</v>
      </c>
      <c r="B109" s="88" t="s">
        <v>790</v>
      </c>
      <c r="C109" t="s">
        <v>4780</v>
      </c>
      <c r="D109" t="s">
        <v>4783</v>
      </c>
      <c r="E109" t="s">
        <v>1869</v>
      </c>
      <c r="F109" s="35">
        <v>46157</v>
      </c>
      <c r="G109" s="47">
        <v>218513.33</v>
      </c>
      <c r="H109" s="37">
        <f t="shared" si="27"/>
        <v>78</v>
      </c>
      <c r="I109" s="37" t="str">
        <f t="shared" ref="I109" si="31">IF(H109&lt;91,"1-90 DAYS",IF(H109&lt;121,"91-120DAYS",IF(H109&lt;181,"121-180 DAYS","More than 180 Days")))</f>
        <v>1-90 DAYS</v>
      </c>
      <c r="J109" s="37" t="str">
        <f t="shared" si="30"/>
        <v>0-180 DAYS</v>
      </c>
      <c r="L109" s="66" t="s">
        <v>1730</v>
      </c>
      <c r="M109" s="158" t="s">
        <v>5206</v>
      </c>
      <c r="N109" s="158">
        <v>218513.33</v>
      </c>
    </row>
    <row r="110" spans="1:14" x14ac:dyDescent="0.35">
      <c r="A110" s="88" t="s">
        <v>477</v>
      </c>
      <c r="B110" s="88" t="s">
        <v>790</v>
      </c>
      <c r="C110" t="s">
        <v>4780</v>
      </c>
      <c r="D110" t="s">
        <v>4783</v>
      </c>
      <c r="E110" t="s">
        <v>5028</v>
      </c>
      <c r="F110" s="35">
        <v>46160</v>
      </c>
      <c r="G110" s="47">
        <v>192335.07</v>
      </c>
      <c r="H110" s="37">
        <f t="shared" si="27"/>
        <v>75</v>
      </c>
      <c r="I110" s="37" t="str">
        <f t="shared" ref="I110" si="32">IF(H110&lt;91,"1-90 DAYS",IF(H110&lt;121,"91-120DAYS",IF(H110&lt;181,"121-180 DAYS","More than 180 Days")))</f>
        <v>1-90 DAYS</v>
      </c>
      <c r="J110" s="37" t="str">
        <f t="shared" si="30"/>
        <v>0-180 DAYS</v>
      </c>
      <c r="L110" s="66" t="s">
        <v>1730</v>
      </c>
      <c r="M110" s="158" t="s">
        <v>5209</v>
      </c>
      <c r="N110" s="158">
        <v>192335.07</v>
      </c>
    </row>
    <row r="111" spans="1:14" x14ac:dyDescent="0.35">
      <c r="A111" s="88" t="s">
        <v>1085</v>
      </c>
      <c r="B111" s="88" t="s">
        <v>790</v>
      </c>
      <c r="C111" t="s">
        <v>538</v>
      </c>
      <c r="D111" s="37" t="s">
        <v>507</v>
      </c>
      <c r="E111" t="s">
        <v>5032</v>
      </c>
      <c r="F111" s="35">
        <v>46163</v>
      </c>
      <c r="G111" s="47">
        <v>4520520</v>
      </c>
      <c r="H111" s="37">
        <f t="shared" si="27"/>
        <v>72</v>
      </c>
      <c r="I111" s="37" t="str">
        <f t="shared" ref="I111:I117" si="33">IF(H111&lt;121,"0-120 DAYS",IF(H111&lt;181,"121-180 DAYS","More than 180 Days"))</f>
        <v>0-120 DAYS</v>
      </c>
      <c r="J111" s="37" t="str">
        <f t="shared" si="30"/>
        <v>0-180 DAYS</v>
      </c>
      <c r="L111" s="66" t="s">
        <v>1730</v>
      </c>
      <c r="M111" s="158" t="s">
        <v>5212</v>
      </c>
      <c r="N111" s="158">
        <v>4520520</v>
      </c>
    </row>
    <row r="112" spans="1:14" x14ac:dyDescent="0.35">
      <c r="A112" s="88" t="s">
        <v>1085</v>
      </c>
      <c r="B112" s="88" t="s">
        <v>790</v>
      </c>
      <c r="C112" t="s">
        <v>797</v>
      </c>
      <c r="D112" s="37" t="s">
        <v>507</v>
      </c>
      <c r="E112" t="s">
        <v>5033</v>
      </c>
      <c r="F112" s="35">
        <v>46164</v>
      </c>
      <c r="G112" s="47">
        <v>249450.01</v>
      </c>
      <c r="H112" s="37">
        <f t="shared" si="27"/>
        <v>71</v>
      </c>
      <c r="I112" s="37" t="str">
        <f t="shared" si="33"/>
        <v>0-120 DAYS</v>
      </c>
      <c r="J112" s="37" t="str">
        <f t="shared" si="30"/>
        <v>0-180 DAYS</v>
      </c>
      <c r="L112" s="66" t="s">
        <v>1730</v>
      </c>
      <c r="M112" s="158" t="s">
        <v>5213</v>
      </c>
      <c r="N112" s="158">
        <v>249450.01</v>
      </c>
    </row>
    <row r="113" spans="1:14" x14ac:dyDescent="0.35">
      <c r="A113" s="88" t="s">
        <v>477</v>
      </c>
      <c r="B113" t="s">
        <v>790</v>
      </c>
      <c r="C113" t="s">
        <v>4780</v>
      </c>
      <c r="D113" t="s">
        <v>4783</v>
      </c>
      <c r="E113" t="s">
        <v>1910</v>
      </c>
      <c r="F113" s="35">
        <v>46165</v>
      </c>
      <c r="G113" s="47">
        <v>241942.79</v>
      </c>
      <c r="H113" s="37">
        <f t="shared" si="27"/>
        <v>70</v>
      </c>
      <c r="I113" s="37" t="str">
        <f t="shared" ref="I113" si="34">IF(H113&lt;91,"1-90 DAYS",IF(H113&lt;121,"91-120DAYS",IF(H113&lt;181,"121-180 DAYS","More than 180 Days")))</f>
        <v>1-90 DAYS</v>
      </c>
      <c r="J113" s="37" t="str">
        <f t="shared" si="30"/>
        <v>0-180 DAYS</v>
      </c>
      <c r="L113" s="66" t="s">
        <v>1730</v>
      </c>
      <c r="M113" s="158" t="s">
        <v>5214</v>
      </c>
      <c r="N113" s="158">
        <v>241942.79</v>
      </c>
    </row>
    <row r="114" spans="1:14" x14ac:dyDescent="0.35">
      <c r="A114" s="88" t="s">
        <v>1085</v>
      </c>
      <c r="B114" s="88" t="s">
        <v>790</v>
      </c>
      <c r="C114" t="s">
        <v>2066</v>
      </c>
      <c r="D114" s="37" t="s">
        <v>507</v>
      </c>
      <c r="E114" t="s">
        <v>5037</v>
      </c>
      <c r="F114" s="35">
        <v>46167</v>
      </c>
      <c r="G114" s="47">
        <v>3303022.52</v>
      </c>
      <c r="H114" s="37">
        <f t="shared" si="27"/>
        <v>68</v>
      </c>
      <c r="I114" s="37" t="str">
        <f t="shared" si="33"/>
        <v>0-120 DAYS</v>
      </c>
      <c r="J114" s="37" t="str">
        <f t="shared" si="30"/>
        <v>0-180 DAYS</v>
      </c>
      <c r="L114" s="66" t="s">
        <v>1730</v>
      </c>
      <c r="M114" s="158" t="s">
        <v>5216</v>
      </c>
      <c r="N114" s="158">
        <v>3303022.52</v>
      </c>
    </row>
    <row r="115" spans="1:14" x14ac:dyDescent="0.35">
      <c r="A115" s="88" t="s">
        <v>477</v>
      </c>
      <c r="B115" t="s">
        <v>790</v>
      </c>
      <c r="C115" t="s">
        <v>4942</v>
      </c>
      <c r="D115" t="s">
        <v>4951</v>
      </c>
      <c r="E115" t="s">
        <v>5038</v>
      </c>
      <c r="F115" s="35">
        <v>46167</v>
      </c>
      <c r="G115" s="47">
        <f>-770042+851002</f>
        <v>80960</v>
      </c>
      <c r="H115" s="37">
        <f t="shared" si="27"/>
        <v>68</v>
      </c>
      <c r="I115" s="37" t="str">
        <f t="shared" ref="I115" si="35">IF(H115&lt;91,"1-90 DAYS",IF(H115&lt;121,"91-120DAYS",IF(H115&lt;181,"121-180 DAYS","More than 180 Days")))</f>
        <v>1-90 DAYS</v>
      </c>
      <c r="J115" s="37" t="str">
        <f t="shared" si="30"/>
        <v>0-180 DAYS</v>
      </c>
      <c r="L115" s="66" t="s">
        <v>1730</v>
      </c>
      <c r="M115" s="158" t="s">
        <v>5216</v>
      </c>
      <c r="N115" s="158">
        <v>80960</v>
      </c>
    </row>
    <row r="116" spans="1:14" x14ac:dyDescent="0.35">
      <c r="A116" s="88" t="s">
        <v>477</v>
      </c>
      <c r="B116" t="s">
        <v>790</v>
      </c>
      <c r="C116" t="s">
        <v>4780</v>
      </c>
      <c r="D116" t="s">
        <v>4783</v>
      </c>
      <c r="E116" t="s">
        <v>1930</v>
      </c>
      <c r="F116" s="35">
        <v>46169</v>
      </c>
      <c r="G116" s="47">
        <v>259672.23</v>
      </c>
      <c r="H116" s="37">
        <f t="shared" si="27"/>
        <v>66</v>
      </c>
      <c r="I116" s="37" t="str">
        <f t="shared" ref="I116" si="36">IF(H116&lt;91,"1-90 DAYS",IF(H116&lt;121,"91-120DAYS",IF(H116&lt;181,"121-180 DAYS","More than 180 Days")))</f>
        <v>1-90 DAYS</v>
      </c>
      <c r="J116" s="37" t="str">
        <f t="shared" si="30"/>
        <v>0-180 DAYS</v>
      </c>
      <c r="L116" s="66" t="s">
        <v>1730</v>
      </c>
      <c r="M116" s="158" t="s">
        <v>5218</v>
      </c>
      <c r="N116" s="158">
        <v>259672.23</v>
      </c>
    </row>
    <row r="117" spans="1:14" x14ac:dyDescent="0.35">
      <c r="A117" s="88" t="s">
        <v>1085</v>
      </c>
      <c r="B117" s="88" t="s">
        <v>790</v>
      </c>
      <c r="C117" t="s">
        <v>600</v>
      </c>
      <c r="D117" s="37" t="s">
        <v>507</v>
      </c>
      <c r="E117" t="s">
        <v>5041</v>
      </c>
      <c r="F117" s="35">
        <v>46169</v>
      </c>
      <c r="G117" s="47">
        <f>2437908.8-1806659-34689</f>
        <v>596560.79999999981</v>
      </c>
      <c r="H117" s="37">
        <f t="shared" si="27"/>
        <v>66</v>
      </c>
      <c r="I117" s="37" t="str">
        <f t="shared" si="33"/>
        <v>0-120 DAYS</v>
      </c>
      <c r="J117" s="37" t="str">
        <f t="shared" si="30"/>
        <v>0-180 DAYS</v>
      </c>
      <c r="L117" s="66" t="s">
        <v>1730</v>
      </c>
      <c r="M117" s="158" t="s">
        <v>5218</v>
      </c>
      <c r="N117" s="158">
        <v>596560.80000000005</v>
      </c>
    </row>
    <row r="118" spans="1:14" x14ac:dyDescent="0.35">
      <c r="A118" s="88" t="s">
        <v>1085</v>
      </c>
      <c r="B118" s="88" t="s">
        <v>790</v>
      </c>
      <c r="C118" t="s">
        <v>1086</v>
      </c>
      <c r="D118" s="37" t="s">
        <v>507</v>
      </c>
      <c r="E118" t="s">
        <v>5048</v>
      </c>
      <c r="F118" s="35">
        <v>46144</v>
      </c>
      <c r="G118" s="47">
        <v>1506292.2</v>
      </c>
      <c r="H118" s="37">
        <f t="shared" si="27"/>
        <v>91</v>
      </c>
      <c r="I118" s="37" t="str">
        <f t="shared" ref="I118:I133" si="37">IF(H118&lt;121,"0-120 DAYS",IF(H118&lt;181,"121-180 DAYS","More than 180 Days"))</f>
        <v>0-120 DAYS</v>
      </c>
      <c r="J118" s="37" t="str">
        <f t="shared" si="30"/>
        <v>0-180 DAYS</v>
      </c>
      <c r="L118" s="66" t="s">
        <v>1730</v>
      </c>
      <c r="M118" s="158" t="s">
        <v>5197</v>
      </c>
      <c r="N118" s="158">
        <v>1506292.2</v>
      </c>
    </row>
    <row r="119" spans="1:14" x14ac:dyDescent="0.35">
      <c r="A119" s="88" t="s">
        <v>1085</v>
      </c>
      <c r="B119" s="88" t="s">
        <v>790</v>
      </c>
      <c r="C119" t="s">
        <v>1086</v>
      </c>
      <c r="D119" s="37" t="s">
        <v>507</v>
      </c>
      <c r="E119" t="s">
        <v>5049</v>
      </c>
      <c r="F119" s="35">
        <v>46144</v>
      </c>
      <c r="G119" s="47">
        <v>1348218.03</v>
      </c>
      <c r="H119" s="37">
        <f t="shared" si="27"/>
        <v>91</v>
      </c>
      <c r="I119" s="37" t="str">
        <f t="shared" si="37"/>
        <v>0-120 DAYS</v>
      </c>
      <c r="J119" s="37" t="str">
        <f t="shared" si="30"/>
        <v>0-180 DAYS</v>
      </c>
      <c r="L119" s="66" t="s">
        <v>1730</v>
      </c>
      <c r="M119" s="158" t="s">
        <v>5197</v>
      </c>
      <c r="N119" s="158">
        <v>1348218.03</v>
      </c>
    </row>
    <row r="120" spans="1:14" x14ac:dyDescent="0.35">
      <c r="A120" s="88" t="s">
        <v>1085</v>
      </c>
      <c r="B120" s="88" t="s">
        <v>790</v>
      </c>
      <c r="C120" t="s">
        <v>650</v>
      </c>
      <c r="D120" s="37" t="s">
        <v>507</v>
      </c>
      <c r="E120" t="s">
        <v>5050</v>
      </c>
      <c r="F120" s="35">
        <v>46149</v>
      </c>
      <c r="G120" s="47">
        <v>4045054.86</v>
      </c>
      <c r="H120" s="37">
        <f t="shared" si="27"/>
        <v>86</v>
      </c>
      <c r="I120" s="37" t="str">
        <f t="shared" si="37"/>
        <v>0-120 DAYS</v>
      </c>
      <c r="J120" s="37" t="str">
        <f t="shared" si="30"/>
        <v>0-180 DAYS</v>
      </c>
      <c r="L120" s="66" t="s">
        <v>1730</v>
      </c>
      <c r="M120" s="158" t="s">
        <v>5200</v>
      </c>
      <c r="N120" s="158">
        <v>4045054.86</v>
      </c>
    </row>
    <row r="121" spans="1:14" x14ac:dyDescent="0.35">
      <c r="A121" s="88" t="s">
        <v>1085</v>
      </c>
      <c r="B121" s="88" t="s">
        <v>790</v>
      </c>
      <c r="C121" t="s">
        <v>538</v>
      </c>
      <c r="D121" s="37" t="s">
        <v>507</v>
      </c>
      <c r="E121" t="s">
        <v>5051</v>
      </c>
      <c r="F121" s="35">
        <v>46156</v>
      </c>
      <c r="G121" s="47">
        <v>4663150.2</v>
      </c>
      <c r="H121" s="37">
        <f t="shared" si="27"/>
        <v>79</v>
      </c>
      <c r="I121" s="37" t="str">
        <f t="shared" si="37"/>
        <v>0-120 DAYS</v>
      </c>
      <c r="J121" s="37" t="str">
        <f t="shared" si="30"/>
        <v>0-180 DAYS</v>
      </c>
      <c r="L121" s="66" t="s">
        <v>1730</v>
      </c>
      <c r="M121" s="158" t="s">
        <v>5223</v>
      </c>
      <c r="N121" s="158">
        <v>4663150.2</v>
      </c>
    </row>
    <row r="122" spans="1:14" x14ac:dyDescent="0.35">
      <c r="A122" s="88" t="s">
        <v>477</v>
      </c>
      <c r="B122" t="s">
        <v>790</v>
      </c>
      <c r="C122" t="s">
        <v>2891</v>
      </c>
      <c r="D122" t="s">
        <v>2967</v>
      </c>
      <c r="E122" t="s">
        <v>5052</v>
      </c>
      <c r="F122" s="35">
        <v>46158</v>
      </c>
      <c r="G122" s="47">
        <v>849600</v>
      </c>
      <c r="H122" s="37">
        <f t="shared" si="27"/>
        <v>77</v>
      </c>
      <c r="I122" s="37" t="str">
        <f t="shared" ref="I122" si="38">IF(H122&lt;91,"1-90 DAYS",IF(H122&lt;121,"91-120DAYS",IF(H122&lt;181,"121-180 DAYS","More than 180 Days")))</f>
        <v>1-90 DAYS</v>
      </c>
      <c r="J122" s="37" t="str">
        <f t="shared" si="30"/>
        <v>0-180 DAYS</v>
      </c>
      <c r="L122" s="66" t="s">
        <v>1730</v>
      </c>
      <c r="M122" s="158" t="s">
        <v>5207</v>
      </c>
      <c r="N122" s="158">
        <v>849600</v>
      </c>
    </row>
    <row r="123" spans="1:14" x14ac:dyDescent="0.35">
      <c r="A123" t="s">
        <v>1085</v>
      </c>
      <c r="B123" t="s">
        <v>790</v>
      </c>
      <c r="C123" s="18" t="s">
        <v>814</v>
      </c>
      <c r="D123" t="s">
        <v>5019</v>
      </c>
      <c r="E123" t="s">
        <v>5053</v>
      </c>
      <c r="F123" s="35">
        <v>46160</v>
      </c>
      <c r="G123" s="47">
        <v>884826.39</v>
      </c>
      <c r="H123" s="37">
        <f t="shared" si="27"/>
        <v>75</v>
      </c>
      <c r="I123" s="37" t="str">
        <f t="shared" ref="I123" si="39">IF(H123&lt;121,"0-120 DAYS",IF(H123&lt;181,"121-180 DAYS","More than 180 Days"))</f>
        <v>0-120 DAYS</v>
      </c>
      <c r="J123" s="37" t="str">
        <f t="shared" si="30"/>
        <v>0-180 DAYS</v>
      </c>
      <c r="L123" s="66" t="s">
        <v>1730</v>
      </c>
      <c r="M123" s="158" t="s">
        <v>5209</v>
      </c>
      <c r="N123" s="158">
        <v>884826.39</v>
      </c>
    </row>
    <row r="124" spans="1:14" x14ac:dyDescent="0.35">
      <c r="A124" s="88" t="s">
        <v>477</v>
      </c>
      <c r="B124" t="s">
        <v>790</v>
      </c>
      <c r="C124" t="s">
        <v>5054</v>
      </c>
      <c r="D124" t="s">
        <v>5055</v>
      </c>
      <c r="E124" t="s">
        <v>5056</v>
      </c>
      <c r="F124" s="35">
        <v>46161</v>
      </c>
      <c r="G124" s="47">
        <v>206500</v>
      </c>
      <c r="H124" s="37">
        <f t="shared" si="27"/>
        <v>74</v>
      </c>
      <c r="I124" s="37" t="str">
        <f t="shared" ref="I124" si="40">IF(H124&lt;91,"1-90 DAYS",IF(H124&lt;121,"91-120DAYS",IF(H124&lt;181,"121-180 DAYS","More than 180 Days")))</f>
        <v>1-90 DAYS</v>
      </c>
      <c r="J124" s="37" t="str">
        <f t="shared" si="30"/>
        <v>0-180 DAYS</v>
      </c>
      <c r="L124" s="66" t="s">
        <v>1730</v>
      </c>
      <c r="M124" s="158" t="s">
        <v>5210</v>
      </c>
      <c r="N124" s="158">
        <v>206500</v>
      </c>
    </row>
    <row r="125" spans="1:14" x14ac:dyDescent="0.35">
      <c r="A125" s="88" t="s">
        <v>1085</v>
      </c>
      <c r="B125" s="88" t="s">
        <v>790</v>
      </c>
      <c r="C125" t="s">
        <v>1086</v>
      </c>
      <c r="D125" s="37" t="s">
        <v>507</v>
      </c>
      <c r="E125" t="s">
        <v>5057</v>
      </c>
      <c r="F125" s="35">
        <v>46162</v>
      </c>
      <c r="G125" s="47">
        <v>2256022.2400000002</v>
      </c>
      <c r="H125" s="37">
        <f t="shared" si="27"/>
        <v>73</v>
      </c>
      <c r="I125" s="37" t="str">
        <f t="shared" si="37"/>
        <v>0-120 DAYS</v>
      </c>
      <c r="J125" s="37" t="str">
        <f t="shared" si="30"/>
        <v>0-180 DAYS</v>
      </c>
      <c r="L125" s="66" t="s">
        <v>1730</v>
      </c>
      <c r="M125" s="158" t="s">
        <v>5211</v>
      </c>
      <c r="N125" s="158">
        <v>2256022.2400000002</v>
      </c>
    </row>
    <row r="126" spans="1:14" x14ac:dyDescent="0.35">
      <c r="A126" s="88" t="s">
        <v>1085</v>
      </c>
      <c r="B126" s="88" t="s">
        <v>790</v>
      </c>
      <c r="C126" t="s">
        <v>1086</v>
      </c>
      <c r="D126" s="37" t="s">
        <v>507</v>
      </c>
      <c r="E126" t="s">
        <v>5058</v>
      </c>
      <c r="F126" s="35">
        <v>46162</v>
      </c>
      <c r="G126" s="47">
        <v>712587.09</v>
      </c>
      <c r="H126" s="37">
        <f t="shared" si="27"/>
        <v>73</v>
      </c>
      <c r="I126" s="37" t="str">
        <f t="shared" si="37"/>
        <v>0-120 DAYS</v>
      </c>
      <c r="J126" s="37" t="str">
        <f t="shared" si="30"/>
        <v>0-180 DAYS</v>
      </c>
      <c r="L126" s="66" t="s">
        <v>1730</v>
      </c>
      <c r="M126" s="158" t="s">
        <v>5211</v>
      </c>
      <c r="N126" s="158">
        <v>712587.09</v>
      </c>
    </row>
    <row r="127" spans="1:14" x14ac:dyDescent="0.35">
      <c r="A127" s="88" t="s">
        <v>1085</v>
      </c>
      <c r="B127" s="88" t="s">
        <v>790</v>
      </c>
      <c r="C127" t="s">
        <v>1086</v>
      </c>
      <c r="D127" s="37" t="s">
        <v>507</v>
      </c>
      <c r="E127" t="s">
        <v>5059</v>
      </c>
      <c r="F127" s="35">
        <v>46162</v>
      </c>
      <c r="G127" s="47">
        <v>101104.49</v>
      </c>
      <c r="H127" s="37">
        <f t="shared" si="27"/>
        <v>73</v>
      </c>
      <c r="I127" s="37" t="str">
        <f t="shared" si="37"/>
        <v>0-120 DAYS</v>
      </c>
      <c r="J127" s="37" t="str">
        <f t="shared" si="30"/>
        <v>0-180 DAYS</v>
      </c>
      <c r="L127" s="66" t="s">
        <v>1730</v>
      </c>
      <c r="M127" s="158" t="s">
        <v>5211</v>
      </c>
      <c r="N127" s="158">
        <v>101104.49</v>
      </c>
    </row>
    <row r="128" spans="1:14" x14ac:dyDescent="0.35">
      <c r="A128" s="88" t="s">
        <v>1085</v>
      </c>
      <c r="B128" s="88" t="s">
        <v>790</v>
      </c>
      <c r="C128" t="s">
        <v>1086</v>
      </c>
      <c r="D128" s="37" t="s">
        <v>507</v>
      </c>
      <c r="E128" t="s">
        <v>5060</v>
      </c>
      <c r="F128" s="35">
        <v>46162</v>
      </c>
      <c r="G128" s="47">
        <v>3109048.79</v>
      </c>
      <c r="H128" s="37">
        <f t="shared" si="27"/>
        <v>73</v>
      </c>
      <c r="I128" s="37" t="str">
        <f t="shared" si="37"/>
        <v>0-120 DAYS</v>
      </c>
      <c r="J128" s="37" t="str">
        <f t="shared" si="30"/>
        <v>0-180 DAYS</v>
      </c>
      <c r="L128" s="66" t="s">
        <v>1730</v>
      </c>
      <c r="M128" s="158" t="s">
        <v>5211</v>
      </c>
      <c r="N128" s="158">
        <v>3109048.79</v>
      </c>
    </row>
    <row r="129" spans="1:14" x14ac:dyDescent="0.35">
      <c r="A129" s="88" t="s">
        <v>1085</v>
      </c>
      <c r="B129" s="88" t="s">
        <v>790</v>
      </c>
      <c r="C129" t="s">
        <v>650</v>
      </c>
      <c r="D129" s="37" t="s">
        <v>507</v>
      </c>
      <c r="E129" t="s">
        <v>5062</v>
      </c>
      <c r="F129" s="35">
        <v>46164</v>
      </c>
      <c r="G129" s="47">
        <v>4407861.51</v>
      </c>
      <c r="H129" s="37">
        <f t="shared" ref="H129:H134" si="41">$H$1-F129+1</f>
        <v>71</v>
      </c>
      <c r="I129" s="37" t="str">
        <f t="shared" si="37"/>
        <v>0-120 DAYS</v>
      </c>
      <c r="J129" s="37" t="str">
        <f t="shared" si="30"/>
        <v>0-180 DAYS</v>
      </c>
      <c r="L129" s="66" t="s">
        <v>1730</v>
      </c>
      <c r="M129" s="158" t="s">
        <v>5213</v>
      </c>
      <c r="N129" s="158">
        <v>4407861.51</v>
      </c>
    </row>
    <row r="130" spans="1:14" x14ac:dyDescent="0.35">
      <c r="A130" s="88" t="s">
        <v>1085</v>
      </c>
      <c r="B130" s="88" t="s">
        <v>790</v>
      </c>
      <c r="C130" t="s">
        <v>647</v>
      </c>
      <c r="D130" s="37" t="s">
        <v>507</v>
      </c>
      <c r="E130" t="s">
        <v>5065</v>
      </c>
      <c r="F130" s="35">
        <v>46169</v>
      </c>
      <c r="G130" s="47">
        <f>3244593.64-1577307</f>
        <v>1667286.6400000001</v>
      </c>
      <c r="H130" s="37">
        <f t="shared" si="41"/>
        <v>66</v>
      </c>
      <c r="I130" s="37" t="str">
        <f t="shared" si="37"/>
        <v>0-120 DAYS</v>
      </c>
      <c r="J130" s="37" t="str">
        <f t="shared" ref="J130:J134" si="42">IF(H130&lt;180,"0-180 DAYS","More than 180 Days")</f>
        <v>0-180 DAYS</v>
      </c>
      <c r="L130" s="66" t="s">
        <v>1730</v>
      </c>
      <c r="M130" s="158" t="s">
        <v>5218</v>
      </c>
      <c r="N130" s="158">
        <v>1667286.64</v>
      </c>
    </row>
    <row r="131" spans="1:14" x14ac:dyDescent="0.35">
      <c r="A131" s="88" t="s">
        <v>1085</v>
      </c>
      <c r="B131" s="88" t="s">
        <v>790</v>
      </c>
      <c r="C131" t="s">
        <v>1086</v>
      </c>
      <c r="D131" s="37" t="s">
        <v>507</v>
      </c>
      <c r="E131" t="s">
        <v>5066</v>
      </c>
      <c r="F131" s="35">
        <v>46170</v>
      </c>
      <c r="G131" s="47">
        <v>108307.11</v>
      </c>
      <c r="H131" s="37">
        <f t="shared" si="41"/>
        <v>65</v>
      </c>
      <c r="I131" s="37" t="str">
        <f t="shared" si="37"/>
        <v>0-120 DAYS</v>
      </c>
      <c r="J131" s="37" t="str">
        <f t="shared" si="42"/>
        <v>0-180 DAYS</v>
      </c>
      <c r="L131" s="66" t="s">
        <v>1730</v>
      </c>
      <c r="M131" s="158" t="s">
        <v>5219</v>
      </c>
      <c r="N131" s="158">
        <v>108307.11</v>
      </c>
    </row>
    <row r="132" spans="1:14" x14ac:dyDescent="0.35">
      <c r="A132" s="88" t="s">
        <v>1085</v>
      </c>
      <c r="B132" s="88" t="s">
        <v>790</v>
      </c>
      <c r="C132" t="s">
        <v>1086</v>
      </c>
      <c r="D132" s="37" t="s">
        <v>507</v>
      </c>
      <c r="E132" t="s">
        <v>5067</v>
      </c>
      <c r="F132" s="35">
        <v>46170</v>
      </c>
      <c r="G132" s="47">
        <v>1664664.16</v>
      </c>
      <c r="H132" s="37">
        <f t="shared" si="41"/>
        <v>65</v>
      </c>
      <c r="I132" s="37" t="str">
        <f t="shared" si="37"/>
        <v>0-120 DAYS</v>
      </c>
      <c r="J132" s="37" t="str">
        <f t="shared" si="42"/>
        <v>0-180 DAYS</v>
      </c>
      <c r="L132" s="66" t="s">
        <v>1730</v>
      </c>
      <c r="M132" s="158" t="s">
        <v>5219</v>
      </c>
      <c r="N132" s="158">
        <v>1664664.16</v>
      </c>
    </row>
    <row r="133" spans="1:14" x14ac:dyDescent="0.35">
      <c r="A133" s="88" t="s">
        <v>1085</v>
      </c>
      <c r="B133" s="88" t="s">
        <v>790</v>
      </c>
      <c r="C133" t="s">
        <v>1086</v>
      </c>
      <c r="D133" s="37" t="s">
        <v>507</v>
      </c>
      <c r="E133" t="s">
        <v>5068</v>
      </c>
      <c r="F133" s="35">
        <v>46170</v>
      </c>
      <c r="G133" s="47">
        <v>1179699.76</v>
      </c>
      <c r="H133" s="37">
        <f t="shared" si="41"/>
        <v>65</v>
      </c>
      <c r="I133" s="37" t="str">
        <f t="shared" si="37"/>
        <v>0-120 DAYS</v>
      </c>
      <c r="J133" s="37" t="str">
        <f t="shared" si="42"/>
        <v>0-180 DAYS</v>
      </c>
      <c r="L133" s="66" t="s">
        <v>1730</v>
      </c>
      <c r="M133" s="158" t="s">
        <v>5219</v>
      </c>
      <c r="N133" s="158">
        <v>1179699.76</v>
      </c>
    </row>
    <row r="134" spans="1:14" x14ac:dyDescent="0.35">
      <c r="A134" t="s">
        <v>477</v>
      </c>
      <c r="B134" t="s">
        <v>790</v>
      </c>
      <c r="C134" t="s">
        <v>4780</v>
      </c>
      <c r="D134" t="s">
        <v>4783</v>
      </c>
      <c r="E134" t="s">
        <v>5077</v>
      </c>
      <c r="F134" s="35">
        <v>46175</v>
      </c>
      <c r="G134" s="47">
        <v>254936.21</v>
      </c>
      <c r="H134" s="37">
        <f t="shared" si="41"/>
        <v>60</v>
      </c>
      <c r="I134" s="37" t="str">
        <f t="shared" ref="I134" si="43">IF(H134&lt;91,"1-90 DAYS",IF(H134&lt;121,"91-120DAYS",IF(H134&lt;181,"121-180 DAYS","More than 180 Days")))</f>
        <v>1-90 DAYS</v>
      </c>
      <c r="J134" s="37" t="str">
        <f t="shared" si="42"/>
        <v>0-180 DAYS</v>
      </c>
      <c r="L134" s="66" t="s">
        <v>1730</v>
      </c>
      <c r="M134" s="158" t="s">
        <v>5224</v>
      </c>
      <c r="N134" s="158">
        <v>254936.21</v>
      </c>
    </row>
    <row r="135" spans="1:14" x14ac:dyDescent="0.35">
      <c r="A135" t="s">
        <v>477</v>
      </c>
      <c r="B135" t="s">
        <v>790</v>
      </c>
      <c r="C135" t="s">
        <v>3537</v>
      </c>
      <c r="D135" t="s">
        <v>3542</v>
      </c>
      <c r="E135" t="s">
        <v>5081</v>
      </c>
      <c r="F135" s="35">
        <v>46176</v>
      </c>
      <c r="G135" s="47">
        <v>440040.72</v>
      </c>
      <c r="H135" s="37">
        <f t="shared" ref="H135" si="44">$H$1-F135+1</f>
        <v>59</v>
      </c>
      <c r="I135" s="37" t="str">
        <f t="shared" ref="I135" si="45">IF(H135&lt;91,"1-90 DAYS",IF(H135&lt;121,"91-120DAYS",IF(H135&lt;181,"121-180 DAYS","More than 180 Days")))</f>
        <v>1-90 DAYS</v>
      </c>
      <c r="J135" s="37" t="str">
        <f t="shared" ref="J135" si="46">IF(H135&lt;180,"0-180 DAYS","More than 180 Days")</f>
        <v>0-180 DAYS</v>
      </c>
      <c r="L135" s="66" t="s">
        <v>1730</v>
      </c>
      <c r="M135" s="158" t="s">
        <v>5225</v>
      </c>
      <c r="N135" s="158">
        <v>440040.72</v>
      </c>
    </row>
    <row r="136" spans="1:14" x14ac:dyDescent="0.35">
      <c r="A136" t="s">
        <v>1085</v>
      </c>
      <c r="B136" t="s">
        <v>790</v>
      </c>
      <c r="C136" t="s">
        <v>559</v>
      </c>
      <c r="D136" t="s">
        <v>507</v>
      </c>
      <c r="E136" t="s">
        <v>5082</v>
      </c>
      <c r="F136" s="35">
        <v>46176</v>
      </c>
      <c r="G136" s="47">
        <v>119477.72</v>
      </c>
      <c r="H136" s="37">
        <f t="shared" ref="H136:H138" si="47">$H$1-F136+1</f>
        <v>59</v>
      </c>
      <c r="I136" s="37" t="str">
        <f t="shared" ref="I136:I138" si="48">IF(H136&lt;121,"0-120 DAYS",IF(H136&lt;181,"121-180 DAYS","More than 180 Days"))</f>
        <v>0-120 DAYS</v>
      </c>
      <c r="J136" s="37" t="str">
        <f t="shared" ref="J136:J138" si="49">IF(H136&lt;180,"0-180 DAYS","More than 180 Days")</f>
        <v>0-180 DAYS</v>
      </c>
      <c r="L136" s="66" t="s">
        <v>1730</v>
      </c>
      <c r="M136" s="158" t="s">
        <v>5225</v>
      </c>
      <c r="N136" s="158">
        <v>119477.72</v>
      </c>
    </row>
    <row r="137" spans="1:14" x14ac:dyDescent="0.35">
      <c r="A137" t="s">
        <v>1085</v>
      </c>
      <c r="B137" t="s">
        <v>790</v>
      </c>
      <c r="C137" t="s">
        <v>538</v>
      </c>
      <c r="D137" t="s">
        <v>507</v>
      </c>
      <c r="E137" t="s">
        <v>5083</v>
      </c>
      <c r="F137" s="35">
        <v>46176</v>
      </c>
      <c r="G137" s="47">
        <v>4372227.5310000004</v>
      </c>
      <c r="H137" s="37">
        <f t="shared" si="47"/>
        <v>59</v>
      </c>
      <c r="I137" s="37" t="str">
        <f t="shared" si="48"/>
        <v>0-120 DAYS</v>
      </c>
      <c r="J137" s="37" t="str">
        <f t="shared" si="49"/>
        <v>0-180 DAYS</v>
      </c>
      <c r="L137" s="66" t="s">
        <v>1730</v>
      </c>
      <c r="M137" s="158" t="s">
        <v>5225</v>
      </c>
      <c r="N137" s="158">
        <v>4372227.53</v>
      </c>
    </row>
    <row r="138" spans="1:14" x14ac:dyDescent="0.35">
      <c r="A138" t="s">
        <v>1085</v>
      </c>
      <c r="B138" t="s">
        <v>790</v>
      </c>
      <c r="C138" t="s">
        <v>538</v>
      </c>
      <c r="D138" t="s">
        <v>507</v>
      </c>
      <c r="E138" t="s">
        <v>5083</v>
      </c>
      <c r="F138" s="35">
        <v>46176</v>
      </c>
      <c r="G138" s="47">
        <v>251820.46400000001</v>
      </c>
      <c r="H138" s="37">
        <f t="shared" si="47"/>
        <v>59</v>
      </c>
      <c r="I138" s="37" t="str">
        <f t="shared" si="48"/>
        <v>0-120 DAYS</v>
      </c>
      <c r="J138" s="37" t="str">
        <f t="shared" si="49"/>
        <v>0-180 DAYS</v>
      </c>
      <c r="L138" s="66" t="s">
        <v>1730</v>
      </c>
      <c r="M138" s="158" t="s">
        <v>5225</v>
      </c>
      <c r="N138" s="158">
        <v>251820.46</v>
      </c>
    </row>
    <row r="139" spans="1:14" x14ac:dyDescent="0.35">
      <c r="A139" t="s">
        <v>477</v>
      </c>
      <c r="B139" t="s">
        <v>790</v>
      </c>
      <c r="C139" t="s">
        <v>4780</v>
      </c>
      <c r="D139" t="s">
        <v>4783</v>
      </c>
      <c r="E139" t="s">
        <v>5089</v>
      </c>
      <c r="F139" s="35">
        <v>46177</v>
      </c>
      <c r="G139" s="47">
        <v>196908.27</v>
      </c>
      <c r="H139" s="37">
        <f t="shared" ref="H139" si="50">$H$1-F139+1</f>
        <v>58</v>
      </c>
      <c r="I139" s="37" t="str">
        <f t="shared" ref="I139" si="51">IF(H139&lt;91,"1-90 DAYS",IF(H139&lt;121,"91-120DAYS",IF(H139&lt;181,"121-180 DAYS","More than 180 Days")))</f>
        <v>1-90 DAYS</v>
      </c>
      <c r="J139" s="37" t="str">
        <f t="shared" ref="J139" si="52">IF(H139&lt;180,"0-180 DAYS","More than 180 Days")</f>
        <v>0-180 DAYS</v>
      </c>
      <c r="L139" s="66" t="s">
        <v>1730</v>
      </c>
      <c r="M139" s="158" t="s">
        <v>5226</v>
      </c>
      <c r="N139" s="158">
        <v>196908.27</v>
      </c>
    </row>
    <row r="140" spans="1:14" x14ac:dyDescent="0.35">
      <c r="A140" t="s">
        <v>477</v>
      </c>
      <c r="B140" t="s">
        <v>790</v>
      </c>
      <c r="C140" t="s">
        <v>4942</v>
      </c>
      <c r="D140" t="s">
        <v>4951</v>
      </c>
      <c r="E140" t="s">
        <v>5091</v>
      </c>
      <c r="F140" s="35">
        <v>46178</v>
      </c>
      <c r="G140" s="47">
        <v>449775</v>
      </c>
      <c r="H140" s="37">
        <f t="shared" ref="H140" si="53">$H$1-F140+1</f>
        <v>57</v>
      </c>
      <c r="I140" s="37" t="str">
        <f t="shared" ref="I140" si="54">IF(H140&lt;91,"1-90 DAYS",IF(H140&lt;121,"91-120DAYS",IF(H140&lt;181,"121-180 DAYS","More than 180 Days")))</f>
        <v>1-90 DAYS</v>
      </c>
      <c r="J140" s="37" t="str">
        <f t="shared" ref="J140" si="55">IF(H140&lt;180,"0-180 DAYS","More than 180 Days")</f>
        <v>0-180 DAYS</v>
      </c>
      <c r="L140" s="66" t="s">
        <v>1730</v>
      </c>
      <c r="M140" s="158" t="s">
        <v>5227</v>
      </c>
      <c r="N140" s="158">
        <v>449775</v>
      </c>
    </row>
    <row r="141" spans="1:14" x14ac:dyDescent="0.35">
      <c r="A141" t="s">
        <v>1085</v>
      </c>
      <c r="B141" t="s">
        <v>790</v>
      </c>
      <c r="C141" s="18" t="s">
        <v>814</v>
      </c>
      <c r="D141" t="s">
        <v>5019</v>
      </c>
      <c r="E141" t="s">
        <v>5092</v>
      </c>
      <c r="F141" s="35">
        <v>46178</v>
      </c>
      <c r="G141" s="47">
        <v>4040</v>
      </c>
      <c r="H141" s="37">
        <f t="shared" ref="H141:H142" si="56">$H$1-F141+1</f>
        <v>57</v>
      </c>
      <c r="I141" s="37" t="str">
        <f t="shared" ref="I141:I142" si="57">IF(H141&lt;121,"0-120 DAYS",IF(H141&lt;181,"121-180 DAYS","More than 180 Days"))</f>
        <v>0-120 DAYS</v>
      </c>
      <c r="J141" s="37" t="str">
        <f t="shared" ref="J141:J142" si="58">IF(H141&lt;180,"0-180 DAYS","More than 180 Days")</f>
        <v>0-180 DAYS</v>
      </c>
      <c r="L141" s="66" t="s">
        <v>1730</v>
      </c>
      <c r="M141" s="158" t="s">
        <v>5227</v>
      </c>
      <c r="N141" s="158">
        <v>4040</v>
      </c>
    </row>
    <row r="142" spans="1:14" x14ac:dyDescent="0.35">
      <c r="A142" t="s">
        <v>1085</v>
      </c>
      <c r="B142" t="s">
        <v>790</v>
      </c>
      <c r="C142" s="18" t="s">
        <v>814</v>
      </c>
      <c r="D142" t="s">
        <v>5019</v>
      </c>
      <c r="E142" t="s">
        <v>5093</v>
      </c>
      <c r="F142" s="35">
        <v>46178</v>
      </c>
      <c r="G142" s="47">
        <v>1705</v>
      </c>
      <c r="H142" s="37">
        <f t="shared" si="56"/>
        <v>57</v>
      </c>
      <c r="I142" s="37" t="str">
        <f t="shared" si="57"/>
        <v>0-120 DAYS</v>
      </c>
      <c r="J142" s="37" t="str">
        <f t="shared" si="58"/>
        <v>0-180 DAYS</v>
      </c>
      <c r="L142" s="66" t="s">
        <v>1730</v>
      </c>
      <c r="M142" s="158" t="s">
        <v>5227</v>
      </c>
      <c r="N142" s="158">
        <v>1705</v>
      </c>
    </row>
    <row r="143" spans="1:14" x14ac:dyDescent="0.35">
      <c r="A143" t="s">
        <v>477</v>
      </c>
      <c r="B143" t="s">
        <v>790</v>
      </c>
      <c r="C143" t="s">
        <v>1196</v>
      </c>
      <c r="D143" t="s">
        <v>1208</v>
      </c>
      <c r="E143" t="s">
        <v>5099</v>
      </c>
      <c r="F143" s="35">
        <v>46180</v>
      </c>
      <c r="G143" s="47">
        <f>-915914+1984200</f>
        <v>1068286</v>
      </c>
      <c r="H143" s="37">
        <f t="shared" ref="H143:H144" si="59">$H$1-F143+1</f>
        <v>55</v>
      </c>
      <c r="I143" s="37" t="str">
        <f t="shared" ref="I143:I144" si="60">IF(H143&lt;91,"1-90 DAYS",IF(H143&lt;121,"91-120DAYS",IF(H143&lt;181,"121-180 DAYS","More than 180 Days")))</f>
        <v>1-90 DAYS</v>
      </c>
      <c r="J143" s="37" t="str">
        <f t="shared" ref="J143:J144" si="61">IF(H143&lt;180,"0-180 DAYS","More than 180 Days")</f>
        <v>0-180 DAYS</v>
      </c>
      <c r="L143" s="66" t="s">
        <v>1730</v>
      </c>
      <c r="M143" s="158" t="s">
        <v>5229</v>
      </c>
      <c r="N143" s="158">
        <v>1068286</v>
      </c>
    </row>
    <row r="144" spans="1:14" x14ac:dyDescent="0.35">
      <c r="A144" t="s">
        <v>477</v>
      </c>
      <c r="B144" t="s">
        <v>790</v>
      </c>
      <c r="C144" t="s">
        <v>4780</v>
      </c>
      <c r="D144" t="s">
        <v>4783</v>
      </c>
      <c r="E144" t="s">
        <v>5100</v>
      </c>
      <c r="F144" s="35">
        <v>46181</v>
      </c>
      <c r="G144" s="47">
        <v>148211.88</v>
      </c>
      <c r="H144" s="37">
        <f t="shared" si="59"/>
        <v>54</v>
      </c>
      <c r="I144" s="37" t="str">
        <f t="shared" si="60"/>
        <v>1-90 DAYS</v>
      </c>
      <c r="J144" s="37" t="str">
        <f t="shared" si="61"/>
        <v>0-180 DAYS</v>
      </c>
      <c r="L144" s="66" t="s">
        <v>1730</v>
      </c>
      <c r="M144" s="158" t="s">
        <v>5230</v>
      </c>
      <c r="N144" s="158">
        <v>148211.88</v>
      </c>
    </row>
    <row r="145" spans="1:14" x14ac:dyDescent="0.35">
      <c r="A145" t="s">
        <v>1085</v>
      </c>
      <c r="B145" t="s">
        <v>790</v>
      </c>
      <c r="C145" t="s">
        <v>1086</v>
      </c>
      <c r="D145" t="s">
        <v>507</v>
      </c>
      <c r="E145" t="s">
        <v>5101</v>
      </c>
      <c r="F145" s="35">
        <v>46181</v>
      </c>
      <c r="G145" s="47">
        <v>719779.48899999994</v>
      </c>
      <c r="H145" s="37">
        <f t="shared" ref="H145:H150" si="62">$H$1-F145+1</f>
        <v>54</v>
      </c>
      <c r="I145" s="37" t="str">
        <f t="shared" ref="I145:I150" si="63">IF(H145&lt;121,"0-120 DAYS",IF(H145&lt;181,"121-180 DAYS","More than 180 Days"))</f>
        <v>0-120 DAYS</v>
      </c>
      <c r="J145" s="37" t="str">
        <f t="shared" ref="J145:J150" si="64">IF(H145&lt;180,"0-180 DAYS","More than 180 Days")</f>
        <v>0-180 DAYS</v>
      </c>
      <c r="L145" s="66" t="s">
        <v>1730</v>
      </c>
      <c r="M145" s="158" t="s">
        <v>5230</v>
      </c>
      <c r="N145" s="158">
        <v>719779.49</v>
      </c>
    </row>
    <row r="146" spans="1:14" x14ac:dyDescent="0.35">
      <c r="A146" t="s">
        <v>1085</v>
      </c>
      <c r="B146" t="s">
        <v>790</v>
      </c>
      <c r="C146" t="s">
        <v>1086</v>
      </c>
      <c r="D146" t="s">
        <v>507</v>
      </c>
      <c r="E146" t="s">
        <v>5102</v>
      </c>
      <c r="F146" s="35">
        <v>46181</v>
      </c>
      <c r="G146" s="47">
        <v>306081.91899999999</v>
      </c>
      <c r="H146" s="37">
        <f t="shared" si="62"/>
        <v>54</v>
      </c>
      <c r="I146" s="37" t="str">
        <f t="shared" si="63"/>
        <v>0-120 DAYS</v>
      </c>
      <c r="J146" s="37" t="str">
        <f t="shared" si="64"/>
        <v>0-180 DAYS</v>
      </c>
      <c r="L146" s="66" t="s">
        <v>1730</v>
      </c>
      <c r="M146" s="158" t="s">
        <v>5230</v>
      </c>
      <c r="N146" s="158">
        <v>306081.91999999998</v>
      </c>
    </row>
    <row r="147" spans="1:14" x14ac:dyDescent="0.35">
      <c r="A147" t="s">
        <v>1085</v>
      </c>
      <c r="B147" t="s">
        <v>790</v>
      </c>
      <c r="C147" t="s">
        <v>1086</v>
      </c>
      <c r="D147" t="s">
        <v>507</v>
      </c>
      <c r="E147" t="s">
        <v>5103</v>
      </c>
      <c r="F147" s="35">
        <v>46181</v>
      </c>
      <c r="G147" s="47">
        <v>717358.59</v>
      </c>
      <c r="H147" s="37">
        <f t="shared" si="62"/>
        <v>54</v>
      </c>
      <c r="I147" s="37" t="str">
        <f t="shared" si="63"/>
        <v>0-120 DAYS</v>
      </c>
      <c r="J147" s="37" t="str">
        <f t="shared" si="64"/>
        <v>0-180 DAYS</v>
      </c>
      <c r="L147" s="66" t="s">
        <v>1730</v>
      </c>
      <c r="M147" s="158" t="s">
        <v>5230</v>
      </c>
      <c r="N147" s="158">
        <v>717358.59</v>
      </c>
    </row>
    <row r="148" spans="1:14" x14ac:dyDescent="0.35">
      <c r="A148" t="s">
        <v>1085</v>
      </c>
      <c r="B148" t="s">
        <v>790</v>
      </c>
      <c r="C148" t="s">
        <v>1086</v>
      </c>
      <c r="D148" t="s">
        <v>507</v>
      </c>
      <c r="E148" t="s">
        <v>5104</v>
      </c>
      <c r="F148" s="35">
        <v>46181</v>
      </c>
      <c r="G148" s="47">
        <v>241662.85</v>
      </c>
      <c r="H148" s="37">
        <f t="shared" si="62"/>
        <v>54</v>
      </c>
      <c r="I148" s="37" t="str">
        <f t="shared" si="63"/>
        <v>0-120 DAYS</v>
      </c>
      <c r="J148" s="37" t="str">
        <f t="shared" si="64"/>
        <v>0-180 DAYS</v>
      </c>
      <c r="L148" s="66" t="s">
        <v>1730</v>
      </c>
      <c r="M148" s="158" t="s">
        <v>5230</v>
      </c>
      <c r="N148" s="158">
        <v>241662.85</v>
      </c>
    </row>
    <row r="149" spans="1:14" x14ac:dyDescent="0.35">
      <c r="A149" t="s">
        <v>1085</v>
      </c>
      <c r="B149" t="s">
        <v>790</v>
      </c>
      <c r="C149" t="s">
        <v>1086</v>
      </c>
      <c r="D149" t="s">
        <v>507</v>
      </c>
      <c r="E149" t="s">
        <v>5105</v>
      </c>
      <c r="F149" s="35">
        <v>46181</v>
      </c>
      <c r="G149" s="47">
        <v>35507.277942274901</v>
      </c>
      <c r="H149" s="37">
        <f t="shared" si="62"/>
        <v>54</v>
      </c>
      <c r="I149" s="37" t="str">
        <f t="shared" si="63"/>
        <v>0-120 DAYS</v>
      </c>
      <c r="J149" s="37" t="str">
        <f t="shared" si="64"/>
        <v>0-180 DAYS</v>
      </c>
      <c r="L149" s="66" t="s">
        <v>1730</v>
      </c>
      <c r="M149" s="158" t="s">
        <v>5230</v>
      </c>
      <c r="N149" s="158">
        <v>35507.279999999999</v>
      </c>
    </row>
    <row r="150" spans="1:14" x14ac:dyDescent="0.35">
      <c r="A150" t="s">
        <v>1085</v>
      </c>
      <c r="B150" t="s">
        <v>790</v>
      </c>
      <c r="C150" t="s">
        <v>1086</v>
      </c>
      <c r="D150" t="s">
        <v>507</v>
      </c>
      <c r="E150" t="s">
        <v>5105</v>
      </c>
      <c r="F150" s="35">
        <v>46181</v>
      </c>
      <c r="G150" s="47">
        <v>664668.718057725</v>
      </c>
      <c r="H150" s="37">
        <f t="shared" si="62"/>
        <v>54</v>
      </c>
      <c r="I150" s="37" t="str">
        <f t="shared" si="63"/>
        <v>0-120 DAYS</v>
      </c>
      <c r="J150" s="37" t="str">
        <f t="shared" si="64"/>
        <v>0-180 DAYS</v>
      </c>
      <c r="L150" s="66" t="s">
        <v>1730</v>
      </c>
      <c r="M150" s="158" t="s">
        <v>5230</v>
      </c>
      <c r="N150" s="158">
        <v>664668.72</v>
      </c>
    </row>
    <row r="151" spans="1:14" x14ac:dyDescent="0.35">
      <c r="A151" t="s">
        <v>1085</v>
      </c>
      <c r="B151" t="s">
        <v>790</v>
      </c>
      <c r="C151" t="s">
        <v>650</v>
      </c>
      <c r="D151" t="s">
        <v>507</v>
      </c>
      <c r="E151" t="s">
        <v>1340</v>
      </c>
      <c r="F151" s="35">
        <v>46185</v>
      </c>
      <c r="G151" s="47">
        <v>3984172.7987059602</v>
      </c>
      <c r="H151" s="37">
        <f t="shared" ref="H151:H152" si="65">$H$1-F151+1</f>
        <v>50</v>
      </c>
      <c r="I151" s="37" t="str">
        <f t="shared" ref="I151:I152" si="66">IF(H151&lt;121,"0-120 DAYS",IF(H151&lt;181,"121-180 DAYS","More than 180 Days"))</f>
        <v>0-120 DAYS</v>
      </c>
      <c r="J151" s="37" t="str">
        <f t="shared" ref="J151:J152" si="67">IF(H151&lt;180,"0-180 DAYS","More than 180 Days")</f>
        <v>0-180 DAYS</v>
      </c>
      <c r="L151" s="66" t="s">
        <v>1730</v>
      </c>
      <c r="M151" s="158" t="s">
        <v>5234</v>
      </c>
      <c r="N151" s="158">
        <v>3984172.8</v>
      </c>
    </row>
    <row r="152" spans="1:14" x14ac:dyDescent="0.35">
      <c r="A152" t="s">
        <v>1085</v>
      </c>
      <c r="B152" t="s">
        <v>790</v>
      </c>
      <c r="C152" t="s">
        <v>650</v>
      </c>
      <c r="D152" t="s">
        <v>507</v>
      </c>
      <c r="E152" t="s">
        <v>1344</v>
      </c>
      <c r="F152" s="35">
        <v>46185</v>
      </c>
      <c r="G152" s="47">
        <v>465484.50151839998</v>
      </c>
      <c r="H152" s="37">
        <f t="shared" si="65"/>
        <v>50</v>
      </c>
      <c r="I152" s="37" t="str">
        <f t="shared" si="66"/>
        <v>0-120 DAYS</v>
      </c>
      <c r="J152" s="37" t="str">
        <f t="shared" si="67"/>
        <v>0-180 DAYS</v>
      </c>
      <c r="L152" s="66" t="s">
        <v>1730</v>
      </c>
      <c r="M152" s="158" t="s">
        <v>5234</v>
      </c>
      <c r="N152" s="158">
        <v>465484.5</v>
      </c>
    </row>
    <row r="153" spans="1:14" x14ac:dyDescent="0.35">
      <c r="A153" t="s">
        <v>1085</v>
      </c>
      <c r="B153" t="s">
        <v>790</v>
      </c>
      <c r="C153" t="s">
        <v>1086</v>
      </c>
      <c r="D153" t="s">
        <v>507</v>
      </c>
      <c r="E153" t="s">
        <v>5113</v>
      </c>
      <c r="F153" s="35">
        <v>46187</v>
      </c>
      <c r="G153" s="47">
        <v>638573.55900000001</v>
      </c>
      <c r="H153" s="37">
        <f t="shared" ref="H153:H155" si="68">$H$1-F153+1</f>
        <v>48</v>
      </c>
      <c r="I153" s="37" t="str">
        <f t="shared" ref="I153:I155" si="69">IF(H153&lt;121,"0-120 DAYS",IF(H153&lt;181,"121-180 DAYS","More than 180 Days"))</f>
        <v>0-120 DAYS</v>
      </c>
      <c r="J153" s="37" t="str">
        <f t="shared" ref="J153:J155" si="70">IF(H153&lt;180,"0-180 DAYS","More than 180 Days")</f>
        <v>0-180 DAYS</v>
      </c>
      <c r="L153" s="66" t="s">
        <v>1730</v>
      </c>
      <c r="M153" s="158" t="s">
        <v>5236</v>
      </c>
      <c r="N153" s="158">
        <v>638573.56000000006</v>
      </c>
    </row>
    <row r="154" spans="1:14" x14ac:dyDescent="0.35">
      <c r="A154" t="s">
        <v>1085</v>
      </c>
      <c r="B154" t="s">
        <v>790</v>
      </c>
      <c r="C154" t="s">
        <v>1086</v>
      </c>
      <c r="D154" t="s">
        <v>507</v>
      </c>
      <c r="E154" t="s">
        <v>5114</v>
      </c>
      <c r="F154" s="35">
        <v>46187</v>
      </c>
      <c r="G154" s="47">
        <v>974290.85</v>
      </c>
      <c r="H154" s="37">
        <f t="shared" si="68"/>
        <v>48</v>
      </c>
      <c r="I154" s="37" t="str">
        <f t="shared" si="69"/>
        <v>0-120 DAYS</v>
      </c>
      <c r="J154" s="37" t="str">
        <f t="shared" si="70"/>
        <v>0-180 DAYS</v>
      </c>
      <c r="L154" s="66" t="s">
        <v>1730</v>
      </c>
      <c r="M154" s="158" t="s">
        <v>5236</v>
      </c>
      <c r="N154" s="158">
        <v>974290.85</v>
      </c>
    </row>
    <row r="155" spans="1:14" x14ac:dyDescent="0.35">
      <c r="A155" t="s">
        <v>1085</v>
      </c>
      <c r="B155" t="s">
        <v>790</v>
      </c>
      <c r="C155" t="s">
        <v>1086</v>
      </c>
      <c r="D155" t="s">
        <v>507</v>
      </c>
      <c r="E155" t="s">
        <v>5115</v>
      </c>
      <c r="F155" s="35">
        <v>46187</v>
      </c>
      <c r="G155" s="47">
        <v>1180139.389</v>
      </c>
      <c r="H155" s="37">
        <f t="shared" si="68"/>
        <v>48</v>
      </c>
      <c r="I155" s="37" t="str">
        <f t="shared" si="69"/>
        <v>0-120 DAYS</v>
      </c>
      <c r="J155" s="37" t="str">
        <f t="shared" si="70"/>
        <v>0-180 DAYS</v>
      </c>
      <c r="L155" s="66" t="s">
        <v>1730</v>
      </c>
      <c r="M155" s="158" t="s">
        <v>5236</v>
      </c>
      <c r="N155" s="158">
        <v>1180139.3899999999</v>
      </c>
    </row>
    <row r="156" spans="1:14" x14ac:dyDescent="0.35">
      <c r="A156" t="s">
        <v>1085</v>
      </c>
      <c r="B156" t="s">
        <v>790</v>
      </c>
      <c r="C156" t="s">
        <v>1055</v>
      </c>
      <c r="D156" t="s">
        <v>507</v>
      </c>
      <c r="E156" t="s">
        <v>5116</v>
      </c>
      <c r="F156" s="35">
        <v>46188</v>
      </c>
      <c r="G156" s="47">
        <v>5052855.5999999996</v>
      </c>
      <c r="H156" s="37">
        <f t="shared" ref="H156" si="71">$H$1-F156+1</f>
        <v>47</v>
      </c>
      <c r="I156" s="37" t="str">
        <f t="shared" ref="I156" si="72">IF(H156&lt;121,"0-120 DAYS",IF(H156&lt;181,"121-180 DAYS","More than 180 Days"))</f>
        <v>0-120 DAYS</v>
      </c>
      <c r="J156" s="37" t="str">
        <f t="shared" ref="J156" si="73">IF(H156&lt;180,"0-180 DAYS","More than 180 Days")</f>
        <v>0-180 DAYS</v>
      </c>
      <c r="L156" s="66" t="s">
        <v>1730</v>
      </c>
      <c r="M156" s="158" t="s">
        <v>5237</v>
      </c>
      <c r="N156" s="158">
        <v>5052855.5999999996</v>
      </c>
    </row>
    <row r="157" spans="1:14" x14ac:dyDescent="0.35">
      <c r="A157" t="s">
        <v>477</v>
      </c>
      <c r="B157" t="s">
        <v>790</v>
      </c>
      <c r="C157" t="s">
        <v>5072</v>
      </c>
      <c r="D157" t="s">
        <v>5075</v>
      </c>
      <c r="E157" t="s">
        <v>2169</v>
      </c>
      <c r="F157" s="35">
        <v>46189</v>
      </c>
      <c r="G157" s="47">
        <v>50000</v>
      </c>
      <c r="H157" s="37">
        <f t="shared" ref="H157:H180" si="74">$H$1-F157+1</f>
        <v>46</v>
      </c>
      <c r="I157" s="37" t="str">
        <f t="shared" ref="I157:I180" si="75">IF(H157&lt;91,"1-90 DAYS",IF(H157&lt;121,"91-120DAYS",IF(H157&lt;181,"121-180 DAYS","More than 180 Days")))</f>
        <v>1-90 DAYS</v>
      </c>
      <c r="J157" s="37" t="str">
        <f t="shared" ref="J157:J180" si="76">IF(H157&lt;180,"0-180 DAYS","More than 180 Days")</f>
        <v>0-180 DAYS</v>
      </c>
      <c r="L157" s="66" t="s">
        <v>1730</v>
      </c>
      <c r="M157" s="158" t="s">
        <v>5238</v>
      </c>
      <c r="N157" s="158">
        <v>50000</v>
      </c>
    </row>
    <row r="158" spans="1:14" hidden="1" x14ac:dyDescent="0.35">
      <c r="A158" t="s">
        <v>4333</v>
      </c>
      <c r="B158" t="s">
        <v>789</v>
      </c>
      <c r="C158" t="s">
        <v>125</v>
      </c>
      <c r="D158" t="s">
        <v>57</v>
      </c>
      <c r="E158" t="s">
        <v>2184</v>
      </c>
      <c r="F158" s="35">
        <v>46191</v>
      </c>
      <c r="G158" s="150">
        <v>59156.2</v>
      </c>
      <c r="H158" s="37">
        <f t="shared" si="74"/>
        <v>44</v>
      </c>
      <c r="I158" s="37" t="str">
        <f t="shared" si="75"/>
        <v>1-90 DAYS</v>
      </c>
      <c r="J158" s="37" t="str">
        <f t="shared" si="76"/>
        <v>0-180 DAYS</v>
      </c>
      <c r="M158" s="158" t="s">
        <v>5240</v>
      </c>
      <c r="N158" s="158">
        <v>59156.2</v>
      </c>
    </row>
    <row r="159" spans="1:14" hidden="1" x14ac:dyDescent="0.35">
      <c r="A159" t="s">
        <v>4333</v>
      </c>
      <c r="B159" t="s">
        <v>789</v>
      </c>
      <c r="C159" t="s">
        <v>125</v>
      </c>
      <c r="D159" t="s">
        <v>57</v>
      </c>
      <c r="E159" t="s">
        <v>2184</v>
      </c>
      <c r="F159" s="35">
        <v>46191</v>
      </c>
      <c r="G159" s="150">
        <v>88053.04</v>
      </c>
      <c r="H159" s="37">
        <f t="shared" si="74"/>
        <v>44</v>
      </c>
      <c r="I159" s="37" t="str">
        <f t="shared" si="75"/>
        <v>1-90 DAYS</v>
      </c>
      <c r="J159" s="37" t="str">
        <f t="shared" si="76"/>
        <v>0-180 DAYS</v>
      </c>
      <c r="M159" s="158" t="s">
        <v>5240</v>
      </c>
      <c r="N159" s="158">
        <v>88053.04</v>
      </c>
    </row>
    <row r="160" spans="1:14" hidden="1" x14ac:dyDescent="0.35">
      <c r="A160" t="s">
        <v>4333</v>
      </c>
      <c r="B160" t="s">
        <v>789</v>
      </c>
      <c r="C160" t="s">
        <v>125</v>
      </c>
      <c r="D160" t="s">
        <v>57</v>
      </c>
      <c r="E160" t="s">
        <v>2184</v>
      </c>
      <c r="F160" s="35">
        <v>46191</v>
      </c>
      <c r="G160" s="150">
        <v>114402.26</v>
      </c>
      <c r="H160" s="37">
        <f t="shared" si="74"/>
        <v>44</v>
      </c>
      <c r="I160" s="37" t="str">
        <f t="shared" si="75"/>
        <v>1-90 DAYS</v>
      </c>
      <c r="J160" s="37" t="str">
        <f t="shared" si="76"/>
        <v>0-180 DAYS</v>
      </c>
      <c r="M160" s="158" t="s">
        <v>5240</v>
      </c>
      <c r="N160" s="158">
        <v>114402.26</v>
      </c>
    </row>
    <row r="161" spans="1:14" hidden="1" x14ac:dyDescent="0.35">
      <c r="A161" t="s">
        <v>4333</v>
      </c>
      <c r="B161" t="s">
        <v>789</v>
      </c>
      <c r="C161" t="s">
        <v>125</v>
      </c>
      <c r="D161" t="s">
        <v>57</v>
      </c>
      <c r="E161" t="s">
        <v>2184</v>
      </c>
      <c r="F161" s="35">
        <v>46191</v>
      </c>
      <c r="G161" s="150">
        <v>7620.74</v>
      </c>
      <c r="H161" s="37">
        <f t="shared" si="74"/>
        <v>44</v>
      </c>
      <c r="I161" s="37" t="str">
        <f t="shared" si="75"/>
        <v>1-90 DAYS</v>
      </c>
      <c r="J161" s="37" t="str">
        <f t="shared" si="76"/>
        <v>0-180 DAYS</v>
      </c>
      <c r="M161" s="158" t="s">
        <v>5240</v>
      </c>
      <c r="N161" s="158">
        <v>7620.74</v>
      </c>
    </row>
    <row r="162" spans="1:14" hidden="1" x14ac:dyDescent="0.35">
      <c r="A162" t="s">
        <v>4333</v>
      </c>
      <c r="B162" t="s">
        <v>789</v>
      </c>
      <c r="C162" t="s">
        <v>125</v>
      </c>
      <c r="D162" t="s">
        <v>57</v>
      </c>
      <c r="E162" t="s">
        <v>5123</v>
      </c>
      <c r="F162" s="35">
        <v>46192</v>
      </c>
      <c r="G162" s="150">
        <v>5952</v>
      </c>
      <c r="H162" s="37">
        <f t="shared" si="74"/>
        <v>43</v>
      </c>
      <c r="I162" s="37" t="str">
        <f t="shared" si="75"/>
        <v>1-90 DAYS</v>
      </c>
      <c r="J162" s="37" t="str">
        <f t="shared" si="76"/>
        <v>0-180 DAYS</v>
      </c>
      <c r="M162" s="158" t="s">
        <v>5241</v>
      </c>
      <c r="N162" s="158">
        <v>5952</v>
      </c>
    </row>
    <row r="163" spans="1:14" hidden="1" x14ac:dyDescent="0.35">
      <c r="A163" t="s">
        <v>4333</v>
      </c>
      <c r="B163" t="s">
        <v>789</v>
      </c>
      <c r="C163" t="s">
        <v>125</v>
      </c>
      <c r="D163" t="s">
        <v>57</v>
      </c>
      <c r="E163" t="s">
        <v>2191</v>
      </c>
      <c r="F163" s="35">
        <v>46192</v>
      </c>
      <c r="G163" s="150">
        <v>103878.47</v>
      </c>
      <c r="H163" s="37">
        <f t="shared" si="74"/>
        <v>43</v>
      </c>
      <c r="I163" s="37" t="str">
        <f t="shared" si="75"/>
        <v>1-90 DAYS</v>
      </c>
      <c r="J163" s="37" t="str">
        <f t="shared" si="76"/>
        <v>0-180 DAYS</v>
      </c>
      <c r="M163" s="158" t="s">
        <v>5241</v>
      </c>
      <c r="N163" s="158">
        <v>103878.47</v>
      </c>
    </row>
    <row r="164" spans="1:14" hidden="1" x14ac:dyDescent="0.35">
      <c r="A164" t="s">
        <v>4333</v>
      </c>
      <c r="B164" t="s">
        <v>789</v>
      </c>
      <c r="C164" t="s">
        <v>125</v>
      </c>
      <c r="D164" t="s">
        <v>57</v>
      </c>
      <c r="E164" t="s">
        <v>2191</v>
      </c>
      <c r="F164" s="35">
        <v>46192</v>
      </c>
      <c r="G164" s="150">
        <v>30651.78</v>
      </c>
      <c r="H164" s="37">
        <f t="shared" si="74"/>
        <v>43</v>
      </c>
      <c r="I164" s="37" t="str">
        <f t="shared" si="75"/>
        <v>1-90 DAYS</v>
      </c>
      <c r="J164" s="37" t="str">
        <f t="shared" si="76"/>
        <v>0-180 DAYS</v>
      </c>
      <c r="M164" s="158" t="s">
        <v>5241</v>
      </c>
      <c r="N164" s="158">
        <v>30651.78</v>
      </c>
    </row>
    <row r="165" spans="1:14" hidden="1" x14ac:dyDescent="0.35">
      <c r="A165" t="s">
        <v>4333</v>
      </c>
      <c r="B165" t="s">
        <v>789</v>
      </c>
      <c r="C165" t="s">
        <v>125</v>
      </c>
      <c r="D165" t="s">
        <v>57</v>
      </c>
      <c r="E165" t="s">
        <v>2191</v>
      </c>
      <c r="F165" s="35">
        <v>46192</v>
      </c>
      <c r="G165" s="150">
        <v>463755.78</v>
      </c>
      <c r="H165" s="37">
        <f t="shared" si="74"/>
        <v>43</v>
      </c>
      <c r="I165" s="37" t="str">
        <f t="shared" si="75"/>
        <v>1-90 DAYS</v>
      </c>
      <c r="J165" s="37" t="str">
        <f t="shared" si="76"/>
        <v>0-180 DAYS</v>
      </c>
      <c r="M165" s="158" t="s">
        <v>5241</v>
      </c>
      <c r="N165" s="158">
        <v>463755.78</v>
      </c>
    </row>
    <row r="166" spans="1:14" hidden="1" x14ac:dyDescent="0.35">
      <c r="A166" t="s">
        <v>4333</v>
      </c>
      <c r="B166" t="s">
        <v>789</v>
      </c>
      <c r="C166" t="s">
        <v>125</v>
      </c>
      <c r="D166" t="s">
        <v>57</v>
      </c>
      <c r="E166" t="s">
        <v>2191</v>
      </c>
      <c r="F166" s="35">
        <v>46192</v>
      </c>
      <c r="G166" s="150">
        <v>75051.92</v>
      </c>
      <c r="H166" s="37">
        <f t="shared" si="74"/>
        <v>43</v>
      </c>
      <c r="I166" s="37" t="str">
        <f t="shared" si="75"/>
        <v>1-90 DAYS</v>
      </c>
      <c r="J166" s="37" t="str">
        <f t="shared" si="76"/>
        <v>0-180 DAYS</v>
      </c>
      <c r="M166" s="158" t="s">
        <v>5241</v>
      </c>
      <c r="N166" s="158">
        <v>75051.92</v>
      </c>
    </row>
    <row r="167" spans="1:14" hidden="1" x14ac:dyDescent="0.35">
      <c r="A167" t="s">
        <v>4333</v>
      </c>
      <c r="B167" t="s">
        <v>789</v>
      </c>
      <c r="C167" t="s">
        <v>125</v>
      </c>
      <c r="D167" t="s">
        <v>57</v>
      </c>
      <c r="E167" t="s">
        <v>2191</v>
      </c>
      <c r="F167" s="35">
        <v>46192</v>
      </c>
      <c r="G167" s="150">
        <v>43143.05</v>
      </c>
      <c r="H167" s="37">
        <f t="shared" si="74"/>
        <v>43</v>
      </c>
      <c r="I167" s="37" t="str">
        <f t="shared" si="75"/>
        <v>1-90 DAYS</v>
      </c>
      <c r="J167" s="37" t="str">
        <f t="shared" si="76"/>
        <v>0-180 DAYS</v>
      </c>
      <c r="M167" s="158" t="s">
        <v>5241</v>
      </c>
      <c r="N167" s="158">
        <v>43143.05</v>
      </c>
    </row>
    <row r="168" spans="1:14" hidden="1" x14ac:dyDescent="0.35">
      <c r="A168" t="s">
        <v>4333</v>
      </c>
      <c r="B168" t="s">
        <v>789</v>
      </c>
      <c r="C168" t="s">
        <v>125</v>
      </c>
      <c r="D168" t="s">
        <v>57</v>
      </c>
      <c r="E168" t="s">
        <v>2191</v>
      </c>
      <c r="F168" s="35">
        <v>46192</v>
      </c>
      <c r="G168" s="150">
        <v>258682.96</v>
      </c>
      <c r="H168" s="37">
        <f t="shared" si="74"/>
        <v>43</v>
      </c>
      <c r="I168" s="37" t="str">
        <f t="shared" si="75"/>
        <v>1-90 DAYS</v>
      </c>
      <c r="J168" s="37" t="str">
        <f t="shared" si="76"/>
        <v>0-180 DAYS</v>
      </c>
      <c r="M168" s="158" t="s">
        <v>5241</v>
      </c>
      <c r="N168" s="158">
        <v>258682.96</v>
      </c>
    </row>
    <row r="169" spans="1:14" hidden="1" x14ac:dyDescent="0.35">
      <c r="A169" t="s">
        <v>4333</v>
      </c>
      <c r="B169" t="s">
        <v>789</v>
      </c>
      <c r="C169" t="s">
        <v>125</v>
      </c>
      <c r="D169" t="s">
        <v>57</v>
      </c>
      <c r="E169" t="s">
        <v>2191</v>
      </c>
      <c r="F169" s="35">
        <v>46192</v>
      </c>
      <c r="G169" s="150">
        <v>62506.26</v>
      </c>
      <c r="H169" s="37">
        <f t="shared" si="74"/>
        <v>43</v>
      </c>
      <c r="I169" s="37" t="str">
        <f t="shared" si="75"/>
        <v>1-90 DAYS</v>
      </c>
      <c r="J169" s="37" t="str">
        <f t="shared" si="76"/>
        <v>0-180 DAYS</v>
      </c>
      <c r="M169" s="158" t="s">
        <v>5241</v>
      </c>
      <c r="N169" s="158">
        <v>62506.26</v>
      </c>
    </row>
    <row r="170" spans="1:14" hidden="1" x14ac:dyDescent="0.35">
      <c r="A170" t="s">
        <v>4333</v>
      </c>
      <c r="B170" t="s">
        <v>789</v>
      </c>
      <c r="C170" t="s">
        <v>125</v>
      </c>
      <c r="D170" t="s">
        <v>57</v>
      </c>
      <c r="E170" t="s">
        <v>2191</v>
      </c>
      <c r="F170" s="35">
        <v>46192</v>
      </c>
      <c r="G170" s="150">
        <v>4861.5</v>
      </c>
      <c r="H170" s="37">
        <f t="shared" si="74"/>
        <v>43</v>
      </c>
      <c r="I170" s="37" t="str">
        <f t="shared" si="75"/>
        <v>1-90 DAYS</v>
      </c>
      <c r="J170" s="37" t="str">
        <f t="shared" si="76"/>
        <v>0-180 DAYS</v>
      </c>
      <c r="M170" s="158" t="s">
        <v>5241</v>
      </c>
      <c r="N170" s="158">
        <v>4861.5</v>
      </c>
    </row>
    <row r="171" spans="1:14" hidden="1" x14ac:dyDescent="0.35">
      <c r="A171" t="s">
        <v>4333</v>
      </c>
      <c r="B171" t="s">
        <v>789</v>
      </c>
      <c r="C171" t="s">
        <v>125</v>
      </c>
      <c r="D171" t="s">
        <v>57</v>
      </c>
      <c r="E171" t="s">
        <v>5124</v>
      </c>
      <c r="F171" s="35">
        <v>46193</v>
      </c>
      <c r="G171" s="150">
        <v>2352</v>
      </c>
      <c r="H171" s="37">
        <f t="shared" si="74"/>
        <v>42</v>
      </c>
      <c r="I171" s="37" t="str">
        <f t="shared" si="75"/>
        <v>1-90 DAYS</v>
      </c>
      <c r="J171" s="37" t="str">
        <f t="shared" si="76"/>
        <v>0-180 DAYS</v>
      </c>
      <c r="M171" s="158" t="s">
        <v>5242</v>
      </c>
      <c r="N171" s="158">
        <v>2352</v>
      </c>
    </row>
    <row r="172" spans="1:14" hidden="1" x14ac:dyDescent="0.35">
      <c r="A172" t="s">
        <v>4333</v>
      </c>
      <c r="B172" t="s">
        <v>789</v>
      </c>
      <c r="C172" t="s">
        <v>125</v>
      </c>
      <c r="D172" t="s">
        <v>57</v>
      </c>
      <c r="E172" t="s">
        <v>2052</v>
      </c>
      <c r="F172" s="35">
        <v>46193</v>
      </c>
      <c r="G172" s="150">
        <v>7670.01</v>
      </c>
      <c r="H172" s="37">
        <f t="shared" si="74"/>
        <v>42</v>
      </c>
      <c r="I172" s="37" t="str">
        <f t="shared" si="75"/>
        <v>1-90 DAYS</v>
      </c>
      <c r="J172" s="37" t="str">
        <f t="shared" si="76"/>
        <v>0-180 DAYS</v>
      </c>
      <c r="M172" s="158" t="s">
        <v>5242</v>
      </c>
      <c r="N172" s="158">
        <v>7670.01</v>
      </c>
    </row>
    <row r="173" spans="1:14" hidden="1" x14ac:dyDescent="0.35">
      <c r="A173" t="s">
        <v>4333</v>
      </c>
      <c r="B173" t="s">
        <v>789</v>
      </c>
      <c r="C173" t="s">
        <v>125</v>
      </c>
      <c r="D173" t="s">
        <v>57</v>
      </c>
      <c r="E173" t="s">
        <v>2052</v>
      </c>
      <c r="F173" s="35">
        <v>46193</v>
      </c>
      <c r="G173" s="150">
        <v>36207.129999999997</v>
      </c>
      <c r="H173" s="37">
        <f t="shared" si="74"/>
        <v>42</v>
      </c>
      <c r="I173" s="37" t="str">
        <f t="shared" si="75"/>
        <v>1-90 DAYS</v>
      </c>
      <c r="J173" s="37" t="str">
        <f t="shared" si="76"/>
        <v>0-180 DAYS</v>
      </c>
      <c r="M173" s="158" t="s">
        <v>5242</v>
      </c>
      <c r="N173" s="158">
        <v>36207.129999999997</v>
      </c>
    </row>
    <row r="174" spans="1:14" hidden="1" x14ac:dyDescent="0.35">
      <c r="A174" t="s">
        <v>4333</v>
      </c>
      <c r="B174" t="s">
        <v>789</v>
      </c>
      <c r="C174" t="s">
        <v>125</v>
      </c>
      <c r="D174" t="s">
        <v>57</v>
      </c>
      <c r="E174" t="s">
        <v>2052</v>
      </c>
      <c r="F174" s="35">
        <v>46193</v>
      </c>
      <c r="G174" s="150">
        <v>121764.33</v>
      </c>
      <c r="H174" s="37">
        <f t="shared" si="74"/>
        <v>42</v>
      </c>
      <c r="I174" s="37" t="str">
        <f t="shared" si="75"/>
        <v>1-90 DAYS</v>
      </c>
      <c r="J174" s="37" t="str">
        <f t="shared" si="76"/>
        <v>0-180 DAYS</v>
      </c>
      <c r="M174" s="158" t="s">
        <v>5242</v>
      </c>
      <c r="N174" s="158">
        <v>121764.33</v>
      </c>
    </row>
    <row r="175" spans="1:14" hidden="1" x14ac:dyDescent="0.35">
      <c r="A175" t="s">
        <v>4333</v>
      </c>
      <c r="B175" t="s">
        <v>789</v>
      </c>
      <c r="C175" t="s">
        <v>125</v>
      </c>
      <c r="D175" t="s">
        <v>57</v>
      </c>
      <c r="E175" t="s">
        <v>2052</v>
      </c>
      <c r="F175" s="35">
        <v>46193</v>
      </c>
      <c r="G175" s="150">
        <v>335035.44</v>
      </c>
      <c r="H175" s="37">
        <f t="shared" si="74"/>
        <v>42</v>
      </c>
      <c r="I175" s="37" t="str">
        <f t="shared" si="75"/>
        <v>1-90 DAYS</v>
      </c>
      <c r="J175" s="37" t="str">
        <f t="shared" si="76"/>
        <v>0-180 DAYS</v>
      </c>
      <c r="M175" s="158" t="s">
        <v>5242</v>
      </c>
      <c r="N175" s="158">
        <v>335035.44</v>
      </c>
    </row>
    <row r="176" spans="1:14" hidden="1" x14ac:dyDescent="0.35">
      <c r="A176" t="s">
        <v>4333</v>
      </c>
      <c r="B176" t="s">
        <v>789</v>
      </c>
      <c r="C176" t="s">
        <v>125</v>
      </c>
      <c r="D176" t="s">
        <v>57</v>
      </c>
      <c r="E176" t="s">
        <v>2052</v>
      </c>
      <c r="F176" s="35">
        <v>46193</v>
      </c>
      <c r="G176" s="150">
        <v>100031.14</v>
      </c>
      <c r="H176" s="37">
        <f t="shared" si="74"/>
        <v>42</v>
      </c>
      <c r="I176" s="37" t="str">
        <f t="shared" si="75"/>
        <v>1-90 DAYS</v>
      </c>
      <c r="J176" s="37" t="str">
        <f t="shared" si="76"/>
        <v>0-180 DAYS</v>
      </c>
      <c r="M176" s="158" t="s">
        <v>5242</v>
      </c>
      <c r="N176" s="158">
        <v>100031.14</v>
      </c>
    </row>
    <row r="177" spans="1:14" hidden="1" x14ac:dyDescent="0.35">
      <c r="A177" t="s">
        <v>4333</v>
      </c>
      <c r="B177" t="s">
        <v>789</v>
      </c>
      <c r="C177" t="s">
        <v>125</v>
      </c>
      <c r="D177" t="s">
        <v>57</v>
      </c>
      <c r="E177" t="s">
        <v>2052</v>
      </c>
      <c r="F177" s="35">
        <v>46193</v>
      </c>
      <c r="G177" s="150">
        <v>84950.5</v>
      </c>
      <c r="H177" s="37">
        <f t="shared" si="74"/>
        <v>42</v>
      </c>
      <c r="I177" s="37" t="str">
        <f t="shared" si="75"/>
        <v>1-90 DAYS</v>
      </c>
      <c r="J177" s="37" t="str">
        <f t="shared" si="76"/>
        <v>0-180 DAYS</v>
      </c>
      <c r="M177" s="158" t="s">
        <v>5242</v>
      </c>
      <c r="N177" s="158">
        <v>84950.5</v>
      </c>
    </row>
    <row r="178" spans="1:14" hidden="1" x14ac:dyDescent="0.35">
      <c r="A178" t="s">
        <v>4333</v>
      </c>
      <c r="B178" t="s">
        <v>789</v>
      </c>
      <c r="C178" t="s">
        <v>125</v>
      </c>
      <c r="D178" t="s">
        <v>57</v>
      </c>
      <c r="E178" t="s">
        <v>2052</v>
      </c>
      <c r="F178" s="35">
        <v>46193</v>
      </c>
      <c r="G178" s="150">
        <v>113027.6</v>
      </c>
      <c r="H178" s="37">
        <f t="shared" si="74"/>
        <v>42</v>
      </c>
      <c r="I178" s="37" t="str">
        <f t="shared" si="75"/>
        <v>1-90 DAYS</v>
      </c>
      <c r="J178" s="37" t="str">
        <f t="shared" si="76"/>
        <v>0-180 DAYS</v>
      </c>
      <c r="M178" s="158" t="s">
        <v>5242</v>
      </c>
      <c r="N178" s="158">
        <v>113027.6</v>
      </c>
    </row>
    <row r="179" spans="1:14" hidden="1" x14ac:dyDescent="0.35">
      <c r="A179" t="s">
        <v>4333</v>
      </c>
      <c r="B179" t="s">
        <v>789</v>
      </c>
      <c r="C179" t="s">
        <v>125</v>
      </c>
      <c r="D179" t="s">
        <v>57</v>
      </c>
      <c r="E179" t="s">
        <v>2052</v>
      </c>
      <c r="F179" s="35">
        <v>46193</v>
      </c>
      <c r="G179" s="150">
        <v>6931.58</v>
      </c>
      <c r="H179" s="37">
        <f t="shared" si="74"/>
        <v>42</v>
      </c>
      <c r="I179" s="37" t="str">
        <f t="shared" si="75"/>
        <v>1-90 DAYS</v>
      </c>
      <c r="J179" s="37" t="str">
        <f t="shared" si="76"/>
        <v>0-180 DAYS</v>
      </c>
      <c r="M179" s="158" t="s">
        <v>5242</v>
      </c>
      <c r="N179" s="158">
        <v>6931.58</v>
      </c>
    </row>
    <row r="180" spans="1:14" hidden="1" x14ac:dyDescent="0.35">
      <c r="A180" t="s">
        <v>4333</v>
      </c>
      <c r="B180" t="s">
        <v>789</v>
      </c>
      <c r="C180" t="s">
        <v>125</v>
      </c>
      <c r="D180" t="s">
        <v>57</v>
      </c>
      <c r="E180" t="s">
        <v>2197</v>
      </c>
      <c r="F180" s="35">
        <v>46193</v>
      </c>
      <c r="G180" s="150">
        <v>27250</v>
      </c>
      <c r="H180" s="37">
        <f t="shared" si="74"/>
        <v>42</v>
      </c>
      <c r="I180" s="37" t="str">
        <f t="shared" si="75"/>
        <v>1-90 DAYS</v>
      </c>
      <c r="J180" s="37" t="str">
        <f t="shared" si="76"/>
        <v>0-180 DAYS</v>
      </c>
      <c r="M180" s="158" t="s">
        <v>5242</v>
      </c>
      <c r="N180" s="158">
        <v>27250</v>
      </c>
    </row>
    <row r="181" spans="1:14" x14ac:dyDescent="0.35">
      <c r="A181" t="s">
        <v>1085</v>
      </c>
      <c r="B181" t="s">
        <v>790</v>
      </c>
      <c r="C181" t="s">
        <v>1243</v>
      </c>
      <c r="D181" t="s">
        <v>507</v>
      </c>
      <c r="E181" t="s">
        <v>5125</v>
      </c>
      <c r="F181" s="35">
        <v>46194</v>
      </c>
      <c r="G181" s="47">
        <v>3476296.99</v>
      </c>
      <c r="H181" s="37">
        <f t="shared" ref="H181:H213" si="77">$H$1-F181+1</f>
        <v>41</v>
      </c>
      <c r="I181" s="37" t="str">
        <f t="shared" ref="I181" si="78">IF(H181&lt;121,"0-120 DAYS",IF(H181&lt;181,"121-180 DAYS","More than 180 Days"))</f>
        <v>0-120 DAYS</v>
      </c>
      <c r="J181" s="37" t="str">
        <f t="shared" ref="J181:J213" si="79">IF(H181&lt;180,"0-180 DAYS","More than 180 Days")</f>
        <v>0-180 DAYS</v>
      </c>
      <c r="L181" s="66" t="s">
        <v>1730</v>
      </c>
      <c r="M181" s="158" t="s">
        <v>5243</v>
      </c>
      <c r="N181" s="158">
        <v>3476296.99</v>
      </c>
    </row>
    <row r="182" spans="1:14" hidden="1" x14ac:dyDescent="0.35">
      <c r="A182" t="s">
        <v>4333</v>
      </c>
      <c r="B182" t="s">
        <v>789</v>
      </c>
      <c r="C182" t="s">
        <v>125</v>
      </c>
      <c r="D182" t="s">
        <v>57</v>
      </c>
      <c r="E182" t="s">
        <v>5126</v>
      </c>
      <c r="F182" s="35">
        <v>46194</v>
      </c>
      <c r="G182" s="150">
        <v>3264</v>
      </c>
      <c r="H182" s="37">
        <f t="shared" si="77"/>
        <v>41</v>
      </c>
      <c r="I182" s="37" t="str">
        <f t="shared" ref="I182:I213" si="80">IF(H182&lt;91,"1-90 DAYS",IF(H182&lt;121,"91-120DAYS",IF(H182&lt;181,"121-180 DAYS","More than 180 Days")))</f>
        <v>1-90 DAYS</v>
      </c>
      <c r="J182" s="37" t="str">
        <f t="shared" si="79"/>
        <v>0-180 DAYS</v>
      </c>
      <c r="M182" s="158" t="s">
        <v>5243</v>
      </c>
      <c r="N182" s="158">
        <v>3264</v>
      </c>
    </row>
    <row r="183" spans="1:14" hidden="1" x14ac:dyDescent="0.35">
      <c r="A183" t="s">
        <v>4333</v>
      </c>
      <c r="B183" t="s">
        <v>789</v>
      </c>
      <c r="C183" t="s">
        <v>125</v>
      </c>
      <c r="D183" t="s">
        <v>57</v>
      </c>
      <c r="E183" t="s">
        <v>2053</v>
      </c>
      <c r="F183" s="35">
        <v>46194</v>
      </c>
      <c r="G183" s="150">
        <v>71506.16</v>
      </c>
      <c r="H183" s="37">
        <f t="shared" si="77"/>
        <v>41</v>
      </c>
      <c r="I183" s="37" t="str">
        <f t="shared" si="80"/>
        <v>1-90 DAYS</v>
      </c>
      <c r="J183" s="37" t="str">
        <f t="shared" si="79"/>
        <v>0-180 DAYS</v>
      </c>
      <c r="M183" s="158" t="s">
        <v>5243</v>
      </c>
      <c r="N183" s="158">
        <v>71506.16</v>
      </c>
    </row>
    <row r="184" spans="1:14" hidden="1" x14ac:dyDescent="0.35">
      <c r="A184" t="s">
        <v>4333</v>
      </c>
      <c r="B184" t="s">
        <v>789</v>
      </c>
      <c r="C184" t="s">
        <v>125</v>
      </c>
      <c r="D184" t="s">
        <v>57</v>
      </c>
      <c r="E184" t="s">
        <v>2053</v>
      </c>
      <c r="F184" s="35">
        <v>46194</v>
      </c>
      <c r="G184" s="150">
        <v>219792.86</v>
      </c>
      <c r="H184" s="37">
        <f t="shared" si="77"/>
        <v>41</v>
      </c>
      <c r="I184" s="37" t="str">
        <f t="shared" si="80"/>
        <v>1-90 DAYS</v>
      </c>
      <c r="J184" s="37" t="str">
        <f t="shared" si="79"/>
        <v>0-180 DAYS</v>
      </c>
      <c r="M184" s="158" t="s">
        <v>5243</v>
      </c>
      <c r="N184" s="158">
        <v>219792.86</v>
      </c>
    </row>
    <row r="185" spans="1:14" hidden="1" x14ac:dyDescent="0.35">
      <c r="A185" t="s">
        <v>4333</v>
      </c>
      <c r="B185" t="s">
        <v>789</v>
      </c>
      <c r="C185" t="s">
        <v>125</v>
      </c>
      <c r="D185" t="s">
        <v>57</v>
      </c>
      <c r="E185" t="s">
        <v>2053</v>
      </c>
      <c r="F185" s="35">
        <v>46194</v>
      </c>
      <c r="G185" s="150">
        <v>3334.07</v>
      </c>
      <c r="H185" s="37">
        <f t="shared" si="77"/>
        <v>41</v>
      </c>
      <c r="I185" s="37" t="str">
        <f t="shared" si="80"/>
        <v>1-90 DAYS</v>
      </c>
      <c r="J185" s="37" t="str">
        <f t="shared" si="79"/>
        <v>0-180 DAYS</v>
      </c>
      <c r="M185" s="158" t="s">
        <v>5243</v>
      </c>
      <c r="N185" s="158">
        <v>3334.07</v>
      </c>
    </row>
    <row r="186" spans="1:14" hidden="1" x14ac:dyDescent="0.35">
      <c r="A186" t="s">
        <v>4333</v>
      </c>
      <c r="B186" t="s">
        <v>789</v>
      </c>
      <c r="C186" t="s">
        <v>125</v>
      </c>
      <c r="D186" t="s">
        <v>57</v>
      </c>
      <c r="E186" t="s">
        <v>2053</v>
      </c>
      <c r="F186" s="35">
        <v>46194</v>
      </c>
      <c r="G186" s="150">
        <v>38692.82</v>
      </c>
      <c r="H186" s="37">
        <f t="shared" si="77"/>
        <v>41</v>
      </c>
      <c r="I186" s="37" t="str">
        <f t="shared" si="80"/>
        <v>1-90 DAYS</v>
      </c>
      <c r="J186" s="37" t="str">
        <f t="shared" si="79"/>
        <v>0-180 DAYS</v>
      </c>
      <c r="M186" s="158" t="s">
        <v>5243</v>
      </c>
      <c r="N186" s="158">
        <v>38692.82</v>
      </c>
    </row>
    <row r="187" spans="1:14" hidden="1" x14ac:dyDescent="0.35">
      <c r="A187" t="s">
        <v>4333</v>
      </c>
      <c r="B187" t="s">
        <v>789</v>
      </c>
      <c r="C187" t="s">
        <v>125</v>
      </c>
      <c r="D187" t="s">
        <v>57</v>
      </c>
      <c r="E187" t="s">
        <v>2053</v>
      </c>
      <c r="F187" s="35">
        <v>46194</v>
      </c>
      <c r="G187" s="150">
        <v>168884.62</v>
      </c>
      <c r="H187" s="37">
        <f t="shared" si="77"/>
        <v>41</v>
      </c>
      <c r="I187" s="37" t="str">
        <f t="shared" si="80"/>
        <v>1-90 DAYS</v>
      </c>
      <c r="J187" s="37" t="str">
        <f t="shared" si="79"/>
        <v>0-180 DAYS</v>
      </c>
      <c r="M187" s="158" t="s">
        <v>5243</v>
      </c>
      <c r="N187" s="158">
        <v>168884.62</v>
      </c>
    </row>
    <row r="188" spans="1:14" hidden="1" x14ac:dyDescent="0.35">
      <c r="A188" t="s">
        <v>4333</v>
      </c>
      <c r="B188" t="s">
        <v>789</v>
      </c>
      <c r="C188" t="s">
        <v>125</v>
      </c>
      <c r="D188" t="s">
        <v>57</v>
      </c>
      <c r="E188" t="s">
        <v>2055</v>
      </c>
      <c r="F188" s="35">
        <v>46194</v>
      </c>
      <c r="G188" s="150">
        <v>57679.85</v>
      </c>
      <c r="H188" s="37">
        <f t="shared" si="77"/>
        <v>41</v>
      </c>
      <c r="I188" s="37" t="str">
        <f t="shared" si="80"/>
        <v>1-90 DAYS</v>
      </c>
      <c r="J188" s="37" t="str">
        <f t="shared" si="79"/>
        <v>0-180 DAYS</v>
      </c>
      <c r="M188" s="158" t="s">
        <v>5243</v>
      </c>
      <c r="N188" s="158">
        <v>57679.85</v>
      </c>
    </row>
    <row r="189" spans="1:14" hidden="1" x14ac:dyDescent="0.35">
      <c r="A189" t="s">
        <v>4333</v>
      </c>
      <c r="B189" t="s">
        <v>789</v>
      </c>
      <c r="C189" t="s">
        <v>125</v>
      </c>
      <c r="D189" t="s">
        <v>57</v>
      </c>
      <c r="E189" t="s">
        <v>2205</v>
      </c>
      <c r="F189" s="35">
        <v>46195</v>
      </c>
      <c r="G189" s="150">
        <v>210000</v>
      </c>
      <c r="H189" s="37">
        <f t="shared" si="77"/>
        <v>40</v>
      </c>
      <c r="I189" s="37" t="str">
        <f t="shared" si="80"/>
        <v>1-90 DAYS</v>
      </c>
      <c r="J189" s="37" t="str">
        <f t="shared" si="79"/>
        <v>0-180 DAYS</v>
      </c>
      <c r="M189" s="158" t="s">
        <v>5244</v>
      </c>
      <c r="N189" s="158">
        <v>210000</v>
      </c>
    </row>
    <row r="190" spans="1:14" hidden="1" x14ac:dyDescent="0.35">
      <c r="A190" t="s">
        <v>4333</v>
      </c>
      <c r="B190" t="s">
        <v>789</v>
      </c>
      <c r="C190" t="s">
        <v>125</v>
      </c>
      <c r="D190" t="s">
        <v>57</v>
      </c>
      <c r="E190" t="s">
        <v>5127</v>
      </c>
      <c r="F190" s="35">
        <v>46195</v>
      </c>
      <c r="G190" s="150">
        <v>299700</v>
      </c>
      <c r="H190" s="37">
        <f t="shared" si="77"/>
        <v>40</v>
      </c>
      <c r="I190" s="37" t="str">
        <f t="shared" si="80"/>
        <v>1-90 DAYS</v>
      </c>
      <c r="J190" s="37" t="str">
        <f t="shared" si="79"/>
        <v>0-180 DAYS</v>
      </c>
      <c r="M190" s="158" t="s">
        <v>5244</v>
      </c>
      <c r="N190" s="158">
        <v>299700</v>
      </c>
    </row>
    <row r="191" spans="1:14" hidden="1" x14ac:dyDescent="0.35">
      <c r="A191" t="s">
        <v>4333</v>
      </c>
      <c r="B191" t="s">
        <v>789</v>
      </c>
      <c r="C191" t="s">
        <v>125</v>
      </c>
      <c r="D191" t="s">
        <v>57</v>
      </c>
      <c r="E191" t="s">
        <v>5127</v>
      </c>
      <c r="F191" s="35">
        <v>46195</v>
      </c>
      <c r="G191" s="150">
        <v>341875</v>
      </c>
      <c r="H191" s="37">
        <f t="shared" si="77"/>
        <v>40</v>
      </c>
      <c r="I191" s="37" t="str">
        <f t="shared" si="80"/>
        <v>1-90 DAYS</v>
      </c>
      <c r="J191" s="37" t="str">
        <f t="shared" si="79"/>
        <v>0-180 DAYS</v>
      </c>
      <c r="M191" s="158" t="s">
        <v>5244</v>
      </c>
      <c r="N191" s="158">
        <v>341875</v>
      </c>
    </row>
    <row r="192" spans="1:14" hidden="1" x14ac:dyDescent="0.35">
      <c r="A192" t="s">
        <v>4333</v>
      </c>
      <c r="B192" t="s">
        <v>789</v>
      </c>
      <c r="C192" t="s">
        <v>125</v>
      </c>
      <c r="D192" t="s">
        <v>57</v>
      </c>
      <c r="E192" t="s">
        <v>2208</v>
      </c>
      <c r="F192" s="35">
        <v>46196</v>
      </c>
      <c r="G192" s="150">
        <v>115532.54</v>
      </c>
      <c r="H192" s="37">
        <f t="shared" si="77"/>
        <v>39</v>
      </c>
      <c r="I192" s="37" t="str">
        <f t="shared" si="80"/>
        <v>1-90 DAYS</v>
      </c>
      <c r="J192" s="37" t="str">
        <f t="shared" si="79"/>
        <v>0-180 DAYS</v>
      </c>
      <c r="M192" s="158" t="s">
        <v>5245</v>
      </c>
      <c r="N192" s="158">
        <v>115532.54</v>
      </c>
    </row>
    <row r="193" spans="1:14" hidden="1" x14ac:dyDescent="0.35">
      <c r="A193" t="s">
        <v>4333</v>
      </c>
      <c r="B193" t="s">
        <v>789</v>
      </c>
      <c r="C193" t="s">
        <v>125</v>
      </c>
      <c r="D193" t="s">
        <v>57</v>
      </c>
      <c r="E193" t="s">
        <v>2208</v>
      </c>
      <c r="F193" s="35">
        <v>46196</v>
      </c>
      <c r="G193" s="150">
        <v>115973.63</v>
      </c>
      <c r="H193" s="37">
        <f t="shared" si="77"/>
        <v>39</v>
      </c>
      <c r="I193" s="37" t="str">
        <f t="shared" si="80"/>
        <v>1-90 DAYS</v>
      </c>
      <c r="J193" s="37" t="str">
        <f t="shared" si="79"/>
        <v>0-180 DAYS</v>
      </c>
      <c r="M193" s="158" t="s">
        <v>5245</v>
      </c>
      <c r="N193" s="158">
        <v>115973.63</v>
      </c>
    </row>
    <row r="194" spans="1:14" hidden="1" x14ac:dyDescent="0.35">
      <c r="A194" t="s">
        <v>4333</v>
      </c>
      <c r="B194" t="s">
        <v>789</v>
      </c>
      <c r="C194" t="s">
        <v>125</v>
      </c>
      <c r="D194" t="s">
        <v>57</v>
      </c>
      <c r="E194" t="s">
        <v>2208</v>
      </c>
      <c r="F194" s="35">
        <v>46196</v>
      </c>
      <c r="G194" s="150">
        <v>302671.44</v>
      </c>
      <c r="H194" s="37">
        <f t="shared" si="77"/>
        <v>39</v>
      </c>
      <c r="I194" s="37" t="str">
        <f t="shared" si="80"/>
        <v>1-90 DAYS</v>
      </c>
      <c r="J194" s="37" t="str">
        <f t="shared" si="79"/>
        <v>0-180 DAYS</v>
      </c>
      <c r="M194" s="158" t="s">
        <v>5245</v>
      </c>
      <c r="N194" s="158">
        <v>302671.44</v>
      </c>
    </row>
    <row r="195" spans="1:14" hidden="1" x14ac:dyDescent="0.35">
      <c r="A195" t="s">
        <v>4333</v>
      </c>
      <c r="B195" t="s">
        <v>789</v>
      </c>
      <c r="C195" t="s">
        <v>125</v>
      </c>
      <c r="D195" t="s">
        <v>57</v>
      </c>
      <c r="E195" t="s">
        <v>2208</v>
      </c>
      <c r="F195" s="35">
        <v>46196</v>
      </c>
      <c r="G195" s="150">
        <v>301661.5</v>
      </c>
      <c r="H195" s="37">
        <f t="shared" si="77"/>
        <v>39</v>
      </c>
      <c r="I195" s="37" t="str">
        <f t="shared" si="80"/>
        <v>1-90 DAYS</v>
      </c>
      <c r="J195" s="37" t="str">
        <f t="shared" si="79"/>
        <v>0-180 DAYS</v>
      </c>
      <c r="M195" s="158" t="s">
        <v>5245</v>
      </c>
      <c r="N195" s="158">
        <v>301661.5</v>
      </c>
    </row>
    <row r="196" spans="1:14" hidden="1" x14ac:dyDescent="0.35">
      <c r="A196" t="s">
        <v>4333</v>
      </c>
      <c r="B196" t="s">
        <v>789</v>
      </c>
      <c r="C196" t="s">
        <v>125</v>
      </c>
      <c r="D196" t="s">
        <v>57</v>
      </c>
      <c r="E196" t="s">
        <v>2208</v>
      </c>
      <c r="F196" s="35">
        <v>46196</v>
      </c>
      <c r="G196" s="150">
        <v>55472.32</v>
      </c>
      <c r="H196" s="37">
        <f t="shared" si="77"/>
        <v>39</v>
      </c>
      <c r="I196" s="37" t="str">
        <f t="shared" si="80"/>
        <v>1-90 DAYS</v>
      </c>
      <c r="J196" s="37" t="str">
        <f t="shared" si="79"/>
        <v>0-180 DAYS</v>
      </c>
      <c r="M196" s="158" t="s">
        <v>5245</v>
      </c>
      <c r="N196" s="158">
        <v>55472.32</v>
      </c>
    </row>
    <row r="197" spans="1:14" hidden="1" x14ac:dyDescent="0.35">
      <c r="A197" t="s">
        <v>4333</v>
      </c>
      <c r="B197" t="s">
        <v>789</v>
      </c>
      <c r="C197" t="s">
        <v>125</v>
      </c>
      <c r="D197" t="s">
        <v>57</v>
      </c>
      <c r="E197" t="s">
        <v>5128</v>
      </c>
      <c r="F197" s="35">
        <v>46196</v>
      </c>
      <c r="G197" s="150">
        <v>9696</v>
      </c>
      <c r="H197" s="37">
        <f t="shared" si="77"/>
        <v>39</v>
      </c>
      <c r="I197" s="37" t="str">
        <f t="shared" si="80"/>
        <v>1-90 DAYS</v>
      </c>
      <c r="J197" s="37" t="str">
        <f t="shared" si="79"/>
        <v>0-180 DAYS</v>
      </c>
      <c r="M197" s="158" t="s">
        <v>5245</v>
      </c>
      <c r="N197" s="158">
        <v>9696</v>
      </c>
    </row>
    <row r="198" spans="1:14" hidden="1" x14ac:dyDescent="0.35">
      <c r="A198" t="s">
        <v>4333</v>
      </c>
      <c r="B198" t="s">
        <v>789</v>
      </c>
      <c r="C198" t="s">
        <v>125</v>
      </c>
      <c r="D198" t="s">
        <v>57</v>
      </c>
      <c r="E198" t="s">
        <v>5129</v>
      </c>
      <c r="F198" s="35">
        <v>46196</v>
      </c>
      <c r="G198" s="150">
        <v>47823.6</v>
      </c>
      <c r="H198" s="37">
        <f t="shared" si="77"/>
        <v>39</v>
      </c>
      <c r="I198" s="37" t="str">
        <f t="shared" si="80"/>
        <v>1-90 DAYS</v>
      </c>
      <c r="J198" s="37" t="str">
        <f t="shared" si="79"/>
        <v>0-180 DAYS</v>
      </c>
      <c r="M198" s="158" t="s">
        <v>5245</v>
      </c>
      <c r="N198" s="158">
        <v>47823.6</v>
      </c>
    </row>
    <row r="199" spans="1:14" hidden="1" x14ac:dyDescent="0.35">
      <c r="A199" t="s">
        <v>4333</v>
      </c>
      <c r="B199" t="s">
        <v>789</v>
      </c>
      <c r="C199" t="s">
        <v>125</v>
      </c>
      <c r="D199" t="s">
        <v>57</v>
      </c>
      <c r="E199" t="s">
        <v>5129</v>
      </c>
      <c r="F199" s="35">
        <v>46196</v>
      </c>
      <c r="G199" s="150">
        <v>100906.42</v>
      </c>
      <c r="H199" s="37">
        <f t="shared" si="77"/>
        <v>39</v>
      </c>
      <c r="I199" s="37" t="str">
        <f t="shared" si="80"/>
        <v>1-90 DAYS</v>
      </c>
      <c r="J199" s="37" t="str">
        <f t="shared" si="79"/>
        <v>0-180 DAYS</v>
      </c>
      <c r="M199" s="158" t="s">
        <v>5245</v>
      </c>
      <c r="N199" s="158">
        <v>100906.42</v>
      </c>
    </row>
    <row r="200" spans="1:14" hidden="1" x14ac:dyDescent="0.35">
      <c r="A200" t="s">
        <v>4333</v>
      </c>
      <c r="B200" t="s">
        <v>789</v>
      </c>
      <c r="C200" t="s">
        <v>125</v>
      </c>
      <c r="D200" t="s">
        <v>57</v>
      </c>
      <c r="E200" t="s">
        <v>5129</v>
      </c>
      <c r="F200" s="35">
        <v>46196</v>
      </c>
      <c r="G200" s="150">
        <v>103675.8</v>
      </c>
      <c r="H200" s="37">
        <f t="shared" si="77"/>
        <v>39</v>
      </c>
      <c r="I200" s="37" t="str">
        <f t="shared" si="80"/>
        <v>1-90 DAYS</v>
      </c>
      <c r="J200" s="37" t="str">
        <f t="shared" si="79"/>
        <v>0-180 DAYS</v>
      </c>
      <c r="M200" s="158" t="s">
        <v>5245</v>
      </c>
      <c r="N200" s="158">
        <v>103675.8</v>
      </c>
    </row>
    <row r="201" spans="1:14" hidden="1" x14ac:dyDescent="0.35">
      <c r="A201" t="s">
        <v>4333</v>
      </c>
      <c r="B201" t="s">
        <v>789</v>
      </c>
      <c r="C201" t="s">
        <v>125</v>
      </c>
      <c r="D201" t="s">
        <v>57</v>
      </c>
      <c r="E201" t="s">
        <v>5129</v>
      </c>
      <c r="F201" s="35">
        <v>46196</v>
      </c>
      <c r="G201" s="150">
        <v>87550.57</v>
      </c>
      <c r="H201" s="37">
        <f t="shared" si="77"/>
        <v>39</v>
      </c>
      <c r="I201" s="37" t="str">
        <f t="shared" si="80"/>
        <v>1-90 DAYS</v>
      </c>
      <c r="J201" s="37" t="str">
        <f t="shared" si="79"/>
        <v>0-180 DAYS</v>
      </c>
      <c r="M201" s="158" t="s">
        <v>5245</v>
      </c>
      <c r="N201" s="158">
        <v>87550.57</v>
      </c>
    </row>
    <row r="202" spans="1:14" hidden="1" x14ac:dyDescent="0.35">
      <c r="A202" t="s">
        <v>4333</v>
      </c>
      <c r="B202" t="s">
        <v>789</v>
      </c>
      <c r="C202" t="s">
        <v>125</v>
      </c>
      <c r="D202" t="s">
        <v>57</v>
      </c>
      <c r="E202" t="s">
        <v>5129</v>
      </c>
      <c r="F202" s="35">
        <v>46196</v>
      </c>
      <c r="G202" s="150">
        <v>104623.34</v>
      </c>
      <c r="H202" s="37">
        <f t="shared" si="77"/>
        <v>39</v>
      </c>
      <c r="I202" s="37" t="str">
        <f t="shared" si="80"/>
        <v>1-90 DAYS</v>
      </c>
      <c r="J202" s="37" t="str">
        <f t="shared" si="79"/>
        <v>0-180 DAYS</v>
      </c>
      <c r="M202" s="158" t="s">
        <v>5245</v>
      </c>
      <c r="N202" s="158">
        <v>104623.34</v>
      </c>
    </row>
    <row r="203" spans="1:14" hidden="1" x14ac:dyDescent="0.35">
      <c r="A203" t="s">
        <v>4333</v>
      </c>
      <c r="B203" t="s">
        <v>789</v>
      </c>
      <c r="C203" t="s">
        <v>125</v>
      </c>
      <c r="D203" t="s">
        <v>57</v>
      </c>
      <c r="E203" t="s">
        <v>5129</v>
      </c>
      <c r="F203" s="35">
        <v>46196</v>
      </c>
      <c r="G203" s="150">
        <v>36001.410000000003</v>
      </c>
      <c r="H203" s="37">
        <f t="shared" si="77"/>
        <v>39</v>
      </c>
      <c r="I203" s="37" t="str">
        <f t="shared" si="80"/>
        <v>1-90 DAYS</v>
      </c>
      <c r="J203" s="37" t="str">
        <f t="shared" si="79"/>
        <v>0-180 DAYS</v>
      </c>
      <c r="M203" s="158" t="s">
        <v>5245</v>
      </c>
      <c r="N203" s="158">
        <v>36001.410000000003</v>
      </c>
    </row>
    <row r="204" spans="1:14" hidden="1" x14ac:dyDescent="0.35">
      <c r="A204" t="s">
        <v>4333</v>
      </c>
      <c r="B204" t="s">
        <v>789</v>
      </c>
      <c r="C204" t="s">
        <v>125</v>
      </c>
      <c r="D204" t="s">
        <v>57</v>
      </c>
      <c r="E204" t="s">
        <v>5130</v>
      </c>
      <c r="F204" s="35">
        <v>46196</v>
      </c>
      <c r="G204" s="150">
        <v>341875</v>
      </c>
      <c r="H204" s="37">
        <f t="shared" si="77"/>
        <v>39</v>
      </c>
      <c r="I204" s="37" t="str">
        <f t="shared" si="80"/>
        <v>1-90 DAYS</v>
      </c>
      <c r="J204" s="37" t="str">
        <f t="shared" si="79"/>
        <v>0-180 DAYS</v>
      </c>
      <c r="M204" s="158" t="s">
        <v>5245</v>
      </c>
      <c r="N204" s="158">
        <v>341875</v>
      </c>
    </row>
    <row r="205" spans="1:14" hidden="1" x14ac:dyDescent="0.35">
      <c r="A205" t="s">
        <v>4333</v>
      </c>
      <c r="B205" t="s">
        <v>789</v>
      </c>
      <c r="C205" t="s">
        <v>125</v>
      </c>
      <c r="D205" t="s">
        <v>57</v>
      </c>
      <c r="E205" t="s">
        <v>2213</v>
      </c>
      <c r="F205" s="35">
        <v>46196</v>
      </c>
      <c r="G205" s="150">
        <v>29500</v>
      </c>
      <c r="H205" s="37">
        <f t="shared" si="77"/>
        <v>39</v>
      </c>
      <c r="I205" s="37" t="str">
        <f t="shared" si="80"/>
        <v>1-90 DAYS</v>
      </c>
      <c r="J205" s="37" t="str">
        <f t="shared" si="79"/>
        <v>0-180 DAYS</v>
      </c>
      <c r="M205" s="158" t="s">
        <v>5245</v>
      </c>
      <c r="N205" s="158">
        <v>29500</v>
      </c>
    </row>
    <row r="206" spans="1:14" hidden="1" x14ac:dyDescent="0.35">
      <c r="A206" t="s">
        <v>4333</v>
      </c>
      <c r="B206" t="s">
        <v>789</v>
      </c>
      <c r="C206" t="s">
        <v>125</v>
      </c>
      <c r="D206" t="s">
        <v>57</v>
      </c>
      <c r="E206" t="s">
        <v>5131</v>
      </c>
      <c r="F206" s="35">
        <v>46197</v>
      </c>
      <c r="G206" s="150">
        <v>6240</v>
      </c>
      <c r="H206" s="37">
        <f t="shared" si="77"/>
        <v>38</v>
      </c>
      <c r="I206" s="37" t="str">
        <f t="shared" si="80"/>
        <v>1-90 DAYS</v>
      </c>
      <c r="J206" s="37" t="str">
        <f t="shared" si="79"/>
        <v>0-180 DAYS</v>
      </c>
      <c r="M206" s="158" t="s">
        <v>5246</v>
      </c>
      <c r="N206" s="158">
        <v>6240</v>
      </c>
    </row>
    <row r="207" spans="1:14" hidden="1" x14ac:dyDescent="0.35">
      <c r="A207" t="s">
        <v>4333</v>
      </c>
      <c r="B207" t="s">
        <v>789</v>
      </c>
      <c r="C207" t="s">
        <v>125</v>
      </c>
      <c r="D207" t="s">
        <v>57</v>
      </c>
      <c r="E207" t="s">
        <v>5132</v>
      </c>
      <c r="F207" s="35">
        <v>46197</v>
      </c>
      <c r="G207" s="150">
        <v>26248.639999999999</v>
      </c>
      <c r="H207" s="37">
        <f t="shared" si="77"/>
        <v>38</v>
      </c>
      <c r="I207" s="37" t="str">
        <f t="shared" si="80"/>
        <v>1-90 DAYS</v>
      </c>
      <c r="J207" s="37" t="str">
        <f t="shared" si="79"/>
        <v>0-180 DAYS</v>
      </c>
      <c r="M207" s="158" t="s">
        <v>5246</v>
      </c>
      <c r="N207" s="158">
        <v>26248.639999999999</v>
      </c>
    </row>
    <row r="208" spans="1:14" hidden="1" x14ac:dyDescent="0.35">
      <c r="A208" t="s">
        <v>4333</v>
      </c>
      <c r="B208" t="s">
        <v>789</v>
      </c>
      <c r="C208" t="s">
        <v>125</v>
      </c>
      <c r="D208" t="s">
        <v>57</v>
      </c>
      <c r="E208" t="s">
        <v>5132</v>
      </c>
      <c r="F208" s="35">
        <v>46197</v>
      </c>
      <c r="G208" s="150">
        <v>69343.960000000006</v>
      </c>
      <c r="H208" s="37">
        <f t="shared" si="77"/>
        <v>38</v>
      </c>
      <c r="I208" s="37" t="str">
        <f t="shared" si="80"/>
        <v>1-90 DAYS</v>
      </c>
      <c r="J208" s="37" t="str">
        <f t="shared" si="79"/>
        <v>0-180 DAYS</v>
      </c>
      <c r="M208" s="158" t="s">
        <v>5246</v>
      </c>
      <c r="N208" s="158">
        <v>69343.960000000006</v>
      </c>
    </row>
    <row r="209" spans="1:14" hidden="1" x14ac:dyDescent="0.35">
      <c r="A209" t="s">
        <v>4333</v>
      </c>
      <c r="B209" t="s">
        <v>789</v>
      </c>
      <c r="C209" t="s">
        <v>125</v>
      </c>
      <c r="D209" t="s">
        <v>57</v>
      </c>
      <c r="E209" t="s">
        <v>5132</v>
      </c>
      <c r="F209" s="35">
        <v>46197</v>
      </c>
      <c r="G209" s="150">
        <v>355019.22</v>
      </c>
      <c r="H209" s="37">
        <f t="shared" si="77"/>
        <v>38</v>
      </c>
      <c r="I209" s="37" t="str">
        <f t="shared" si="80"/>
        <v>1-90 DAYS</v>
      </c>
      <c r="J209" s="37" t="str">
        <f t="shared" si="79"/>
        <v>0-180 DAYS</v>
      </c>
      <c r="M209" s="158" t="s">
        <v>5246</v>
      </c>
      <c r="N209" s="158">
        <v>355019.22</v>
      </c>
    </row>
    <row r="210" spans="1:14" hidden="1" x14ac:dyDescent="0.35">
      <c r="A210" t="s">
        <v>4333</v>
      </c>
      <c r="B210" t="s">
        <v>789</v>
      </c>
      <c r="C210" t="s">
        <v>125</v>
      </c>
      <c r="D210" t="s">
        <v>57</v>
      </c>
      <c r="E210" t="s">
        <v>5132</v>
      </c>
      <c r="F210" s="35">
        <v>46197</v>
      </c>
      <c r="G210" s="150">
        <v>64960.32</v>
      </c>
      <c r="H210" s="37">
        <f t="shared" si="77"/>
        <v>38</v>
      </c>
      <c r="I210" s="37" t="str">
        <f t="shared" si="80"/>
        <v>1-90 DAYS</v>
      </c>
      <c r="J210" s="37" t="str">
        <f t="shared" si="79"/>
        <v>0-180 DAYS</v>
      </c>
      <c r="M210" s="158" t="s">
        <v>5246</v>
      </c>
      <c r="N210" s="158">
        <v>64960.32</v>
      </c>
    </row>
    <row r="211" spans="1:14" hidden="1" x14ac:dyDescent="0.35">
      <c r="A211" t="s">
        <v>4333</v>
      </c>
      <c r="B211" t="s">
        <v>789</v>
      </c>
      <c r="C211" t="s">
        <v>125</v>
      </c>
      <c r="D211" t="s">
        <v>57</v>
      </c>
      <c r="E211" t="s">
        <v>5132</v>
      </c>
      <c r="F211" s="35">
        <v>46197</v>
      </c>
      <c r="G211" s="150">
        <v>44577.599999999999</v>
      </c>
      <c r="H211" s="37">
        <f t="shared" si="77"/>
        <v>38</v>
      </c>
      <c r="I211" s="37" t="str">
        <f t="shared" si="80"/>
        <v>1-90 DAYS</v>
      </c>
      <c r="J211" s="37" t="str">
        <f t="shared" si="79"/>
        <v>0-180 DAYS</v>
      </c>
      <c r="M211" s="158" t="s">
        <v>5246</v>
      </c>
      <c r="N211" s="158">
        <v>44577.599999999999</v>
      </c>
    </row>
    <row r="212" spans="1:14" hidden="1" x14ac:dyDescent="0.35">
      <c r="A212" t="s">
        <v>4333</v>
      </c>
      <c r="B212" t="s">
        <v>789</v>
      </c>
      <c r="C212" t="s">
        <v>125</v>
      </c>
      <c r="D212" t="s">
        <v>57</v>
      </c>
      <c r="E212" t="s">
        <v>5132</v>
      </c>
      <c r="F212" s="35">
        <v>46197</v>
      </c>
      <c r="G212" s="150">
        <v>4533.0200000000004</v>
      </c>
      <c r="H212" s="37">
        <f t="shared" si="77"/>
        <v>38</v>
      </c>
      <c r="I212" s="37" t="str">
        <f t="shared" si="80"/>
        <v>1-90 DAYS</v>
      </c>
      <c r="J212" s="37" t="str">
        <f t="shared" si="79"/>
        <v>0-180 DAYS</v>
      </c>
      <c r="M212" s="158" t="s">
        <v>5246</v>
      </c>
      <c r="N212" s="158">
        <v>4533.0200000000004</v>
      </c>
    </row>
    <row r="213" spans="1:14" hidden="1" x14ac:dyDescent="0.35">
      <c r="A213" t="s">
        <v>4333</v>
      </c>
      <c r="B213" t="s">
        <v>789</v>
      </c>
      <c r="C213" t="s">
        <v>125</v>
      </c>
      <c r="D213" t="s">
        <v>57</v>
      </c>
      <c r="E213" t="s">
        <v>5133</v>
      </c>
      <c r="F213" s="35">
        <v>46197</v>
      </c>
      <c r="G213" s="150">
        <v>94894.24</v>
      </c>
      <c r="H213" s="37">
        <f t="shared" si="77"/>
        <v>38</v>
      </c>
      <c r="I213" s="37" t="str">
        <f t="shared" si="80"/>
        <v>1-90 DAYS</v>
      </c>
      <c r="J213" s="37" t="str">
        <f t="shared" si="79"/>
        <v>0-180 DAYS</v>
      </c>
      <c r="M213" s="158" t="s">
        <v>5246</v>
      </c>
      <c r="N213" s="158">
        <v>94894.24</v>
      </c>
    </row>
    <row r="214" spans="1:14" x14ac:dyDescent="0.35">
      <c r="A214" t="s">
        <v>477</v>
      </c>
      <c r="B214" t="s">
        <v>790</v>
      </c>
      <c r="C214" t="s">
        <v>4780</v>
      </c>
      <c r="D214" t="s">
        <v>4783</v>
      </c>
      <c r="E214" t="s">
        <v>5134</v>
      </c>
      <c r="F214" s="35">
        <v>46198</v>
      </c>
      <c r="G214" s="47">
        <v>10400</v>
      </c>
      <c r="H214" s="37">
        <f t="shared" ref="H214" si="81">$H$1-F214+1</f>
        <v>37</v>
      </c>
      <c r="I214" s="37" t="str">
        <f t="shared" ref="I214" si="82">IF(H214&lt;91,"1-90 DAYS",IF(H214&lt;121,"91-120DAYS",IF(H214&lt;181,"121-180 DAYS","More than 180 Days")))</f>
        <v>1-90 DAYS</v>
      </c>
      <c r="J214" s="37" t="str">
        <f t="shared" ref="J214" si="83">IF(H214&lt;180,"0-180 DAYS","More than 180 Days")</f>
        <v>0-180 DAYS</v>
      </c>
      <c r="L214" s="66" t="s">
        <v>1730</v>
      </c>
      <c r="M214" s="158" t="s">
        <v>5247</v>
      </c>
      <c r="N214" s="158">
        <v>10400</v>
      </c>
    </row>
    <row r="215" spans="1:14" x14ac:dyDescent="0.35">
      <c r="A215" t="s">
        <v>1085</v>
      </c>
      <c r="B215" t="s">
        <v>790</v>
      </c>
      <c r="C215" t="s">
        <v>536</v>
      </c>
      <c r="D215" t="s">
        <v>507</v>
      </c>
      <c r="E215" t="s">
        <v>5135</v>
      </c>
      <c r="F215" s="35">
        <v>46198</v>
      </c>
      <c r="G215" s="47">
        <v>3969285.6</v>
      </c>
      <c r="H215" s="37">
        <f t="shared" ref="H215:H216" si="84">$H$1-F215+1</f>
        <v>37</v>
      </c>
      <c r="I215" s="37" t="str">
        <f t="shared" ref="I215" si="85">IF(H215&lt;121,"0-120 DAYS",IF(H215&lt;181,"121-180 DAYS","More than 180 Days"))</f>
        <v>0-120 DAYS</v>
      </c>
      <c r="J215" s="37" t="str">
        <f t="shared" ref="J215:J216" si="86">IF(H215&lt;180,"0-180 DAYS","More than 180 Days")</f>
        <v>0-180 DAYS</v>
      </c>
      <c r="L215" s="66" t="s">
        <v>1730</v>
      </c>
      <c r="M215" s="158" t="s">
        <v>5247</v>
      </c>
      <c r="N215" s="158">
        <v>3969285.6</v>
      </c>
    </row>
    <row r="216" spans="1:14" hidden="1" x14ac:dyDescent="0.35">
      <c r="A216" t="s">
        <v>4333</v>
      </c>
      <c r="B216" t="s">
        <v>789</v>
      </c>
      <c r="C216" t="s">
        <v>125</v>
      </c>
      <c r="D216" t="s">
        <v>57</v>
      </c>
      <c r="E216" t="s">
        <v>5136</v>
      </c>
      <c r="F216" s="35">
        <v>46198</v>
      </c>
      <c r="G216" s="150">
        <v>78302.2</v>
      </c>
      <c r="H216" s="37">
        <f t="shared" si="84"/>
        <v>37</v>
      </c>
      <c r="I216" s="37" t="str">
        <f>IF(H216&lt;91,"1-90 DAYS",IF(H216&lt;121,"91-120DAYS",IF(H216&lt;181,"121-180 DAYS","More than 180 Days")))</f>
        <v>1-90 DAYS</v>
      </c>
      <c r="J216" s="37" t="str">
        <f t="shared" si="86"/>
        <v>0-180 DAYS</v>
      </c>
      <c r="M216" s="158" t="s">
        <v>5247</v>
      </c>
      <c r="N216" s="158">
        <v>78302.2</v>
      </c>
    </row>
    <row r="217" spans="1:14" x14ac:dyDescent="0.35">
      <c r="A217" t="s">
        <v>477</v>
      </c>
      <c r="B217" t="s">
        <v>790</v>
      </c>
      <c r="C217" t="s">
        <v>4780</v>
      </c>
      <c r="D217" t="s">
        <v>4783</v>
      </c>
      <c r="E217" t="s">
        <v>5137</v>
      </c>
      <c r="F217" s="35">
        <v>46199</v>
      </c>
      <c r="G217" s="47">
        <v>13000</v>
      </c>
      <c r="H217" s="37">
        <f t="shared" ref="H217:H227" si="87">$H$1-F217+1</f>
        <v>36</v>
      </c>
      <c r="I217" s="37" t="str">
        <f t="shared" ref="I217:I227" si="88">IF(H217&lt;91,"1-90 DAYS",IF(H217&lt;121,"91-120DAYS",IF(H217&lt;181,"121-180 DAYS","More than 180 Days")))</f>
        <v>1-90 DAYS</v>
      </c>
      <c r="J217" s="37" t="str">
        <f t="shared" ref="J217:J227" si="89">IF(H217&lt;180,"0-180 DAYS","More than 180 Days")</f>
        <v>0-180 DAYS</v>
      </c>
      <c r="L217" s="66" t="s">
        <v>1730</v>
      </c>
      <c r="M217" s="158" t="s">
        <v>5248</v>
      </c>
      <c r="N217" s="158">
        <v>13000</v>
      </c>
    </row>
    <row r="218" spans="1:14" x14ac:dyDescent="0.35">
      <c r="A218" t="s">
        <v>477</v>
      </c>
      <c r="B218" t="s">
        <v>790</v>
      </c>
      <c r="C218" t="s">
        <v>4780</v>
      </c>
      <c r="D218" t="s">
        <v>4783</v>
      </c>
      <c r="E218" t="s">
        <v>5138</v>
      </c>
      <c r="F218" s="35">
        <v>46199</v>
      </c>
      <c r="G218" s="47">
        <v>221713.7</v>
      </c>
      <c r="H218" s="37">
        <f t="shared" si="87"/>
        <v>36</v>
      </c>
      <c r="I218" s="37" t="str">
        <f t="shared" si="88"/>
        <v>1-90 DAYS</v>
      </c>
      <c r="J218" s="37" t="str">
        <f t="shared" si="89"/>
        <v>0-180 DAYS</v>
      </c>
      <c r="L218" s="66" t="s">
        <v>1730</v>
      </c>
      <c r="M218" s="158" t="s">
        <v>5248</v>
      </c>
      <c r="N218" s="158">
        <v>221713.7</v>
      </c>
    </row>
    <row r="219" spans="1:14" hidden="1" x14ac:dyDescent="0.35">
      <c r="A219" t="s">
        <v>4333</v>
      </c>
      <c r="B219" t="s">
        <v>789</v>
      </c>
      <c r="C219" t="s">
        <v>125</v>
      </c>
      <c r="D219" t="s">
        <v>57</v>
      </c>
      <c r="E219" t="s">
        <v>5139</v>
      </c>
      <c r="F219" s="35">
        <v>46199</v>
      </c>
      <c r="G219" s="150">
        <v>2640</v>
      </c>
      <c r="H219" s="37">
        <f t="shared" si="87"/>
        <v>36</v>
      </c>
      <c r="I219" s="37" t="str">
        <f t="shared" si="88"/>
        <v>1-90 DAYS</v>
      </c>
      <c r="J219" s="37" t="str">
        <f t="shared" si="89"/>
        <v>0-180 DAYS</v>
      </c>
      <c r="M219" s="158" t="s">
        <v>5248</v>
      </c>
      <c r="N219" s="158">
        <v>2640</v>
      </c>
    </row>
    <row r="220" spans="1:14" hidden="1" x14ac:dyDescent="0.35">
      <c r="A220" t="s">
        <v>4333</v>
      </c>
      <c r="B220" t="s">
        <v>789</v>
      </c>
      <c r="C220" t="s">
        <v>125</v>
      </c>
      <c r="D220" t="s">
        <v>57</v>
      </c>
      <c r="E220" t="s">
        <v>5140</v>
      </c>
      <c r="F220" s="35">
        <v>46199</v>
      </c>
      <c r="G220" s="150">
        <v>56676.59</v>
      </c>
      <c r="H220" s="37">
        <f t="shared" si="87"/>
        <v>36</v>
      </c>
      <c r="I220" s="37" t="str">
        <f t="shared" si="88"/>
        <v>1-90 DAYS</v>
      </c>
      <c r="J220" s="37" t="str">
        <f t="shared" si="89"/>
        <v>0-180 DAYS</v>
      </c>
      <c r="M220" s="158" t="s">
        <v>5248</v>
      </c>
      <c r="N220" s="158">
        <v>56676.59</v>
      </c>
    </row>
    <row r="221" spans="1:14" hidden="1" x14ac:dyDescent="0.35">
      <c r="A221" t="s">
        <v>4333</v>
      </c>
      <c r="B221" t="s">
        <v>789</v>
      </c>
      <c r="C221" t="s">
        <v>125</v>
      </c>
      <c r="D221" t="s">
        <v>57</v>
      </c>
      <c r="E221" t="s">
        <v>5140</v>
      </c>
      <c r="F221" s="35">
        <v>46199</v>
      </c>
      <c r="G221" s="150">
        <v>163462.35</v>
      </c>
      <c r="H221" s="37">
        <f t="shared" si="87"/>
        <v>36</v>
      </c>
      <c r="I221" s="37" t="str">
        <f t="shared" si="88"/>
        <v>1-90 DAYS</v>
      </c>
      <c r="J221" s="37" t="str">
        <f t="shared" si="89"/>
        <v>0-180 DAYS</v>
      </c>
      <c r="M221" s="158" t="s">
        <v>5248</v>
      </c>
      <c r="N221" s="158">
        <v>163462.35</v>
      </c>
    </row>
    <row r="222" spans="1:14" hidden="1" x14ac:dyDescent="0.35">
      <c r="A222" t="s">
        <v>4333</v>
      </c>
      <c r="B222" t="s">
        <v>789</v>
      </c>
      <c r="C222" t="s">
        <v>125</v>
      </c>
      <c r="D222" t="s">
        <v>57</v>
      </c>
      <c r="E222" t="s">
        <v>5140</v>
      </c>
      <c r="F222" s="35">
        <v>46199</v>
      </c>
      <c r="G222" s="150">
        <v>171017.64</v>
      </c>
      <c r="H222" s="37">
        <f t="shared" si="87"/>
        <v>36</v>
      </c>
      <c r="I222" s="37" t="str">
        <f t="shared" si="88"/>
        <v>1-90 DAYS</v>
      </c>
      <c r="J222" s="37" t="str">
        <f t="shared" si="89"/>
        <v>0-180 DAYS</v>
      </c>
      <c r="M222" s="158" t="s">
        <v>5248</v>
      </c>
      <c r="N222" s="158">
        <v>171017.64</v>
      </c>
    </row>
    <row r="223" spans="1:14" hidden="1" x14ac:dyDescent="0.35">
      <c r="A223" t="s">
        <v>4333</v>
      </c>
      <c r="B223" t="s">
        <v>789</v>
      </c>
      <c r="C223" t="s">
        <v>125</v>
      </c>
      <c r="D223" t="s">
        <v>57</v>
      </c>
      <c r="E223" t="s">
        <v>5140</v>
      </c>
      <c r="F223" s="35">
        <v>46199</v>
      </c>
      <c r="G223" s="150">
        <v>67423.179999999993</v>
      </c>
      <c r="H223" s="37">
        <f t="shared" si="87"/>
        <v>36</v>
      </c>
      <c r="I223" s="37" t="str">
        <f t="shared" si="88"/>
        <v>1-90 DAYS</v>
      </c>
      <c r="J223" s="37" t="str">
        <f t="shared" si="89"/>
        <v>0-180 DAYS</v>
      </c>
      <c r="M223" s="158" t="s">
        <v>5248</v>
      </c>
      <c r="N223" s="158">
        <v>67423.179999999993</v>
      </c>
    </row>
    <row r="224" spans="1:14" hidden="1" x14ac:dyDescent="0.35">
      <c r="A224" t="s">
        <v>4333</v>
      </c>
      <c r="B224" t="s">
        <v>789</v>
      </c>
      <c r="C224" t="s">
        <v>125</v>
      </c>
      <c r="D224" t="s">
        <v>57</v>
      </c>
      <c r="E224" t="s">
        <v>5140</v>
      </c>
      <c r="F224" s="35">
        <v>46199</v>
      </c>
      <c r="G224" s="150">
        <v>9805.1299999999992</v>
      </c>
      <c r="H224" s="37">
        <f t="shared" si="87"/>
        <v>36</v>
      </c>
      <c r="I224" s="37" t="str">
        <f t="shared" si="88"/>
        <v>1-90 DAYS</v>
      </c>
      <c r="J224" s="37" t="str">
        <f t="shared" si="89"/>
        <v>0-180 DAYS</v>
      </c>
      <c r="M224" s="158" t="s">
        <v>5248</v>
      </c>
      <c r="N224" s="158">
        <v>9805.1299999999992</v>
      </c>
    </row>
    <row r="225" spans="1:14" hidden="1" x14ac:dyDescent="0.35">
      <c r="A225" t="s">
        <v>4333</v>
      </c>
      <c r="B225" t="s">
        <v>789</v>
      </c>
      <c r="C225" t="s">
        <v>125</v>
      </c>
      <c r="D225" t="s">
        <v>57</v>
      </c>
      <c r="E225" t="s">
        <v>5140</v>
      </c>
      <c r="F225" s="35">
        <v>46199</v>
      </c>
      <c r="G225" s="150">
        <v>170491.96</v>
      </c>
      <c r="H225" s="37">
        <f t="shared" si="87"/>
        <v>36</v>
      </c>
      <c r="I225" s="37" t="str">
        <f t="shared" si="88"/>
        <v>1-90 DAYS</v>
      </c>
      <c r="J225" s="37" t="str">
        <f t="shared" si="89"/>
        <v>0-180 DAYS</v>
      </c>
      <c r="M225" s="158" t="s">
        <v>5248</v>
      </c>
      <c r="N225" s="158">
        <v>170491.96</v>
      </c>
    </row>
    <row r="226" spans="1:14" hidden="1" x14ac:dyDescent="0.35">
      <c r="A226" t="s">
        <v>4333</v>
      </c>
      <c r="B226" t="s">
        <v>789</v>
      </c>
      <c r="C226" t="s">
        <v>125</v>
      </c>
      <c r="D226" t="s">
        <v>57</v>
      </c>
      <c r="E226" t="s">
        <v>5140</v>
      </c>
      <c r="F226" s="35">
        <v>46199</v>
      </c>
      <c r="G226" s="150">
        <v>452.88</v>
      </c>
      <c r="H226" s="37">
        <f t="shared" si="87"/>
        <v>36</v>
      </c>
      <c r="I226" s="37" t="str">
        <f t="shared" si="88"/>
        <v>1-90 DAYS</v>
      </c>
      <c r="J226" s="37" t="str">
        <f t="shared" si="89"/>
        <v>0-180 DAYS</v>
      </c>
      <c r="M226" s="158" t="s">
        <v>5248</v>
      </c>
      <c r="N226" s="158">
        <v>452.88</v>
      </c>
    </row>
    <row r="227" spans="1:14" hidden="1" x14ac:dyDescent="0.35">
      <c r="A227" t="s">
        <v>4333</v>
      </c>
      <c r="B227" t="s">
        <v>789</v>
      </c>
      <c r="C227" t="s">
        <v>125</v>
      </c>
      <c r="D227" t="s">
        <v>57</v>
      </c>
      <c r="E227" t="s">
        <v>5141</v>
      </c>
      <c r="F227" s="35">
        <v>46199</v>
      </c>
      <c r="G227" s="150">
        <v>17000</v>
      </c>
      <c r="H227" s="37">
        <f t="shared" si="87"/>
        <v>36</v>
      </c>
      <c r="I227" s="37" t="str">
        <f t="shared" si="88"/>
        <v>1-90 DAYS</v>
      </c>
      <c r="J227" s="37" t="str">
        <f t="shared" si="89"/>
        <v>0-180 DAYS</v>
      </c>
      <c r="M227" s="158" t="s">
        <v>5248</v>
      </c>
      <c r="N227" s="158">
        <v>17000</v>
      </c>
    </row>
    <row r="228" spans="1:14" x14ac:dyDescent="0.35">
      <c r="A228" t="s">
        <v>1085</v>
      </c>
      <c r="B228" t="s">
        <v>790</v>
      </c>
      <c r="C228" t="s">
        <v>1086</v>
      </c>
      <c r="D228" t="s">
        <v>507</v>
      </c>
      <c r="E228" t="s">
        <v>5142</v>
      </c>
      <c r="F228" s="35">
        <v>46200</v>
      </c>
      <c r="G228" s="47">
        <v>1413668.88</v>
      </c>
      <c r="H228" s="37">
        <f t="shared" ref="H228:H244" si="90">$H$1-F228+1</f>
        <v>35</v>
      </c>
      <c r="I228" s="37" t="str">
        <f t="shared" ref="I228:I230" si="91">IF(H228&lt;121,"0-120 DAYS",IF(H228&lt;181,"121-180 DAYS","More than 180 Days"))</f>
        <v>0-120 DAYS</v>
      </c>
      <c r="J228" s="37" t="str">
        <f t="shared" ref="J228:J244" si="92">IF(H228&lt;180,"0-180 DAYS","More than 180 Days")</f>
        <v>0-180 DAYS</v>
      </c>
      <c r="L228" s="66" t="s">
        <v>1730</v>
      </c>
      <c r="M228" s="158" t="s">
        <v>5249</v>
      </c>
      <c r="N228" s="158">
        <v>1413668.88</v>
      </c>
    </row>
    <row r="229" spans="1:14" x14ac:dyDescent="0.35">
      <c r="A229" t="s">
        <v>1085</v>
      </c>
      <c r="B229" t="s">
        <v>790</v>
      </c>
      <c r="C229" t="s">
        <v>1086</v>
      </c>
      <c r="D229" t="s">
        <v>507</v>
      </c>
      <c r="E229" t="s">
        <v>5143</v>
      </c>
      <c r="F229" s="35">
        <v>46200</v>
      </c>
      <c r="G229" s="47">
        <v>1333719.504</v>
      </c>
      <c r="H229" s="37">
        <f t="shared" si="90"/>
        <v>35</v>
      </c>
      <c r="I229" s="37" t="str">
        <f t="shared" si="91"/>
        <v>0-120 DAYS</v>
      </c>
      <c r="J229" s="37" t="str">
        <f t="shared" si="92"/>
        <v>0-180 DAYS</v>
      </c>
      <c r="L229" s="66" t="s">
        <v>1730</v>
      </c>
      <c r="M229" s="158" t="s">
        <v>5249</v>
      </c>
      <c r="N229" s="158">
        <v>1333719.5</v>
      </c>
    </row>
    <row r="230" spans="1:14" x14ac:dyDescent="0.35">
      <c r="A230" t="s">
        <v>1085</v>
      </c>
      <c r="B230" t="s">
        <v>790</v>
      </c>
      <c r="C230" t="s">
        <v>1086</v>
      </c>
      <c r="D230" t="s">
        <v>507</v>
      </c>
      <c r="E230" t="s">
        <v>5144</v>
      </c>
      <c r="F230" s="35">
        <v>46200</v>
      </c>
      <c r="G230" s="47">
        <v>812211.19200000004</v>
      </c>
      <c r="H230" s="37">
        <f t="shared" si="90"/>
        <v>35</v>
      </c>
      <c r="I230" s="37" t="str">
        <f t="shared" si="91"/>
        <v>0-120 DAYS</v>
      </c>
      <c r="J230" s="37" t="str">
        <f t="shared" si="92"/>
        <v>0-180 DAYS</v>
      </c>
      <c r="L230" s="66" t="s">
        <v>1730</v>
      </c>
      <c r="M230" s="158" t="s">
        <v>5249</v>
      </c>
      <c r="N230" s="158">
        <v>812211.19</v>
      </c>
    </row>
    <row r="231" spans="1:14" hidden="1" x14ac:dyDescent="0.35">
      <c r="A231" t="s">
        <v>4333</v>
      </c>
      <c r="B231" t="s">
        <v>789</v>
      </c>
      <c r="C231" t="s">
        <v>125</v>
      </c>
      <c r="D231" t="s">
        <v>57</v>
      </c>
      <c r="E231" t="s">
        <v>5145</v>
      </c>
      <c r="F231" s="35">
        <v>46200</v>
      </c>
      <c r="G231" s="150">
        <v>624</v>
      </c>
      <c r="H231" s="37">
        <f t="shared" si="90"/>
        <v>35</v>
      </c>
      <c r="I231" s="37" t="str">
        <f t="shared" ref="I231:I244" si="93">IF(H231&lt;91,"1-90 DAYS",IF(H231&lt;121,"91-120DAYS",IF(H231&lt;181,"121-180 DAYS","More than 180 Days")))</f>
        <v>1-90 DAYS</v>
      </c>
      <c r="J231" s="37" t="str">
        <f t="shared" si="92"/>
        <v>0-180 DAYS</v>
      </c>
      <c r="M231" s="158" t="s">
        <v>5249</v>
      </c>
      <c r="N231" s="158">
        <v>624</v>
      </c>
    </row>
    <row r="232" spans="1:14" hidden="1" x14ac:dyDescent="0.35">
      <c r="A232" t="s">
        <v>4333</v>
      </c>
      <c r="B232" t="s">
        <v>789</v>
      </c>
      <c r="C232" t="s">
        <v>125</v>
      </c>
      <c r="D232" t="s">
        <v>57</v>
      </c>
      <c r="E232" t="s">
        <v>5146</v>
      </c>
      <c r="F232" s="35">
        <v>46200</v>
      </c>
      <c r="G232" s="150">
        <v>53439.25</v>
      </c>
      <c r="H232" s="37">
        <f t="shared" si="90"/>
        <v>35</v>
      </c>
      <c r="I232" s="37" t="str">
        <f t="shared" si="93"/>
        <v>1-90 DAYS</v>
      </c>
      <c r="J232" s="37" t="str">
        <f t="shared" si="92"/>
        <v>0-180 DAYS</v>
      </c>
      <c r="M232" s="158" t="s">
        <v>5249</v>
      </c>
      <c r="N232" s="158">
        <v>53439.25</v>
      </c>
    </row>
    <row r="233" spans="1:14" hidden="1" x14ac:dyDescent="0.35">
      <c r="A233" t="s">
        <v>4333</v>
      </c>
      <c r="B233" t="s">
        <v>789</v>
      </c>
      <c r="C233" t="s">
        <v>125</v>
      </c>
      <c r="D233" t="s">
        <v>57</v>
      </c>
      <c r="E233" t="s">
        <v>5146</v>
      </c>
      <c r="F233" s="35">
        <v>46200</v>
      </c>
      <c r="G233" s="150">
        <v>40776.239999999998</v>
      </c>
      <c r="H233" s="37">
        <f t="shared" si="90"/>
        <v>35</v>
      </c>
      <c r="I233" s="37" t="str">
        <f t="shared" si="93"/>
        <v>1-90 DAYS</v>
      </c>
      <c r="J233" s="37" t="str">
        <f t="shared" si="92"/>
        <v>0-180 DAYS</v>
      </c>
      <c r="M233" s="158" t="s">
        <v>5249</v>
      </c>
      <c r="N233" s="158">
        <v>40776.239999999998</v>
      </c>
    </row>
    <row r="234" spans="1:14" hidden="1" x14ac:dyDescent="0.35">
      <c r="A234" t="s">
        <v>4333</v>
      </c>
      <c r="B234" t="s">
        <v>789</v>
      </c>
      <c r="C234" t="s">
        <v>125</v>
      </c>
      <c r="D234" t="s">
        <v>57</v>
      </c>
      <c r="E234" t="s">
        <v>5146</v>
      </c>
      <c r="F234" s="35">
        <v>46200</v>
      </c>
      <c r="G234" s="150">
        <v>4549.45</v>
      </c>
      <c r="H234" s="37">
        <f t="shared" si="90"/>
        <v>35</v>
      </c>
      <c r="I234" s="37" t="str">
        <f t="shared" si="93"/>
        <v>1-90 DAYS</v>
      </c>
      <c r="J234" s="37" t="str">
        <f t="shared" si="92"/>
        <v>0-180 DAYS</v>
      </c>
      <c r="M234" s="158" t="s">
        <v>5249</v>
      </c>
      <c r="N234" s="158">
        <v>4549.45</v>
      </c>
    </row>
    <row r="235" spans="1:14" hidden="1" x14ac:dyDescent="0.35">
      <c r="A235" t="s">
        <v>4333</v>
      </c>
      <c r="B235" t="s">
        <v>789</v>
      </c>
      <c r="C235" t="s">
        <v>125</v>
      </c>
      <c r="D235" t="s">
        <v>57</v>
      </c>
      <c r="E235" t="s">
        <v>5146</v>
      </c>
      <c r="F235" s="35">
        <v>46200</v>
      </c>
      <c r="G235" s="150">
        <v>46898.57</v>
      </c>
      <c r="H235" s="37">
        <f t="shared" si="90"/>
        <v>35</v>
      </c>
      <c r="I235" s="37" t="str">
        <f t="shared" si="93"/>
        <v>1-90 DAYS</v>
      </c>
      <c r="J235" s="37" t="str">
        <f t="shared" si="92"/>
        <v>0-180 DAYS</v>
      </c>
      <c r="M235" s="158" t="s">
        <v>5249</v>
      </c>
      <c r="N235" s="158">
        <v>46898.57</v>
      </c>
    </row>
    <row r="236" spans="1:14" hidden="1" x14ac:dyDescent="0.35">
      <c r="A236" t="s">
        <v>4333</v>
      </c>
      <c r="B236" t="s">
        <v>789</v>
      </c>
      <c r="C236" t="s">
        <v>125</v>
      </c>
      <c r="D236" t="s">
        <v>57</v>
      </c>
      <c r="E236" t="s">
        <v>5146</v>
      </c>
      <c r="F236" s="35">
        <v>46200</v>
      </c>
      <c r="G236" s="150">
        <v>64654.84</v>
      </c>
      <c r="H236" s="37">
        <f t="shared" si="90"/>
        <v>35</v>
      </c>
      <c r="I236" s="37" t="str">
        <f t="shared" si="93"/>
        <v>1-90 DAYS</v>
      </c>
      <c r="J236" s="37" t="str">
        <f t="shared" si="92"/>
        <v>0-180 DAYS</v>
      </c>
      <c r="M236" s="158" t="s">
        <v>5249</v>
      </c>
      <c r="N236" s="158">
        <v>64654.84</v>
      </c>
    </row>
    <row r="237" spans="1:14" hidden="1" x14ac:dyDescent="0.35">
      <c r="A237" t="s">
        <v>4333</v>
      </c>
      <c r="B237" t="s">
        <v>789</v>
      </c>
      <c r="C237" t="s">
        <v>125</v>
      </c>
      <c r="D237" t="s">
        <v>57</v>
      </c>
      <c r="E237" t="s">
        <v>5147</v>
      </c>
      <c r="F237" s="35">
        <v>46201</v>
      </c>
      <c r="G237" s="150">
        <v>400818.62</v>
      </c>
      <c r="H237" s="37">
        <f t="shared" si="90"/>
        <v>34</v>
      </c>
      <c r="I237" s="37" t="str">
        <f t="shared" si="93"/>
        <v>1-90 DAYS</v>
      </c>
      <c r="J237" s="37" t="str">
        <f t="shared" si="92"/>
        <v>0-180 DAYS</v>
      </c>
      <c r="M237" s="158" t="s">
        <v>5250</v>
      </c>
      <c r="N237" s="158">
        <v>400818.62</v>
      </c>
    </row>
    <row r="238" spans="1:14" hidden="1" x14ac:dyDescent="0.35">
      <c r="A238" t="s">
        <v>4333</v>
      </c>
      <c r="B238" t="s">
        <v>789</v>
      </c>
      <c r="C238" t="s">
        <v>125</v>
      </c>
      <c r="D238" t="s">
        <v>57</v>
      </c>
      <c r="E238" t="s">
        <v>5147</v>
      </c>
      <c r="F238" s="35">
        <v>46201</v>
      </c>
      <c r="G238" s="150">
        <v>39830.839999999997</v>
      </c>
      <c r="H238" s="37">
        <f t="shared" si="90"/>
        <v>34</v>
      </c>
      <c r="I238" s="37" t="str">
        <f t="shared" si="93"/>
        <v>1-90 DAYS</v>
      </c>
      <c r="J238" s="37" t="str">
        <f t="shared" si="92"/>
        <v>0-180 DAYS</v>
      </c>
      <c r="M238" s="158" t="s">
        <v>5250</v>
      </c>
      <c r="N238" s="158">
        <v>39830.839999999997</v>
      </c>
    </row>
    <row r="239" spans="1:14" hidden="1" x14ac:dyDescent="0.35">
      <c r="A239" t="s">
        <v>4333</v>
      </c>
      <c r="B239" t="s">
        <v>789</v>
      </c>
      <c r="C239" t="s">
        <v>125</v>
      </c>
      <c r="D239" t="s">
        <v>57</v>
      </c>
      <c r="E239" t="s">
        <v>5148</v>
      </c>
      <c r="F239" s="35">
        <v>46201</v>
      </c>
      <c r="G239" s="150">
        <v>3840</v>
      </c>
      <c r="H239" s="37">
        <f t="shared" si="90"/>
        <v>34</v>
      </c>
      <c r="I239" s="37" t="str">
        <f t="shared" si="93"/>
        <v>1-90 DAYS</v>
      </c>
      <c r="J239" s="37" t="str">
        <f t="shared" si="92"/>
        <v>0-180 DAYS</v>
      </c>
      <c r="M239" s="158" t="s">
        <v>5250</v>
      </c>
      <c r="N239" s="158">
        <v>3840</v>
      </c>
    </row>
    <row r="240" spans="1:14" hidden="1" x14ac:dyDescent="0.35">
      <c r="A240" t="s">
        <v>4333</v>
      </c>
      <c r="B240" t="s">
        <v>789</v>
      </c>
      <c r="C240" t="s">
        <v>125</v>
      </c>
      <c r="D240" t="s">
        <v>57</v>
      </c>
      <c r="E240" t="s">
        <v>5149</v>
      </c>
      <c r="F240" s="35">
        <v>46201</v>
      </c>
      <c r="G240" s="150">
        <v>4303.09</v>
      </c>
      <c r="H240" s="37">
        <f t="shared" si="90"/>
        <v>34</v>
      </c>
      <c r="I240" s="37" t="str">
        <f t="shared" si="93"/>
        <v>1-90 DAYS</v>
      </c>
      <c r="J240" s="37" t="str">
        <f t="shared" si="92"/>
        <v>0-180 DAYS</v>
      </c>
      <c r="M240" s="158" t="s">
        <v>5250</v>
      </c>
      <c r="N240" s="158">
        <v>4303.09</v>
      </c>
    </row>
    <row r="241" spans="1:14" hidden="1" x14ac:dyDescent="0.35">
      <c r="A241" t="s">
        <v>4333</v>
      </c>
      <c r="B241" t="s">
        <v>789</v>
      </c>
      <c r="C241" t="s">
        <v>125</v>
      </c>
      <c r="D241" t="s">
        <v>57</v>
      </c>
      <c r="E241" t="s">
        <v>5149</v>
      </c>
      <c r="F241" s="35">
        <v>46201</v>
      </c>
      <c r="G241" s="150">
        <v>80005.210000000006</v>
      </c>
      <c r="H241" s="37">
        <f t="shared" si="90"/>
        <v>34</v>
      </c>
      <c r="I241" s="37" t="str">
        <f t="shared" si="93"/>
        <v>1-90 DAYS</v>
      </c>
      <c r="J241" s="37" t="str">
        <f t="shared" si="92"/>
        <v>0-180 DAYS</v>
      </c>
      <c r="M241" s="158" t="s">
        <v>5250</v>
      </c>
      <c r="N241" s="158">
        <v>80005.210000000006</v>
      </c>
    </row>
    <row r="242" spans="1:14" hidden="1" x14ac:dyDescent="0.35">
      <c r="A242" t="s">
        <v>4333</v>
      </c>
      <c r="B242" t="s">
        <v>789</v>
      </c>
      <c r="C242" t="s">
        <v>125</v>
      </c>
      <c r="D242" t="s">
        <v>57</v>
      </c>
      <c r="E242" t="s">
        <v>5149</v>
      </c>
      <c r="F242" s="35">
        <v>46201</v>
      </c>
      <c r="G242" s="150">
        <v>45910.28</v>
      </c>
      <c r="H242" s="37">
        <f t="shared" si="90"/>
        <v>34</v>
      </c>
      <c r="I242" s="37" t="str">
        <f t="shared" si="93"/>
        <v>1-90 DAYS</v>
      </c>
      <c r="J242" s="37" t="str">
        <f t="shared" si="92"/>
        <v>0-180 DAYS</v>
      </c>
      <c r="M242" s="158" t="s">
        <v>5250</v>
      </c>
      <c r="N242" s="158">
        <v>45910.28</v>
      </c>
    </row>
    <row r="243" spans="1:14" hidden="1" x14ac:dyDescent="0.35">
      <c r="A243" t="s">
        <v>4333</v>
      </c>
      <c r="B243" t="s">
        <v>789</v>
      </c>
      <c r="C243" t="s">
        <v>125</v>
      </c>
      <c r="D243" t="s">
        <v>57</v>
      </c>
      <c r="E243" t="s">
        <v>5149</v>
      </c>
      <c r="F243" s="35">
        <v>46201</v>
      </c>
      <c r="G243" s="150">
        <v>399262.36</v>
      </c>
      <c r="H243" s="37">
        <f t="shared" si="90"/>
        <v>34</v>
      </c>
      <c r="I243" s="37" t="str">
        <f t="shared" si="93"/>
        <v>1-90 DAYS</v>
      </c>
      <c r="J243" s="37" t="str">
        <f t="shared" si="92"/>
        <v>0-180 DAYS</v>
      </c>
      <c r="M243" s="158" t="s">
        <v>5250</v>
      </c>
      <c r="N243" s="158">
        <v>399262.36</v>
      </c>
    </row>
    <row r="244" spans="1:14" hidden="1" x14ac:dyDescent="0.35">
      <c r="A244" t="s">
        <v>4333</v>
      </c>
      <c r="B244" t="s">
        <v>789</v>
      </c>
      <c r="C244" t="s">
        <v>125</v>
      </c>
      <c r="D244" t="s">
        <v>57</v>
      </c>
      <c r="E244" t="s">
        <v>5150</v>
      </c>
      <c r="F244" s="35">
        <v>46201</v>
      </c>
      <c r="G244" s="150">
        <v>36000</v>
      </c>
      <c r="H244" s="37">
        <f t="shared" si="90"/>
        <v>34</v>
      </c>
      <c r="I244" s="37" t="str">
        <f t="shared" si="93"/>
        <v>1-90 DAYS</v>
      </c>
      <c r="J244" s="37" t="str">
        <f t="shared" si="92"/>
        <v>0-180 DAYS</v>
      </c>
      <c r="M244" s="158" t="s">
        <v>5250</v>
      </c>
      <c r="N244" s="158">
        <v>36000</v>
      </c>
    </row>
    <row r="245" spans="1:14" x14ac:dyDescent="0.35">
      <c r="A245" t="s">
        <v>477</v>
      </c>
      <c r="B245" t="s">
        <v>790</v>
      </c>
      <c r="C245" t="s">
        <v>1196</v>
      </c>
      <c r="D245" t="s">
        <v>1208</v>
      </c>
      <c r="E245" t="s">
        <v>5151</v>
      </c>
      <c r="F245" s="35">
        <v>46201</v>
      </c>
      <c r="G245" s="47">
        <v>1999800</v>
      </c>
      <c r="H245" s="37">
        <f t="shared" ref="H245:H251" si="94">$H$1-F245+1</f>
        <v>34</v>
      </c>
      <c r="I245" s="37" t="str">
        <f t="shared" ref="I245:I251" si="95">IF(H245&lt;91,"1-90 DAYS",IF(H245&lt;121,"91-120DAYS",IF(H245&lt;181,"121-180 DAYS","More than 180 Days")))</f>
        <v>1-90 DAYS</v>
      </c>
      <c r="J245" s="37" t="str">
        <f t="shared" ref="J245:J251" si="96">IF(H245&lt;180,"0-180 DAYS","More than 180 Days")</f>
        <v>0-180 DAYS</v>
      </c>
      <c r="L245" s="66" t="s">
        <v>1730</v>
      </c>
      <c r="M245" s="158" t="s">
        <v>5250</v>
      </c>
      <c r="N245" s="158">
        <v>1999800</v>
      </c>
    </row>
    <row r="246" spans="1:14" hidden="1" x14ac:dyDescent="0.35">
      <c r="A246" t="s">
        <v>4333</v>
      </c>
      <c r="B246" t="s">
        <v>789</v>
      </c>
      <c r="C246" t="s">
        <v>125</v>
      </c>
      <c r="D246" t="s">
        <v>57</v>
      </c>
      <c r="E246" t="s">
        <v>5153</v>
      </c>
      <c r="F246" s="35">
        <v>46202</v>
      </c>
      <c r="G246" s="150">
        <v>1104</v>
      </c>
      <c r="H246" s="37">
        <f t="shared" si="94"/>
        <v>33</v>
      </c>
      <c r="I246" s="37" t="str">
        <f t="shared" si="95"/>
        <v>1-90 DAYS</v>
      </c>
      <c r="J246" s="37" t="str">
        <f t="shared" si="96"/>
        <v>0-180 DAYS</v>
      </c>
      <c r="M246" s="158" t="s">
        <v>5251</v>
      </c>
      <c r="N246" s="158">
        <v>1104</v>
      </c>
    </row>
    <row r="247" spans="1:14" hidden="1" x14ac:dyDescent="0.35">
      <c r="A247" t="s">
        <v>4333</v>
      </c>
      <c r="B247" t="s">
        <v>789</v>
      </c>
      <c r="C247" t="s">
        <v>125</v>
      </c>
      <c r="D247" t="s">
        <v>57</v>
      </c>
      <c r="E247" t="s">
        <v>5154</v>
      </c>
      <c r="F247" s="35">
        <v>46202</v>
      </c>
      <c r="G247" s="150">
        <v>565369.15</v>
      </c>
      <c r="H247" s="37">
        <f t="shared" si="94"/>
        <v>33</v>
      </c>
      <c r="I247" s="37" t="str">
        <f t="shared" si="95"/>
        <v>1-90 DAYS</v>
      </c>
      <c r="J247" s="37" t="str">
        <f t="shared" si="96"/>
        <v>0-180 DAYS</v>
      </c>
      <c r="M247" s="158" t="s">
        <v>5251</v>
      </c>
      <c r="N247" s="158">
        <v>565369.15</v>
      </c>
    </row>
    <row r="248" spans="1:14" hidden="1" x14ac:dyDescent="0.35">
      <c r="A248" t="s">
        <v>4333</v>
      </c>
      <c r="B248" t="s">
        <v>789</v>
      </c>
      <c r="C248" t="s">
        <v>125</v>
      </c>
      <c r="D248" t="s">
        <v>57</v>
      </c>
      <c r="E248" t="s">
        <v>5154</v>
      </c>
      <c r="F248" s="35">
        <v>46202</v>
      </c>
      <c r="G248" s="150">
        <v>80188.5</v>
      </c>
      <c r="H248" s="37">
        <f t="shared" si="94"/>
        <v>33</v>
      </c>
      <c r="I248" s="37" t="str">
        <f t="shared" si="95"/>
        <v>1-90 DAYS</v>
      </c>
      <c r="J248" s="37" t="str">
        <f t="shared" si="96"/>
        <v>0-180 DAYS</v>
      </c>
      <c r="M248" s="158" t="s">
        <v>5251</v>
      </c>
      <c r="N248" s="158">
        <v>80188.5</v>
      </c>
    </row>
    <row r="249" spans="1:14" hidden="1" x14ac:dyDescent="0.35">
      <c r="A249" t="s">
        <v>4333</v>
      </c>
      <c r="B249" t="s">
        <v>789</v>
      </c>
      <c r="C249" t="s">
        <v>125</v>
      </c>
      <c r="D249" t="s">
        <v>57</v>
      </c>
      <c r="E249" t="s">
        <v>5154</v>
      </c>
      <c r="F249" s="35">
        <v>46202</v>
      </c>
      <c r="G249" s="150">
        <v>4319.51</v>
      </c>
      <c r="H249" s="37">
        <f t="shared" si="94"/>
        <v>33</v>
      </c>
      <c r="I249" s="37" t="str">
        <f t="shared" si="95"/>
        <v>1-90 DAYS</v>
      </c>
      <c r="J249" s="37" t="str">
        <f t="shared" si="96"/>
        <v>0-180 DAYS</v>
      </c>
      <c r="M249" s="158" t="s">
        <v>5251</v>
      </c>
      <c r="N249" s="158">
        <v>4319.51</v>
      </c>
    </row>
    <row r="250" spans="1:14" hidden="1" x14ac:dyDescent="0.35">
      <c r="A250" t="s">
        <v>4333</v>
      </c>
      <c r="B250" t="s">
        <v>789</v>
      </c>
      <c r="C250" t="s">
        <v>125</v>
      </c>
      <c r="D250" t="s">
        <v>57</v>
      </c>
      <c r="E250" t="s">
        <v>5154</v>
      </c>
      <c r="F250" s="35">
        <v>46202</v>
      </c>
      <c r="G250" s="150">
        <v>78598.53</v>
      </c>
      <c r="H250" s="37">
        <f t="shared" si="94"/>
        <v>33</v>
      </c>
      <c r="I250" s="37" t="str">
        <f t="shared" si="95"/>
        <v>1-90 DAYS</v>
      </c>
      <c r="J250" s="37" t="str">
        <f t="shared" si="96"/>
        <v>0-180 DAYS</v>
      </c>
      <c r="M250" s="158" t="s">
        <v>5251</v>
      </c>
      <c r="N250" s="158">
        <v>78598.53</v>
      </c>
    </row>
    <row r="251" spans="1:14" hidden="1" x14ac:dyDescent="0.35">
      <c r="A251" t="s">
        <v>4333</v>
      </c>
      <c r="B251" t="s">
        <v>789</v>
      </c>
      <c r="C251" t="s">
        <v>125</v>
      </c>
      <c r="D251" t="s">
        <v>57</v>
      </c>
      <c r="E251" t="s">
        <v>5154</v>
      </c>
      <c r="F251" s="35">
        <v>46202</v>
      </c>
      <c r="G251" s="150">
        <v>36229.93</v>
      </c>
      <c r="H251" s="37">
        <f t="shared" si="94"/>
        <v>33</v>
      </c>
      <c r="I251" s="37" t="str">
        <f t="shared" si="95"/>
        <v>1-90 DAYS</v>
      </c>
      <c r="J251" s="37" t="str">
        <f t="shared" si="96"/>
        <v>0-180 DAYS</v>
      </c>
      <c r="M251" s="158" t="s">
        <v>5251</v>
      </c>
      <c r="N251" s="158">
        <v>36229.93</v>
      </c>
    </row>
    <row r="252" spans="1:14" x14ac:dyDescent="0.35">
      <c r="A252" t="s">
        <v>477</v>
      </c>
      <c r="B252" t="s">
        <v>790</v>
      </c>
      <c r="C252" t="s">
        <v>4460</v>
      </c>
      <c r="D252" t="s">
        <v>4538</v>
      </c>
      <c r="E252" t="s">
        <v>5155</v>
      </c>
      <c r="F252" s="35">
        <v>46203</v>
      </c>
      <c r="G252" s="47">
        <v>2190000</v>
      </c>
      <c r="H252" s="37">
        <f t="shared" ref="H252:H262" si="97">$H$1-F252+1</f>
        <v>32</v>
      </c>
      <c r="I252" s="37" t="str">
        <f t="shared" ref="I252:I262" si="98">IF(H252&lt;91,"1-90 DAYS",IF(H252&lt;121,"91-120DAYS",IF(H252&lt;181,"121-180 DAYS","More than 180 Days")))</f>
        <v>1-90 DAYS</v>
      </c>
      <c r="J252" s="37" t="str">
        <f t="shared" ref="J252:J262" si="99">IF(H252&lt;180,"0-180 DAYS","More than 180 Days")</f>
        <v>0-180 DAYS</v>
      </c>
      <c r="L252" s="66" t="s">
        <v>1730</v>
      </c>
      <c r="M252" s="158" t="s">
        <v>5195</v>
      </c>
      <c r="N252" s="158">
        <v>2190000</v>
      </c>
    </row>
    <row r="253" spans="1:14" hidden="1" x14ac:dyDescent="0.35">
      <c r="A253" t="s">
        <v>4333</v>
      </c>
      <c r="B253" t="s">
        <v>789</v>
      </c>
      <c r="C253" t="s">
        <v>125</v>
      </c>
      <c r="D253" t="s">
        <v>57</v>
      </c>
      <c r="E253" t="s">
        <v>5156</v>
      </c>
      <c r="F253" s="35">
        <v>46203</v>
      </c>
      <c r="G253" s="150">
        <v>57396.5</v>
      </c>
      <c r="H253" s="37">
        <f t="shared" si="97"/>
        <v>32</v>
      </c>
      <c r="I253" s="37" t="str">
        <f t="shared" si="98"/>
        <v>1-90 DAYS</v>
      </c>
      <c r="J253" s="37" t="str">
        <f t="shared" si="99"/>
        <v>0-180 DAYS</v>
      </c>
      <c r="M253" s="158" t="s">
        <v>5195</v>
      </c>
      <c r="N253" s="158">
        <v>57396.5</v>
      </c>
    </row>
    <row r="254" spans="1:14" hidden="1" x14ac:dyDescent="0.35">
      <c r="A254" t="s">
        <v>4333</v>
      </c>
      <c r="B254" t="s">
        <v>789</v>
      </c>
      <c r="C254" t="s">
        <v>125</v>
      </c>
      <c r="D254" t="s">
        <v>57</v>
      </c>
      <c r="E254" t="s">
        <v>2324</v>
      </c>
      <c r="F254" s="35">
        <v>46203</v>
      </c>
      <c r="G254" s="150">
        <v>105781.84</v>
      </c>
      <c r="H254" s="37">
        <f t="shared" si="97"/>
        <v>32</v>
      </c>
      <c r="I254" s="37" t="str">
        <f t="shared" si="98"/>
        <v>1-90 DAYS</v>
      </c>
      <c r="J254" s="37" t="str">
        <f t="shared" si="99"/>
        <v>0-180 DAYS</v>
      </c>
      <c r="M254" s="158" t="s">
        <v>5195</v>
      </c>
      <c r="N254" s="158">
        <v>105781.84</v>
      </c>
    </row>
    <row r="255" spans="1:14" hidden="1" x14ac:dyDescent="0.35">
      <c r="A255" t="s">
        <v>4333</v>
      </c>
      <c r="B255" t="s">
        <v>789</v>
      </c>
      <c r="C255" t="s">
        <v>125</v>
      </c>
      <c r="D255" t="s">
        <v>57</v>
      </c>
      <c r="E255" t="s">
        <v>2324</v>
      </c>
      <c r="F255" s="35">
        <v>46203</v>
      </c>
      <c r="G255" s="150">
        <v>149230.88</v>
      </c>
      <c r="H255" s="37">
        <f t="shared" si="97"/>
        <v>32</v>
      </c>
      <c r="I255" s="37" t="str">
        <f t="shared" si="98"/>
        <v>1-90 DAYS</v>
      </c>
      <c r="J255" s="37" t="str">
        <f t="shared" si="99"/>
        <v>0-180 DAYS</v>
      </c>
      <c r="M255" s="158" t="s">
        <v>5195</v>
      </c>
      <c r="N255" s="158">
        <v>149230.88</v>
      </c>
    </row>
    <row r="256" spans="1:14" hidden="1" x14ac:dyDescent="0.35">
      <c r="A256" t="s">
        <v>4333</v>
      </c>
      <c r="B256" t="s">
        <v>789</v>
      </c>
      <c r="C256" t="s">
        <v>125</v>
      </c>
      <c r="D256" t="s">
        <v>57</v>
      </c>
      <c r="E256" t="s">
        <v>5157</v>
      </c>
      <c r="F256" s="35">
        <v>46203</v>
      </c>
      <c r="G256" s="150">
        <v>4800</v>
      </c>
      <c r="H256" s="37">
        <f t="shared" si="97"/>
        <v>32</v>
      </c>
      <c r="I256" s="37" t="str">
        <f t="shared" si="98"/>
        <v>1-90 DAYS</v>
      </c>
      <c r="J256" s="37" t="str">
        <f t="shared" si="99"/>
        <v>0-180 DAYS</v>
      </c>
      <c r="M256" s="158" t="s">
        <v>5195</v>
      </c>
      <c r="N256" s="158">
        <v>4800</v>
      </c>
    </row>
    <row r="257" spans="1:14" hidden="1" x14ac:dyDescent="0.35">
      <c r="A257" t="s">
        <v>4333</v>
      </c>
      <c r="B257" t="s">
        <v>789</v>
      </c>
      <c r="C257" t="s">
        <v>125</v>
      </c>
      <c r="D257" t="s">
        <v>57</v>
      </c>
      <c r="E257" t="s">
        <v>5158</v>
      </c>
      <c r="F257" s="35">
        <v>46203</v>
      </c>
      <c r="G257" s="150">
        <v>3547.58</v>
      </c>
      <c r="H257" s="37">
        <f t="shared" si="97"/>
        <v>32</v>
      </c>
      <c r="I257" s="37" t="str">
        <f t="shared" si="98"/>
        <v>1-90 DAYS</v>
      </c>
      <c r="J257" s="37" t="str">
        <f t="shared" si="99"/>
        <v>0-180 DAYS</v>
      </c>
      <c r="M257" s="158" t="s">
        <v>5195</v>
      </c>
      <c r="N257" s="158">
        <v>3547.58</v>
      </c>
    </row>
    <row r="258" spans="1:14" hidden="1" x14ac:dyDescent="0.35">
      <c r="A258" t="s">
        <v>4333</v>
      </c>
      <c r="B258" t="s">
        <v>789</v>
      </c>
      <c r="C258" t="s">
        <v>125</v>
      </c>
      <c r="D258" t="s">
        <v>57</v>
      </c>
      <c r="E258" t="s">
        <v>5158</v>
      </c>
      <c r="F258" s="35">
        <v>46203</v>
      </c>
      <c r="G258" s="150">
        <v>43798.95</v>
      </c>
      <c r="H258" s="37">
        <f t="shared" si="97"/>
        <v>32</v>
      </c>
      <c r="I258" s="37" t="str">
        <f t="shared" si="98"/>
        <v>1-90 DAYS</v>
      </c>
      <c r="J258" s="37" t="str">
        <f t="shared" si="99"/>
        <v>0-180 DAYS</v>
      </c>
      <c r="M258" s="158" t="s">
        <v>5195</v>
      </c>
      <c r="N258" s="158">
        <v>43798.95</v>
      </c>
    </row>
    <row r="259" spans="1:14" hidden="1" x14ac:dyDescent="0.35">
      <c r="A259" t="s">
        <v>4333</v>
      </c>
      <c r="B259" t="s">
        <v>789</v>
      </c>
      <c r="C259" t="s">
        <v>125</v>
      </c>
      <c r="D259" t="s">
        <v>57</v>
      </c>
      <c r="E259" t="s">
        <v>5158</v>
      </c>
      <c r="F259" s="35">
        <v>46203</v>
      </c>
      <c r="G259" s="150">
        <v>9805.91</v>
      </c>
      <c r="H259" s="37">
        <f t="shared" si="97"/>
        <v>32</v>
      </c>
      <c r="I259" s="37" t="str">
        <f t="shared" si="98"/>
        <v>1-90 DAYS</v>
      </c>
      <c r="J259" s="37" t="str">
        <f t="shared" si="99"/>
        <v>0-180 DAYS</v>
      </c>
      <c r="M259" s="158" t="s">
        <v>5195</v>
      </c>
      <c r="N259" s="158">
        <v>9805.91</v>
      </c>
    </row>
    <row r="260" spans="1:14" hidden="1" x14ac:dyDescent="0.35">
      <c r="A260" t="s">
        <v>4333</v>
      </c>
      <c r="B260" t="s">
        <v>789</v>
      </c>
      <c r="C260" t="s">
        <v>125</v>
      </c>
      <c r="D260" t="s">
        <v>57</v>
      </c>
      <c r="E260" t="s">
        <v>5158</v>
      </c>
      <c r="F260" s="35">
        <v>46203</v>
      </c>
      <c r="G260" s="150">
        <v>597361.38</v>
      </c>
      <c r="H260" s="37">
        <f t="shared" si="97"/>
        <v>32</v>
      </c>
      <c r="I260" s="37" t="str">
        <f t="shared" si="98"/>
        <v>1-90 DAYS</v>
      </c>
      <c r="J260" s="37" t="str">
        <f t="shared" si="99"/>
        <v>0-180 DAYS</v>
      </c>
      <c r="M260" s="158" t="s">
        <v>5195</v>
      </c>
      <c r="N260" s="158">
        <v>597361.38</v>
      </c>
    </row>
    <row r="261" spans="1:14" hidden="1" x14ac:dyDescent="0.35">
      <c r="A261" t="s">
        <v>4333</v>
      </c>
      <c r="B261" t="s">
        <v>789</v>
      </c>
      <c r="C261" t="s">
        <v>125</v>
      </c>
      <c r="D261" t="s">
        <v>57</v>
      </c>
      <c r="E261" t="s">
        <v>5159</v>
      </c>
      <c r="F261" s="35">
        <v>46203</v>
      </c>
      <c r="G261" s="150">
        <v>210000</v>
      </c>
      <c r="H261" s="37">
        <f t="shared" si="97"/>
        <v>32</v>
      </c>
      <c r="I261" s="37" t="str">
        <f t="shared" si="98"/>
        <v>1-90 DAYS</v>
      </c>
      <c r="J261" s="37" t="str">
        <f t="shared" si="99"/>
        <v>0-180 DAYS</v>
      </c>
      <c r="M261" s="158" t="s">
        <v>5195</v>
      </c>
      <c r="N261" s="158">
        <v>210000</v>
      </c>
    </row>
    <row r="262" spans="1:14" hidden="1" x14ac:dyDescent="0.35">
      <c r="A262" t="s">
        <v>4333</v>
      </c>
      <c r="B262" t="s">
        <v>789</v>
      </c>
      <c r="C262" t="s">
        <v>125</v>
      </c>
      <c r="D262" t="s">
        <v>57</v>
      </c>
      <c r="E262" t="s">
        <v>5159</v>
      </c>
      <c r="F262" s="35">
        <v>46203</v>
      </c>
      <c r="G262" s="150">
        <v>618750</v>
      </c>
      <c r="H262" s="37">
        <f t="shared" si="97"/>
        <v>32</v>
      </c>
      <c r="I262" s="37" t="str">
        <f t="shared" si="98"/>
        <v>1-90 DAYS</v>
      </c>
      <c r="J262" s="37" t="str">
        <f t="shared" si="99"/>
        <v>0-180 DAYS</v>
      </c>
      <c r="M262" s="158" t="s">
        <v>5195</v>
      </c>
      <c r="N262" s="158">
        <v>618750</v>
      </c>
    </row>
    <row r="263" spans="1:14" x14ac:dyDescent="0.35">
      <c r="A263" t="s">
        <v>1085</v>
      </c>
      <c r="B263" t="s">
        <v>790</v>
      </c>
      <c r="C263" s="18" t="s">
        <v>814</v>
      </c>
      <c r="D263" t="s">
        <v>5019</v>
      </c>
      <c r="E263" t="s">
        <v>5160</v>
      </c>
      <c r="F263" s="35">
        <v>46175</v>
      </c>
      <c r="G263" s="47">
        <v>518345.59499999997</v>
      </c>
      <c r="H263" s="37">
        <f t="shared" ref="H263:H270" si="100">$H$1-F263+1</f>
        <v>60</v>
      </c>
      <c r="I263" s="37" t="str">
        <f t="shared" ref="I263" si="101">IF(H263&lt;121,"0-120 DAYS",IF(H263&lt;181,"121-180 DAYS","More than 180 Days"))</f>
        <v>0-120 DAYS</v>
      </c>
      <c r="J263" s="37" t="str">
        <f t="shared" ref="J263:J270" si="102">IF(H263&lt;180,"0-180 DAYS","More than 180 Days")</f>
        <v>0-180 DAYS</v>
      </c>
      <c r="L263" s="66" t="s">
        <v>1730</v>
      </c>
      <c r="M263" s="158" t="s">
        <v>5224</v>
      </c>
      <c r="N263" s="158">
        <v>518345.6</v>
      </c>
    </row>
    <row r="264" spans="1:14" hidden="1" x14ac:dyDescent="0.35">
      <c r="A264" t="s">
        <v>4333</v>
      </c>
      <c r="B264" t="s">
        <v>789</v>
      </c>
      <c r="C264" t="s">
        <v>125</v>
      </c>
      <c r="D264" t="s">
        <v>57</v>
      </c>
      <c r="E264" t="s">
        <v>5162</v>
      </c>
      <c r="F264" s="35">
        <v>46175</v>
      </c>
      <c r="G264" s="150">
        <v>745786.14</v>
      </c>
      <c r="H264" s="37">
        <f t="shared" si="100"/>
        <v>60</v>
      </c>
      <c r="I264" s="37" t="str">
        <f t="shared" ref="I264:I270" si="103">IF(H264&lt;91,"1-90 DAYS",IF(H264&lt;121,"91-120DAYS",IF(H264&lt;181,"121-180 DAYS","More than 180 Days")))</f>
        <v>1-90 DAYS</v>
      </c>
      <c r="J264" s="37" t="str">
        <f t="shared" si="102"/>
        <v>0-180 DAYS</v>
      </c>
      <c r="M264" s="158" t="s">
        <v>5224</v>
      </c>
      <c r="N264" s="158">
        <v>745786.14</v>
      </c>
    </row>
    <row r="265" spans="1:14" hidden="1" x14ac:dyDescent="0.35">
      <c r="A265" t="s">
        <v>4333</v>
      </c>
      <c r="B265" t="s">
        <v>789</v>
      </c>
      <c r="C265" t="s">
        <v>125</v>
      </c>
      <c r="D265" t="s">
        <v>57</v>
      </c>
      <c r="E265" t="s">
        <v>5162</v>
      </c>
      <c r="F265" s="35">
        <v>46175</v>
      </c>
      <c r="G265" s="150">
        <v>659634.88</v>
      </c>
      <c r="H265" s="37">
        <f t="shared" si="100"/>
        <v>60</v>
      </c>
      <c r="I265" s="37" t="str">
        <f t="shared" si="103"/>
        <v>1-90 DAYS</v>
      </c>
      <c r="J265" s="37" t="str">
        <f t="shared" si="102"/>
        <v>0-180 DAYS</v>
      </c>
      <c r="M265" s="158" t="s">
        <v>5224</v>
      </c>
      <c r="N265" s="158">
        <v>659634.88</v>
      </c>
    </row>
    <row r="266" spans="1:14" hidden="1" x14ac:dyDescent="0.35">
      <c r="A266" t="s">
        <v>4333</v>
      </c>
      <c r="B266" t="s">
        <v>789</v>
      </c>
      <c r="C266" t="s">
        <v>125</v>
      </c>
      <c r="D266" t="s">
        <v>57</v>
      </c>
      <c r="E266" t="s">
        <v>5162</v>
      </c>
      <c r="F266" s="35">
        <v>46175</v>
      </c>
      <c r="G266" s="150">
        <v>1254741.8400000001</v>
      </c>
      <c r="H266" s="37">
        <f t="shared" si="100"/>
        <v>60</v>
      </c>
      <c r="I266" s="37" t="str">
        <f t="shared" si="103"/>
        <v>1-90 DAYS</v>
      </c>
      <c r="J266" s="37" t="str">
        <f t="shared" si="102"/>
        <v>0-180 DAYS</v>
      </c>
      <c r="M266" s="158" t="s">
        <v>5224</v>
      </c>
      <c r="N266" s="158">
        <v>1254741.8400000001</v>
      </c>
    </row>
    <row r="267" spans="1:14" hidden="1" x14ac:dyDescent="0.35">
      <c r="A267" t="s">
        <v>4333</v>
      </c>
      <c r="B267" t="s">
        <v>789</v>
      </c>
      <c r="C267" t="s">
        <v>125</v>
      </c>
      <c r="D267" t="s">
        <v>57</v>
      </c>
      <c r="E267" t="s">
        <v>5162</v>
      </c>
      <c r="F267" s="35">
        <v>46175</v>
      </c>
      <c r="G267" s="150">
        <v>825231.88</v>
      </c>
      <c r="H267" s="37">
        <f t="shared" si="100"/>
        <v>60</v>
      </c>
      <c r="I267" s="37" t="str">
        <f t="shared" si="103"/>
        <v>1-90 DAYS</v>
      </c>
      <c r="J267" s="37" t="str">
        <f t="shared" si="102"/>
        <v>0-180 DAYS</v>
      </c>
      <c r="M267" s="158" t="s">
        <v>5224</v>
      </c>
      <c r="N267" s="158">
        <v>825231.88</v>
      </c>
    </row>
    <row r="268" spans="1:14" hidden="1" x14ac:dyDescent="0.35">
      <c r="A268" t="s">
        <v>4333</v>
      </c>
      <c r="B268" t="s">
        <v>789</v>
      </c>
      <c r="C268" t="s">
        <v>125</v>
      </c>
      <c r="D268" t="s">
        <v>57</v>
      </c>
      <c r="E268" t="s">
        <v>5162</v>
      </c>
      <c r="F268" s="35">
        <v>46175</v>
      </c>
      <c r="G268" s="150">
        <v>624636.13</v>
      </c>
      <c r="H268" s="37">
        <f t="shared" si="100"/>
        <v>60</v>
      </c>
      <c r="I268" s="37" t="str">
        <f t="shared" si="103"/>
        <v>1-90 DAYS</v>
      </c>
      <c r="J268" s="37" t="str">
        <f t="shared" si="102"/>
        <v>0-180 DAYS</v>
      </c>
      <c r="M268" s="158" t="s">
        <v>5224</v>
      </c>
      <c r="N268" s="158">
        <v>624636.13</v>
      </c>
    </row>
    <row r="269" spans="1:14" hidden="1" x14ac:dyDescent="0.35">
      <c r="A269" t="s">
        <v>4333</v>
      </c>
      <c r="B269" t="s">
        <v>789</v>
      </c>
      <c r="C269" t="s">
        <v>125</v>
      </c>
      <c r="D269" t="s">
        <v>57</v>
      </c>
      <c r="E269" t="s">
        <v>5163</v>
      </c>
      <c r="F269" s="35">
        <v>46175</v>
      </c>
      <c r="G269" s="150">
        <v>777.6</v>
      </c>
      <c r="H269" s="37">
        <f t="shared" si="100"/>
        <v>60</v>
      </c>
      <c r="I269" s="37" t="str">
        <f t="shared" si="103"/>
        <v>1-90 DAYS</v>
      </c>
      <c r="J269" s="37" t="str">
        <f t="shared" si="102"/>
        <v>0-180 DAYS</v>
      </c>
      <c r="M269" s="158" t="s">
        <v>5224</v>
      </c>
      <c r="N269" s="158">
        <v>777.6</v>
      </c>
    </row>
    <row r="270" spans="1:14" hidden="1" x14ac:dyDescent="0.35">
      <c r="A270" t="s">
        <v>4333</v>
      </c>
      <c r="B270" t="s">
        <v>789</v>
      </c>
      <c r="C270" t="s">
        <v>125</v>
      </c>
      <c r="D270" t="s">
        <v>57</v>
      </c>
      <c r="E270" t="s">
        <v>5163</v>
      </c>
      <c r="F270" s="35">
        <v>46175</v>
      </c>
      <c r="G270" s="150">
        <v>4235.3999999999996</v>
      </c>
      <c r="H270" s="37">
        <f t="shared" si="100"/>
        <v>60</v>
      </c>
      <c r="I270" s="37" t="str">
        <f t="shared" si="103"/>
        <v>1-90 DAYS</v>
      </c>
      <c r="J270" s="37" t="str">
        <f t="shared" si="102"/>
        <v>0-180 DAYS</v>
      </c>
      <c r="M270" s="158" t="s">
        <v>5224</v>
      </c>
      <c r="N270" s="158">
        <v>4235.3999999999996</v>
      </c>
    </row>
    <row r="271" spans="1:14" x14ac:dyDescent="0.35">
      <c r="A271" t="s">
        <v>1085</v>
      </c>
      <c r="B271" t="s">
        <v>790</v>
      </c>
      <c r="C271" t="s">
        <v>650</v>
      </c>
      <c r="D271" t="s">
        <v>507</v>
      </c>
      <c r="E271" t="s">
        <v>5164</v>
      </c>
      <c r="F271" s="35">
        <v>46177</v>
      </c>
      <c r="G271" s="47">
        <v>2424877.56</v>
      </c>
      <c r="H271" s="37">
        <f t="shared" ref="H271:H275" si="104">$H$1-F271+1</f>
        <v>58</v>
      </c>
      <c r="I271" s="37" t="str">
        <f t="shared" ref="I271:I273" si="105">IF(H271&lt;121,"0-120 DAYS",IF(H271&lt;181,"121-180 DAYS","More than 180 Days"))</f>
        <v>0-120 DAYS</v>
      </c>
      <c r="J271" s="37" t="str">
        <f t="shared" ref="J271:J275" si="106">IF(H271&lt;180,"0-180 DAYS","More than 180 Days")</f>
        <v>0-180 DAYS</v>
      </c>
      <c r="L271" s="66" t="s">
        <v>1730</v>
      </c>
      <c r="M271" s="158" t="s">
        <v>5226</v>
      </c>
      <c r="N271" s="158">
        <v>2424877.56</v>
      </c>
    </row>
    <row r="272" spans="1:14" x14ac:dyDescent="0.35">
      <c r="A272" t="s">
        <v>1085</v>
      </c>
      <c r="B272" t="s">
        <v>790</v>
      </c>
      <c r="C272" t="s">
        <v>650</v>
      </c>
      <c r="D272" t="s">
        <v>507</v>
      </c>
      <c r="E272" t="s">
        <v>5164</v>
      </c>
      <c r="F272" s="35">
        <v>46177</v>
      </c>
      <c r="G272" s="47">
        <v>980720.125</v>
      </c>
      <c r="H272" s="37">
        <f t="shared" si="104"/>
        <v>58</v>
      </c>
      <c r="I272" s="37" t="str">
        <f t="shared" si="105"/>
        <v>0-120 DAYS</v>
      </c>
      <c r="J272" s="37" t="str">
        <f t="shared" si="106"/>
        <v>0-180 DAYS</v>
      </c>
      <c r="L272" s="66" t="s">
        <v>1730</v>
      </c>
      <c r="M272" s="158" t="s">
        <v>5226</v>
      </c>
      <c r="N272" s="158">
        <v>980720.13</v>
      </c>
    </row>
    <row r="273" spans="1:14" x14ac:dyDescent="0.35">
      <c r="A273" t="s">
        <v>1085</v>
      </c>
      <c r="B273" t="s">
        <v>790</v>
      </c>
      <c r="C273" t="s">
        <v>650</v>
      </c>
      <c r="D273" t="s">
        <v>507</v>
      </c>
      <c r="E273" t="s">
        <v>5164</v>
      </c>
      <c r="F273" s="35">
        <v>46177</v>
      </c>
      <c r="G273" s="47">
        <v>1063282.5</v>
      </c>
      <c r="H273" s="37">
        <f t="shared" si="104"/>
        <v>58</v>
      </c>
      <c r="I273" s="37" t="str">
        <f t="shared" si="105"/>
        <v>0-120 DAYS</v>
      </c>
      <c r="J273" s="37" t="str">
        <f t="shared" si="106"/>
        <v>0-180 DAYS</v>
      </c>
      <c r="L273" s="66" t="s">
        <v>1730</v>
      </c>
      <c r="M273" s="158" t="s">
        <v>5226</v>
      </c>
      <c r="N273" s="158">
        <v>1063282.5</v>
      </c>
    </row>
    <row r="274" spans="1:14" x14ac:dyDescent="0.35">
      <c r="A274" t="s">
        <v>477</v>
      </c>
      <c r="B274" t="s">
        <v>790</v>
      </c>
      <c r="C274" t="s">
        <v>3</v>
      </c>
      <c r="D274" t="s">
        <v>4</v>
      </c>
      <c r="E274" t="s">
        <v>5165</v>
      </c>
      <c r="F274" s="35">
        <v>46178</v>
      </c>
      <c r="G274" s="47">
        <v>1224416</v>
      </c>
      <c r="H274" s="37">
        <f t="shared" si="104"/>
        <v>57</v>
      </c>
      <c r="I274" s="37" t="str">
        <f t="shared" ref="I274:I275" si="107">IF(H274&lt;91,"1-90 DAYS",IF(H274&lt;121,"91-120DAYS",IF(H274&lt;181,"121-180 DAYS","More than 180 Days")))</f>
        <v>1-90 DAYS</v>
      </c>
      <c r="J274" s="37" t="str">
        <f t="shared" si="106"/>
        <v>0-180 DAYS</v>
      </c>
      <c r="L274" s="66" t="s">
        <v>1730</v>
      </c>
      <c r="M274" s="158" t="s">
        <v>5227</v>
      </c>
      <c r="N274" s="158">
        <v>1224416</v>
      </c>
    </row>
    <row r="275" spans="1:14" x14ac:dyDescent="0.35">
      <c r="A275" t="s">
        <v>477</v>
      </c>
      <c r="B275" t="s">
        <v>790</v>
      </c>
      <c r="C275" t="s">
        <v>3</v>
      </c>
      <c r="D275" t="s">
        <v>4</v>
      </c>
      <c r="E275" t="s">
        <v>5165</v>
      </c>
      <c r="F275" s="35">
        <v>46178</v>
      </c>
      <c r="G275" s="47">
        <v>226420</v>
      </c>
      <c r="H275" s="37">
        <f t="shared" si="104"/>
        <v>57</v>
      </c>
      <c r="I275" s="37" t="str">
        <f t="shared" si="107"/>
        <v>1-90 DAYS</v>
      </c>
      <c r="J275" s="37" t="str">
        <f t="shared" si="106"/>
        <v>0-180 DAYS</v>
      </c>
      <c r="L275" s="66" t="s">
        <v>1730</v>
      </c>
      <c r="M275" s="158" t="s">
        <v>5227</v>
      </c>
      <c r="N275" s="158">
        <v>226420</v>
      </c>
    </row>
    <row r="276" spans="1:14" x14ac:dyDescent="0.35">
      <c r="A276" t="s">
        <v>1085</v>
      </c>
      <c r="B276" t="s">
        <v>790</v>
      </c>
      <c r="C276" t="s">
        <v>1086</v>
      </c>
      <c r="D276" t="s">
        <v>507</v>
      </c>
      <c r="E276" t="s">
        <v>5166</v>
      </c>
      <c r="F276" s="35">
        <v>46178</v>
      </c>
      <c r="G276" s="47">
        <v>2538764.7999999998</v>
      </c>
      <c r="H276" s="37">
        <f t="shared" ref="H276:H282" si="108">$H$1-F276+1</f>
        <v>57</v>
      </c>
      <c r="I276" s="37" t="str">
        <f t="shared" ref="I276:I279" si="109">IF(H276&lt;121,"0-120 DAYS",IF(H276&lt;181,"121-180 DAYS","More than 180 Days"))</f>
        <v>0-120 DAYS</v>
      </c>
      <c r="J276" s="37" t="str">
        <f t="shared" ref="J276:J282" si="110">IF(H276&lt;180,"0-180 DAYS","More than 180 Days")</f>
        <v>0-180 DAYS</v>
      </c>
      <c r="L276" s="66" t="s">
        <v>1730</v>
      </c>
      <c r="M276" s="158" t="s">
        <v>5227</v>
      </c>
      <c r="N276" s="158">
        <v>2538764.7999999998</v>
      </c>
    </row>
    <row r="277" spans="1:14" x14ac:dyDescent="0.35">
      <c r="A277" t="s">
        <v>1085</v>
      </c>
      <c r="B277" t="s">
        <v>790</v>
      </c>
      <c r="C277" t="s">
        <v>1086</v>
      </c>
      <c r="D277" t="s">
        <v>507</v>
      </c>
      <c r="E277" t="s">
        <v>5167</v>
      </c>
      <c r="F277" s="35">
        <v>46178</v>
      </c>
      <c r="G277" s="47">
        <v>562446.94464823103</v>
      </c>
      <c r="H277" s="37">
        <f t="shared" si="108"/>
        <v>57</v>
      </c>
      <c r="I277" s="37" t="str">
        <f t="shared" si="109"/>
        <v>0-120 DAYS</v>
      </c>
      <c r="J277" s="37" t="str">
        <f t="shared" si="110"/>
        <v>0-180 DAYS</v>
      </c>
      <c r="L277" s="66" t="s">
        <v>1730</v>
      </c>
      <c r="M277" s="158" t="s">
        <v>5227</v>
      </c>
      <c r="N277" s="158">
        <v>562446.93999999994</v>
      </c>
    </row>
    <row r="278" spans="1:14" x14ac:dyDescent="0.35">
      <c r="A278" t="s">
        <v>1085</v>
      </c>
      <c r="B278" t="s">
        <v>790</v>
      </c>
      <c r="C278" t="s">
        <v>1086</v>
      </c>
      <c r="D278" t="s">
        <v>507</v>
      </c>
      <c r="E278" t="s">
        <v>5167</v>
      </c>
      <c r="F278" s="35">
        <v>46178</v>
      </c>
      <c r="G278" s="47">
        <v>227805.28435176899</v>
      </c>
      <c r="H278" s="37">
        <f t="shared" si="108"/>
        <v>57</v>
      </c>
      <c r="I278" s="37" t="str">
        <f t="shared" si="109"/>
        <v>0-120 DAYS</v>
      </c>
      <c r="J278" s="37" t="str">
        <f t="shared" si="110"/>
        <v>0-180 DAYS</v>
      </c>
      <c r="L278" s="66" t="s">
        <v>1730</v>
      </c>
      <c r="M278" s="158" t="s">
        <v>5227</v>
      </c>
      <c r="N278" s="158">
        <v>227805.28</v>
      </c>
    </row>
    <row r="279" spans="1:14" x14ac:dyDescent="0.35">
      <c r="A279" t="s">
        <v>1085</v>
      </c>
      <c r="B279" t="s">
        <v>790</v>
      </c>
      <c r="C279" t="s">
        <v>635</v>
      </c>
      <c r="D279" t="s">
        <v>507</v>
      </c>
      <c r="E279" t="s">
        <v>5168</v>
      </c>
      <c r="F279" s="35">
        <v>46179</v>
      </c>
      <c r="G279" s="47">
        <v>49035</v>
      </c>
      <c r="H279" s="37">
        <f t="shared" si="108"/>
        <v>56</v>
      </c>
      <c r="I279" s="37" t="str">
        <f t="shared" si="109"/>
        <v>0-120 DAYS</v>
      </c>
      <c r="J279" s="37" t="str">
        <f t="shared" si="110"/>
        <v>0-180 DAYS</v>
      </c>
      <c r="L279" s="66" t="s">
        <v>1730</v>
      </c>
      <c r="M279" s="158" t="s">
        <v>5228</v>
      </c>
      <c r="N279" s="158">
        <v>49035</v>
      </c>
    </row>
    <row r="280" spans="1:14" hidden="1" x14ac:dyDescent="0.35">
      <c r="A280" t="s">
        <v>4333</v>
      </c>
      <c r="B280" t="s">
        <v>789</v>
      </c>
      <c r="C280" t="s">
        <v>125</v>
      </c>
      <c r="D280" t="s">
        <v>57</v>
      </c>
      <c r="E280" t="s">
        <v>1633</v>
      </c>
      <c r="F280" s="35">
        <v>46179</v>
      </c>
      <c r="G280" s="150">
        <v>130662</v>
      </c>
      <c r="H280" s="37">
        <f t="shared" si="108"/>
        <v>56</v>
      </c>
      <c r="I280" s="37" t="str">
        <f t="shared" ref="I280:I282" si="111">IF(H280&lt;91,"1-90 DAYS",IF(H280&lt;121,"91-120DAYS",IF(H280&lt;181,"121-180 DAYS","More than 180 Days")))</f>
        <v>1-90 DAYS</v>
      </c>
      <c r="J280" s="37" t="str">
        <f t="shared" si="110"/>
        <v>0-180 DAYS</v>
      </c>
      <c r="M280" s="158" t="s">
        <v>5228</v>
      </c>
      <c r="N280" s="158">
        <v>130662</v>
      </c>
    </row>
    <row r="281" spans="1:14" hidden="1" x14ac:dyDescent="0.35">
      <c r="A281" t="s">
        <v>4333</v>
      </c>
      <c r="B281" t="s">
        <v>789</v>
      </c>
      <c r="C281" t="s">
        <v>125</v>
      </c>
      <c r="D281" t="s">
        <v>57</v>
      </c>
      <c r="E281" t="s">
        <v>1633</v>
      </c>
      <c r="F281" s="35">
        <v>46179</v>
      </c>
      <c r="G281" s="150">
        <v>629259.80000000005</v>
      </c>
      <c r="H281" s="37">
        <f t="shared" si="108"/>
        <v>56</v>
      </c>
      <c r="I281" s="37" t="str">
        <f t="shared" si="111"/>
        <v>1-90 DAYS</v>
      </c>
      <c r="J281" s="37" t="str">
        <f t="shared" si="110"/>
        <v>0-180 DAYS</v>
      </c>
      <c r="M281" s="158" t="s">
        <v>5228</v>
      </c>
      <c r="N281" s="158">
        <v>629259.80000000005</v>
      </c>
    </row>
    <row r="282" spans="1:14" hidden="1" x14ac:dyDescent="0.35">
      <c r="A282" t="s">
        <v>4333</v>
      </c>
      <c r="B282" t="s">
        <v>789</v>
      </c>
      <c r="C282" t="s">
        <v>125</v>
      </c>
      <c r="D282" t="s">
        <v>57</v>
      </c>
      <c r="E282" t="s">
        <v>1633</v>
      </c>
      <c r="F282" s="35">
        <v>46179</v>
      </c>
      <c r="G282" s="150">
        <v>32580</v>
      </c>
      <c r="H282" s="37">
        <f t="shared" si="108"/>
        <v>56</v>
      </c>
      <c r="I282" s="37" t="str">
        <f t="shared" si="111"/>
        <v>1-90 DAYS</v>
      </c>
      <c r="J282" s="37" t="str">
        <f t="shared" si="110"/>
        <v>0-180 DAYS</v>
      </c>
      <c r="M282" s="158" t="s">
        <v>5228</v>
      </c>
      <c r="N282" s="158">
        <v>32580</v>
      </c>
    </row>
    <row r="283" spans="1:14" x14ac:dyDescent="0.35">
      <c r="A283" t="s">
        <v>477</v>
      </c>
      <c r="B283" t="s">
        <v>790</v>
      </c>
      <c r="C283" t="s">
        <v>259</v>
      </c>
      <c r="D283" t="s">
        <v>260</v>
      </c>
      <c r="E283" t="s">
        <v>5170</v>
      </c>
      <c r="F283" s="35">
        <v>46183</v>
      </c>
      <c r="G283" s="47">
        <v>9486</v>
      </c>
      <c r="H283" s="37">
        <f t="shared" ref="H283:H285" si="112">$H$1-F283+1</f>
        <v>52</v>
      </c>
      <c r="I283" s="37" t="str">
        <f t="shared" ref="I283:I285" si="113">IF(H283&lt;91,"1-90 DAYS",IF(H283&lt;121,"91-120DAYS",IF(H283&lt;181,"121-180 DAYS","More than 180 Days")))</f>
        <v>1-90 DAYS</v>
      </c>
      <c r="J283" s="37" t="str">
        <f t="shared" ref="J283:J285" si="114">IF(H283&lt;180,"0-180 DAYS","More than 180 Days")</f>
        <v>0-180 DAYS</v>
      </c>
      <c r="L283" s="66" t="s">
        <v>1730</v>
      </c>
      <c r="M283" s="158" t="s">
        <v>5232</v>
      </c>
      <c r="N283" s="158">
        <v>9486</v>
      </c>
    </row>
    <row r="284" spans="1:14" hidden="1" x14ac:dyDescent="0.35">
      <c r="A284" t="s">
        <v>4333</v>
      </c>
      <c r="B284" t="s">
        <v>789</v>
      </c>
      <c r="C284" t="s">
        <v>125</v>
      </c>
      <c r="D284" t="s">
        <v>57</v>
      </c>
      <c r="E284" t="s">
        <v>5171</v>
      </c>
      <c r="F284" s="35">
        <v>46185</v>
      </c>
      <c r="G284" s="150">
        <v>112482.48</v>
      </c>
      <c r="H284" s="37">
        <f t="shared" si="112"/>
        <v>50</v>
      </c>
      <c r="I284" s="37" t="str">
        <f t="shared" si="113"/>
        <v>1-90 DAYS</v>
      </c>
      <c r="J284" s="37" t="str">
        <f t="shared" si="114"/>
        <v>0-180 DAYS</v>
      </c>
      <c r="M284" s="158" t="s">
        <v>5234</v>
      </c>
      <c r="N284" s="158">
        <v>112482.48</v>
      </c>
    </row>
    <row r="285" spans="1:14" hidden="1" x14ac:dyDescent="0.35">
      <c r="A285" t="s">
        <v>4333</v>
      </c>
      <c r="B285" t="s">
        <v>789</v>
      </c>
      <c r="C285" t="s">
        <v>125</v>
      </c>
      <c r="D285" t="s">
        <v>57</v>
      </c>
      <c r="E285" t="s">
        <v>5171</v>
      </c>
      <c r="F285" s="35">
        <v>46185</v>
      </c>
      <c r="G285" s="150">
        <v>654131.86</v>
      </c>
      <c r="H285" s="37">
        <f t="shared" si="112"/>
        <v>50</v>
      </c>
      <c r="I285" s="37" t="str">
        <f t="shared" si="113"/>
        <v>1-90 DAYS</v>
      </c>
      <c r="J285" s="37" t="str">
        <f t="shared" si="114"/>
        <v>0-180 DAYS</v>
      </c>
      <c r="M285" s="158" t="s">
        <v>5234</v>
      </c>
      <c r="N285" s="158">
        <v>654131.86</v>
      </c>
    </row>
    <row r="286" spans="1:14" x14ac:dyDescent="0.35">
      <c r="A286" t="s">
        <v>477</v>
      </c>
      <c r="B286" t="s">
        <v>790</v>
      </c>
      <c r="C286" t="s">
        <v>263</v>
      </c>
      <c r="D286" t="s">
        <v>264</v>
      </c>
      <c r="E286" t="s">
        <v>5172</v>
      </c>
      <c r="F286" s="35">
        <v>46186</v>
      </c>
      <c r="G286" s="47">
        <v>990216</v>
      </c>
      <c r="H286" s="37">
        <f t="shared" ref="H286:H298" si="115">$H$1-F286+1</f>
        <v>49</v>
      </c>
      <c r="I286" s="37" t="str">
        <f t="shared" ref="I286:I298" si="116">IF(H286&lt;91,"1-90 DAYS",IF(H286&lt;121,"91-120DAYS",IF(H286&lt;181,"121-180 DAYS","More than 180 Days")))</f>
        <v>1-90 DAYS</v>
      </c>
      <c r="J286" s="37" t="str">
        <f t="shared" ref="J286:J298" si="117">IF(H286&lt;180,"0-180 DAYS","More than 180 Days")</f>
        <v>0-180 DAYS</v>
      </c>
      <c r="L286" s="66" t="s">
        <v>1730</v>
      </c>
      <c r="M286" s="158" t="s">
        <v>5235</v>
      </c>
      <c r="N286" s="158">
        <v>990216</v>
      </c>
    </row>
    <row r="287" spans="1:14" x14ac:dyDescent="0.35">
      <c r="A287" t="s">
        <v>477</v>
      </c>
      <c r="B287" t="s">
        <v>790</v>
      </c>
      <c r="C287" t="s">
        <v>263</v>
      </c>
      <c r="D287" t="s">
        <v>264</v>
      </c>
      <c r="E287" t="s">
        <v>5172</v>
      </c>
      <c r="F287" s="35">
        <v>46186</v>
      </c>
      <c r="G287" s="47">
        <v>221580</v>
      </c>
      <c r="H287" s="37">
        <f t="shared" si="115"/>
        <v>49</v>
      </c>
      <c r="I287" s="37" t="str">
        <f t="shared" si="116"/>
        <v>1-90 DAYS</v>
      </c>
      <c r="J287" s="37" t="str">
        <f t="shared" si="117"/>
        <v>0-180 DAYS</v>
      </c>
      <c r="L287" s="66" t="s">
        <v>1730</v>
      </c>
      <c r="M287" s="158" t="s">
        <v>5235</v>
      </c>
      <c r="N287" s="158">
        <v>221580</v>
      </c>
    </row>
    <row r="288" spans="1:14" hidden="1" x14ac:dyDescent="0.35">
      <c r="A288" t="s">
        <v>4333</v>
      </c>
      <c r="B288" t="s">
        <v>789</v>
      </c>
      <c r="C288" t="s">
        <v>125</v>
      </c>
      <c r="D288" t="s">
        <v>57</v>
      </c>
      <c r="E288" t="s">
        <v>5173</v>
      </c>
      <c r="F288" s="35">
        <v>46188</v>
      </c>
      <c r="G288" s="150">
        <v>770359.08</v>
      </c>
      <c r="H288" s="37">
        <f t="shared" si="115"/>
        <v>47</v>
      </c>
      <c r="I288" s="37" t="str">
        <f t="shared" si="116"/>
        <v>1-90 DAYS</v>
      </c>
      <c r="J288" s="37" t="str">
        <f t="shared" si="117"/>
        <v>0-180 DAYS</v>
      </c>
      <c r="M288" s="158" t="s">
        <v>5237</v>
      </c>
      <c r="N288" s="158">
        <v>770359.08</v>
      </c>
    </row>
    <row r="289" spans="1:14" hidden="1" x14ac:dyDescent="0.35">
      <c r="A289" t="s">
        <v>4333</v>
      </c>
      <c r="B289" t="s">
        <v>789</v>
      </c>
      <c r="C289" t="s">
        <v>125</v>
      </c>
      <c r="D289" t="s">
        <v>57</v>
      </c>
      <c r="E289" t="s">
        <v>5173</v>
      </c>
      <c r="F289" s="35">
        <v>46188</v>
      </c>
      <c r="G289" s="150">
        <v>2140106.46</v>
      </c>
      <c r="H289" s="37">
        <f t="shared" si="115"/>
        <v>47</v>
      </c>
      <c r="I289" s="37" t="str">
        <f t="shared" si="116"/>
        <v>1-90 DAYS</v>
      </c>
      <c r="J289" s="37" t="str">
        <f t="shared" si="117"/>
        <v>0-180 DAYS</v>
      </c>
      <c r="M289" s="158" t="s">
        <v>5237</v>
      </c>
      <c r="N289" s="158">
        <v>2140106.46</v>
      </c>
    </row>
    <row r="290" spans="1:14" hidden="1" x14ac:dyDescent="0.35">
      <c r="A290" t="s">
        <v>4333</v>
      </c>
      <c r="B290" t="s">
        <v>789</v>
      </c>
      <c r="C290" t="s">
        <v>125</v>
      </c>
      <c r="D290" t="s">
        <v>57</v>
      </c>
      <c r="E290" t="s">
        <v>5173</v>
      </c>
      <c r="F290" s="35">
        <v>46188</v>
      </c>
      <c r="G290" s="150">
        <v>776681.02</v>
      </c>
      <c r="H290" s="37">
        <f t="shared" si="115"/>
        <v>47</v>
      </c>
      <c r="I290" s="37" t="str">
        <f t="shared" si="116"/>
        <v>1-90 DAYS</v>
      </c>
      <c r="J290" s="37" t="str">
        <f t="shared" si="117"/>
        <v>0-180 DAYS</v>
      </c>
      <c r="M290" s="158" t="s">
        <v>5237</v>
      </c>
      <c r="N290" s="158">
        <v>776681.02</v>
      </c>
    </row>
    <row r="291" spans="1:14" hidden="1" x14ac:dyDescent="0.35">
      <c r="A291" t="s">
        <v>4333</v>
      </c>
      <c r="B291" t="s">
        <v>789</v>
      </c>
      <c r="C291" t="s">
        <v>125</v>
      </c>
      <c r="D291" t="s">
        <v>57</v>
      </c>
      <c r="E291" t="s">
        <v>5173</v>
      </c>
      <c r="F291" s="35">
        <v>46188</v>
      </c>
      <c r="G291" s="150">
        <v>1504055.74</v>
      </c>
      <c r="H291" s="37">
        <f t="shared" si="115"/>
        <v>47</v>
      </c>
      <c r="I291" s="37" t="str">
        <f t="shared" si="116"/>
        <v>1-90 DAYS</v>
      </c>
      <c r="J291" s="37" t="str">
        <f t="shared" si="117"/>
        <v>0-180 DAYS</v>
      </c>
      <c r="M291" s="158" t="s">
        <v>5237</v>
      </c>
      <c r="N291" s="158">
        <v>1504055.74</v>
      </c>
    </row>
    <row r="292" spans="1:14" hidden="1" x14ac:dyDescent="0.35">
      <c r="A292" t="s">
        <v>4333</v>
      </c>
      <c r="B292" t="s">
        <v>789</v>
      </c>
      <c r="C292" t="s">
        <v>125</v>
      </c>
      <c r="D292" t="s">
        <v>57</v>
      </c>
      <c r="E292" t="s">
        <v>5174</v>
      </c>
      <c r="F292" s="35">
        <v>46188</v>
      </c>
      <c r="G292" s="150">
        <v>363682</v>
      </c>
      <c r="H292" s="37">
        <f t="shared" si="115"/>
        <v>47</v>
      </c>
      <c r="I292" s="37" t="str">
        <f t="shared" si="116"/>
        <v>1-90 DAYS</v>
      </c>
      <c r="J292" s="37" t="str">
        <f t="shared" si="117"/>
        <v>0-180 DAYS</v>
      </c>
      <c r="M292" s="158" t="s">
        <v>5237</v>
      </c>
      <c r="N292" s="158">
        <v>363682</v>
      </c>
    </row>
    <row r="293" spans="1:14" hidden="1" x14ac:dyDescent="0.35">
      <c r="A293" t="s">
        <v>4333</v>
      </c>
      <c r="B293" t="s">
        <v>789</v>
      </c>
      <c r="C293" t="s">
        <v>125</v>
      </c>
      <c r="D293" t="s">
        <v>57</v>
      </c>
      <c r="E293" t="s">
        <v>5175</v>
      </c>
      <c r="F293" s="35">
        <v>46188</v>
      </c>
      <c r="G293" s="150">
        <v>3504</v>
      </c>
      <c r="H293" s="37">
        <f t="shared" si="115"/>
        <v>47</v>
      </c>
      <c r="I293" s="37" t="str">
        <f t="shared" si="116"/>
        <v>1-90 DAYS</v>
      </c>
      <c r="J293" s="37" t="str">
        <f t="shared" si="117"/>
        <v>0-180 DAYS</v>
      </c>
      <c r="M293" s="158" t="s">
        <v>5237</v>
      </c>
      <c r="N293" s="158">
        <v>3504</v>
      </c>
    </row>
    <row r="294" spans="1:14" hidden="1" x14ac:dyDescent="0.35">
      <c r="A294" t="s">
        <v>4333</v>
      </c>
      <c r="B294" t="s">
        <v>789</v>
      </c>
      <c r="C294" t="s">
        <v>125</v>
      </c>
      <c r="D294" t="s">
        <v>57</v>
      </c>
      <c r="E294" t="s">
        <v>3952</v>
      </c>
      <c r="F294" s="35">
        <v>46189</v>
      </c>
      <c r="G294" s="150">
        <v>1867091.2</v>
      </c>
      <c r="H294" s="37">
        <f t="shared" si="115"/>
        <v>46</v>
      </c>
      <c r="I294" s="37" t="str">
        <f t="shared" si="116"/>
        <v>1-90 DAYS</v>
      </c>
      <c r="J294" s="37" t="str">
        <f t="shared" si="117"/>
        <v>0-180 DAYS</v>
      </c>
      <c r="M294" s="158" t="s">
        <v>5238</v>
      </c>
      <c r="N294" s="158">
        <v>1867091.2</v>
      </c>
    </row>
    <row r="295" spans="1:14" hidden="1" x14ac:dyDescent="0.35">
      <c r="A295" t="s">
        <v>4333</v>
      </c>
      <c r="B295" t="s">
        <v>789</v>
      </c>
      <c r="C295" t="s">
        <v>125</v>
      </c>
      <c r="D295" t="s">
        <v>57</v>
      </c>
      <c r="E295" t="s">
        <v>3952</v>
      </c>
      <c r="F295" s="35">
        <v>46189</v>
      </c>
      <c r="G295" s="150">
        <v>691634.7</v>
      </c>
      <c r="H295" s="37">
        <f t="shared" si="115"/>
        <v>46</v>
      </c>
      <c r="I295" s="37" t="str">
        <f t="shared" si="116"/>
        <v>1-90 DAYS</v>
      </c>
      <c r="J295" s="37" t="str">
        <f t="shared" si="117"/>
        <v>0-180 DAYS</v>
      </c>
      <c r="M295" s="158" t="s">
        <v>5238</v>
      </c>
      <c r="N295" s="158">
        <v>691634.7</v>
      </c>
    </row>
    <row r="296" spans="1:14" hidden="1" x14ac:dyDescent="0.35">
      <c r="A296" t="s">
        <v>4333</v>
      </c>
      <c r="B296" t="s">
        <v>789</v>
      </c>
      <c r="C296" t="s">
        <v>125</v>
      </c>
      <c r="D296" t="s">
        <v>57</v>
      </c>
      <c r="E296" t="s">
        <v>3952</v>
      </c>
      <c r="F296" s="35">
        <v>46189</v>
      </c>
      <c r="G296" s="150">
        <v>1001163.03</v>
      </c>
      <c r="H296" s="37">
        <f t="shared" si="115"/>
        <v>46</v>
      </c>
      <c r="I296" s="37" t="str">
        <f t="shared" si="116"/>
        <v>1-90 DAYS</v>
      </c>
      <c r="J296" s="37" t="str">
        <f t="shared" si="117"/>
        <v>0-180 DAYS</v>
      </c>
      <c r="M296" s="158" t="s">
        <v>5238</v>
      </c>
      <c r="N296" s="158">
        <v>1001163.03</v>
      </c>
    </row>
    <row r="297" spans="1:14" hidden="1" x14ac:dyDescent="0.35">
      <c r="A297" t="s">
        <v>4333</v>
      </c>
      <c r="B297" t="s">
        <v>789</v>
      </c>
      <c r="C297" t="s">
        <v>125</v>
      </c>
      <c r="D297" t="s">
        <v>57</v>
      </c>
      <c r="E297" t="s">
        <v>3952</v>
      </c>
      <c r="F297" s="35">
        <v>46189</v>
      </c>
      <c r="G297" s="150">
        <v>525135.6</v>
      </c>
      <c r="H297" s="37">
        <f t="shared" si="115"/>
        <v>46</v>
      </c>
      <c r="I297" s="37" t="str">
        <f t="shared" si="116"/>
        <v>1-90 DAYS</v>
      </c>
      <c r="J297" s="37" t="str">
        <f t="shared" si="117"/>
        <v>0-180 DAYS</v>
      </c>
      <c r="M297" s="158" t="s">
        <v>5238</v>
      </c>
      <c r="N297" s="158">
        <v>525135.6</v>
      </c>
    </row>
    <row r="298" spans="1:14" hidden="1" x14ac:dyDescent="0.35">
      <c r="A298" t="s">
        <v>4333</v>
      </c>
      <c r="B298" t="s">
        <v>789</v>
      </c>
      <c r="C298" t="s">
        <v>125</v>
      </c>
      <c r="D298" t="s">
        <v>57</v>
      </c>
      <c r="E298" t="s">
        <v>3952</v>
      </c>
      <c r="F298" s="35">
        <v>46189</v>
      </c>
      <c r="G298" s="150">
        <v>587569.5</v>
      </c>
      <c r="H298" s="37">
        <f t="shared" si="115"/>
        <v>46</v>
      </c>
      <c r="I298" s="37" t="str">
        <f t="shared" si="116"/>
        <v>1-90 DAYS</v>
      </c>
      <c r="J298" s="37" t="str">
        <f t="shared" si="117"/>
        <v>0-180 DAYS</v>
      </c>
      <c r="M298" s="158" t="s">
        <v>5238</v>
      </c>
      <c r="N298" s="158">
        <v>587569.5</v>
      </c>
    </row>
    <row r="299" spans="1:14" x14ac:dyDescent="0.35">
      <c r="A299" t="s">
        <v>1085</v>
      </c>
      <c r="B299" t="s">
        <v>790</v>
      </c>
      <c r="C299" t="s">
        <v>1764</v>
      </c>
      <c r="D299" t="s">
        <v>507</v>
      </c>
      <c r="E299" t="s">
        <v>5176</v>
      </c>
      <c r="F299" s="35">
        <v>46192</v>
      </c>
      <c r="G299" s="47">
        <v>5209153.6179999998</v>
      </c>
      <c r="H299" s="37">
        <f t="shared" ref="H299:H312" si="118">$H$1-F299+1</f>
        <v>43</v>
      </c>
      <c r="I299" s="37" t="str">
        <f t="shared" ref="I299:I307" si="119">IF(H299&lt;121,"0-120 DAYS",IF(H299&lt;181,"121-180 DAYS","More than 180 Days"))</f>
        <v>0-120 DAYS</v>
      </c>
      <c r="J299" s="37" t="str">
        <f t="shared" ref="J299:J312" si="120">IF(H299&lt;180,"0-180 DAYS","More than 180 Days")</f>
        <v>0-180 DAYS</v>
      </c>
      <c r="L299" s="66" t="s">
        <v>1730</v>
      </c>
      <c r="M299" s="158" t="s">
        <v>5241</v>
      </c>
      <c r="N299" s="158">
        <v>5209153.62</v>
      </c>
    </row>
    <row r="300" spans="1:14" x14ac:dyDescent="0.35">
      <c r="A300" t="s">
        <v>1085</v>
      </c>
      <c r="B300" t="s">
        <v>790</v>
      </c>
      <c r="C300" t="s">
        <v>1086</v>
      </c>
      <c r="D300" t="s">
        <v>507</v>
      </c>
      <c r="E300" t="s">
        <v>5177</v>
      </c>
      <c r="F300" s="35">
        <v>46192</v>
      </c>
      <c r="G300" s="47">
        <v>516154.39199999999</v>
      </c>
      <c r="H300" s="37">
        <f t="shared" si="118"/>
        <v>43</v>
      </c>
      <c r="I300" s="37" t="str">
        <f t="shared" si="119"/>
        <v>0-120 DAYS</v>
      </c>
      <c r="J300" s="37" t="str">
        <f t="shared" si="120"/>
        <v>0-180 DAYS</v>
      </c>
      <c r="L300" s="66" t="s">
        <v>1730</v>
      </c>
      <c r="M300" s="158" t="s">
        <v>5241</v>
      </c>
      <c r="N300" s="158">
        <v>516154.39</v>
      </c>
    </row>
    <row r="301" spans="1:14" x14ac:dyDescent="0.35">
      <c r="A301" t="s">
        <v>1085</v>
      </c>
      <c r="B301" t="s">
        <v>790</v>
      </c>
      <c r="C301" t="s">
        <v>1086</v>
      </c>
      <c r="D301" t="s">
        <v>507</v>
      </c>
      <c r="E301" t="s">
        <v>5178</v>
      </c>
      <c r="F301" s="35">
        <v>46192</v>
      </c>
      <c r="G301" s="47">
        <v>3174069.6</v>
      </c>
      <c r="H301" s="37">
        <f t="shared" si="118"/>
        <v>43</v>
      </c>
      <c r="I301" s="37" t="str">
        <f t="shared" si="119"/>
        <v>0-120 DAYS</v>
      </c>
      <c r="J301" s="37" t="str">
        <f t="shared" si="120"/>
        <v>0-180 DAYS</v>
      </c>
      <c r="L301" s="66" t="s">
        <v>1730</v>
      </c>
      <c r="M301" s="158" t="s">
        <v>5241</v>
      </c>
      <c r="N301" s="158">
        <v>3174069.6</v>
      </c>
    </row>
    <row r="302" spans="1:14" x14ac:dyDescent="0.35">
      <c r="A302" t="s">
        <v>1085</v>
      </c>
      <c r="B302" t="s">
        <v>790</v>
      </c>
      <c r="C302" t="s">
        <v>1086</v>
      </c>
      <c r="D302" t="s">
        <v>507</v>
      </c>
      <c r="E302" t="s">
        <v>5179</v>
      </c>
      <c r="F302" s="35">
        <v>46192</v>
      </c>
      <c r="G302" s="47">
        <v>168293.736</v>
      </c>
      <c r="H302" s="37">
        <f t="shared" si="118"/>
        <v>43</v>
      </c>
      <c r="I302" s="37" t="str">
        <f t="shared" si="119"/>
        <v>0-120 DAYS</v>
      </c>
      <c r="J302" s="37" t="str">
        <f t="shared" si="120"/>
        <v>0-180 DAYS</v>
      </c>
      <c r="L302" s="66" t="s">
        <v>1730</v>
      </c>
      <c r="M302" s="158" t="s">
        <v>5241</v>
      </c>
      <c r="N302" s="158">
        <v>168293.74</v>
      </c>
    </row>
    <row r="303" spans="1:14" x14ac:dyDescent="0.35">
      <c r="A303" t="s">
        <v>1085</v>
      </c>
      <c r="B303" t="s">
        <v>790</v>
      </c>
      <c r="C303" t="s">
        <v>1086</v>
      </c>
      <c r="D303" t="s">
        <v>507</v>
      </c>
      <c r="E303" t="s">
        <v>5180</v>
      </c>
      <c r="F303" s="35">
        <v>46192</v>
      </c>
      <c r="G303" s="47">
        <v>49101.624000000003</v>
      </c>
      <c r="H303" s="37">
        <f t="shared" si="118"/>
        <v>43</v>
      </c>
      <c r="I303" s="37" t="str">
        <f t="shared" si="119"/>
        <v>0-120 DAYS</v>
      </c>
      <c r="J303" s="37" t="str">
        <f t="shared" si="120"/>
        <v>0-180 DAYS</v>
      </c>
      <c r="L303" s="66" t="s">
        <v>1730</v>
      </c>
      <c r="M303" s="158" t="s">
        <v>5241</v>
      </c>
      <c r="N303" s="158">
        <v>49101.62</v>
      </c>
    </row>
    <row r="304" spans="1:14" x14ac:dyDescent="0.35">
      <c r="A304" t="s">
        <v>1085</v>
      </c>
      <c r="B304" t="s">
        <v>790</v>
      </c>
      <c r="C304" t="s">
        <v>1086</v>
      </c>
      <c r="D304" t="s">
        <v>507</v>
      </c>
      <c r="E304" t="s">
        <v>5181</v>
      </c>
      <c r="F304" s="35">
        <v>46192</v>
      </c>
      <c r="G304" s="47">
        <v>1626300</v>
      </c>
      <c r="H304" s="37">
        <f t="shared" si="118"/>
        <v>43</v>
      </c>
      <c r="I304" s="37" t="str">
        <f t="shared" si="119"/>
        <v>0-120 DAYS</v>
      </c>
      <c r="J304" s="37" t="str">
        <f t="shared" si="120"/>
        <v>0-180 DAYS</v>
      </c>
      <c r="L304" s="66" t="s">
        <v>1730</v>
      </c>
      <c r="M304" s="158" t="s">
        <v>5241</v>
      </c>
      <c r="N304" s="158">
        <v>1626300</v>
      </c>
    </row>
    <row r="305" spans="1:14" x14ac:dyDescent="0.35">
      <c r="A305" t="s">
        <v>1085</v>
      </c>
      <c r="B305" t="s">
        <v>790</v>
      </c>
      <c r="C305" t="s">
        <v>1086</v>
      </c>
      <c r="D305" t="s">
        <v>507</v>
      </c>
      <c r="E305" t="s">
        <v>5182</v>
      </c>
      <c r="F305" s="35">
        <v>46192</v>
      </c>
      <c r="G305" s="47">
        <v>1329316.7092919</v>
      </c>
      <c r="H305" s="37">
        <f t="shared" si="118"/>
        <v>43</v>
      </c>
      <c r="I305" s="37" t="str">
        <f t="shared" si="119"/>
        <v>0-120 DAYS</v>
      </c>
      <c r="J305" s="37" t="str">
        <f t="shared" si="120"/>
        <v>0-180 DAYS</v>
      </c>
      <c r="L305" s="66" t="s">
        <v>1730</v>
      </c>
      <c r="M305" s="158" t="s">
        <v>5241</v>
      </c>
      <c r="N305" s="158">
        <v>1329316.71</v>
      </c>
    </row>
    <row r="306" spans="1:14" x14ac:dyDescent="0.35">
      <c r="A306" t="s">
        <v>1085</v>
      </c>
      <c r="B306" t="s">
        <v>790</v>
      </c>
      <c r="C306" t="s">
        <v>1086</v>
      </c>
      <c r="D306" t="s">
        <v>507</v>
      </c>
      <c r="E306" t="s">
        <v>5182</v>
      </c>
      <c r="F306" s="35">
        <v>46192</v>
      </c>
      <c r="G306" s="47">
        <v>43623.066708103601</v>
      </c>
      <c r="H306" s="37">
        <f t="shared" si="118"/>
        <v>43</v>
      </c>
      <c r="I306" s="37" t="str">
        <f t="shared" si="119"/>
        <v>0-120 DAYS</v>
      </c>
      <c r="J306" s="37" t="str">
        <f t="shared" si="120"/>
        <v>0-180 DAYS</v>
      </c>
      <c r="L306" s="66" t="s">
        <v>1730</v>
      </c>
      <c r="M306" s="158" t="s">
        <v>5241</v>
      </c>
      <c r="N306" s="158">
        <v>43623.07</v>
      </c>
    </row>
    <row r="307" spans="1:14" x14ac:dyDescent="0.35">
      <c r="A307" t="s">
        <v>1085</v>
      </c>
      <c r="B307" t="s">
        <v>790</v>
      </c>
      <c r="C307" s="18" t="s">
        <v>814</v>
      </c>
      <c r="D307" t="s">
        <v>5019</v>
      </c>
      <c r="E307" t="s">
        <v>5183</v>
      </c>
      <c r="F307" s="35">
        <v>46195</v>
      </c>
      <c r="G307" s="47">
        <v>365714.8</v>
      </c>
      <c r="H307" s="37">
        <f t="shared" si="118"/>
        <v>40</v>
      </c>
      <c r="I307" s="37" t="str">
        <f t="shared" si="119"/>
        <v>0-120 DAYS</v>
      </c>
      <c r="J307" s="37" t="str">
        <f t="shared" si="120"/>
        <v>0-180 DAYS</v>
      </c>
      <c r="L307" s="66" t="s">
        <v>1730</v>
      </c>
      <c r="M307" s="158" t="s">
        <v>5244</v>
      </c>
      <c r="N307" s="158">
        <v>365714.8</v>
      </c>
    </row>
    <row r="308" spans="1:14" hidden="1" x14ac:dyDescent="0.35">
      <c r="A308" t="s">
        <v>4333</v>
      </c>
      <c r="B308" t="s">
        <v>789</v>
      </c>
      <c r="C308" t="s">
        <v>125</v>
      </c>
      <c r="D308" t="s">
        <v>57</v>
      </c>
      <c r="E308" t="s">
        <v>5184</v>
      </c>
      <c r="F308" s="35">
        <v>46195</v>
      </c>
      <c r="G308" s="150">
        <v>26986.400000000001</v>
      </c>
      <c r="H308" s="37">
        <f t="shared" si="118"/>
        <v>40</v>
      </c>
      <c r="I308" s="37" t="str">
        <f t="shared" ref="I308:I312" si="121">IF(H308&lt;91,"1-90 DAYS",IF(H308&lt;121,"91-120DAYS",IF(H308&lt;181,"121-180 DAYS","More than 180 Days")))</f>
        <v>1-90 DAYS</v>
      </c>
      <c r="J308" s="37" t="str">
        <f t="shared" si="120"/>
        <v>0-180 DAYS</v>
      </c>
      <c r="M308" s="158" t="s">
        <v>5244</v>
      </c>
      <c r="N308" s="158">
        <v>26986.400000000001</v>
      </c>
    </row>
    <row r="309" spans="1:14" hidden="1" x14ac:dyDescent="0.35">
      <c r="A309" t="s">
        <v>4333</v>
      </c>
      <c r="B309" t="s">
        <v>789</v>
      </c>
      <c r="C309" t="s">
        <v>125</v>
      </c>
      <c r="D309" t="s">
        <v>57</v>
      </c>
      <c r="E309" t="s">
        <v>5184</v>
      </c>
      <c r="F309" s="35">
        <v>46195</v>
      </c>
      <c r="G309" s="150">
        <v>1080000</v>
      </c>
      <c r="H309" s="37">
        <f t="shared" si="118"/>
        <v>40</v>
      </c>
      <c r="I309" s="37" t="str">
        <f t="shared" si="121"/>
        <v>1-90 DAYS</v>
      </c>
      <c r="J309" s="37" t="str">
        <f t="shared" si="120"/>
        <v>0-180 DAYS</v>
      </c>
      <c r="M309" s="158" t="s">
        <v>5244</v>
      </c>
      <c r="N309" s="158">
        <v>1080000</v>
      </c>
    </row>
    <row r="310" spans="1:14" hidden="1" x14ac:dyDescent="0.35">
      <c r="A310" t="s">
        <v>4333</v>
      </c>
      <c r="B310" t="s">
        <v>789</v>
      </c>
      <c r="C310" t="s">
        <v>125</v>
      </c>
      <c r="D310" t="s">
        <v>57</v>
      </c>
      <c r="E310" t="s">
        <v>5184</v>
      </c>
      <c r="F310" s="35">
        <v>46195</v>
      </c>
      <c r="G310" s="150">
        <v>261324</v>
      </c>
      <c r="H310" s="37">
        <f t="shared" si="118"/>
        <v>40</v>
      </c>
      <c r="I310" s="37" t="str">
        <f t="shared" si="121"/>
        <v>1-90 DAYS</v>
      </c>
      <c r="J310" s="37" t="str">
        <f t="shared" si="120"/>
        <v>0-180 DAYS</v>
      </c>
      <c r="M310" s="158" t="s">
        <v>5244</v>
      </c>
      <c r="N310" s="158">
        <v>261324</v>
      </c>
    </row>
    <row r="311" spans="1:14" hidden="1" x14ac:dyDescent="0.35">
      <c r="A311" t="s">
        <v>4333</v>
      </c>
      <c r="B311" t="s">
        <v>789</v>
      </c>
      <c r="C311" t="s">
        <v>125</v>
      </c>
      <c r="D311" t="s">
        <v>57</v>
      </c>
      <c r="E311" t="s">
        <v>5185</v>
      </c>
      <c r="F311" s="35">
        <v>46195</v>
      </c>
      <c r="G311" s="150">
        <v>3552</v>
      </c>
      <c r="H311" s="37">
        <f t="shared" si="118"/>
        <v>40</v>
      </c>
      <c r="I311" s="37" t="str">
        <f t="shared" si="121"/>
        <v>1-90 DAYS</v>
      </c>
      <c r="J311" s="37" t="str">
        <f t="shared" si="120"/>
        <v>0-180 DAYS</v>
      </c>
      <c r="M311" s="158" t="s">
        <v>5244</v>
      </c>
      <c r="N311" s="158">
        <v>3552</v>
      </c>
    </row>
    <row r="312" spans="1:14" hidden="1" x14ac:dyDescent="0.35">
      <c r="A312" t="s">
        <v>4333</v>
      </c>
      <c r="B312" t="s">
        <v>789</v>
      </c>
      <c r="C312" t="s">
        <v>125</v>
      </c>
      <c r="D312" t="s">
        <v>57</v>
      </c>
      <c r="E312" t="s">
        <v>5186</v>
      </c>
      <c r="F312" s="35">
        <v>46195</v>
      </c>
      <c r="G312" s="150">
        <v>182388.29</v>
      </c>
      <c r="H312" s="37">
        <f t="shared" si="118"/>
        <v>40</v>
      </c>
      <c r="I312" s="37" t="str">
        <f t="shared" si="121"/>
        <v>1-90 DAYS</v>
      </c>
      <c r="J312" s="37" t="str">
        <f t="shared" si="120"/>
        <v>0-180 DAYS</v>
      </c>
      <c r="M312" s="158" t="s">
        <v>5244</v>
      </c>
      <c r="N312" s="158">
        <v>182388.29</v>
      </c>
    </row>
    <row r="313" spans="1:14" x14ac:dyDescent="0.35">
      <c r="A313" t="s">
        <v>1085</v>
      </c>
      <c r="B313" t="s">
        <v>790</v>
      </c>
      <c r="C313" t="s">
        <v>653</v>
      </c>
      <c r="D313" t="s">
        <v>507</v>
      </c>
      <c r="E313" t="s">
        <v>5187</v>
      </c>
      <c r="F313" s="35">
        <v>46196</v>
      </c>
      <c r="G313" s="47">
        <v>4502628</v>
      </c>
      <c r="H313" s="37">
        <f t="shared" ref="H313:H316" si="122">$H$1-F313+1</f>
        <v>39</v>
      </c>
      <c r="I313" s="37" t="str">
        <f t="shared" ref="I313" si="123">IF(H313&lt;121,"0-120 DAYS",IF(H313&lt;181,"121-180 DAYS","More than 180 Days"))</f>
        <v>0-120 DAYS</v>
      </c>
      <c r="J313" s="37" t="str">
        <f t="shared" ref="J313:J316" si="124">IF(H313&lt;180,"0-180 DAYS","More than 180 Days")</f>
        <v>0-180 DAYS</v>
      </c>
      <c r="L313" s="66" t="s">
        <v>1730</v>
      </c>
      <c r="M313" s="158" t="s">
        <v>5245</v>
      </c>
      <c r="N313" s="158">
        <v>4502628</v>
      </c>
    </row>
    <row r="314" spans="1:14" hidden="1" x14ac:dyDescent="0.35">
      <c r="A314" t="s">
        <v>4333</v>
      </c>
      <c r="B314" t="s">
        <v>789</v>
      </c>
      <c r="C314" t="s">
        <v>125</v>
      </c>
      <c r="D314" t="s">
        <v>57</v>
      </c>
      <c r="E314" t="s">
        <v>5188</v>
      </c>
      <c r="F314" s="35">
        <v>46198</v>
      </c>
      <c r="G314" s="150">
        <v>4681832.75</v>
      </c>
      <c r="H314" s="37">
        <f t="shared" si="122"/>
        <v>37</v>
      </c>
      <c r="I314" s="37" t="str">
        <f t="shared" ref="I314:I316" si="125">IF(H314&lt;91,"1-90 DAYS",IF(H314&lt;121,"91-120DAYS",IF(H314&lt;181,"121-180 DAYS","More than 180 Days")))</f>
        <v>1-90 DAYS</v>
      </c>
      <c r="J314" s="37" t="str">
        <f t="shared" si="124"/>
        <v>0-180 DAYS</v>
      </c>
      <c r="M314" s="158" t="s">
        <v>5247</v>
      </c>
      <c r="N314" s="158">
        <v>4681832.75</v>
      </c>
    </row>
    <row r="315" spans="1:14" hidden="1" x14ac:dyDescent="0.35">
      <c r="A315" t="s">
        <v>4333</v>
      </c>
      <c r="B315" t="s">
        <v>789</v>
      </c>
      <c r="C315" t="s">
        <v>125</v>
      </c>
      <c r="D315" t="s">
        <v>57</v>
      </c>
      <c r="E315" t="s">
        <v>1990</v>
      </c>
      <c r="F315" s="35">
        <v>46199</v>
      </c>
      <c r="G315" s="150">
        <v>256200</v>
      </c>
      <c r="H315" s="37">
        <f t="shared" si="122"/>
        <v>36</v>
      </c>
      <c r="I315" s="37" t="str">
        <f t="shared" si="125"/>
        <v>1-90 DAYS</v>
      </c>
      <c r="J315" s="37" t="str">
        <f t="shared" si="124"/>
        <v>0-180 DAYS</v>
      </c>
      <c r="M315" s="158" t="s">
        <v>5248</v>
      </c>
      <c r="N315" s="158">
        <v>256200</v>
      </c>
    </row>
    <row r="316" spans="1:14" hidden="1" x14ac:dyDescent="0.35">
      <c r="A316" t="s">
        <v>4333</v>
      </c>
      <c r="B316" t="s">
        <v>789</v>
      </c>
      <c r="C316" t="s">
        <v>125</v>
      </c>
      <c r="D316" t="s">
        <v>57</v>
      </c>
      <c r="E316" t="s">
        <v>1991</v>
      </c>
      <c r="F316" s="35">
        <v>46199</v>
      </c>
      <c r="G316" s="150">
        <v>2688</v>
      </c>
      <c r="H316" s="37">
        <f t="shared" si="122"/>
        <v>36</v>
      </c>
      <c r="I316" s="37" t="str">
        <f t="shared" si="125"/>
        <v>1-90 DAYS</v>
      </c>
      <c r="J316" s="37" t="str">
        <f t="shared" si="124"/>
        <v>0-180 DAYS</v>
      </c>
      <c r="M316" s="158" t="s">
        <v>5248</v>
      </c>
      <c r="N316" s="158">
        <v>2688</v>
      </c>
    </row>
    <row r="317" spans="1:14" x14ac:dyDescent="0.35">
      <c r="A317" t="s">
        <v>1085</v>
      </c>
      <c r="B317" t="s">
        <v>790</v>
      </c>
      <c r="C317" t="s">
        <v>650</v>
      </c>
      <c r="D317" t="s">
        <v>507</v>
      </c>
      <c r="E317" t="s">
        <v>5189</v>
      </c>
      <c r="F317" s="35">
        <v>46199</v>
      </c>
      <c r="G317" s="47">
        <v>4384411.2</v>
      </c>
      <c r="H317" s="37">
        <f t="shared" ref="H317:H410" si="126">$H$1-F317+1</f>
        <v>36</v>
      </c>
      <c r="I317" s="37" t="str">
        <f t="shared" ref="I317:I318" si="127">IF(H317&lt;121,"0-120 DAYS",IF(H317&lt;181,"121-180 DAYS","More than 180 Days"))</f>
        <v>0-120 DAYS</v>
      </c>
      <c r="J317" s="37" t="str">
        <f t="shared" ref="J317:J410" si="128">IF(H317&lt;180,"0-180 DAYS","More than 180 Days")</f>
        <v>0-180 DAYS</v>
      </c>
      <c r="L317" s="66" t="s">
        <v>1730</v>
      </c>
      <c r="M317" s="158" t="s">
        <v>5248</v>
      </c>
      <c r="N317" s="158">
        <v>4384411.2</v>
      </c>
    </row>
    <row r="318" spans="1:14" x14ac:dyDescent="0.35">
      <c r="A318" t="s">
        <v>1085</v>
      </c>
      <c r="B318" t="s">
        <v>790</v>
      </c>
      <c r="C318" t="s">
        <v>650</v>
      </c>
      <c r="D318" t="s">
        <v>507</v>
      </c>
      <c r="E318" t="s">
        <v>5189</v>
      </c>
      <c r="F318" s="35">
        <v>46199</v>
      </c>
      <c r="G318" s="47">
        <v>1152513.648</v>
      </c>
      <c r="H318" s="37">
        <f t="shared" si="126"/>
        <v>36</v>
      </c>
      <c r="I318" s="37" t="str">
        <f t="shared" si="127"/>
        <v>0-120 DAYS</v>
      </c>
      <c r="J318" s="37" t="str">
        <f t="shared" si="128"/>
        <v>0-180 DAYS</v>
      </c>
      <c r="L318" s="66" t="s">
        <v>1730</v>
      </c>
      <c r="M318" s="158" t="s">
        <v>5248</v>
      </c>
      <c r="N318" s="158">
        <v>1152513.6499999999</v>
      </c>
    </row>
    <row r="319" spans="1:14" x14ac:dyDescent="0.35">
      <c r="A319" s="2" t="s">
        <v>477</v>
      </c>
      <c r="B319" s="2" t="s">
        <v>790</v>
      </c>
      <c r="C319" t="s">
        <v>4780</v>
      </c>
      <c r="D319" t="s">
        <v>4783</v>
      </c>
      <c r="E319" t="s">
        <v>5306</v>
      </c>
      <c r="F319" s="35">
        <v>46206</v>
      </c>
      <c r="G319" s="47">
        <v>52000</v>
      </c>
      <c r="H319" s="37">
        <f t="shared" ref="H319:H362" si="129">$H$1-F319+1</f>
        <v>29</v>
      </c>
      <c r="I319" s="37" t="str">
        <f t="shared" ref="I319" si="130">IF(H319&lt;91,"1-90 DAYS",IF(H319&lt;121,"91-120DAYS",IF(H319&lt;181,"121-180 DAYS","More than 180 Days")))</f>
        <v>1-90 DAYS</v>
      </c>
      <c r="J319" s="37" t="str">
        <f t="shared" ref="J319:J362" si="131">IF(H319&lt;180,"0-180 DAYS","More than 180 Days")</f>
        <v>0-180 DAYS</v>
      </c>
      <c r="L319" s="66" t="s">
        <v>1730</v>
      </c>
      <c r="M319" s="158" t="s">
        <v>5564</v>
      </c>
      <c r="N319" s="158">
        <v>52000</v>
      </c>
    </row>
    <row r="320" spans="1:14" x14ac:dyDescent="0.35">
      <c r="A320" s="2" t="s">
        <v>1085</v>
      </c>
      <c r="B320" s="2" t="s">
        <v>790</v>
      </c>
      <c r="C320" t="s">
        <v>1055</v>
      </c>
      <c r="D320" s="37" t="s">
        <v>507</v>
      </c>
      <c r="E320" t="s">
        <v>5307</v>
      </c>
      <c r="F320" s="35">
        <v>46208</v>
      </c>
      <c r="G320" s="47">
        <v>4623201</v>
      </c>
      <c r="H320" s="37">
        <f t="shared" si="129"/>
        <v>27</v>
      </c>
      <c r="I320" s="37" t="str">
        <f t="shared" ref="I320:I362" si="132">IF(H320&lt;121,"0-120 DAYS",IF(H320&lt;181,"121-180 DAYS","More than 180 Days"))</f>
        <v>0-120 DAYS</v>
      </c>
      <c r="J320" s="37" t="str">
        <f t="shared" si="131"/>
        <v>0-180 DAYS</v>
      </c>
      <c r="L320" s="66" t="s">
        <v>1730</v>
      </c>
      <c r="M320" s="158" t="s">
        <v>5565</v>
      </c>
      <c r="N320" s="158">
        <v>4623201</v>
      </c>
    </row>
    <row r="321" spans="1:14" x14ac:dyDescent="0.35">
      <c r="A321" s="2" t="s">
        <v>1085</v>
      </c>
      <c r="B321" s="2" t="s">
        <v>790</v>
      </c>
      <c r="C321" t="s">
        <v>609</v>
      </c>
      <c r="D321" s="37" t="s">
        <v>507</v>
      </c>
      <c r="E321" t="s">
        <v>5308</v>
      </c>
      <c r="F321" s="35">
        <v>46209</v>
      </c>
      <c r="G321" s="47">
        <v>3975339.5</v>
      </c>
      <c r="H321" s="37">
        <f t="shared" si="129"/>
        <v>26</v>
      </c>
      <c r="I321" s="37" t="str">
        <f t="shared" si="132"/>
        <v>0-120 DAYS</v>
      </c>
      <c r="J321" s="37" t="str">
        <f t="shared" si="131"/>
        <v>0-180 DAYS</v>
      </c>
      <c r="L321" s="66" t="s">
        <v>1730</v>
      </c>
      <c r="M321" s="158" t="s">
        <v>5566</v>
      </c>
      <c r="N321" s="158">
        <v>3975339.5</v>
      </c>
    </row>
    <row r="322" spans="1:14" x14ac:dyDescent="0.35">
      <c r="A322" s="2" t="s">
        <v>477</v>
      </c>
      <c r="B322" s="2" t="s">
        <v>790</v>
      </c>
      <c r="C322" t="s">
        <v>1196</v>
      </c>
      <c r="D322" t="s">
        <v>1208</v>
      </c>
      <c r="E322" t="s">
        <v>2332</v>
      </c>
      <c r="F322" s="35">
        <v>46209</v>
      </c>
      <c r="G322" s="47">
        <v>1992000</v>
      </c>
      <c r="H322" s="37">
        <f t="shared" si="129"/>
        <v>26</v>
      </c>
      <c r="I322" s="37" t="str">
        <f t="shared" ref="I322" si="133">IF(H322&lt;91,"1-90 DAYS",IF(H322&lt;121,"91-120DAYS",IF(H322&lt;181,"121-180 DAYS","More than 180 Days")))</f>
        <v>1-90 DAYS</v>
      </c>
      <c r="J322" s="37" t="str">
        <f t="shared" si="131"/>
        <v>0-180 DAYS</v>
      </c>
      <c r="L322" s="66" t="s">
        <v>1730</v>
      </c>
      <c r="M322" s="158" t="s">
        <v>5566</v>
      </c>
      <c r="N322" s="158">
        <v>1992000</v>
      </c>
    </row>
    <row r="323" spans="1:14" x14ac:dyDescent="0.35">
      <c r="A323" s="2" t="s">
        <v>1085</v>
      </c>
      <c r="B323" s="2" t="s">
        <v>790</v>
      </c>
      <c r="C323" t="s">
        <v>631</v>
      </c>
      <c r="D323" s="37" t="s">
        <v>507</v>
      </c>
      <c r="E323" t="s">
        <v>5309</v>
      </c>
      <c r="F323" s="35">
        <v>46211</v>
      </c>
      <c r="G323" s="47">
        <v>4862748</v>
      </c>
      <c r="H323" s="37">
        <f t="shared" si="129"/>
        <v>24</v>
      </c>
      <c r="I323" s="37" t="str">
        <f t="shared" si="132"/>
        <v>0-120 DAYS</v>
      </c>
      <c r="J323" s="37" t="str">
        <f t="shared" si="131"/>
        <v>0-180 DAYS</v>
      </c>
      <c r="L323" s="66" t="s">
        <v>1730</v>
      </c>
      <c r="M323" s="158" t="s">
        <v>5567</v>
      </c>
      <c r="N323" s="158">
        <v>4862748</v>
      </c>
    </row>
    <row r="324" spans="1:14" x14ac:dyDescent="0.35">
      <c r="A324" s="2" t="s">
        <v>477</v>
      </c>
      <c r="B324" s="2" t="s">
        <v>790</v>
      </c>
      <c r="C324" t="s">
        <v>4780</v>
      </c>
      <c r="D324" t="s">
        <v>4783</v>
      </c>
      <c r="E324" t="s">
        <v>5310</v>
      </c>
      <c r="F324" s="35">
        <v>46214</v>
      </c>
      <c r="G324" s="47">
        <v>213942.96</v>
      </c>
      <c r="H324" s="37">
        <f t="shared" si="129"/>
        <v>21</v>
      </c>
      <c r="I324" s="37" t="str">
        <f t="shared" ref="I324" si="134">IF(H324&lt;91,"1-90 DAYS",IF(H324&lt;121,"91-120DAYS",IF(H324&lt;181,"121-180 DAYS","More than 180 Days")))</f>
        <v>1-90 DAYS</v>
      </c>
      <c r="J324" s="37" t="str">
        <f t="shared" si="131"/>
        <v>0-180 DAYS</v>
      </c>
      <c r="L324" s="66" t="s">
        <v>1730</v>
      </c>
      <c r="M324" s="158" t="s">
        <v>5568</v>
      </c>
      <c r="N324" s="158">
        <v>213942.96</v>
      </c>
    </row>
    <row r="325" spans="1:14" x14ac:dyDescent="0.35">
      <c r="A325" t="s">
        <v>1085</v>
      </c>
      <c r="B325" s="2" t="s">
        <v>790</v>
      </c>
      <c r="C325" s="18" t="s">
        <v>814</v>
      </c>
      <c r="D325" t="s">
        <v>5019</v>
      </c>
      <c r="E325" t="s">
        <v>5312</v>
      </c>
      <c r="F325" s="35">
        <v>46215</v>
      </c>
      <c r="G325" s="47">
        <v>545324</v>
      </c>
      <c r="H325" s="37">
        <f t="shared" si="129"/>
        <v>20</v>
      </c>
      <c r="I325" s="37" t="str">
        <f t="shared" si="132"/>
        <v>0-120 DAYS</v>
      </c>
      <c r="J325" s="37" t="str">
        <f t="shared" si="131"/>
        <v>0-180 DAYS</v>
      </c>
      <c r="L325" s="66" t="s">
        <v>1730</v>
      </c>
      <c r="M325" s="158" t="s">
        <v>5569</v>
      </c>
      <c r="N325" s="158">
        <v>545324</v>
      </c>
    </row>
    <row r="326" spans="1:14" x14ac:dyDescent="0.35">
      <c r="A326" t="s">
        <v>1085</v>
      </c>
      <c r="B326" s="2" t="s">
        <v>790</v>
      </c>
      <c r="C326" s="18" t="s">
        <v>814</v>
      </c>
      <c r="D326" t="s">
        <v>5019</v>
      </c>
      <c r="E326" t="s">
        <v>5312</v>
      </c>
      <c r="F326" s="35">
        <v>46215</v>
      </c>
      <c r="G326" s="47">
        <v>39750</v>
      </c>
      <c r="H326" s="37">
        <f t="shared" si="129"/>
        <v>20</v>
      </c>
      <c r="I326" s="37" t="str">
        <f t="shared" si="132"/>
        <v>0-120 DAYS</v>
      </c>
      <c r="J326" s="37" t="str">
        <f t="shared" si="131"/>
        <v>0-180 DAYS</v>
      </c>
      <c r="L326" s="66" t="s">
        <v>1730</v>
      </c>
      <c r="M326" s="158" t="s">
        <v>5569</v>
      </c>
      <c r="N326" s="158">
        <v>39750</v>
      </c>
    </row>
    <row r="327" spans="1:14" x14ac:dyDescent="0.35">
      <c r="A327" t="s">
        <v>1085</v>
      </c>
      <c r="B327" s="2" t="s">
        <v>790</v>
      </c>
      <c r="C327" s="18" t="s">
        <v>814</v>
      </c>
      <c r="D327" t="s">
        <v>5019</v>
      </c>
      <c r="E327" t="s">
        <v>5312</v>
      </c>
      <c r="F327" s="35">
        <v>46215</v>
      </c>
      <c r="G327" s="47">
        <v>10800</v>
      </c>
      <c r="H327" s="37">
        <f t="shared" si="129"/>
        <v>20</v>
      </c>
      <c r="I327" s="37" t="str">
        <f t="shared" si="132"/>
        <v>0-120 DAYS</v>
      </c>
      <c r="J327" s="37" t="str">
        <f t="shared" si="131"/>
        <v>0-180 DAYS</v>
      </c>
      <c r="L327" s="66" t="s">
        <v>1730</v>
      </c>
      <c r="M327" s="158" t="s">
        <v>5569</v>
      </c>
      <c r="N327" s="158">
        <v>10800</v>
      </c>
    </row>
    <row r="328" spans="1:14" x14ac:dyDescent="0.35">
      <c r="A328" t="s">
        <v>1085</v>
      </c>
      <c r="B328" s="2" t="s">
        <v>790</v>
      </c>
      <c r="C328" s="18" t="s">
        <v>814</v>
      </c>
      <c r="D328" t="s">
        <v>5019</v>
      </c>
      <c r="E328" t="s">
        <v>5312</v>
      </c>
      <c r="F328" s="35">
        <v>46215</v>
      </c>
      <c r="G328" s="47">
        <v>11800</v>
      </c>
      <c r="H328" s="37">
        <f t="shared" si="129"/>
        <v>20</v>
      </c>
      <c r="I328" s="37" t="str">
        <f t="shared" si="132"/>
        <v>0-120 DAYS</v>
      </c>
      <c r="J328" s="37" t="str">
        <f t="shared" si="131"/>
        <v>0-180 DAYS</v>
      </c>
      <c r="L328" s="66" t="s">
        <v>1730</v>
      </c>
      <c r="M328" s="158" t="s">
        <v>5569</v>
      </c>
      <c r="N328" s="158">
        <v>11800</v>
      </c>
    </row>
    <row r="329" spans="1:14" x14ac:dyDescent="0.35">
      <c r="A329" t="s">
        <v>1085</v>
      </c>
      <c r="B329" s="2" t="s">
        <v>790</v>
      </c>
      <c r="C329" s="18" t="s">
        <v>814</v>
      </c>
      <c r="D329" t="s">
        <v>5019</v>
      </c>
      <c r="E329" t="s">
        <v>5312</v>
      </c>
      <c r="F329" s="35">
        <v>46215</v>
      </c>
      <c r="G329" s="47">
        <v>52800</v>
      </c>
      <c r="H329" s="37">
        <f t="shared" si="129"/>
        <v>20</v>
      </c>
      <c r="I329" s="37" t="str">
        <f t="shared" si="132"/>
        <v>0-120 DAYS</v>
      </c>
      <c r="J329" s="37" t="str">
        <f t="shared" si="131"/>
        <v>0-180 DAYS</v>
      </c>
      <c r="L329" s="66" t="s">
        <v>1730</v>
      </c>
      <c r="M329" s="158" t="s">
        <v>5569</v>
      </c>
      <c r="N329" s="158">
        <v>52800</v>
      </c>
    </row>
    <row r="330" spans="1:14" x14ac:dyDescent="0.35">
      <c r="A330" t="s">
        <v>1085</v>
      </c>
      <c r="B330" s="2" t="s">
        <v>790</v>
      </c>
      <c r="C330" s="18" t="s">
        <v>814</v>
      </c>
      <c r="D330" t="s">
        <v>5019</v>
      </c>
      <c r="E330" t="s">
        <v>5313</v>
      </c>
      <c r="F330" s="35">
        <v>46216</v>
      </c>
      <c r="G330" s="47">
        <v>1610000</v>
      </c>
      <c r="H330" s="37">
        <f t="shared" si="129"/>
        <v>19</v>
      </c>
      <c r="I330" s="37" t="str">
        <f t="shared" si="132"/>
        <v>0-120 DAYS</v>
      </c>
      <c r="J330" s="37" t="str">
        <f t="shared" si="131"/>
        <v>0-180 DAYS</v>
      </c>
      <c r="L330" s="66" t="s">
        <v>1730</v>
      </c>
      <c r="M330" s="158" t="s">
        <v>5570</v>
      </c>
      <c r="N330" s="158">
        <v>1610000</v>
      </c>
    </row>
    <row r="331" spans="1:14" x14ac:dyDescent="0.35">
      <c r="A331" t="s">
        <v>1085</v>
      </c>
      <c r="B331" s="2" t="s">
        <v>790</v>
      </c>
      <c r="C331" s="18" t="s">
        <v>814</v>
      </c>
      <c r="D331" t="s">
        <v>5019</v>
      </c>
      <c r="E331" t="s">
        <v>5314</v>
      </c>
      <c r="F331" s="35">
        <v>46217</v>
      </c>
      <c r="G331" s="47">
        <v>612800</v>
      </c>
      <c r="H331" s="37">
        <f t="shared" si="129"/>
        <v>18</v>
      </c>
      <c r="I331" s="37" t="str">
        <f t="shared" si="132"/>
        <v>0-120 DAYS</v>
      </c>
      <c r="J331" s="37" t="str">
        <f t="shared" si="131"/>
        <v>0-180 DAYS</v>
      </c>
      <c r="L331" s="66" t="s">
        <v>1730</v>
      </c>
      <c r="M331" s="158" t="s">
        <v>5571</v>
      </c>
      <c r="N331" s="158">
        <v>612800</v>
      </c>
    </row>
    <row r="332" spans="1:14" x14ac:dyDescent="0.35">
      <c r="A332" t="s">
        <v>1085</v>
      </c>
      <c r="B332" s="2" t="s">
        <v>790</v>
      </c>
      <c r="C332" s="18" t="s">
        <v>814</v>
      </c>
      <c r="D332" t="s">
        <v>5019</v>
      </c>
      <c r="E332" t="s">
        <v>5314</v>
      </c>
      <c r="F332" s="35">
        <v>46217</v>
      </c>
      <c r="G332" s="47">
        <v>1283400</v>
      </c>
      <c r="H332" s="37">
        <f t="shared" si="129"/>
        <v>18</v>
      </c>
      <c r="I332" s="37" t="str">
        <f t="shared" si="132"/>
        <v>0-120 DAYS</v>
      </c>
      <c r="J332" s="37" t="str">
        <f t="shared" si="131"/>
        <v>0-180 DAYS</v>
      </c>
      <c r="L332" s="66" t="s">
        <v>1730</v>
      </c>
      <c r="M332" s="158" t="s">
        <v>5571</v>
      </c>
      <c r="N332" s="158">
        <v>1283400</v>
      </c>
    </row>
    <row r="333" spans="1:14" x14ac:dyDescent="0.35">
      <c r="A333" s="2" t="s">
        <v>477</v>
      </c>
      <c r="B333" s="2" t="s">
        <v>790</v>
      </c>
      <c r="C333" t="s">
        <v>3536</v>
      </c>
      <c r="D333" t="s">
        <v>3541</v>
      </c>
      <c r="E333" t="s">
        <v>5315</v>
      </c>
      <c r="F333" s="35">
        <v>46218</v>
      </c>
      <c r="G333" s="47">
        <v>17125800</v>
      </c>
      <c r="H333" s="37">
        <f t="shared" si="129"/>
        <v>17</v>
      </c>
      <c r="I333" s="37" t="str">
        <f t="shared" ref="I333:I338" si="135">IF(H333&lt;91,"1-90 DAYS",IF(H333&lt;121,"91-120DAYS",IF(H333&lt;181,"121-180 DAYS","More than 180 Days")))</f>
        <v>1-90 DAYS</v>
      </c>
      <c r="J333" s="37" t="str">
        <f t="shared" si="131"/>
        <v>0-180 DAYS</v>
      </c>
      <c r="L333" s="66" t="s">
        <v>1730</v>
      </c>
      <c r="M333" s="158" t="s">
        <v>5572</v>
      </c>
      <c r="N333" s="158">
        <v>17125800</v>
      </c>
    </row>
    <row r="334" spans="1:14" x14ac:dyDescent="0.35">
      <c r="A334" s="2" t="s">
        <v>477</v>
      </c>
      <c r="B334" s="2" t="s">
        <v>790</v>
      </c>
      <c r="C334" t="s">
        <v>26</v>
      </c>
      <c r="D334" t="s">
        <v>27</v>
      </c>
      <c r="E334" t="s">
        <v>5316</v>
      </c>
      <c r="F334" s="35">
        <v>46220</v>
      </c>
      <c r="G334" s="47">
        <v>274660</v>
      </c>
      <c r="H334" s="37">
        <f t="shared" si="129"/>
        <v>15</v>
      </c>
      <c r="I334" s="37" t="str">
        <f t="shared" si="135"/>
        <v>1-90 DAYS</v>
      </c>
      <c r="J334" s="37" t="str">
        <f t="shared" si="131"/>
        <v>0-180 DAYS</v>
      </c>
      <c r="L334" s="66" t="s">
        <v>1730</v>
      </c>
      <c r="M334" s="158" t="s">
        <v>5573</v>
      </c>
      <c r="N334" s="158">
        <v>274660</v>
      </c>
    </row>
    <row r="335" spans="1:14" x14ac:dyDescent="0.35">
      <c r="A335" s="2" t="s">
        <v>477</v>
      </c>
      <c r="B335" s="2" t="s">
        <v>790</v>
      </c>
      <c r="C335" t="s">
        <v>26</v>
      </c>
      <c r="D335" t="s">
        <v>27</v>
      </c>
      <c r="E335" t="s">
        <v>5316</v>
      </c>
      <c r="F335" s="35">
        <v>46220</v>
      </c>
      <c r="G335" s="47">
        <v>174375</v>
      </c>
      <c r="H335" s="37">
        <f t="shared" si="129"/>
        <v>15</v>
      </c>
      <c r="I335" s="37" t="str">
        <f t="shared" si="135"/>
        <v>1-90 DAYS</v>
      </c>
      <c r="J335" s="37" t="str">
        <f t="shared" si="131"/>
        <v>0-180 DAYS</v>
      </c>
      <c r="L335" s="66" t="s">
        <v>1730</v>
      </c>
      <c r="M335" s="158" t="s">
        <v>5573</v>
      </c>
      <c r="N335" s="158">
        <v>174375</v>
      </c>
    </row>
    <row r="336" spans="1:14" x14ac:dyDescent="0.35">
      <c r="A336" t="s">
        <v>1085</v>
      </c>
      <c r="B336" s="2" t="s">
        <v>790</v>
      </c>
      <c r="C336" s="18" t="s">
        <v>814</v>
      </c>
      <c r="D336" t="s">
        <v>5019</v>
      </c>
      <c r="E336" t="s">
        <v>5317</v>
      </c>
      <c r="F336" s="35">
        <v>46220</v>
      </c>
      <c r="G336" s="47">
        <v>145000</v>
      </c>
      <c r="H336" s="37">
        <f t="shared" si="129"/>
        <v>15</v>
      </c>
      <c r="I336" s="37" t="str">
        <f t="shared" ref="I336" si="136">IF(H336&lt;121,"0-120 DAYS",IF(H336&lt;181,"121-180 DAYS","More than 180 Days"))</f>
        <v>0-120 DAYS</v>
      </c>
      <c r="J336" s="37" t="str">
        <f t="shared" si="131"/>
        <v>0-180 DAYS</v>
      </c>
      <c r="L336" s="66" t="s">
        <v>1730</v>
      </c>
      <c r="M336" s="158" t="s">
        <v>5573</v>
      </c>
      <c r="N336" s="158">
        <v>145000</v>
      </c>
    </row>
    <row r="337" spans="1:14" x14ac:dyDescent="0.35">
      <c r="A337" s="2" t="s">
        <v>477</v>
      </c>
      <c r="B337" s="2" t="s">
        <v>790</v>
      </c>
      <c r="C337" t="s">
        <v>1196</v>
      </c>
      <c r="D337" t="s">
        <v>1208</v>
      </c>
      <c r="E337" t="s">
        <v>5318</v>
      </c>
      <c r="F337" s="35">
        <v>46221</v>
      </c>
      <c r="G337" s="47">
        <v>1962000</v>
      </c>
      <c r="H337" s="37">
        <f t="shared" si="129"/>
        <v>14</v>
      </c>
      <c r="I337" s="37" t="str">
        <f t="shared" si="135"/>
        <v>1-90 DAYS</v>
      </c>
      <c r="J337" s="37" t="str">
        <f t="shared" si="131"/>
        <v>0-180 DAYS</v>
      </c>
      <c r="L337" s="66" t="s">
        <v>1730</v>
      </c>
      <c r="M337" s="158" t="s">
        <v>5574</v>
      </c>
      <c r="N337" s="158">
        <v>1962000</v>
      </c>
    </row>
    <row r="338" spans="1:14" x14ac:dyDescent="0.35">
      <c r="A338" s="2" t="s">
        <v>477</v>
      </c>
      <c r="B338" s="2" t="s">
        <v>790</v>
      </c>
      <c r="C338" t="s">
        <v>5072</v>
      </c>
      <c r="D338" t="s">
        <v>5075</v>
      </c>
      <c r="E338" t="s">
        <v>5319</v>
      </c>
      <c r="F338" s="35">
        <v>46223</v>
      </c>
      <c r="G338" s="47">
        <v>297980</v>
      </c>
      <c r="H338" s="37">
        <f t="shared" si="129"/>
        <v>12</v>
      </c>
      <c r="I338" s="37" t="str">
        <f t="shared" si="135"/>
        <v>1-90 DAYS</v>
      </c>
      <c r="J338" s="37" t="str">
        <f t="shared" si="131"/>
        <v>0-180 DAYS</v>
      </c>
      <c r="L338" s="66" t="s">
        <v>1730</v>
      </c>
      <c r="M338" s="158" t="s">
        <v>5575</v>
      </c>
      <c r="N338" s="158">
        <v>297980</v>
      </c>
    </row>
    <row r="339" spans="1:14" x14ac:dyDescent="0.35">
      <c r="A339" s="2" t="s">
        <v>1085</v>
      </c>
      <c r="B339" s="2" t="s">
        <v>790</v>
      </c>
      <c r="C339" t="s">
        <v>575</v>
      </c>
      <c r="D339" s="37" t="s">
        <v>507</v>
      </c>
      <c r="E339" t="s">
        <v>5320</v>
      </c>
      <c r="F339" s="35">
        <v>46224</v>
      </c>
      <c r="G339" s="47">
        <f>1387280.292-130166</f>
        <v>1257114.2919999999</v>
      </c>
      <c r="H339" s="37">
        <f t="shared" si="129"/>
        <v>11</v>
      </c>
      <c r="I339" s="37" t="str">
        <f t="shared" si="132"/>
        <v>0-120 DAYS</v>
      </c>
      <c r="J339" s="37" t="str">
        <f t="shared" si="131"/>
        <v>0-180 DAYS</v>
      </c>
      <c r="L339" s="66" t="s">
        <v>1730</v>
      </c>
      <c r="M339" s="158" t="s">
        <v>5576</v>
      </c>
      <c r="N339" s="158">
        <v>1257114.29</v>
      </c>
    </row>
    <row r="340" spans="1:14" x14ac:dyDescent="0.35">
      <c r="A340" s="2" t="s">
        <v>1085</v>
      </c>
      <c r="B340" s="2" t="s">
        <v>790</v>
      </c>
      <c r="C340" t="s">
        <v>575</v>
      </c>
      <c r="D340" s="37" t="s">
        <v>507</v>
      </c>
      <c r="E340" t="s">
        <v>5320</v>
      </c>
      <c r="F340" s="35">
        <v>46224</v>
      </c>
      <c r="G340" s="47">
        <v>3653823.108</v>
      </c>
      <c r="H340" s="37">
        <f t="shared" si="129"/>
        <v>11</v>
      </c>
      <c r="I340" s="37" t="str">
        <f t="shared" si="132"/>
        <v>0-120 DAYS</v>
      </c>
      <c r="J340" s="37" t="str">
        <f t="shared" si="131"/>
        <v>0-180 DAYS</v>
      </c>
      <c r="L340" s="66" t="s">
        <v>1730</v>
      </c>
      <c r="M340" s="158" t="s">
        <v>5576</v>
      </c>
      <c r="N340" s="158">
        <v>3653823.11</v>
      </c>
    </row>
    <row r="341" spans="1:14" x14ac:dyDescent="0.35">
      <c r="A341" s="2" t="s">
        <v>477</v>
      </c>
      <c r="B341" s="2" t="s">
        <v>790</v>
      </c>
      <c r="C341" t="s">
        <v>5296</v>
      </c>
      <c r="D341" t="s">
        <v>5301</v>
      </c>
      <c r="E341" t="s">
        <v>5321</v>
      </c>
      <c r="F341" s="35">
        <v>46224</v>
      </c>
      <c r="G341" s="47">
        <v>7881</v>
      </c>
      <c r="H341" s="37">
        <f t="shared" si="129"/>
        <v>11</v>
      </c>
      <c r="I341" s="37" t="str">
        <f t="shared" ref="I341" si="137">IF(H341&lt;91,"1-90 DAYS",IF(H341&lt;121,"91-120DAYS",IF(H341&lt;181,"121-180 DAYS","More than 180 Days")))</f>
        <v>1-90 DAYS</v>
      </c>
      <c r="J341" s="37" t="str">
        <f t="shared" si="131"/>
        <v>0-180 DAYS</v>
      </c>
      <c r="L341" s="66" t="s">
        <v>1730</v>
      </c>
      <c r="M341" s="158" t="s">
        <v>5576</v>
      </c>
      <c r="N341" s="158">
        <v>7881</v>
      </c>
    </row>
    <row r="342" spans="1:14" x14ac:dyDescent="0.35">
      <c r="A342" s="2" t="s">
        <v>1085</v>
      </c>
      <c r="B342" s="2" t="s">
        <v>790</v>
      </c>
      <c r="C342" t="s">
        <v>540</v>
      </c>
      <c r="D342" s="37" t="s">
        <v>507</v>
      </c>
      <c r="E342" t="s">
        <v>5322</v>
      </c>
      <c r="F342" s="35">
        <v>46224</v>
      </c>
      <c r="G342" s="47">
        <f>4343630.76-2617124</f>
        <v>1726506.7599999998</v>
      </c>
      <c r="H342" s="37">
        <f t="shared" si="129"/>
        <v>11</v>
      </c>
      <c r="I342" s="37" t="str">
        <f t="shared" si="132"/>
        <v>0-120 DAYS</v>
      </c>
      <c r="J342" s="37" t="str">
        <f t="shared" si="131"/>
        <v>0-180 DAYS</v>
      </c>
      <c r="L342" s="66" t="s">
        <v>1730</v>
      </c>
      <c r="M342" s="158" t="s">
        <v>5576</v>
      </c>
      <c r="N342" s="158">
        <v>1726506.76</v>
      </c>
    </row>
    <row r="343" spans="1:14" x14ac:dyDescent="0.35">
      <c r="A343" t="s">
        <v>1085</v>
      </c>
      <c r="B343" s="2" t="s">
        <v>790</v>
      </c>
      <c r="C343" s="18" t="s">
        <v>814</v>
      </c>
      <c r="D343" t="s">
        <v>5019</v>
      </c>
      <c r="E343" t="s">
        <v>5323</v>
      </c>
      <c r="F343" s="35">
        <v>46224</v>
      </c>
      <c r="G343" s="47">
        <v>575000</v>
      </c>
      <c r="H343" s="37">
        <f t="shared" si="129"/>
        <v>11</v>
      </c>
      <c r="I343" s="37" t="str">
        <f t="shared" si="132"/>
        <v>0-120 DAYS</v>
      </c>
      <c r="J343" s="37" t="str">
        <f t="shared" si="131"/>
        <v>0-180 DAYS</v>
      </c>
      <c r="L343" s="66" t="s">
        <v>1730</v>
      </c>
      <c r="M343" s="158" t="s">
        <v>5576</v>
      </c>
      <c r="N343" s="158">
        <v>575000</v>
      </c>
    </row>
    <row r="344" spans="1:14" x14ac:dyDescent="0.35">
      <c r="A344" t="s">
        <v>1085</v>
      </c>
      <c r="B344" s="2" t="s">
        <v>790</v>
      </c>
      <c r="C344" s="18" t="s">
        <v>814</v>
      </c>
      <c r="D344" t="s">
        <v>5019</v>
      </c>
      <c r="E344" t="s">
        <v>5323</v>
      </c>
      <c r="F344" s="35">
        <v>46224</v>
      </c>
      <c r="G344" s="47">
        <v>18100</v>
      </c>
      <c r="H344" s="37">
        <f t="shared" si="129"/>
        <v>11</v>
      </c>
      <c r="I344" s="37" t="str">
        <f t="shared" si="132"/>
        <v>0-120 DAYS</v>
      </c>
      <c r="J344" s="37" t="str">
        <f t="shared" si="131"/>
        <v>0-180 DAYS</v>
      </c>
      <c r="L344" s="66" t="s">
        <v>1730</v>
      </c>
      <c r="M344" s="158" t="s">
        <v>5576</v>
      </c>
      <c r="N344" s="158">
        <v>18100</v>
      </c>
    </row>
    <row r="345" spans="1:14" x14ac:dyDescent="0.35">
      <c r="A345" t="s">
        <v>1085</v>
      </c>
      <c r="B345" s="2" t="s">
        <v>790</v>
      </c>
      <c r="C345" s="18" t="s">
        <v>814</v>
      </c>
      <c r="D345" t="s">
        <v>5019</v>
      </c>
      <c r="E345" t="s">
        <v>5323</v>
      </c>
      <c r="F345" s="35">
        <v>46224</v>
      </c>
      <c r="G345" s="47">
        <v>42625</v>
      </c>
      <c r="H345" s="37">
        <f t="shared" si="129"/>
        <v>11</v>
      </c>
      <c r="I345" s="37" t="str">
        <f t="shared" si="132"/>
        <v>0-120 DAYS</v>
      </c>
      <c r="J345" s="37" t="str">
        <f t="shared" si="131"/>
        <v>0-180 DAYS</v>
      </c>
      <c r="L345" s="66" t="s">
        <v>1730</v>
      </c>
      <c r="M345" s="158" t="s">
        <v>5576</v>
      </c>
      <c r="N345" s="158">
        <v>42625</v>
      </c>
    </row>
    <row r="346" spans="1:14" x14ac:dyDescent="0.35">
      <c r="A346" s="2" t="s">
        <v>1085</v>
      </c>
      <c r="B346" s="2" t="s">
        <v>790</v>
      </c>
      <c r="C346" t="s">
        <v>3797</v>
      </c>
      <c r="D346" s="37" t="s">
        <v>507</v>
      </c>
      <c r="E346" t="s">
        <v>5369</v>
      </c>
      <c r="F346" s="35">
        <v>46204</v>
      </c>
      <c r="G346" s="74">
        <f>5675804.35-847695</f>
        <v>4828109.3499999996</v>
      </c>
      <c r="H346" s="37">
        <f t="shared" ref="H346" si="138">$H$1-F346+1</f>
        <v>31</v>
      </c>
      <c r="I346" s="37" t="str">
        <f t="shared" si="132"/>
        <v>0-120 DAYS</v>
      </c>
      <c r="J346" s="37" t="str">
        <f t="shared" ref="J346" si="139">IF(H346&lt;180,"0-180 DAYS","More than 180 Days")</f>
        <v>0-180 DAYS</v>
      </c>
      <c r="L346" s="66" t="s">
        <v>1730</v>
      </c>
      <c r="M346" s="158" t="s">
        <v>5577</v>
      </c>
      <c r="N346" s="158">
        <v>4828109.3499999996</v>
      </c>
    </row>
    <row r="347" spans="1:14" x14ac:dyDescent="0.35">
      <c r="A347" s="2" t="s">
        <v>1085</v>
      </c>
      <c r="B347" s="2" t="s">
        <v>790</v>
      </c>
      <c r="C347" t="s">
        <v>3797</v>
      </c>
      <c r="D347" s="37" t="s">
        <v>507</v>
      </c>
      <c r="E347" t="s">
        <v>5324</v>
      </c>
      <c r="F347" s="35">
        <v>46224</v>
      </c>
      <c r="G347" s="47">
        <v>5144637</v>
      </c>
      <c r="H347" s="37">
        <f t="shared" si="129"/>
        <v>11</v>
      </c>
      <c r="I347" s="37" t="str">
        <f t="shared" si="132"/>
        <v>0-120 DAYS</v>
      </c>
      <c r="J347" s="37" t="str">
        <f t="shared" si="131"/>
        <v>0-180 DAYS</v>
      </c>
      <c r="L347" s="66" t="s">
        <v>1730</v>
      </c>
      <c r="M347" s="158" t="s">
        <v>5576</v>
      </c>
      <c r="N347" s="158">
        <v>5144637</v>
      </c>
    </row>
    <row r="348" spans="1:14" x14ac:dyDescent="0.35">
      <c r="A348" t="s">
        <v>1085</v>
      </c>
      <c r="B348" s="2" t="s">
        <v>790</v>
      </c>
      <c r="C348" s="18" t="s">
        <v>814</v>
      </c>
      <c r="D348" t="s">
        <v>5019</v>
      </c>
      <c r="E348" t="s">
        <v>5325</v>
      </c>
      <c r="F348" s="35">
        <v>46225</v>
      </c>
      <c r="G348" s="47">
        <v>54532.4</v>
      </c>
      <c r="H348" s="37">
        <f t="shared" si="129"/>
        <v>10</v>
      </c>
      <c r="I348" s="37" t="str">
        <f t="shared" si="132"/>
        <v>0-120 DAYS</v>
      </c>
      <c r="J348" s="37" t="str">
        <f t="shared" si="131"/>
        <v>0-180 DAYS</v>
      </c>
      <c r="L348" s="66" t="s">
        <v>1730</v>
      </c>
      <c r="M348" s="158" t="s">
        <v>5578</v>
      </c>
      <c r="N348" s="158">
        <v>54532.4</v>
      </c>
    </row>
    <row r="349" spans="1:14" x14ac:dyDescent="0.35">
      <c r="A349" s="2" t="s">
        <v>477</v>
      </c>
      <c r="B349" s="2" t="s">
        <v>790</v>
      </c>
      <c r="C349" t="s">
        <v>1838</v>
      </c>
      <c r="D349" t="s">
        <v>2001</v>
      </c>
      <c r="E349" t="s">
        <v>5326</v>
      </c>
      <c r="F349" s="35">
        <v>46226</v>
      </c>
      <c r="G349" s="47">
        <v>66886</v>
      </c>
      <c r="H349" s="37">
        <f t="shared" si="129"/>
        <v>9</v>
      </c>
      <c r="I349" s="37" t="str">
        <f t="shared" ref="I349" si="140">IF(H349&lt;91,"1-90 DAYS",IF(H349&lt;121,"91-120DAYS",IF(H349&lt;181,"121-180 DAYS","More than 180 Days")))</f>
        <v>1-90 DAYS</v>
      </c>
      <c r="J349" s="37" t="str">
        <f t="shared" si="131"/>
        <v>0-180 DAYS</v>
      </c>
      <c r="L349" s="66" t="s">
        <v>1730</v>
      </c>
      <c r="M349" s="158" t="s">
        <v>5579</v>
      </c>
      <c r="N349" s="158">
        <v>66886</v>
      </c>
    </row>
    <row r="350" spans="1:14" x14ac:dyDescent="0.35">
      <c r="A350" s="2" t="s">
        <v>1085</v>
      </c>
      <c r="B350" s="2" t="s">
        <v>790</v>
      </c>
      <c r="C350" t="s">
        <v>600</v>
      </c>
      <c r="D350" s="37" t="s">
        <v>507</v>
      </c>
      <c r="E350" t="s">
        <v>5327</v>
      </c>
      <c r="F350" s="35">
        <v>46226</v>
      </c>
      <c r="G350" s="47">
        <v>4910329.8</v>
      </c>
      <c r="H350" s="37">
        <f t="shared" si="129"/>
        <v>9</v>
      </c>
      <c r="I350" s="37" t="str">
        <f t="shared" si="132"/>
        <v>0-120 DAYS</v>
      </c>
      <c r="J350" s="37" t="str">
        <f t="shared" si="131"/>
        <v>0-180 DAYS</v>
      </c>
      <c r="L350" s="66" t="s">
        <v>1730</v>
      </c>
      <c r="M350" s="158" t="s">
        <v>5579</v>
      </c>
      <c r="N350" s="158">
        <v>4910329.8</v>
      </c>
    </row>
    <row r="351" spans="1:14" x14ac:dyDescent="0.35">
      <c r="A351" t="s">
        <v>1085</v>
      </c>
      <c r="B351" s="2" t="s">
        <v>790</v>
      </c>
      <c r="C351" s="18" t="s">
        <v>814</v>
      </c>
      <c r="D351" t="s">
        <v>5019</v>
      </c>
      <c r="E351" t="s">
        <v>5328</v>
      </c>
      <c r="F351" s="35">
        <v>46226</v>
      </c>
      <c r="G351" s="47">
        <v>136331</v>
      </c>
      <c r="H351" s="37">
        <f t="shared" si="129"/>
        <v>9</v>
      </c>
      <c r="I351" s="37" t="str">
        <f t="shared" si="132"/>
        <v>0-120 DAYS</v>
      </c>
      <c r="J351" s="37" t="str">
        <f t="shared" si="131"/>
        <v>0-180 DAYS</v>
      </c>
      <c r="L351" s="66" t="s">
        <v>1730</v>
      </c>
      <c r="M351" s="158" t="s">
        <v>5579</v>
      </c>
      <c r="N351" s="158">
        <v>136331</v>
      </c>
    </row>
    <row r="352" spans="1:14" x14ac:dyDescent="0.35">
      <c r="A352" s="2" t="s">
        <v>1085</v>
      </c>
      <c r="B352" s="2" t="s">
        <v>790</v>
      </c>
      <c r="C352" t="s">
        <v>600</v>
      </c>
      <c r="D352" s="37" t="s">
        <v>507</v>
      </c>
      <c r="E352" t="s">
        <v>5329</v>
      </c>
      <c r="F352" s="35">
        <v>46227</v>
      </c>
      <c r="G352" s="47">
        <v>472160.707619772</v>
      </c>
      <c r="H352" s="37">
        <f t="shared" si="129"/>
        <v>8</v>
      </c>
      <c r="I352" s="37" t="str">
        <f t="shared" si="132"/>
        <v>0-120 DAYS</v>
      </c>
      <c r="J352" s="37" t="str">
        <f t="shared" si="131"/>
        <v>0-180 DAYS</v>
      </c>
      <c r="L352" s="66" t="s">
        <v>1730</v>
      </c>
      <c r="M352" s="158" t="s">
        <v>5580</v>
      </c>
      <c r="N352" s="158">
        <v>472160.71</v>
      </c>
    </row>
    <row r="353" spans="1:14" x14ac:dyDescent="0.35">
      <c r="A353" s="2" t="s">
        <v>1085</v>
      </c>
      <c r="B353" s="2" t="s">
        <v>790</v>
      </c>
      <c r="C353" t="s">
        <v>600</v>
      </c>
      <c r="D353" s="37" t="s">
        <v>507</v>
      </c>
      <c r="E353" t="s">
        <v>5329</v>
      </c>
      <c r="F353" s="35">
        <v>46227</v>
      </c>
      <c r="G353" s="47">
        <v>5162061.8923802301</v>
      </c>
      <c r="H353" s="37">
        <f t="shared" si="129"/>
        <v>8</v>
      </c>
      <c r="I353" s="37" t="str">
        <f t="shared" si="132"/>
        <v>0-120 DAYS</v>
      </c>
      <c r="J353" s="37" t="str">
        <f t="shared" si="131"/>
        <v>0-180 DAYS</v>
      </c>
      <c r="L353" s="66" t="s">
        <v>1730</v>
      </c>
      <c r="M353" s="158" t="s">
        <v>5580</v>
      </c>
      <c r="N353" s="158">
        <v>5162061.8899999997</v>
      </c>
    </row>
    <row r="354" spans="1:14" x14ac:dyDescent="0.35">
      <c r="A354" s="2" t="s">
        <v>1085</v>
      </c>
      <c r="B354" s="2" t="s">
        <v>790</v>
      </c>
      <c r="C354" t="s">
        <v>538</v>
      </c>
      <c r="D354" s="37" t="s">
        <v>507</v>
      </c>
      <c r="E354" t="s">
        <v>5330</v>
      </c>
      <c r="F354" s="35">
        <v>46227</v>
      </c>
      <c r="G354" s="47">
        <v>4065984</v>
      </c>
      <c r="H354" s="37">
        <f t="shared" si="129"/>
        <v>8</v>
      </c>
      <c r="I354" s="37" t="str">
        <f t="shared" si="132"/>
        <v>0-120 DAYS</v>
      </c>
      <c r="J354" s="37" t="str">
        <f t="shared" si="131"/>
        <v>0-180 DAYS</v>
      </c>
      <c r="L354" s="66" t="s">
        <v>1730</v>
      </c>
      <c r="M354" s="158" t="s">
        <v>5580</v>
      </c>
      <c r="N354" s="158">
        <v>4065984</v>
      </c>
    </row>
    <row r="355" spans="1:14" x14ac:dyDescent="0.35">
      <c r="A355" s="2" t="s">
        <v>1085</v>
      </c>
      <c r="B355" s="2" t="s">
        <v>790</v>
      </c>
      <c r="C355" t="s">
        <v>631</v>
      </c>
      <c r="D355" s="37" t="s">
        <v>507</v>
      </c>
      <c r="E355" t="s">
        <v>5331</v>
      </c>
      <c r="F355" s="35">
        <v>46227</v>
      </c>
      <c r="G355" s="47">
        <v>4863368.4000000004</v>
      </c>
      <c r="H355" s="37">
        <f t="shared" si="129"/>
        <v>8</v>
      </c>
      <c r="I355" s="37" t="str">
        <f t="shared" si="132"/>
        <v>0-120 DAYS</v>
      </c>
      <c r="J355" s="37" t="str">
        <f t="shared" si="131"/>
        <v>0-180 DAYS</v>
      </c>
      <c r="L355" s="66" t="s">
        <v>1730</v>
      </c>
      <c r="M355" s="158" t="s">
        <v>5580</v>
      </c>
      <c r="N355" s="158">
        <v>4863368.4000000004</v>
      </c>
    </row>
    <row r="356" spans="1:14" x14ac:dyDescent="0.35">
      <c r="A356" s="2" t="s">
        <v>1085</v>
      </c>
      <c r="B356" s="2" t="s">
        <v>790</v>
      </c>
      <c r="C356" t="s">
        <v>538</v>
      </c>
      <c r="D356" s="37" t="s">
        <v>507</v>
      </c>
      <c r="E356" t="s">
        <v>5332</v>
      </c>
      <c r="F356" s="35">
        <v>46228</v>
      </c>
      <c r="G356" s="47">
        <v>4065984</v>
      </c>
      <c r="H356" s="37">
        <f t="shared" si="129"/>
        <v>7</v>
      </c>
      <c r="I356" s="37" t="str">
        <f t="shared" si="132"/>
        <v>0-120 DAYS</v>
      </c>
      <c r="J356" s="37" t="str">
        <f t="shared" si="131"/>
        <v>0-180 DAYS</v>
      </c>
      <c r="L356" s="66" t="s">
        <v>1730</v>
      </c>
      <c r="M356" s="158" t="s">
        <v>5581</v>
      </c>
      <c r="N356" s="158">
        <v>4065984</v>
      </c>
    </row>
    <row r="357" spans="1:14" x14ac:dyDescent="0.35">
      <c r="A357" s="2" t="s">
        <v>477</v>
      </c>
      <c r="B357" s="2" t="s">
        <v>790</v>
      </c>
      <c r="C357" t="s">
        <v>1838</v>
      </c>
      <c r="D357" t="s">
        <v>2001</v>
      </c>
      <c r="E357" t="s">
        <v>5333</v>
      </c>
      <c r="F357" s="35">
        <v>46230</v>
      </c>
      <c r="G357" s="47">
        <v>52598.5</v>
      </c>
      <c r="H357" s="37">
        <f t="shared" si="129"/>
        <v>5</v>
      </c>
      <c r="I357" s="37" t="str">
        <f t="shared" ref="I357:I358" si="141">IF(H357&lt;91,"1-90 DAYS",IF(H357&lt;121,"91-120DAYS",IF(H357&lt;181,"121-180 DAYS","More than 180 Days")))</f>
        <v>1-90 DAYS</v>
      </c>
      <c r="J357" s="37" t="str">
        <f t="shared" si="131"/>
        <v>0-180 DAYS</v>
      </c>
      <c r="L357" s="66" t="s">
        <v>1730</v>
      </c>
      <c r="M357" s="158" t="s">
        <v>5582</v>
      </c>
      <c r="N357" s="158">
        <v>52598.5</v>
      </c>
    </row>
    <row r="358" spans="1:14" x14ac:dyDescent="0.35">
      <c r="A358" s="2" t="s">
        <v>477</v>
      </c>
      <c r="B358" s="2" t="s">
        <v>790</v>
      </c>
      <c r="C358" t="s">
        <v>1838</v>
      </c>
      <c r="D358" t="s">
        <v>2001</v>
      </c>
      <c r="E358" t="s">
        <v>5333</v>
      </c>
      <c r="F358" s="35">
        <v>46230</v>
      </c>
      <c r="G358" s="47">
        <v>121317</v>
      </c>
      <c r="H358" s="37">
        <f t="shared" si="129"/>
        <v>5</v>
      </c>
      <c r="I358" s="37" t="str">
        <f t="shared" si="141"/>
        <v>1-90 DAYS</v>
      </c>
      <c r="J358" s="37" t="str">
        <f t="shared" si="131"/>
        <v>0-180 DAYS</v>
      </c>
      <c r="L358" s="66" t="s">
        <v>1730</v>
      </c>
      <c r="M358" s="158" t="s">
        <v>5582</v>
      </c>
      <c r="N358" s="158">
        <v>121317</v>
      </c>
    </row>
    <row r="359" spans="1:14" x14ac:dyDescent="0.35">
      <c r="A359" s="2" t="s">
        <v>1085</v>
      </c>
      <c r="B359" s="2" t="s">
        <v>790</v>
      </c>
      <c r="C359" t="s">
        <v>573</v>
      </c>
      <c r="D359" s="37" t="s">
        <v>507</v>
      </c>
      <c r="E359" t="s">
        <v>1778</v>
      </c>
      <c r="F359" s="35">
        <v>46232</v>
      </c>
      <c r="G359" s="47">
        <v>5314827.8118421799</v>
      </c>
      <c r="H359" s="37">
        <f t="shared" si="129"/>
        <v>3</v>
      </c>
      <c r="I359" s="37" t="str">
        <f t="shared" si="132"/>
        <v>0-120 DAYS</v>
      </c>
      <c r="J359" s="37" t="str">
        <f t="shared" si="131"/>
        <v>0-180 DAYS</v>
      </c>
      <c r="L359" s="66" t="s">
        <v>1730</v>
      </c>
      <c r="M359" s="158" t="s">
        <v>5583</v>
      </c>
      <c r="N359" s="158">
        <v>5314827.8099999996</v>
      </c>
    </row>
    <row r="360" spans="1:14" x14ac:dyDescent="0.35">
      <c r="A360" s="2" t="s">
        <v>1085</v>
      </c>
      <c r="B360" s="2" t="s">
        <v>790</v>
      </c>
      <c r="C360" t="s">
        <v>573</v>
      </c>
      <c r="D360" s="37" t="s">
        <v>507</v>
      </c>
      <c r="E360" t="s">
        <v>1794</v>
      </c>
      <c r="F360" s="35">
        <v>46233</v>
      </c>
      <c r="G360" s="47">
        <v>5041034.2581605101</v>
      </c>
      <c r="H360" s="37">
        <f t="shared" si="129"/>
        <v>2</v>
      </c>
      <c r="I360" s="37" t="str">
        <f t="shared" si="132"/>
        <v>0-120 DAYS</v>
      </c>
      <c r="J360" s="37" t="str">
        <f t="shared" si="131"/>
        <v>0-180 DAYS</v>
      </c>
      <c r="L360" s="66" t="s">
        <v>1730</v>
      </c>
      <c r="M360" s="158" t="s">
        <v>5584</v>
      </c>
      <c r="N360" s="158">
        <v>5041034.26</v>
      </c>
    </row>
    <row r="361" spans="1:14" x14ac:dyDescent="0.35">
      <c r="A361" s="2" t="s">
        <v>1085</v>
      </c>
      <c r="B361" s="2" t="s">
        <v>790</v>
      </c>
      <c r="C361" t="s">
        <v>573</v>
      </c>
      <c r="D361" s="37" t="s">
        <v>507</v>
      </c>
      <c r="E361" t="s">
        <v>1795</v>
      </c>
      <c r="F361" s="35">
        <v>46234</v>
      </c>
      <c r="G361" s="47">
        <v>5276771.8971848497</v>
      </c>
      <c r="H361" s="37">
        <f t="shared" si="129"/>
        <v>1</v>
      </c>
      <c r="I361" s="37" t="str">
        <f t="shared" si="132"/>
        <v>0-120 DAYS</v>
      </c>
      <c r="J361" s="37" t="str">
        <f t="shared" si="131"/>
        <v>0-180 DAYS</v>
      </c>
      <c r="L361" s="66" t="s">
        <v>1730</v>
      </c>
      <c r="M361" s="158" t="s">
        <v>5563</v>
      </c>
      <c r="N361" s="158">
        <v>5276771.9000000004</v>
      </c>
    </row>
    <row r="362" spans="1:14" x14ac:dyDescent="0.35">
      <c r="A362" t="s">
        <v>1085</v>
      </c>
      <c r="B362" s="2" t="s">
        <v>790</v>
      </c>
      <c r="C362" s="18" t="s">
        <v>814</v>
      </c>
      <c r="D362" t="s">
        <v>5019</v>
      </c>
      <c r="E362" t="s">
        <v>5334</v>
      </c>
      <c r="F362" s="35">
        <v>46204</v>
      </c>
      <c r="G362" s="47">
        <v>720600</v>
      </c>
      <c r="H362" s="37">
        <f t="shared" si="129"/>
        <v>31</v>
      </c>
      <c r="I362" s="37" t="str">
        <f t="shared" si="132"/>
        <v>0-120 DAYS</v>
      </c>
      <c r="J362" s="37" t="str">
        <f t="shared" si="131"/>
        <v>0-180 DAYS</v>
      </c>
      <c r="L362" s="66" t="s">
        <v>1730</v>
      </c>
      <c r="M362" s="158" t="s">
        <v>5577</v>
      </c>
      <c r="N362" s="158">
        <v>720600</v>
      </c>
    </row>
    <row r="363" spans="1:14" x14ac:dyDescent="0.35">
      <c r="A363" s="2" t="s">
        <v>1085</v>
      </c>
      <c r="B363" s="2" t="s">
        <v>790</v>
      </c>
      <c r="C363" t="s">
        <v>1086</v>
      </c>
      <c r="D363" s="37" t="s">
        <v>507</v>
      </c>
      <c r="E363" t="s">
        <v>5335</v>
      </c>
      <c r="F363" s="35">
        <v>46208</v>
      </c>
      <c r="G363" s="47">
        <v>1513241.4</v>
      </c>
      <c r="H363" s="37">
        <f t="shared" ref="H363:H408" si="142">$H$1-F363+1</f>
        <v>27</v>
      </c>
      <c r="I363" s="37" t="str">
        <f t="shared" ref="I363:I407" si="143">IF(H363&lt;121,"0-120 DAYS",IF(H363&lt;181,"121-180 DAYS","More than 180 Days"))</f>
        <v>0-120 DAYS</v>
      </c>
      <c r="J363" s="37" t="str">
        <f t="shared" ref="J363:J408" si="144">IF(H363&lt;180,"0-180 DAYS","More than 180 Days")</f>
        <v>0-180 DAYS</v>
      </c>
      <c r="L363" s="66" t="s">
        <v>1730</v>
      </c>
      <c r="M363" s="158" t="s">
        <v>5565</v>
      </c>
      <c r="N363" s="158">
        <v>1513241.4</v>
      </c>
    </row>
    <row r="364" spans="1:14" x14ac:dyDescent="0.35">
      <c r="A364" s="2" t="s">
        <v>1085</v>
      </c>
      <c r="B364" s="2" t="s">
        <v>790</v>
      </c>
      <c r="C364" t="s">
        <v>1086</v>
      </c>
      <c r="D364" s="37" t="s">
        <v>507</v>
      </c>
      <c r="E364" t="s">
        <v>5336</v>
      </c>
      <c r="F364" s="35">
        <v>46208</v>
      </c>
      <c r="G364" s="47">
        <v>1383932.77</v>
      </c>
      <c r="H364" s="37">
        <f t="shared" si="142"/>
        <v>27</v>
      </c>
      <c r="I364" s="37" t="str">
        <f t="shared" si="143"/>
        <v>0-120 DAYS</v>
      </c>
      <c r="J364" s="37" t="str">
        <f t="shared" si="144"/>
        <v>0-180 DAYS</v>
      </c>
      <c r="L364" s="66" t="s">
        <v>1730</v>
      </c>
      <c r="M364" s="158" t="s">
        <v>5565</v>
      </c>
      <c r="N364" s="158">
        <v>1383932.77</v>
      </c>
    </row>
    <row r="365" spans="1:14" x14ac:dyDescent="0.35">
      <c r="A365" s="2" t="s">
        <v>1085</v>
      </c>
      <c r="B365" s="2" t="s">
        <v>790</v>
      </c>
      <c r="C365" t="s">
        <v>1086</v>
      </c>
      <c r="D365" s="37" t="s">
        <v>507</v>
      </c>
      <c r="E365" t="s">
        <v>5337</v>
      </c>
      <c r="F365" s="35">
        <v>46208</v>
      </c>
      <c r="G365" s="47">
        <v>385580.10561273998</v>
      </c>
      <c r="H365" s="37">
        <f t="shared" si="142"/>
        <v>27</v>
      </c>
      <c r="I365" s="37" t="str">
        <f t="shared" si="143"/>
        <v>0-120 DAYS</v>
      </c>
      <c r="J365" s="37" t="str">
        <f t="shared" si="144"/>
        <v>0-180 DAYS</v>
      </c>
      <c r="L365" s="66" t="s">
        <v>1730</v>
      </c>
      <c r="M365" s="158" t="s">
        <v>5565</v>
      </c>
      <c r="N365" s="158">
        <v>385580.11</v>
      </c>
    </row>
    <row r="366" spans="1:14" x14ac:dyDescent="0.35">
      <c r="A366" s="2" t="s">
        <v>1085</v>
      </c>
      <c r="B366" s="2" t="s">
        <v>790</v>
      </c>
      <c r="C366" t="s">
        <v>1086</v>
      </c>
      <c r="D366" s="37" t="s">
        <v>507</v>
      </c>
      <c r="E366" t="s">
        <v>5337</v>
      </c>
      <c r="F366" s="35">
        <v>46208</v>
      </c>
      <c r="G366" s="47">
        <v>27709.529387260201</v>
      </c>
      <c r="H366" s="37">
        <f t="shared" si="142"/>
        <v>27</v>
      </c>
      <c r="I366" s="37" t="str">
        <f t="shared" si="143"/>
        <v>0-120 DAYS</v>
      </c>
      <c r="J366" s="37" t="str">
        <f t="shared" si="144"/>
        <v>0-180 DAYS</v>
      </c>
      <c r="L366" s="66" t="s">
        <v>1730</v>
      </c>
      <c r="M366" s="158" t="s">
        <v>5565</v>
      </c>
      <c r="N366" s="158">
        <v>27709.53</v>
      </c>
    </row>
    <row r="367" spans="1:14" x14ac:dyDescent="0.35">
      <c r="A367" s="2" t="s">
        <v>1085</v>
      </c>
      <c r="B367" s="2" t="s">
        <v>790</v>
      </c>
      <c r="C367" t="s">
        <v>1086</v>
      </c>
      <c r="D367" s="37" t="s">
        <v>507</v>
      </c>
      <c r="E367" t="s">
        <v>5338</v>
      </c>
      <c r="F367" s="35">
        <v>46208</v>
      </c>
      <c r="G367" s="47">
        <v>3278056.7050000001</v>
      </c>
      <c r="H367" s="37">
        <f t="shared" si="142"/>
        <v>27</v>
      </c>
      <c r="I367" s="37" t="str">
        <f t="shared" si="143"/>
        <v>0-120 DAYS</v>
      </c>
      <c r="J367" s="37" t="str">
        <f t="shared" si="144"/>
        <v>0-180 DAYS</v>
      </c>
      <c r="L367" s="66" t="s">
        <v>1730</v>
      </c>
      <c r="M367" s="158" t="s">
        <v>5565</v>
      </c>
      <c r="N367" s="158">
        <v>3278056.71</v>
      </c>
    </row>
    <row r="368" spans="1:14" x14ac:dyDescent="0.35">
      <c r="A368" s="2" t="s">
        <v>477</v>
      </c>
      <c r="B368" s="2" t="s">
        <v>790</v>
      </c>
      <c r="C368" t="s">
        <v>3096</v>
      </c>
      <c r="D368" t="s">
        <v>3100</v>
      </c>
      <c r="E368" t="s">
        <v>5339</v>
      </c>
      <c r="F368" s="35">
        <v>46208</v>
      </c>
      <c r="G368" s="47">
        <v>556155</v>
      </c>
      <c r="H368" s="37">
        <f t="shared" si="142"/>
        <v>27</v>
      </c>
      <c r="I368" s="37" t="str">
        <f t="shared" ref="I368:I369" si="145">IF(H368&lt;91,"1-90 DAYS",IF(H368&lt;121,"91-120DAYS",IF(H368&lt;181,"121-180 DAYS","More than 180 Days")))</f>
        <v>1-90 DAYS</v>
      </c>
      <c r="J368" s="37" t="str">
        <f t="shared" si="144"/>
        <v>0-180 DAYS</v>
      </c>
      <c r="L368" s="66" t="s">
        <v>1730</v>
      </c>
      <c r="M368" s="158" t="s">
        <v>5565</v>
      </c>
      <c r="N368" s="158">
        <v>556155</v>
      </c>
    </row>
    <row r="369" spans="1:14" x14ac:dyDescent="0.35">
      <c r="A369" s="2" t="s">
        <v>477</v>
      </c>
      <c r="B369" s="2" t="s">
        <v>790</v>
      </c>
      <c r="C369" t="s">
        <v>4944</v>
      </c>
      <c r="D369" t="s">
        <v>4953</v>
      </c>
      <c r="E369" t="s">
        <v>5340</v>
      </c>
      <c r="F369" s="35">
        <v>46209</v>
      </c>
      <c r="G369" s="47">
        <v>1096520.3999999999</v>
      </c>
      <c r="H369" s="37">
        <f t="shared" si="142"/>
        <v>26</v>
      </c>
      <c r="I369" s="37" t="str">
        <f t="shared" si="145"/>
        <v>1-90 DAYS</v>
      </c>
      <c r="J369" s="37" t="str">
        <f t="shared" si="144"/>
        <v>0-180 DAYS</v>
      </c>
      <c r="L369" s="66" t="s">
        <v>1730</v>
      </c>
      <c r="M369" s="158" t="s">
        <v>5566</v>
      </c>
      <c r="N369" s="158">
        <v>1096520.3999999999</v>
      </c>
    </row>
    <row r="370" spans="1:14" x14ac:dyDescent="0.35">
      <c r="A370" s="2" t="s">
        <v>1085</v>
      </c>
      <c r="B370" s="2" t="s">
        <v>790</v>
      </c>
      <c r="C370" t="s">
        <v>545</v>
      </c>
      <c r="D370" s="37" t="s">
        <v>507</v>
      </c>
      <c r="E370" t="s">
        <v>5341</v>
      </c>
      <c r="F370" s="35">
        <v>46209</v>
      </c>
      <c r="G370" s="47">
        <f>4552024.125-4425091</f>
        <v>126933.125</v>
      </c>
      <c r="H370" s="37">
        <f t="shared" si="142"/>
        <v>26</v>
      </c>
      <c r="I370" s="37" t="str">
        <f t="shared" si="143"/>
        <v>0-120 DAYS</v>
      </c>
      <c r="J370" s="37" t="str">
        <f t="shared" si="144"/>
        <v>0-180 DAYS</v>
      </c>
      <c r="L370" s="66" t="s">
        <v>1730</v>
      </c>
      <c r="M370" s="158" t="s">
        <v>5566</v>
      </c>
      <c r="N370" s="158">
        <v>126933.13</v>
      </c>
    </row>
    <row r="371" spans="1:14" x14ac:dyDescent="0.35">
      <c r="A371" s="2" t="s">
        <v>477</v>
      </c>
      <c r="B371" s="2" t="s">
        <v>790</v>
      </c>
      <c r="C371" t="s">
        <v>5298</v>
      </c>
      <c r="D371" t="s">
        <v>5303</v>
      </c>
      <c r="E371" t="s">
        <v>5342</v>
      </c>
      <c r="F371" s="35">
        <v>46210</v>
      </c>
      <c r="G371" s="47">
        <v>235000</v>
      </c>
      <c r="H371" s="37">
        <f t="shared" si="142"/>
        <v>25</v>
      </c>
      <c r="I371" s="37" t="str">
        <f t="shared" ref="I371" si="146">IF(H371&lt;91,"1-90 DAYS",IF(H371&lt;121,"91-120DAYS",IF(H371&lt;181,"121-180 DAYS","More than 180 Days")))</f>
        <v>1-90 DAYS</v>
      </c>
      <c r="J371" s="37" t="str">
        <f t="shared" si="144"/>
        <v>0-180 DAYS</v>
      </c>
      <c r="L371" s="66" t="s">
        <v>1730</v>
      </c>
      <c r="M371" s="158" t="s">
        <v>5585</v>
      </c>
      <c r="N371" s="158">
        <v>235000</v>
      </c>
    </row>
    <row r="372" spans="1:14" x14ac:dyDescent="0.35">
      <c r="A372" s="2" t="s">
        <v>1085</v>
      </c>
      <c r="B372" s="2" t="s">
        <v>790</v>
      </c>
      <c r="C372" t="s">
        <v>1086</v>
      </c>
      <c r="D372" s="37" t="s">
        <v>507</v>
      </c>
      <c r="E372" t="s">
        <v>5343</v>
      </c>
      <c r="F372" s="35">
        <v>46210</v>
      </c>
      <c r="G372" s="47">
        <v>2919915.24</v>
      </c>
      <c r="H372" s="37">
        <f t="shared" si="142"/>
        <v>25</v>
      </c>
      <c r="I372" s="37" t="str">
        <f t="shared" si="143"/>
        <v>0-120 DAYS</v>
      </c>
      <c r="J372" s="37" t="str">
        <f t="shared" si="144"/>
        <v>0-180 DAYS</v>
      </c>
      <c r="L372" s="66" t="s">
        <v>1730</v>
      </c>
      <c r="M372" s="158" t="s">
        <v>5585</v>
      </c>
      <c r="N372" s="158">
        <v>2919915.24</v>
      </c>
    </row>
    <row r="373" spans="1:14" x14ac:dyDescent="0.35">
      <c r="A373" s="2" t="s">
        <v>477</v>
      </c>
      <c r="B373" s="2" t="s">
        <v>790</v>
      </c>
      <c r="C373" t="s">
        <v>5297</v>
      </c>
      <c r="D373" t="s">
        <v>5302</v>
      </c>
      <c r="E373" t="s">
        <v>5344</v>
      </c>
      <c r="F373" s="35">
        <v>46210</v>
      </c>
      <c r="G373" s="47">
        <v>1547</v>
      </c>
      <c r="H373" s="37">
        <f t="shared" si="142"/>
        <v>25</v>
      </c>
      <c r="I373" s="37" t="str">
        <f t="shared" ref="I373" si="147">IF(H373&lt;91,"1-90 DAYS",IF(H373&lt;121,"91-120DAYS",IF(H373&lt;181,"121-180 DAYS","More than 180 Days")))</f>
        <v>1-90 DAYS</v>
      </c>
      <c r="J373" s="37" t="str">
        <f t="shared" si="144"/>
        <v>0-180 DAYS</v>
      </c>
      <c r="L373" s="66" t="s">
        <v>1730</v>
      </c>
      <c r="M373" s="158" t="s">
        <v>5585</v>
      </c>
      <c r="N373" s="158">
        <v>1547</v>
      </c>
    </row>
    <row r="374" spans="1:14" x14ac:dyDescent="0.35">
      <c r="A374" s="2" t="s">
        <v>1085</v>
      </c>
      <c r="B374" s="2" t="s">
        <v>790</v>
      </c>
      <c r="C374" t="s">
        <v>545</v>
      </c>
      <c r="D374" s="37" t="s">
        <v>507</v>
      </c>
      <c r="E374" t="s">
        <v>5345</v>
      </c>
      <c r="F374" s="35">
        <v>46211</v>
      </c>
      <c r="G374" s="47">
        <v>4852439.625</v>
      </c>
      <c r="H374" s="37">
        <f t="shared" si="142"/>
        <v>24</v>
      </c>
      <c r="I374" s="37" t="str">
        <f t="shared" si="143"/>
        <v>0-120 DAYS</v>
      </c>
      <c r="J374" s="37" t="str">
        <f t="shared" si="144"/>
        <v>0-180 DAYS</v>
      </c>
      <c r="L374" s="66" t="s">
        <v>1730</v>
      </c>
      <c r="M374" s="158" t="s">
        <v>5567</v>
      </c>
      <c r="N374" s="158">
        <v>4852439.63</v>
      </c>
    </row>
    <row r="375" spans="1:14" x14ac:dyDescent="0.35">
      <c r="A375" s="2" t="s">
        <v>477</v>
      </c>
      <c r="B375" s="2" t="s">
        <v>790</v>
      </c>
      <c r="C375" t="s">
        <v>1497</v>
      </c>
      <c r="D375" t="s">
        <v>1500</v>
      </c>
      <c r="E375" t="s">
        <v>5346</v>
      </c>
      <c r="F375" s="35">
        <v>46216</v>
      </c>
      <c r="G375" s="47">
        <f>-2294+1203300</f>
        <v>1201006</v>
      </c>
      <c r="H375" s="37">
        <f t="shared" si="142"/>
        <v>19</v>
      </c>
      <c r="I375" s="37" t="str">
        <f t="shared" ref="I375:I376" si="148">IF(H375&lt;91,"1-90 DAYS",IF(H375&lt;121,"91-120DAYS",IF(H375&lt;181,"121-180 DAYS","More than 180 Days")))</f>
        <v>1-90 DAYS</v>
      </c>
      <c r="J375" s="37" t="str">
        <f t="shared" si="144"/>
        <v>0-180 DAYS</v>
      </c>
      <c r="L375" s="66" t="s">
        <v>1730</v>
      </c>
      <c r="M375" s="158" t="s">
        <v>5570</v>
      </c>
      <c r="N375" s="158">
        <v>1201006</v>
      </c>
    </row>
    <row r="376" spans="1:14" x14ac:dyDescent="0.35">
      <c r="A376" s="2" t="s">
        <v>477</v>
      </c>
      <c r="B376" s="2" t="s">
        <v>790</v>
      </c>
      <c r="C376" t="s">
        <v>1497</v>
      </c>
      <c r="D376" t="s">
        <v>1500</v>
      </c>
      <c r="E376" t="s">
        <v>5347</v>
      </c>
      <c r="F376" s="35">
        <v>46216</v>
      </c>
      <c r="G376" s="47">
        <v>1090992</v>
      </c>
      <c r="H376" s="37">
        <f t="shared" si="142"/>
        <v>19</v>
      </c>
      <c r="I376" s="37" t="str">
        <f t="shared" si="148"/>
        <v>1-90 DAYS</v>
      </c>
      <c r="J376" s="37" t="str">
        <f t="shared" si="144"/>
        <v>0-180 DAYS</v>
      </c>
      <c r="L376" s="66" t="s">
        <v>1730</v>
      </c>
      <c r="M376" s="158" t="s">
        <v>5570</v>
      </c>
      <c r="N376" s="158">
        <v>1090992</v>
      </c>
    </row>
    <row r="377" spans="1:14" x14ac:dyDescent="0.35">
      <c r="A377" s="2" t="s">
        <v>1085</v>
      </c>
      <c r="B377" s="2" t="s">
        <v>790</v>
      </c>
      <c r="C377" t="s">
        <v>1086</v>
      </c>
      <c r="D377" s="37" t="s">
        <v>507</v>
      </c>
      <c r="E377" t="s">
        <v>5348</v>
      </c>
      <c r="F377" s="35">
        <v>46218</v>
      </c>
      <c r="G377" s="47">
        <v>686278.00993730396</v>
      </c>
      <c r="H377" s="37">
        <f t="shared" si="142"/>
        <v>17</v>
      </c>
      <c r="I377" s="37" t="str">
        <f t="shared" si="143"/>
        <v>0-120 DAYS</v>
      </c>
      <c r="J377" s="37" t="str">
        <f t="shared" si="144"/>
        <v>0-180 DAYS</v>
      </c>
      <c r="L377" s="66" t="s">
        <v>1730</v>
      </c>
      <c r="M377" s="158" t="s">
        <v>5572</v>
      </c>
      <c r="N377" s="158">
        <v>686278.01</v>
      </c>
    </row>
    <row r="378" spans="1:14" x14ac:dyDescent="0.35">
      <c r="A378" s="2" t="s">
        <v>1085</v>
      </c>
      <c r="B378" s="2" t="s">
        <v>790</v>
      </c>
      <c r="C378" t="s">
        <v>1086</v>
      </c>
      <c r="D378" s="37" t="s">
        <v>507</v>
      </c>
      <c r="E378" t="s">
        <v>5348</v>
      </c>
      <c r="F378" s="35">
        <v>46218</v>
      </c>
      <c r="G378" s="47">
        <v>39505.455062695903</v>
      </c>
      <c r="H378" s="37">
        <f t="shared" si="142"/>
        <v>17</v>
      </c>
      <c r="I378" s="37" t="str">
        <f t="shared" si="143"/>
        <v>0-120 DAYS</v>
      </c>
      <c r="J378" s="37" t="str">
        <f t="shared" si="144"/>
        <v>0-180 DAYS</v>
      </c>
      <c r="L378" s="66" t="s">
        <v>1730</v>
      </c>
      <c r="M378" s="158" t="s">
        <v>5572</v>
      </c>
      <c r="N378" s="158">
        <v>39505.46</v>
      </c>
    </row>
    <row r="379" spans="1:14" x14ac:dyDescent="0.35">
      <c r="A379" s="2" t="s">
        <v>1085</v>
      </c>
      <c r="B379" s="2" t="s">
        <v>790</v>
      </c>
      <c r="C379" t="s">
        <v>1086</v>
      </c>
      <c r="D379" s="37" t="s">
        <v>507</v>
      </c>
      <c r="E379" t="s">
        <v>5349</v>
      </c>
      <c r="F379" s="35">
        <v>46218</v>
      </c>
      <c r="G379" s="47">
        <v>409112.03398876399</v>
      </c>
      <c r="H379" s="37">
        <f t="shared" si="142"/>
        <v>17</v>
      </c>
      <c r="I379" s="37" t="str">
        <f t="shared" si="143"/>
        <v>0-120 DAYS</v>
      </c>
      <c r="J379" s="37" t="str">
        <f t="shared" si="144"/>
        <v>0-180 DAYS</v>
      </c>
      <c r="L379" s="66" t="s">
        <v>1730</v>
      </c>
      <c r="M379" s="158" t="s">
        <v>5572</v>
      </c>
      <c r="N379" s="158">
        <v>409112.03</v>
      </c>
    </row>
    <row r="380" spans="1:14" x14ac:dyDescent="0.35">
      <c r="A380" s="2" t="s">
        <v>1085</v>
      </c>
      <c r="B380" s="2" t="s">
        <v>790</v>
      </c>
      <c r="C380" t="s">
        <v>1086</v>
      </c>
      <c r="D380" s="37" t="s">
        <v>507</v>
      </c>
      <c r="E380" t="s">
        <v>5349</v>
      </c>
      <c r="F380" s="35">
        <v>46218</v>
      </c>
      <c r="G380" s="47">
        <v>242149.676805778</v>
      </c>
      <c r="H380" s="37">
        <f t="shared" si="142"/>
        <v>17</v>
      </c>
      <c r="I380" s="37" t="str">
        <f t="shared" si="143"/>
        <v>0-120 DAYS</v>
      </c>
      <c r="J380" s="37" t="str">
        <f t="shared" si="144"/>
        <v>0-180 DAYS</v>
      </c>
      <c r="L380" s="66" t="s">
        <v>1730</v>
      </c>
      <c r="M380" s="158" t="s">
        <v>5572</v>
      </c>
      <c r="N380" s="158">
        <v>242149.68</v>
      </c>
    </row>
    <row r="381" spans="1:14" x14ac:dyDescent="0.35">
      <c r="A381" s="2" t="s">
        <v>1085</v>
      </c>
      <c r="B381" s="2" t="s">
        <v>790</v>
      </c>
      <c r="C381" t="s">
        <v>1086</v>
      </c>
      <c r="D381" s="37" t="s">
        <v>507</v>
      </c>
      <c r="E381" t="s">
        <v>5349</v>
      </c>
      <c r="F381" s="35">
        <v>46218</v>
      </c>
      <c r="G381" s="47">
        <v>121384.88920545801</v>
      </c>
      <c r="H381" s="37">
        <f t="shared" si="142"/>
        <v>17</v>
      </c>
      <c r="I381" s="37" t="str">
        <f t="shared" si="143"/>
        <v>0-120 DAYS</v>
      </c>
      <c r="J381" s="37" t="str">
        <f t="shared" si="144"/>
        <v>0-180 DAYS</v>
      </c>
      <c r="L381" s="66" t="s">
        <v>1730</v>
      </c>
      <c r="M381" s="158" t="s">
        <v>5572</v>
      </c>
      <c r="N381" s="158">
        <v>121384.89</v>
      </c>
    </row>
    <row r="382" spans="1:14" x14ac:dyDescent="0.35">
      <c r="A382" s="2" t="s">
        <v>1085</v>
      </c>
      <c r="B382" s="2" t="s">
        <v>790</v>
      </c>
      <c r="C382" t="s">
        <v>1086</v>
      </c>
      <c r="D382" s="37" t="s">
        <v>507</v>
      </c>
      <c r="E382" t="s">
        <v>5350</v>
      </c>
      <c r="F382" s="35">
        <v>46218</v>
      </c>
      <c r="G382" s="47">
        <v>1224470.3899999999</v>
      </c>
      <c r="H382" s="37">
        <f t="shared" si="142"/>
        <v>17</v>
      </c>
      <c r="I382" s="37" t="str">
        <f t="shared" si="143"/>
        <v>0-120 DAYS</v>
      </c>
      <c r="J382" s="37" t="str">
        <f t="shared" si="144"/>
        <v>0-180 DAYS</v>
      </c>
      <c r="L382" s="66" t="s">
        <v>1730</v>
      </c>
      <c r="M382" s="158" t="s">
        <v>5572</v>
      </c>
      <c r="N382" s="158">
        <v>1224470.3899999999</v>
      </c>
    </row>
    <row r="383" spans="1:14" x14ac:dyDescent="0.35">
      <c r="A383" s="2" t="s">
        <v>1085</v>
      </c>
      <c r="B383" s="2" t="s">
        <v>790</v>
      </c>
      <c r="C383" t="s">
        <v>650</v>
      </c>
      <c r="D383" s="37" t="s">
        <v>507</v>
      </c>
      <c r="E383" t="s">
        <v>5351</v>
      </c>
      <c r="F383" s="35">
        <v>46220</v>
      </c>
      <c r="G383" s="47">
        <v>4252098.3360000001</v>
      </c>
      <c r="H383" s="37">
        <f t="shared" si="142"/>
        <v>15</v>
      </c>
      <c r="I383" s="37" t="str">
        <f t="shared" si="143"/>
        <v>0-120 DAYS</v>
      </c>
      <c r="J383" s="37" t="str">
        <f t="shared" si="144"/>
        <v>0-180 DAYS</v>
      </c>
      <c r="L383" s="66" t="s">
        <v>1730</v>
      </c>
      <c r="M383" s="158" t="s">
        <v>5573</v>
      </c>
      <c r="N383" s="158">
        <v>4252098.34</v>
      </c>
    </row>
    <row r="384" spans="1:14" x14ac:dyDescent="0.35">
      <c r="A384" t="s">
        <v>1085</v>
      </c>
      <c r="B384" s="2" t="s">
        <v>790</v>
      </c>
      <c r="C384" s="18" t="s">
        <v>814</v>
      </c>
      <c r="D384" t="s">
        <v>5019</v>
      </c>
      <c r="E384" t="s">
        <v>5352</v>
      </c>
      <c r="F384" s="35">
        <v>46221</v>
      </c>
      <c r="G384" s="47">
        <v>142165.32</v>
      </c>
      <c r="H384" s="37">
        <f t="shared" si="142"/>
        <v>14</v>
      </c>
      <c r="I384" s="37" t="str">
        <f t="shared" si="143"/>
        <v>0-120 DAYS</v>
      </c>
      <c r="J384" s="37" t="str">
        <f t="shared" si="144"/>
        <v>0-180 DAYS</v>
      </c>
      <c r="L384" s="66" t="s">
        <v>1730</v>
      </c>
      <c r="M384" s="158" t="s">
        <v>5574</v>
      </c>
      <c r="N384" s="158">
        <v>142165.32</v>
      </c>
    </row>
    <row r="385" spans="1:14" x14ac:dyDescent="0.35">
      <c r="A385" t="s">
        <v>1085</v>
      </c>
      <c r="B385" s="2" t="s">
        <v>790</v>
      </c>
      <c r="C385" s="18" t="s">
        <v>814</v>
      </c>
      <c r="D385" t="s">
        <v>5019</v>
      </c>
      <c r="E385" t="s">
        <v>5352</v>
      </c>
      <c r="F385" s="35">
        <v>46221</v>
      </c>
      <c r="G385" s="47">
        <v>603564.95200000005</v>
      </c>
      <c r="H385" s="37">
        <f t="shared" si="142"/>
        <v>14</v>
      </c>
      <c r="I385" s="37" t="str">
        <f t="shared" si="143"/>
        <v>0-120 DAYS</v>
      </c>
      <c r="J385" s="37" t="str">
        <f t="shared" si="144"/>
        <v>0-180 DAYS</v>
      </c>
      <c r="L385" s="66" t="s">
        <v>1730</v>
      </c>
      <c r="M385" s="158" t="s">
        <v>5574</v>
      </c>
      <c r="N385" s="158">
        <v>603564.94999999995</v>
      </c>
    </row>
    <row r="386" spans="1:14" x14ac:dyDescent="0.35">
      <c r="A386" s="2" t="s">
        <v>477</v>
      </c>
      <c r="B386" s="2" t="s">
        <v>790</v>
      </c>
      <c r="C386" t="s">
        <v>5054</v>
      </c>
      <c r="D386" t="s">
        <v>5055</v>
      </c>
      <c r="E386" t="s">
        <v>2228</v>
      </c>
      <c r="F386" s="35">
        <v>46223</v>
      </c>
      <c r="G386" s="47">
        <v>1320000</v>
      </c>
      <c r="H386" s="37">
        <f t="shared" si="142"/>
        <v>12</v>
      </c>
      <c r="I386" s="37" t="str">
        <f t="shared" ref="I386:I387" si="149">IF(H386&lt;91,"1-90 DAYS",IF(H386&lt;121,"91-120DAYS",IF(H386&lt;181,"121-180 DAYS","More than 180 Days")))</f>
        <v>1-90 DAYS</v>
      </c>
      <c r="J386" s="37" t="str">
        <f t="shared" si="144"/>
        <v>0-180 DAYS</v>
      </c>
      <c r="L386" s="66" t="s">
        <v>1730</v>
      </c>
      <c r="M386" s="158" t="s">
        <v>5575</v>
      </c>
      <c r="N386" s="158">
        <v>1320000</v>
      </c>
    </row>
    <row r="387" spans="1:14" x14ac:dyDescent="0.35">
      <c r="A387" s="2" t="s">
        <v>477</v>
      </c>
      <c r="B387" s="2" t="s">
        <v>790</v>
      </c>
      <c r="C387" t="s">
        <v>5054</v>
      </c>
      <c r="D387" t="s">
        <v>5055</v>
      </c>
      <c r="E387" t="s">
        <v>2229</v>
      </c>
      <c r="F387" s="35">
        <v>46223</v>
      </c>
      <c r="G387" s="47">
        <v>1320000</v>
      </c>
      <c r="H387" s="37">
        <f t="shared" si="142"/>
        <v>12</v>
      </c>
      <c r="I387" s="37" t="str">
        <f t="shared" si="149"/>
        <v>1-90 DAYS</v>
      </c>
      <c r="J387" s="37" t="str">
        <f t="shared" si="144"/>
        <v>0-180 DAYS</v>
      </c>
      <c r="L387" s="66" t="s">
        <v>1730</v>
      </c>
      <c r="M387" s="158" t="s">
        <v>5575</v>
      </c>
      <c r="N387" s="158">
        <v>1320000</v>
      </c>
    </row>
    <row r="388" spans="1:14" x14ac:dyDescent="0.35">
      <c r="A388" s="2" t="s">
        <v>1085</v>
      </c>
      <c r="B388" s="2" t="s">
        <v>790</v>
      </c>
      <c r="C388" t="s">
        <v>538</v>
      </c>
      <c r="D388" s="37" t="s">
        <v>507</v>
      </c>
      <c r="E388" t="s">
        <v>5353</v>
      </c>
      <c r="F388" s="35">
        <v>46228</v>
      </c>
      <c r="G388" s="47">
        <v>3909600</v>
      </c>
      <c r="H388" s="37">
        <f t="shared" si="142"/>
        <v>7</v>
      </c>
      <c r="I388" s="37" t="str">
        <f t="shared" si="143"/>
        <v>0-120 DAYS</v>
      </c>
      <c r="J388" s="37" t="str">
        <f t="shared" si="144"/>
        <v>0-180 DAYS</v>
      </c>
      <c r="L388" s="66" t="s">
        <v>1730</v>
      </c>
      <c r="M388" s="158" t="s">
        <v>5581</v>
      </c>
      <c r="N388" s="158">
        <v>3909600</v>
      </c>
    </row>
    <row r="389" spans="1:14" x14ac:dyDescent="0.35">
      <c r="A389" s="2" t="s">
        <v>1085</v>
      </c>
      <c r="B389" s="2" t="s">
        <v>790</v>
      </c>
      <c r="C389" t="s">
        <v>538</v>
      </c>
      <c r="D389" s="37" t="s">
        <v>507</v>
      </c>
      <c r="E389" t="s">
        <v>5354</v>
      </c>
      <c r="F389" s="35">
        <v>46228</v>
      </c>
      <c r="G389" s="47">
        <v>4065984</v>
      </c>
      <c r="H389" s="37">
        <f t="shared" si="142"/>
        <v>7</v>
      </c>
      <c r="I389" s="37" t="str">
        <f t="shared" si="143"/>
        <v>0-120 DAYS</v>
      </c>
      <c r="J389" s="37" t="str">
        <f t="shared" si="144"/>
        <v>0-180 DAYS</v>
      </c>
      <c r="L389" s="66" t="s">
        <v>1730</v>
      </c>
      <c r="M389" s="158" t="s">
        <v>5581</v>
      </c>
      <c r="N389" s="158">
        <v>4065984</v>
      </c>
    </row>
    <row r="390" spans="1:14" x14ac:dyDescent="0.35">
      <c r="A390" s="2" t="s">
        <v>1085</v>
      </c>
      <c r="B390" s="2" t="s">
        <v>790</v>
      </c>
      <c r="C390" t="s">
        <v>538</v>
      </c>
      <c r="D390" s="37" t="s">
        <v>507</v>
      </c>
      <c r="E390" t="s">
        <v>5355</v>
      </c>
      <c r="F390" s="35">
        <v>46229</v>
      </c>
      <c r="G390" s="47">
        <v>4065984</v>
      </c>
      <c r="H390" s="37">
        <f t="shared" si="142"/>
        <v>6</v>
      </c>
      <c r="I390" s="37" t="str">
        <f t="shared" si="143"/>
        <v>0-120 DAYS</v>
      </c>
      <c r="J390" s="37" t="str">
        <f t="shared" si="144"/>
        <v>0-180 DAYS</v>
      </c>
      <c r="L390" s="66" t="s">
        <v>1730</v>
      </c>
      <c r="M390" s="158" t="s">
        <v>5586</v>
      </c>
      <c r="N390" s="158">
        <v>4065984</v>
      </c>
    </row>
    <row r="391" spans="1:14" x14ac:dyDescent="0.35">
      <c r="A391" s="2" t="s">
        <v>1085</v>
      </c>
      <c r="B391" s="2" t="s">
        <v>790</v>
      </c>
      <c r="C391" t="s">
        <v>526</v>
      </c>
      <c r="D391" s="37" t="s">
        <v>507</v>
      </c>
      <c r="E391" t="s">
        <v>5356</v>
      </c>
      <c r="F391" s="35">
        <v>46229</v>
      </c>
      <c r="G391" s="47">
        <v>6287176.96</v>
      </c>
      <c r="H391" s="37">
        <f t="shared" si="142"/>
        <v>6</v>
      </c>
      <c r="I391" s="37" t="str">
        <f t="shared" si="143"/>
        <v>0-120 DAYS</v>
      </c>
      <c r="J391" s="37" t="str">
        <f t="shared" si="144"/>
        <v>0-180 DAYS</v>
      </c>
      <c r="L391" s="66" t="s">
        <v>1730</v>
      </c>
      <c r="M391" s="158" t="s">
        <v>5586</v>
      </c>
      <c r="N391" s="158">
        <v>6287176.96</v>
      </c>
    </row>
    <row r="392" spans="1:14" x14ac:dyDescent="0.35">
      <c r="A392" s="2" t="s">
        <v>1085</v>
      </c>
      <c r="B392" s="2" t="s">
        <v>790</v>
      </c>
      <c r="C392" t="s">
        <v>526</v>
      </c>
      <c r="D392" s="37" t="s">
        <v>507</v>
      </c>
      <c r="E392" t="s">
        <v>5357</v>
      </c>
      <c r="F392" s="35">
        <v>46230</v>
      </c>
      <c r="G392" s="47">
        <v>6052942.6600000001</v>
      </c>
      <c r="H392" s="37">
        <f t="shared" si="142"/>
        <v>5</v>
      </c>
      <c r="I392" s="37" t="str">
        <f t="shared" si="143"/>
        <v>0-120 DAYS</v>
      </c>
      <c r="J392" s="37" t="str">
        <f t="shared" si="144"/>
        <v>0-180 DAYS</v>
      </c>
      <c r="L392" s="66" t="s">
        <v>1730</v>
      </c>
      <c r="M392" s="158" t="s">
        <v>5582</v>
      </c>
      <c r="N392" s="158">
        <v>6052942.6600000001</v>
      </c>
    </row>
    <row r="393" spans="1:14" x14ac:dyDescent="0.35">
      <c r="A393" s="2" t="s">
        <v>1085</v>
      </c>
      <c r="B393" s="2" t="s">
        <v>790</v>
      </c>
      <c r="C393" t="s">
        <v>1086</v>
      </c>
      <c r="D393" s="37" t="s">
        <v>507</v>
      </c>
      <c r="E393" t="s">
        <v>5358</v>
      </c>
      <c r="F393" s="35">
        <v>46231</v>
      </c>
      <c r="G393" s="47">
        <v>778642.92</v>
      </c>
      <c r="H393" s="37">
        <f t="shared" si="142"/>
        <v>4</v>
      </c>
      <c r="I393" s="37" t="str">
        <f t="shared" si="143"/>
        <v>0-120 DAYS</v>
      </c>
      <c r="J393" s="37" t="str">
        <f t="shared" si="144"/>
        <v>0-180 DAYS</v>
      </c>
      <c r="L393" s="66" t="s">
        <v>1730</v>
      </c>
      <c r="M393" s="158" t="s">
        <v>5587</v>
      </c>
      <c r="N393" s="158">
        <v>778642.92</v>
      </c>
    </row>
    <row r="394" spans="1:14" x14ac:dyDescent="0.35">
      <c r="A394" s="2" t="s">
        <v>1085</v>
      </c>
      <c r="B394" s="2" t="s">
        <v>790</v>
      </c>
      <c r="C394" t="s">
        <v>1086</v>
      </c>
      <c r="D394" s="37" t="s">
        <v>507</v>
      </c>
      <c r="E394" t="s">
        <v>5359</v>
      </c>
      <c r="F394" s="35">
        <v>46231</v>
      </c>
      <c r="G394" s="47">
        <v>542970.86907798203</v>
      </c>
      <c r="H394" s="37">
        <f t="shared" si="142"/>
        <v>4</v>
      </c>
      <c r="I394" s="37" t="str">
        <f t="shared" si="143"/>
        <v>0-120 DAYS</v>
      </c>
      <c r="J394" s="37" t="str">
        <f t="shared" si="144"/>
        <v>0-180 DAYS</v>
      </c>
      <c r="L394" s="66" t="s">
        <v>1730</v>
      </c>
      <c r="M394" s="158" t="s">
        <v>5587</v>
      </c>
      <c r="N394" s="158">
        <v>542970.87</v>
      </c>
    </row>
    <row r="395" spans="1:14" x14ac:dyDescent="0.35">
      <c r="A395" s="2" t="s">
        <v>1085</v>
      </c>
      <c r="B395" s="2" t="s">
        <v>790</v>
      </c>
      <c r="C395" t="s">
        <v>1086</v>
      </c>
      <c r="D395" s="37" t="s">
        <v>507</v>
      </c>
      <c r="E395" t="s">
        <v>5359</v>
      </c>
      <c r="F395" s="35">
        <v>46231</v>
      </c>
      <c r="G395" s="47">
        <v>49685.816922017802</v>
      </c>
      <c r="H395" s="37">
        <f t="shared" si="142"/>
        <v>4</v>
      </c>
      <c r="I395" s="37" t="str">
        <f t="shared" si="143"/>
        <v>0-120 DAYS</v>
      </c>
      <c r="J395" s="37" t="str">
        <f t="shared" si="144"/>
        <v>0-180 DAYS</v>
      </c>
      <c r="L395" s="66" t="s">
        <v>1730</v>
      </c>
      <c r="M395" s="158" t="s">
        <v>5587</v>
      </c>
      <c r="N395" s="158">
        <v>49685.82</v>
      </c>
    </row>
    <row r="396" spans="1:14" x14ac:dyDescent="0.35">
      <c r="A396" s="2" t="s">
        <v>1085</v>
      </c>
      <c r="B396" s="2" t="s">
        <v>790</v>
      </c>
      <c r="C396" t="s">
        <v>1086</v>
      </c>
      <c r="D396" s="37" t="s">
        <v>507</v>
      </c>
      <c r="E396" t="s">
        <v>5360</v>
      </c>
      <c r="F396" s="35">
        <v>46231</v>
      </c>
      <c r="G396" s="47">
        <v>1262245.5162368901</v>
      </c>
      <c r="H396" s="37">
        <f t="shared" si="142"/>
        <v>4</v>
      </c>
      <c r="I396" s="37" t="str">
        <f t="shared" si="143"/>
        <v>0-120 DAYS</v>
      </c>
      <c r="J396" s="37" t="str">
        <f t="shared" si="144"/>
        <v>0-180 DAYS</v>
      </c>
      <c r="L396" s="66" t="s">
        <v>1730</v>
      </c>
      <c r="M396" s="158" t="s">
        <v>5587</v>
      </c>
      <c r="N396" s="158">
        <v>1262245.52</v>
      </c>
    </row>
    <row r="397" spans="1:14" x14ac:dyDescent="0.35">
      <c r="A397" s="2" t="s">
        <v>1085</v>
      </c>
      <c r="B397" s="2" t="s">
        <v>790</v>
      </c>
      <c r="C397" t="s">
        <v>1086</v>
      </c>
      <c r="D397" s="37" t="s">
        <v>507</v>
      </c>
      <c r="E397" t="s">
        <v>5360</v>
      </c>
      <c r="F397" s="35">
        <v>46231</v>
      </c>
      <c r="G397" s="47">
        <v>286494.68526311102</v>
      </c>
      <c r="H397" s="37">
        <f t="shared" si="142"/>
        <v>4</v>
      </c>
      <c r="I397" s="37" t="str">
        <f t="shared" si="143"/>
        <v>0-120 DAYS</v>
      </c>
      <c r="J397" s="37" t="str">
        <f t="shared" si="144"/>
        <v>0-180 DAYS</v>
      </c>
      <c r="L397" s="66" t="s">
        <v>1730</v>
      </c>
      <c r="M397" s="158" t="s">
        <v>5587</v>
      </c>
      <c r="N397" s="158">
        <v>286494.69</v>
      </c>
    </row>
    <row r="398" spans="1:14" x14ac:dyDescent="0.35">
      <c r="A398" s="2" t="s">
        <v>1085</v>
      </c>
      <c r="B398" s="2" t="s">
        <v>790</v>
      </c>
      <c r="C398" t="s">
        <v>1086</v>
      </c>
      <c r="D398" s="37" t="s">
        <v>507</v>
      </c>
      <c r="E398" t="s">
        <v>5361</v>
      </c>
      <c r="F398" s="35">
        <v>46232</v>
      </c>
      <c r="G398" s="47">
        <v>428591.49900000001</v>
      </c>
      <c r="H398" s="37">
        <f t="shared" si="142"/>
        <v>3</v>
      </c>
      <c r="I398" s="37" t="str">
        <f t="shared" si="143"/>
        <v>0-120 DAYS</v>
      </c>
      <c r="J398" s="37" t="str">
        <f t="shared" si="144"/>
        <v>0-180 DAYS</v>
      </c>
      <c r="L398" s="66" t="s">
        <v>1730</v>
      </c>
      <c r="M398" s="158" t="s">
        <v>5583</v>
      </c>
      <c r="N398" s="158">
        <v>428591.5</v>
      </c>
    </row>
    <row r="399" spans="1:14" x14ac:dyDescent="0.35">
      <c r="A399" s="2" t="s">
        <v>1085</v>
      </c>
      <c r="B399" s="2" t="s">
        <v>790</v>
      </c>
      <c r="C399" t="s">
        <v>1086</v>
      </c>
      <c r="D399" s="37" t="s">
        <v>507</v>
      </c>
      <c r="E399" t="s">
        <v>5362</v>
      </c>
      <c r="F399" s="35">
        <v>46232</v>
      </c>
      <c r="G399" s="47">
        <v>287765.25826573698</v>
      </c>
      <c r="H399" s="37">
        <f t="shared" si="142"/>
        <v>3</v>
      </c>
      <c r="I399" s="37" t="str">
        <f t="shared" si="143"/>
        <v>0-120 DAYS</v>
      </c>
      <c r="J399" s="37" t="str">
        <f t="shared" si="144"/>
        <v>0-180 DAYS</v>
      </c>
      <c r="L399" s="66" t="s">
        <v>1730</v>
      </c>
      <c r="M399" s="158" t="s">
        <v>5583</v>
      </c>
      <c r="N399" s="158">
        <v>287765.26</v>
      </c>
    </row>
    <row r="400" spans="1:14" x14ac:dyDescent="0.35">
      <c r="A400" s="2" t="s">
        <v>1085</v>
      </c>
      <c r="B400" s="2" t="s">
        <v>790</v>
      </c>
      <c r="C400" t="s">
        <v>1086</v>
      </c>
      <c r="D400" s="37" t="s">
        <v>507</v>
      </c>
      <c r="E400" t="s">
        <v>5362</v>
      </c>
      <c r="F400" s="35">
        <v>46232</v>
      </c>
      <c r="G400" s="47">
        <v>292987.85823426303</v>
      </c>
      <c r="H400" s="37">
        <f t="shared" si="142"/>
        <v>3</v>
      </c>
      <c r="I400" s="37" t="str">
        <f t="shared" si="143"/>
        <v>0-120 DAYS</v>
      </c>
      <c r="J400" s="37" t="str">
        <f t="shared" si="144"/>
        <v>0-180 DAYS</v>
      </c>
      <c r="L400" s="66" t="s">
        <v>1730</v>
      </c>
      <c r="M400" s="158" t="s">
        <v>5583</v>
      </c>
      <c r="N400" s="158">
        <v>292987.86</v>
      </c>
    </row>
    <row r="401" spans="1:14" x14ac:dyDescent="0.35">
      <c r="A401" s="2" t="s">
        <v>1085</v>
      </c>
      <c r="B401" s="2" t="s">
        <v>790</v>
      </c>
      <c r="C401" t="s">
        <v>1086</v>
      </c>
      <c r="D401" s="37" t="s">
        <v>507</v>
      </c>
      <c r="E401" t="s">
        <v>5363</v>
      </c>
      <c r="F401" s="35">
        <v>46232</v>
      </c>
      <c r="G401" s="47">
        <v>2288031.9500000002</v>
      </c>
      <c r="H401" s="37">
        <f t="shared" si="142"/>
        <v>3</v>
      </c>
      <c r="I401" s="37" t="str">
        <f t="shared" si="143"/>
        <v>0-120 DAYS</v>
      </c>
      <c r="J401" s="37" t="str">
        <f t="shared" si="144"/>
        <v>0-180 DAYS</v>
      </c>
      <c r="L401" s="66" t="s">
        <v>1730</v>
      </c>
      <c r="M401" s="158" t="s">
        <v>5583</v>
      </c>
      <c r="N401" s="158">
        <v>2288031.9500000002</v>
      </c>
    </row>
    <row r="402" spans="1:14" x14ac:dyDescent="0.35">
      <c r="A402" s="2" t="s">
        <v>1085</v>
      </c>
      <c r="B402" s="2" t="s">
        <v>790</v>
      </c>
      <c r="C402" t="s">
        <v>1086</v>
      </c>
      <c r="D402" s="37" t="s">
        <v>507</v>
      </c>
      <c r="E402" t="s">
        <v>5364</v>
      </c>
      <c r="F402" s="35">
        <v>46232</v>
      </c>
      <c r="G402" s="47">
        <v>353297.67550000001</v>
      </c>
      <c r="H402" s="37">
        <f t="shared" si="142"/>
        <v>3</v>
      </c>
      <c r="I402" s="37" t="str">
        <f t="shared" si="143"/>
        <v>0-120 DAYS</v>
      </c>
      <c r="J402" s="37" t="str">
        <f t="shared" si="144"/>
        <v>0-180 DAYS</v>
      </c>
      <c r="L402" s="66" t="s">
        <v>1730</v>
      </c>
      <c r="M402" s="158" t="s">
        <v>5583</v>
      </c>
      <c r="N402" s="158">
        <v>353297.68</v>
      </c>
    </row>
    <row r="403" spans="1:14" x14ac:dyDescent="0.35">
      <c r="A403" s="2" t="s">
        <v>1085</v>
      </c>
      <c r="B403" s="2" t="s">
        <v>790</v>
      </c>
      <c r="C403" t="s">
        <v>538</v>
      </c>
      <c r="D403" s="37" t="s">
        <v>507</v>
      </c>
      <c r="E403" t="s">
        <v>5365</v>
      </c>
      <c r="F403" s="35">
        <v>46234</v>
      </c>
      <c r="G403" s="47">
        <v>3451148.358</v>
      </c>
      <c r="H403" s="37">
        <f t="shared" si="142"/>
        <v>1</v>
      </c>
      <c r="I403" s="37" t="str">
        <f t="shared" si="143"/>
        <v>0-120 DAYS</v>
      </c>
      <c r="J403" s="37" t="str">
        <f t="shared" si="144"/>
        <v>0-180 DAYS</v>
      </c>
      <c r="L403" s="66" t="s">
        <v>1730</v>
      </c>
      <c r="M403" s="158" t="s">
        <v>5563</v>
      </c>
      <c r="N403" s="158">
        <v>3451148.36</v>
      </c>
    </row>
    <row r="404" spans="1:14" x14ac:dyDescent="0.35">
      <c r="A404" s="2" t="s">
        <v>1085</v>
      </c>
      <c r="B404" s="2" t="s">
        <v>790</v>
      </c>
      <c r="C404" t="s">
        <v>538</v>
      </c>
      <c r="D404" s="37" t="s">
        <v>507</v>
      </c>
      <c r="E404" t="s">
        <v>5365</v>
      </c>
      <c r="F404" s="35">
        <v>46234</v>
      </c>
      <c r="G404" s="47">
        <v>855884.20200000005</v>
      </c>
      <c r="H404" s="37">
        <f t="shared" si="142"/>
        <v>1</v>
      </c>
      <c r="I404" s="37" t="str">
        <f t="shared" si="143"/>
        <v>0-120 DAYS</v>
      </c>
      <c r="J404" s="37" t="str">
        <f t="shared" si="144"/>
        <v>0-180 DAYS</v>
      </c>
      <c r="L404" s="66" t="s">
        <v>1730</v>
      </c>
      <c r="M404" s="158" t="s">
        <v>5563</v>
      </c>
      <c r="N404" s="158">
        <v>855884.2</v>
      </c>
    </row>
    <row r="405" spans="1:14" x14ac:dyDescent="0.35">
      <c r="A405" s="2" t="s">
        <v>477</v>
      </c>
      <c r="B405" s="2" t="s">
        <v>790</v>
      </c>
      <c r="C405" t="s">
        <v>5300</v>
      </c>
      <c r="D405" t="s">
        <v>5305</v>
      </c>
      <c r="E405" t="s">
        <v>5366</v>
      </c>
      <c r="F405" s="35">
        <v>46234</v>
      </c>
      <c r="G405" s="47">
        <v>67035</v>
      </c>
      <c r="H405" s="37">
        <f t="shared" si="142"/>
        <v>1</v>
      </c>
      <c r="I405" s="37" t="str">
        <f t="shared" ref="I405:I406" si="150">IF(H405&lt;91,"1-90 DAYS",IF(H405&lt;121,"91-120DAYS",IF(H405&lt;181,"121-180 DAYS","More than 180 Days")))</f>
        <v>1-90 DAYS</v>
      </c>
      <c r="J405" s="37" t="str">
        <f t="shared" si="144"/>
        <v>0-180 DAYS</v>
      </c>
      <c r="L405" s="66" t="s">
        <v>1730</v>
      </c>
      <c r="M405" s="158" t="s">
        <v>5563</v>
      </c>
      <c r="N405" s="158">
        <v>67035</v>
      </c>
    </row>
    <row r="406" spans="1:14" x14ac:dyDescent="0.35">
      <c r="A406" s="2" t="s">
        <v>477</v>
      </c>
      <c r="B406" s="2" t="s">
        <v>790</v>
      </c>
      <c r="C406" t="s">
        <v>5299</v>
      </c>
      <c r="D406" t="s">
        <v>5304</v>
      </c>
      <c r="E406" t="s">
        <v>5367</v>
      </c>
      <c r="F406" s="35">
        <v>46234</v>
      </c>
      <c r="G406" s="47">
        <v>802400</v>
      </c>
      <c r="H406" s="37">
        <f t="shared" si="142"/>
        <v>1</v>
      </c>
      <c r="I406" s="37" t="str">
        <f t="shared" si="150"/>
        <v>1-90 DAYS</v>
      </c>
      <c r="J406" s="37" t="str">
        <f t="shared" si="144"/>
        <v>0-180 DAYS</v>
      </c>
      <c r="L406" s="66" t="s">
        <v>1730</v>
      </c>
      <c r="M406" s="158" t="s">
        <v>5563</v>
      </c>
      <c r="N406" s="158">
        <v>802400</v>
      </c>
    </row>
    <row r="407" spans="1:14" x14ac:dyDescent="0.35">
      <c r="A407" s="2" t="s">
        <v>1085</v>
      </c>
      <c r="B407" s="2" t="s">
        <v>790</v>
      </c>
      <c r="C407" t="s">
        <v>650</v>
      </c>
      <c r="D407" s="37" t="s">
        <v>507</v>
      </c>
      <c r="E407" t="s">
        <v>5368</v>
      </c>
      <c r="F407" s="35">
        <v>46234</v>
      </c>
      <c r="G407" s="47">
        <v>3701181.3960000002</v>
      </c>
      <c r="H407" s="37">
        <f t="shared" si="142"/>
        <v>1</v>
      </c>
      <c r="I407" s="37" t="str">
        <f t="shared" si="143"/>
        <v>0-120 DAYS</v>
      </c>
      <c r="J407" s="37" t="str">
        <f t="shared" si="144"/>
        <v>0-180 DAYS</v>
      </c>
      <c r="L407" s="66" t="s">
        <v>1730</v>
      </c>
      <c r="M407" s="158" t="s">
        <v>5563</v>
      </c>
      <c r="N407" s="158">
        <v>3701181.4</v>
      </c>
    </row>
    <row r="408" spans="1:14" hidden="1" x14ac:dyDescent="0.35">
      <c r="A408" t="s">
        <v>4333</v>
      </c>
      <c r="B408" t="s">
        <v>789</v>
      </c>
      <c r="C408" t="s">
        <v>125</v>
      </c>
      <c r="D408" t="s">
        <v>57</v>
      </c>
      <c r="E408" t="s">
        <v>5190</v>
      </c>
      <c r="F408" s="35">
        <v>46203</v>
      </c>
      <c r="G408" s="150">
        <v>132004</v>
      </c>
      <c r="H408" s="37">
        <f t="shared" si="142"/>
        <v>32</v>
      </c>
      <c r="I408" s="37" t="str">
        <f t="shared" ref="I408:I410" si="151">IF(H408&lt;91,"1-90 DAYS",IF(H408&lt;121,"91-120DAYS",IF(H408&lt;181,"121-180 DAYS","More than 180 Days")))</f>
        <v>1-90 DAYS</v>
      </c>
      <c r="J408" s="37" t="str">
        <f t="shared" si="144"/>
        <v>0-180 DAYS</v>
      </c>
      <c r="M408" s="158" t="s">
        <v>5195</v>
      </c>
      <c r="N408" s="158">
        <v>132004</v>
      </c>
    </row>
    <row r="409" spans="1:14" hidden="1" x14ac:dyDescent="0.35">
      <c r="A409" t="s">
        <v>4333</v>
      </c>
      <c r="B409" t="s">
        <v>789</v>
      </c>
      <c r="C409" t="s">
        <v>125</v>
      </c>
      <c r="D409" t="s">
        <v>57</v>
      </c>
      <c r="E409" t="s">
        <v>5190</v>
      </c>
      <c r="F409" s="35">
        <v>46203</v>
      </c>
      <c r="G409" s="150">
        <v>52011.6</v>
      </c>
      <c r="H409" s="37">
        <f t="shared" si="126"/>
        <v>32</v>
      </c>
      <c r="I409" s="37" t="str">
        <f t="shared" si="151"/>
        <v>1-90 DAYS</v>
      </c>
      <c r="J409" s="37" t="str">
        <f t="shared" si="128"/>
        <v>0-180 DAYS</v>
      </c>
      <c r="M409" s="158" t="s">
        <v>5195</v>
      </c>
      <c r="N409" s="158">
        <v>52011.6</v>
      </c>
    </row>
    <row r="410" spans="1:14" hidden="1" x14ac:dyDescent="0.35">
      <c r="A410" t="s">
        <v>4333</v>
      </c>
      <c r="B410" t="s">
        <v>789</v>
      </c>
      <c r="C410" t="s">
        <v>125</v>
      </c>
      <c r="D410" t="s">
        <v>57</v>
      </c>
      <c r="E410" t="s">
        <v>5191</v>
      </c>
      <c r="F410" s="35">
        <v>46203</v>
      </c>
      <c r="G410" s="150">
        <v>2448</v>
      </c>
      <c r="H410" s="37">
        <f t="shared" si="126"/>
        <v>32</v>
      </c>
      <c r="I410" s="37" t="str">
        <f t="shared" si="151"/>
        <v>1-90 DAYS</v>
      </c>
      <c r="J410" s="37" t="str">
        <f t="shared" si="128"/>
        <v>0-180 DAYS</v>
      </c>
      <c r="M410" s="158" t="s">
        <v>5195</v>
      </c>
      <c r="N410" s="158">
        <v>2448</v>
      </c>
    </row>
    <row r="411" spans="1:14" hidden="1" x14ac:dyDescent="0.35">
      <c r="A411" t="s">
        <v>4333</v>
      </c>
      <c r="B411" t="s">
        <v>789</v>
      </c>
      <c r="C411" t="s">
        <v>125</v>
      </c>
      <c r="D411" t="s">
        <v>57</v>
      </c>
      <c r="E411" t="s">
        <v>5457</v>
      </c>
      <c r="F411" s="35">
        <v>46204</v>
      </c>
      <c r="G411" s="150">
        <v>230099.16</v>
      </c>
      <c r="H411" s="37">
        <f t="shared" ref="H411:H474" si="152">$H$1-F411+1</f>
        <v>31</v>
      </c>
      <c r="I411" s="37" t="str">
        <f t="shared" ref="I411:I474" si="153">IF(H411&lt;91,"1-90 DAYS",IF(H411&lt;121,"91-120DAYS",IF(H411&lt;181,"121-180 DAYS","More than 180 Days")))</f>
        <v>1-90 DAYS</v>
      </c>
      <c r="J411" s="37" t="str">
        <f t="shared" ref="J411:J474" si="154">IF(H411&lt;180,"0-180 DAYS","More than 180 Days")</f>
        <v>0-180 DAYS</v>
      </c>
      <c r="M411" s="158" t="s">
        <v>5577</v>
      </c>
      <c r="N411" s="158">
        <v>230099.16</v>
      </c>
    </row>
    <row r="412" spans="1:14" hidden="1" x14ac:dyDescent="0.35">
      <c r="A412" t="s">
        <v>4333</v>
      </c>
      <c r="B412" t="s">
        <v>789</v>
      </c>
      <c r="C412" t="s">
        <v>125</v>
      </c>
      <c r="D412" t="s">
        <v>57</v>
      </c>
      <c r="E412" t="s">
        <v>5458</v>
      </c>
      <c r="F412" s="35">
        <v>46205</v>
      </c>
      <c r="G412" s="150">
        <v>5828.92</v>
      </c>
      <c r="H412" s="37">
        <f t="shared" si="152"/>
        <v>30</v>
      </c>
      <c r="I412" s="37" t="str">
        <f t="shared" si="153"/>
        <v>1-90 DAYS</v>
      </c>
      <c r="J412" s="37" t="str">
        <f t="shared" si="154"/>
        <v>0-180 DAYS</v>
      </c>
      <c r="M412" s="158" t="s">
        <v>5588</v>
      </c>
      <c r="N412" s="158">
        <v>5828.92</v>
      </c>
    </row>
    <row r="413" spans="1:14" hidden="1" x14ac:dyDescent="0.35">
      <c r="A413" t="s">
        <v>4333</v>
      </c>
      <c r="B413" t="s">
        <v>789</v>
      </c>
      <c r="C413" t="s">
        <v>125</v>
      </c>
      <c r="D413" t="s">
        <v>57</v>
      </c>
      <c r="E413" t="s">
        <v>5459</v>
      </c>
      <c r="F413" s="35">
        <v>46205</v>
      </c>
      <c r="G413" s="150">
        <v>691443.07</v>
      </c>
      <c r="H413" s="37">
        <f t="shared" si="152"/>
        <v>30</v>
      </c>
      <c r="I413" s="37" t="str">
        <f t="shared" si="153"/>
        <v>1-90 DAYS</v>
      </c>
      <c r="J413" s="37" t="str">
        <f t="shared" si="154"/>
        <v>0-180 DAYS</v>
      </c>
      <c r="M413" s="158" t="s">
        <v>5588</v>
      </c>
      <c r="N413" s="158">
        <v>691443.07</v>
      </c>
    </row>
    <row r="414" spans="1:14" hidden="1" x14ac:dyDescent="0.35">
      <c r="A414" t="s">
        <v>4333</v>
      </c>
      <c r="B414" t="s">
        <v>789</v>
      </c>
      <c r="C414" t="s">
        <v>125</v>
      </c>
      <c r="D414" t="s">
        <v>57</v>
      </c>
      <c r="E414" t="s">
        <v>5460</v>
      </c>
      <c r="F414" s="35">
        <v>46205</v>
      </c>
      <c r="G414" s="150">
        <v>43790</v>
      </c>
      <c r="H414" s="37">
        <f t="shared" si="152"/>
        <v>30</v>
      </c>
      <c r="I414" s="37" t="str">
        <f t="shared" si="153"/>
        <v>1-90 DAYS</v>
      </c>
      <c r="J414" s="37" t="str">
        <f t="shared" si="154"/>
        <v>0-180 DAYS</v>
      </c>
      <c r="M414" s="158" t="s">
        <v>5588</v>
      </c>
      <c r="N414" s="158">
        <v>43790</v>
      </c>
    </row>
    <row r="415" spans="1:14" hidden="1" x14ac:dyDescent="0.35">
      <c r="A415" t="s">
        <v>4333</v>
      </c>
      <c r="B415" t="s">
        <v>789</v>
      </c>
      <c r="C415" t="s">
        <v>125</v>
      </c>
      <c r="D415" t="s">
        <v>57</v>
      </c>
      <c r="E415" t="s">
        <v>5461</v>
      </c>
      <c r="F415" s="35">
        <v>46206</v>
      </c>
      <c r="G415" s="150">
        <v>65841.94</v>
      </c>
      <c r="H415" s="37">
        <f t="shared" si="152"/>
        <v>29</v>
      </c>
      <c r="I415" s="37" t="str">
        <f t="shared" si="153"/>
        <v>1-90 DAYS</v>
      </c>
      <c r="J415" s="37" t="str">
        <f t="shared" si="154"/>
        <v>0-180 DAYS</v>
      </c>
      <c r="M415" s="158" t="s">
        <v>5564</v>
      </c>
      <c r="N415" s="158">
        <v>65841.94</v>
      </c>
    </row>
    <row r="416" spans="1:14" hidden="1" x14ac:dyDescent="0.35">
      <c r="A416" t="s">
        <v>4333</v>
      </c>
      <c r="B416" t="s">
        <v>789</v>
      </c>
      <c r="C416" t="s">
        <v>125</v>
      </c>
      <c r="D416" t="s">
        <v>57</v>
      </c>
      <c r="E416" t="s">
        <v>5462</v>
      </c>
      <c r="F416" s="35">
        <v>46206</v>
      </c>
      <c r="G416" s="150">
        <v>1301.72</v>
      </c>
      <c r="H416" s="37">
        <f t="shared" si="152"/>
        <v>29</v>
      </c>
      <c r="I416" s="37" t="str">
        <f t="shared" si="153"/>
        <v>1-90 DAYS</v>
      </c>
      <c r="J416" s="37" t="str">
        <f t="shared" si="154"/>
        <v>0-180 DAYS</v>
      </c>
      <c r="M416" s="158" t="s">
        <v>5564</v>
      </c>
      <c r="N416" s="158">
        <v>1301.72</v>
      </c>
    </row>
    <row r="417" spans="1:14" hidden="1" x14ac:dyDescent="0.35">
      <c r="A417" t="s">
        <v>4333</v>
      </c>
      <c r="B417" t="s">
        <v>789</v>
      </c>
      <c r="C417" t="s">
        <v>125</v>
      </c>
      <c r="D417" t="s">
        <v>57</v>
      </c>
      <c r="E417" t="s">
        <v>5463</v>
      </c>
      <c r="F417" s="35">
        <v>46206</v>
      </c>
      <c r="G417" s="150">
        <v>957235.11</v>
      </c>
      <c r="H417" s="37">
        <f t="shared" si="152"/>
        <v>29</v>
      </c>
      <c r="I417" s="37" t="str">
        <f t="shared" si="153"/>
        <v>1-90 DAYS</v>
      </c>
      <c r="J417" s="37" t="str">
        <f t="shared" si="154"/>
        <v>0-180 DAYS</v>
      </c>
      <c r="M417" s="158" t="s">
        <v>5564</v>
      </c>
      <c r="N417" s="158">
        <v>957235.11</v>
      </c>
    </row>
    <row r="418" spans="1:14" hidden="1" x14ac:dyDescent="0.35">
      <c r="A418" t="s">
        <v>4333</v>
      </c>
      <c r="B418" t="s">
        <v>789</v>
      </c>
      <c r="C418" t="s">
        <v>125</v>
      </c>
      <c r="D418" t="s">
        <v>57</v>
      </c>
      <c r="E418" t="s">
        <v>5464</v>
      </c>
      <c r="F418" s="35">
        <v>46206</v>
      </c>
      <c r="G418" s="150">
        <v>3395.4</v>
      </c>
      <c r="H418" s="37">
        <f t="shared" si="152"/>
        <v>29</v>
      </c>
      <c r="I418" s="37" t="str">
        <f t="shared" si="153"/>
        <v>1-90 DAYS</v>
      </c>
      <c r="J418" s="37" t="str">
        <f t="shared" si="154"/>
        <v>0-180 DAYS</v>
      </c>
      <c r="M418" s="158" t="s">
        <v>5564</v>
      </c>
      <c r="N418" s="158">
        <v>3395.4</v>
      </c>
    </row>
    <row r="419" spans="1:14" hidden="1" x14ac:dyDescent="0.35">
      <c r="A419" t="s">
        <v>4333</v>
      </c>
      <c r="B419" t="s">
        <v>789</v>
      </c>
      <c r="C419" t="s">
        <v>125</v>
      </c>
      <c r="D419" t="s">
        <v>57</v>
      </c>
      <c r="E419" t="s">
        <v>5465</v>
      </c>
      <c r="F419" s="35">
        <v>46206</v>
      </c>
      <c r="G419" s="150">
        <v>573600.22</v>
      </c>
      <c r="H419" s="37">
        <f t="shared" si="152"/>
        <v>29</v>
      </c>
      <c r="I419" s="37" t="str">
        <f t="shared" si="153"/>
        <v>1-90 DAYS</v>
      </c>
      <c r="J419" s="37" t="str">
        <f t="shared" si="154"/>
        <v>0-180 DAYS</v>
      </c>
      <c r="M419" s="158" t="s">
        <v>5564</v>
      </c>
      <c r="N419" s="158">
        <v>573600.22</v>
      </c>
    </row>
    <row r="420" spans="1:14" hidden="1" x14ac:dyDescent="0.35">
      <c r="A420" t="s">
        <v>4333</v>
      </c>
      <c r="B420" t="s">
        <v>789</v>
      </c>
      <c r="C420" t="s">
        <v>125</v>
      </c>
      <c r="D420" t="s">
        <v>57</v>
      </c>
      <c r="E420" t="s">
        <v>5466</v>
      </c>
      <c r="F420" s="35">
        <v>46207</v>
      </c>
      <c r="G420" s="150">
        <v>167436.94</v>
      </c>
      <c r="H420" s="37">
        <f t="shared" si="152"/>
        <v>28</v>
      </c>
      <c r="I420" s="37" t="str">
        <f t="shared" si="153"/>
        <v>1-90 DAYS</v>
      </c>
      <c r="J420" s="37" t="str">
        <f t="shared" si="154"/>
        <v>0-180 DAYS</v>
      </c>
      <c r="M420" s="158" t="s">
        <v>5253</v>
      </c>
      <c r="N420" s="158">
        <v>167436.94</v>
      </c>
    </row>
    <row r="421" spans="1:14" hidden="1" x14ac:dyDescent="0.35">
      <c r="A421" t="s">
        <v>4333</v>
      </c>
      <c r="B421" t="s">
        <v>789</v>
      </c>
      <c r="C421" t="s">
        <v>125</v>
      </c>
      <c r="D421" t="s">
        <v>57</v>
      </c>
      <c r="E421" t="s">
        <v>5467</v>
      </c>
      <c r="F421" s="35">
        <v>46207</v>
      </c>
      <c r="G421" s="150">
        <v>911020.37</v>
      </c>
      <c r="H421" s="37">
        <f t="shared" si="152"/>
        <v>28</v>
      </c>
      <c r="I421" s="37" t="str">
        <f t="shared" si="153"/>
        <v>1-90 DAYS</v>
      </c>
      <c r="J421" s="37" t="str">
        <f t="shared" si="154"/>
        <v>0-180 DAYS</v>
      </c>
      <c r="M421" s="158" t="s">
        <v>5253</v>
      </c>
      <c r="N421" s="158">
        <v>911020.37</v>
      </c>
    </row>
    <row r="422" spans="1:14" hidden="1" x14ac:dyDescent="0.35">
      <c r="A422" t="s">
        <v>4333</v>
      </c>
      <c r="B422" t="s">
        <v>789</v>
      </c>
      <c r="C422" t="s">
        <v>125</v>
      </c>
      <c r="D422" t="s">
        <v>57</v>
      </c>
      <c r="E422" t="s">
        <v>5468</v>
      </c>
      <c r="F422" s="35">
        <v>46207</v>
      </c>
      <c r="G422" s="150">
        <v>2433.52</v>
      </c>
      <c r="H422" s="37">
        <f t="shared" si="152"/>
        <v>28</v>
      </c>
      <c r="I422" s="37" t="str">
        <f t="shared" si="153"/>
        <v>1-90 DAYS</v>
      </c>
      <c r="J422" s="37" t="str">
        <f t="shared" si="154"/>
        <v>0-180 DAYS</v>
      </c>
      <c r="M422" s="158" t="s">
        <v>5253</v>
      </c>
      <c r="N422" s="158">
        <v>2433.52</v>
      </c>
    </row>
    <row r="423" spans="1:14" hidden="1" x14ac:dyDescent="0.35">
      <c r="A423" t="s">
        <v>4333</v>
      </c>
      <c r="B423" t="s">
        <v>789</v>
      </c>
      <c r="C423" t="s">
        <v>125</v>
      </c>
      <c r="D423" t="s">
        <v>57</v>
      </c>
      <c r="E423" t="s">
        <v>5469</v>
      </c>
      <c r="F423" s="35">
        <v>46207</v>
      </c>
      <c r="G423" s="150">
        <v>349682.9</v>
      </c>
      <c r="H423" s="37">
        <f t="shared" si="152"/>
        <v>28</v>
      </c>
      <c r="I423" s="37" t="str">
        <f t="shared" si="153"/>
        <v>1-90 DAYS</v>
      </c>
      <c r="J423" s="37" t="str">
        <f t="shared" si="154"/>
        <v>0-180 DAYS</v>
      </c>
      <c r="M423" s="158" t="s">
        <v>5253</v>
      </c>
      <c r="N423" s="158">
        <v>349682.9</v>
      </c>
    </row>
    <row r="424" spans="1:14" hidden="1" x14ac:dyDescent="0.35">
      <c r="A424" t="s">
        <v>4333</v>
      </c>
      <c r="B424" t="s">
        <v>789</v>
      </c>
      <c r="C424" t="s">
        <v>125</v>
      </c>
      <c r="D424" t="s">
        <v>57</v>
      </c>
      <c r="E424" t="s">
        <v>5470</v>
      </c>
      <c r="F424" s="35">
        <v>46208</v>
      </c>
      <c r="G424" s="150">
        <v>2716.72</v>
      </c>
      <c r="H424" s="37">
        <f t="shared" si="152"/>
        <v>27</v>
      </c>
      <c r="I424" s="37" t="str">
        <f t="shared" si="153"/>
        <v>1-90 DAYS</v>
      </c>
      <c r="J424" s="37" t="str">
        <f t="shared" si="154"/>
        <v>0-180 DAYS</v>
      </c>
      <c r="M424" s="158" t="s">
        <v>5565</v>
      </c>
      <c r="N424" s="158">
        <v>2716.72</v>
      </c>
    </row>
    <row r="425" spans="1:14" hidden="1" x14ac:dyDescent="0.35">
      <c r="A425" t="s">
        <v>4333</v>
      </c>
      <c r="B425" t="s">
        <v>789</v>
      </c>
      <c r="C425" t="s">
        <v>125</v>
      </c>
      <c r="D425" t="s">
        <v>57</v>
      </c>
      <c r="E425" t="s">
        <v>5471</v>
      </c>
      <c r="F425" s="35">
        <v>46208</v>
      </c>
      <c r="G425" s="150">
        <v>240398.6</v>
      </c>
      <c r="H425" s="37">
        <f t="shared" si="152"/>
        <v>27</v>
      </c>
      <c r="I425" s="37" t="str">
        <f t="shared" si="153"/>
        <v>1-90 DAYS</v>
      </c>
      <c r="J425" s="37" t="str">
        <f t="shared" si="154"/>
        <v>0-180 DAYS</v>
      </c>
      <c r="M425" s="158" t="s">
        <v>5565</v>
      </c>
      <c r="N425" s="158">
        <v>240398.6</v>
      </c>
    </row>
    <row r="426" spans="1:14" hidden="1" x14ac:dyDescent="0.35">
      <c r="A426" t="s">
        <v>4333</v>
      </c>
      <c r="B426" t="s">
        <v>789</v>
      </c>
      <c r="C426" t="s">
        <v>125</v>
      </c>
      <c r="D426" t="s">
        <v>57</v>
      </c>
      <c r="E426" t="s">
        <v>5472</v>
      </c>
      <c r="F426" s="35">
        <v>46208</v>
      </c>
      <c r="G426" s="150">
        <v>70867.259999999995</v>
      </c>
      <c r="H426" s="37">
        <f t="shared" si="152"/>
        <v>27</v>
      </c>
      <c r="I426" s="37" t="str">
        <f t="shared" si="153"/>
        <v>1-90 DAYS</v>
      </c>
      <c r="J426" s="37" t="str">
        <f t="shared" si="154"/>
        <v>0-180 DAYS</v>
      </c>
      <c r="M426" s="158" t="s">
        <v>5565</v>
      </c>
      <c r="N426" s="158">
        <v>70867.259999999995</v>
      </c>
    </row>
    <row r="427" spans="1:14" hidden="1" x14ac:dyDescent="0.35">
      <c r="A427" t="s">
        <v>4333</v>
      </c>
      <c r="B427" t="s">
        <v>789</v>
      </c>
      <c r="C427" t="s">
        <v>125</v>
      </c>
      <c r="D427" t="s">
        <v>57</v>
      </c>
      <c r="E427" t="s">
        <v>5473</v>
      </c>
      <c r="F427" s="35">
        <v>46208</v>
      </c>
      <c r="G427" s="150">
        <v>5005.72</v>
      </c>
      <c r="H427" s="37">
        <f t="shared" si="152"/>
        <v>27</v>
      </c>
      <c r="I427" s="37" t="str">
        <f t="shared" si="153"/>
        <v>1-90 DAYS</v>
      </c>
      <c r="J427" s="37" t="str">
        <f t="shared" si="154"/>
        <v>0-180 DAYS</v>
      </c>
      <c r="M427" s="158" t="s">
        <v>5565</v>
      </c>
      <c r="N427" s="158">
        <v>5005.72</v>
      </c>
    </row>
    <row r="428" spans="1:14" hidden="1" x14ac:dyDescent="0.35">
      <c r="A428" t="s">
        <v>4333</v>
      </c>
      <c r="B428" t="s">
        <v>789</v>
      </c>
      <c r="C428" t="s">
        <v>125</v>
      </c>
      <c r="D428" t="s">
        <v>57</v>
      </c>
      <c r="E428" t="s">
        <v>5474</v>
      </c>
      <c r="F428" s="35">
        <v>46208</v>
      </c>
      <c r="G428" s="150">
        <v>37410</v>
      </c>
      <c r="H428" s="37">
        <f t="shared" si="152"/>
        <v>27</v>
      </c>
      <c r="I428" s="37" t="str">
        <f t="shared" si="153"/>
        <v>1-90 DAYS</v>
      </c>
      <c r="J428" s="37" t="str">
        <f t="shared" si="154"/>
        <v>0-180 DAYS</v>
      </c>
      <c r="M428" s="158" t="s">
        <v>5565</v>
      </c>
      <c r="N428" s="158">
        <v>37410</v>
      </c>
    </row>
    <row r="429" spans="1:14" hidden="1" x14ac:dyDescent="0.35">
      <c r="A429" t="s">
        <v>4333</v>
      </c>
      <c r="B429" t="s">
        <v>789</v>
      </c>
      <c r="C429" t="s">
        <v>125</v>
      </c>
      <c r="D429" t="s">
        <v>57</v>
      </c>
      <c r="E429" t="s">
        <v>5475</v>
      </c>
      <c r="F429" s="35">
        <v>46209</v>
      </c>
      <c r="G429" s="150">
        <v>3452.04</v>
      </c>
      <c r="H429" s="37">
        <f t="shared" si="152"/>
        <v>26</v>
      </c>
      <c r="I429" s="37" t="str">
        <f t="shared" si="153"/>
        <v>1-90 DAYS</v>
      </c>
      <c r="J429" s="37" t="str">
        <f t="shared" si="154"/>
        <v>0-180 DAYS</v>
      </c>
      <c r="M429" s="158" t="s">
        <v>5566</v>
      </c>
      <c r="N429" s="158">
        <v>3452.04</v>
      </c>
    </row>
    <row r="430" spans="1:14" hidden="1" x14ac:dyDescent="0.35">
      <c r="A430" t="s">
        <v>4333</v>
      </c>
      <c r="B430" t="s">
        <v>789</v>
      </c>
      <c r="C430" t="s">
        <v>125</v>
      </c>
      <c r="D430" t="s">
        <v>57</v>
      </c>
      <c r="E430" t="s">
        <v>5476</v>
      </c>
      <c r="F430" s="35">
        <v>46209</v>
      </c>
      <c r="G430" s="150">
        <v>323469.7</v>
      </c>
      <c r="H430" s="37">
        <f t="shared" si="152"/>
        <v>26</v>
      </c>
      <c r="I430" s="37" t="str">
        <f t="shared" si="153"/>
        <v>1-90 DAYS</v>
      </c>
      <c r="J430" s="37" t="str">
        <f t="shared" si="154"/>
        <v>0-180 DAYS</v>
      </c>
      <c r="M430" s="158" t="s">
        <v>5566</v>
      </c>
      <c r="N430" s="158">
        <v>323469.7</v>
      </c>
    </row>
    <row r="431" spans="1:14" hidden="1" x14ac:dyDescent="0.35">
      <c r="A431" t="s">
        <v>4333</v>
      </c>
      <c r="B431" t="s">
        <v>789</v>
      </c>
      <c r="C431" t="s">
        <v>125</v>
      </c>
      <c r="D431" t="s">
        <v>57</v>
      </c>
      <c r="E431" t="s">
        <v>5477</v>
      </c>
      <c r="F431" s="35">
        <v>46209</v>
      </c>
      <c r="G431" s="150">
        <v>94888.26</v>
      </c>
      <c r="H431" s="37">
        <f t="shared" si="152"/>
        <v>26</v>
      </c>
      <c r="I431" s="37" t="str">
        <f t="shared" si="153"/>
        <v>1-90 DAYS</v>
      </c>
      <c r="J431" s="37" t="str">
        <f t="shared" si="154"/>
        <v>0-180 DAYS</v>
      </c>
      <c r="M431" s="158" t="s">
        <v>5566</v>
      </c>
      <c r="N431" s="158">
        <v>94888.26</v>
      </c>
    </row>
    <row r="432" spans="1:14" hidden="1" x14ac:dyDescent="0.35">
      <c r="A432" t="s">
        <v>4333</v>
      </c>
      <c r="B432" t="s">
        <v>789</v>
      </c>
      <c r="C432" t="s">
        <v>125</v>
      </c>
      <c r="D432" t="s">
        <v>57</v>
      </c>
      <c r="E432" t="s">
        <v>5478</v>
      </c>
      <c r="F432" s="35">
        <v>46209</v>
      </c>
      <c r="G432" s="150">
        <v>68667.75</v>
      </c>
      <c r="H432" s="37">
        <f t="shared" si="152"/>
        <v>26</v>
      </c>
      <c r="I432" s="37" t="str">
        <f t="shared" si="153"/>
        <v>1-90 DAYS</v>
      </c>
      <c r="J432" s="37" t="str">
        <f t="shared" si="154"/>
        <v>0-180 DAYS</v>
      </c>
      <c r="M432" s="158" t="s">
        <v>5566</v>
      </c>
      <c r="N432" s="158">
        <v>68667.75</v>
      </c>
    </row>
    <row r="433" spans="1:14" hidden="1" x14ac:dyDescent="0.35">
      <c r="A433" t="s">
        <v>4333</v>
      </c>
      <c r="B433" t="s">
        <v>789</v>
      </c>
      <c r="C433" t="s">
        <v>125</v>
      </c>
      <c r="D433" t="s">
        <v>57</v>
      </c>
      <c r="E433" t="s">
        <v>2335</v>
      </c>
      <c r="F433" s="35">
        <v>46210</v>
      </c>
      <c r="G433" s="150">
        <v>445109</v>
      </c>
      <c r="H433" s="37">
        <f t="shared" si="152"/>
        <v>25</v>
      </c>
      <c r="I433" s="37" t="str">
        <f t="shared" si="153"/>
        <v>1-90 DAYS</v>
      </c>
      <c r="J433" s="37" t="str">
        <f t="shared" si="154"/>
        <v>0-180 DAYS</v>
      </c>
      <c r="M433" s="158" t="s">
        <v>5585</v>
      </c>
      <c r="N433" s="158">
        <v>445109</v>
      </c>
    </row>
    <row r="434" spans="1:14" hidden="1" x14ac:dyDescent="0.35">
      <c r="A434" t="s">
        <v>4333</v>
      </c>
      <c r="B434" t="s">
        <v>789</v>
      </c>
      <c r="C434" t="s">
        <v>125</v>
      </c>
      <c r="D434" t="s">
        <v>57</v>
      </c>
      <c r="E434" t="s">
        <v>5479</v>
      </c>
      <c r="F434" s="35">
        <v>46210</v>
      </c>
      <c r="G434" s="150">
        <v>4753.76</v>
      </c>
      <c r="H434" s="37">
        <f t="shared" si="152"/>
        <v>25</v>
      </c>
      <c r="I434" s="37" t="str">
        <f t="shared" si="153"/>
        <v>1-90 DAYS</v>
      </c>
      <c r="J434" s="37" t="str">
        <f t="shared" si="154"/>
        <v>0-180 DAYS</v>
      </c>
      <c r="M434" s="158" t="s">
        <v>5585</v>
      </c>
      <c r="N434" s="158">
        <v>4753.76</v>
      </c>
    </row>
    <row r="435" spans="1:14" hidden="1" x14ac:dyDescent="0.35">
      <c r="A435" t="s">
        <v>4333</v>
      </c>
      <c r="B435" t="s">
        <v>789</v>
      </c>
      <c r="C435" t="s">
        <v>125</v>
      </c>
      <c r="D435" t="s">
        <v>57</v>
      </c>
      <c r="E435" t="s">
        <v>5480</v>
      </c>
      <c r="F435" s="35">
        <v>46210</v>
      </c>
      <c r="G435" s="150">
        <v>649609.74</v>
      </c>
      <c r="H435" s="37">
        <f t="shared" si="152"/>
        <v>25</v>
      </c>
      <c r="I435" s="37" t="str">
        <f t="shared" si="153"/>
        <v>1-90 DAYS</v>
      </c>
      <c r="J435" s="37" t="str">
        <f t="shared" si="154"/>
        <v>0-180 DAYS</v>
      </c>
      <c r="M435" s="158" t="s">
        <v>5585</v>
      </c>
      <c r="N435" s="158">
        <v>649609.74</v>
      </c>
    </row>
    <row r="436" spans="1:14" hidden="1" x14ac:dyDescent="0.35">
      <c r="A436" t="s">
        <v>4333</v>
      </c>
      <c r="B436" t="s">
        <v>789</v>
      </c>
      <c r="C436" t="s">
        <v>125</v>
      </c>
      <c r="D436" t="s">
        <v>57</v>
      </c>
      <c r="E436" t="s">
        <v>5481</v>
      </c>
      <c r="F436" s="35">
        <v>46210</v>
      </c>
      <c r="G436" s="150">
        <v>31320</v>
      </c>
      <c r="H436" s="37">
        <f t="shared" si="152"/>
        <v>25</v>
      </c>
      <c r="I436" s="37" t="str">
        <f t="shared" si="153"/>
        <v>1-90 DAYS</v>
      </c>
      <c r="J436" s="37" t="str">
        <f t="shared" si="154"/>
        <v>0-180 DAYS</v>
      </c>
      <c r="M436" s="158" t="s">
        <v>5585</v>
      </c>
      <c r="N436" s="158">
        <v>31320</v>
      </c>
    </row>
    <row r="437" spans="1:14" hidden="1" x14ac:dyDescent="0.35">
      <c r="A437" t="s">
        <v>4333</v>
      </c>
      <c r="B437" t="s">
        <v>789</v>
      </c>
      <c r="C437" t="s">
        <v>125</v>
      </c>
      <c r="D437" t="s">
        <v>57</v>
      </c>
      <c r="E437" t="s">
        <v>5482</v>
      </c>
      <c r="F437" s="35">
        <v>46211</v>
      </c>
      <c r="G437" s="150">
        <v>18746</v>
      </c>
      <c r="H437" s="37">
        <f t="shared" si="152"/>
        <v>24</v>
      </c>
      <c r="I437" s="37" t="str">
        <f t="shared" si="153"/>
        <v>1-90 DAYS</v>
      </c>
      <c r="J437" s="37" t="str">
        <f t="shared" si="154"/>
        <v>0-180 DAYS</v>
      </c>
      <c r="M437" s="158" t="s">
        <v>5567</v>
      </c>
      <c r="N437" s="158">
        <v>18746</v>
      </c>
    </row>
    <row r="438" spans="1:14" hidden="1" x14ac:dyDescent="0.35">
      <c r="A438" t="s">
        <v>4333</v>
      </c>
      <c r="B438" t="s">
        <v>789</v>
      </c>
      <c r="C438" t="s">
        <v>125</v>
      </c>
      <c r="D438" t="s">
        <v>57</v>
      </c>
      <c r="E438" t="s">
        <v>5483</v>
      </c>
      <c r="F438" s="35">
        <v>46211</v>
      </c>
      <c r="G438" s="150">
        <v>5093.6000000000004</v>
      </c>
      <c r="H438" s="37">
        <f t="shared" si="152"/>
        <v>24</v>
      </c>
      <c r="I438" s="37" t="str">
        <f t="shared" si="153"/>
        <v>1-90 DAYS</v>
      </c>
      <c r="J438" s="37" t="str">
        <f t="shared" si="154"/>
        <v>0-180 DAYS</v>
      </c>
      <c r="M438" s="158" t="s">
        <v>5567</v>
      </c>
      <c r="N438" s="158">
        <v>5093.6000000000004</v>
      </c>
    </row>
    <row r="439" spans="1:14" hidden="1" x14ac:dyDescent="0.35">
      <c r="A439" t="s">
        <v>4333</v>
      </c>
      <c r="B439" t="s">
        <v>789</v>
      </c>
      <c r="C439" t="s">
        <v>125</v>
      </c>
      <c r="D439" t="s">
        <v>57</v>
      </c>
      <c r="E439" t="s">
        <v>5484</v>
      </c>
      <c r="F439" s="35">
        <v>46211</v>
      </c>
      <c r="G439" s="150">
        <v>707610.21</v>
      </c>
      <c r="H439" s="37">
        <f t="shared" si="152"/>
        <v>24</v>
      </c>
      <c r="I439" s="37" t="str">
        <f t="shared" si="153"/>
        <v>1-90 DAYS</v>
      </c>
      <c r="J439" s="37" t="str">
        <f t="shared" si="154"/>
        <v>0-180 DAYS</v>
      </c>
      <c r="M439" s="158" t="s">
        <v>5567</v>
      </c>
      <c r="N439" s="158">
        <v>707610.21</v>
      </c>
    </row>
    <row r="440" spans="1:14" hidden="1" x14ac:dyDescent="0.35">
      <c r="A440" t="s">
        <v>4333</v>
      </c>
      <c r="B440" t="s">
        <v>789</v>
      </c>
      <c r="C440" t="s">
        <v>125</v>
      </c>
      <c r="D440" t="s">
        <v>57</v>
      </c>
      <c r="E440" t="s">
        <v>5485</v>
      </c>
      <c r="F440" s="35">
        <v>46211</v>
      </c>
      <c r="G440" s="150">
        <v>18618.669999999998</v>
      </c>
      <c r="H440" s="37">
        <f t="shared" si="152"/>
        <v>24</v>
      </c>
      <c r="I440" s="37" t="str">
        <f t="shared" si="153"/>
        <v>1-90 DAYS</v>
      </c>
      <c r="J440" s="37" t="str">
        <f t="shared" si="154"/>
        <v>0-180 DAYS</v>
      </c>
      <c r="M440" s="158" t="s">
        <v>5567</v>
      </c>
      <c r="N440" s="158">
        <v>18618.669999999998</v>
      </c>
    </row>
    <row r="441" spans="1:14" hidden="1" x14ac:dyDescent="0.35">
      <c r="A441" t="s">
        <v>4333</v>
      </c>
      <c r="B441" t="s">
        <v>789</v>
      </c>
      <c r="C441" t="s">
        <v>125</v>
      </c>
      <c r="D441" t="s">
        <v>57</v>
      </c>
      <c r="E441" t="s">
        <v>5486</v>
      </c>
      <c r="F441" s="35">
        <v>46211</v>
      </c>
      <c r="G441" s="150">
        <v>322692</v>
      </c>
      <c r="H441" s="37">
        <f t="shared" si="152"/>
        <v>24</v>
      </c>
      <c r="I441" s="37" t="str">
        <f t="shared" si="153"/>
        <v>1-90 DAYS</v>
      </c>
      <c r="J441" s="37" t="str">
        <f t="shared" si="154"/>
        <v>0-180 DAYS</v>
      </c>
      <c r="M441" s="158" t="s">
        <v>5567</v>
      </c>
      <c r="N441" s="158">
        <v>322692</v>
      </c>
    </row>
    <row r="442" spans="1:14" hidden="1" x14ac:dyDescent="0.35">
      <c r="A442" t="s">
        <v>4333</v>
      </c>
      <c r="B442" t="s">
        <v>789</v>
      </c>
      <c r="C442" t="s">
        <v>125</v>
      </c>
      <c r="D442" t="s">
        <v>57</v>
      </c>
      <c r="E442" t="s">
        <v>5487</v>
      </c>
      <c r="F442" s="35">
        <v>46212</v>
      </c>
      <c r="G442" s="150">
        <v>247353.38</v>
      </c>
      <c r="H442" s="37">
        <f t="shared" si="152"/>
        <v>23</v>
      </c>
      <c r="I442" s="37" t="str">
        <f t="shared" si="153"/>
        <v>1-90 DAYS</v>
      </c>
      <c r="J442" s="37" t="str">
        <f t="shared" si="154"/>
        <v>0-180 DAYS</v>
      </c>
      <c r="M442" s="158" t="s">
        <v>5589</v>
      </c>
      <c r="N442" s="158">
        <v>247353.38</v>
      </c>
    </row>
    <row r="443" spans="1:14" hidden="1" x14ac:dyDescent="0.35">
      <c r="A443" t="s">
        <v>4333</v>
      </c>
      <c r="B443" t="s">
        <v>789</v>
      </c>
      <c r="C443" t="s">
        <v>125</v>
      </c>
      <c r="D443" t="s">
        <v>57</v>
      </c>
      <c r="E443" t="s">
        <v>5488</v>
      </c>
      <c r="F443" s="35">
        <v>46212</v>
      </c>
      <c r="G443" s="150">
        <v>2030.72</v>
      </c>
      <c r="H443" s="37">
        <f t="shared" si="152"/>
        <v>23</v>
      </c>
      <c r="I443" s="37" t="str">
        <f t="shared" si="153"/>
        <v>1-90 DAYS</v>
      </c>
      <c r="J443" s="37" t="str">
        <f t="shared" si="154"/>
        <v>0-180 DAYS</v>
      </c>
      <c r="M443" s="158" t="s">
        <v>5589</v>
      </c>
      <c r="N443" s="158">
        <v>2030.72</v>
      </c>
    </row>
    <row r="444" spans="1:14" hidden="1" x14ac:dyDescent="0.35">
      <c r="A444" t="s">
        <v>4333</v>
      </c>
      <c r="B444" t="s">
        <v>789</v>
      </c>
      <c r="C444" t="s">
        <v>125</v>
      </c>
      <c r="D444" t="s">
        <v>57</v>
      </c>
      <c r="E444" t="s">
        <v>5489</v>
      </c>
      <c r="F444" s="35">
        <v>46212</v>
      </c>
      <c r="G444" s="150">
        <v>1301.72</v>
      </c>
      <c r="H444" s="37">
        <f t="shared" si="152"/>
        <v>23</v>
      </c>
      <c r="I444" s="37" t="str">
        <f t="shared" si="153"/>
        <v>1-90 DAYS</v>
      </c>
      <c r="J444" s="37" t="str">
        <f t="shared" si="154"/>
        <v>0-180 DAYS</v>
      </c>
      <c r="M444" s="158" t="s">
        <v>5589</v>
      </c>
      <c r="N444" s="158">
        <v>1301.72</v>
      </c>
    </row>
    <row r="445" spans="1:14" hidden="1" x14ac:dyDescent="0.35">
      <c r="A445" t="s">
        <v>4333</v>
      </c>
      <c r="B445" t="s">
        <v>789</v>
      </c>
      <c r="C445" t="s">
        <v>125</v>
      </c>
      <c r="D445" t="s">
        <v>57</v>
      </c>
      <c r="E445" t="s">
        <v>2336</v>
      </c>
      <c r="F445" s="35">
        <v>46212</v>
      </c>
      <c r="G445" s="150">
        <v>153271.56</v>
      </c>
      <c r="H445" s="37">
        <f t="shared" si="152"/>
        <v>23</v>
      </c>
      <c r="I445" s="37" t="str">
        <f t="shared" si="153"/>
        <v>1-90 DAYS</v>
      </c>
      <c r="J445" s="37" t="str">
        <f t="shared" si="154"/>
        <v>0-180 DAYS</v>
      </c>
      <c r="M445" s="158" t="s">
        <v>5589</v>
      </c>
      <c r="N445" s="158">
        <v>153271.56</v>
      </c>
    </row>
    <row r="446" spans="1:14" hidden="1" x14ac:dyDescent="0.35">
      <c r="A446" t="s">
        <v>4333</v>
      </c>
      <c r="B446" t="s">
        <v>789</v>
      </c>
      <c r="C446" t="s">
        <v>125</v>
      </c>
      <c r="D446" t="s">
        <v>57</v>
      </c>
      <c r="E446" t="s">
        <v>2337</v>
      </c>
      <c r="F446" s="35">
        <v>46212</v>
      </c>
      <c r="G446" s="150">
        <v>803670.9</v>
      </c>
      <c r="H446" s="37">
        <f t="shared" si="152"/>
        <v>23</v>
      </c>
      <c r="I446" s="37" t="str">
        <f t="shared" si="153"/>
        <v>1-90 DAYS</v>
      </c>
      <c r="J446" s="37" t="str">
        <f t="shared" si="154"/>
        <v>0-180 DAYS</v>
      </c>
      <c r="M446" s="158" t="s">
        <v>5589</v>
      </c>
      <c r="N446" s="158">
        <v>803670.9</v>
      </c>
    </row>
    <row r="447" spans="1:14" hidden="1" x14ac:dyDescent="0.35">
      <c r="A447" t="s">
        <v>4333</v>
      </c>
      <c r="B447" t="s">
        <v>789</v>
      </c>
      <c r="C447" t="s">
        <v>125</v>
      </c>
      <c r="D447" t="s">
        <v>57</v>
      </c>
      <c r="E447" t="s">
        <v>2338</v>
      </c>
      <c r="F447" s="35">
        <v>46213</v>
      </c>
      <c r="G447" s="150">
        <v>5432.44</v>
      </c>
      <c r="H447" s="37">
        <f t="shared" si="152"/>
        <v>22</v>
      </c>
      <c r="I447" s="37" t="str">
        <f t="shared" si="153"/>
        <v>1-90 DAYS</v>
      </c>
      <c r="J447" s="37" t="str">
        <f t="shared" si="154"/>
        <v>0-180 DAYS</v>
      </c>
      <c r="M447" s="158" t="s">
        <v>5590</v>
      </c>
      <c r="N447" s="158">
        <v>5432.44</v>
      </c>
    </row>
    <row r="448" spans="1:14" hidden="1" x14ac:dyDescent="0.35">
      <c r="A448" t="s">
        <v>4333</v>
      </c>
      <c r="B448" t="s">
        <v>789</v>
      </c>
      <c r="C448" t="s">
        <v>125</v>
      </c>
      <c r="D448" t="s">
        <v>57</v>
      </c>
      <c r="E448" t="s">
        <v>2339</v>
      </c>
      <c r="F448" s="35">
        <v>46213</v>
      </c>
      <c r="G448" s="150">
        <v>1805410.86</v>
      </c>
      <c r="H448" s="37">
        <f t="shared" si="152"/>
        <v>22</v>
      </c>
      <c r="I448" s="37" t="str">
        <f t="shared" si="153"/>
        <v>1-90 DAYS</v>
      </c>
      <c r="J448" s="37" t="str">
        <f t="shared" si="154"/>
        <v>0-180 DAYS</v>
      </c>
      <c r="M448" s="158" t="s">
        <v>5590</v>
      </c>
      <c r="N448" s="158">
        <v>1805410.86</v>
      </c>
    </row>
    <row r="449" spans="1:14" hidden="1" x14ac:dyDescent="0.35">
      <c r="A449" t="s">
        <v>4333</v>
      </c>
      <c r="B449" t="s">
        <v>789</v>
      </c>
      <c r="C449" t="s">
        <v>125</v>
      </c>
      <c r="D449" t="s">
        <v>57</v>
      </c>
      <c r="E449" t="s">
        <v>2384</v>
      </c>
      <c r="F449" s="35">
        <v>46213</v>
      </c>
      <c r="G449" s="150">
        <v>18089.580000000002</v>
      </c>
      <c r="H449" s="37">
        <f t="shared" si="152"/>
        <v>22</v>
      </c>
      <c r="I449" s="37" t="str">
        <f t="shared" si="153"/>
        <v>1-90 DAYS</v>
      </c>
      <c r="J449" s="37" t="str">
        <f t="shared" si="154"/>
        <v>0-180 DAYS</v>
      </c>
      <c r="M449" s="158" t="s">
        <v>5590</v>
      </c>
      <c r="N449" s="158">
        <v>18089.580000000002</v>
      </c>
    </row>
    <row r="450" spans="1:14" hidden="1" x14ac:dyDescent="0.35">
      <c r="A450" t="s">
        <v>4333</v>
      </c>
      <c r="B450" t="s">
        <v>789</v>
      </c>
      <c r="C450" t="s">
        <v>125</v>
      </c>
      <c r="D450" t="s">
        <v>57</v>
      </c>
      <c r="E450" t="s">
        <v>2342</v>
      </c>
      <c r="F450" s="35">
        <v>46213</v>
      </c>
      <c r="G450" s="150">
        <v>112944.83</v>
      </c>
      <c r="H450" s="37">
        <f t="shared" si="152"/>
        <v>22</v>
      </c>
      <c r="I450" s="37" t="str">
        <f t="shared" si="153"/>
        <v>1-90 DAYS</v>
      </c>
      <c r="J450" s="37" t="str">
        <f t="shared" si="154"/>
        <v>0-180 DAYS</v>
      </c>
      <c r="M450" s="158" t="s">
        <v>5590</v>
      </c>
      <c r="N450" s="158">
        <v>112944.83</v>
      </c>
    </row>
    <row r="451" spans="1:14" hidden="1" x14ac:dyDescent="0.35">
      <c r="A451" t="s">
        <v>4333</v>
      </c>
      <c r="B451" t="s">
        <v>789</v>
      </c>
      <c r="C451" t="s">
        <v>125</v>
      </c>
      <c r="D451" t="s">
        <v>57</v>
      </c>
      <c r="E451" t="s">
        <v>2343</v>
      </c>
      <c r="F451" s="35">
        <v>46213</v>
      </c>
      <c r="G451" s="150">
        <v>33389.57</v>
      </c>
      <c r="H451" s="37">
        <f t="shared" si="152"/>
        <v>22</v>
      </c>
      <c r="I451" s="37" t="str">
        <f t="shared" si="153"/>
        <v>1-90 DAYS</v>
      </c>
      <c r="J451" s="37" t="str">
        <f t="shared" si="154"/>
        <v>0-180 DAYS</v>
      </c>
      <c r="M451" s="158" t="s">
        <v>5590</v>
      </c>
      <c r="N451" s="158">
        <v>33389.57</v>
      </c>
    </row>
    <row r="452" spans="1:14" hidden="1" x14ac:dyDescent="0.35">
      <c r="A452" t="s">
        <v>4333</v>
      </c>
      <c r="B452" t="s">
        <v>789</v>
      </c>
      <c r="C452" t="s">
        <v>125</v>
      </c>
      <c r="D452" t="s">
        <v>57</v>
      </c>
      <c r="E452" t="s">
        <v>5490</v>
      </c>
      <c r="F452" s="35">
        <v>46213</v>
      </c>
      <c r="G452" s="150">
        <v>34800</v>
      </c>
      <c r="H452" s="37">
        <f t="shared" si="152"/>
        <v>22</v>
      </c>
      <c r="I452" s="37" t="str">
        <f t="shared" si="153"/>
        <v>1-90 DAYS</v>
      </c>
      <c r="J452" s="37" t="str">
        <f t="shared" si="154"/>
        <v>0-180 DAYS</v>
      </c>
      <c r="M452" s="158" t="s">
        <v>5590</v>
      </c>
      <c r="N452" s="158">
        <v>34800</v>
      </c>
    </row>
    <row r="453" spans="1:14" hidden="1" x14ac:dyDescent="0.35">
      <c r="A453" t="s">
        <v>4333</v>
      </c>
      <c r="B453" t="s">
        <v>789</v>
      </c>
      <c r="C453" t="s">
        <v>125</v>
      </c>
      <c r="D453" t="s">
        <v>57</v>
      </c>
      <c r="E453" t="s">
        <v>5491</v>
      </c>
      <c r="F453" s="35">
        <v>46214</v>
      </c>
      <c r="G453" s="150">
        <v>1435.02</v>
      </c>
      <c r="H453" s="37">
        <f t="shared" si="152"/>
        <v>21</v>
      </c>
      <c r="I453" s="37" t="str">
        <f t="shared" si="153"/>
        <v>1-90 DAYS</v>
      </c>
      <c r="J453" s="37" t="str">
        <f t="shared" si="154"/>
        <v>0-180 DAYS</v>
      </c>
      <c r="M453" s="158" t="s">
        <v>5568</v>
      </c>
      <c r="N453" s="158">
        <v>1435.02</v>
      </c>
    </row>
    <row r="454" spans="1:14" hidden="1" x14ac:dyDescent="0.35">
      <c r="A454" t="s">
        <v>4333</v>
      </c>
      <c r="B454" t="s">
        <v>789</v>
      </c>
      <c r="C454" t="s">
        <v>125</v>
      </c>
      <c r="D454" t="s">
        <v>57</v>
      </c>
      <c r="E454" t="s">
        <v>5492</v>
      </c>
      <c r="F454" s="35">
        <v>46214</v>
      </c>
      <c r="G454" s="150">
        <v>2037.04</v>
      </c>
      <c r="H454" s="37">
        <f t="shared" si="152"/>
        <v>21</v>
      </c>
      <c r="I454" s="37" t="str">
        <f t="shared" si="153"/>
        <v>1-90 DAYS</v>
      </c>
      <c r="J454" s="37" t="str">
        <f t="shared" si="154"/>
        <v>0-180 DAYS</v>
      </c>
      <c r="M454" s="158" t="s">
        <v>5568</v>
      </c>
      <c r="N454" s="158">
        <v>2037.04</v>
      </c>
    </row>
    <row r="455" spans="1:14" hidden="1" x14ac:dyDescent="0.35">
      <c r="A455" t="s">
        <v>4333</v>
      </c>
      <c r="B455" t="s">
        <v>789</v>
      </c>
      <c r="C455" t="s">
        <v>125</v>
      </c>
      <c r="D455" t="s">
        <v>57</v>
      </c>
      <c r="E455" t="s">
        <v>5493</v>
      </c>
      <c r="F455" s="35">
        <v>46214</v>
      </c>
      <c r="G455" s="150">
        <v>861013.23</v>
      </c>
      <c r="H455" s="37">
        <f t="shared" si="152"/>
        <v>21</v>
      </c>
      <c r="I455" s="37" t="str">
        <f t="shared" si="153"/>
        <v>1-90 DAYS</v>
      </c>
      <c r="J455" s="37" t="str">
        <f t="shared" si="154"/>
        <v>0-180 DAYS</v>
      </c>
      <c r="M455" s="158" t="s">
        <v>5568</v>
      </c>
      <c r="N455" s="158">
        <v>861013.23</v>
      </c>
    </row>
    <row r="456" spans="1:14" hidden="1" x14ac:dyDescent="0.35">
      <c r="A456" t="s">
        <v>4333</v>
      </c>
      <c r="B456" t="s">
        <v>789</v>
      </c>
      <c r="C456" t="s">
        <v>125</v>
      </c>
      <c r="D456" t="s">
        <v>57</v>
      </c>
      <c r="E456" t="s">
        <v>5494</v>
      </c>
      <c r="F456" s="35">
        <v>46215</v>
      </c>
      <c r="G456" s="150">
        <v>121291.72</v>
      </c>
      <c r="H456" s="37">
        <f t="shared" si="152"/>
        <v>20</v>
      </c>
      <c r="I456" s="37" t="str">
        <f t="shared" si="153"/>
        <v>1-90 DAYS</v>
      </c>
      <c r="J456" s="37" t="str">
        <f t="shared" si="154"/>
        <v>0-180 DAYS</v>
      </c>
      <c r="M456" s="158" t="s">
        <v>5569</v>
      </c>
      <c r="N456" s="158">
        <v>121291.72</v>
      </c>
    </row>
    <row r="457" spans="1:14" hidden="1" x14ac:dyDescent="0.35">
      <c r="A457" t="s">
        <v>4333</v>
      </c>
      <c r="B457" t="s">
        <v>789</v>
      </c>
      <c r="C457" t="s">
        <v>125</v>
      </c>
      <c r="D457" t="s">
        <v>57</v>
      </c>
      <c r="E457" t="s">
        <v>5495</v>
      </c>
      <c r="F457" s="35">
        <v>46215</v>
      </c>
      <c r="G457" s="150">
        <v>247590</v>
      </c>
      <c r="H457" s="37">
        <f t="shared" si="152"/>
        <v>20</v>
      </c>
      <c r="I457" s="37" t="str">
        <f t="shared" si="153"/>
        <v>1-90 DAYS</v>
      </c>
      <c r="J457" s="37" t="str">
        <f t="shared" si="154"/>
        <v>0-180 DAYS</v>
      </c>
      <c r="M457" s="158" t="s">
        <v>5569</v>
      </c>
      <c r="N457" s="158">
        <v>247590</v>
      </c>
    </row>
    <row r="458" spans="1:14" hidden="1" x14ac:dyDescent="0.35">
      <c r="A458" t="s">
        <v>4333</v>
      </c>
      <c r="B458" t="s">
        <v>789</v>
      </c>
      <c r="C458" t="s">
        <v>125</v>
      </c>
      <c r="D458" t="s">
        <v>57</v>
      </c>
      <c r="E458" t="s">
        <v>5496</v>
      </c>
      <c r="F458" s="35">
        <v>46215</v>
      </c>
      <c r="G458" s="150">
        <v>5319.16</v>
      </c>
      <c r="H458" s="37">
        <f t="shared" si="152"/>
        <v>20</v>
      </c>
      <c r="I458" s="37" t="str">
        <f t="shared" si="153"/>
        <v>1-90 DAYS</v>
      </c>
      <c r="J458" s="37" t="str">
        <f t="shared" si="154"/>
        <v>0-180 DAYS</v>
      </c>
      <c r="M458" s="158" t="s">
        <v>5569</v>
      </c>
      <c r="N458" s="158">
        <v>5319.16</v>
      </c>
    </row>
    <row r="459" spans="1:14" hidden="1" x14ac:dyDescent="0.35">
      <c r="A459" t="s">
        <v>4333</v>
      </c>
      <c r="B459" t="s">
        <v>789</v>
      </c>
      <c r="C459" t="s">
        <v>125</v>
      </c>
      <c r="D459" t="s">
        <v>57</v>
      </c>
      <c r="E459" t="s">
        <v>5497</v>
      </c>
      <c r="F459" s="35">
        <v>46215</v>
      </c>
      <c r="G459" s="150">
        <v>661076.56000000006</v>
      </c>
      <c r="H459" s="37">
        <f t="shared" si="152"/>
        <v>20</v>
      </c>
      <c r="I459" s="37" t="str">
        <f t="shared" si="153"/>
        <v>1-90 DAYS</v>
      </c>
      <c r="J459" s="37" t="str">
        <f t="shared" si="154"/>
        <v>0-180 DAYS</v>
      </c>
      <c r="M459" s="158" t="s">
        <v>5569</v>
      </c>
      <c r="N459" s="158">
        <v>661076.56000000006</v>
      </c>
    </row>
    <row r="460" spans="1:14" hidden="1" x14ac:dyDescent="0.35">
      <c r="A460" t="s">
        <v>4333</v>
      </c>
      <c r="B460" t="s">
        <v>789</v>
      </c>
      <c r="C460" t="s">
        <v>125</v>
      </c>
      <c r="D460" t="s">
        <v>57</v>
      </c>
      <c r="E460" t="s">
        <v>5498</v>
      </c>
      <c r="F460" s="35">
        <v>46216</v>
      </c>
      <c r="G460" s="150">
        <v>11205.38</v>
      </c>
      <c r="H460" s="37">
        <f t="shared" si="152"/>
        <v>19</v>
      </c>
      <c r="I460" s="37" t="str">
        <f t="shared" si="153"/>
        <v>1-90 DAYS</v>
      </c>
      <c r="J460" s="37" t="str">
        <f t="shared" si="154"/>
        <v>0-180 DAYS</v>
      </c>
      <c r="M460" s="158" t="s">
        <v>5570</v>
      </c>
      <c r="N460" s="158">
        <v>11205.38</v>
      </c>
    </row>
    <row r="461" spans="1:14" hidden="1" x14ac:dyDescent="0.35">
      <c r="A461" t="s">
        <v>4333</v>
      </c>
      <c r="B461" t="s">
        <v>789</v>
      </c>
      <c r="C461" t="s">
        <v>125</v>
      </c>
      <c r="D461" t="s">
        <v>57</v>
      </c>
      <c r="E461" t="s">
        <v>5499</v>
      </c>
      <c r="F461" s="35">
        <v>46216</v>
      </c>
      <c r="G461" s="150">
        <v>9394.24</v>
      </c>
      <c r="H461" s="37">
        <f t="shared" si="152"/>
        <v>19</v>
      </c>
      <c r="I461" s="37" t="str">
        <f t="shared" si="153"/>
        <v>1-90 DAYS</v>
      </c>
      <c r="J461" s="37" t="str">
        <f t="shared" si="154"/>
        <v>0-180 DAYS</v>
      </c>
      <c r="M461" s="158" t="s">
        <v>5570</v>
      </c>
      <c r="N461" s="158">
        <v>9394.24</v>
      </c>
    </row>
    <row r="462" spans="1:14" hidden="1" x14ac:dyDescent="0.35">
      <c r="A462" t="s">
        <v>4333</v>
      </c>
      <c r="B462" t="s">
        <v>789</v>
      </c>
      <c r="C462" t="s">
        <v>125</v>
      </c>
      <c r="D462" t="s">
        <v>57</v>
      </c>
      <c r="E462" t="s">
        <v>5500</v>
      </c>
      <c r="F462" s="35">
        <v>46216</v>
      </c>
      <c r="G462" s="150">
        <v>1030683.1</v>
      </c>
      <c r="H462" s="37">
        <f t="shared" si="152"/>
        <v>19</v>
      </c>
      <c r="I462" s="37" t="str">
        <f t="shared" si="153"/>
        <v>1-90 DAYS</v>
      </c>
      <c r="J462" s="37" t="str">
        <f t="shared" si="154"/>
        <v>0-180 DAYS</v>
      </c>
      <c r="M462" s="158" t="s">
        <v>5570</v>
      </c>
      <c r="N462" s="158">
        <v>1030683.1</v>
      </c>
    </row>
    <row r="463" spans="1:14" hidden="1" x14ac:dyDescent="0.35">
      <c r="A463" t="s">
        <v>4333</v>
      </c>
      <c r="B463" t="s">
        <v>789</v>
      </c>
      <c r="C463" t="s">
        <v>125</v>
      </c>
      <c r="D463" t="s">
        <v>57</v>
      </c>
      <c r="E463" t="s">
        <v>5501</v>
      </c>
      <c r="F463" s="35">
        <v>46217</v>
      </c>
      <c r="G463" s="150">
        <v>187218.53</v>
      </c>
      <c r="H463" s="37">
        <f t="shared" si="152"/>
        <v>18</v>
      </c>
      <c r="I463" s="37" t="str">
        <f t="shared" si="153"/>
        <v>1-90 DAYS</v>
      </c>
      <c r="J463" s="37" t="str">
        <f t="shared" si="154"/>
        <v>0-180 DAYS</v>
      </c>
      <c r="M463" s="158" t="s">
        <v>5571</v>
      </c>
      <c r="N463" s="158">
        <v>187218.53</v>
      </c>
    </row>
    <row r="464" spans="1:14" hidden="1" x14ac:dyDescent="0.35">
      <c r="A464" t="s">
        <v>4333</v>
      </c>
      <c r="B464" t="s">
        <v>789</v>
      </c>
      <c r="C464" t="s">
        <v>125</v>
      </c>
      <c r="D464" t="s">
        <v>57</v>
      </c>
      <c r="E464" t="s">
        <v>5502</v>
      </c>
      <c r="F464" s="35">
        <v>46217</v>
      </c>
      <c r="G464" s="150">
        <v>1435.02</v>
      </c>
      <c r="H464" s="37">
        <f t="shared" si="152"/>
        <v>18</v>
      </c>
      <c r="I464" s="37" t="str">
        <f t="shared" si="153"/>
        <v>1-90 DAYS</v>
      </c>
      <c r="J464" s="37" t="str">
        <f t="shared" si="154"/>
        <v>0-180 DAYS</v>
      </c>
      <c r="M464" s="158" t="s">
        <v>5571</v>
      </c>
      <c r="N464" s="158">
        <v>1435.02</v>
      </c>
    </row>
    <row r="465" spans="1:14" hidden="1" x14ac:dyDescent="0.35">
      <c r="A465" t="s">
        <v>4333</v>
      </c>
      <c r="B465" t="s">
        <v>789</v>
      </c>
      <c r="C465" t="s">
        <v>125</v>
      </c>
      <c r="D465" t="s">
        <v>57</v>
      </c>
      <c r="E465" t="s">
        <v>5503</v>
      </c>
      <c r="F465" s="35">
        <v>46217</v>
      </c>
      <c r="G465" s="150">
        <v>341910</v>
      </c>
      <c r="H465" s="37">
        <f t="shared" si="152"/>
        <v>18</v>
      </c>
      <c r="I465" s="37" t="str">
        <f t="shared" si="153"/>
        <v>1-90 DAYS</v>
      </c>
      <c r="J465" s="37" t="str">
        <f t="shared" si="154"/>
        <v>0-180 DAYS</v>
      </c>
      <c r="M465" s="158" t="s">
        <v>5571</v>
      </c>
      <c r="N465" s="158">
        <v>341910</v>
      </c>
    </row>
    <row r="466" spans="1:14" hidden="1" x14ac:dyDescent="0.35">
      <c r="A466" t="s">
        <v>4333</v>
      </c>
      <c r="B466" t="s">
        <v>789</v>
      </c>
      <c r="C466" t="s">
        <v>125</v>
      </c>
      <c r="D466" t="s">
        <v>57</v>
      </c>
      <c r="E466" t="s">
        <v>5504</v>
      </c>
      <c r="F466" s="35">
        <v>46217</v>
      </c>
      <c r="G466" s="150">
        <v>34800</v>
      </c>
      <c r="H466" s="37">
        <f t="shared" si="152"/>
        <v>18</v>
      </c>
      <c r="I466" s="37" t="str">
        <f t="shared" si="153"/>
        <v>1-90 DAYS</v>
      </c>
      <c r="J466" s="37" t="str">
        <f t="shared" si="154"/>
        <v>0-180 DAYS</v>
      </c>
      <c r="M466" s="158" t="s">
        <v>5571</v>
      </c>
      <c r="N466" s="158">
        <v>34800</v>
      </c>
    </row>
    <row r="467" spans="1:14" hidden="1" x14ac:dyDescent="0.35">
      <c r="A467" t="s">
        <v>4333</v>
      </c>
      <c r="B467" t="s">
        <v>789</v>
      </c>
      <c r="C467" t="s">
        <v>125</v>
      </c>
      <c r="D467" t="s">
        <v>57</v>
      </c>
      <c r="E467" t="s">
        <v>5505</v>
      </c>
      <c r="F467" s="35">
        <v>46218</v>
      </c>
      <c r="G467" s="150">
        <v>1117005.1200000001</v>
      </c>
      <c r="H467" s="37">
        <f t="shared" si="152"/>
        <v>17</v>
      </c>
      <c r="I467" s="37" t="str">
        <f t="shared" si="153"/>
        <v>1-90 DAYS</v>
      </c>
      <c r="J467" s="37" t="str">
        <f t="shared" si="154"/>
        <v>0-180 DAYS</v>
      </c>
      <c r="M467" s="158" t="s">
        <v>5572</v>
      </c>
      <c r="N467" s="158">
        <v>1117005.1200000001</v>
      </c>
    </row>
    <row r="468" spans="1:14" hidden="1" x14ac:dyDescent="0.35">
      <c r="A468" t="s">
        <v>4333</v>
      </c>
      <c r="B468" t="s">
        <v>789</v>
      </c>
      <c r="C468" t="s">
        <v>125</v>
      </c>
      <c r="D468" t="s">
        <v>57</v>
      </c>
      <c r="E468" t="s">
        <v>5506</v>
      </c>
      <c r="F468" s="35">
        <v>46218</v>
      </c>
      <c r="G468" s="150">
        <v>6395.32</v>
      </c>
      <c r="H468" s="37">
        <f t="shared" si="152"/>
        <v>17</v>
      </c>
      <c r="I468" s="37" t="str">
        <f t="shared" si="153"/>
        <v>1-90 DAYS</v>
      </c>
      <c r="J468" s="37" t="str">
        <f t="shared" si="154"/>
        <v>0-180 DAYS</v>
      </c>
      <c r="M468" s="158" t="s">
        <v>5572</v>
      </c>
      <c r="N468" s="158">
        <v>6395.32</v>
      </c>
    </row>
    <row r="469" spans="1:14" hidden="1" x14ac:dyDescent="0.35">
      <c r="A469" t="s">
        <v>4333</v>
      </c>
      <c r="B469" t="s">
        <v>789</v>
      </c>
      <c r="C469" t="s">
        <v>125</v>
      </c>
      <c r="D469" t="s">
        <v>57</v>
      </c>
      <c r="E469" t="s">
        <v>5507</v>
      </c>
      <c r="F469" s="35">
        <v>46219</v>
      </c>
      <c r="G469" s="150">
        <v>836957.05</v>
      </c>
      <c r="H469" s="37">
        <f t="shared" si="152"/>
        <v>16</v>
      </c>
      <c r="I469" s="37" t="str">
        <f t="shared" si="153"/>
        <v>1-90 DAYS</v>
      </c>
      <c r="J469" s="37" t="str">
        <f t="shared" si="154"/>
        <v>0-180 DAYS</v>
      </c>
      <c r="M469" s="158" t="s">
        <v>5591</v>
      </c>
      <c r="N469" s="158">
        <v>836957.05</v>
      </c>
    </row>
    <row r="470" spans="1:14" hidden="1" x14ac:dyDescent="0.35">
      <c r="A470" t="s">
        <v>4333</v>
      </c>
      <c r="B470" t="s">
        <v>789</v>
      </c>
      <c r="C470" t="s">
        <v>125</v>
      </c>
      <c r="D470" t="s">
        <v>57</v>
      </c>
      <c r="E470" t="s">
        <v>5508</v>
      </c>
      <c r="F470" s="35">
        <v>46220</v>
      </c>
      <c r="G470" s="150">
        <v>293335</v>
      </c>
      <c r="H470" s="37">
        <f t="shared" si="152"/>
        <v>15</v>
      </c>
      <c r="I470" s="37" t="str">
        <f t="shared" si="153"/>
        <v>1-90 DAYS</v>
      </c>
      <c r="J470" s="37" t="str">
        <f t="shared" si="154"/>
        <v>0-180 DAYS</v>
      </c>
      <c r="M470" s="158" t="s">
        <v>5573</v>
      </c>
      <c r="N470" s="158">
        <v>293335</v>
      </c>
    </row>
    <row r="471" spans="1:14" hidden="1" x14ac:dyDescent="0.35">
      <c r="A471" t="s">
        <v>4333</v>
      </c>
      <c r="B471" t="s">
        <v>789</v>
      </c>
      <c r="C471" t="s">
        <v>125</v>
      </c>
      <c r="D471" t="s">
        <v>57</v>
      </c>
      <c r="E471" t="s">
        <v>5509</v>
      </c>
      <c r="F471" s="35">
        <v>46220</v>
      </c>
      <c r="G471" s="150">
        <v>137943</v>
      </c>
      <c r="H471" s="37">
        <f t="shared" si="152"/>
        <v>15</v>
      </c>
      <c r="I471" s="37" t="str">
        <f t="shared" si="153"/>
        <v>1-90 DAYS</v>
      </c>
      <c r="J471" s="37" t="str">
        <f t="shared" si="154"/>
        <v>0-180 DAYS</v>
      </c>
      <c r="M471" s="158" t="s">
        <v>5573</v>
      </c>
      <c r="N471" s="158">
        <v>137943</v>
      </c>
    </row>
    <row r="472" spans="1:14" hidden="1" x14ac:dyDescent="0.35">
      <c r="A472" t="s">
        <v>4333</v>
      </c>
      <c r="B472" t="s">
        <v>789</v>
      </c>
      <c r="C472" t="s">
        <v>125</v>
      </c>
      <c r="D472" t="s">
        <v>57</v>
      </c>
      <c r="E472" t="s">
        <v>5510</v>
      </c>
      <c r="F472" s="35">
        <v>46220</v>
      </c>
      <c r="G472" s="150">
        <v>3338.76</v>
      </c>
      <c r="H472" s="37">
        <f t="shared" si="152"/>
        <v>15</v>
      </c>
      <c r="I472" s="37" t="str">
        <f t="shared" si="153"/>
        <v>1-90 DAYS</v>
      </c>
      <c r="J472" s="37" t="str">
        <f t="shared" si="154"/>
        <v>0-180 DAYS</v>
      </c>
      <c r="M472" s="158" t="s">
        <v>5573</v>
      </c>
      <c r="N472" s="158">
        <v>3338.76</v>
      </c>
    </row>
    <row r="473" spans="1:14" hidden="1" x14ac:dyDescent="0.35">
      <c r="A473" t="s">
        <v>4333</v>
      </c>
      <c r="B473" t="s">
        <v>789</v>
      </c>
      <c r="C473" t="s">
        <v>125</v>
      </c>
      <c r="D473" t="s">
        <v>57</v>
      </c>
      <c r="E473" t="s">
        <v>5511</v>
      </c>
      <c r="F473" s="35">
        <v>46220</v>
      </c>
      <c r="G473" s="150">
        <v>1584.92</v>
      </c>
      <c r="H473" s="37">
        <f t="shared" si="152"/>
        <v>15</v>
      </c>
      <c r="I473" s="37" t="str">
        <f t="shared" si="153"/>
        <v>1-90 DAYS</v>
      </c>
      <c r="J473" s="37" t="str">
        <f t="shared" si="154"/>
        <v>0-180 DAYS</v>
      </c>
      <c r="M473" s="158" t="s">
        <v>5573</v>
      </c>
      <c r="N473" s="158">
        <v>1584.92</v>
      </c>
    </row>
    <row r="474" spans="1:14" hidden="1" x14ac:dyDescent="0.35">
      <c r="A474" t="s">
        <v>4333</v>
      </c>
      <c r="B474" t="s">
        <v>789</v>
      </c>
      <c r="C474" t="s">
        <v>125</v>
      </c>
      <c r="D474" t="s">
        <v>57</v>
      </c>
      <c r="E474" t="s">
        <v>2387</v>
      </c>
      <c r="F474" s="35">
        <v>46220</v>
      </c>
      <c r="G474" s="150">
        <v>829201.95</v>
      </c>
      <c r="H474" s="37">
        <f t="shared" si="152"/>
        <v>15</v>
      </c>
      <c r="I474" s="37" t="str">
        <f t="shared" si="153"/>
        <v>1-90 DAYS</v>
      </c>
      <c r="J474" s="37" t="str">
        <f t="shared" si="154"/>
        <v>0-180 DAYS</v>
      </c>
      <c r="M474" s="158" t="s">
        <v>5573</v>
      </c>
      <c r="N474" s="158">
        <v>829201.95</v>
      </c>
    </row>
    <row r="475" spans="1:14" hidden="1" x14ac:dyDescent="0.35">
      <c r="A475" t="s">
        <v>4333</v>
      </c>
      <c r="B475" t="s">
        <v>789</v>
      </c>
      <c r="C475" t="s">
        <v>125</v>
      </c>
      <c r="D475" t="s">
        <v>57</v>
      </c>
      <c r="E475" t="s">
        <v>5512</v>
      </c>
      <c r="F475" s="35">
        <v>46220</v>
      </c>
      <c r="G475" s="150">
        <v>58000</v>
      </c>
      <c r="H475" s="37">
        <f t="shared" ref="H475:H529" si="155">$H$1-F475+1</f>
        <v>15</v>
      </c>
      <c r="I475" s="37" t="str">
        <f t="shared" ref="I475:I529" si="156">IF(H475&lt;91,"1-90 DAYS",IF(H475&lt;121,"91-120DAYS",IF(H475&lt;181,"121-180 DAYS","More than 180 Days")))</f>
        <v>1-90 DAYS</v>
      </c>
      <c r="J475" s="37" t="str">
        <f t="shared" ref="J475:J529" si="157">IF(H475&lt;180,"0-180 DAYS","More than 180 Days")</f>
        <v>0-180 DAYS</v>
      </c>
      <c r="M475" s="158" t="s">
        <v>5573</v>
      </c>
      <c r="N475" s="158">
        <v>58000</v>
      </c>
    </row>
    <row r="476" spans="1:14" hidden="1" x14ac:dyDescent="0.35">
      <c r="A476" t="s">
        <v>4333</v>
      </c>
      <c r="B476" t="s">
        <v>789</v>
      </c>
      <c r="C476" t="s">
        <v>125</v>
      </c>
      <c r="D476" t="s">
        <v>57</v>
      </c>
      <c r="E476" t="s">
        <v>5513</v>
      </c>
      <c r="F476" s="35">
        <v>46221</v>
      </c>
      <c r="G476" s="150">
        <v>372516.25</v>
      </c>
      <c r="H476" s="37">
        <f t="shared" si="155"/>
        <v>14</v>
      </c>
      <c r="I476" s="37" t="str">
        <f t="shared" si="156"/>
        <v>1-90 DAYS</v>
      </c>
      <c r="J476" s="37" t="str">
        <f t="shared" si="157"/>
        <v>0-180 DAYS</v>
      </c>
      <c r="M476" s="158" t="s">
        <v>5574</v>
      </c>
      <c r="N476" s="158">
        <v>372516.25</v>
      </c>
    </row>
    <row r="477" spans="1:14" hidden="1" x14ac:dyDescent="0.35">
      <c r="A477" t="s">
        <v>4333</v>
      </c>
      <c r="B477" t="s">
        <v>789</v>
      </c>
      <c r="C477" t="s">
        <v>125</v>
      </c>
      <c r="D477" t="s">
        <v>57</v>
      </c>
      <c r="E477" t="s">
        <v>2389</v>
      </c>
      <c r="F477" s="35">
        <v>46221</v>
      </c>
      <c r="G477" s="150">
        <v>1286731</v>
      </c>
      <c r="H477" s="37">
        <f t="shared" si="155"/>
        <v>14</v>
      </c>
      <c r="I477" s="37" t="str">
        <f t="shared" si="156"/>
        <v>1-90 DAYS</v>
      </c>
      <c r="J477" s="37" t="str">
        <f t="shared" si="157"/>
        <v>0-180 DAYS</v>
      </c>
      <c r="M477" s="158" t="s">
        <v>5574</v>
      </c>
      <c r="N477" s="158">
        <v>1286731</v>
      </c>
    </row>
    <row r="478" spans="1:14" hidden="1" x14ac:dyDescent="0.35">
      <c r="A478" t="s">
        <v>4333</v>
      </c>
      <c r="B478" t="s">
        <v>789</v>
      </c>
      <c r="C478" t="s">
        <v>125</v>
      </c>
      <c r="D478" t="s">
        <v>57</v>
      </c>
      <c r="E478" t="s">
        <v>5514</v>
      </c>
      <c r="F478" s="35">
        <v>46221</v>
      </c>
      <c r="G478" s="150">
        <v>40219.050000000003</v>
      </c>
      <c r="H478" s="37">
        <f t="shared" si="155"/>
        <v>14</v>
      </c>
      <c r="I478" s="37" t="str">
        <f t="shared" si="156"/>
        <v>1-90 DAYS</v>
      </c>
      <c r="J478" s="37" t="str">
        <f t="shared" si="157"/>
        <v>0-180 DAYS</v>
      </c>
      <c r="M478" s="158" t="s">
        <v>5574</v>
      </c>
      <c r="N478" s="158">
        <v>40219.050000000003</v>
      </c>
    </row>
    <row r="479" spans="1:14" hidden="1" x14ac:dyDescent="0.35">
      <c r="A479" t="s">
        <v>4333</v>
      </c>
      <c r="B479" t="s">
        <v>789</v>
      </c>
      <c r="C479" t="s">
        <v>125</v>
      </c>
      <c r="D479" t="s">
        <v>57</v>
      </c>
      <c r="E479" t="s">
        <v>5515</v>
      </c>
      <c r="F479" s="35">
        <v>46221</v>
      </c>
      <c r="G479" s="150">
        <v>1358.36</v>
      </c>
      <c r="H479" s="37">
        <f t="shared" si="155"/>
        <v>14</v>
      </c>
      <c r="I479" s="37" t="str">
        <f t="shared" si="156"/>
        <v>1-90 DAYS</v>
      </c>
      <c r="J479" s="37" t="str">
        <f t="shared" si="157"/>
        <v>0-180 DAYS</v>
      </c>
      <c r="M479" s="158" t="s">
        <v>5574</v>
      </c>
      <c r="N479" s="158">
        <v>1358.36</v>
      </c>
    </row>
    <row r="480" spans="1:14" hidden="1" x14ac:dyDescent="0.35">
      <c r="A480" t="s">
        <v>4333</v>
      </c>
      <c r="B480" t="s">
        <v>789</v>
      </c>
      <c r="C480" t="s">
        <v>125</v>
      </c>
      <c r="D480" t="s">
        <v>57</v>
      </c>
      <c r="E480" t="s">
        <v>5516</v>
      </c>
      <c r="F480" s="35">
        <v>46221</v>
      </c>
      <c r="G480" s="150">
        <v>1083589.8500000001</v>
      </c>
      <c r="H480" s="37">
        <f t="shared" si="155"/>
        <v>14</v>
      </c>
      <c r="I480" s="37" t="str">
        <f t="shared" si="156"/>
        <v>1-90 DAYS</v>
      </c>
      <c r="J480" s="37" t="str">
        <f t="shared" si="157"/>
        <v>0-180 DAYS</v>
      </c>
      <c r="M480" s="158" t="s">
        <v>5574</v>
      </c>
      <c r="N480" s="158">
        <v>1083589.8500000001</v>
      </c>
    </row>
    <row r="481" spans="1:14" hidden="1" x14ac:dyDescent="0.35">
      <c r="A481" t="s">
        <v>4333</v>
      </c>
      <c r="B481" t="s">
        <v>789</v>
      </c>
      <c r="C481" t="s">
        <v>125</v>
      </c>
      <c r="D481" t="s">
        <v>57</v>
      </c>
      <c r="E481" t="s">
        <v>5517</v>
      </c>
      <c r="F481" s="35">
        <v>46222</v>
      </c>
      <c r="G481" s="150">
        <v>8602.2800000000007</v>
      </c>
      <c r="H481" s="37">
        <f t="shared" si="155"/>
        <v>13</v>
      </c>
      <c r="I481" s="37" t="str">
        <f t="shared" si="156"/>
        <v>1-90 DAYS</v>
      </c>
      <c r="J481" s="37" t="str">
        <f t="shared" si="157"/>
        <v>0-180 DAYS</v>
      </c>
      <c r="M481" s="158" t="s">
        <v>5592</v>
      </c>
      <c r="N481" s="158">
        <v>8602.2800000000007</v>
      </c>
    </row>
    <row r="482" spans="1:14" hidden="1" x14ac:dyDescent="0.35">
      <c r="A482" t="s">
        <v>4333</v>
      </c>
      <c r="B482" t="s">
        <v>789</v>
      </c>
      <c r="C482" t="s">
        <v>125</v>
      </c>
      <c r="D482" t="s">
        <v>57</v>
      </c>
      <c r="E482" t="s">
        <v>5518</v>
      </c>
      <c r="F482" s="35">
        <v>46222</v>
      </c>
      <c r="G482" s="150">
        <v>1507938.9</v>
      </c>
      <c r="H482" s="37">
        <f t="shared" si="155"/>
        <v>13</v>
      </c>
      <c r="I482" s="37" t="str">
        <f t="shared" si="156"/>
        <v>1-90 DAYS</v>
      </c>
      <c r="J482" s="37" t="str">
        <f t="shared" si="157"/>
        <v>0-180 DAYS</v>
      </c>
      <c r="M482" s="158" t="s">
        <v>5592</v>
      </c>
      <c r="N482" s="158">
        <v>1507938.9</v>
      </c>
    </row>
    <row r="483" spans="1:14" hidden="1" x14ac:dyDescent="0.35">
      <c r="A483" t="s">
        <v>4333</v>
      </c>
      <c r="B483" t="s">
        <v>789</v>
      </c>
      <c r="C483" t="s">
        <v>125</v>
      </c>
      <c r="D483" t="s">
        <v>57</v>
      </c>
      <c r="E483" t="s">
        <v>3951</v>
      </c>
      <c r="F483" s="35">
        <v>46223</v>
      </c>
      <c r="G483" s="150">
        <v>628259.5</v>
      </c>
      <c r="H483" s="37">
        <f t="shared" si="155"/>
        <v>12</v>
      </c>
      <c r="I483" s="37" t="str">
        <f t="shared" si="156"/>
        <v>1-90 DAYS</v>
      </c>
      <c r="J483" s="37" t="str">
        <f t="shared" si="157"/>
        <v>0-180 DAYS</v>
      </c>
      <c r="M483" s="158" t="s">
        <v>5575</v>
      </c>
      <c r="N483" s="158">
        <v>628259.5</v>
      </c>
    </row>
    <row r="484" spans="1:14" hidden="1" x14ac:dyDescent="0.35">
      <c r="A484" t="s">
        <v>4333</v>
      </c>
      <c r="B484" t="s">
        <v>789</v>
      </c>
      <c r="C484" t="s">
        <v>125</v>
      </c>
      <c r="D484" t="s">
        <v>57</v>
      </c>
      <c r="E484" t="s">
        <v>5519</v>
      </c>
      <c r="F484" s="35">
        <v>46223</v>
      </c>
      <c r="G484" s="150">
        <v>428399.91</v>
      </c>
      <c r="H484" s="37">
        <f t="shared" si="155"/>
        <v>12</v>
      </c>
      <c r="I484" s="37" t="str">
        <f t="shared" si="156"/>
        <v>1-90 DAYS</v>
      </c>
      <c r="J484" s="37" t="str">
        <f t="shared" si="157"/>
        <v>0-180 DAYS</v>
      </c>
      <c r="M484" s="158" t="s">
        <v>5575</v>
      </c>
      <c r="N484" s="158">
        <v>428399.91</v>
      </c>
    </row>
    <row r="485" spans="1:14" hidden="1" x14ac:dyDescent="0.35">
      <c r="A485" t="s">
        <v>4333</v>
      </c>
      <c r="B485" t="s">
        <v>789</v>
      </c>
      <c r="C485" t="s">
        <v>125</v>
      </c>
      <c r="D485" t="s">
        <v>57</v>
      </c>
      <c r="E485" t="s">
        <v>5520</v>
      </c>
      <c r="F485" s="35">
        <v>46223</v>
      </c>
      <c r="G485" s="150">
        <v>1131.8</v>
      </c>
      <c r="H485" s="37">
        <f t="shared" si="155"/>
        <v>12</v>
      </c>
      <c r="I485" s="37" t="str">
        <f t="shared" si="156"/>
        <v>1-90 DAYS</v>
      </c>
      <c r="J485" s="37" t="str">
        <f t="shared" si="157"/>
        <v>0-180 DAYS</v>
      </c>
      <c r="M485" s="158" t="s">
        <v>5575</v>
      </c>
      <c r="N485" s="158">
        <v>1131.8</v>
      </c>
    </row>
    <row r="486" spans="1:14" hidden="1" x14ac:dyDescent="0.35">
      <c r="A486" t="s">
        <v>4333</v>
      </c>
      <c r="B486" t="s">
        <v>789</v>
      </c>
      <c r="C486" t="s">
        <v>125</v>
      </c>
      <c r="D486" t="s">
        <v>57</v>
      </c>
      <c r="E486" t="s">
        <v>5521</v>
      </c>
      <c r="F486" s="35">
        <v>46223</v>
      </c>
      <c r="G486" s="150">
        <v>1471.64</v>
      </c>
      <c r="H486" s="37">
        <f t="shared" si="155"/>
        <v>12</v>
      </c>
      <c r="I486" s="37" t="str">
        <f t="shared" si="156"/>
        <v>1-90 DAYS</v>
      </c>
      <c r="J486" s="37" t="str">
        <f t="shared" si="157"/>
        <v>0-180 DAYS</v>
      </c>
      <c r="M486" s="158" t="s">
        <v>5575</v>
      </c>
      <c r="N486" s="158">
        <v>1471.64</v>
      </c>
    </row>
    <row r="487" spans="1:14" hidden="1" x14ac:dyDescent="0.35">
      <c r="A487" t="s">
        <v>4333</v>
      </c>
      <c r="B487" t="s">
        <v>789</v>
      </c>
      <c r="C487" t="s">
        <v>125</v>
      </c>
      <c r="D487" t="s">
        <v>57</v>
      </c>
      <c r="E487" t="s">
        <v>5522</v>
      </c>
      <c r="F487" s="35">
        <v>46223</v>
      </c>
      <c r="G487" s="150">
        <v>52153.4</v>
      </c>
      <c r="H487" s="37">
        <f t="shared" si="155"/>
        <v>12</v>
      </c>
      <c r="I487" s="37" t="str">
        <f t="shared" si="156"/>
        <v>1-90 DAYS</v>
      </c>
      <c r="J487" s="37" t="str">
        <f t="shared" si="157"/>
        <v>0-180 DAYS</v>
      </c>
      <c r="M487" s="158" t="s">
        <v>5575</v>
      </c>
      <c r="N487" s="158">
        <v>52153.4</v>
      </c>
    </row>
    <row r="488" spans="1:14" hidden="1" x14ac:dyDescent="0.35">
      <c r="A488" t="s">
        <v>4333</v>
      </c>
      <c r="B488" t="s">
        <v>789</v>
      </c>
      <c r="C488" t="s">
        <v>125</v>
      </c>
      <c r="D488" t="s">
        <v>57</v>
      </c>
      <c r="E488" t="s">
        <v>5523</v>
      </c>
      <c r="F488" s="35">
        <v>46224</v>
      </c>
      <c r="G488" s="150">
        <v>284778.27</v>
      </c>
      <c r="H488" s="37">
        <f t="shared" si="155"/>
        <v>11</v>
      </c>
      <c r="I488" s="37" t="str">
        <f t="shared" si="156"/>
        <v>1-90 DAYS</v>
      </c>
      <c r="J488" s="37" t="str">
        <f t="shared" si="157"/>
        <v>0-180 DAYS</v>
      </c>
      <c r="M488" s="158" t="s">
        <v>5576</v>
      </c>
      <c r="N488" s="158">
        <v>284778.27</v>
      </c>
    </row>
    <row r="489" spans="1:14" hidden="1" x14ac:dyDescent="0.35">
      <c r="A489" t="s">
        <v>4333</v>
      </c>
      <c r="B489" t="s">
        <v>789</v>
      </c>
      <c r="C489" t="s">
        <v>125</v>
      </c>
      <c r="D489" t="s">
        <v>57</v>
      </c>
      <c r="E489" t="s">
        <v>5524</v>
      </c>
      <c r="F489" s="35">
        <v>46224</v>
      </c>
      <c r="G489" s="150">
        <v>275886</v>
      </c>
      <c r="H489" s="37">
        <f t="shared" si="155"/>
        <v>11</v>
      </c>
      <c r="I489" s="37" t="str">
        <f t="shared" si="156"/>
        <v>1-90 DAYS</v>
      </c>
      <c r="J489" s="37" t="str">
        <f t="shared" si="157"/>
        <v>0-180 DAYS</v>
      </c>
      <c r="M489" s="158" t="s">
        <v>5576</v>
      </c>
      <c r="N489" s="158">
        <v>275886</v>
      </c>
    </row>
    <row r="490" spans="1:14" hidden="1" x14ac:dyDescent="0.35">
      <c r="A490" t="s">
        <v>4333</v>
      </c>
      <c r="B490" t="s">
        <v>789</v>
      </c>
      <c r="C490" t="s">
        <v>125</v>
      </c>
      <c r="D490" t="s">
        <v>57</v>
      </c>
      <c r="E490" t="s">
        <v>4032</v>
      </c>
      <c r="F490" s="35">
        <v>46224</v>
      </c>
      <c r="G490" s="150">
        <v>10979.16</v>
      </c>
      <c r="H490" s="37">
        <f t="shared" si="155"/>
        <v>11</v>
      </c>
      <c r="I490" s="37" t="str">
        <f t="shared" si="156"/>
        <v>1-90 DAYS</v>
      </c>
      <c r="J490" s="37" t="str">
        <f t="shared" si="157"/>
        <v>0-180 DAYS</v>
      </c>
      <c r="M490" s="158" t="s">
        <v>5576</v>
      </c>
      <c r="N490" s="158">
        <v>10979.16</v>
      </c>
    </row>
    <row r="491" spans="1:14" hidden="1" x14ac:dyDescent="0.35">
      <c r="A491" t="s">
        <v>4333</v>
      </c>
      <c r="B491" t="s">
        <v>789</v>
      </c>
      <c r="C491" t="s">
        <v>125</v>
      </c>
      <c r="D491" t="s">
        <v>57</v>
      </c>
      <c r="E491" t="s">
        <v>5525</v>
      </c>
      <c r="F491" s="35">
        <v>46224</v>
      </c>
      <c r="G491" s="150">
        <v>1208385.05</v>
      </c>
      <c r="H491" s="37">
        <f t="shared" si="155"/>
        <v>11</v>
      </c>
      <c r="I491" s="37" t="str">
        <f t="shared" si="156"/>
        <v>1-90 DAYS</v>
      </c>
      <c r="J491" s="37" t="str">
        <f t="shared" si="157"/>
        <v>0-180 DAYS</v>
      </c>
      <c r="M491" s="158" t="s">
        <v>5576</v>
      </c>
      <c r="N491" s="158">
        <v>1208385.05</v>
      </c>
    </row>
    <row r="492" spans="1:14" hidden="1" x14ac:dyDescent="0.35">
      <c r="A492" t="s">
        <v>4333</v>
      </c>
      <c r="B492" t="s">
        <v>789</v>
      </c>
      <c r="C492" t="s">
        <v>125</v>
      </c>
      <c r="D492" t="s">
        <v>57</v>
      </c>
      <c r="E492" t="s">
        <v>5526</v>
      </c>
      <c r="F492" s="35">
        <v>46225</v>
      </c>
      <c r="G492" s="150">
        <v>1810.48</v>
      </c>
      <c r="H492" s="37">
        <f t="shared" si="155"/>
        <v>10</v>
      </c>
      <c r="I492" s="37" t="str">
        <f t="shared" si="156"/>
        <v>1-90 DAYS</v>
      </c>
      <c r="J492" s="37" t="str">
        <f t="shared" si="157"/>
        <v>0-180 DAYS</v>
      </c>
      <c r="M492" s="158" t="s">
        <v>5578</v>
      </c>
      <c r="N492" s="158">
        <v>1810.48</v>
      </c>
    </row>
    <row r="493" spans="1:14" hidden="1" x14ac:dyDescent="0.35">
      <c r="A493" t="s">
        <v>4333</v>
      </c>
      <c r="B493" t="s">
        <v>789</v>
      </c>
      <c r="C493" t="s">
        <v>125</v>
      </c>
      <c r="D493" t="s">
        <v>57</v>
      </c>
      <c r="E493" t="s">
        <v>5527</v>
      </c>
      <c r="F493" s="35">
        <v>46225</v>
      </c>
      <c r="G493" s="150">
        <v>671069.69999999995</v>
      </c>
      <c r="H493" s="37">
        <f t="shared" si="155"/>
        <v>10</v>
      </c>
      <c r="I493" s="37" t="str">
        <f t="shared" si="156"/>
        <v>1-90 DAYS</v>
      </c>
      <c r="J493" s="37" t="str">
        <f t="shared" si="157"/>
        <v>0-180 DAYS</v>
      </c>
      <c r="M493" s="158" t="s">
        <v>5578</v>
      </c>
      <c r="N493" s="158">
        <v>671069.69999999995</v>
      </c>
    </row>
    <row r="494" spans="1:14" hidden="1" x14ac:dyDescent="0.35">
      <c r="A494" t="s">
        <v>4333</v>
      </c>
      <c r="B494" t="s">
        <v>789</v>
      </c>
      <c r="C494" t="s">
        <v>125</v>
      </c>
      <c r="D494" t="s">
        <v>57</v>
      </c>
      <c r="E494" t="s">
        <v>5528</v>
      </c>
      <c r="F494" s="35">
        <v>46225</v>
      </c>
      <c r="G494" s="150">
        <v>18274</v>
      </c>
      <c r="H494" s="37">
        <f t="shared" si="155"/>
        <v>10</v>
      </c>
      <c r="I494" s="37" t="str">
        <f t="shared" si="156"/>
        <v>1-90 DAYS</v>
      </c>
      <c r="J494" s="37" t="str">
        <f t="shared" si="157"/>
        <v>0-180 DAYS</v>
      </c>
      <c r="M494" s="158" t="s">
        <v>5578</v>
      </c>
      <c r="N494" s="158">
        <v>18274</v>
      </c>
    </row>
    <row r="495" spans="1:14" hidden="1" x14ac:dyDescent="0.35">
      <c r="A495" t="s">
        <v>4333</v>
      </c>
      <c r="B495" t="s">
        <v>789</v>
      </c>
      <c r="C495" t="s">
        <v>125</v>
      </c>
      <c r="D495" t="s">
        <v>57</v>
      </c>
      <c r="E495" t="s">
        <v>5529</v>
      </c>
      <c r="F495" s="35">
        <v>46225</v>
      </c>
      <c r="G495" s="150">
        <v>260102.12</v>
      </c>
      <c r="H495" s="37">
        <f t="shared" si="155"/>
        <v>10</v>
      </c>
      <c r="I495" s="37" t="str">
        <f t="shared" si="156"/>
        <v>1-90 DAYS</v>
      </c>
      <c r="J495" s="37" t="str">
        <f t="shared" si="157"/>
        <v>0-180 DAYS</v>
      </c>
      <c r="M495" s="158" t="s">
        <v>5578</v>
      </c>
      <c r="N495" s="158">
        <v>260102.12</v>
      </c>
    </row>
    <row r="496" spans="1:14" hidden="1" x14ac:dyDescent="0.35">
      <c r="A496" t="s">
        <v>4333</v>
      </c>
      <c r="B496" t="s">
        <v>789</v>
      </c>
      <c r="C496" t="s">
        <v>125</v>
      </c>
      <c r="D496" t="s">
        <v>57</v>
      </c>
      <c r="E496" t="s">
        <v>5530</v>
      </c>
      <c r="F496" s="35">
        <v>46226</v>
      </c>
      <c r="G496" s="150">
        <v>433999.96</v>
      </c>
      <c r="H496" s="37">
        <f t="shared" si="155"/>
        <v>9</v>
      </c>
      <c r="I496" s="37" t="str">
        <f t="shared" si="156"/>
        <v>1-90 DAYS</v>
      </c>
      <c r="J496" s="37" t="str">
        <f t="shared" si="157"/>
        <v>0-180 DAYS</v>
      </c>
      <c r="M496" s="158" t="s">
        <v>5579</v>
      </c>
      <c r="N496" s="158">
        <v>433999.96</v>
      </c>
    </row>
    <row r="497" spans="1:14" hidden="1" x14ac:dyDescent="0.35">
      <c r="A497" t="s">
        <v>4333</v>
      </c>
      <c r="B497" t="s">
        <v>789</v>
      </c>
      <c r="C497" t="s">
        <v>125</v>
      </c>
      <c r="D497" t="s">
        <v>57</v>
      </c>
      <c r="E497" t="s">
        <v>5531</v>
      </c>
      <c r="F497" s="35">
        <v>46227</v>
      </c>
      <c r="G497" s="150">
        <v>157214.20000000001</v>
      </c>
      <c r="H497" s="37">
        <f t="shared" si="155"/>
        <v>8</v>
      </c>
      <c r="I497" s="37" t="str">
        <f t="shared" si="156"/>
        <v>1-90 DAYS</v>
      </c>
      <c r="J497" s="37" t="str">
        <f t="shared" si="157"/>
        <v>0-180 DAYS</v>
      </c>
      <c r="M497" s="158" t="s">
        <v>5580</v>
      </c>
      <c r="N497" s="158">
        <v>157214.20000000001</v>
      </c>
    </row>
    <row r="498" spans="1:14" hidden="1" x14ac:dyDescent="0.35">
      <c r="A498" t="s">
        <v>4333</v>
      </c>
      <c r="B498" t="s">
        <v>789</v>
      </c>
      <c r="C498" t="s">
        <v>125</v>
      </c>
      <c r="D498" t="s">
        <v>57</v>
      </c>
      <c r="E498" t="s">
        <v>5532</v>
      </c>
      <c r="F498" s="35">
        <v>46227</v>
      </c>
      <c r="G498" s="150">
        <v>733338</v>
      </c>
      <c r="H498" s="37">
        <f t="shared" si="155"/>
        <v>8</v>
      </c>
      <c r="I498" s="37" t="str">
        <f t="shared" si="156"/>
        <v>1-90 DAYS</v>
      </c>
      <c r="J498" s="37" t="str">
        <f t="shared" si="157"/>
        <v>0-180 DAYS</v>
      </c>
      <c r="M498" s="158" t="s">
        <v>5580</v>
      </c>
      <c r="N498" s="158">
        <v>733338</v>
      </c>
    </row>
    <row r="499" spans="1:14" hidden="1" x14ac:dyDescent="0.35">
      <c r="A499" t="s">
        <v>4333</v>
      </c>
      <c r="B499" t="s">
        <v>789</v>
      </c>
      <c r="C499" t="s">
        <v>125</v>
      </c>
      <c r="D499" t="s">
        <v>57</v>
      </c>
      <c r="E499" t="s">
        <v>5533</v>
      </c>
      <c r="F499" s="35">
        <v>46228</v>
      </c>
      <c r="G499" s="150">
        <v>2263.6</v>
      </c>
      <c r="H499" s="37">
        <f t="shared" si="155"/>
        <v>7</v>
      </c>
      <c r="I499" s="37" t="str">
        <f t="shared" si="156"/>
        <v>1-90 DAYS</v>
      </c>
      <c r="J499" s="37" t="str">
        <f t="shared" si="157"/>
        <v>0-180 DAYS</v>
      </c>
      <c r="M499" s="158" t="s">
        <v>5581</v>
      </c>
      <c r="N499" s="158">
        <v>2263.6</v>
      </c>
    </row>
    <row r="500" spans="1:14" hidden="1" x14ac:dyDescent="0.35">
      <c r="A500" t="s">
        <v>4333</v>
      </c>
      <c r="B500" t="s">
        <v>789</v>
      </c>
      <c r="C500" t="s">
        <v>125</v>
      </c>
      <c r="D500" t="s">
        <v>57</v>
      </c>
      <c r="E500" t="s">
        <v>5534</v>
      </c>
      <c r="F500" s="35">
        <v>46228</v>
      </c>
      <c r="G500" s="150">
        <v>1062679.71</v>
      </c>
      <c r="H500" s="37">
        <f t="shared" si="155"/>
        <v>7</v>
      </c>
      <c r="I500" s="37" t="str">
        <f t="shared" si="156"/>
        <v>1-90 DAYS</v>
      </c>
      <c r="J500" s="37" t="str">
        <f t="shared" si="157"/>
        <v>0-180 DAYS</v>
      </c>
      <c r="M500" s="158" t="s">
        <v>5581</v>
      </c>
      <c r="N500" s="158">
        <v>1062679.71</v>
      </c>
    </row>
    <row r="501" spans="1:14" hidden="1" x14ac:dyDescent="0.35">
      <c r="A501" t="s">
        <v>4333</v>
      </c>
      <c r="B501" t="s">
        <v>789</v>
      </c>
      <c r="C501" t="s">
        <v>125</v>
      </c>
      <c r="D501" t="s">
        <v>57</v>
      </c>
      <c r="E501" t="s">
        <v>5535</v>
      </c>
      <c r="F501" s="35">
        <v>46229</v>
      </c>
      <c r="G501" s="150">
        <v>70185.259999999995</v>
      </c>
      <c r="H501" s="37">
        <f t="shared" si="155"/>
        <v>6</v>
      </c>
      <c r="I501" s="37" t="str">
        <f t="shared" si="156"/>
        <v>1-90 DAYS</v>
      </c>
      <c r="J501" s="37" t="str">
        <f t="shared" si="157"/>
        <v>0-180 DAYS</v>
      </c>
      <c r="M501" s="158" t="s">
        <v>5586</v>
      </c>
      <c r="N501" s="158">
        <v>70185.259999999995</v>
      </c>
    </row>
    <row r="502" spans="1:14" hidden="1" x14ac:dyDescent="0.35">
      <c r="A502" t="s">
        <v>4333</v>
      </c>
      <c r="B502" t="s">
        <v>789</v>
      </c>
      <c r="C502" t="s">
        <v>125</v>
      </c>
      <c r="D502" t="s">
        <v>57</v>
      </c>
      <c r="E502" t="s">
        <v>5536</v>
      </c>
      <c r="F502" s="35">
        <v>46229</v>
      </c>
      <c r="G502" s="150">
        <v>5772.28</v>
      </c>
      <c r="H502" s="37">
        <f t="shared" si="155"/>
        <v>6</v>
      </c>
      <c r="I502" s="37" t="str">
        <f t="shared" si="156"/>
        <v>1-90 DAYS</v>
      </c>
      <c r="J502" s="37" t="str">
        <f t="shared" si="157"/>
        <v>0-180 DAYS</v>
      </c>
      <c r="M502" s="158" t="s">
        <v>5586</v>
      </c>
      <c r="N502" s="158">
        <v>5772.28</v>
      </c>
    </row>
    <row r="503" spans="1:14" hidden="1" x14ac:dyDescent="0.35">
      <c r="A503" t="s">
        <v>4333</v>
      </c>
      <c r="B503" t="s">
        <v>789</v>
      </c>
      <c r="C503" t="s">
        <v>125</v>
      </c>
      <c r="D503" t="s">
        <v>57</v>
      </c>
      <c r="E503" t="s">
        <v>5537</v>
      </c>
      <c r="F503" s="35">
        <v>46229</v>
      </c>
      <c r="G503" s="150">
        <v>559881.22</v>
      </c>
      <c r="H503" s="37">
        <f t="shared" si="155"/>
        <v>6</v>
      </c>
      <c r="I503" s="37" t="str">
        <f t="shared" si="156"/>
        <v>1-90 DAYS</v>
      </c>
      <c r="J503" s="37" t="str">
        <f t="shared" si="157"/>
        <v>0-180 DAYS</v>
      </c>
      <c r="M503" s="158" t="s">
        <v>5586</v>
      </c>
      <c r="N503" s="158">
        <v>559881.22</v>
      </c>
    </row>
    <row r="504" spans="1:14" hidden="1" x14ac:dyDescent="0.35">
      <c r="A504" t="s">
        <v>4333</v>
      </c>
      <c r="B504" t="s">
        <v>789</v>
      </c>
      <c r="C504" t="s">
        <v>125</v>
      </c>
      <c r="D504" t="s">
        <v>57</v>
      </c>
      <c r="E504" t="s">
        <v>2396</v>
      </c>
      <c r="F504" s="35">
        <v>46230</v>
      </c>
      <c r="G504" s="150">
        <v>2213.5</v>
      </c>
      <c r="H504" s="37">
        <f t="shared" si="155"/>
        <v>5</v>
      </c>
      <c r="I504" s="37" t="str">
        <f t="shared" si="156"/>
        <v>1-90 DAYS</v>
      </c>
      <c r="J504" s="37" t="str">
        <f t="shared" si="157"/>
        <v>0-180 DAYS</v>
      </c>
      <c r="M504" s="158" t="s">
        <v>5582</v>
      </c>
      <c r="N504" s="158">
        <v>2213.5</v>
      </c>
    </row>
    <row r="505" spans="1:14" hidden="1" x14ac:dyDescent="0.35">
      <c r="A505" t="s">
        <v>4333</v>
      </c>
      <c r="B505" t="s">
        <v>789</v>
      </c>
      <c r="C505" t="s">
        <v>125</v>
      </c>
      <c r="D505" t="s">
        <v>57</v>
      </c>
      <c r="E505" t="s">
        <v>5538</v>
      </c>
      <c r="F505" s="35">
        <v>46230</v>
      </c>
      <c r="G505" s="150">
        <v>15393.08</v>
      </c>
      <c r="H505" s="37">
        <f t="shared" si="155"/>
        <v>5</v>
      </c>
      <c r="I505" s="37" t="str">
        <f t="shared" si="156"/>
        <v>1-90 DAYS</v>
      </c>
      <c r="J505" s="37" t="str">
        <f t="shared" si="157"/>
        <v>0-180 DAYS</v>
      </c>
      <c r="M505" s="158" t="s">
        <v>5582</v>
      </c>
      <c r="N505" s="158">
        <v>15393.08</v>
      </c>
    </row>
    <row r="506" spans="1:14" hidden="1" x14ac:dyDescent="0.35">
      <c r="A506" t="s">
        <v>4333</v>
      </c>
      <c r="B506" t="s">
        <v>789</v>
      </c>
      <c r="C506" t="s">
        <v>125</v>
      </c>
      <c r="D506" t="s">
        <v>57</v>
      </c>
      <c r="E506" t="s">
        <v>5539</v>
      </c>
      <c r="F506" s="35">
        <v>46230</v>
      </c>
      <c r="G506" s="150">
        <v>1585746.58</v>
      </c>
      <c r="H506" s="37">
        <f t="shared" si="155"/>
        <v>5</v>
      </c>
      <c r="I506" s="37" t="str">
        <f t="shared" si="156"/>
        <v>1-90 DAYS</v>
      </c>
      <c r="J506" s="37" t="str">
        <f t="shared" si="157"/>
        <v>0-180 DAYS</v>
      </c>
      <c r="M506" s="158" t="s">
        <v>5582</v>
      </c>
      <c r="N506" s="158">
        <v>1585746.58</v>
      </c>
    </row>
    <row r="507" spans="1:14" hidden="1" x14ac:dyDescent="0.35">
      <c r="A507" t="s">
        <v>4333</v>
      </c>
      <c r="B507" t="s">
        <v>789</v>
      </c>
      <c r="C507" t="s">
        <v>125</v>
      </c>
      <c r="D507" t="s">
        <v>57</v>
      </c>
      <c r="E507" t="s">
        <v>5540</v>
      </c>
      <c r="F507" s="35">
        <v>46231</v>
      </c>
      <c r="G507" s="150">
        <v>163834.5</v>
      </c>
      <c r="H507" s="37">
        <f t="shared" si="155"/>
        <v>4</v>
      </c>
      <c r="I507" s="37" t="str">
        <f t="shared" si="156"/>
        <v>1-90 DAYS</v>
      </c>
      <c r="J507" s="37" t="str">
        <f t="shared" si="157"/>
        <v>0-180 DAYS</v>
      </c>
      <c r="M507" s="158" t="s">
        <v>5587</v>
      </c>
      <c r="N507" s="158">
        <v>163834.5</v>
      </c>
    </row>
    <row r="508" spans="1:14" hidden="1" x14ac:dyDescent="0.35">
      <c r="A508" t="s">
        <v>4333</v>
      </c>
      <c r="B508" t="s">
        <v>789</v>
      </c>
      <c r="C508" t="s">
        <v>125</v>
      </c>
      <c r="D508" t="s">
        <v>57</v>
      </c>
      <c r="E508" t="s">
        <v>2398</v>
      </c>
      <c r="F508" s="35">
        <v>46232</v>
      </c>
      <c r="G508" s="150">
        <v>530907.22</v>
      </c>
      <c r="H508" s="37">
        <f t="shared" si="155"/>
        <v>3</v>
      </c>
      <c r="I508" s="37" t="str">
        <f t="shared" si="156"/>
        <v>1-90 DAYS</v>
      </c>
      <c r="J508" s="37" t="str">
        <f t="shared" si="157"/>
        <v>0-180 DAYS</v>
      </c>
      <c r="M508" s="158" t="s">
        <v>5583</v>
      </c>
      <c r="N508" s="158">
        <v>530907.22</v>
      </c>
    </row>
    <row r="509" spans="1:14" hidden="1" x14ac:dyDescent="0.35">
      <c r="A509" t="s">
        <v>4333</v>
      </c>
      <c r="B509" t="s">
        <v>789</v>
      </c>
      <c r="C509" t="s">
        <v>125</v>
      </c>
      <c r="D509" t="s">
        <v>57</v>
      </c>
      <c r="E509" t="s">
        <v>5541</v>
      </c>
      <c r="F509" s="35">
        <v>46232</v>
      </c>
      <c r="G509" s="150">
        <v>622.04</v>
      </c>
      <c r="H509" s="37">
        <f t="shared" si="155"/>
        <v>3</v>
      </c>
      <c r="I509" s="37" t="str">
        <f t="shared" si="156"/>
        <v>1-90 DAYS</v>
      </c>
      <c r="J509" s="37" t="str">
        <f t="shared" si="157"/>
        <v>0-180 DAYS</v>
      </c>
      <c r="M509" s="158" t="s">
        <v>5583</v>
      </c>
      <c r="N509" s="158">
        <v>622.04</v>
      </c>
    </row>
    <row r="510" spans="1:14" hidden="1" x14ac:dyDescent="0.35">
      <c r="A510" t="s">
        <v>4333</v>
      </c>
      <c r="B510" t="s">
        <v>789</v>
      </c>
      <c r="C510" t="s">
        <v>125</v>
      </c>
      <c r="D510" t="s">
        <v>57</v>
      </c>
      <c r="E510" t="s">
        <v>5542</v>
      </c>
      <c r="F510" s="35">
        <v>46232</v>
      </c>
      <c r="G510" s="150">
        <v>235304.41</v>
      </c>
      <c r="H510" s="37">
        <f t="shared" si="155"/>
        <v>3</v>
      </c>
      <c r="I510" s="37" t="str">
        <f t="shared" si="156"/>
        <v>1-90 DAYS</v>
      </c>
      <c r="J510" s="37" t="str">
        <f t="shared" si="157"/>
        <v>0-180 DAYS</v>
      </c>
      <c r="M510" s="158" t="s">
        <v>5583</v>
      </c>
      <c r="N510" s="158">
        <v>235304.41</v>
      </c>
    </row>
    <row r="511" spans="1:14" hidden="1" x14ac:dyDescent="0.35">
      <c r="A511" t="s">
        <v>4333</v>
      </c>
      <c r="B511" t="s">
        <v>789</v>
      </c>
      <c r="C511" t="s">
        <v>125</v>
      </c>
      <c r="D511" t="s">
        <v>57</v>
      </c>
      <c r="E511" t="s">
        <v>5543</v>
      </c>
      <c r="F511" s="35">
        <v>46233</v>
      </c>
      <c r="G511" s="150">
        <v>1114717.83</v>
      </c>
      <c r="H511" s="37">
        <f t="shared" si="155"/>
        <v>2</v>
      </c>
      <c r="I511" s="37" t="str">
        <f t="shared" si="156"/>
        <v>1-90 DAYS</v>
      </c>
      <c r="J511" s="37" t="str">
        <f t="shared" si="157"/>
        <v>0-180 DAYS</v>
      </c>
      <c r="M511" s="158" t="s">
        <v>5584</v>
      </c>
      <c r="N511" s="158">
        <v>1114717.83</v>
      </c>
    </row>
    <row r="512" spans="1:14" hidden="1" x14ac:dyDescent="0.35">
      <c r="A512" t="s">
        <v>4333</v>
      </c>
      <c r="B512" t="s">
        <v>789</v>
      </c>
      <c r="C512" t="s">
        <v>125</v>
      </c>
      <c r="D512" t="s">
        <v>57</v>
      </c>
      <c r="E512" t="s">
        <v>63</v>
      </c>
      <c r="F512" s="35">
        <v>46233</v>
      </c>
      <c r="G512" s="150">
        <v>2830</v>
      </c>
      <c r="H512" s="37">
        <f t="shared" si="155"/>
        <v>2</v>
      </c>
      <c r="I512" s="37" t="str">
        <f t="shared" si="156"/>
        <v>1-90 DAYS</v>
      </c>
      <c r="J512" s="37" t="str">
        <f t="shared" si="157"/>
        <v>0-180 DAYS</v>
      </c>
      <c r="M512" s="158" t="s">
        <v>5584</v>
      </c>
      <c r="N512" s="158">
        <v>2830</v>
      </c>
    </row>
    <row r="513" spans="1:14" hidden="1" x14ac:dyDescent="0.35">
      <c r="A513" t="s">
        <v>4333</v>
      </c>
      <c r="B513" t="s">
        <v>789</v>
      </c>
      <c r="C513" t="s">
        <v>125</v>
      </c>
      <c r="D513" t="s">
        <v>57</v>
      </c>
      <c r="E513" t="s">
        <v>64</v>
      </c>
      <c r="F513" s="35">
        <v>46233</v>
      </c>
      <c r="G513" s="150">
        <v>336057.34</v>
      </c>
      <c r="H513" s="37">
        <f t="shared" si="155"/>
        <v>2</v>
      </c>
      <c r="I513" s="37" t="str">
        <f t="shared" si="156"/>
        <v>1-90 DAYS</v>
      </c>
      <c r="J513" s="37" t="str">
        <f t="shared" si="157"/>
        <v>0-180 DAYS</v>
      </c>
      <c r="M513" s="158" t="s">
        <v>5584</v>
      </c>
      <c r="N513" s="158">
        <v>336057.34</v>
      </c>
    </row>
    <row r="514" spans="1:14" hidden="1" x14ac:dyDescent="0.35">
      <c r="A514" t="s">
        <v>4333</v>
      </c>
      <c r="B514" t="s">
        <v>789</v>
      </c>
      <c r="C514" t="s">
        <v>125</v>
      </c>
      <c r="D514" t="s">
        <v>57</v>
      </c>
      <c r="E514" t="s">
        <v>4035</v>
      </c>
      <c r="F514" s="35">
        <v>46233</v>
      </c>
      <c r="G514" s="150">
        <v>198956</v>
      </c>
      <c r="H514" s="37">
        <f t="shared" si="155"/>
        <v>2</v>
      </c>
      <c r="I514" s="37" t="str">
        <f t="shared" si="156"/>
        <v>1-90 DAYS</v>
      </c>
      <c r="J514" s="37" t="str">
        <f t="shared" si="157"/>
        <v>0-180 DAYS</v>
      </c>
      <c r="M514" s="158" t="s">
        <v>5584</v>
      </c>
      <c r="N514" s="158">
        <v>198956</v>
      </c>
    </row>
    <row r="515" spans="1:14" hidden="1" x14ac:dyDescent="0.35">
      <c r="A515" t="s">
        <v>4333</v>
      </c>
      <c r="B515" t="s">
        <v>789</v>
      </c>
      <c r="C515" t="s">
        <v>125</v>
      </c>
      <c r="D515" t="s">
        <v>57</v>
      </c>
      <c r="E515" t="s">
        <v>5544</v>
      </c>
      <c r="F515" s="35">
        <v>46234</v>
      </c>
      <c r="G515" s="150">
        <v>9620.7999999999993</v>
      </c>
      <c r="H515" s="37">
        <f t="shared" si="155"/>
        <v>1</v>
      </c>
      <c r="I515" s="37" t="str">
        <f t="shared" si="156"/>
        <v>1-90 DAYS</v>
      </c>
      <c r="J515" s="37" t="str">
        <f t="shared" si="157"/>
        <v>0-180 DAYS</v>
      </c>
      <c r="M515" s="158" t="s">
        <v>5563</v>
      </c>
      <c r="N515" s="158">
        <v>9620.7999999999993</v>
      </c>
    </row>
    <row r="516" spans="1:14" hidden="1" x14ac:dyDescent="0.35">
      <c r="A516" t="s">
        <v>4333</v>
      </c>
      <c r="B516" t="s">
        <v>789</v>
      </c>
      <c r="C516" t="s">
        <v>125</v>
      </c>
      <c r="D516" t="s">
        <v>57</v>
      </c>
      <c r="E516" t="s">
        <v>68</v>
      </c>
      <c r="F516" s="35">
        <v>46234</v>
      </c>
      <c r="G516" s="150">
        <v>1024257.02</v>
      </c>
      <c r="H516" s="37">
        <f t="shared" si="155"/>
        <v>1</v>
      </c>
      <c r="I516" s="37" t="str">
        <f t="shared" si="156"/>
        <v>1-90 DAYS</v>
      </c>
      <c r="J516" s="37" t="str">
        <f t="shared" si="157"/>
        <v>0-180 DAYS</v>
      </c>
      <c r="M516" s="158" t="s">
        <v>5563</v>
      </c>
      <c r="N516" s="158">
        <v>1024257.02</v>
      </c>
    </row>
    <row r="517" spans="1:14" hidden="1" x14ac:dyDescent="0.35">
      <c r="A517" t="s">
        <v>4333</v>
      </c>
      <c r="B517" t="s">
        <v>789</v>
      </c>
      <c r="C517" t="s">
        <v>125</v>
      </c>
      <c r="D517" t="s">
        <v>57</v>
      </c>
      <c r="E517" t="s">
        <v>5545</v>
      </c>
      <c r="F517" s="35">
        <v>46210</v>
      </c>
      <c r="G517" s="150">
        <v>816104.72</v>
      </c>
      <c r="H517" s="37">
        <f t="shared" si="155"/>
        <v>25</v>
      </c>
      <c r="I517" s="37" t="str">
        <f t="shared" si="156"/>
        <v>1-90 DAYS</v>
      </c>
      <c r="J517" s="37" t="str">
        <f t="shared" si="157"/>
        <v>0-180 DAYS</v>
      </c>
      <c r="M517" s="158" t="s">
        <v>5585</v>
      </c>
      <c r="N517" s="158">
        <v>816104.72</v>
      </c>
    </row>
    <row r="518" spans="1:14" hidden="1" x14ac:dyDescent="0.35">
      <c r="A518" t="s">
        <v>4333</v>
      </c>
      <c r="B518" t="s">
        <v>789</v>
      </c>
      <c r="C518" t="s">
        <v>125</v>
      </c>
      <c r="D518" t="s">
        <v>57</v>
      </c>
      <c r="E518" t="s">
        <v>2217</v>
      </c>
      <c r="F518" s="35">
        <v>46210</v>
      </c>
      <c r="G518" s="150">
        <v>4244.3999999999996</v>
      </c>
      <c r="H518" s="37">
        <f t="shared" si="155"/>
        <v>25</v>
      </c>
      <c r="I518" s="37" t="str">
        <f t="shared" si="156"/>
        <v>1-90 DAYS</v>
      </c>
      <c r="J518" s="37" t="str">
        <f t="shared" si="157"/>
        <v>0-180 DAYS</v>
      </c>
      <c r="M518" s="158" t="s">
        <v>5585</v>
      </c>
      <c r="N518" s="158">
        <v>4244.3999999999996</v>
      </c>
    </row>
    <row r="519" spans="1:14" hidden="1" x14ac:dyDescent="0.35">
      <c r="A519" t="s">
        <v>4333</v>
      </c>
      <c r="B519" t="s">
        <v>789</v>
      </c>
      <c r="C519" t="s">
        <v>125</v>
      </c>
      <c r="D519" t="s">
        <v>57</v>
      </c>
      <c r="E519" t="s">
        <v>2219</v>
      </c>
      <c r="F519" s="35">
        <v>46213</v>
      </c>
      <c r="G519" s="150">
        <v>2043057.22</v>
      </c>
      <c r="H519" s="37">
        <f t="shared" si="155"/>
        <v>22</v>
      </c>
      <c r="I519" s="37" t="str">
        <f t="shared" si="156"/>
        <v>1-90 DAYS</v>
      </c>
      <c r="J519" s="37" t="str">
        <f t="shared" si="157"/>
        <v>0-180 DAYS</v>
      </c>
      <c r="M519" s="158" t="s">
        <v>5590</v>
      </c>
      <c r="N519" s="158">
        <v>2043057.22</v>
      </c>
    </row>
    <row r="520" spans="1:14" hidden="1" x14ac:dyDescent="0.35">
      <c r="A520" t="s">
        <v>4333</v>
      </c>
      <c r="B520" t="s">
        <v>789</v>
      </c>
      <c r="C520" t="s">
        <v>125</v>
      </c>
      <c r="D520" t="s">
        <v>57</v>
      </c>
      <c r="E520" t="s">
        <v>5546</v>
      </c>
      <c r="F520" s="35">
        <v>46215</v>
      </c>
      <c r="G520" s="150">
        <v>235894.32</v>
      </c>
      <c r="H520" s="37">
        <f t="shared" si="155"/>
        <v>20</v>
      </c>
      <c r="I520" s="37" t="str">
        <f t="shared" si="156"/>
        <v>1-90 DAYS</v>
      </c>
      <c r="J520" s="37" t="str">
        <f t="shared" si="157"/>
        <v>0-180 DAYS</v>
      </c>
      <c r="M520" s="158" t="s">
        <v>5569</v>
      </c>
      <c r="N520" s="158">
        <v>235894.32</v>
      </c>
    </row>
    <row r="521" spans="1:14" hidden="1" x14ac:dyDescent="0.35">
      <c r="A521" t="s">
        <v>4333</v>
      </c>
      <c r="B521" t="s">
        <v>789</v>
      </c>
      <c r="C521" t="s">
        <v>125</v>
      </c>
      <c r="D521" t="s">
        <v>57</v>
      </c>
      <c r="E521" t="s">
        <v>5547</v>
      </c>
      <c r="F521" s="35">
        <v>46215</v>
      </c>
      <c r="G521" s="150">
        <v>2490.0500000000002</v>
      </c>
      <c r="H521" s="37">
        <f t="shared" si="155"/>
        <v>20</v>
      </c>
      <c r="I521" s="37" t="str">
        <f t="shared" si="156"/>
        <v>1-90 DAYS</v>
      </c>
      <c r="J521" s="37" t="str">
        <f t="shared" si="157"/>
        <v>0-180 DAYS</v>
      </c>
      <c r="M521" s="158" t="s">
        <v>5569</v>
      </c>
      <c r="N521" s="158">
        <v>2490.0500000000002</v>
      </c>
    </row>
    <row r="522" spans="1:14" hidden="1" x14ac:dyDescent="0.35">
      <c r="A522" t="s">
        <v>4333</v>
      </c>
      <c r="B522" t="s">
        <v>789</v>
      </c>
      <c r="C522" t="s">
        <v>125</v>
      </c>
      <c r="D522" t="s">
        <v>57</v>
      </c>
      <c r="E522" t="s">
        <v>5548</v>
      </c>
      <c r="F522" s="35">
        <v>46218</v>
      </c>
      <c r="G522" s="150">
        <v>1490633.26</v>
      </c>
      <c r="H522" s="37">
        <f t="shared" si="155"/>
        <v>17</v>
      </c>
      <c r="I522" s="37" t="str">
        <f t="shared" si="156"/>
        <v>1-90 DAYS</v>
      </c>
      <c r="J522" s="37" t="str">
        <f t="shared" si="157"/>
        <v>0-180 DAYS</v>
      </c>
      <c r="M522" s="158" t="s">
        <v>5572</v>
      </c>
      <c r="N522" s="158">
        <v>1490633.26</v>
      </c>
    </row>
    <row r="523" spans="1:14" hidden="1" x14ac:dyDescent="0.35">
      <c r="A523" t="s">
        <v>4333</v>
      </c>
      <c r="B523" t="s">
        <v>789</v>
      </c>
      <c r="C523" t="s">
        <v>125</v>
      </c>
      <c r="D523" t="s">
        <v>57</v>
      </c>
      <c r="E523" t="s">
        <v>5549</v>
      </c>
      <c r="F523" s="35">
        <v>46218</v>
      </c>
      <c r="G523" s="150">
        <v>530550</v>
      </c>
      <c r="H523" s="37">
        <f t="shared" si="155"/>
        <v>17</v>
      </c>
      <c r="I523" s="37" t="str">
        <f t="shared" si="156"/>
        <v>1-90 DAYS</v>
      </c>
      <c r="J523" s="37" t="str">
        <f t="shared" si="157"/>
        <v>0-180 DAYS</v>
      </c>
      <c r="M523" s="158" t="s">
        <v>5572</v>
      </c>
      <c r="N523" s="158">
        <v>530550</v>
      </c>
    </row>
    <row r="524" spans="1:14" hidden="1" x14ac:dyDescent="0.35">
      <c r="A524" t="s">
        <v>4333</v>
      </c>
      <c r="B524" t="s">
        <v>789</v>
      </c>
      <c r="C524" t="s">
        <v>125</v>
      </c>
      <c r="D524" t="s">
        <v>57</v>
      </c>
      <c r="E524" t="s">
        <v>5550</v>
      </c>
      <c r="F524" s="35">
        <v>46219</v>
      </c>
      <c r="G524" s="150">
        <v>1201815.04</v>
      </c>
      <c r="H524" s="37">
        <f t="shared" si="155"/>
        <v>16</v>
      </c>
      <c r="I524" s="37" t="str">
        <f t="shared" si="156"/>
        <v>1-90 DAYS</v>
      </c>
      <c r="J524" s="37" t="str">
        <f t="shared" si="157"/>
        <v>0-180 DAYS</v>
      </c>
      <c r="M524" s="158" t="s">
        <v>5591</v>
      </c>
      <c r="N524" s="158">
        <v>1201815.04</v>
      </c>
    </row>
    <row r="525" spans="1:14" hidden="1" x14ac:dyDescent="0.35">
      <c r="A525" t="s">
        <v>4333</v>
      </c>
      <c r="B525" t="s">
        <v>789</v>
      </c>
      <c r="C525" t="s">
        <v>125</v>
      </c>
      <c r="D525" t="s">
        <v>57</v>
      </c>
      <c r="E525" t="s">
        <v>5551</v>
      </c>
      <c r="F525" s="35">
        <v>46221</v>
      </c>
      <c r="G525" s="150">
        <v>342800.16</v>
      </c>
      <c r="H525" s="37">
        <f t="shared" si="155"/>
        <v>14</v>
      </c>
      <c r="I525" s="37" t="str">
        <f t="shared" si="156"/>
        <v>1-90 DAYS</v>
      </c>
      <c r="J525" s="37" t="str">
        <f t="shared" si="157"/>
        <v>0-180 DAYS</v>
      </c>
      <c r="M525" s="158" t="s">
        <v>5574</v>
      </c>
      <c r="N525" s="158">
        <v>342800.16</v>
      </c>
    </row>
    <row r="526" spans="1:14" hidden="1" x14ac:dyDescent="0.35">
      <c r="A526" t="s">
        <v>4333</v>
      </c>
      <c r="B526" t="s">
        <v>789</v>
      </c>
      <c r="C526" t="s">
        <v>125</v>
      </c>
      <c r="D526" t="s">
        <v>57</v>
      </c>
      <c r="E526" t="s">
        <v>5552</v>
      </c>
      <c r="F526" s="35">
        <v>46223</v>
      </c>
      <c r="G526" s="150">
        <v>653281.4</v>
      </c>
      <c r="H526" s="37">
        <f t="shared" si="155"/>
        <v>12</v>
      </c>
      <c r="I526" s="37" t="str">
        <f t="shared" si="156"/>
        <v>1-90 DAYS</v>
      </c>
      <c r="J526" s="37" t="str">
        <f t="shared" si="157"/>
        <v>0-180 DAYS</v>
      </c>
      <c r="M526" s="158" t="s">
        <v>5575</v>
      </c>
      <c r="N526" s="158">
        <v>653281.4</v>
      </c>
    </row>
    <row r="527" spans="1:14" hidden="1" x14ac:dyDescent="0.35">
      <c r="A527" t="s">
        <v>4333</v>
      </c>
      <c r="B527" t="s">
        <v>789</v>
      </c>
      <c r="C527" t="s">
        <v>125</v>
      </c>
      <c r="D527" t="s">
        <v>57</v>
      </c>
      <c r="E527" t="s">
        <v>5553</v>
      </c>
      <c r="F527" s="35">
        <v>46223</v>
      </c>
      <c r="G527" s="150">
        <v>4640.54</v>
      </c>
      <c r="H527" s="37">
        <f t="shared" si="155"/>
        <v>12</v>
      </c>
      <c r="I527" s="37" t="str">
        <f t="shared" si="156"/>
        <v>1-90 DAYS</v>
      </c>
      <c r="J527" s="37" t="str">
        <f t="shared" si="157"/>
        <v>0-180 DAYS</v>
      </c>
      <c r="M527" s="158" t="s">
        <v>5575</v>
      </c>
      <c r="N527" s="158">
        <v>4640.54</v>
      </c>
    </row>
    <row r="528" spans="1:14" hidden="1" x14ac:dyDescent="0.35">
      <c r="A528" t="s">
        <v>4333</v>
      </c>
      <c r="B528" t="s">
        <v>789</v>
      </c>
      <c r="C528" t="s">
        <v>125</v>
      </c>
      <c r="D528" t="s">
        <v>57</v>
      </c>
      <c r="E528" t="s">
        <v>4304</v>
      </c>
      <c r="F528" s="35">
        <v>46229</v>
      </c>
      <c r="G528" s="150">
        <v>5227404.18</v>
      </c>
      <c r="H528" s="37">
        <f t="shared" si="155"/>
        <v>6</v>
      </c>
      <c r="I528" s="37" t="str">
        <f t="shared" si="156"/>
        <v>1-90 DAYS</v>
      </c>
      <c r="J528" s="37" t="str">
        <f t="shared" si="157"/>
        <v>0-180 DAYS</v>
      </c>
      <c r="M528" s="158" t="s">
        <v>5586</v>
      </c>
      <c r="N528" s="158">
        <v>5227404.18</v>
      </c>
    </row>
    <row r="529" spans="1:14" hidden="1" x14ac:dyDescent="0.35">
      <c r="A529" t="s">
        <v>4333</v>
      </c>
      <c r="B529" t="s">
        <v>789</v>
      </c>
      <c r="C529" t="s">
        <v>125</v>
      </c>
      <c r="D529" t="s">
        <v>57</v>
      </c>
      <c r="E529" t="s">
        <v>5554</v>
      </c>
      <c r="F529" s="35">
        <v>46230</v>
      </c>
      <c r="G529" s="150">
        <v>1008411.5</v>
      </c>
      <c r="H529" s="37">
        <f t="shared" si="155"/>
        <v>5</v>
      </c>
      <c r="I529" s="37" t="str">
        <f t="shared" si="156"/>
        <v>1-90 DAYS</v>
      </c>
      <c r="J529" s="37" t="str">
        <f t="shared" si="157"/>
        <v>0-180 DAYS</v>
      </c>
      <c r="M529" s="158" t="s">
        <v>5582</v>
      </c>
      <c r="N529" s="158">
        <v>1008411.5</v>
      </c>
    </row>
  </sheetData>
  <autoFilter ref="A3:N529" xr:uid="{0BEEAA7A-972D-4FF2-9EAF-044395AFA7F5}">
    <filterColumn colId="0">
      <filters>
        <filter val="Domestic"/>
        <filter val="Export"/>
      </filters>
    </filterColumn>
    <filterColumn colId="8">
      <filters>
        <filter val="0-120 DAYS"/>
        <filter val="1-90 DAYS"/>
      </filters>
    </filterColumn>
  </autoFilter>
  <conditionalFormatting sqref="E3">
    <cfRule type="duplicateValues" dxfId="40" priority="1"/>
    <cfRule type="duplicateValues" dxfId="39" priority="2"/>
  </conditionalFormatting>
  <conditionalFormatting sqref="E4">
    <cfRule type="duplicateValues" dxfId="38" priority="3"/>
  </conditionalFormatting>
  <conditionalFormatting sqref="E4:E5">
    <cfRule type="duplicateValues" dxfId="37" priority="4"/>
    <cfRule type="duplicateValues" dxfId="36" priority="5"/>
  </conditionalFormatting>
  <conditionalFormatting sqref="E8:E9">
    <cfRule type="duplicateValues" dxfId="35" priority="6"/>
  </conditionalFormatting>
  <conditionalFormatting sqref="E8:E12">
    <cfRule type="duplicateValues" dxfId="34" priority="7"/>
    <cfRule type="duplicateValues" dxfId="33" priority="8"/>
  </conditionalFormatting>
  <dataValidations count="2">
    <dataValidation type="textLength" operator="lessThanOrEqual" allowBlank="1" showInputMessage="1" showErrorMessage="1" error="Invoice number cannot be greater 18 characters" sqref="E4 E8:E9" xr:uid="{D9300DEE-D945-4C77-BC96-601F0AE08850}">
      <formula1>18</formula1>
    </dataValidation>
    <dataValidation type="textLength" allowBlank="1" showInputMessage="1" showErrorMessage="1" error="GST Number, please update 15 characters" sqref="D4 D8:D9 D18:D23 D104 D111:D112 D114 D117:D121 D125:D133 D106:D108 D100:D101 D320:D321 D323 D339:D340 D342 D346:D347 D350 D352:D356 D359:D361 D363:D367 D370 D372 D374 D377:D383 D388:D404 D407 D45:D64 D87:D93 D67:D81" xr:uid="{A704EE23-E1E7-47A6-B3A8-A103B8A47EB7}">
      <formula1>15</formula1>
      <formula2>15</formula2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B4996-E2B0-4129-94B5-CF1C98A9F0B9}">
  <sheetPr>
    <tabColor theme="7"/>
  </sheetPr>
  <dimension ref="A1:N608"/>
  <sheetViews>
    <sheetView topLeftCell="D592" workbookViewId="0">
      <selection activeCell="G4" sqref="G4:G608"/>
    </sheetView>
  </sheetViews>
  <sheetFormatPr defaultRowHeight="14.5" x14ac:dyDescent="0.35"/>
  <cols>
    <col min="3" max="3" width="38.7265625" bestFit="1" customWidth="1"/>
    <col min="4" max="4" width="16.7265625" bestFit="1" customWidth="1"/>
    <col min="5" max="5" width="16.6328125" bestFit="1" customWidth="1"/>
    <col min="6" max="6" width="17.453125" bestFit="1" customWidth="1"/>
    <col min="7" max="7" width="16.08984375" style="150" bestFit="1" customWidth="1"/>
    <col min="8" max="8" width="14.6328125" bestFit="1" customWidth="1"/>
    <col min="9" max="9" width="12.54296875" bestFit="1" customWidth="1"/>
    <col min="10" max="10" width="16.1796875" bestFit="1" customWidth="1"/>
    <col min="12" max="12" width="10" bestFit="1" customWidth="1"/>
    <col min="13" max="13" width="11" style="157" bestFit="1" customWidth="1"/>
    <col min="14" max="14" width="10" style="157" bestFit="1" customWidth="1"/>
  </cols>
  <sheetData>
    <row r="1" spans="1:14" x14ac:dyDescent="0.35">
      <c r="E1" s="66"/>
      <c r="F1" s="66"/>
      <c r="G1" s="150" t="str">
        <f>IF(H9&lt;91,"1-90 DAYS",IF(H9&lt;121,"91-120DAYS",IF(H9&lt;181,"121-180 DAYS","More than 180 Days")))</f>
        <v>More than 180 Days</v>
      </c>
      <c r="H1" s="197">
        <v>46234</v>
      </c>
      <c r="I1" s="198" t="s">
        <v>5193</v>
      </c>
    </row>
    <row r="2" spans="1:14" x14ac:dyDescent="0.35">
      <c r="E2" s="66"/>
      <c r="F2" s="66"/>
      <c r="G2" s="150">
        <f>SUBTOTAL(9,G4:G608)</f>
        <v>678987631.47083485</v>
      </c>
      <c r="H2" s="35"/>
      <c r="I2" s="184"/>
      <c r="L2" s="66"/>
    </row>
    <row r="3" spans="1:14" x14ac:dyDescent="0.35">
      <c r="A3" s="80" t="s">
        <v>478</v>
      </c>
      <c r="B3" s="88" t="s">
        <v>787</v>
      </c>
      <c r="C3" s="80" t="s">
        <v>472</v>
      </c>
      <c r="D3" s="80" t="s">
        <v>473</v>
      </c>
      <c r="E3" s="81" t="s">
        <v>474</v>
      </c>
      <c r="F3" s="80" t="s">
        <v>475</v>
      </c>
      <c r="G3" s="177" t="s">
        <v>476</v>
      </c>
      <c r="H3" s="83" t="s">
        <v>483</v>
      </c>
      <c r="I3" s="83" t="s">
        <v>484</v>
      </c>
      <c r="J3" s="83" t="s">
        <v>1051</v>
      </c>
      <c r="K3" s="89"/>
    </row>
    <row r="4" spans="1:14" x14ac:dyDescent="0.35">
      <c r="A4" s="2" t="s">
        <v>1085</v>
      </c>
      <c r="B4" s="2" t="s">
        <v>790</v>
      </c>
      <c r="C4" s="37" t="s">
        <v>518</v>
      </c>
      <c r="D4" s="37" t="s">
        <v>507</v>
      </c>
      <c r="E4" s="37" t="s">
        <v>519</v>
      </c>
      <c r="F4" s="174" t="s">
        <v>1406</v>
      </c>
      <c r="G4" s="47">
        <v>3151699.2</v>
      </c>
      <c r="H4" s="37">
        <f t="shared" ref="H4:H67" si="0">$H$1-F4+1</f>
        <v>1604</v>
      </c>
      <c r="I4" s="37" t="str">
        <f>IF(H4&lt;121,"0-120 DAYS",IF(H4&lt;181,"121-180 DAYS","More than 180 Days"))</f>
        <v>More than 180 Days</v>
      </c>
      <c r="J4" s="37" t="str">
        <f>IF(H4&lt;180,"0-180 DAYS","More than 180 Days")</f>
        <v>More than 180 Days</v>
      </c>
      <c r="L4" s="66"/>
      <c r="M4" s="158" t="s">
        <v>1406</v>
      </c>
      <c r="N4" s="158">
        <v>3151699.2</v>
      </c>
    </row>
    <row r="5" spans="1:14" x14ac:dyDescent="0.35">
      <c r="A5" s="2" t="s">
        <v>1085</v>
      </c>
      <c r="B5" s="2" t="s">
        <v>790</v>
      </c>
      <c r="C5" s="37" t="s">
        <v>520</v>
      </c>
      <c r="D5" s="37" t="s">
        <v>507</v>
      </c>
      <c r="E5" s="37" t="s">
        <v>521</v>
      </c>
      <c r="F5" s="174" t="s">
        <v>1406</v>
      </c>
      <c r="G5" s="47">
        <v>3151699.2</v>
      </c>
      <c r="H5" s="37">
        <f t="shared" si="0"/>
        <v>1604</v>
      </c>
      <c r="I5" s="37" t="str">
        <f>IF(H5&lt;121,"0-120 DAYS",IF(H5&lt;181,"121-180 DAYS","More than 180 Days"))</f>
        <v>More than 180 Days</v>
      </c>
      <c r="J5" s="37" t="str">
        <f>IF(H5&lt;180,"0-180 DAYS","More than 180 Days")</f>
        <v>More than 180 Days</v>
      </c>
      <c r="L5" s="66"/>
      <c r="M5" s="158" t="s">
        <v>1406</v>
      </c>
      <c r="N5" s="158">
        <v>3151699.2</v>
      </c>
    </row>
    <row r="6" spans="1:14" x14ac:dyDescent="0.35">
      <c r="A6" s="2" t="s">
        <v>1727</v>
      </c>
      <c r="B6" s="2" t="s">
        <v>788</v>
      </c>
      <c r="C6" s="44" t="s">
        <v>1729</v>
      </c>
      <c r="D6" s="2" t="s">
        <v>507</v>
      </c>
      <c r="E6" s="192">
        <v>46204</v>
      </c>
      <c r="F6" s="174">
        <v>46234</v>
      </c>
      <c r="G6" s="151">
        <v>26344440.298192501</v>
      </c>
      <c r="H6" s="37">
        <f>$H$1-F6+1</f>
        <v>1</v>
      </c>
      <c r="I6" s="37" t="str">
        <f>IF(H6&lt;91,"1-90 DAYS",IF(H6&lt;121,"91-120DAYS",IF(H6&lt;181,"121-180 DAYS","More than 180 Days")))</f>
        <v>1-90 DAYS</v>
      </c>
      <c r="J6" s="37" t="str">
        <f t="shared" ref="J6:J69" si="1">IF(H6&lt;180,"0-180 DAYS","More than 180 Days")</f>
        <v>0-180 DAYS</v>
      </c>
      <c r="K6" t="s">
        <v>1730</v>
      </c>
      <c r="L6" s="66"/>
      <c r="M6" s="158" t="s">
        <v>5195</v>
      </c>
      <c r="N6" s="158">
        <v>26653565.809999999</v>
      </c>
    </row>
    <row r="7" spans="1:14" x14ac:dyDescent="0.35">
      <c r="A7" s="2" t="s">
        <v>1727</v>
      </c>
      <c r="B7" s="2" t="s">
        <v>788</v>
      </c>
      <c r="C7" s="44" t="s">
        <v>4894</v>
      </c>
      <c r="D7" s="2" t="s">
        <v>507</v>
      </c>
      <c r="E7" s="192">
        <v>46204</v>
      </c>
      <c r="F7" s="174">
        <v>46234</v>
      </c>
      <c r="G7" s="151">
        <v>59071026</v>
      </c>
      <c r="H7" s="37">
        <f t="shared" ref="H7" si="2">$H$1-F7+1</f>
        <v>1</v>
      </c>
      <c r="I7" s="37" t="str">
        <f>IF(H7&lt;91,"1-90 DAYS",IF(H7&lt;121,"91-120DAYS",IF(H7&lt;181,"121-180 DAYS","More than 180 Days")))</f>
        <v>1-90 DAYS</v>
      </c>
      <c r="J7" s="37" t="str">
        <f t="shared" si="1"/>
        <v>0-180 DAYS</v>
      </c>
      <c r="K7" t="s">
        <v>1730</v>
      </c>
      <c r="L7" s="66"/>
      <c r="M7" s="158" t="s">
        <v>5195</v>
      </c>
      <c r="N7" s="158">
        <v>44953082.5</v>
      </c>
    </row>
    <row r="8" spans="1:14" x14ac:dyDescent="0.35">
      <c r="A8" s="2" t="s">
        <v>477</v>
      </c>
      <c r="B8" s="2" t="s">
        <v>790</v>
      </c>
      <c r="C8" s="2" t="s">
        <v>0</v>
      </c>
      <c r="D8" s="2" t="s">
        <v>1</v>
      </c>
      <c r="E8" s="3" t="s">
        <v>1058</v>
      </c>
      <c r="F8" s="174" t="s">
        <v>1425</v>
      </c>
      <c r="G8" s="47">
        <v>82517.399999999994</v>
      </c>
      <c r="H8" s="37">
        <f t="shared" si="0"/>
        <v>1582</v>
      </c>
      <c r="I8" s="37" t="str">
        <f>IF(H8&lt;91,"1-90 DAYS",IF(H8&lt;121,"91-120DAYS",IF(H8&lt;181,"121-180 DAYS","More than 180 Days")))</f>
        <v>More than 180 Days</v>
      </c>
      <c r="J8" s="37" t="str">
        <f t="shared" si="1"/>
        <v>More than 180 Days</v>
      </c>
      <c r="L8" s="66"/>
      <c r="M8" s="158" t="s">
        <v>1425</v>
      </c>
      <c r="N8" s="158">
        <v>82517.399999999994</v>
      </c>
    </row>
    <row r="9" spans="1:14" x14ac:dyDescent="0.35">
      <c r="A9" s="2" t="s">
        <v>477</v>
      </c>
      <c r="B9" s="2" t="s">
        <v>790</v>
      </c>
      <c r="C9" s="44" t="s">
        <v>0</v>
      </c>
      <c r="D9" s="44" t="s">
        <v>1</v>
      </c>
      <c r="E9" s="44" t="s">
        <v>1059</v>
      </c>
      <c r="F9" s="174" t="s">
        <v>1426</v>
      </c>
      <c r="G9" s="47">
        <v>49754.7</v>
      </c>
      <c r="H9" s="37">
        <f t="shared" si="0"/>
        <v>1215</v>
      </c>
      <c r="I9" s="37" t="str">
        <f>IF(H9&lt;91,"1-90 DAYS",IF(H9&lt;121,"91-120DAYS",IF(H9&lt;181,"121-180 DAYS","More than 180 Days")))</f>
        <v>More than 180 Days</v>
      </c>
      <c r="J9" s="37" t="str">
        <f t="shared" si="1"/>
        <v>More than 180 Days</v>
      </c>
      <c r="L9" s="66"/>
      <c r="M9" s="158" t="s">
        <v>1426</v>
      </c>
      <c r="N9" s="158">
        <v>49754.7</v>
      </c>
    </row>
    <row r="10" spans="1:14" x14ac:dyDescent="0.35">
      <c r="A10" s="2" t="s">
        <v>477</v>
      </c>
      <c r="B10" s="2" t="s">
        <v>790</v>
      </c>
      <c r="C10" s="44" t="s">
        <v>35</v>
      </c>
      <c r="D10" s="44" t="s">
        <v>36</v>
      </c>
      <c r="E10" s="44" t="s">
        <v>1192</v>
      </c>
      <c r="F10" s="174" t="s">
        <v>1436</v>
      </c>
      <c r="G10" s="47">
        <v>580857.09</v>
      </c>
      <c r="H10" s="37">
        <f t="shared" si="0"/>
        <v>964</v>
      </c>
      <c r="I10" s="37" t="str">
        <f t="shared" ref="I10:I14" si="3">IF(H10&lt;91,"1-90 DAYS",IF(H10&lt;121,"91-120DAYS",IF(H10&lt;181,"121-180 DAYS","More than 180 Days")))</f>
        <v>More than 180 Days</v>
      </c>
      <c r="J10" s="37" t="str">
        <f t="shared" si="1"/>
        <v>More than 180 Days</v>
      </c>
      <c r="L10" s="66"/>
      <c r="M10" s="158" t="s">
        <v>1436</v>
      </c>
      <c r="N10" s="158">
        <v>580857.09</v>
      </c>
    </row>
    <row r="11" spans="1:14" x14ac:dyDescent="0.35">
      <c r="A11" s="2" t="s">
        <v>477</v>
      </c>
      <c r="B11" s="2" t="s">
        <v>790</v>
      </c>
      <c r="C11" s="2" t="s">
        <v>38</v>
      </c>
      <c r="D11" s="2" t="s">
        <v>39</v>
      </c>
      <c r="E11" s="2" t="s">
        <v>40</v>
      </c>
      <c r="F11" s="174">
        <v>42760</v>
      </c>
      <c r="G11" s="47">
        <v>1507988</v>
      </c>
      <c r="H11" s="37">
        <f t="shared" si="0"/>
        <v>3475</v>
      </c>
      <c r="I11" s="37" t="str">
        <f t="shared" si="3"/>
        <v>More than 180 Days</v>
      </c>
      <c r="J11" s="37" t="str">
        <f t="shared" si="1"/>
        <v>More than 180 Days</v>
      </c>
      <c r="L11" s="66"/>
      <c r="M11" s="158" t="s">
        <v>1437</v>
      </c>
      <c r="N11" s="158">
        <v>1507988</v>
      </c>
    </row>
    <row r="12" spans="1:14" x14ac:dyDescent="0.35">
      <c r="A12" s="2" t="s">
        <v>477</v>
      </c>
      <c r="B12" s="2" t="s">
        <v>790</v>
      </c>
      <c r="C12" s="2" t="s">
        <v>38</v>
      </c>
      <c r="D12" s="2" t="s">
        <v>39</v>
      </c>
      <c r="E12" s="2" t="s">
        <v>41</v>
      </c>
      <c r="F12" s="174" t="s">
        <v>1438</v>
      </c>
      <c r="G12" s="47">
        <v>2089970</v>
      </c>
      <c r="H12" s="37">
        <f t="shared" si="0"/>
        <v>3459</v>
      </c>
      <c r="I12" s="37" t="str">
        <f t="shared" si="3"/>
        <v>More than 180 Days</v>
      </c>
      <c r="J12" s="37" t="str">
        <f t="shared" si="1"/>
        <v>More than 180 Days</v>
      </c>
      <c r="L12" s="66"/>
      <c r="M12" s="158" t="s">
        <v>1438</v>
      </c>
      <c r="N12" s="158">
        <v>2089970</v>
      </c>
    </row>
    <row r="13" spans="1:14" x14ac:dyDescent="0.35">
      <c r="A13" s="2" t="s">
        <v>477</v>
      </c>
      <c r="B13" s="2" t="s">
        <v>790</v>
      </c>
      <c r="C13" s="44" t="s">
        <v>0</v>
      </c>
      <c r="D13" s="44" t="s">
        <v>1</v>
      </c>
      <c r="E13" s="44" t="s">
        <v>1610</v>
      </c>
      <c r="F13" s="174" t="s">
        <v>1739</v>
      </c>
      <c r="G13" s="47">
        <v>52321.2</v>
      </c>
      <c r="H13" s="37">
        <f t="shared" si="0"/>
        <v>812</v>
      </c>
      <c r="I13" s="37" t="str">
        <f t="shared" si="3"/>
        <v>More than 180 Days</v>
      </c>
      <c r="J13" s="37" t="str">
        <f t="shared" si="1"/>
        <v>More than 180 Days</v>
      </c>
      <c r="L13" s="66"/>
      <c r="M13" s="158" t="s">
        <v>1739</v>
      </c>
      <c r="N13" s="158">
        <v>52321.2</v>
      </c>
    </row>
    <row r="14" spans="1:14" x14ac:dyDescent="0.35">
      <c r="A14" s="2" t="s">
        <v>477</v>
      </c>
      <c r="B14" s="2" t="s">
        <v>790</v>
      </c>
      <c r="C14" s="18" t="s">
        <v>2321</v>
      </c>
      <c r="D14" s="18" t="s">
        <v>2347</v>
      </c>
      <c r="E14" s="18" t="s">
        <v>315</v>
      </c>
      <c r="F14" s="175">
        <v>45609</v>
      </c>
      <c r="G14" s="179">
        <v>40000</v>
      </c>
      <c r="H14" s="37">
        <f t="shared" si="0"/>
        <v>626</v>
      </c>
      <c r="I14" s="37" t="str">
        <f t="shared" si="3"/>
        <v>More than 180 Days</v>
      </c>
      <c r="J14" s="37" t="str">
        <f t="shared" si="1"/>
        <v>More than 180 Days</v>
      </c>
      <c r="L14" s="66"/>
      <c r="M14" s="158" t="s">
        <v>2865</v>
      </c>
      <c r="N14" s="158">
        <v>40000</v>
      </c>
    </row>
    <row r="15" spans="1:14" x14ac:dyDescent="0.35">
      <c r="A15" s="2" t="s">
        <v>1209</v>
      </c>
      <c r="B15" s="2" t="s">
        <v>789</v>
      </c>
      <c r="C15" s="18" t="s">
        <v>506</v>
      </c>
      <c r="D15" s="2" t="s">
        <v>507</v>
      </c>
      <c r="E15" s="18" t="s">
        <v>3865</v>
      </c>
      <c r="F15" s="176">
        <v>45832</v>
      </c>
      <c r="G15" s="179">
        <f>14031144-13457095-954+144+1</f>
        <v>573240</v>
      </c>
      <c r="H15" s="37">
        <f t="shared" si="0"/>
        <v>403</v>
      </c>
      <c r="I15" s="37" t="str">
        <f t="shared" ref="I15:I20" si="4">IF(H15&lt;121,"0-120 DAYS",IF(H15&lt;181,"121-180 DAYS","More than 180 Days"))</f>
        <v>More than 180 Days</v>
      </c>
      <c r="J15" s="37" t="str">
        <f t="shared" si="1"/>
        <v>More than 180 Days</v>
      </c>
      <c r="L15" s="66"/>
      <c r="M15" s="158" t="s">
        <v>3936</v>
      </c>
      <c r="N15" s="158">
        <v>573240</v>
      </c>
    </row>
    <row r="16" spans="1:14" x14ac:dyDescent="0.35">
      <c r="A16" s="2" t="s">
        <v>1209</v>
      </c>
      <c r="B16" s="2" t="s">
        <v>789</v>
      </c>
      <c r="C16" s="18" t="s">
        <v>506</v>
      </c>
      <c r="D16" s="2" t="s">
        <v>507</v>
      </c>
      <c r="E16" s="18" t="s">
        <v>3866</v>
      </c>
      <c r="F16" s="176">
        <v>45832</v>
      </c>
      <c r="G16" s="179">
        <v>265716.14</v>
      </c>
      <c r="H16" s="37">
        <f t="shared" si="0"/>
        <v>403</v>
      </c>
      <c r="I16" s="37" t="str">
        <f t="shared" si="4"/>
        <v>More than 180 Days</v>
      </c>
      <c r="J16" s="37" t="str">
        <f t="shared" si="1"/>
        <v>More than 180 Days</v>
      </c>
      <c r="L16" s="66"/>
      <c r="M16" s="158" t="s">
        <v>3936</v>
      </c>
      <c r="N16" s="158">
        <v>265716.14</v>
      </c>
    </row>
    <row r="17" spans="1:14" x14ac:dyDescent="0.35">
      <c r="A17" s="2" t="s">
        <v>1209</v>
      </c>
      <c r="B17" s="2" t="s">
        <v>789</v>
      </c>
      <c r="C17" s="18" t="s">
        <v>506</v>
      </c>
      <c r="D17" s="2" t="s">
        <v>507</v>
      </c>
      <c r="E17" s="18" t="s">
        <v>3867</v>
      </c>
      <c r="F17" s="176">
        <v>45832</v>
      </c>
      <c r="G17" s="179">
        <v>829457.9</v>
      </c>
      <c r="H17" s="37">
        <f t="shared" si="0"/>
        <v>403</v>
      </c>
      <c r="I17" s="37" t="str">
        <f t="shared" si="4"/>
        <v>More than 180 Days</v>
      </c>
      <c r="J17" s="37" t="str">
        <f t="shared" si="1"/>
        <v>More than 180 Days</v>
      </c>
      <c r="L17" s="66"/>
      <c r="M17" s="158" t="s">
        <v>3936</v>
      </c>
      <c r="N17" s="158">
        <v>829457.9</v>
      </c>
    </row>
    <row r="18" spans="1:14" x14ac:dyDescent="0.35">
      <c r="A18" s="2" t="s">
        <v>1209</v>
      </c>
      <c r="B18" s="2" t="s">
        <v>789</v>
      </c>
      <c r="C18" s="18" t="s">
        <v>506</v>
      </c>
      <c r="D18" s="2" t="s">
        <v>507</v>
      </c>
      <c r="E18" s="18" t="s">
        <v>3880</v>
      </c>
      <c r="F18" s="176">
        <v>45818</v>
      </c>
      <c r="G18" s="179">
        <v>579946.59</v>
      </c>
      <c r="H18" s="37">
        <f t="shared" si="0"/>
        <v>417</v>
      </c>
      <c r="I18" s="37" t="str">
        <f t="shared" si="4"/>
        <v>More than 180 Days</v>
      </c>
      <c r="J18" s="37" t="str">
        <f t="shared" si="1"/>
        <v>More than 180 Days</v>
      </c>
      <c r="L18" s="66"/>
      <c r="M18" s="158" t="s">
        <v>3940</v>
      </c>
      <c r="N18" s="158">
        <v>579946.59</v>
      </c>
    </row>
    <row r="19" spans="1:14" x14ac:dyDescent="0.35">
      <c r="A19" s="2" t="s">
        <v>1209</v>
      </c>
      <c r="B19" s="2" t="s">
        <v>789</v>
      </c>
      <c r="C19" s="18" t="s">
        <v>506</v>
      </c>
      <c r="D19" s="2" t="s">
        <v>507</v>
      </c>
      <c r="E19" s="18" t="s">
        <v>3881</v>
      </c>
      <c r="F19" s="176">
        <v>45818</v>
      </c>
      <c r="G19" s="179">
        <v>1626044.59</v>
      </c>
      <c r="H19" s="37">
        <f t="shared" si="0"/>
        <v>417</v>
      </c>
      <c r="I19" s="37" t="str">
        <f t="shared" si="4"/>
        <v>More than 180 Days</v>
      </c>
      <c r="J19" s="37" t="str">
        <f t="shared" si="1"/>
        <v>More than 180 Days</v>
      </c>
      <c r="L19" s="66"/>
      <c r="M19" s="158" t="s">
        <v>3940</v>
      </c>
      <c r="N19" s="158">
        <v>1626044.59</v>
      </c>
    </row>
    <row r="20" spans="1:14" x14ac:dyDescent="0.35">
      <c r="A20" s="2" t="s">
        <v>1209</v>
      </c>
      <c r="B20" s="2" t="s">
        <v>789</v>
      </c>
      <c r="C20" s="18" t="s">
        <v>506</v>
      </c>
      <c r="D20" s="2" t="s">
        <v>507</v>
      </c>
      <c r="E20" s="18" t="s">
        <v>3882</v>
      </c>
      <c r="F20" s="176">
        <v>45818</v>
      </c>
      <c r="G20" s="179">
        <v>553115.02</v>
      </c>
      <c r="H20" s="37">
        <f t="shared" si="0"/>
        <v>417</v>
      </c>
      <c r="I20" s="37" t="str">
        <f t="shared" si="4"/>
        <v>More than 180 Days</v>
      </c>
      <c r="J20" s="37" t="str">
        <f t="shared" si="1"/>
        <v>More than 180 Days</v>
      </c>
      <c r="L20" s="66"/>
      <c r="M20" s="158" t="s">
        <v>3940</v>
      </c>
      <c r="N20" s="158">
        <v>553115.02</v>
      </c>
    </row>
    <row r="21" spans="1:14" x14ac:dyDescent="0.35">
      <c r="A21" s="2" t="s">
        <v>477</v>
      </c>
      <c r="B21" s="2" t="s">
        <v>790</v>
      </c>
      <c r="C21" s="18" t="s">
        <v>2789</v>
      </c>
      <c r="D21" s="18" t="s">
        <v>2801</v>
      </c>
      <c r="E21" s="18" t="s">
        <v>5192</v>
      </c>
      <c r="F21" s="176">
        <v>46174</v>
      </c>
      <c r="G21" s="179">
        <v>13608000</v>
      </c>
      <c r="H21" s="37">
        <f t="shared" si="0"/>
        <v>61</v>
      </c>
      <c r="I21" s="37" t="str">
        <f t="shared" ref="I21:I22" si="5">IF(H21&lt;91,"1-90 DAYS",IF(H21&lt;121,"91-120DAYS",IF(H21&lt;181,"121-180 DAYS","More than 180 Days")))</f>
        <v>1-90 DAYS</v>
      </c>
      <c r="J21" s="37" t="str">
        <f t="shared" si="1"/>
        <v>0-180 DAYS</v>
      </c>
      <c r="K21" t="s">
        <v>1730</v>
      </c>
      <c r="L21" s="66"/>
      <c r="M21" s="158" t="s">
        <v>5196</v>
      </c>
      <c r="N21" s="158">
        <v>13608000</v>
      </c>
    </row>
    <row r="22" spans="1:14" x14ac:dyDescent="0.35">
      <c r="A22" s="2" t="s">
        <v>477</v>
      </c>
      <c r="B22" s="2" t="s">
        <v>790</v>
      </c>
      <c r="C22" s="18" t="s">
        <v>3409</v>
      </c>
      <c r="D22" s="18" t="s">
        <v>3060</v>
      </c>
      <c r="E22" s="18" t="s">
        <v>3954</v>
      </c>
      <c r="F22" s="176">
        <v>45867</v>
      </c>
      <c r="G22" s="179">
        <v>43680</v>
      </c>
      <c r="H22" s="37">
        <f t="shared" si="0"/>
        <v>368</v>
      </c>
      <c r="I22" s="37" t="str">
        <f t="shared" si="5"/>
        <v>More than 180 Days</v>
      </c>
      <c r="J22" s="37" t="str">
        <f t="shared" si="1"/>
        <v>More than 180 Days</v>
      </c>
      <c r="L22" s="66"/>
      <c r="M22" s="158" t="s">
        <v>4073</v>
      </c>
      <c r="N22" s="158">
        <v>43680</v>
      </c>
    </row>
    <row r="23" spans="1:14" x14ac:dyDescent="0.35">
      <c r="A23" s="2" t="s">
        <v>1209</v>
      </c>
      <c r="B23" s="2" t="s">
        <v>789</v>
      </c>
      <c r="C23" s="18" t="s">
        <v>506</v>
      </c>
      <c r="D23" s="37" t="s">
        <v>507</v>
      </c>
      <c r="E23" s="18" t="s">
        <v>4031</v>
      </c>
      <c r="F23" s="176">
        <v>45868</v>
      </c>
      <c r="G23" s="179">
        <v>3020702.8</v>
      </c>
      <c r="H23" s="37">
        <f t="shared" si="0"/>
        <v>367</v>
      </c>
      <c r="I23" s="37" t="str">
        <f t="shared" ref="I23:I31" si="6">IF(H23&lt;121,"0-120 DAYS",IF(H23&lt;181,"121-180 DAYS","More than 180 Days"))</f>
        <v>More than 180 Days</v>
      </c>
      <c r="J23" s="37" t="str">
        <f t="shared" si="1"/>
        <v>More than 180 Days</v>
      </c>
      <c r="L23" s="66"/>
      <c r="M23" s="158" t="s">
        <v>4074</v>
      </c>
      <c r="N23" s="158">
        <v>3020702.8</v>
      </c>
    </row>
    <row r="24" spans="1:14" x14ac:dyDescent="0.35">
      <c r="A24" s="2" t="s">
        <v>1209</v>
      </c>
      <c r="B24" s="2" t="s">
        <v>789</v>
      </c>
      <c r="C24" s="18" t="s">
        <v>506</v>
      </c>
      <c r="D24" s="37" t="s">
        <v>507</v>
      </c>
      <c r="E24" s="18" t="s">
        <v>4099</v>
      </c>
      <c r="F24" s="176">
        <v>45889</v>
      </c>
      <c r="G24" s="179">
        <v>2013374.8</v>
      </c>
      <c r="H24" s="37">
        <f t="shared" si="0"/>
        <v>346</v>
      </c>
      <c r="I24" s="37" t="str">
        <f t="shared" si="6"/>
        <v>More than 180 Days</v>
      </c>
      <c r="J24" s="37" t="str">
        <f t="shared" si="1"/>
        <v>More than 180 Days</v>
      </c>
      <c r="L24" s="66"/>
      <c r="M24" s="158" t="s">
        <v>4192</v>
      </c>
      <c r="N24" s="158">
        <v>2013374.8</v>
      </c>
    </row>
    <row r="25" spans="1:14" x14ac:dyDescent="0.35">
      <c r="A25" s="2" t="s">
        <v>1209</v>
      </c>
      <c r="B25" s="2" t="s">
        <v>789</v>
      </c>
      <c r="C25" s="18" t="s">
        <v>506</v>
      </c>
      <c r="D25" s="37" t="s">
        <v>507</v>
      </c>
      <c r="E25" s="18" t="s">
        <v>4100</v>
      </c>
      <c r="F25" s="176">
        <v>45889</v>
      </c>
      <c r="G25" s="179">
        <v>443448.97</v>
      </c>
      <c r="H25" s="37">
        <f t="shared" si="0"/>
        <v>346</v>
      </c>
      <c r="I25" s="37" t="str">
        <f t="shared" si="6"/>
        <v>More than 180 Days</v>
      </c>
      <c r="J25" s="37" t="str">
        <f t="shared" si="1"/>
        <v>More than 180 Days</v>
      </c>
      <c r="L25" s="66"/>
      <c r="M25" s="158" t="s">
        <v>4192</v>
      </c>
      <c r="N25" s="158">
        <v>443448.97</v>
      </c>
    </row>
    <row r="26" spans="1:14" x14ac:dyDescent="0.35">
      <c r="A26" s="2" t="s">
        <v>1209</v>
      </c>
      <c r="B26" s="2" t="s">
        <v>789</v>
      </c>
      <c r="C26" s="18" t="s">
        <v>506</v>
      </c>
      <c r="D26" s="37" t="s">
        <v>507</v>
      </c>
      <c r="E26" s="18" t="s">
        <v>4101</v>
      </c>
      <c r="F26" s="176">
        <v>45889</v>
      </c>
      <c r="G26" s="179">
        <v>102122.27</v>
      </c>
      <c r="H26" s="37">
        <f t="shared" si="0"/>
        <v>346</v>
      </c>
      <c r="I26" s="37" t="str">
        <f t="shared" si="6"/>
        <v>More than 180 Days</v>
      </c>
      <c r="J26" s="37" t="str">
        <f t="shared" si="1"/>
        <v>More than 180 Days</v>
      </c>
      <c r="L26" s="66"/>
      <c r="M26" s="158" t="s">
        <v>4192</v>
      </c>
      <c r="N26" s="158">
        <v>102122.27</v>
      </c>
    </row>
    <row r="27" spans="1:14" x14ac:dyDescent="0.35">
      <c r="A27" s="2" t="s">
        <v>1209</v>
      </c>
      <c r="B27" s="2" t="s">
        <v>789</v>
      </c>
      <c r="C27" s="18" t="s">
        <v>506</v>
      </c>
      <c r="D27" s="37" t="s">
        <v>507</v>
      </c>
      <c r="E27" s="18" t="s">
        <v>4102</v>
      </c>
      <c r="F27" s="176">
        <v>45889</v>
      </c>
      <c r="G27" s="179">
        <v>287053.3</v>
      </c>
      <c r="H27" s="37">
        <f t="shared" si="0"/>
        <v>346</v>
      </c>
      <c r="I27" s="37" t="str">
        <f t="shared" si="6"/>
        <v>More than 180 Days</v>
      </c>
      <c r="J27" s="37" t="str">
        <f t="shared" si="1"/>
        <v>More than 180 Days</v>
      </c>
      <c r="L27" s="66"/>
      <c r="M27" s="158" t="s">
        <v>4192</v>
      </c>
      <c r="N27" s="158">
        <v>287053.3</v>
      </c>
    </row>
    <row r="28" spans="1:14" x14ac:dyDescent="0.35">
      <c r="A28" s="2" t="s">
        <v>1209</v>
      </c>
      <c r="B28" s="2" t="s">
        <v>789</v>
      </c>
      <c r="C28" s="18" t="s">
        <v>506</v>
      </c>
      <c r="D28" s="37" t="s">
        <v>507</v>
      </c>
      <c r="E28" s="18" t="s">
        <v>4103</v>
      </c>
      <c r="F28" s="176">
        <v>45889</v>
      </c>
      <c r="G28" s="179">
        <v>136124.5</v>
      </c>
      <c r="H28" s="37">
        <f t="shared" si="0"/>
        <v>346</v>
      </c>
      <c r="I28" s="37" t="str">
        <f t="shared" si="6"/>
        <v>More than 180 Days</v>
      </c>
      <c r="J28" s="37" t="str">
        <f t="shared" si="1"/>
        <v>More than 180 Days</v>
      </c>
      <c r="L28" s="66"/>
      <c r="M28" s="158" t="s">
        <v>4192</v>
      </c>
      <c r="N28" s="158">
        <v>136124.5</v>
      </c>
    </row>
    <row r="29" spans="1:14" x14ac:dyDescent="0.35">
      <c r="A29" s="2" t="s">
        <v>1209</v>
      </c>
      <c r="B29" s="2" t="s">
        <v>789</v>
      </c>
      <c r="C29" s="18" t="s">
        <v>506</v>
      </c>
      <c r="D29" s="37" t="s">
        <v>507</v>
      </c>
      <c r="E29" s="18" t="s">
        <v>4239</v>
      </c>
      <c r="F29" s="176">
        <v>45905</v>
      </c>
      <c r="G29" s="179">
        <v>2407874.5600000001</v>
      </c>
      <c r="H29" s="37">
        <f t="shared" si="0"/>
        <v>330</v>
      </c>
      <c r="I29" s="37" t="str">
        <f t="shared" si="6"/>
        <v>More than 180 Days</v>
      </c>
      <c r="J29" s="37" t="str">
        <f t="shared" si="1"/>
        <v>More than 180 Days</v>
      </c>
      <c r="L29" s="66"/>
      <c r="M29" s="158" t="s">
        <v>4758</v>
      </c>
      <c r="N29" s="158">
        <v>2407874.5600000001</v>
      </c>
    </row>
    <row r="30" spans="1:14" x14ac:dyDescent="0.35">
      <c r="A30" s="2" t="s">
        <v>1209</v>
      </c>
      <c r="B30" s="2" t="s">
        <v>789</v>
      </c>
      <c r="C30" s="18" t="s">
        <v>506</v>
      </c>
      <c r="D30" s="37" t="s">
        <v>507</v>
      </c>
      <c r="E30" s="18" t="s">
        <v>4240</v>
      </c>
      <c r="F30" s="176">
        <v>45905</v>
      </c>
      <c r="G30" s="179">
        <v>382490.99</v>
      </c>
      <c r="H30" s="37">
        <f t="shared" si="0"/>
        <v>330</v>
      </c>
      <c r="I30" s="37" t="str">
        <f t="shared" si="6"/>
        <v>More than 180 Days</v>
      </c>
      <c r="J30" s="37" t="str">
        <f t="shared" si="1"/>
        <v>More than 180 Days</v>
      </c>
      <c r="L30" s="66"/>
      <c r="M30" s="158" t="s">
        <v>4758</v>
      </c>
      <c r="N30" s="158">
        <v>382490.99</v>
      </c>
    </row>
    <row r="31" spans="1:14" x14ac:dyDescent="0.35">
      <c r="A31" s="2" t="s">
        <v>1209</v>
      </c>
      <c r="B31" s="2" t="s">
        <v>789</v>
      </c>
      <c r="C31" s="18" t="s">
        <v>506</v>
      </c>
      <c r="D31" s="37" t="s">
        <v>507</v>
      </c>
      <c r="E31" s="18" t="s">
        <v>4241</v>
      </c>
      <c r="F31" s="176">
        <v>45905</v>
      </c>
      <c r="G31" s="179">
        <v>345305.54</v>
      </c>
      <c r="H31" s="37">
        <f t="shared" si="0"/>
        <v>330</v>
      </c>
      <c r="I31" s="37" t="str">
        <f t="shared" si="6"/>
        <v>More than 180 Days</v>
      </c>
      <c r="J31" s="37" t="str">
        <f t="shared" si="1"/>
        <v>More than 180 Days</v>
      </c>
      <c r="L31" s="66"/>
      <c r="M31" s="158" t="s">
        <v>4758</v>
      </c>
      <c r="N31" s="158">
        <v>345305.54</v>
      </c>
    </row>
    <row r="32" spans="1:14" x14ac:dyDescent="0.35">
      <c r="A32" s="88" t="s">
        <v>477</v>
      </c>
      <c r="B32" s="88" t="s">
        <v>790</v>
      </c>
      <c r="C32" t="s">
        <v>4744</v>
      </c>
      <c r="D32" t="s">
        <v>4750</v>
      </c>
      <c r="E32" t="s">
        <v>4746</v>
      </c>
      <c r="F32" s="35">
        <v>45999</v>
      </c>
      <c r="G32" s="47">
        <v>4925269.8</v>
      </c>
      <c r="H32" s="37">
        <f t="shared" si="0"/>
        <v>236</v>
      </c>
      <c r="I32" s="37" t="str">
        <f t="shared" ref="I32:I35" si="7">IF(H32&lt;91,"1-90 DAYS",IF(H32&lt;121,"91-120DAYS",IF(H32&lt;181,"121-180 DAYS","More than 180 Days")))</f>
        <v>More than 180 Days</v>
      </c>
      <c r="J32" s="37" t="str">
        <f t="shared" si="1"/>
        <v>More than 180 Days</v>
      </c>
      <c r="M32" s="158" t="s">
        <v>4759</v>
      </c>
      <c r="N32" s="158">
        <v>4925269.8</v>
      </c>
    </row>
    <row r="33" spans="1:14" x14ac:dyDescent="0.35">
      <c r="A33" s="88" t="s">
        <v>477</v>
      </c>
      <c r="B33" s="88" t="s">
        <v>790</v>
      </c>
      <c r="C33" t="s">
        <v>4744</v>
      </c>
      <c r="D33" t="s">
        <v>4750</v>
      </c>
      <c r="E33" t="s">
        <v>4747</v>
      </c>
      <c r="F33" s="35">
        <v>45999</v>
      </c>
      <c r="G33" s="47">
        <v>4925269.8</v>
      </c>
      <c r="H33" s="37">
        <f t="shared" si="0"/>
        <v>236</v>
      </c>
      <c r="I33" s="37" t="str">
        <f t="shared" si="7"/>
        <v>More than 180 Days</v>
      </c>
      <c r="J33" s="37" t="str">
        <f t="shared" si="1"/>
        <v>More than 180 Days</v>
      </c>
      <c r="M33" s="158" t="s">
        <v>4759</v>
      </c>
      <c r="N33" s="158">
        <v>4925269.8</v>
      </c>
    </row>
    <row r="34" spans="1:14" x14ac:dyDescent="0.35">
      <c r="A34" s="88" t="s">
        <v>477</v>
      </c>
      <c r="B34" s="88" t="s">
        <v>790</v>
      </c>
      <c r="C34" t="s">
        <v>263</v>
      </c>
      <c r="D34" t="s">
        <v>264</v>
      </c>
      <c r="E34" t="s">
        <v>4748</v>
      </c>
      <c r="F34" s="35">
        <v>46005</v>
      </c>
      <c r="G34" s="47">
        <f>-464384+930474.84</f>
        <v>466090.83999999997</v>
      </c>
      <c r="H34" s="37">
        <f t="shared" si="0"/>
        <v>230</v>
      </c>
      <c r="I34" s="37" t="str">
        <f t="shared" si="7"/>
        <v>More than 180 Days</v>
      </c>
      <c r="J34" s="37" t="str">
        <f t="shared" si="1"/>
        <v>More than 180 Days</v>
      </c>
      <c r="M34" s="158" t="s">
        <v>4760</v>
      </c>
      <c r="N34" s="158">
        <v>466090.84</v>
      </c>
    </row>
    <row r="35" spans="1:14" x14ac:dyDescent="0.35">
      <c r="A35" s="88" t="s">
        <v>477</v>
      </c>
      <c r="B35" s="88" t="s">
        <v>790</v>
      </c>
      <c r="C35" t="s">
        <v>263</v>
      </c>
      <c r="D35" t="s">
        <v>264</v>
      </c>
      <c r="E35" t="s">
        <v>4749</v>
      </c>
      <c r="F35" s="35">
        <v>46012</v>
      </c>
      <c r="G35" s="47">
        <v>820239.24</v>
      </c>
      <c r="H35" s="37">
        <f t="shared" si="0"/>
        <v>223</v>
      </c>
      <c r="I35" s="37" t="str">
        <f t="shared" si="7"/>
        <v>More than 180 Days</v>
      </c>
      <c r="J35" s="37" t="str">
        <f t="shared" si="1"/>
        <v>More than 180 Days</v>
      </c>
      <c r="M35" s="158" t="s">
        <v>4761</v>
      </c>
      <c r="N35" s="158">
        <v>820239.24</v>
      </c>
    </row>
    <row r="36" spans="1:14" x14ac:dyDescent="0.35">
      <c r="A36" s="2" t="s">
        <v>1209</v>
      </c>
      <c r="B36" s="2" t="s">
        <v>789</v>
      </c>
      <c r="C36" t="s">
        <v>506</v>
      </c>
      <c r="D36" s="37" t="s">
        <v>507</v>
      </c>
      <c r="E36" t="s">
        <v>4743</v>
      </c>
      <c r="F36" s="35">
        <v>46008</v>
      </c>
      <c r="G36" s="47">
        <v>465127.04</v>
      </c>
      <c r="H36" s="37">
        <f t="shared" si="0"/>
        <v>227</v>
      </c>
      <c r="I36" s="37" t="str">
        <f t="shared" ref="I36:I48" si="8">IF(H36&lt;121,"0-120 DAYS",IF(H36&lt;181,"121-180 DAYS","More than 180 Days"))</f>
        <v>More than 180 Days</v>
      </c>
      <c r="J36" s="37" t="str">
        <f t="shared" si="1"/>
        <v>More than 180 Days</v>
      </c>
      <c r="M36" s="158" t="s">
        <v>4762</v>
      </c>
      <c r="N36" s="158">
        <v>465127.04</v>
      </c>
    </row>
    <row r="37" spans="1:14" x14ac:dyDescent="0.35">
      <c r="A37" s="2" t="s">
        <v>1085</v>
      </c>
      <c r="B37" s="2" t="s">
        <v>790</v>
      </c>
      <c r="C37" s="18" t="s">
        <v>650</v>
      </c>
      <c r="D37" s="37" t="s">
        <v>507</v>
      </c>
      <c r="E37" s="18" t="s">
        <v>1218</v>
      </c>
      <c r="F37" s="19">
        <v>46030</v>
      </c>
      <c r="G37" s="179">
        <f>-1243879+1870583.22</f>
        <v>626704.22</v>
      </c>
      <c r="H37" s="37">
        <f t="shared" si="0"/>
        <v>205</v>
      </c>
      <c r="I37" s="37" t="str">
        <f t="shared" si="8"/>
        <v>More than 180 Days</v>
      </c>
      <c r="J37" s="37" t="str">
        <f t="shared" si="1"/>
        <v>More than 180 Days</v>
      </c>
      <c r="M37" s="158" t="s">
        <v>4803</v>
      </c>
      <c r="N37" s="158">
        <v>626704.22</v>
      </c>
    </row>
    <row r="38" spans="1:14" x14ac:dyDescent="0.35">
      <c r="A38" s="2" t="s">
        <v>1085</v>
      </c>
      <c r="B38" s="2" t="s">
        <v>790</v>
      </c>
      <c r="C38" s="18" t="s">
        <v>650</v>
      </c>
      <c r="D38" s="37" t="s">
        <v>507</v>
      </c>
      <c r="E38" s="18" t="s">
        <v>1273</v>
      </c>
      <c r="F38" s="19">
        <v>46030</v>
      </c>
      <c r="G38" s="179">
        <v>1867963.73</v>
      </c>
      <c r="H38" s="37">
        <f t="shared" si="0"/>
        <v>205</v>
      </c>
      <c r="I38" s="37" t="str">
        <f t="shared" si="8"/>
        <v>More than 180 Days</v>
      </c>
      <c r="J38" s="37" t="str">
        <f t="shared" si="1"/>
        <v>More than 180 Days</v>
      </c>
      <c r="M38" s="158" t="s">
        <v>4803</v>
      </c>
      <c r="N38" s="158">
        <v>1867963.73</v>
      </c>
    </row>
    <row r="39" spans="1:14" x14ac:dyDescent="0.35">
      <c r="A39" s="2" t="s">
        <v>1085</v>
      </c>
      <c r="B39" s="2" t="s">
        <v>790</v>
      </c>
      <c r="C39" s="18" t="s">
        <v>4778</v>
      </c>
      <c r="D39" s="37" t="s">
        <v>507</v>
      </c>
      <c r="E39" s="18" t="s">
        <v>4767</v>
      </c>
      <c r="F39" s="19">
        <v>46039</v>
      </c>
      <c r="G39" s="179">
        <v>511492.5</v>
      </c>
      <c r="H39" s="37">
        <f t="shared" si="0"/>
        <v>196</v>
      </c>
      <c r="I39" s="37" t="str">
        <f t="shared" si="8"/>
        <v>More than 180 Days</v>
      </c>
      <c r="J39" s="37" t="str">
        <f t="shared" si="1"/>
        <v>More than 180 Days</v>
      </c>
      <c r="M39" s="158" t="s">
        <v>4798</v>
      </c>
      <c r="N39" s="158">
        <v>511492.5</v>
      </c>
    </row>
    <row r="40" spans="1:14" x14ac:dyDescent="0.35">
      <c r="A40" s="2" t="s">
        <v>1085</v>
      </c>
      <c r="B40" s="2" t="s">
        <v>790</v>
      </c>
      <c r="C40" s="18" t="s">
        <v>1086</v>
      </c>
      <c r="D40" s="37" t="s">
        <v>507</v>
      </c>
      <c r="E40" s="18" t="s">
        <v>4768</v>
      </c>
      <c r="F40" s="19">
        <v>46042</v>
      </c>
      <c r="G40" s="179">
        <f>-725208+1653707.61</f>
        <v>928499.6100000001</v>
      </c>
      <c r="H40" s="37">
        <f t="shared" si="0"/>
        <v>193</v>
      </c>
      <c r="I40" s="37" t="str">
        <f t="shared" si="8"/>
        <v>More than 180 Days</v>
      </c>
      <c r="J40" s="37" t="str">
        <f t="shared" si="1"/>
        <v>More than 180 Days</v>
      </c>
      <c r="M40" s="158" t="s">
        <v>4799</v>
      </c>
      <c r="N40" s="158">
        <v>1653707.61</v>
      </c>
    </row>
    <row r="41" spans="1:14" x14ac:dyDescent="0.35">
      <c r="A41" s="2" t="s">
        <v>1085</v>
      </c>
      <c r="B41" s="2" t="s">
        <v>790</v>
      </c>
      <c r="C41" s="18" t="s">
        <v>1086</v>
      </c>
      <c r="D41" s="37" t="s">
        <v>507</v>
      </c>
      <c r="E41" s="18" t="s">
        <v>4769</v>
      </c>
      <c r="F41" s="19">
        <v>46042</v>
      </c>
      <c r="G41" s="179">
        <v>89107.1</v>
      </c>
      <c r="H41" s="37">
        <f t="shared" si="0"/>
        <v>193</v>
      </c>
      <c r="I41" s="37" t="str">
        <f t="shared" si="8"/>
        <v>More than 180 Days</v>
      </c>
      <c r="J41" s="37" t="str">
        <f t="shared" si="1"/>
        <v>More than 180 Days</v>
      </c>
      <c r="M41" s="158" t="s">
        <v>4799</v>
      </c>
      <c r="N41" s="158">
        <v>89107.1</v>
      </c>
    </row>
    <row r="42" spans="1:14" x14ac:dyDescent="0.35">
      <c r="A42" s="2" t="s">
        <v>1085</v>
      </c>
      <c r="B42" s="2" t="s">
        <v>790</v>
      </c>
      <c r="C42" s="18" t="s">
        <v>1086</v>
      </c>
      <c r="D42" s="37" t="s">
        <v>507</v>
      </c>
      <c r="E42" s="18" t="s">
        <v>4770</v>
      </c>
      <c r="F42" s="19">
        <v>46042</v>
      </c>
      <c r="G42" s="179">
        <v>1033261.39</v>
      </c>
      <c r="H42" s="37">
        <f t="shared" si="0"/>
        <v>193</v>
      </c>
      <c r="I42" s="37" t="str">
        <f t="shared" si="8"/>
        <v>More than 180 Days</v>
      </c>
      <c r="J42" s="37" t="str">
        <f t="shared" si="1"/>
        <v>More than 180 Days</v>
      </c>
      <c r="M42" s="158" t="s">
        <v>4799</v>
      </c>
      <c r="N42" s="158">
        <v>1033261.39</v>
      </c>
    </row>
    <row r="43" spans="1:14" x14ac:dyDescent="0.35">
      <c r="A43" s="2" t="s">
        <v>1085</v>
      </c>
      <c r="B43" s="2" t="s">
        <v>790</v>
      </c>
      <c r="C43" s="18" t="s">
        <v>1086</v>
      </c>
      <c r="D43" s="37" t="s">
        <v>507</v>
      </c>
      <c r="E43" s="18" t="s">
        <v>4771</v>
      </c>
      <c r="F43" s="19">
        <v>46042</v>
      </c>
      <c r="G43" s="179">
        <v>1266942.32</v>
      </c>
      <c r="H43" s="37">
        <f t="shared" si="0"/>
        <v>193</v>
      </c>
      <c r="I43" s="37" t="str">
        <f t="shared" si="8"/>
        <v>More than 180 Days</v>
      </c>
      <c r="J43" s="37" t="str">
        <f t="shared" si="1"/>
        <v>More than 180 Days</v>
      </c>
      <c r="M43" s="158" t="s">
        <v>4799</v>
      </c>
      <c r="N43" s="158">
        <v>1266942.32</v>
      </c>
    </row>
    <row r="44" spans="1:14" x14ac:dyDescent="0.35">
      <c r="A44" s="2" t="s">
        <v>1085</v>
      </c>
      <c r="B44" s="2" t="s">
        <v>790</v>
      </c>
      <c r="C44" s="18" t="s">
        <v>1086</v>
      </c>
      <c r="D44" s="37" t="s">
        <v>507</v>
      </c>
      <c r="E44" s="18" t="s">
        <v>4772</v>
      </c>
      <c r="F44" s="19">
        <v>46042</v>
      </c>
      <c r="G44" s="179">
        <v>1066773.78</v>
      </c>
      <c r="H44" s="37">
        <f t="shared" si="0"/>
        <v>193</v>
      </c>
      <c r="I44" s="37" t="str">
        <f t="shared" si="8"/>
        <v>More than 180 Days</v>
      </c>
      <c r="J44" s="37" t="str">
        <f t="shared" si="1"/>
        <v>More than 180 Days</v>
      </c>
      <c r="M44" s="158" t="s">
        <v>4799</v>
      </c>
      <c r="N44" s="158">
        <v>1066773.78</v>
      </c>
    </row>
    <row r="45" spans="1:14" x14ac:dyDescent="0.35">
      <c r="A45" s="2" t="s">
        <v>1085</v>
      </c>
      <c r="B45" s="2" t="s">
        <v>790</v>
      </c>
      <c r="C45" s="18" t="s">
        <v>1086</v>
      </c>
      <c r="D45" s="37" t="s">
        <v>507</v>
      </c>
      <c r="E45" s="18" t="s">
        <v>4774</v>
      </c>
      <c r="F45" s="19">
        <v>46047</v>
      </c>
      <c r="G45" s="179">
        <v>3092993.81</v>
      </c>
      <c r="H45" s="37">
        <f t="shared" si="0"/>
        <v>188</v>
      </c>
      <c r="I45" s="37" t="str">
        <f t="shared" si="8"/>
        <v>More than 180 Days</v>
      </c>
      <c r="J45" s="37" t="str">
        <f t="shared" si="1"/>
        <v>More than 180 Days</v>
      </c>
      <c r="M45" s="158" t="s">
        <v>4801</v>
      </c>
      <c r="N45" s="158">
        <v>3092993.81</v>
      </c>
    </row>
    <row r="46" spans="1:14" x14ac:dyDescent="0.35">
      <c r="A46" s="2" t="s">
        <v>1085</v>
      </c>
      <c r="B46" s="2" t="s">
        <v>790</v>
      </c>
      <c r="C46" s="18" t="s">
        <v>1086</v>
      </c>
      <c r="D46" s="37" t="s">
        <v>507</v>
      </c>
      <c r="E46" s="18" t="s">
        <v>4775</v>
      </c>
      <c r="F46" s="19">
        <v>46053</v>
      </c>
      <c r="G46" s="179">
        <v>517808.52</v>
      </c>
      <c r="H46" s="37">
        <f t="shared" si="0"/>
        <v>182</v>
      </c>
      <c r="I46" s="37" t="str">
        <f t="shared" si="8"/>
        <v>More than 180 Days</v>
      </c>
      <c r="J46" s="37" t="str">
        <f t="shared" si="1"/>
        <v>More than 180 Days</v>
      </c>
      <c r="M46" s="158" t="s">
        <v>4795</v>
      </c>
      <c r="N46" s="158">
        <v>517808.52</v>
      </c>
    </row>
    <row r="47" spans="1:14" x14ac:dyDescent="0.35">
      <c r="A47" s="2" t="s">
        <v>1085</v>
      </c>
      <c r="B47" s="2" t="s">
        <v>790</v>
      </c>
      <c r="C47" s="18" t="s">
        <v>1086</v>
      </c>
      <c r="D47" s="37" t="s">
        <v>507</v>
      </c>
      <c r="E47" s="18" t="s">
        <v>4776</v>
      </c>
      <c r="F47" s="19">
        <v>46053</v>
      </c>
      <c r="G47" s="179">
        <v>472167.99</v>
      </c>
      <c r="H47" s="37">
        <f t="shared" si="0"/>
        <v>182</v>
      </c>
      <c r="I47" s="37" t="str">
        <f t="shared" si="8"/>
        <v>More than 180 Days</v>
      </c>
      <c r="J47" s="37" t="str">
        <f t="shared" si="1"/>
        <v>More than 180 Days</v>
      </c>
      <c r="M47" s="158" t="s">
        <v>4795</v>
      </c>
      <c r="N47" s="158">
        <v>472167.99</v>
      </c>
    </row>
    <row r="48" spans="1:14" x14ac:dyDescent="0.35">
      <c r="A48" s="2" t="s">
        <v>1085</v>
      </c>
      <c r="B48" s="2" t="s">
        <v>790</v>
      </c>
      <c r="C48" s="18" t="s">
        <v>1086</v>
      </c>
      <c r="D48" s="37" t="s">
        <v>507</v>
      </c>
      <c r="E48" s="18" t="s">
        <v>4777</v>
      </c>
      <c r="F48" s="19">
        <v>46053</v>
      </c>
      <c r="G48" s="179">
        <v>1557453.95</v>
      </c>
      <c r="H48" s="37">
        <f t="shared" si="0"/>
        <v>182</v>
      </c>
      <c r="I48" s="37" t="str">
        <f t="shared" si="8"/>
        <v>More than 180 Days</v>
      </c>
      <c r="J48" s="37" t="str">
        <f t="shared" si="1"/>
        <v>More than 180 Days</v>
      </c>
      <c r="M48" s="158" t="s">
        <v>4795</v>
      </c>
      <c r="N48" s="158">
        <v>1557453.95</v>
      </c>
    </row>
    <row r="49" spans="1:14" x14ac:dyDescent="0.35">
      <c r="A49" s="2" t="s">
        <v>477</v>
      </c>
      <c r="B49" s="2" t="s">
        <v>790</v>
      </c>
      <c r="C49" s="18" t="s">
        <v>4779</v>
      </c>
      <c r="D49" s="18" t="s">
        <v>4782</v>
      </c>
      <c r="E49" s="18" t="s">
        <v>4785</v>
      </c>
      <c r="F49" s="19">
        <v>46030</v>
      </c>
      <c r="G49" s="179">
        <v>20472507</v>
      </c>
      <c r="H49" s="37">
        <f t="shared" si="0"/>
        <v>205</v>
      </c>
      <c r="I49" s="37" t="str">
        <f t="shared" ref="I49:I51" si="9">IF(H49&lt;91,"1-90 DAYS",IF(H49&lt;121,"91-120DAYS",IF(H49&lt;181,"121-180 DAYS","More than 180 Days")))</f>
        <v>More than 180 Days</v>
      </c>
      <c r="J49" s="37" t="str">
        <f t="shared" si="1"/>
        <v>More than 180 Days</v>
      </c>
      <c r="M49" s="158" t="s">
        <v>4803</v>
      </c>
      <c r="N49" s="158">
        <v>20472507</v>
      </c>
    </row>
    <row r="50" spans="1:14" x14ac:dyDescent="0.35">
      <c r="A50" s="2" t="s">
        <v>477</v>
      </c>
      <c r="B50" s="2" t="s">
        <v>790</v>
      </c>
      <c r="C50" s="18" t="s">
        <v>263</v>
      </c>
      <c r="D50" s="18" t="s">
        <v>264</v>
      </c>
      <c r="E50" s="18" t="s">
        <v>4786</v>
      </c>
      <c r="F50" s="19">
        <v>46032</v>
      </c>
      <c r="G50" s="179">
        <v>861614.76</v>
      </c>
      <c r="H50" s="37">
        <f t="shared" si="0"/>
        <v>203</v>
      </c>
      <c r="I50" s="37" t="str">
        <f t="shared" si="9"/>
        <v>More than 180 Days</v>
      </c>
      <c r="J50" s="37" t="str">
        <f t="shared" si="1"/>
        <v>More than 180 Days</v>
      </c>
      <c r="M50" s="158" t="s">
        <v>4804</v>
      </c>
      <c r="N50" s="158">
        <v>861614.76</v>
      </c>
    </row>
    <row r="51" spans="1:14" x14ac:dyDescent="0.35">
      <c r="A51" s="2" t="s">
        <v>477</v>
      </c>
      <c r="B51" s="2" t="s">
        <v>790</v>
      </c>
      <c r="C51" s="18" t="s">
        <v>263</v>
      </c>
      <c r="D51" s="18" t="s">
        <v>264</v>
      </c>
      <c r="E51" s="18" t="s">
        <v>2962</v>
      </c>
      <c r="F51" s="19">
        <v>46053</v>
      </c>
      <c r="G51" s="179">
        <v>545259.12</v>
      </c>
      <c r="H51" s="37">
        <f t="shared" si="0"/>
        <v>182</v>
      </c>
      <c r="I51" s="37" t="str">
        <f t="shared" si="9"/>
        <v>More than 180 Days</v>
      </c>
      <c r="J51" s="37" t="str">
        <f t="shared" si="1"/>
        <v>More than 180 Days</v>
      </c>
      <c r="M51" s="158" t="s">
        <v>4795</v>
      </c>
      <c r="N51" s="158">
        <v>545259.12</v>
      </c>
    </row>
    <row r="52" spans="1:14" x14ac:dyDescent="0.35">
      <c r="A52" s="2" t="s">
        <v>1085</v>
      </c>
      <c r="B52" s="2" t="s">
        <v>790</v>
      </c>
      <c r="C52" s="18" t="s">
        <v>1086</v>
      </c>
      <c r="D52" s="37" t="s">
        <v>507</v>
      </c>
      <c r="E52" s="18" t="s">
        <v>4811</v>
      </c>
      <c r="F52" s="19">
        <v>46069</v>
      </c>
      <c r="G52" s="179">
        <v>796272.2</v>
      </c>
      <c r="H52" s="37">
        <f t="shared" si="0"/>
        <v>166</v>
      </c>
      <c r="I52" s="37" t="str">
        <f t="shared" ref="I52:I74" si="10">IF(H52&lt;121,"0-120 DAYS",IF(H52&lt;181,"121-180 DAYS","More than 180 Days"))</f>
        <v>121-180 DAYS</v>
      </c>
      <c r="J52" s="37" t="str">
        <f t="shared" si="1"/>
        <v>0-180 DAYS</v>
      </c>
      <c r="M52" s="158" t="s">
        <v>4847</v>
      </c>
      <c r="N52" s="158">
        <v>796272.2</v>
      </c>
    </row>
    <row r="53" spans="1:14" x14ac:dyDescent="0.35">
      <c r="A53" s="2" t="s">
        <v>1085</v>
      </c>
      <c r="B53" s="2" t="s">
        <v>790</v>
      </c>
      <c r="C53" s="18" t="s">
        <v>1086</v>
      </c>
      <c r="D53" s="37" t="s">
        <v>507</v>
      </c>
      <c r="E53" s="18" t="s">
        <v>4812</v>
      </c>
      <c r="F53" s="19">
        <v>46069</v>
      </c>
      <c r="G53" s="179">
        <v>686306.61</v>
      </c>
      <c r="H53" s="37">
        <f t="shared" si="0"/>
        <v>166</v>
      </c>
      <c r="I53" s="37" t="str">
        <f t="shared" si="10"/>
        <v>121-180 DAYS</v>
      </c>
      <c r="J53" s="37" t="str">
        <f t="shared" si="1"/>
        <v>0-180 DAYS</v>
      </c>
      <c r="M53" s="158" t="s">
        <v>4847</v>
      </c>
      <c r="N53" s="158">
        <v>686306.61</v>
      </c>
    </row>
    <row r="54" spans="1:14" x14ac:dyDescent="0.35">
      <c r="A54" s="2" t="s">
        <v>1085</v>
      </c>
      <c r="B54" s="2" t="s">
        <v>790</v>
      </c>
      <c r="C54" s="18" t="s">
        <v>1086</v>
      </c>
      <c r="D54" s="37" t="s">
        <v>507</v>
      </c>
      <c r="E54" s="18" t="s">
        <v>4813</v>
      </c>
      <c r="F54" s="19">
        <v>46069</v>
      </c>
      <c r="G54" s="179">
        <v>627027.34</v>
      </c>
      <c r="H54" s="37">
        <f t="shared" si="0"/>
        <v>166</v>
      </c>
      <c r="I54" s="37" t="str">
        <f t="shared" si="10"/>
        <v>121-180 DAYS</v>
      </c>
      <c r="J54" s="37" t="str">
        <f t="shared" si="1"/>
        <v>0-180 DAYS</v>
      </c>
      <c r="M54" s="158" t="s">
        <v>4847</v>
      </c>
      <c r="N54" s="158">
        <v>627027.34</v>
      </c>
    </row>
    <row r="55" spans="1:14" x14ac:dyDescent="0.35">
      <c r="A55" s="2" t="s">
        <v>1085</v>
      </c>
      <c r="B55" s="2" t="s">
        <v>790</v>
      </c>
      <c r="C55" s="18" t="s">
        <v>1086</v>
      </c>
      <c r="D55" s="37" t="s">
        <v>507</v>
      </c>
      <c r="E55" s="18" t="s">
        <v>4814</v>
      </c>
      <c r="F55" s="19">
        <v>46069</v>
      </c>
      <c r="G55" s="179">
        <v>383813.17</v>
      </c>
      <c r="H55" s="37">
        <f t="shared" si="0"/>
        <v>166</v>
      </c>
      <c r="I55" s="37" t="str">
        <f t="shared" si="10"/>
        <v>121-180 DAYS</v>
      </c>
      <c r="J55" s="37" t="str">
        <f t="shared" si="1"/>
        <v>0-180 DAYS</v>
      </c>
      <c r="M55" s="158" t="s">
        <v>4847</v>
      </c>
      <c r="N55" s="158">
        <v>383813.17</v>
      </c>
    </row>
    <row r="56" spans="1:14" x14ac:dyDescent="0.35">
      <c r="A56" s="2" t="s">
        <v>1085</v>
      </c>
      <c r="B56" s="2" t="s">
        <v>790</v>
      </c>
      <c r="C56" s="18" t="s">
        <v>1086</v>
      </c>
      <c r="D56" s="37" t="s">
        <v>507</v>
      </c>
      <c r="E56" s="18" t="s">
        <v>4816</v>
      </c>
      <c r="F56" s="19">
        <v>46079</v>
      </c>
      <c r="G56" s="179">
        <v>872452.28</v>
      </c>
      <c r="H56" s="37">
        <f t="shared" si="0"/>
        <v>156</v>
      </c>
      <c r="I56" s="37" t="str">
        <f t="shared" si="10"/>
        <v>121-180 DAYS</v>
      </c>
      <c r="J56" s="37" t="str">
        <f t="shared" si="1"/>
        <v>0-180 DAYS</v>
      </c>
      <c r="M56" s="158" t="s">
        <v>4854</v>
      </c>
      <c r="N56" s="158">
        <v>872452.28</v>
      </c>
    </row>
    <row r="57" spans="1:14" x14ac:dyDescent="0.35">
      <c r="A57" s="2" t="s">
        <v>1085</v>
      </c>
      <c r="B57" s="2" t="s">
        <v>790</v>
      </c>
      <c r="C57" s="18" t="s">
        <v>1086</v>
      </c>
      <c r="D57" s="37" t="s">
        <v>507</v>
      </c>
      <c r="E57" s="18" t="s">
        <v>4817</v>
      </c>
      <c r="F57" s="19">
        <v>46079</v>
      </c>
      <c r="G57" s="179">
        <v>541973.92000000004</v>
      </c>
      <c r="H57" s="37">
        <f t="shared" si="0"/>
        <v>156</v>
      </c>
      <c r="I57" s="37" t="str">
        <f t="shared" si="10"/>
        <v>121-180 DAYS</v>
      </c>
      <c r="J57" s="37" t="str">
        <f t="shared" si="1"/>
        <v>0-180 DAYS</v>
      </c>
      <c r="M57" s="158" t="s">
        <v>4854</v>
      </c>
      <c r="N57" s="158">
        <v>541973.92000000004</v>
      </c>
    </row>
    <row r="58" spans="1:14" x14ac:dyDescent="0.35">
      <c r="A58" s="2" t="s">
        <v>1085</v>
      </c>
      <c r="B58" s="2" t="s">
        <v>790</v>
      </c>
      <c r="C58" s="18" t="s">
        <v>1086</v>
      </c>
      <c r="D58" s="37" t="s">
        <v>507</v>
      </c>
      <c r="E58" s="18" t="s">
        <v>4818</v>
      </c>
      <c r="F58" s="19">
        <v>46079</v>
      </c>
      <c r="G58" s="179">
        <v>340716.07</v>
      </c>
      <c r="H58" s="37">
        <f t="shared" si="0"/>
        <v>156</v>
      </c>
      <c r="I58" s="37" t="str">
        <f t="shared" si="10"/>
        <v>121-180 DAYS</v>
      </c>
      <c r="J58" s="37" t="str">
        <f t="shared" si="1"/>
        <v>0-180 DAYS</v>
      </c>
      <c r="M58" s="158" t="s">
        <v>4854</v>
      </c>
      <c r="N58" s="158">
        <v>340716.07</v>
      </c>
    </row>
    <row r="59" spans="1:14" x14ac:dyDescent="0.35">
      <c r="A59" s="2" t="s">
        <v>1085</v>
      </c>
      <c r="B59" s="2" t="s">
        <v>790</v>
      </c>
      <c r="C59" s="18" t="s">
        <v>1086</v>
      </c>
      <c r="D59" s="37" t="s">
        <v>507</v>
      </c>
      <c r="E59" s="18" t="s">
        <v>4819</v>
      </c>
      <c r="F59" s="19">
        <v>46079</v>
      </c>
      <c r="G59" s="179">
        <v>429326.74</v>
      </c>
      <c r="H59" s="37">
        <f t="shared" si="0"/>
        <v>156</v>
      </c>
      <c r="I59" s="37" t="str">
        <f t="shared" si="10"/>
        <v>121-180 DAYS</v>
      </c>
      <c r="J59" s="37" t="str">
        <f t="shared" si="1"/>
        <v>0-180 DAYS</v>
      </c>
      <c r="M59" s="158" t="s">
        <v>4854</v>
      </c>
      <c r="N59" s="158">
        <v>429326.74</v>
      </c>
    </row>
    <row r="60" spans="1:14" x14ac:dyDescent="0.35">
      <c r="A60" s="2" t="s">
        <v>1085</v>
      </c>
      <c r="B60" s="2" t="s">
        <v>790</v>
      </c>
      <c r="C60" s="18" t="s">
        <v>1086</v>
      </c>
      <c r="D60" s="37" t="s">
        <v>507</v>
      </c>
      <c r="E60" s="18" t="s">
        <v>4820</v>
      </c>
      <c r="F60" s="19">
        <v>46079</v>
      </c>
      <c r="G60" s="179">
        <v>320390.40000000002</v>
      </c>
      <c r="H60" s="37">
        <f t="shared" si="0"/>
        <v>156</v>
      </c>
      <c r="I60" s="37" t="str">
        <f t="shared" si="10"/>
        <v>121-180 DAYS</v>
      </c>
      <c r="J60" s="37" t="str">
        <f t="shared" si="1"/>
        <v>0-180 DAYS</v>
      </c>
      <c r="M60" s="158" t="s">
        <v>4854</v>
      </c>
      <c r="N60" s="158">
        <v>320390.40000000002</v>
      </c>
    </row>
    <row r="61" spans="1:14" x14ac:dyDescent="0.35">
      <c r="A61" s="2" t="s">
        <v>1085</v>
      </c>
      <c r="B61" s="2" t="s">
        <v>790</v>
      </c>
      <c r="C61" s="18" t="s">
        <v>1086</v>
      </c>
      <c r="D61" s="37" t="s">
        <v>507</v>
      </c>
      <c r="E61" s="18" t="s">
        <v>4822</v>
      </c>
      <c r="F61" s="19">
        <v>46057</v>
      </c>
      <c r="G61" s="179">
        <v>90475.55</v>
      </c>
      <c r="H61" s="37">
        <f t="shared" si="0"/>
        <v>178</v>
      </c>
      <c r="I61" s="37" t="str">
        <f t="shared" si="10"/>
        <v>121-180 DAYS</v>
      </c>
      <c r="J61" s="37" t="str">
        <f t="shared" si="1"/>
        <v>0-180 DAYS</v>
      </c>
      <c r="M61" s="158" t="s">
        <v>4844</v>
      </c>
      <c r="N61" s="158">
        <v>90475.55</v>
      </c>
    </row>
    <row r="62" spans="1:14" x14ac:dyDescent="0.35">
      <c r="A62" s="2" t="s">
        <v>1085</v>
      </c>
      <c r="B62" s="2" t="s">
        <v>790</v>
      </c>
      <c r="C62" s="18" t="s">
        <v>1086</v>
      </c>
      <c r="D62" s="37" t="s">
        <v>507</v>
      </c>
      <c r="E62" s="18" t="s">
        <v>4823</v>
      </c>
      <c r="F62" s="19">
        <v>46057</v>
      </c>
      <c r="G62" s="179">
        <v>2223085.13</v>
      </c>
      <c r="H62" s="37">
        <f t="shared" si="0"/>
        <v>178</v>
      </c>
      <c r="I62" s="37" t="str">
        <f t="shared" si="10"/>
        <v>121-180 DAYS</v>
      </c>
      <c r="J62" s="37" t="str">
        <f t="shared" si="1"/>
        <v>0-180 DAYS</v>
      </c>
      <c r="M62" s="158" t="s">
        <v>4844</v>
      </c>
      <c r="N62" s="158">
        <v>2223085.13</v>
      </c>
    </row>
    <row r="63" spans="1:14" x14ac:dyDescent="0.35">
      <c r="A63" s="2" t="s">
        <v>1085</v>
      </c>
      <c r="B63" s="2" t="s">
        <v>790</v>
      </c>
      <c r="C63" s="18" t="s">
        <v>1086</v>
      </c>
      <c r="D63" s="37" t="s">
        <v>507</v>
      </c>
      <c r="E63" s="18" t="s">
        <v>4824</v>
      </c>
      <c r="F63" s="19">
        <v>46058</v>
      </c>
      <c r="G63" s="179">
        <v>226322.24</v>
      </c>
      <c r="H63" s="37">
        <f t="shared" si="0"/>
        <v>177</v>
      </c>
      <c r="I63" s="37" t="str">
        <f t="shared" si="10"/>
        <v>121-180 DAYS</v>
      </c>
      <c r="J63" s="37" t="str">
        <f t="shared" si="1"/>
        <v>0-180 DAYS</v>
      </c>
      <c r="M63" s="158" t="s">
        <v>4855</v>
      </c>
      <c r="N63" s="158">
        <v>226322.24</v>
      </c>
    </row>
    <row r="64" spans="1:14" x14ac:dyDescent="0.35">
      <c r="A64" s="2" t="s">
        <v>1085</v>
      </c>
      <c r="B64" s="2" t="s">
        <v>790</v>
      </c>
      <c r="C64" s="18" t="s">
        <v>1086</v>
      </c>
      <c r="D64" s="37" t="s">
        <v>507</v>
      </c>
      <c r="E64" s="18" t="s">
        <v>4825</v>
      </c>
      <c r="F64" s="19">
        <v>46058</v>
      </c>
      <c r="G64" s="179">
        <v>997138.3</v>
      </c>
      <c r="H64" s="37">
        <f t="shared" si="0"/>
        <v>177</v>
      </c>
      <c r="I64" s="37" t="str">
        <f t="shared" si="10"/>
        <v>121-180 DAYS</v>
      </c>
      <c r="J64" s="37" t="str">
        <f t="shared" si="1"/>
        <v>0-180 DAYS</v>
      </c>
      <c r="M64" s="158" t="s">
        <v>4855</v>
      </c>
      <c r="N64" s="158">
        <v>997138.3</v>
      </c>
    </row>
    <row r="65" spans="1:14" x14ac:dyDescent="0.35">
      <c r="A65" s="2" t="s">
        <v>1085</v>
      </c>
      <c r="B65" s="2" t="s">
        <v>790</v>
      </c>
      <c r="C65" s="18" t="s">
        <v>1086</v>
      </c>
      <c r="D65" s="37" t="s">
        <v>507</v>
      </c>
      <c r="E65" s="18" t="s">
        <v>4826</v>
      </c>
      <c r="F65" s="19">
        <v>46058</v>
      </c>
      <c r="G65" s="179">
        <v>586562.42000000004</v>
      </c>
      <c r="H65" s="37">
        <f t="shared" si="0"/>
        <v>177</v>
      </c>
      <c r="I65" s="37" t="str">
        <f t="shared" si="10"/>
        <v>121-180 DAYS</v>
      </c>
      <c r="J65" s="37" t="str">
        <f t="shared" si="1"/>
        <v>0-180 DAYS</v>
      </c>
      <c r="M65" s="158" t="s">
        <v>4855</v>
      </c>
      <c r="N65" s="158">
        <v>586562.42000000004</v>
      </c>
    </row>
    <row r="66" spans="1:14" x14ac:dyDescent="0.35">
      <c r="A66" s="2" t="s">
        <v>1085</v>
      </c>
      <c r="B66" s="2" t="s">
        <v>790</v>
      </c>
      <c r="C66" s="18" t="s">
        <v>1086</v>
      </c>
      <c r="D66" s="37" t="s">
        <v>507</v>
      </c>
      <c r="E66" s="18" t="s">
        <v>4827</v>
      </c>
      <c r="F66" s="19">
        <v>46058</v>
      </c>
      <c r="G66" s="179">
        <v>764710.38</v>
      </c>
      <c r="H66" s="37">
        <f t="shared" si="0"/>
        <v>177</v>
      </c>
      <c r="I66" s="37" t="str">
        <f t="shared" si="10"/>
        <v>121-180 DAYS</v>
      </c>
      <c r="J66" s="37" t="str">
        <f t="shared" si="1"/>
        <v>0-180 DAYS</v>
      </c>
      <c r="M66" s="158" t="s">
        <v>4855</v>
      </c>
      <c r="N66" s="158">
        <v>764710.38</v>
      </c>
    </row>
    <row r="67" spans="1:14" x14ac:dyDescent="0.35">
      <c r="A67" s="2" t="s">
        <v>1085</v>
      </c>
      <c r="B67" s="2" t="s">
        <v>790</v>
      </c>
      <c r="C67" s="18" t="s">
        <v>573</v>
      </c>
      <c r="D67" s="37" t="s">
        <v>507</v>
      </c>
      <c r="E67" s="18" t="s">
        <v>4828</v>
      </c>
      <c r="F67" s="19">
        <v>46060</v>
      </c>
      <c r="G67" s="179">
        <f>-3492225+3562287.58</f>
        <v>70062.580000000075</v>
      </c>
      <c r="H67" s="37">
        <f t="shared" si="0"/>
        <v>175</v>
      </c>
      <c r="I67" s="37" t="str">
        <f t="shared" si="10"/>
        <v>121-180 DAYS</v>
      </c>
      <c r="J67" s="37" t="str">
        <f t="shared" si="1"/>
        <v>0-180 DAYS</v>
      </c>
      <c r="M67" s="158" t="s">
        <v>4856</v>
      </c>
      <c r="N67" s="158">
        <v>3562287.58</v>
      </c>
    </row>
    <row r="68" spans="1:14" x14ac:dyDescent="0.35">
      <c r="A68" s="2" t="s">
        <v>1085</v>
      </c>
      <c r="B68" s="2" t="s">
        <v>790</v>
      </c>
      <c r="C68" s="18" t="s">
        <v>573</v>
      </c>
      <c r="D68" s="37" t="s">
        <v>507</v>
      </c>
      <c r="E68" s="18" t="s">
        <v>4829</v>
      </c>
      <c r="F68" s="19">
        <v>46060</v>
      </c>
      <c r="G68" s="179">
        <v>254606</v>
      </c>
      <c r="H68" s="37">
        <f t="shared" ref="H68:H131" si="11">$H$1-F68+1</f>
        <v>175</v>
      </c>
      <c r="I68" s="37" t="str">
        <f t="shared" si="10"/>
        <v>121-180 DAYS</v>
      </c>
      <c r="J68" s="37" t="str">
        <f t="shared" si="1"/>
        <v>0-180 DAYS</v>
      </c>
      <c r="M68" s="158" t="s">
        <v>4856</v>
      </c>
      <c r="N68" s="158">
        <v>254606</v>
      </c>
    </row>
    <row r="69" spans="1:14" x14ac:dyDescent="0.35">
      <c r="A69" s="2" t="s">
        <v>1085</v>
      </c>
      <c r="B69" s="2" t="s">
        <v>790</v>
      </c>
      <c r="C69" s="18" t="s">
        <v>1086</v>
      </c>
      <c r="D69" s="37" t="s">
        <v>507</v>
      </c>
      <c r="E69" s="18" t="s">
        <v>4830</v>
      </c>
      <c r="F69" s="19">
        <v>46066</v>
      </c>
      <c r="G69" s="179">
        <v>47492.09</v>
      </c>
      <c r="H69" s="37">
        <f t="shared" si="11"/>
        <v>169</v>
      </c>
      <c r="I69" s="37" t="str">
        <f t="shared" si="10"/>
        <v>121-180 DAYS</v>
      </c>
      <c r="J69" s="37" t="str">
        <f t="shared" si="1"/>
        <v>0-180 DAYS</v>
      </c>
      <c r="M69" s="158" t="s">
        <v>4846</v>
      </c>
      <c r="N69" s="158">
        <v>47492.09</v>
      </c>
    </row>
    <row r="70" spans="1:14" x14ac:dyDescent="0.35">
      <c r="A70" s="2" t="s">
        <v>1085</v>
      </c>
      <c r="B70" s="2" t="s">
        <v>790</v>
      </c>
      <c r="C70" s="18" t="s">
        <v>1086</v>
      </c>
      <c r="D70" s="37" t="s">
        <v>507</v>
      </c>
      <c r="E70" s="18" t="s">
        <v>4831</v>
      </c>
      <c r="F70" s="19">
        <v>46066</v>
      </c>
      <c r="G70" s="179">
        <v>2141245.42</v>
      </c>
      <c r="H70" s="37">
        <f t="shared" si="11"/>
        <v>169</v>
      </c>
      <c r="I70" s="37" t="str">
        <f t="shared" si="10"/>
        <v>121-180 DAYS</v>
      </c>
      <c r="J70" s="37" t="str">
        <f t="shared" ref="J70:J133" si="12">IF(H70&lt;180,"0-180 DAYS","More than 180 Days")</f>
        <v>0-180 DAYS</v>
      </c>
      <c r="M70" s="158" t="s">
        <v>4846</v>
      </c>
      <c r="N70" s="158">
        <v>2141245.42</v>
      </c>
    </row>
    <row r="71" spans="1:14" x14ac:dyDescent="0.35">
      <c r="A71" s="2" t="s">
        <v>1085</v>
      </c>
      <c r="B71" s="2" t="s">
        <v>790</v>
      </c>
      <c r="C71" s="18" t="s">
        <v>1086</v>
      </c>
      <c r="D71" s="37" t="s">
        <v>507</v>
      </c>
      <c r="E71" s="18" t="s">
        <v>4833</v>
      </c>
      <c r="F71" s="19">
        <v>46072</v>
      </c>
      <c r="G71" s="179">
        <v>635323.69999999995</v>
      </c>
      <c r="H71" s="37">
        <f t="shared" si="11"/>
        <v>163</v>
      </c>
      <c r="I71" s="37" t="str">
        <f t="shared" si="10"/>
        <v>121-180 DAYS</v>
      </c>
      <c r="J71" s="37" t="str">
        <f t="shared" si="12"/>
        <v>0-180 DAYS</v>
      </c>
      <c r="M71" s="158" t="s">
        <v>4849</v>
      </c>
      <c r="N71" s="158">
        <v>635323.69999999995</v>
      </c>
    </row>
    <row r="72" spans="1:14" x14ac:dyDescent="0.35">
      <c r="A72" s="2" t="s">
        <v>1085</v>
      </c>
      <c r="B72" s="2" t="s">
        <v>790</v>
      </c>
      <c r="C72" s="18" t="s">
        <v>1086</v>
      </c>
      <c r="D72" s="37" t="s">
        <v>507</v>
      </c>
      <c r="E72" s="18" t="s">
        <v>4834</v>
      </c>
      <c r="F72" s="19">
        <v>46072</v>
      </c>
      <c r="G72" s="179">
        <v>90983.84</v>
      </c>
      <c r="H72" s="37">
        <f t="shared" si="11"/>
        <v>163</v>
      </c>
      <c r="I72" s="37" t="str">
        <f t="shared" si="10"/>
        <v>121-180 DAYS</v>
      </c>
      <c r="J72" s="37" t="str">
        <f t="shared" si="12"/>
        <v>0-180 DAYS</v>
      </c>
      <c r="M72" s="158" t="s">
        <v>4849</v>
      </c>
      <c r="N72" s="158">
        <v>90983.84</v>
      </c>
    </row>
    <row r="73" spans="1:14" x14ac:dyDescent="0.35">
      <c r="A73" s="2" t="s">
        <v>1085</v>
      </c>
      <c r="B73" s="2" t="s">
        <v>790</v>
      </c>
      <c r="C73" s="18" t="s">
        <v>1086</v>
      </c>
      <c r="D73" s="37" t="s">
        <v>507</v>
      </c>
      <c r="E73" s="18" t="s">
        <v>4835</v>
      </c>
      <c r="F73" s="19">
        <v>46072</v>
      </c>
      <c r="G73" s="179">
        <v>1714734.47</v>
      </c>
      <c r="H73" s="37">
        <f t="shared" si="11"/>
        <v>163</v>
      </c>
      <c r="I73" s="37" t="str">
        <f t="shared" si="10"/>
        <v>121-180 DAYS</v>
      </c>
      <c r="J73" s="37" t="str">
        <f t="shared" si="12"/>
        <v>0-180 DAYS</v>
      </c>
      <c r="M73" s="158" t="s">
        <v>4849</v>
      </c>
      <c r="N73" s="158">
        <v>1714734.47</v>
      </c>
    </row>
    <row r="74" spans="1:14" x14ac:dyDescent="0.35">
      <c r="A74" s="2" t="s">
        <v>1085</v>
      </c>
      <c r="B74" s="2" t="s">
        <v>790</v>
      </c>
      <c r="C74" s="18" t="s">
        <v>650</v>
      </c>
      <c r="D74" s="37" t="s">
        <v>507</v>
      </c>
      <c r="E74" s="18" t="s">
        <v>4836</v>
      </c>
      <c r="F74" s="19">
        <v>46078</v>
      </c>
      <c r="G74" s="179">
        <v>4501896.01</v>
      </c>
      <c r="H74" s="37">
        <f t="shared" si="11"/>
        <v>157</v>
      </c>
      <c r="I74" s="37" t="str">
        <f t="shared" si="10"/>
        <v>121-180 DAYS</v>
      </c>
      <c r="J74" s="37" t="str">
        <f t="shared" si="12"/>
        <v>0-180 DAYS</v>
      </c>
      <c r="M74" s="158" t="s">
        <v>4853</v>
      </c>
      <c r="N74" s="158">
        <v>4501896.01</v>
      </c>
    </row>
    <row r="75" spans="1:14" x14ac:dyDescent="0.35">
      <c r="A75" s="2" t="s">
        <v>477</v>
      </c>
      <c r="B75" s="2" t="s">
        <v>790</v>
      </c>
      <c r="C75" s="18" t="s">
        <v>263</v>
      </c>
      <c r="D75" s="18" t="s">
        <v>264</v>
      </c>
      <c r="E75" s="18" t="s">
        <v>4837</v>
      </c>
      <c r="F75" s="19">
        <v>46070</v>
      </c>
      <c r="G75" s="179">
        <v>967574.04</v>
      </c>
      <c r="H75" s="37">
        <f t="shared" si="11"/>
        <v>165</v>
      </c>
      <c r="I75" s="37" t="str">
        <f>IF(H75&lt;91,"1-90 DAYS",IF(H75&lt;121,"91-120DAYS",IF(H75&lt;181,"121-180 DAYS","More than 180 Days")))</f>
        <v>121-180 DAYS</v>
      </c>
      <c r="J75" s="37" t="str">
        <f t="shared" si="12"/>
        <v>0-180 DAYS</v>
      </c>
      <c r="M75" s="158" t="s">
        <v>4848</v>
      </c>
      <c r="N75" s="158">
        <v>967574.04</v>
      </c>
    </row>
    <row r="76" spans="1:14" x14ac:dyDescent="0.35">
      <c r="A76" s="2" t="s">
        <v>477</v>
      </c>
      <c r="B76" s="2" t="s">
        <v>790</v>
      </c>
      <c r="C76" s="18" t="s">
        <v>4745</v>
      </c>
      <c r="D76" s="18" t="s">
        <v>4751</v>
      </c>
      <c r="E76" s="18" t="s">
        <v>3370</v>
      </c>
      <c r="F76" s="19">
        <v>46073</v>
      </c>
      <c r="G76" s="179">
        <f>-34331+117034.76</f>
        <v>82703.759999999995</v>
      </c>
      <c r="H76" s="37">
        <f t="shared" si="11"/>
        <v>162</v>
      </c>
      <c r="I76" s="37" t="str">
        <f>IF(H76&lt;91,"1-90 DAYS",IF(H76&lt;121,"91-120DAYS",IF(H76&lt;181,"121-180 DAYS","More than 180 Days")))</f>
        <v>121-180 DAYS</v>
      </c>
      <c r="J76" s="37" t="str">
        <f t="shared" si="12"/>
        <v>0-180 DAYS</v>
      </c>
      <c r="M76" s="158" t="s">
        <v>4850</v>
      </c>
      <c r="N76" s="158">
        <v>82703.759999999995</v>
      </c>
    </row>
    <row r="77" spans="1:14" x14ac:dyDescent="0.35">
      <c r="A77" s="2" t="s">
        <v>1085</v>
      </c>
      <c r="B77" s="2" t="s">
        <v>790</v>
      </c>
      <c r="C77" s="18" t="s">
        <v>1086</v>
      </c>
      <c r="D77" s="37" t="s">
        <v>507</v>
      </c>
      <c r="E77" s="18" t="s">
        <v>4861</v>
      </c>
      <c r="F77" s="19">
        <v>46094</v>
      </c>
      <c r="G77" s="179">
        <v>817496.01</v>
      </c>
      <c r="H77" s="37">
        <f t="shared" si="11"/>
        <v>141</v>
      </c>
      <c r="I77" s="37" t="str">
        <f t="shared" ref="I77:I94" si="13">IF(H77&lt;121,"0-120 DAYS",IF(H77&lt;181,"121-180 DAYS","More than 180 Days"))</f>
        <v>121-180 DAYS</v>
      </c>
      <c r="J77" s="37" t="str">
        <f t="shared" si="12"/>
        <v>0-180 DAYS</v>
      </c>
      <c r="K77" t="s">
        <v>1730</v>
      </c>
      <c r="M77" s="158" t="s">
        <v>4900</v>
      </c>
      <c r="N77" s="158">
        <v>817496.01</v>
      </c>
    </row>
    <row r="78" spans="1:14" x14ac:dyDescent="0.35">
      <c r="A78" s="2" t="s">
        <v>1085</v>
      </c>
      <c r="B78" s="2" t="s">
        <v>790</v>
      </c>
      <c r="C78" s="18" t="s">
        <v>1086</v>
      </c>
      <c r="D78" s="37" t="s">
        <v>507</v>
      </c>
      <c r="E78" s="18" t="s">
        <v>4862</v>
      </c>
      <c r="F78" s="19">
        <v>46094</v>
      </c>
      <c r="G78" s="179">
        <v>687051.82</v>
      </c>
      <c r="H78" s="37">
        <f t="shared" si="11"/>
        <v>141</v>
      </c>
      <c r="I78" s="37" t="str">
        <f t="shared" si="13"/>
        <v>121-180 DAYS</v>
      </c>
      <c r="J78" s="37" t="str">
        <f t="shared" si="12"/>
        <v>0-180 DAYS</v>
      </c>
      <c r="K78" t="s">
        <v>1730</v>
      </c>
      <c r="M78" s="158" t="s">
        <v>4900</v>
      </c>
      <c r="N78" s="158">
        <v>687051.82</v>
      </c>
    </row>
    <row r="79" spans="1:14" x14ac:dyDescent="0.35">
      <c r="A79" s="2" t="s">
        <v>1085</v>
      </c>
      <c r="B79" s="2" t="s">
        <v>790</v>
      </c>
      <c r="C79" s="18" t="s">
        <v>1086</v>
      </c>
      <c r="D79" s="37" t="s">
        <v>507</v>
      </c>
      <c r="E79" s="18" t="s">
        <v>4863</v>
      </c>
      <c r="F79" s="19">
        <v>46094</v>
      </c>
      <c r="G79" s="179">
        <v>900740.54</v>
      </c>
      <c r="H79" s="37">
        <f t="shared" si="11"/>
        <v>141</v>
      </c>
      <c r="I79" s="37" t="str">
        <f t="shared" si="13"/>
        <v>121-180 DAYS</v>
      </c>
      <c r="J79" s="37" t="str">
        <f t="shared" si="12"/>
        <v>0-180 DAYS</v>
      </c>
      <c r="K79" t="s">
        <v>1730</v>
      </c>
      <c r="M79" s="158" t="s">
        <v>4900</v>
      </c>
      <c r="N79" s="158">
        <v>900740.54</v>
      </c>
    </row>
    <row r="80" spans="1:14" x14ac:dyDescent="0.35">
      <c r="A80" s="2" t="s">
        <v>1085</v>
      </c>
      <c r="B80" s="2" t="s">
        <v>790</v>
      </c>
      <c r="C80" s="18" t="s">
        <v>1086</v>
      </c>
      <c r="D80" s="37" t="s">
        <v>507</v>
      </c>
      <c r="E80" s="18" t="s">
        <v>4864</v>
      </c>
      <c r="F80" s="19">
        <v>46094</v>
      </c>
      <c r="G80" s="179">
        <v>280790.83</v>
      </c>
      <c r="H80" s="37">
        <f t="shared" si="11"/>
        <v>141</v>
      </c>
      <c r="I80" s="37" t="str">
        <f t="shared" si="13"/>
        <v>121-180 DAYS</v>
      </c>
      <c r="J80" s="37" t="str">
        <f t="shared" si="12"/>
        <v>0-180 DAYS</v>
      </c>
      <c r="K80" t="s">
        <v>1730</v>
      </c>
      <c r="M80" s="158" t="s">
        <v>4900</v>
      </c>
      <c r="N80" s="158">
        <v>280790.83</v>
      </c>
    </row>
    <row r="81" spans="1:14" x14ac:dyDescent="0.35">
      <c r="A81" s="2" t="s">
        <v>1085</v>
      </c>
      <c r="B81" s="2" t="s">
        <v>790</v>
      </c>
      <c r="C81" s="18" t="s">
        <v>1055</v>
      </c>
      <c r="D81" s="37" t="s">
        <v>507</v>
      </c>
      <c r="E81" s="18" t="s">
        <v>4866</v>
      </c>
      <c r="F81" s="19">
        <v>46101</v>
      </c>
      <c r="G81" s="179">
        <v>3215187</v>
      </c>
      <c r="H81" s="37">
        <f t="shared" si="11"/>
        <v>134</v>
      </c>
      <c r="I81" s="37" t="str">
        <f t="shared" si="13"/>
        <v>121-180 DAYS</v>
      </c>
      <c r="J81" s="37" t="str">
        <f t="shared" si="12"/>
        <v>0-180 DAYS</v>
      </c>
      <c r="K81" t="s">
        <v>1730</v>
      </c>
      <c r="M81" s="158" t="s">
        <v>4904</v>
      </c>
      <c r="N81" s="158">
        <v>3215187</v>
      </c>
    </row>
    <row r="82" spans="1:14" x14ac:dyDescent="0.35">
      <c r="A82" s="2" t="s">
        <v>1085</v>
      </c>
      <c r="B82" s="2" t="s">
        <v>790</v>
      </c>
      <c r="C82" s="18" t="s">
        <v>1764</v>
      </c>
      <c r="D82" s="37" t="s">
        <v>507</v>
      </c>
      <c r="E82" s="18" t="s">
        <v>4867</v>
      </c>
      <c r="F82" s="19">
        <v>46102</v>
      </c>
      <c r="G82" s="179">
        <f>-3898425+3900733.2</f>
        <v>2308.2000000001863</v>
      </c>
      <c r="H82" s="37">
        <f t="shared" si="11"/>
        <v>133</v>
      </c>
      <c r="I82" s="37" t="str">
        <f t="shared" si="13"/>
        <v>121-180 DAYS</v>
      </c>
      <c r="J82" s="37" t="str">
        <f t="shared" si="12"/>
        <v>0-180 DAYS</v>
      </c>
      <c r="K82" t="s">
        <v>1730</v>
      </c>
      <c r="M82" s="158" t="s">
        <v>4905</v>
      </c>
      <c r="N82" s="158">
        <v>3900733.2</v>
      </c>
    </row>
    <row r="83" spans="1:14" x14ac:dyDescent="0.35">
      <c r="A83" s="2" t="s">
        <v>1085</v>
      </c>
      <c r="B83" s="2" t="s">
        <v>790</v>
      </c>
      <c r="C83" s="18" t="s">
        <v>596</v>
      </c>
      <c r="D83" s="37" t="s">
        <v>507</v>
      </c>
      <c r="E83" s="18" t="s">
        <v>629</v>
      </c>
      <c r="F83" s="19">
        <v>46106</v>
      </c>
      <c r="G83" s="179">
        <v>5317</v>
      </c>
      <c r="H83" s="37">
        <f t="shared" si="11"/>
        <v>129</v>
      </c>
      <c r="I83" s="37" t="str">
        <f t="shared" si="13"/>
        <v>121-180 DAYS</v>
      </c>
      <c r="J83" s="37" t="str">
        <f t="shared" si="12"/>
        <v>0-180 DAYS</v>
      </c>
      <c r="K83" t="s">
        <v>1730</v>
      </c>
      <c r="M83" s="158" t="s">
        <v>4907</v>
      </c>
      <c r="N83" s="158">
        <v>5317</v>
      </c>
    </row>
    <row r="84" spans="1:14" x14ac:dyDescent="0.35">
      <c r="A84" s="2" t="s">
        <v>1085</v>
      </c>
      <c r="B84" s="2" t="s">
        <v>790</v>
      </c>
      <c r="C84" s="18" t="s">
        <v>650</v>
      </c>
      <c r="D84" s="37" t="s">
        <v>507</v>
      </c>
      <c r="E84" s="18" t="s">
        <v>589</v>
      </c>
      <c r="F84" s="19">
        <v>46107</v>
      </c>
      <c r="G84" s="179">
        <v>3636456.47</v>
      </c>
      <c r="H84" s="37">
        <f t="shared" si="11"/>
        <v>128</v>
      </c>
      <c r="I84" s="37" t="str">
        <f t="shared" si="13"/>
        <v>121-180 DAYS</v>
      </c>
      <c r="J84" s="37" t="str">
        <f t="shared" si="12"/>
        <v>0-180 DAYS</v>
      </c>
      <c r="K84" t="s">
        <v>1730</v>
      </c>
      <c r="M84" s="158" t="s">
        <v>4908</v>
      </c>
      <c r="N84" s="158">
        <v>3636456.47</v>
      </c>
    </row>
    <row r="85" spans="1:14" x14ac:dyDescent="0.35">
      <c r="A85" s="2" t="s">
        <v>1085</v>
      </c>
      <c r="B85" s="2" t="s">
        <v>790</v>
      </c>
      <c r="C85" s="18" t="s">
        <v>4859</v>
      </c>
      <c r="D85" s="37" t="s">
        <v>507</v>
      </c>
      <c r="E85" s="18" t="s">
        <v>4869</v>
      </c>
      <c r="F85" s="19">
        <v>46108</v>
      </c>
      <c r="G85" s="179">
        <v>138825</v>
      </c>
      <c r="H85" s="37">
        <f t="shared" si="11"/>
        <v>127</v>
      </c>
      <c r="I85" s="37" t="str">
        <f t="shared" si="13"/>
        <v>121-180 DAYS</v>
      </c>
      <c r="J85" s="37" t="str">
        <f t="shared" si="12"/>
        <v>0-180 DAYS</v>
      </c>
      <c r="K85" t="s">
        <v>1730</v>
      </c>
      <c r="M85" s="158" t="s">
        <v>4909</v>
      </c>
      <c r="N85" s="158">
        <v>138825</v>
      </c>
    </row>
    <row r="86" spans="1:14" x14ac:dyDescent="0.35">
      <c r="A86" s="2" t="s">
        <v>1085</v>
      </c>
      <c r="B86" s="2" t="s">
        <v>790</v>
      </c>
      <c r="C86" s="18" t="s">
        <v>3796</v>
      </c>
      <c r="D86" s="37" t="s">
        <v>507</v>
      </c>
      <c r="E86" s="18" t="s">
        <v>4870</v>
      </c>
      <c r="F86" s="19">
        <v>46110</v>
      </c>
      <c r="G86" s="179">
        <f>-3247101+3256693.04</f>
        <v>9592.0400000000373</v>
      </c>
      <c r="H86" s="37">
        <f t="shared" si="11"/>
        <v>125</v>
      </c>
      <c r="I86" s="37" t="str">
        <f t="shared" si="13"/>
        <v>121-180 DAYS</v>
      </c>
      <c r="J86" s="37" t="str">
        <f t="shared" si="12"/>
        <v>0-180 DAYS</v>
      </c>
      <c r="K86" t="s">
        <v>1730</v>
      </c>
      <c r="M86" s="158" t="s">
        <v>4910</v>
      </c>
      <c r="N86" s="158">
        <v>3256693.04</v>
      </c>
    </row>
    <row r="87" spans="1:14" x14ac:dyDescent="0.35">
      <c r="A87" s="2" t="s">
        <v>1085</v>
      </c>
      <c r="B87" s="2" t="s">
        <v>790</v>
      </c>
      <c r="C87" s="18" t="s">
        <v>650</v>
      </c>
      <c r="D87" s="37" t="s">
        <v>507</v>
      </c>
      <c r="E87" s="18" t="s">
        <v>599</v>
      </c>
      <c r="F87" s="19">
        <v>46110</v>
      </c>
      <c r="G87" s="179">
        <v>4294107.21</v>
      </c>
      <c r="H87" s="37">
        <f t="shared" si="11"/>
        <v>125</v>
      </c>
      <c r="I87" s="37" t="str">
        <f t="shared" si="13"/>
        <v>121-180 DAYS</v>
      </c>
      <c r="J87" s="37" t="str">
        <f t="shared" si="12"/>
        <v>0-180 DAYS</v>
      </c>
      <c r="K87" t="s">
        <v>1730</v>
      </c>
      <c r="M87" s="158" t="s">
        <v>4910</v>
      </c>
      <c r="N87" s="158">
        <v>4294107.21</v>
      </c>
    </row>
    <row r="88" spans="1:14" x14ac:dyDescent="0.35">
      <c r="A88" s="2" t="s">
        <v>1085</v>
      </c>
      <c r="B88" s="2" t="s">
        <v>790</v>
      </c>
      <c r="C88" s="18" t="s">
        <v>814</v>
      </c>
      <c r="D88" s="37" t="s">
        <v>507</v>
      </c>
      <c r="E88" s="18" t="s">
        <v>4871</v>
      </c>
      <c r="F88" s="19">
        <v>46111</v>
      </c>
      <c r="G88" s="179">
        <v>2035</v>
      </c>
      <c r="H88" s="37">
        <f t="shared" si="11"/>
        <v>124</v>
      </c>
      <c r="I88" s="37" t="str">
        <f t="shared" si="13"/>
        <v>121-180 DAYS</v>
      </c>
      <c r="J88" s="37" t="str">
        <f t="shared" si="12"/>
        <v>0-180 DAYS</v>
      </c>
      <c r="K88" t="s">
        <v>1730</v>
      </c>
      <c r="M88" s="158" t="s">
        <v>4911</v>
      </c>
      <c r="N88" s="158">
        <v>2035</v>
      </c>
    </row>
    <row r="89" spans="1:14" x14ac:dyDescent="0.35">
      <c r="A89" s="2" t="s">
        <v>1085</v>
      </c>
      <c r="B89" s="2" t="s">
        <v>790</v>
      </c>
      <c r="C89" s="18" t="s">
        <v>570</v>
      </c>
      <c r="D89" s="37" t="s">
        <v>507</v>
      </c>
      <c r="E89" s="18" t="s">
        <v>4876</v>
      </c>
      <c r="F89" s="19">
        <v>46091</v>
      </c>
      <c r="G89" s="179">
        <v>3175777</v>
      </c>
      <c r="H89" s="37">
        <f t="shared" si="11"/>
        <v>144</v>
      </c>
      <c r="I89" s="37" t="str">
        <f t="shared" si="13"/>
        <v>121-180 DAYS</v>
      </c>
      <c r="J89" s="37" t="str">
        <f t="shared" si="12"/>
        <v>0-180 DAYS</v>
      </c>
      <c r="K89" t="s">
        <v>1730</v>
      </c>
      <c r="M89" s="158" t="s">
        <v>4914</v>
      </c>
      <c r="N89" s="158">
        <v>3817958.4</v>
      </c>
    </row>
    <row r="90" spans="1:14" x14ac:dyDescent="0.35">
      <c r="A90" s="2" t="s">
        <v>1085</v>
      </c>
      <c r="B90" s="2" t="s">
        <v>790</v>
      </c>
      <c r="C90" s="18" t="s">
        <v>1086</v>
      </c>
      <c r="D90" s="37" t="s">
        <v>507</v>
      </c>
      <c r="E90" s="18" t="s">
        <v>4877</v>
      </c>
      <c r="F90" s="19">
        <v>46094</v>
      </c>
      <c r="G90" s="179">
        <v>186752.9</v>
      </c>
      <c r="H90" s="37">
        <f t="shared" si="11"/>
        <v>141</v>
      </c>
      <c r="I90" s="37" t="str">
        <f t="shared" si="13"/>
        <v>121-180 DAYS</v>
      </c>
      <c r="J90" s="37" t="str">
        <f t="shared" si="12"/>
        <v>0-180 DAYS</v>
      </c>
      <c r="K90" t="s">
        <v>1730</v>
      </c>
      <c r="M90" s="158" t="s">
        <v>4900</v>
      </c>
      <c r="N90" s="158">
        <v>186752.9</v>
      </c>
    </row>
    <row r="91" spans="1:14" x14ac:dyDescent="0.35">
      <c r="A91" s="2" t="s">
        <v>1085</v>
      </c>
      <c r="B91" s="2" t="s">
        <v>790</v>
      </c>
      <c r="C91" s="18" t="s">
        <v>1086</v>
      </c>
      <c r="D91" s="37" t="s">
        <v>507</v>
      </c>
      <c r="E91" s="18" t="s">
        <v>4878</v>
      </c>
      <c r="F91" s="19">
        <v>46094</v>
      </c>
      <c r="G91" s="179">
        <v>1771276.46</v>
      </c>
      <c r="H91" s="37">
        <f t="shared" si="11"/>
        <v>141</v>
      </c>
      <c r="I91" s="37" t="str">
        <f t="shared" si="13"/>
        <v>121-180 DAYS</v>
      </c>
      <c r="J91" s="37" t="str">
        <f t="shared" si="12"/>
        <v>0-180 DAYS</v>
      </c>
      <c r="K91" t="s">
        <v>1730</v>
      </c>
      <c r="M91" s="158" t="s">
        <v>4900</v>
      </c>
      <c r="N91" s="158">
        <v>1771276.46</v>
      </c>
    </row>
    <row r="92" spans="1:14" x14ac:dyDescent="0.35">
      <c r="A92" s="2" t="s">
        <v>1085</v>
      </c>
      <c r="B92" s="2" t="s">
        <v>790</v>
      </c>
      <c r="C92" s="18" t="s">
        <v>1086</v>
      </c>
      <c r="D92" s="37" t="s">
        <v>507</v>
      </c>
      <c r="E92" s="18" t="s">
        <v>4879</v>
      </c>
      <c r="F92" s="19">
        <v>46094</v>
      </c>
      <c r="G92" s="179">
        <v>557732.65</v>
      </c>
      <c r="H92" s="37">
        <f t="shared" si="11"/>
        <v>141</v>
      </c>
      <c r="I92" s="37" t="str">
        <f t="shared" si="13"/>
        <v>121-180 DAYS</v>
      </c>
      <c r="J92" s="37" t="str">
        <f t="shared" si="12"/>
        <v>0-180 DAYS</v>
      </c>
      <c r="K92" t="s">
        <v>1730</v>
      </c>
      <c r="M92" s="158" t="s">
        <v>4900</v>
      </c>
      <c r="N92" s="158">
        <v>557732.65</v>
      </c>
    </row>
    <row r="93" spans="1:14" x14ac:dyDescent="0.35">
      <c r="A93" s="2" t="s">
        <v>1085</v>
      </c>
      <c r="B93" s="2" t="s">
        <v>790</v>
      </c>
      <c r="C93" s="18" t="s">
        <v>522</v>
      </c>
      <c r="D93" s="37" t="s">
        <v>507</v>
      </c>
      <c r="E93" s="18" t="s">
        <v>4880</v>
      </c>
      <c r="F93" s="19">
        <v>46100</v>
      </c>
      <c r="G93" s="179">
        <v>31380</v>
      </c>
      <c r="H93" s="37">
        <f t="shared" si="11"/>
        <v>135</v>
      </c>
      <c r="I93" s="37" t="str">
        <f t="shared" si="13"/>
        <v>121-180 DAYS</v>
      </c>
      <c r="J93" s="37" t="str">
        <f t="shared" si="12"/>
        <v>0-180 DAYS</v>
      </c>
      <c r="K93" t="s">
        <v>1730</v>
      </c>
      <c r="M93" s="158" t="s">
        <v>4903</v>
      </c>
      <c r="N93" s="158">
        <v>31380</v>
      </c>
    </row>
    <row r="94" spans="1:14" x14ac:dyDescent="0.35">
      <c r="A94" s="2" t="s">
        <v>1085</v>
      </c>
      <c r="B94" s="2" t="s">
        <v>790</v>
      </c>
      <c r="C94" s="18" t="s">
        <v>650</v>
      </c>
      <c r="D94" s="37" t="s">
        <v>507</v>
      </c>
      <c r="E94" s="18" t="s">
        <v>4884</v>
      </c>
      <c r="F94" s="19">
        <v>46112</v>
      </c>
      <c r="G94" s="179">
        <v>4074499.87</v>
      </c>
      <c r="H94" s="37">
        <f t="shared" si="11"/>
        <v>123</v>
      </c>
      <c r="I94" s="37" t="str">
        <f t="shared" si="13"/>
        <v>121-180 DAYS</v>
      </c>
      <c r="J94" s="37" t="str">
        <f t="shared" si="12"/>
        <v>0-180 DAYS</v>
      </c>
      <c r="K94" t="s">
        <v>1730</v>
      </c>
      <c r="M94" s="158" t="s">
        <v>4896</v>
      </c>
      <c r="N94" s="158">
        <v>4074499.87</v>
      </c>
    </row>
    <row r="95" spans="1:14" x14ac:dyDescent="0.35">
      <c r="A95" s="2" t="s">
        <v>477</v>
      </c>
      <c r="B95" s="2" t="s">
        <v>790</v>
      </c>
      <c r="C95" s="18" t="s">
        <v>4780</v>
      </c>
      <c r="D95" s="18" t="s">
        <v>4783</v>
      </c>
      <c r="E95" s="18" t="s">
        <v>4888</v>
      </c>
      <c r="F95" s="19">
        <v>46106</v>
      </c>
      <c r="G95" s="179">
        <f>-94781+286423.18</f>
        <v>191642.18</v>
      </c>
      <c r="H95" s="37">
        <f t="shared" si="11"/>
        <v>129</v>
      </c>
      <c r="I95" s="37" t="str">
        <f>IF(H95&lt;91,"1-90 DAYS",IF(H95&lt;121,"91-120DAYS",IF(H95&lt;181,"121-180 DAYS","More than 180 Days")))</f>
        <v>121-180 DAYS</v>
      </c>
      <c r="J95" s="37" t="str">
        <f t="shared" si="12"/>
        <v>0-180 DAYS</v>
      </c>
      <c r="M95" s="158" t="s">
        <v>4907</v>
      </c>
      <c r="N95" s="158">
        <v>286423.18</v>
      </c>
    </row>
    <row r="96" spans="1:14" x14ac:dyDescent="0.35">
      <c r="A96" s="2" t="s">
        <v>477</v>
      </c>
      <c r="B96" s="2" t="s">
        <v>790</v>
      </c>
      <c r="C96" s="18" t="s">
        <v>4460</v>
      </c>
      <c r="D96" s="18" t="s">
        <v>4538</v>
      </c>
      <c r="E96" s="18" t="s">
        <v>4889</v>
      </c>
      <c r="F96" s="19">
        <v>46107</v>
      </c>
      <c r="G96" s="179">
        <f>2585000-2190000</f>
        <v>395000</v>
      </c>
      <c r="H96" s="37">
        <f t="shared" si="11"/>
        <v>128</v>
      </c>
      <c r="I96" s="37" t="str">
        <f t="shared" ref="I96:I99" si="14">IF(H96&lt;91,"1-90 DAYS",IF(H96&lt;121,"91-120DAYS",IF(H96&lt;181,"121-180 DAYS","More than 180 Days")))</f>
        <v>121-180 DAYS</v>
      </c>
      <c r="J96" s="37" t="str">
        <f t="shared" si="12"/>
        <v>0-180 DAYS</v>
      </c>
      <c r="M96" s="158" t="s">
        <v>4908</v>
      </c>
      <c r="N96" s="158">
        <v>395000</v>
      </c>
    </row>
    <row r="97" spans="1:14" x14ac:dyDescent="0.35">
      <c r="A97" s="2" t="s">
        <v>477</v>
      </c>
      <c r="B97" s="2" t="s">
        <v>790</v>
      </c>
      <c r="C97" s="18" t="s">
        <v>1838</v>
      </c>
      <c r="D97" s="18" t="s">
        <v>2001</v>
      </c>
      <c r="E97" s="18" t="s">
        <v>4890</v>
      </c>
      <c r="F97" s="19">
        <v>46112</v>
      </c>
      <c r="G97" s="179">
        <f>1322276-884519</f>
        <v>437757</v>
      </c>
      <c r="H97" s="37">
        <f t="shared" si="11"/>
        <v>123</v>
      </c>
      <c r="I97" s="37" t="str">
        <f t="shared" si="14"/>
        <v>121-180 DAYS</v>
      </c>
      <c r="J97" s="37" t="str">
        <f t="shared" si="12"/>
        <v>0-180 DAYS</v>
      </c>
      <c r="M97" s="158" t="s">
        <v>4896</v>
      </c>
      <c r="N97" s="158">
        <v>437757</v>
      </c>
    </row>
    <row r="98" spans="1:14" x14ac:dyDescent="0.35">
      <c r="A98" s="2" t="s">
        <v>477</v>
      </c>
      <c r="B98" s="2" t="s">
        <v>790</v>
      </c>
      <c r="C98" s="18" t="s">
        <v>4745</v>
      </c>
      <c r="D98" s="18" t="s">
        <v>4751</v>
      </c>
      <c r="E98" s="18" t="s">
        <v>4891</v>
      </c>
      <c r="F98" s="19">
        <v>46083</v>
      </c>
      <c r="G98" s="179">
        <v>114651.16</v>
      </c>
      <c r="H98" s="37">
        <f t="shared" si="11"/>
        <v>152</v>
      </c>
      <c r="I98" s="37" t="str">
        <f t="shared" si="14"/>
        <v>121-180 DAYS</v>
      </c>
      <c r="J98" s="37" t="str">
        <f t="shared" si="12"/>
        <v>0-180 DAYS</v>
      </c>
      <c r="M98" s="158" t="s">
        <v>4897</v>
      </c>
      <c r="N98" s="158">
        <v>114651.16</v>
      </c>
    </row>
    <row r="99" spans="1:14" x14ac:dyDescent="0.35">
      <c r="A99" s="2" t="s">
        <v>477</v>
      </c>
      <c r="B99" s="2" t="s">
        <v>790</v>
      </c>
      <c r="C99" s="18" t="s">
        <v>263</v>
      </c>
      <c r="D99" s="18" t="s">
        <v>264</v>
      </c>
      <c r="E99" s="18" t="s">
        <v>4892</v>
      </c>
      <c r="F99" s="19">
        <v>46092</v>
      </c>
      <c r="G99" s="179">
        <v>855186.12</v>
      </c>
      <c r="H99" s="37">
        <f t="shared" si="11"/>
        <v>143</v>
      </c>
      <c r="I99" s="37" t="str">
        <f t="shared" si="14"/>
        <v>121-180 DAYS</v>
      </c>
      <c r="J99" s="37" t="str">
        <f t="shared" si="12"/>
        <v>0-180 DAYS</v>
      </c>
      <c r="M99" s="158" t="s">
        <v>4895</v>
      </c>
      <c r="N99" s="158">
        <v>855186.12</v>
      </c>
    </row>
    <row r="100" spans="1:14" x14ac:dyDescent="0.35">
      <c r="A100" s="2" t="s">
        <v>1085</v>
      </c>
      <c r="B100" s="2" t="s">
        <v>790</v>
      </c>
      <c r="C100" s="18" t="s">
        <v>540</v>
      </c>
      <c r="D100" s="37" t="s">
        <v>507</v>
      </c>
      <c r="E100" s="18" t="s">
        <v>4919</v>
      </c>
      <c r="F100" s="19">
        <v>46130</v>
      </c>
      <c r="G100" s="179">
        <v>841362.79</v>
      </c>
      <c r="H100" s="37">
        <f t="shared" si="11"/>
        <v>105</v>
      </c>
      <c r="I100" s="37" t="str">
        <f t="shared" ref="I100:I124" si="15">IF(H100&lt;121,"0-120 DAYS",IF(H100&lt;181,"121-180 DAYS","More than 180 Days"))</f>
        <v>0-120 DAYS</v>
      </c>
      <c r="J100" s="37" t="str">
        <f t="shared" si="12"/>
        <v>0-180 DAYS</v>
      </c>
      <c r="K100" t="s">
        <v>1730</v>
      </c>
      <c r="M100" s="158" t="s">
        <v>4976</v>
      </c>
      <c r="N100" s="158">
        <v>841362.79</v>
      </c>
    </row>
    <row r="101" spans="1:14" x14ac:dyDescent="0.35">
      <c r="A101" s="2" t="s">
        <v>1085</v>
      </c>
      <c r="B101" s="2" t="s">
        <v>790</v>
      </c>
      <c r="C101" s="18" t="s">
        <v>548</v>
      </c>
      <c r="D101" s="37" t="s">
        <v>507</v>
      </c>
      <c r="E101" s="18" t="s">
        <v>4920</v>
      </c>
      <c r="F101" s="19">
        <v>46132</v>
      </c>
      <c r="G101" s="179">
        <v>3731440.75</v>
      </c>
      <c r="H101" s="37">
        <f t="shared" si="11"/>
        <v>103</v>
      </c>
      <c r="I101" s="37" t="str">
        <f t="shared" si="15"/>
        <v>0-120 DAYS</v>
      </c>
      <c r="J101" s="37" t="str">
        <f t="shared" si="12"/>
        <v>0-180 DAYS</v>
      </c>
      <c r="K101" t="s">
        <v>1730</v>
      </c>
      <c r="M101" s="158" t="s">
        <v>4977</v>
      </c>
      <c r="N101" s="158">
        <v>3731440.75</v>
      </c>
    </row>
    <row r="102" spans="1:14" x14ac:dyDescent="0.35">
      <c r="A102" s="2" t="s">
        <v>1085</v>
      </c>
      <c r="B102" s="2" t="s">
        <v>790</v>
      </c>
      <c r="C102" s="18" t="s">
        <v>548</v>
      </c>
      <c r="D102" s="37" t="s">
        <v>507</v>
      </c>
      <c r="E102" s="18" t="s">
        <v>4921</v>
      </c>
      <c r="F102" s="19">
        <v>46132</v>
      </c>
      <c r="G102" s="179">
        <v>550264</v>
      </c>
      <c r="H102" s="37">
        <f t="shared" si="11"/>
        <v>103</v>
      </c>
      <c r="I102" s="37" t="str">
        <f t="shared" si="15"/>
        <v>0-120 DAYS</v>
      </c>
      <c r="J102" s="37" t="str">
        <f t="shared" si="12"/>
        <v>0-180 DAYS</v>
      </c>
      <c r="K102" t="s">
        <v>1730</v>
      </c>
      <c r="M102" s="158" t="s">
        <v>4977</v>
      </c>
      <c r="N102" s="158">
        <v>550264</v>
      </c>
    </row>
    <row r="103" spans="1:14" x14ac:dyDescent="0.35">
      <c r="A103" s="2" t="s">
        <v>1085</v>
      </c>
      <c r="B103" s="2" t="s">
        <v>790</v>
      </c>
      <c r="C103" s="18" t="s">
        <v>2066</v>
      </c>
      <c r="D103" s="37" t="s">
        <v>507</v>
      </c>
      <c r="E103" s="18" t="s">
        <v>4922</v>
      </c>
      <c r="F103" s="19">
        <v>46136</v>
      </c>
      <c r="G103" s="179">
        <v>2905071.84</v>
      </c>
      <c r="H103" s="37">
        <f t="shared" si="11"/>
        <v>99</v>
      </c>
      <c r="I103" s="37" t="str">
        <f t="shared" si="15"/>
        <v>0-120 DAYS</v>
      </c>
      <c r="J103" s="37" t="str">
        <f t="shared" si="12"/>
        <v>0-180 DAYS</v>
      </c>
      <c r="K103" t="s">
        <v>1730</v>
      </c>
      <c r="M103" s="158" t="s">
        <v>4981</v>
      </c>
      <c r="N103" s="158">
        <v>2905071.84</v>
      </c>
    </row>
    <row r="104" spans="1:14" x14ac:dyDescent="0.35">
      <c r="A104" s="2" t="s">
        <v>1085</v>
      </c>
      <c r="B104" s="2" t="s">
        <v>790</v>
      </c>
      <c r="C104" s="18" t="s">
        <v>814</v>
      </c>
      <c r="D104" s="37" t="s">
        <v>507</v>
      </c>
      <c r="E104" s="18" t="s">
        <v>4923</v>
      </c>
      <c r="F104" s="19">
        <v>46136</v>
      </c>
      <c r="G104" s="179">
        <v>162364</v>
      </c>
      <c r="H104" s="37">
        <f t="shared" si="11"/>
        <v>99</v>
      </c>
      <c r="I104" s="37" t="str">
        <f t="shared" si="15"/>
        <v>0-120 DAYS</v>
      </c>
      <c r="J104" s="37" t="str">
        <f t="shared" si="12"/>
        <v>0-180 DAYS</v>
      </c>
      <c r="K104" t="s">
        <v>1730</v>
      </c>
      <c r="M104" s="158" t="s">
        <v>4981</v>
      </c>
      <c r="N104" s="158">
        <v>162364</v>
      </c>
    </row>
    <row r="105" spans="1:14" x14ac:dyDescent="0.35">
      <c r="A105" s="2" t="s">
        <v>1085</v>
      </c>
      <c r="B105" s="2" t="s">
        <v>790</v>
      </c>
      <c r="C105" s="18" t="s">
        <v>650</v>
      </c>
      <c r="D105" s="37" t="s">
        <v>507</v>
      </c>
      <c r="E105" s="18" t="s">
        <v>1334</v>
      </c>
      <c r="F105" s="19">
        <v>46136</v>
      </c>
      <c r="G105" s="179">
        <v>4362330.75</v>
      </c>
      <c r="H105" s="37">
        <f t="shared" si="11"/>
        <v>99</v>
      </c>
      <c r="I105" s="37" t="str">
        <f t="shared" si="15"/>
        <v>0-120 DAYS</v>
      </c>
      <c r="J105" s="37" t="str">
        <f t="shared" si="12"/>
        <v>0-180 DAYS</v>
      </c>
      <c r="K105" t="s">
        <v>1730</v>
      </c>
      <c r="M105" s="158" t="s">
        <v>4981</v>
      </c>
      <c r="N105" s="158">
        <v>4362330.75</v>
      </c>
    </row>
    <row r="106" spans="1:14" x14ac:dyDescent="0.35">
      <c r="A106" s="2" t="s">
        <v>1085</v>
      </c>
      <c r="B106" s="2" t="s">
        <v>790</v>
      </c>
      <c r="C106" s="18" t="s">
        <v>600</v>
      </c>
      <c r="D106" s="37" t="s">
        <v>507</v>
      </c>
      <c r="E106" s="18" t="s">
        <v>1335</v>
      </c>
      <c r="F106" s="19">
        <v>46140</v>
      </c>
      <c r="G106" s="179">
        <f>-5387144+5421832.01</f>
        <v>34688.009999999776</v>
      </c>
      <c r="H106" s="37">
        <f t="shared" si="11"/>
        <v>95</v>
      </c>
      <c r="I106" s="37" t="str">
        <f t="shared" si="15"/>
        <v>0-120 DAYS</v>
      </c>
      <c r="J106" s="37" t="str">
        <f t="shared" si="12"/>
        <v>0-180 DAYS</v>
      </c>
      <c r="K106" t="s">
        <v>1730</v>
      </c>
      <c r="M106" s="158" t="s">
        <v>4982</v>
      </c>
      <c r="N106" s="158">
        <v>34688.01</v>
      </c>
    </row>
    <row r="107" spans="1:14" x14ac:dyDescent="0.35">
      <c r="A107" s="2" t="s">
        <v>1085</v>
      </c>
      <c r="B107" s="2" t="s">
        <v>790</v>
      </c>
      <c r="C107" s="18" t="s">
        <v>1244</v>
      </c>
      <c r="D107" s="37" t="s">
        <v>507</v>
      </c>
      <c r="E107" s="18" t="s">
        <v>4924</v>
      </c>
      <c r="F107" s="19">
        <v>46140</v>
      </c>
      <c r="G107" s="179">
        <f>-1626647+3783577.45</f>
        <v>2156930.4500000002</v>
      </c>
      <c r="H107" s="37">
        <f t="shared" si="11"/>
        <v>95</v>
      </c>
      <c r="I107" s="37" t="str">
        <f t="shared" si="15"/>
        <v>0-120 DAYS</v>
      </c>
      <c r="J107" s="37" t="str">
        <f t="shared" si="12"/>
        <v>0-180 DAYS</v>
      </c>
      <c r="K107" t="s">
        <v>1730</v>
      </c>
      <c r="M107" s="158" t="s">
        <v>4982</v>
      </c>
      <c r="N107" s="158">
        <v>2156930.4500000002</v>
      </c>
    </row>
    <row r="108" spans="1:14" x14ac:dyDescent="0.35">
      <c r="A108" s="2" t="s">
        <v>1085</v>
      </c>
      <c r="B108" s="2" t="s">
        <v>790</v>
      </c>
      <c r="C108" s="18" t="s">
        <v>1244</v>
      </c>
      <c r="D108" s="37" t="s">
        <v>507</v>
      </c>
      <c r="E108" s="18" t="s">
        <v>4925</v>
      </c>
      <c r="F108" s="19">
        <v>46141</v>
      </c>
      <c r="G108" s="179">
        <v>3806583.13</v>
      </c>
      <c r="H108" s="37">
        <f t="shared" si="11"/>
        <v>94</v>
      </c>
      <c r="I108" s="37" t="str">
        <f t="shared" si="15"/>
        <v>0-120 DAYS</v>
      </c>
      <c r="J108" s="37" t="str">
        <f t="shared" si="12"/>
        <v>0-180 DAYS</v>
      </c>
      <c r="K108" t="s">
        <v>1730</v>
      </c>
      <c r="M108" s="158" t="s">
        <v>4983</v>
      </c>
      <c r="N108" s="158">
        <v>3806583.13</v>
      </c>
    </row>
    <row r="109" spans="1:14" x14ac:dyDescent="0.35">
      <c r="A109" s="2" t="s">
        <v>1085</v>
      </c>
      <c r="B109" s="2" t="s">
        <v>790</v>
      </c>
      <c r="C109" s="18" t="s">
        <v>3796</v>
      </c>
      <c r="D109" s="37" t="s">
        <v>507</v>
      </c>
      <c r="E109" s="18" t="s">
        <v>4926</v>
      </c>
      <c r="F109" s="19">
        <v>46141</v>
      </c>
      <c r="G109" s="179">
        <v>4975676.16</v>
      </c>
      <c r="H109" s="37">
        <f t="shared" si="11"/>
        <v>94</v>
      </c>
      <c r="I109" s="37" t="str">
        <f t="shared" si="15"/>
        <v>0-120 DAYS</v>
      </c>
      <c r="J109" s="37" t="str">
        <f t="shared" si="12"/>
        <v>0-180 DAYS</v>
      </c>
      <c r="K109" t="s">
        <v>1730</v>
      </c>
      <c r="M109" s="158" t="s">
        <v>4983</v>
      </c>
      <c r="N109" s="158">
        <v>4975676.16</v>
      </c>
    </row>
    <row r="110" spans="1:14" x14ac:dyDescent="0.35">
      <c r="A110" s="2" t="s">
        <v>1085</v>
      </c>
      <c r="B110" s="2" t="s">
        <v>790</v>
      </c>
      <c r="C110" s="18" t="s">
        <v>814</v>
      </c>
      <c r="D110" s="37" t="s">
        <v>507</v>
      </c>
      <c r="E110" s="18" t="s">
        <v>4927</v>
      </c>
      <c r="F110" s="19">
        <v>46142</v>
      </c>
      <c r="G110" s="179">
        <v>325</v>
      </c>
      <c r="H110" s="37">
        <f t="shared" si="11"/>
        <v>93</v>
      </c>
      <c r="I110" s="37" t="str">
        <f t="shared" si="15"/>
        <v>0-120 DAYS</v>
      </c>
      <c r="J110" s="37" t="str">
        <f t="shared" si="12"/>
        <v>0-180 DAYS</v>
      </c>
      <c r="K110" t="s">
        <v>1730</v>
      </c>
      <c r="M110" s="158" t="s">
        <v>4973</v>
      </c>
      <c r="N110" s="158">
        <v>325</v>
      </c>
    </row>
    <row r="111" spans="1:14" x14ac:dyDescent="0.35">
      <c r="A111" s="2" t="s">
        <v>1085</v>
      </c>
      <c r="B111" s="2" t="s">
        <v>790</v>
      </c>
      <c r="C111" s="18" t="s">
        <v>647</v>
      </c>
      <c r="D111" s="37" t="s">
        <v>507</v>
      </c>
      <c r="E111" s="18" t="s">
        <v>4928</v>
      </c>
      <c r="F111" s="19">
        <v>46118</v>
      </c>
      <c r="G111" s="179">
        <f>-1561975+3138077.25</f>
        <v>1576102.25</v>
      </c>
      <c r="H111" s="37">
        <f t="shared" si="11"/>
        <v>117</v>
      </c>
      <c r="I111" s="37" t="str">
        <f t="shared" si="15"/>
        <v>0-120 DAYS</v>
      </c>
      <c r="J111" s="37" t="str">
        <f t="shared" si="12"/>
        <v>0-180 DAYS</v>
      </c>
      <c r="K111" t="s">
        <v>1730</v>
      </c>
      <c r="M111" s="158" t="s">
        <v>4984</v>
      </c>
      <c r="N111" s="158">
        <v>1576102.25</v>
      </c>
    </row>
    <row r="112" spans="1:14" x14ac:dyDescent="0.35">
      <c r="A112" s="2" t="s">
        <v>1085</v>
      </c>
      <c r="B112" s="2" t="s">
        <v>790</v>
      </c>
      <c r="C112" s="18" t="s">
        <v>538</v>
      </c>
      <c r="D112" s="37" t="s">
        <v>507</v>
      </c>
      <c r="E112" s="18" t="s">
        <v>4929</v>
      </c>
      <c r="F112" s="19">
        <v>46120</v>
      </c>
      <c r="G112" s="179">
        <v>4165012.25</v>
      </c>
      <c r="H112" s="37">
        <f t="shared" si="11"/>
        <v>115</v>
      </c>
      <c r="I112" s="37" t="str">
        <f t="shared" si="15"/>
        <v>0-120 DAYS</v>
      </c>
      <c r="J112" s="37" t="str">
        <f t="shared" si="12"/>
        <v>0-180 DAYS</v>
      </c>
      <c r="K112" t="s">
        <v>1730</v>
      </c>
      <c r="M112" s="158" t="s">
        <v>4985</v>
      </c>
      <c r="N112" s="158">
        <v>4165012.25</v>
      </c>
    </row>
    <row r="113" spans="1:14" x14ac:dyDescent="0.35">
      <c r="A113" s="2" t="s">
        <v>1085</v>
      </c>
      <c r="B113" s="2" t="s">
        <v>790</v>
      </c>
      <c r="C113" s="18" t="s">
        <v>538</v>
      </c>
      <c r="D113" s="37" t="s">
        <v>507</v>
      </c>
      <c r="E113" s="18" t="s">
        <v>4930</v>
      </c>
      <c r="F113" s="19">
        <v>46120</v>
      </c>
      <c r="G113" s="179">
        <v>4516228.08</v>
      </c>
      <c r="H113" s="37">
        <f t="shared" si="11"/>
        <v>115</v>
      </c>
      <c r="I113" s="37" t="str">
        <f t="shared" si="15"/>
        <v>0-120 DAYS</v>
      </c>
      <c r="J113" s="37" t="str">
        <f t="shared" si="12"/>
        <v>0-180 DAYS</v>
      </c>
      <c r="K113" t="s">
        <v>1730</v>
      </c>
      <c r="M113" s="158" t="s">
        <v>4985</v>
      </c>
      <c r="N113" s="158">
        <v>4516228.08</v>
      </c>
    </row>
    <row r="114" spans="1:14" x14ac:dyDescent="0.35">
      <c r="A114" s="2" t="s">
        <v>1085</v>
      </c>
      <c r="B114" s="2" t="s">
        <v>790</v>
      </c>
      <c r="C114" s="18" t="s">
        <v>545</v>
      </c>
      <c r="D114" s="37" t="s">
        <v>507</v>
      </c>
      <c r="E114" s="18" t="s">
        <v>4931</v>
      </c>
      <c r="F114" s="19">
        <v>46120</v>
      </c>
      <c r="G114" s="179">
        <f>-219017+4963977.25</f>
        <v>4744960.25</v>
      </c>
      <c r="H114" s="37">
        <f t="shared" si="11"/>
        <v>115</v>
      </c>
      <c r="I114" s="37" t="str">
        <f t="shared" si="15"/>
        <v>0-120 DAYS</v>
      </c>
      <c r="J114" s="37" t="str">
        <f t="shared" si="12"/>
        <v>0-180 DAYS</v>
      </c>
      <c r="K114" t="s">
        <v>1730</v>
      </c>
      <c r="M114" s="158" t="s">
        <v>4985</v>
      </c>
      <c r="N114" s="158">
        <v>4744960.25</v>
      </c>
    </row>
    <row r="115" spans="1:14" x14ac:dyDescent="0.35">
      <c r="A115" s="2" t="s">
        <v>1085</v>
      </c>
      <c r="B115" s="2" t="s">
        <v>790</v>
      </c>
      <c r="C115" s="18" t="s">
        <v>545</v>
      </c>
      <c r="D115" s="37" t="s">
        <v>507</v>
      </c>
      <c r="E115" s="18" t="s">
        <v>4932</v>
      </c>
      <c r="F115" s="19">
        <v>46122</v>
      </c>
      <c r="G115" s="179">
        <v>4942806.22</v>
      </c>
      <c r="H115" s="37">
        <f t="shared" si="11"/>
        <v>113</v>
      </c>
      <c r="I115" s="37" t="str">
        <f t="shared" si="15"/>
        <v>0-120 DAYS</v>
      </c>
      <c r="J115" s="37" t="str">
        <f t="shared" si="12"/>
        <v>0-180 DAYS</v>
      </c>
      <c r="K115" t="s">
        <v>1730</v>
      </c>
      <c r="M115" s="158" t="s">
        <v>4986</v>
      </c>
      <c r="N115" s="158">
        <v>4942806.22</v>
      </c>
    </row>
    <row r="116" spans="1:14" x14ac:dyDescent="0.35">
      <c r="A116" s="2" t="s">
        <v>1085</v>
      </c>
      <c r="B116" s="2" t="s">
        <v>790</v>
      </c>
      <c r="C116" s="18" t="s">
        <v>650</v>
      </c>
      <c r="D116" s="37" t="s">
        <v>507</v>
      </c>
      <c r="E116" s="18" t="s">
        <v>4933</v>
      </c>
      <c r="F116" s="19">
        <v>46126</v>
      </c>
      <c r="G116" s="179">
        <v>3932167.68</v>
      </c>
      <c r="H116" s="37">
        <f t="shared" si="11"/>
        <v>109</v>
      </c>
      <c r="I116" s="37" t="str">
        <f t="shared" si="15"/>
        <v>0-120 DAYS</v>
      </c>
      <c r="J116" s="37" t="str">
        <f t="shared" si="12"/>
        <v>0-180 DAYS</v>
      </c>
      <c r="K116" t="s">
        <v>1730</v>
      </c>
      <c r="M116" s="158" t="s">
        <v>4975</v>
      </c>
      <c r="N116" s="158">
        <v>3932167.68</v>
      </c>
    </row>
    <row r="117" spans="1:14" x14ac:dyDescent="0.35">
      <c r="A117" s="2" t="s">
        <v>1085</v>
      </c>
      <c r="B117" s="2" t="s">
        <v>790</v>
      </c>
      <c r="C117" s="18" t="s">
        <v>1086</v>
      </c>
      <c r="D117" s="37" t="s">
        <v>507</v>
      </c>
      <c r="E117" s="18" t="s">
        <v>4934</v>
      </c>
      <c r="F117" s="19">
        <v>46128</v>
      </c>
      <c r="G117" s="179">
        <v>3085142.78</v>
      </c>
      <c r="H117" s="37">
        <f t="shared" si="11"/>
        <v>107</v>
      </c>
      <c r="I117" s="37" t="str">
        <f t="shared" si="15"/>
        <v>0-120 DAYS</v>
      </c>
      <c r="J117" s="37" t="str">
        <f t="shared" si="12"/>
        <v>0-180 DAYS</v>
      </c>
      <c r="K117" t="s">
        <v>1730</v>
      </c>
      <c r="M117" s="158" t="s">
        <v>4971</v>
      </c>
      <c r="N117" s="158">
        <v>3085142.78</v>
      </c>
    </row>
    <row r="118" spans="1:14" x14ac:dyDescent="0.35">
      <c r="A118" s="2" t="s">
        <v>1085</v>
      </c>
      <c r="B118" s="2" t="s">
        <v>790</v>
      </c>
      <c r="C118" s="18" t="s">
        <v>538</v>
      </c>
      <c r="D118" s="37" t="s">
        <v>507</v>
      </c>
      <c r="E118" s="18" t="s">
        <v>4935</v>
      </c>
      <c r="F118" s="19">
        <v>46128</v>
      </c>
      <c r="G118" s="179">
        <v>4219077.87</v>
      </c>
      <c r="H118" s="37">
        <f t="shared" si="11"/>
        <v>107</v>
      </c>
      <c r="I118" s="37" t="str">
        <f t="shared" si="15"/>
        <v>0-120 DAYS</v>
      </c>
      <c r="J118" s="37" t="str">
        <f t="shared" si="12"/>
        <v>0-180 DAYS</v>
      </c>
      <c r="K118" t="s">
        <v>1730</v>
      </c>
      <c r="M118" s="158" t="s">
        <v>4971</v>
      </c>
      <c r="N118" s="158">
        <v>4219077.87</v>
      </c>
    </row>
    <row r="119" spans="1:14" x14ac:dyDescent="0.35">
      <c r="A119" s="2" t="s">
        <v>1085</v>
      </c>
      <c r="B119" s="2" t="s">
        <v>790</v>
      </c>
      <c r="C119" s="18" t="s">
        <v>538</v>
      </c>
      <c r="D119" s="37" t="s">
        <v>507</v>
      </c>
      <c r="E119" s="18" t="s">
        <v>4936</v>
      </c>
      <c r="F119" s="19">
        <v>46134</v>
      </c>
      <c r="G119" s="179">
        <v>4545399.78</v>
      </c>
      <c r="H119" s="37">
        <f t="shared" si="11"/>
        <v>101</v>
      </c>
      <c r="I119" s="37" t="str">
        <f t="shared" si="15"/>
        <v>0-120 DAYS</v>
      </c>
      <c r="J119" s="37" t="str">
        <f t="shared" si="12"/>
        <v>0-180 DAYS</v>
      </c>
      <c r="K119" t="s">
        <v>1730</v>
      </c>
      <c r="M119" s="158" t="s">
        <v>4979</v>
      </c>
      <c r="N119" s="158">
        <v>4545399.78</v>
      </c>
    </row>
    <row r="120" spans="1:14" x14ac:dyDescent="0.35">
      <c r="A120" s="2" t="s">
        <v>1085</v>
      </c>
      <c r="B120" s="2" t="s">
        <v>790</v>
      </c>
      <c r="C120" s="18" t="s">
        <v>650</v>
      </c>
      <c r="D120" s="37" t="s">
        <v>507</v>
      </c>
      <c r="E120" s="18" t="s">
        <v>4937</v>
      </c>
      <c r="F120" s="19">
        <v>46137</v>
      </c>
      <c r="G120" s="179">
        <v>4589256.96</v>
      </c>
      <c r="H120" s="37">
        <f t="shared" si="11"/>
        <v>98</v>
      </c>
      <c r="I120" s="37" t="str">
        <f t="shared" si="15"/>
        <v>0-120 DAYS</v>
      </c>
      <c r="J120" s="37" t="str">
        <f t="shared" si="12"/>
        <v>0-180 DAYS</v>
      </c>
      <c r="K120" t="s">
        <v>1730</v>
      </c>
      <c r="M120" s="158" t="s">
        <v>4987</v>
      </c>
      <c r="N120" s="158">
        <v>4589256.96</v>
      </c>
    </row>
    <row r="121" spans="1:14" x14ac:dyDescent="0.35">
      <c r="A121" s="2" t="s">
        <v>1085</v>
      </c>
      <c r="B121" s="2" t="s">
        <v>790</v>
      </c>
      <c r="C121" s="18" t="s">
        <v>538</v>
      </c>
      <c r="D121" s="37" t="s">
        <v>507</v>
      </c>
      <c r="E121" s="18" t="s">
        <v>4938</v>
      </c>
      <c r="F121" s="19">
        <v>46140</v>
      </c>
      <c r="G121" s="179">
        <v>4705862.4000000004</v>
      </c>
      <c r="H121" s="37">
        <f t="shared" si="11"/>
        <v>95</v>
      </c>
      <c r="I121" s="37" t="str">
        <f t="shared" si="15"/>
        <v>0-120 DAYS</v>
      </c>
      <c r="J121" s="37" t="str">
        <f t="shared" si="12"/>
        <v>0-180 DAYS</v>
      </c>
      <c r="K121" t="s">
        <v>1730</v>
      </c>
      <c r="M121" s="158" t="s">
        <v>4982</v>
      </c>
      <c r="N121" s="158">
        <v>4705862.4000000004</v>
      </c>
    </row>
    <row r="122" spans="1:14" x14ac:dyDescent="0.35">
      <c r="A122" s="2" t="s">
        <v>1085</v>
      </c>
      <c r="B122" s="2" t="s">
        <v>790</v>
      </c>
      <c r="C122" s="18" t="s">
        <v>814</v>
      </c>
      <c r="D122" s="37" t="s">
        <v>507</v>
      </c>
      <c r="E122" s="18" t="s">
        <v>4939</v>
      </c>
      <c r="F122" s="19">
        <v>46140</v>
      </c>
      <c r="G122" s="179">
        <v>394345.14</v>
      </c>
      <c r="H122" s="37">
        <f t="shared" si="11"/>
        <v>95</v>
      </c>
      <c r="I122" s="37" t="str">
        <f t="shared" si="15"/>
        <v>0-120 DAYS</v>
      </c>
      <c r="J122" s="37" t="str">
        <f t="shared" si="12"/>
        <v>0-180 DAYS</v>
      </c>
      <c r="K122" t="s">
        <v>1730</v>
      </c>
      <c r="M122" s="158" t="s">
        <v>4982</v>
      </c>
      <c r="N122" s="158">
        <v>394345.14</v>
      </c>
    </row>
    <row r="123" spans="1:14" x14ac:dyDescent="0.35">
      <c r="A123" s="2" t="s">
        <v>1085</v>
      </c>
      <c r="B123" s="2" t="s">
        <v>790</v>
      </c>
      <c r="C123" s="18" t="s">
        <v>1086</v>
      </c>
      <c r="D123" s="37" t="s">
        <v>507</v>
      </c>
      <c r="E123" s="18" t="s">
        <v>4940</v>
      </c>
      <c r="F123" s="19">
        <v>46142</v>
      </c>
      <c r="G123" s="179">
        <v>2394413.38</v>
      </c>
      <c r="H123" s="37">
        <f t="shared" si="11"/>
        <v>93</v>
      </c>
      <c r="I123" s="37" t="str">
        <f t="shared" si="15"/>
        <v>0-120 DAYS</v>
      </c>
      <c r="J123" s="37" t="str">
        <f t="shared" si="12"/>
        <v>0-180 DAYS</v>
      </c>
      <c r="K123" t="s">
        <v>1730</v>
      </c>
      <c r="M123" s="158" t="s">
        <v>4973</v>
      </c>
      <c r="N123" s="158">
        <v>2394413.38</v>
      </c>
    </row>
    <row r="124" spans="1:14" x14ac:dyDescent="0.35">
      <c r="A124" s="2" t="s">
        <v>1085</v>
      </c>
      <c r="B124" s="2" t="s">
        <v>790</v>
      </c>
      <c r="C124" s="18" t="s">
        <v>1086</v>
      </c>
      <c r="D124" s="37" t="s">
        <v>507</v>
      </c>
      <c r="E124" s="18" t="s">
        <v>4941</v>
      </c>
      <c r="F124" s="19">
        <v>46142</v>
      </c>
      <c r="G124" s="179">
        <v>112413.4</v>
      </c>
      <c r="H124" s="37">
        <f t="shared" si="11"/>
        <v>93</v>
      </c>
      <c r="I124" s="37" t="str">
        <f t="shared" si="15"/>
        <v>0-120 DAYS</v>
      </c>
      <c r="J124" s="37" t="str">
        <f t="shared" si="12"/>
        <v>0-180 DAYS</v>
      </c>
      <c r="K124" t="s">
        <v>1730</v>
      </c>
      <c r="M124" s="158" t="s">
        <v>4973</v>
      </c>
      <c r="N124" s="158">
        <v>112413.4</v>
      </c>
    </row>
    <row r="125" spans="1:14" x14ac:dyDescent="0.35">
      <c r="A125" s="2" t="s">
        <v>477</v>
      </c>
      <c r="B125" s="2" t="s">
        <v>790</v>
      </c>
      <c r="C125" s="18" t="s">
        <v>3409</v>
      </c>
      <c r="D125" s="18" t="s">
        <v>3060</v>
      </c>
      <c r="E125" s="18" t="s">
        <v>4946</v>
      </c>
      <c r="F125" s="19">
        <v>46129</v>
      </c>
      <c r="G125" s="179">
        <v>60793.599999999999</v>
      </c>
      <c r="H125" s="37">
        <f t="shared" si="11"/>
        <v>106</v>
      </c>
      <c r="I125" s="37" t="str">
        <f t="shared" ref="I125:I130" si="16">IF(H125&lt;91,"1-90 DAYS",IF(H125&lt;121,"91-120DAYS",IF(H125&lt;181,"121-180 DAYS","More than 180 Days")))</f>
        <v>91-120DAYS</v>
      </c>
      <c r="J125" s="37" t="str">
        <f t="shared" si="12"/>
        <v>0-180 DAYS</v>
      </c>
      <c r="K125" t="s">
        <v>1730</v>
      </c>
      <c r="M125" s="158" t="s">
        <v>4991</v>
      </c>
      <c r="N125" s="158">
        <v>60793.599999999999</v>
      </c>
    </row>
    <row r="126" spans="1:14" x14ac:dyDescent="0.35">
      <c r="A126" s="2" t="s">
        <v>477</v>
      </c>
      <c r="B126" s="2" t="s">
        <v>790</v>
      </c>
      <c r="C126" s="18" t="s">
        <v>263</v>
      </c>
      <c r="D126" s="18" t="s">
        <v>264</v>
      </c>
      <c r="E126" s="18" t="s">
        <v>4947</v>
      </c>
      <c r="F126" s="19">
        <v>46114</v>
      </c>
      <c r="G126" s="179">
        <v>1106497.8</v>
      </c>
      <c r="H126" s="37">
        <f t="shared" si="11"/>
        <v>121</v>
      </c>
      <c r="I126" s="37" t="str">
        <f t="shared" si="16"/>
        <v>121-180 DAYS</v>
      </c>
      <c r="J126" s="37" t="str">
        <f t="shared" si="12"/>
        <v>0-180 DAYS</v>
      </c>
      <c r="K126" t="s">
        <v>1730</v>
      </c>
      <c r="M126" s="158" t="s">
        <v>4988</v>
      </c>
      <c r="N126" s="158">
        <v>1106497.8</v>
      </c>
    </row>
    <row r="127" spans="1:14" x14ac:dyDescent="0.35">
      <c r="A127" s="2" t="s">
        <v>477</v>
      </c>
      <c r="B127" s="2" t="s">
        <v>790</v>
      </c>
      <c r="C127" s="18" t="s">
        <v>263</v>
      </c>
      <c r="D127" s="18" t="s">
        <v>264</v>
      </c>
      <c r="E127" s="18" t="s">
        <v>4948</v>
      </c>
      <c r="F127" s="19">
        <v>46114</v>
      </c>
      <c r="G127" s="179">
        <v>166103.88</v>
      </c>
      <c r="H127" s="37">
        <f t="shared" si="11"/>
        <v>121</v>
      </c>
      <c r="I127" s="37" t="str">
        <f t="shared" si="16"/>
        <v>121-180 DAYS</v>
      </c>
      <c r="J127" s="37" t="str">
        <f t="shared" si="12"/>
        <v>0-180 DAYS</v>
      </c>
      <c r="K127" t="s">
        <v>1730</v>
      </c>
      <c r="M127" s="158" t="s">
        <v>4988</v>
      </c>
      <c r="N127" s="158">
        <v>166103.88</v>
      </c>
    </row>
    <row r="128" spans="1:14" x14ac:dyDescent="0.35">
      <c r="A128" s="2" t="s">
        <v>477</v>
      </c>
      <c r="B128" s="2" t="s">
        <v>790</v>
      </c>
      <c r="C128" s="18" t="s">
        <v>4745</v>
      </c>
      <c r="D128" s="18" t="s">
        <v>4751</v>
      </c>
      <c r="E128" s="18" t="s">
        <v>4949</v>
      </c>
      <c r="F128" s="19">
        <v>46120</v>
      </c>
      <c r="G128" s="179">
        <v>95325.119999999995</v>
      </c>
      <c r="H128" s="37">
        <f t="shared" si="11"/>
        <v>115</v>
      </c>
      <c r="I128" s="37" t="str">
        <f t="shared" si="16"/>
        <v>91-120DAYS</v>
      </c>
      <c r="J128" s="37" t="str">
        <f t="shared" si="12"/>
        <v>0-180 DAYS</v>
      </c>
      <c r="K128" t="s">
        <v>1730</v>
      </c>
      <c r="M128" s="158" t="s">
        <v>4985</v>
      </c>
      <c r="N128" s="158">
        <v>95325.119999999995</v>
      </c>
    </row>
    <row r="129" spans="1:14" x14ac:dyDescent="0.35">
      <c r="A129" s="2" t="s">
        <v>477</v>
      </c>
      <c r="B129" s="2" t="s">
        <v>790</v>
      </c>
      <c r="C129" s="18" t="s">
        <v>4745</v>
      </c>
      <c r="D129" s="18" t="s">
        <v>4751</v>
      </c>
      <c r="E129" s="18" t="s">
        <v>4950</v>
      </c>
      <c r="F129" s="19">
        <v>46129</v>
      </c>
      <c r="G129" s="179">
        <v>74502.84</v>
      </c>
      <c r="H129" s="37">
        <f t="shared" si="11"/>
        <v>106</v>
      </c>
      <c r="I129" s="37" t="str">
        <f t="shared" si="16"/>
        <v>91-120DAYS</v>
      </c>
      <c r="J129" s="37" t="str">
        <f t="shared" si="12"/>
        <v>0-180 DAYS</v>
      </c>
      <c r="K129" t="s">
        <v>1730</v>
      </c>
      <c r="M129" s="158" t="s">
        <v>4991</v>
      </c>
      <c r="N129" s="158">
        <v>74502.84</v>
      </c>
    </row>
    <row r="130" spans="1:14" x14ac:dyDescent="0.35">
      <c r="A130" s="88" t="s">
        <v>477</v>
      </c>
      <c r="B130" s="88" t="s">
        <v>790</v>
      </c>
      <c r="C130" t="s">
        <v>1838</v>
      </c>
      <c r="D130" t="s">
        <v>2001</v>
      </c>
      <c r="E130" t="s">
        <v>1544</v>
      </c>
      <c r="F130" s="35">
        <v>46144</v>
      </c>
      <c r="G130" s="47">
        <v>884518.56</v>
      </c>
      <c r="H130" s="37">
        <f t="shared" si="11"/>
        <v>91</v>
      </c>
      <c r="I130" s="37" t="str">
        <f t="shared" si="16"/>
        <v>91-120DAYS</v>
      </c>
      <c r="J130" s="37" t="str">
        <f t="shared" si="12"/>
        <v>0-180 DAYS</v>
      </c>
      <c r="K130" t="s">
        <v>1730</v>
      </c>
      <c r="M130" s="158" t="s">
        <v>5197</v>
      </c>
      <c r="N130" s="158">
        <v>884518.56</v>
      </c>
    </row>
    <row r="131" spans="1:14" x14ac:dyDescent="0.35">
      <c r="A131" s="88" t="s">
        <v>1085</v>
      </c>
      <c r="B131" s="88" t="s">
        <v>790</v>
      </c>
      <c r="C131" t="s">
        <v>538</v>
      </c>
      <c r="D131" s="37" t="s">
        <v>507</v>
      </c>
      <c r="E131" t="s">
        <v>5016</v>
      </c>
      <c r="F131" s="35">
        <v>46148</v>
      </c>
      <c r="G131" s="47">
        <v>4528872</v>
      </c>
      <c r="H131" s="37">
        <f t="shared" si="11"/>
        <v>87</v>
      </c>
      <c r="I131" s="37" t="str">
        <f t="shared" ref="I131:I140" si="17">IF(H131&lt;121,"0-120 DAYS",IF(H131&lt;181,"121-180 DAYS","More than 180 Days"))</f>
        <v>0-120 DAYS</v>
      </c>
      <c r="J131" s="37" t="str">
        <f t="shared" si="12"/>
        <v>0-180 DAYS</v>
      </c>
      <c r="K131" t="s">
        <v>1730</v>
      </c>
      <c r="M131" s="158" t="s">
        <v>5199</v>
      </c>
      <c r="N131" s="158">
        <v>4528872</v>
      </c>
    </row>
    <row r="132" spans="1:14" x14ac:dyDescent="0.35">
      <c r="A132" s="88" t="s">
        <v>1085</v>
      </c>
      <c r="B132" s="88" t="s">
        <v>790</v>
      </c>
      <c r="C132" t="s">
        <v>536</v>
      </c>
      <c r="D132" s="37" t="s">
        <v>507</v>
      </c>
      <c r="E132" t="s">
        <v>5017</v>
      </c>
      <c r="F132" s="35">
        <v>46149</v>
      </c>
      <c r="G132" s="47">
        <f>-82352+4039064.64</f>
        <v>3956712.64</v>
      </c>
      <c r="H132" s="37">
        <f t="shared" ref="H132:H195" si="18">$H$1-F132+1</f>
        <v>86</v>
      </c>
      <c r="I132" s="37" t="str">
        <f t="shared" si="17"/>
        <v>0-120 DAYS</v>
      </c>
      <c r="J132" s="37" t="str">
        <f t="shared" si="12"/>
        <v>0-180 DAYS</v>
      </c>
      <c r="K132" t="s">
        <v>1730</v>
      </c>
      <c r="M132" s="158" t="s">
        <v>5200</v>
      </c>
      <c r="N132" s="158">
        <v>4039064.64</v>
      </c>
    </row>
    <row r="133" spans="1:14" x14ac:dyDescent="0.35">
      <c r="A133" s="88" t="s">
        <v>477</v>
      </c>
      <c r="B133" s="88" t="s">
        <v>790</v>
      </c>
      <c r="C133" t="s">
        <v>4780</v>
      </c>
      <c r="D133" t="s">
        <v>4783</v>
      </c>
      <c r="E133" t="s">
        <v>5018</v>
      </c>
      <c r="F133" s="35">
        <v>46150</v>
      </c>
      <c r="G133" s="47">
        <v>193911.66</v>
      </c>
      <c r="H133" s="37">
        <f t="shared" si="18"/>
        <v>85</v>
      </c>
      <c r="I133" s="37" t="str">
        <f t="shared" ref="I133" si="19">IF(H133&lt;91,"1-90 DAYS",IF(H133&lt;121,"91-120DAYS",IF(H133&lt;181,"121-180 DAYS","More than 180 Days")))</f>
        <v>1-90 DAYS</v>
      </c>
      <c r="J133" s="37" t="str">
        <f t="shared" si="12"/>
        <v>0-180 DAYS</v>
      </c>
      <c r="K133" t="s">
        <v>1730</v>
      </c>
      <c r="M133" s="158" t="s">
        <v>5201</v>
      </c>
      <c r="N133" s="158">
        <v>193911.66</v>
      </c>
    </row>
    <row r="134" spans="1:14" x14ac:dyDescent="0.35">
      <c r="A134" s="88" t="s">
        <v>1085</v>
      </c>
      <c r="B134" s="88" t="s">
        <v>790</v>
      </c>
      <c r="C134" t="s">
        <v>814</v>
      </c>
      <c r="D134" t="s">
        <v>5019</v>
      </c>
      <c r="E134" t="s">
        <v>5020</v>
      </c>
      <c r="F134" s="35">
        <v>46150</v>
      </c>
      <c r="G134" s="47">
        <v>5775</v>
      </c>
      <c r="H134" s="37">
        <f t="shared" si="18"/>
        <v>85</v>
      </c>
      <c r="I134" s="37" t="str">
        <f t="shared" si="17"/>
        <v>0-120 DAYS</v>
      </c>
      <c r="J134" s="37" t="str">
        <f t="shared" ref="J134:J197" si="20">IF(H134&lt;180,"0-180 DAYS","More than 180 Days")</f>
        <v>0-180 DAYS</v>
      </c>
      <c r="K134" t="s">
        <v>1730</v>
      </c>
      <c r="M134" s="158" t="s">
        <v>5201</v>
      </c>
      <c r="N134" s="158">
        <v>5775</v>
      </c>
    </row>
    <row r="135" spans="1:14" x14ac:dyDescent="0.35">
      <c r="A135" s="88" t="s">
        <v>1085</v>
      </c>
      <c r="B135" s="88" t="s">
        <v>790</v>
      </c>
      <c r="C135" t="s">
        <v>1055</v>
      </c>
      <c r="D135" s="37" t="s">
        <v>507</v>
      </c>
      <c r="E135" t="s">
        <v>5021</v>
      </c>
      <c r="F135" s="35">
        <v>46152</v>
      </c>
      <c r="G135" s="47">
        <v>4741419.38</v>
      </c>
      <c r="H135" s="37">
        <f t="shared" si="18"/>
        <v>83</v>
      </c>
      <c r="I135" s="37" t="str">
        <f t="shared" si="17"/>
        <v>0-120 DAYS</v>
      </c>
      <c r="J135" s="37" t="str">
        <f t="shared" si="20"/>
        <v>0-180 DAYS</v>
      </c>
      <c r="K135" t="s">
        <v>1730</v>
      </c>
      <c r="M135" s="158" t="s">
        <v>5202</v>
      </c>
      <c r="N135" s="158">
        <v>4741419.38</v>
      </c>
    </row>
    <row r="136" spans="1:14" x14ac:dyDescent="0.35">
      <c r="A136" s="88" t="s">
        <v>1085</v>
      </c>
      <c r="B136" s="88" t="s">
        <v>790</v>
      </c>
      <c r="C136" t="s">
        <v>631</v>
      </c>
      <c r="D136" s="37" t="s">
        <v>507</v>
      </c>
      <c r="E136" t="s">
        <v>5022</v>
      </c>
      <c r="F136" s="35">
        <v>46153</v>
      </c>
      <c r="G136" s="47">
        <v>4522980</v>
      </c>
      <c r="H136" s="37">
        <f t="shared" si="18"/>
        <v>82</v>
      </c>
      <c r="I136" s="37" t="str">
        <f t="shared" si="17"/>
        <v>0-120 DAYS</v>
      </c>
      <c r="J136" s="37" t="str">
        <f t="shared" si="20"/>
        <v>0-180 DAYS</v>
      </c>
      <c r="K136" t="s">
        <v>1730</v>
      </c>
      <c r="M136" s="158" t="s">
        <v>5203</v>
      </c>
      <c r="N136" s="158">
        <v>4522980</v>
      </c>
    </row>
    <row r="137" spans="1:14" x14ac:dyDescent="0.35">
      <c r="A137" s="88" t="s">
        <v>477</v>
      </c>
      <c r="B137" s="88" t="s">
        <v>790</v>
      </c>
      <c r="C137" t="s">
        <v>4780</v>
      </c>
      <c r="D137" t="s">
        <v>4783</v>
      </c>
      <c r="E137" t="s">
        <v>1852</v>
      </c>
      <c r="F137" s="35">
        <v>46154</v>
      </c>
      <c r="G137" s="47">
        <v>158025.98000000001</v>
      </c>
      <c r="H137" s="37">
        <f t="shared" si="18"/>
        <v>81</v>
      </c>
      <c r="I137" s="37" t="str">
        <f t="shared" ref="I137" si="21">IF(H137&lt;91,"1-90 DAYS",IF(H137&lt;121,"91-120DAYS",IF(H137&lt;181,"121-180 DAYS","More than 180 Days")))</f>
        <v>1-90 DAYS</v>
      </c>
      <c r="J137" s="37" t="str">
        <f t="shared" si="20"/>
        <v>0-180 DAYS</v>
      </c>
      <c r="K137" t="s">
        <v>1730</v>
      </c>
      <c r="M137" s="158" t="s">
        <v>5204</v>
      </c>
      <c r="N137" s="158">
        <v>158025.98000000001</v>
      </c>
    </row>
    <row r="138" spans="1:14" x14ac:dyDescent="0.35">
      <c r="A138" s="88" t="s">
        <v>1085</v>
      </c>
      <c r="B138" s="88" t="s">
        <v>790</v>
      </c>
      <c r="C138" t="s">
        <v>1086</v>
      </c>
      <c r="D138" s="37" t="s">
        <v>507</v>
      </c>
      <c r="E138" t="s">
        <v>5023</v>
      </c>
      <c r="F138" s="35">
        <v>46155</v>
      </c>
      <c r="G138" s="47">
        <v>1116455.56</v>
      </c>
      <c r="H138" s="37">
        <f t="shared" si="18"/>
        <v>80</v>
      </c>
      <c r="I138" s="37" t="str">
        <f t="shared" si="17"/>
        <v>0-120 DAYS</v>
      </c>
      <c r="J138" s="37" t="str">
        <f t="shared" si="20"/>
        <v>0-180 DAYS</v>
      </c>
      <c r="K138" t="s">
        <v>1730</v>
      </c>
      <c r="M138" s="158" t="s">
        <v>5205</v>
      </c>
      <c r="N138" s="158">
        <v>1116455.56</v>
      </c>
    </row>
    <row r="139" spans="1:14" x14ac:dyDescent="0.35">
      <c r="A139" s="88" t="s">
        <v>1085</v>
      </c>
      <c r="B139" s="88" t="s">
        <v>790</v>
      </c>
      <c r="C139" t="s">
        <v>1086</v>
      </c>
      <c r="D139" s="37" t="s">
        <v>507</v>
      </c>
      <c r="E139" t="s">
        <v>5024</v>
      </c>
      <c r="F139" s="35">
        <v>46155</v>
      </c>
      <c r="G139" s="47">
        <v>856138.44</v>
      </c>
      <c r="H139" s="37">
        <f t="shared" si="18"/>
        <v>80</v>
      </c>
      <c r="I139" s="37" t="str">
        <f t="shared" si="17"/>
        <v>0-120 DAYS</v>
      </c>
      <c r="J139" s="37" t="str">
        <f t="shared" si="20"/>
        <v>0-180 DAYS</v>
      </c>
      <c r="K139" t="s">
        <v>1730</v>
      </c>
      <c r="M139" s="158" t="s">
        <v>5205</v>
      </c>
      <c r="N139" s="158">
        <v>856138.44</v>
      </c>
    </row>
    <row r="140" spans="1:14" x14ac:dyDescent="0.35">
      <c r="A140" s="88" t="s">
        <v>1085</v>
      </c>
      <c r="B140" s="88" t="s">
        <v>790</v>
      </c>
      <c r="C140" t="s">
        <v>1086</v>
      </c>
      <c r="D140" s="37" t="s">
        <v>507</v>
      </c>
      <c r="E140" t="s">
        <v>5025</v>
      </c>
      <c r="F140" s="35">
        <v>46155</v>
      </c>
      <c r="G140" s="47">
        <v>942012.45</v>
      </c>
      <c r="H140" s="37">
        <f t="shared" si="18"/>
        <v>80</v>
      </c>
      <c r="I140" s="37" t="str">
        <f t="shared" si="17"/>
        <v>0-120 DAYS</v>
      </c>
      <c r="J140" s="37" t="str">
        <f t="shared" si="20"/>
        <v>0-180 DAYS</v>
      </c>
      <c r="K140" t="s">
        <v>1730</v>
      </c>
      <c r="M140" s="158" t="s">
        <v>5205</v>
      </c>
      <c r="N140" s="158">
        <v>942012.45</v>
      </c>
    </row>
    <row r="141" spans="1:14" x14ac:dyDescent="0.35">
      <c r="A141" s="88" t="s">
        <v>477</v>
      </c>
      <c r="B141" s="88" t="s">
        <v>790</v>
      </c>
      <c r="C141" t="s">
        <v>4780</v>
      </c>
      <c r="D141" t="s">
        <v>4783</v>
      </c>
      <c r="E141" t="s">
        <v>1869</v>
      </c>
      <c r="F141" s="35">
        <v>46157</v>
      </c>
      <c r="G141" s="47">
        <v>218513.33</v>
      </c>
      <c r="H141" s="37">
        <f t="shared" si="18"/>
        <v>78</v>
      </c>
      <c r="I141" s="37" t="str">
        <f t="shared" ref="I141" si="22">IF(H141&lt;91,"1-90 DAYS",IF(H141&lt;121,"91-120DAYS",IF(H141&lt;181,"121-180 DAYS","More than 180 Days")))</f>
        <v>1-90 DAYS</v>
      </c>
      <c r="J141" s="37" t="str">
        <f t="shared" si="20"/>
        <v>0-180 DAYS</v>
      </c>
      <c r="K141" t="s">
        <v>1730</v>
      </c>
      <c r="M141" s="158" t="s">
        <v>5206</v>
      </c>
      <c r="N141" s="158">
        <v>218513.33</v>
      </c>
    </row>
    <row r="142" spans="1:14" x14ac:dyDescent="0.35">
      <c r="A142" s="88" t="s">
        <v>4333</v>
      </c>
      <c r="B142" s="88" t="s">
        <v>789</v>
      </c>
      <c r="C142" t="s">
        <v>125</v>
      </c>
      <c r="D142" t="s">
        <v>57</v>
      </c>
      <c r="E142" t="s">
        <v>1872</v>
      </c>
      <c r="F142" s="35">
        <v>46157</v>
      </c>
      <c r="G142" s="47">
        <f>-7779+853231.05</f>
        <v>845452.05</v>
      </c>
      <c r="H142" s="37">
        <f t="shared" si="18"/>
        <v>78</v>
      </c>
      <c r="I142" s="37" t="str">
        <f>IF(H142&lt;91,"1-90 DAYS",IF(H142&lt;121,"91-120DAYS",IF(H142&lt;181,"121-180 DAYS","More than 180 Days")))</f>
        <v>1-90 DAYS</v>
      </c>
      <c r="J142" s="37" t="str">
        <f t="shared" si="20"/>
        <v>0-180 DAYS</v>
      </c>
      <c r="M142" s="158" t="s">
        <v>5206</v>
      </c>
      <c r="N142" s="158">
        <v>845452.05</v>
      </c>
    </row>
    <row r="143" spans="1:14" x14ac:dyDescent="0.35">
      <c r="A143" s="88" t="s">
        <v>4333</v>
      </c>
      <c r="B143" s="88" t="s">
        <v>789</v>
      </c>
      <c r="C143" t="s">
        <v>125</v>
      </c>
      <c r="D143" t="s">
        <v>57</v>
      </c>
      <c r="E143" t="s">
        <v>5026</v>
      </c>
      <c r="F143" s="35">
        <v>46158</v>
      </c>
      <c r="G143" s="47">
        <v>1131.8</v>
      </c>
      <c r="H143" s="37">
        <f t="shared" si="18"/>
        <v>77</v>
      </c>
      <c r="I143" s="37" t="str">
        <f t="shared" ref="I143:I155" si="23">IF(H143&lt;91,"1-90 DAYS",IF(H143&lt;121,"91-120DAYS",IF(H143&lt;181,"121-180 DAYS","More than 180 Days")))</f>
        <v>1-90 DAYS</v>
      </c>
      <c r="J143" s="37" t="str">
        <f t="shared" si="20"/>
        <v>0-180 DAYS</v>
      </c>
      <c r="M143" s="158" t="s">
        <v>5207</v>
      </c>
      <c r="N143" s="158">
        <v>1131.8</v>
      </c>
    </row>
    <row r="144" spans="1:14" x14ac:dyDescent="0.35">
      <c r="A144" s="88" t="s">
        <v>4333</v>
      </c>
      <c r="B144" s="88" t="s">
        <v>789</v>
      </c>
      <c r="C144" t="s">
        <v>125</v>
      </c>
      <c r="D144" t="s">
        <v>57</v>
      </c>
      <c r="E144" t="s">
        <v>5027</v>
      </c>
      <c r="F144" s="35">
        <v>46158</v>
      </c>
      <c r="G144" s="47">
        <v>224632.34</v>
      </c>
      <c r="H144" s="37">
        <f t="shared" si="18"/>
        <v>77</v>
      </c>
      <c r="I144" s="37" t="str">
        <f t="shared" si="23"/>
        <v>1-90 DAYS</v>
      </c>
      <c r="J144" s="37" t="str">
        <f t="shared" si="20"/>
        <v>0-180 DAYS</v>
      </c>
      <c r="M144" s="158" t="s">
        <v>5207</v>
      </c>
      <c r="N144" s="158">
        <v>224632.34</v>
      </c>
    </row>
    <row r="145" spans="1:14" x14ac:dyDescent="0.35">
      <c r="A145" s="88" t="s">
        <v>4333</v>
      </c>
      <c r="B145" s="88" t="s">
        <v>789</v>
      </c>
      <c r="C145" t="s">
        <v>125</v>
      </c>
      <c r="D145" t="s">
        <v>57</v>
      </c>
      <c r="E145" t="s">
        <v>1879</v>
      </c>
      <c r="F145" s="35">
        <v>46158</v>
      </c>
      <c r="G145" s="47">
        <v>31610</v>
      </c>
      <c r="H145" s="37">
        <f t="shared" si="18"/>
        <v>77</v>
      </c>
      <c r="I145" s="37" t="str">
        <f t="shared" si="23"/>
        <v>1-90 DAYS</v>
      </c>
      <c r="J145" s="37" t="str">
        <f t="shared" si="20"/>
        <v>0-180 DAYS</v>
      </c>
      <c r="M145" s="158" t="s">
        <v>5207</v>
      </c>
      <c r="N145" s="158">
        <v>31610</v>
      </c>
    </row>
    <row r="146" spans="1:14" x14ac:dyDescent="0.35">
      <c r="A146" s="88" t="s">
        <v>4333</v>
      </c>
      <c r="B146" s="88" t="s">
        <v>789</v>
      </c>
      <c r="C146" t="s">
        <v>125</v>
      </c>
      <c r="D146" t="s">
        <v>57</v>
      </c>
      <c r="E146" t="s">
        <v>1880</v>
      </c>
      <c r="F146" s="35">
        <v>46159</v>
      </c>
      <c r="G146" s="47">
        <v>256825.68</v>
      </c>
      <c r="H146" s="37">
        <f t="shared" si="18"/>
        <v>76</v>
      </c>
      <c r="I146" s="37" t="str">
        <f t="shared" si="23"/>
        <v>1-90 DAYS</v>
      </c>
      <c r="J146" s="37" t="str">
        <f t="shared" si="20"/>
        <v>0-180 DAYS</v>
      </c>
      <c r="M146" s="158" t="s">
        <v>5208</v>
      </c>
      <c r="N146" s="158">
        <v>256825.68</v>
      </c>
    </row>
    <row r="147" spans="1:14" x14ac:dyDescent="0.35">
      <c r="A147" s="88" t="s">
        <v>477</v>
      </c>
      <c r="B147" s="88" t="s">
        <v>790</v>
      </c>
      <c r="C147" t="s">
        <v>4780</v>
      </c>
      <c r="D147" t="s">
        <v>4783</v>
      </c>
      <c r="E147" t="s">
        <v>5028</v>
      </c>
      <c r="F147" s="35">
        <v>46160</v>
      </c>
      <c r="G147" s="47">
        <v>192335.07</v>
      </c>
      <c r="H147" s="37">
        <f t="shared" si="18"/>
        <v>75</v>
      </c>
      <c r="I147" s="37" t="str">
        <f t="shared" si="23"/>
        <v>1-90 DAYS</v>
      </c>
      <c r="J147" s="37" t="str">
        <f t="shared" si="20"/>
        <v>0-180 DAYS</v>
      </c>
      <c r="K147" t="s">
        <v>1730</v>
      </c>
      <c r="M147" s="158" t="s">
        <v>5209</v>
      </c>
      <c r="N147" s="158">
        <v>192335.07</v>
      </c>
    </row>
    <row r="148" spans="1:14" x14ac:dyDescent="0.35">
      <c r="A148" s="88" t="s">
        <v>4333</v>
      </c>
      <c r="B148" s="88" t="s">
        <v>789</v>
      </c>
      <c r="C148" t="s">
        <v>125</v>
      </c>
      <c r="D148" t="s">
        <v>57</v>
      </c>
      <c r="E148" t="s">
        <v>1885</v>
      </c>
      <c r="F148" s="35">
        <v>46160</v>
      </c>
      <c r="G148" s="47">
        <v>2263.6</v>
      </c>
      <c r="H148" s="37">
        <f t="shared" si="18"/>
        <v>75</v>
      </c>
      <c r="I148" s="37" t="str">
        <f t="shared" si="23"/>
        <v>1-90 DAYS</v>
      </c>
      <c r="J148" s="37" t="str">
        <f t="shared" si="20"/>
        <v>0-180 DAYS</v>
      </c>
      <c r="M148" s="158" t="s">
        <v>5209</v>
      </c>
      <c r="N148" s="158">
        <v>2263.6</v>
      </c>
    </row>
    <row r="149" spans="1:14" x14ac:dyDescent="0.35">
      <c r="A149" s="88" t="s">
        <v>4333</v>
      </c>
      <c r="B149" s="88" t="s">
        <v>789</v>
      </c>
      <c r="C149" t="s">
        <v>125</v>
      </c>
      <c r="D149" t="s">
        <v>57</v>
      </c>
      <c r="E149" t="s">
        <v>1886</v>
      </c>
      <c r="F149" s="35">
        <v>46160</v>
      </c>
      <c r="G149" s="47">
        <v>342387.41</v>
      </c>
      <c r="H149" s="37">
        <f t="shared" si="18"/>
        <v>75</v>
      </c>
      <c r="I149" s="37" t="str">
        <f t="shared" si="23"/>
        <v>1-90 DAYS</v>
      </c>
      <c r="J149" s="37" t="str">
        <f t="shared" si="20"/>
        <v>0-180 DAYS</v>
      </c>
      <c r="M149" s="158" t="s">
        <v>5209</v>
      </c>
      <c r="N149" s="158">
        <v>342387.41</v>
      </c>
    </row>
    <row r="150" spans="1:14" x14ac:dyDescent="0.35">
      <c r="A150" s="88" t="s">
        <v>4333</v>
      </c>
      <c r="B150" s="88" t="s">
        <v>789</v>
      </c>
      <c r="C150" t="s">
        <v>125</v>
      </c>
      <c r="D150" t="s">
        <v>57</v>
      </c>
      <c r="E150" t="s">
        <v>5029</v>
      </c>
      <c r="F150" s="35">
        <v>46161</v>
      </c>
      <c r="G150" s="47">
        <v>1906346.98</v>
      </c>
      <c r="H150" s="37">
        <f t="shared" si="18"/>
        <v>74</v>
      </c>
      <c r="I150" s="37" t="str">
        <f t="shared" si="23"/>
        <v>1-90 DAYS</v>
      </c>
      <c r="J150" s="37" t="str">
        <f t="shared" si="20"/>
        <v>0-180 DAYS</v>
      </c>
      <c r="M150" s="158" t="s">
        <v>5210</v>
      </c>
      <c r="N150" s="158">
        <v>1906346.98</v>
      </c>
    </row>
    <row r="151" spans="1:14" x14ac:dyDescent="0.35">
      <c r="A151" s="88" t="s">
        <v>4333</v>
      </c>
      <c r="B151" s="88" t="s">
        <v>789</v>
      </c>
      <c r="C151" t="s">
        <v>125</v>
      </c>
      <c r="D151" t="s">
        <v>57</v>
      </c>
      <c r="E151" t="s">
        <v>5030</v>
      </c>
      <c r="F151" s="35">
        <v>46161</v>
      </c>
      <c r="G151" s="47">
        <v>21750.02</v>
      </c>
      <c r="H151" s="37">
        <f t="shared" si="18"/>
        <v>74</v>
      </c>
      <c r="I151" s="37" t="str">
        <f t="shared" si="23"/>
        <v>1-90 DAYS</v>
      </c>
      <c r="J151" s="37" t="str">
        <f t="shared" si="20"/>
        <v>0-180 DAYS</v>
      </c>
      <c r="M151" s="158" t="s">
        <v>5210</v>
      </c>
      <c r="N151" s="158">
        <v>21750.02</v>
      </c>
    </row>
    <row r="152" spans="1:14" x14ac:dyDescent="0.35">
      <c r="A152" s="88" t="s">
        <v>4333</v>
      </c>
      <c r="B152" s="88" t="s">
        <v>789</v>
      </c>
      <c r="C152" t="s">
        <v>125</v>
      </c>
      <c r="D152" t="s">
        <v>57</v>
      </c>
      <c r="E152" t="s">
        <v>1890</v>
      </c>
      <c r="F152" s="35">
        <v>46161</v>
      </c>
      <c r="G152" s="47">
        <v>48140</v>
      </c>
      <c r="H152" s="37">
        <f t="shared" si="18"/>
        <v>74</v>
      </c>
      <c r="I152" s="37" t="str">
        <f t="shared" si="23"/>
        <v>1-90 DAYS</v>
      </c>
      <c r="J152" s="37" t="str">
        <f t="shared" si="20"/>
        <v>0-180 DAYS</v>
      </c>
      <c r="M152" s="158" t="s">
        <v>5210</v>
      </c>
      <c r="N152" s="158">
        <v>48140</v>
      </c>
    </row>
    <row r="153" spans="1:14" x14ac:dyDescent="0.35">
      <c r="A153" s="88" t="s">
        <v>4333</v>
      </c>
      <c r="B153" s="88" t="s">
        <v>789</v>
      </c>
      <c r="C153" t="s">
        <v>125</v>
      </c>
      <c r="D153" t="s">
        <v>57</v>
      </c>
      <c r="E153" t="s">
        <v>5031</v>
      </c>
      <c r="F153" s="35">
        <v>46162</v>
      </c>
      <c r="G153" s="47">
        <v>66363.62</v>
      </c>
      <c r="H153" s="37">
        <f t="shared" si="18"/>
        <v>73</v>
      </c>
      <c r="I153" s="37" t="str">
        <f t="shared" si="23"/>
        <v>1-90 DAYS</v>
      </c>
      <c r="J153" s="37" t="str">
        <f t="shared" si="20"/>
        <v>0-180 DAYS</v>
      </c>
      <c r="M153" s="158" t="s">
        <v>5211</v>
      </c>
      <c r="N153" s="158">
        <v>66363.62</v>
      </c>
    </row>
    <row r="154" spans="1:14" x14ac:dyDescent="0.35">
      <c r="A154" s="88" t="s">
        <v>4333</v>
      </c>
      <c r="B154" s="88" t="s">
        <v>789</v>
      </c>
      <c r="C154" t="s">
        <v>125</v>
      </c>
      <c r="D154" t="s">
        <v>57</v>
      </c>
      <c r="E154" t="s">
        <v>1899</v>
      </c>
      <c r="F154" s="35">
        <v>46162</v>
      </c>
      <c r="G154" s="47">
        <v>2263.6</v>
      </c>
      <c r="H154" s="37">
        <f t="shared" si="18"/>
        <v>73</v>
      </c>
      <c r="I154" s="37" t="str">
        <f t="shared" si="23"/>
        <v>1-90 DAYS</v>
      </c>
      <c r="J154" s="37" t="str">
        <f t="shared" si="20"/>
        <v>0-180 DAYS</v>
      </c>
      <c r="M154" s="158" t="s">
        <v>5211</v>
      </c>
      <c r="N154" s="158">
        <v>2263.6</v>
      </c>
    </row>
    <row r="155" spans="1:14" x14ac:dyDescent="0.35">
      <c r="A155" s="88" t="s">
        <v>4333</v>
      </c>
      <c r="B155" s="88" t="s">
        <v>789</v>
      </c>
      <c r="C155" t="s">
        <v>125</v>
      </c>
      <c r="D155" t="s">
        <v>57</v>
      </c>
      <c r="E155" t="s">
        <v>1901</v>
      </c>
      <c r="F155" s="35">
        <v>46162</v>
      </c>
      <c r="G155" s="47">
        <v>509939.42</v>
      </c>
      <c r="H155" s="37">
        <f t="shared" si="18"/>
        <v>73</v>
      </c>
      <c r="I155" s="37" t="str">
        <f t="shared" si="23"/>
        <v>1-90 DAYS</v>
      </c>
      <c r="J155" s="37" t="str">
        <f t="shared" si="20"/>
        <v>0-180 DAYS</v>
      </c>
      <c r="M155" s="158" t="s">
        <v>5211</v>
      </c>
      <c r="N155" s="158">
        <v>509939.42</v>
      </c>
    </row>
    <row r="156" spans="1:14" x14ac:dyDescent="0.35">
      <c r="A156" s="88" t="s">
        <v>1085</v>
      </c>
      <c r="B156" s="88" t="s">
        <v>790</v>
      </c>
      <c r="C156" t="s">
        <v>538</v>
      </c>
      <c r="D156" s="37" t="s">
        <v>507</v>
      </c>
      <c r="E156" t="s">
        <v>5032</v>
      </c>
      <c r="F156" s="35">
        <v>46163</v>
      </c>
      <c r="G156" s="47">
        <v>4520520</v>
      </c>
      <c r="H156" s="37">
        <f t="shared" si="18"/>
        <v>72</v>
      </c>
      <c r="I156" s="37" t="str">
        <f t="shared" ref="I156:I176" si="24">IF(H156&lt;121,"0-120 DAYS",IF(H156&lt;181,"121-180 DAYS","More than 180 Days"))</f>
        <v>0-120 DAYS</v>
      </c>
      <c r="J156" s="37" t="str">
        <f t="shared" si="20"/>
        <v>0-180 DAYS</v>
      </c>
      <c r="K156" t="s">
        <v>1730</v>
      </c>
      <c r="M156" s="158" t="s">
        <v>5212</v>
      </c>
      <c r="N156" s="158">
        <v>4520520</v>
      </c>
    </row>
    <row r="157" spans="1:14" x14ac:dyDescent="0.35">
      <c r="A157" s="88" t="s">
        <v>1085</v>
      </c>
      <c r="B157" s="88" t="s">
        <v>790</v>
      </c>
      <c r="C157" t="s">
        <v>797</v>
      </c>
      <c r="D157" s="37" t="s">
        <v>507</v>
      </c>
      <c r="E157" t="s">
        <v>5033</v>
      </c>
      <c r="F157" s="35">
        <v>46164</v>
      </c>
      <c r="G157" s="47">
        <v>249450.01</v>
      </c>
      <c r="H157" s="37">
        <f t="shared" si="18"/>
        <v>71</v>
      </c>
      <c r="I157" s="37" t="str">
        <f t="shared" si="24"/>
        <v>0-120 DAYS</v>
      </c>
      <c r="J157" s="37" t="str">
        <f t="shared" si="20"/>
        <v>0-180 DAYS</v>
      </c>
      <c r="K157" t="s">
        <v>1730</v>
      </c>
      <c r="M157" s="158" t="s">
        <v>5213</v>
      </c>
      <c r="N157" s="158">
        <v>249450.01</v>
      </c>
    </row>
    <row r="158" spans="1:14" x14ac:dyDescent="0.35">
      <c r="A158" s="88" t="s">
        <v>4333</v>
      </c>
      <c r="B158" s="88" t="s">
        <v>789</v>
      </c>
      <c r="C158" t="s">
        <v>125</v>
      </c>
      <c r="D158" t="s">
        <v>57</v>
      </c>
      <c r="E158" t="s">
        <v>5034</v>
      </c>
      <c r="F158" s="35">
        <v>46164</v>
      </c>
      <c r="G158" s="47">
        <v>1415</v>
      </c>
      <c r="H158" s="37">
        <f t="shared" si="18"/>
        <v>71</v>
      </c>
      <c r="I158" s="37" t="str">
        <f t="shared" ref="I158:I166" si="25">IF(H158&lt;91,"1-90 DAYS",IF(H158&lt;121,"91-120DAYS",IF(H158&lt;181,"121-180 DAYS","More than 180 Days")))</f>
        <v>1-90 DAYS</v>
      </c>
      <c r="J158" s="37" t="str">
        <f t="shared" si="20"/>
        <v>0-180 DAYS</v>
      </c>
      <c r="M158" s="158" t="s">
        <v>5213</v>
      </c>
      <c r="N158" s="158">
        <v>1415</v>
      </c>
    </row>
    <row r="159" spans="1:14" x14ac:dyDescent="0.35">
      <c r="A159" s="88" t="s">
        <v>4333</v>
      </c>
      <c r="B159" s="88" t="s">
        <v>789</v>
      </c>
      <c r="C159" t="s">
        <v>125</v>
      </c>
      <c r="D159" t="s">
        <v>57</v>
      </c>
      <c r="E159" t="s">
        <v>5035</v>
      </c>
      <c r="F159" s="35">
        <v>46164</v>
      </c>
      <c r="G159" s="47">
        <v>608162.98</v>
      </c>
      <c r="H159" s="37">
        <f t="shared" si="18"/>
        <v>71</v>
      </c>
      <c r="I159" s="37" t="str">
        <f t="shared" si="25"/>
        <v>1-90 DAYS</v>
      </c>
      <c r="J159" s="37" t="str">
        <f t="shared" si="20"/>
        <v>0-180 DAYS</v>
      </c>
      <c r="M159" s="158" t="s">
        <v>5213</v>
      </c>
      <c r="N159" s="158">
        <v>608162.98</v>
      </c>
    </row>
    <row r="160" spans="1:14" x14ac:dyDescent="0.35">
      <c r="A160" s="88" t="s">
        <v>477</v>
      </c>
      <c r="B160" t="s">
        <v>790</v>
      </c>
      <c r="C160" t="s">
        <v>4780</v>
      </c>
      <c r="D160" t="s">
        <v>4783</v>
      </c>
      <c r="E160" t="s">
        <v>1910</v>
      </c>
      <c r="F160" s="35">
        <v>46165</v>
      </c>
      <c r="G160" s="47">
        <v>241942.79</v>
      </c>
      <c r="H160" s="37">
        <f t="shared" si="18"/>
        <v>70</v>
      </c>
      <c r="I160" s="37" t="str">
        <f t="shared" si="25"/>
        <v>1-90 DAYS</v>
      </c>
      <c r="J160" s="37" t="str">
        <f t="shared" si="20"/>
        <v>0-180 DAYS</v>
      </c>
      <c r="K160" t="s">
        <v>1730</v>
      </c>
      <c r="M160" s="158" t="s">
        <v>5214</v>
      </c>
      <c r="N160" s="158">
        <v>241942.79</v>
      </c>
    </row>
    <row r="161" spans="1:14" x14ac:dyDescent="0.35">
      <c r="A161" s="88" t="s">
        <v>4333</v>
      </c>
      <c r="B161" s="88" t="s">
        <v>789</v>
      </c>
      <c r="C161" t="s">
        <v>125</v>
      </c>
      <c r="D161" t="s">
        <v>57</v>
      </c>
      <c r="E161" t="s">
        <v>1913</v>
      </c>
      <c r="F161" s="35">
        <v>46165</v>
      </c>
      <c r="G161" s="47">
        <v>2886.64</v>
      </c>
      <c r="H161" s="37">
        <f t="shared" si="18"/>
        <v>70</v>
      </c>
      <c r="I161" s="37" t="str">
        <f t="shared" si="25"/>
        <v>1-90 DAYS</v>
      </c>
      <c r="J161" s="37" t="str">
        <f t="shared" si="20"/>
        <v>0-180 DAYS</v>
      </c>
      <c r="M161" s="158" t="s">
        <v>5214</v>
      </c>
      <c r="N161" s="158">
        <v>2886.64</v>
      </c>
    </row>
    <row r="162" spans="1:14" x14ac:dyDescent="0.35">
      <c r="A162" s="88" t="s">
        <v>4333</v>
      </c>
      <c r="B162" s="88" t="s">
        <v>789</v>
      </c>
      <c r="C162" t="s">
        <v>125</v>
      </c>
      <c r="D162" t="s">
        <v>57</v>
      </c>
      <c r="E162" t="s">
        <v>1914</v>
      </c>
      <c r="F162" s="35">
        <v>46165</v>
      </c>
      <c r="G162" s="47">
        <v>343353.22</v>
      </c>
      <c r="H162" s="37">
        <f t="shared" si="18"/>
        <v>70</v>
      </c>
      <c r="I162" s="37" t="str">
        <f t="shared" si="25"/>
        <v>1-90 DAYS</v>
      </c>
      <c r="J162" s="37" t="str">
        <f t="shared" si="20"/>
        <v>0-180 DAYS</v>
      </c>
      <c r="M162" s="158" t="s">
        <v>5214</v>
      </c>
      <c r="N162" s="158">
        <v>343353.22</v>
      </c>
    </row>
    <row r="163" spans="1:14" x14ac:dyDescent="0.35">
      <c r="A163" s="88" t="s">
        <v>4333</v>
      </c>
      <c r="B163" s="88" t="s">
        <v>789</v>
      </c>
      <c r="C163" t="s">
        <v>125</v>
      </c>
      <c r="D163" t="s">
        <v>57</v>
      </c>
      <c r="E163" t="s">
        <v>1915</v>
      </c>
      <c r="F163" s="35">
        <v>46165</v>
      </c>
      <c r="G163" s="47">
        <v>27036.12</v>
      </c>
      <c r="H163" s="37">
        <f t="shared" si="18"/>
        <v>70</v>
      </c>
      <c r="I163" s="37" t="str">
        <f t="shared" si="25"/>
        <v>1-90 DAYS</v>
      </c>
      <c r="J163" s="37" t="str">
        <f t="shared" si="20"/>
        <v>0-180 DAYS</v>
      </c>
      <c r="M163" s="158" t="s">
        <v>5214</v>
      </c>
      <c r="N163" s="158">
        <v>27036.12</v>
      </c>
    </row>
    <row r="164" spans="1:14" x14ac:dyDescent="0.35">
      <c r="A164" s="88" t="s">
        <v>4333</v>
      </c>
      <c r="B164" s="88" t="s">
        <v>789</v>
      </c>
      <c r="C164" t="s">
        <v>125</v>
      </c>
      <c r="D164" t="s">
        <v>57</v>
      </c>
      <c r="E164" t="s">
        <v>1916</v>
      </c>
      <c r="F164" s="35">
        <v>46165</v>
      </c>
      <c r="G164" s="47">
        <v>30740</v>
      </c>
      <c r="H164" s="37">
        <f t="shared" si="18"/>
        <v>70</v>
      </c>
      <c r="I164" s="37" t="str">
        <f t="shared" si="25"/>
        <v>1-90 DAYS</v>
      </c>
      <c r="J164" s="37" t="str">
        <f t="shared" si="20"/>
        <v>0-180 DAYS</v>
      </c>
      <c r="M164" s="158" t="s">
        <v>5214</v>
      </c>
      <c r="N164" s="158">
        <v>30740</v>
      </c>
    </row>
    <row r="165" spans="1:14" x14ac:dyDescent="0.35">
      <c r="A165" s="88" t="s">
        <v>4333</v>
      </c>
      <c r="B165" s="88" t="s">
        <v>789</v>
      </c>
      <c r="C165" t="s">
        <v>125</v>
      </c>
      <c r="D165" t="s">
        <v>57</v>
      </c>
      <c r="E165" t="s">
        <v>5036</v>
      </c>
      <c r="F165" s="35">
        <v>46166</v>
      </c>
      <c r="G165" s="47">
        <v>38520.870000000003</v>
      </c>
      <c r="H165" s="37">
        <f t="shared" si="18"/>
        <v>69</v>
      </c>
      <c r="I165" s="37" t="str">
        <f t="shared" si="25"/>
        <v>1-90 DAYS</v>
      </c>
      <c r="J165" s="37" t="str">
        <f t="shared" si="20"/>
        <v>0-180 DAYS</v>
      </c>
      <c r="M165" s="158" t="s">
        <v>5215</v>
      </c>
      <c r="N165" s="158">
        <v>38520.870000000003</v>
      </c>
    </row>
    <row r="166" spans="1:14" x14ac:dyDescent="0.35">
      <c r="A166" s="88" t="s">
        <v>4333</v>
      </c>
      <c r="B166" s="88" t="s">
        <v>789</v>
      </c>
      <c r="C166" t="s">
        <v>125</v>
      </c>
      <c r="D166" t="s">
        <v>57</v>
      </c>
      <c r="E166" t="s">
        <v>1917</v>
      </c>
      <c r="F166" s="35">
        <v>46166</v>
      </c>
      <c r="G166" s="47">
        <v>305345.94</v>
      </c>
      <c r="H166" s="37">
        <f t="shared" si="18"/>
        <v>69</v>
      </c>
      <c r="I166" s="37" t="str">
        <f t="shared" si="25"/>
        <v>1-90 DAYS</v>
      </c>
      <c r="J166" s="37" t="str">
        <f t="shared" si="20"/>
        <v>0-180 DAYS</v>
      </c>
      <c r="M166" s="158" t="s">
        <v>5215</v>
      </c>
      <c r="N166" s="158">
        <v>305345.94</v>
      </c>
    </row>
    <row r="167" spans="1:14" x14ac:dyDescent="0.35">
      <c r="A167" s="88" t="s">
        <v>1085</v>
      </c>
      <c r="B167" s="88" t="s">
        <v>790</v>
      </c>
      <c r="C167" t="s">
        <v>2066</v>
      </c>
      <c r="D167" s="37" t="s">
        <v>507</v>
      </c>
      <c r="E167" t="s">
        <v>5037</v>
      </c>
      <c r="F167" s="35">
        <v>46167</v>
      </c>
      <c r="G167" s="47">
        <v>3303022.52</v>
      </c>
      <c r="H167" s="37">
        <f t="shared" si="18"/>
        <v>68</v>
      </c>
      <c r="I167" s="37" t="str">
        <f t="shared" si="24"/>
        <v>0-120 DAYS</v>
      </c>
      <c r="J167" s="37" t="str">
        <f t="shared" si="20"/>
        <v>0-180 DAYS</v>
      </c>
      <c r="K167" t="s">
        <v>1730</v>
      </c>
      <c r="M167" s="158" t="s">
        <v>5216</v>
      </c>
      <c r="N167" s="158">
        <v>3303022.52</v>
      </c>
    </row>
    <row r="168" spans="1:14" x14ac:dyDescent="0.35">
      <c r="A168" s="88" t="s">
        <v>477</v>
      </c>
      <c r="B168" t="s">
        <v>790</v>
      </c>
      <c r="C168" t="s">
        <v>4942</v>
      </c>
      <c r="D168" t="s">
        <v>4951</v>
      </c>
      <c r="E168" t="s">
        <v>5038</v>
      </c>
      <c r="F168" s="35">
        <v>46167</v>
      </c>
      <c r="G168" s="47">
        <f>-770042+851002</f>
        <v>80960</v>
      </c>
      <c r="H168" s="37">
        <f t="shared" si="18"/>
        <v>68</v>
      </c>
      <c r="I168" s="37" t="str">
        <f t="shared" ref="I168:I175" si="26">IF(H168&lt;91,"1-90 DAYS",IF(H168&lt;121,"91-120DAYS",IF(H168&lt;181,"121-180 DAYS","More than 180 Days")))</f>
        <v>1-90 DAYS</v>
      </c>
      <c r="J168" s="37" t="str">
        <f t="shared" si="20"/>
        <v>0-180 DAYS</v>
      </c>
      <c r="K168" t="s">
        <v>1730</v>
      </c>
      <c r="M168" s="158" t="s">
        <v>5216</v>
      </c>
      <c r="N168" s="158">
        <v>851002</v>
      </c>
    </row>
    <row r="169" spans="1:14" x14ac:dyDescent="0.35">
      <c r="A169" s="88" t="s">
        <v>4333</v>
      </c>
      <c r="B169" s="88" t="s">
        <v>789</v>
      </c>
      <c r="C169" t="s">
        <v>125</v>
      </c>
      <c r="D169" t="s">
        <v>57</v>
      </c>
      <c r="E169" t="s">
        <v>5039</v>
      </c>
      <c r="F169" s="35">
        <v>46167</v>
      </c>
      <c r="G169" s="47">
        <v>4527.2</v>
      </c>
      <c r="H169" s="37">
        <f t="shared" si="18"/>
        <v>68</v>
      </c>
      <c r="I169" s="37" t="str">
        <f t="shared" si="26"/>
        <v>1-90 DAYS</v>
      </c>
      <c r="J169" s="37" t="str">
        <f t="shared" si="20"/>
        <v>0-180 DAYS</v>
      </c>
      <c r="M169" s="158" t="s">
        <v>5216</v>
      </c>
      <c r="N169" s="158">
        <v>4527.2</v>
      </c>
    </row>
    <row r="170" spans="1:14" x14ac:dyDescent="0.35">
      <c r="A170" s="88" t="s">
        <v>4333</v>
      </c>
      <c r="B170" s="88" t="s">
        <v>789</v>
      </c>
      <c r="C170" t="s">
        <v>125</v>
      </c>
      <c r="D170" t="s">
        <v>57</v>
      </c>
      <c r="E170" t="s">
        <v>1923</v>
      </c>
      <c r="F170" s="35">
        <v>46167</v>
      </c>
      <c r="G170" s="47">
        <v>662098.46</v>
      </c>
      <c r="H170" s="37">
        <f t="shared" si="18"/>
        <v>68</v>
      </c>
      <c r="I170" s="37" t="str">
        <f t="shared" si="26"/>
        <v>1-90 DAYS</v>
      </c>
      <c r="J170" s="37" t="str">
        <f t="shared" si="20"/>
        <v>0-180 DAYS</v>
      </c>
      <c r="M170" s="158" t="s">
        <v>5216</v>
      </c>
      <c r="N170" s="158">
        <v>662098.46</v>
      </c>
    </row>
    <row r="171" spans="1:14" x14ac:dyDescent="0.35">
      <c r="A171" s="88" t="s">
        <v>4333</v>
      </c>
      <c r="B171" s="88" t="s">
        <v>789</v>
      </c>
      <c r="C171" t="s">
        <v>125</v>
      </c>
      <c r="D171" t="s">
        <v>57</v>
      </c>
      <c r="E171" t="s">
        <v>1929</v>
      </c>
      <c r="F171" s="35">
        <v>46168</v>
      </c>
      <c r="G171" s="47">
        <v>454888.28</v>
      </c>
      <c r="H171" s="37">
        <f t="shared" si="18"/>
        <v>67</v>
      </c>
      <c r="I171" s="37" t="str">
        <f t="shared" si="26"/>
        <v>1-90 DAYS</v>
      </c>
      <c r="J171" s="37" t="str">
        <f t="shared" si="20"/>
        <v>0-180 DAYS</v>
      </c>
      <c r="M171" s="158" t="s">
        <v>5217</v>
      </c>
      <c r="N171" s="158">
        <v>454888.28</v>
      </c>
    </row>
    <row r="172" spans="1:14" x14ac:dyDescent="0.35">
      <c r="A172" s="88" t="s">
        <v>4333</v>
      </c>
      <c r="B172" s="88" t="s">
        <v>789</v>
      </c>
      <c r="C172" t="s">
        <v>125</v>
      </c>
      <c r="D172" t="s">
        <v>57</v>
      </c>
      <c r="E172" t="s">
        <v>5040</v>
      </c>
      <c r="F172" s="35">
        <v>46168</v>
      </c>
      <c r="G172" s="47">
        <v>4527.2</v>
      </c>
      <c r="H172" s="37">
        <f t="shared" si="18"/>
        <v>67</v>
      </c>
      <c r="I172" s="37" t="str">
        <f t="shared" si="26"/>
        <v>1-90 DAYS</v>
      </c>
      <c r="J172" s="37" t="str">
        <f t="shared" si="20"/>
        <v>0-180 DAYS</v>
      </c>
      <c r="M172" s="158" t="s">
        <v>5217</v>
      </c>
      <c r="N172" s="158">
        <v>4527.2</v>
      </c>
    </row>
    <row r="173" spans="1:14" x14ac:dyDescent="0.35">
      <c r="A173" s="88" t="s">
        <v>4333</v>
      </c>
      <c r="B173" s="88" t="s">
        <v>789</v>
      </c>
      <c r="C173" t="s">
        <v>125</v>
      </c>
      <c r="D173" t="s">
        <v>57</v>
      </c>
      <c r="E173" t="s">
        <v>1931</v>
      </c>
      <c r="F173" s="35">
        <v>46168</v>
      </c>
      <c r="G173" s="47">
        <v>240196.7</v>
      </c>
      <c r="H173" s="37">
        <f t="shared" si="18"/>
        <v>67</v>
      </c>
      <c r="I173" s="37" t="str">
        <f t="shared" si="26"/>
        <v>1-90 DAYS</v>
      </c>
      <c r="J173" s="37" t="str">
        <f t="shared" si="20"/>
        <v>0-180 DAYS</v>
      </c>
      <c r="M173" s="158" t="s">
        <v>5217</v>
      </c>
      <c r="N173" s="158">
        <v>240196.7</v>
      </c>
    </row>
    <row r="174" spans="1:14" x14ac:dyDescent="0.35">
      <c r="A174" s="88" t="s">
        <v>4333</v>
      </c>
      <c r="B174" s="88" t="s">
        <v>789</v>
      </c>
      <c r="C174" t="s">
        <v>125</v>
      </c>
      <c r="D174" t="s">
        <v>57</v>
      </c>
      <c r="E174" t="s">
        <v>1928</v>
      </c>
      <c r="F174" s="35">
        <v>46168</v>
      </c>
      <c r="G174" s="47">
        <v>24650</v>
      </c>
      <c r="H174" s="37">
        <f t="shared" si="18"/>
        <v>67</v>
      </c>
      <c r="I174" s="37" t="str">
        <f t="shared" si="26"/>
        <v>1-90 DAYS</v>
      </c>
      <c r="J174" s="37" t="str">
        <f t="shared" si="20"/>
        <v>0-180 DAYS</v>
      </c>
      <c r="M174" s="158" t="s">
        <v>5217</v>
      </c>
      <c r="N174" s="158">
        <v>24650</v>
      </c>
    </row>
    <row r="175" spans="1:14" x14ac:dyDescent="0.35">
      <c r="A175" s="88" t="s">
        <v>477</v>
      </c>
      <c r="B175" t="s">
        <v>790</v>
      </c>
      <c r="C175" t="s">
        <v>4780</v>
      </c>
      <c r="D175" t="s">
        <v>4783</v>
      </c>
      <c r="E175" t="s">
        <v>1930</v>
      </c>
      <c r="F175" s="35">
        <v>46169</v>
      </c>
      <c r="G175" s="47">
        <v>259672.23</v>
      </c>
      <c r="H175" s="37">
        <f t="shared" si="18"/>
        <v>66</v>
      </c>
      <c r="I175" s="37" t="str">
        <f t="shared" si="26"/>
        <v>1-90 DAYS</v>
      </c>
      <c r="J175" s="37" t="str">
        <f t="shared" si="20"/>
        <v>0-180 DAYS</v>
      </c>
      <c r="K175" t="s">
        <v>1730</v>
      </c>
      <c r="M175" s="158" t="s">
        <v>5218</v>
      </c>
      <c r="N175" s="158">
        <v>259672.23</v>
      </c>
    </row>
    <row r="176" spans="1:14" x14ac:dyDescent="0.35">
      <c r="A176" s="88" t="s">
        <v>1085</v>
      </c>
      <c r="B176" s="88" t="s">
        <v>790</v>
      </c>
      <c r="C176" t="s">
        <v>600</v>
      </c>
      <c r="D176" s="37" t="s">
        <v>507</v>
      </c>
      <c r="E176" t="s">
        <v>5041</v>
      </c>
      <c r="F176" s="35">
        <v>46169</v>
      </c>
      <c r="G176" s="47">
        <v>2437908.7999999998</v>
      </c>
      <c r="H176" s="37">
        <f t="shared" si="18"/>
        <v>66</v>
      </c>
      <c r="I176" s="37" t="str">
        <f t="shared" si="24"/>
        <v>0-120 DAYS</v>
      </c>
      <c r="J176" s="37" t="str">
        <f t="shared" si="20"/>
        <v>0-180 DAYS</v>
      </c>
      <c r="K176" t="s">
        <v>1730</v>
      </c>
      <c r="M176" s="158" t="s">
        <v>5218</v>
      </c>
      <c r="N176" s="158">
        <v>2437908.7999999998</v>
      </c>
    </row>
    <row r="177" spans="1:14" x14ac:dyDescent="0.35">
      <c r="A177" s="88" t="s">
        <v>4333</v>
      </c>
      <c r="B177" s="88" t="s">
        <v>789</v>
      </c>
      <c r="C177" t="s">
        <v>125</v>
      </c>
      <c r="D177" t="s">
        <v>57</v>
      </c>
      <c r="E177" t="s">
        <v>5042</v>
      </c>
      <c r="F177" s="35">
        <v>46169</v>
      </c>
      <c r="G177" s="47">
        <v>200776.26</v>
      </c>
      <c r="H177" s="37">
        <f t="shared" si="18"/>
        <v>66</v>
      </c>
      <c r="I177" s="37" t="str">
        <f t="shared" ref="I177:I179" si="27">IF(H177&lt;91,"1-90 DAYS",IF(H177&lt;121,"91-120DAYS",IF(H177&lt;181,"121-180 DAYS","More than 180 Days")))</f>
        <v>1-90 DAYS</v>
      </c>
      <c r="J177" s="37" t="str">
        <f t="shared" si="20"/>
        <v>0-180 DAYS</v>
      </c>
      <c r="M177" s="158" t="s">
        <v>5218</v>
      </c>
      <c r="N177" s="158">
        <v>200776.26</v>
      </c>
    </row>
    <row r="178" spans="1:14" x14ac:dyDescent="0.35">
      <c r="A178" s="88" t="s">
        <v>4333</v>
      </c>
      <c r="B178" s="88" t="s">
        <v>789</v>
      </c>
      <c r="C178" t="s">
        <v>125</v>
      </c>
      <c r="D178" t="s">
        <v>57</v>
      </c>
      <c r="E178" t="s">
        <v>5043</v>
      </c>
      <c r="F178" s="35">
        <v>46170</v>
      </c>
      <c r="G178" s="47">
        <v>346131.77</v>
      </c>
      <c r="H178" s="37">
        <f t="shared" si="18"/>
        <v>65</v>
      </c>
      <c r="I178" s="37" t="str">
        <f t="shared" si="27"/>
        <v>1-90 DAYS</v>
      </c>
      <c r="J178" s="37" t="str">
        <f t="shared" si="20"/>
        <v>0-180 DAYS</v>
      </c>
      <c r="M178" s="158" t="s">
        <v>5219</v>
      </c>
      <c r="N178" s="158">
        <v>346131.77</v>
      </c>
    </row>
    <row r="179" spans="1:14" x14ac:dyDescent="0.35">
      <c r="A179" s="88" t="s">
        <v>4333</v>
      </c>
      <c r="B179" s="88" t="s">
        <v>789</v>
      </c>
      <c r="C179" t="s">
        <v>125</v>
      </c>
      <c r="D179" t="s">
        <v>57</v>
      </c>
      <c r="E179" t="s">
        <v>1945</v>
      </c>
      <c r="F179" s="35">
        <v>46170</v>
      </c>
      <c r="G179" s="47">
        <v>3395.4</v>
      </c>
      <c r="H179" s="37">
        <f t="shared" si="18"/>
        <v>65</v>
      </c>
      <c r="I179" s="37" t="str">
        <f t="shared" si="27"/>
        <v>1-90 DAYS</v>
      </c>
      <c r="J179" s="37" t="str">
        <f t="shared" si="20"/>
        <v>0-180 DAYS</v>
      </c>
      <c r="M179" s="158" t="s">
        <v>5219</v>
      </c>
      <c r="N179" s="158">
        <v>3395.4</v>
      </c>
    </row>
    <row r="180" spans="1:14" x14ac:dyDescent="0.35">
      <c r="A180" s="88" t="s">
        <v>1085</v>
      </c>
      <c r="B180" s="88" t="s">
        <v>790</v>
      </c>
      <c r="C180" t="s">
        <v>559</v>
      </c>
      <c r="D180" s="37" t="s">
        <v>507</v>
      </c>
      <c r="E180" t="s">
        <v>5044</v>
      </c>
      <c r="F180" s="35">
        <v>46171</v>
      </c>
      <c r="G180" s="47">
        <f>-3326322+3445799.3</f>
        <v>119477.29999999981</v>
      </c>
      <c r="H180" s="37">
        <f t="shared" si="18"/>
        <v>64</v>
      </c>
      <c r="I180" s="37" t="str">
        <f t="shared" ref="I180:I211" si="28">IF(H180&lt;121,"0-120 DAYS",IF(H180&lt;181,"121-180 DAYS","More than 180 Days"))</f>
        <v>0-120 DAYS</v>
      </c>
      <c r="J180" s="37" t="str">
        <f t="shared" si="20"/>
        <v>0-180 DAYS</v>
      </c>
      <c r="K180" t="s">
        <v>1730</v>
      </c>
      <c r="M180" s="158" t="s">
        <v>5220</v>
      </c>
      <c r="N180" s="158">
        <v>119477.3</v>
      </c>
    </row>
    <row r="181" spans="1:14" x14ac:dyDescent="0.35">
      <c r="A181" s="88" t="s">
        <v>4333</v>
      </c>
      <c r="B181" s="88" t="s">
        <v>789</v>
      </c>
      <c r="C181" t="s">
        <v>125</v>
      </c>
      <c r="D181" t="s">
        <v>57</v>
      </c>
      <c r="E181" t="s">
        <v>5045</v>
      </c>
      <c r="F181" s="35">
        <v>46171</v>
      </c>
      <c r="G181" s="47">
        <v>140419</v>
      </c>
      <c r="H181" s="37">
        <f t="shared" si="18"/>
        <v>64</v>
      </c>
      <c r="I181" s="37" t="str">
        <f t="shared" ref="I181:I188" si="29">IF(H181&lt;91,"1-90 DAYS",IF(H181&lt;121,"91-120DAYS",IF(H181&lt;181,"121-180 DAYS","More than 180 Days")))</f>
        <v>1-90 DAYS</v>
      </c>
      <c r="J181" s="37" t="str">
        <f t="shared" si="20"/>
        <v>0-180 DAYS</v>
      </c>
      <c r="M181" s="158" t="s">
        <v>5220</v>
      </c>
      <c r="N181" s="158">
        <v>140419</v>
      </c>
    </row>
    <row r="182" spans="1:14" x14ac:dyDescent="0.35">
      <c r="A182" s="88" t="s">
        <v>4333</v>
      </c>
      <c r="B182" s="88" t="s">
        <v>789</v>
      </c>
      <c r="C182" t="s">
        <v>125</v>
      </c>
      <c r="D182" t="s">
        <v>57</v>
      </c>
      <c r="E182" t="s">
        <v>1949</v>
      </c>
      <c r="F182" s="35">
        <v>46171</v>
      </c>
      <c r="G182" s="47">
        <v>246563.84</v>
      </c>
      <c r="H182" s="37">
        <f t="shared" si="18"/>
        <v>64</v>
      </c>
      <c r="I182" s="37" t="str">
        <f t="shared" si="29"/>
        <v>1-90 DAYS</v>
      </c>
      <c r="J182" s="37" t="str">
        <f t="shared" si="20"/>
        <v>0-180 DAYS</v>
      </c>
      <c r="M182" s="158" t="s">
        <v>5220</v>
      </c>
      <c r="N182" s="158">
        <v>246563.84</v>
      </c>
    </row>
    <row r="183" spans="1:14" x14ac:dyDescent="0.35">
      <c r="A183" s="88" t="s">
        <v>4333</v>
      </c>
      <c r="B183" s="88" t="s">
        <v>789</v>
      </c>
      <c r="C183" t="s">
        <v>125</v>
      </c>
      <c r="D183" t="s">
        <v>57</v>
      </c>
      <c r="E183" t="s">
        <v>1956</v>
      </c>
      <c r="F183" s="35">
        <v>46172</v>
      </c>
      <c r="G183" s="47">
        <v>5150.24</v>
      </c>
      <c r="H183" s="37">
        <f t="shared" si="18"/>
        <v>63</v>
      </c>
      <c r="I183" s="37" t="str">
        <f t="shared" si="29"/>
        <v>1-90 DAYS</v>
      </c>
      <c r="J183" s="37" t="str">
        <f t="shared" si="20"/>
        <v>0-180 DAYS</v>
      </c>
      <c r="M183" s="158" t="s">
        <v>5221</v>
      </c>
      <c r="N183" s="158">
        <v>5150.24</v>
      </c>
    </row>
    <row r="184" spans="1:14" x14ac:dyDescent="0.35">
      <c r="A184" s="88" t="s">
        <v>4333</v>
      </c>
      <c r="B184" s="88" t="s">
        <v>789</v>
      </c>
      <c r="C184" t="s">
        <v>125</v>
      </c>
      <c r="D184" t="s">
        <v>57</v>
      </c>
      <c r="E184" t="s">
        <v>1954</v>
      </c>
      <c r="F184" s="35">
        <v>46172</v>
      </c>
      <c r="G184" s="47">
        <v>490772.68</v>
      </c>
      <c r="H184" s="37">
        <f t="shared" si="18"/>
        <v>63</v>
      </c>
      <c r="I184" s="37" t="str">
        <f t="shared" si="29"/>
        <v>1-90 DAYS</v>
      </c>
      <c r="J184" s="37" t="str">
        <f t="shared" si="20"/>
        <v>0-180 DAYS</v>
      </c>
      <c r="M184" s="158" t="s">
        <v>5221</v>
      </c>
      <c r="N184" s="158">
        <v>490772.68</v>
      </c>
    </row>
    <row r="185" spans="1:14" x14ac:dyDescent="0.35">
      <c r="A185" s="88" t="s">
        <v>4333</v>
      </c>
      <c r="B185" s="88" t="s">
        <v>789</v>
      </c>
      <c r="C185" t="s">
        <v>125</v>
      </c>
      <c r="D185" t="s">
        <v>57</v>
      </c>
      <c r="E185" t="s">
        <v>1953</v>
      </c>
      <c r="F185" s="35">
        <v>46172</v>
      </c>
      <c r="G185" s="47">
        <v>23200</v>
      </c>
      <c r="H185" s="37">
        <f t="shared" si="18"/>
        <v>63</v>
      </c>
      <c r="I185" s="37" t="str">
        <f t="shared" si="29"/>
        <v>1-90 DAYS</v>
      </c>
      <c r="J185" s="37" t="str">
        <f t="shared" si="20"/>
        <v>0-180 DAYS</v>
      </c>
      <c r="M185" s="158" t="s">
        <v>5221</v>
      </c>
      <c r="N185" s="158">
        <v>23200</v>
      </c>
    </row>
    <row r="186" spans="1:14" x14ac:dyDescent="0.35">
      <c r="A186" s="88" t="s">
        <v>4333</v>
      </c>
      <c r="B186" s="88" t="s">
        <v>789</v>
      </c>
      <c r="C186" t="s">
        <v>125</v>
      </c>
      <c r="D186" t="s">
        <v>57</v>
      </c>
      <c r="E186" t="s">
        <v>1962</v>
      </c>
      <c r="F186" s="35">
        <v>46173</v>
      </c>
      <c r="G186" s="47">
        <v>2998.92</v>
      </c>
      <c r="H186" s="37">
        <f t="shared" si="18"/>
        <v>62</v>
      </c>
      <c r="I186" s="37" t="str">
        <f t="shared" si="29"/>
        <v>1-90 DAYS</v>
      </c>
      <c r="J186" s="37" t="str">
        <f t="shared" si="20"/>
        <v>0-180 DAYS</v>
      </c>
      <c r="M186" s="158" t="s">
        <v>5222</v>
      </c>
      <c r="N186" s="158">
        <v>2998.92</v>
      </c>
    </row>
    <row r="187" spans="1:14" x14ac:dyDescent="0.35">
      <c r="A187" s="88" t="s">
        <v>4333</v>
      </c>
      <c r="B187" s="88" t="s">
        <v>789</v>
      </c>
      <c r="C187" t="s">
        <v>125</v>
      </c>
      <c r="D187" t="s">
        <v>57</v>
      </c>
      <c r="E187" t="s">
        <v>5046</v>
      </c>
      <c r="F187" s="35">
        <v>46173</v>
      </c>
      <c r="G187" s="47">
        <v>247105.58</v>
      </c>
      <c r="H187" s="37">
        <f t="shared" si="18"/>
        <v>62</v>
      </c>
      <c r="I187" s="37" t="str">
        <f t="shared" si="29"/>
        <v>1-90 DAYS</v>
      </c>
      <c r="J187" s="37" t="str">
        <f t="shared" si="20"/>
        <v>0-180 DAYS</v>
      </c>
      <c r="M187" s="158" t="s">
        <v>5222</v>
      </c>
      <c r="N187" s="158">
        <v>247105.58</v>
      </c>
    </row>
    <row r="188" spans="1:14" x14ac:dyDescent="0.35">
      <c r="A188" s="88" t="s">
        <v>4333</v>
      </c>
      <c r="B188" s="88" t="s">
        <v>789</v>
      </c>
      <c r="C188" t="s">
        <v>125</v>
      </c>
      <c r="D188" t="s">
        <v>57</v>
      </c>
      <c r="E188" t="s">
        <v>5047</v>
      </c>
      <c r="F188" s="35">
        <v>46173</v>
      </c>
      <c r="G188" s="47">
        <v>17110</v>
      </c>
      <c r="H188" s="37">
        <f t="shared" si="18"/>
        <v>62</v>
      </c>
      <c r="I188" s="37" t="str">
        <f t="shared" si="29"/>
        <v>1-90 DAYS</v>
      </c>
      <c r="J188" s="37" t="str">
        <f t="shared" si="20"/>
        <v>0-180 DAYS</v>
      </c>
      <c r="M188" s="158" t="s">
        <v>5222</v>
      </c>
      <c r="N188" s="158">
        <v>17110</v>
      </c>
    </row>
    <row r="189" spans="1:14" x14ac:dyDescent="0.35">
      <c r="A189" s="88" t="s">
        <v>1085</v>
      </c>
      <c r="B189" s="88" t="s">
        <v>790</v>
      </c>
      <c r="C189" t="s">
        <v>1086</v>
      </c>
      <c r="D189" s="37" t="s">
        <v>507</v>
      </c>
      <c r="E189" t="s">
        <v>5048</v>
      </c>
      <c r="F189" s="35">
        <v>46144</v>
      </c>
      <c r="G189" s="47">
        <v>1506292.2</v>
      </c>
      <c r="H189" s="37">
        <f t="shared" si="18"/>
        <v>91</v>
      </c>
      <c r="I189" s="37" t="str">
        <f t="shared" si="28"/>
        <v>0-120 DAYS</v>
      </c>
      <c r="J189" s="37" t="str">
        <f t="shared" si="20"/>
        <v>0-180 DAYS</v>
      </c>
      <c r="K189" t="s">
        <v>1730</v>
      </c>
      <c r="M189" s="158" t="s">
        <v>5197</v>
      </c>
      <c r="N189" s="158">
        <v>1506292.2</v>
      </c>
    </row>
    <row r="190" spans="1:14" x14ac:dyDescent="0.35">
      <c r="A190" s="88" t="s">
        <v>1085</v>
      </c>
      <c r="B190" s="88" t="s">
        <v>790</v>
      </c>
      <c r="C190" t="s">
        <v>1086</v>
      </c>
      <c r="D190" s="37" t="s">
        <v>507</v>
      </c>
      <c r="E190" t="s">
        <v>5049</v>
      </c>
      <c r="F190" s="35">
        <v>46144</v>
      </c>
      <c r="G190" s="47">
        <v>1348218.03</v>
      </c>
      <c r="H190" s="37">
        <f t="shared" si="18"/>
        <v>91</v>
      </c>
      <c r="I190" s="37" t="str">
        <f t="shared" si="28"/>
        <v>0-120 DAYS</v>
      </c>
      <c r="J190" s="37" t="str">
        <f t="shared" si="20"/>
        <v>0-180 DAYS</v>
      </c>
      <c r="K190" t="s">
        <v>1730</v>
      </c>
      <c r="M190" s="158" t="s">
        <v>5197</v>
      </c>
      <c r="N190" s="158">
        <v>1348218.03</v>
      </c>
    </row>
    <row r="191" spans="1:14" x14ac:dyDescent="0.35">
      <c r="A191" s="88" t="s">
        <v>1085</v>
      </c>
      <c r="B191" s="88" t="s">
        <v>790</v>
      </c>
      <c r="C191" t="s">
        <v>650</v>
      </c>
      <c r="D191" s="37" t="s">
        <v>507</v>
      </c>
      <c r="E191" t="s">
        <v>5050</v>
      </c>
      <c r="F191" s="35">
        <v>46149</v>
      </c>
      <c r="G191" s="47">
        <v>4045054.86</v>
      </c>
      <c r="H191" s="37">
        <f t="shared" si="18"/>
        <v>86</v>
      </c>
      <c r="I191" s="37" t="str">
        <f t="shared" si="28"/>
        <v>0-120 DAYS</v>
      </c>
      <c r="J191" s="37" t="str">
        <f t="shared" si="20"/>
        <v>0-180 DAYS</v>
      </c>
      <c r="K191" t="s">
        <v>1730</v>
      </c>
      <c r="M191" s="158" t="s">
        <v>5200</v>
      </c>
      <c r="N191" s="158">
        <v>4045054.86</v>
      </c>
    </row>
    <row r="192" spans="1:14" x14ac:dyDescent="0.35">
      <c r="A192" s="88" t="s">
        <v>1085</v>
      </c>
      <c r="B192" s="88" t="s">
        <v>790</v>
      </c>
      <c r="C192" t="s">
        <v>538</v>
      </c>
      <c r="D192" s="37" t="s">
        <v>507</v>
      </c>
      <c r="E192" t="s">
        <v>5051</v>
      </c>
      <c r="F192" s="35">
        <v>46156</v>
      </c>
      <c r="G192" s="47">
        <v>4663150.2</v>
      </c>
      <c r="H192" s="37">
        <f t="shared" si="18"/>
        <v>79</v>
      </c>
      <c r="I192" s="37" t="str">
        <f t="shared" si="28"/>
        <v>0-120 DAYS</v>
      </c>
      <c r="J192" s="37" t="str">
        <f t="shared" si="20"/>
        <v>0-180 DAYS</v>
      </c>
      <c r="K192" t="s">
        <v>1730</v>
      </c>
      <c r="M192" s="158" t="s">
        <v>5223</v>
      </c>
      <c r="N192" s="158">
        <v>4663150.2</v>
      </c>
    </row>
    <row r="193" spans="1:14" x14ac:dyDescent="0.35">
      <c r="A193" s="88" t="s">
        <v>477</v>
      </c>
      <c r="B193" t="s">
        <v>790</v>
      </c>
      <c r="C193" t="s">
        <v>2891</v>
      </c>
      <c r="D193" t="s">
        <v>2967</v>
      </c>
      <c r="E193" t="s">
        <v>5052</v>
      </c>
      <c r="F193" s="35">
        <v>46158</v>
      </c>
      <c r="G193" s="47">
        <v>849600</v>
      </c>
      <c r="H193" s="37">
        <f t="shared" si="18"/>
        <v>77</v>
      </c>
      <c r="I193" s="37" t="str">
        <f t="shared" ref="I193" si="30">IF(H193&lt;91,"1-90 DAYS",IF(H193&lt;121,"91-120DAYS",IF(H193&lt;181,"121-180 DAYS","More than 180 Days")))</f>
        <v>1-90 DAYS</v>
      </c>
      <c r="J193" s="37" t="str">
        <f t="shared" si="20"/>
        <v>0-180 DAYS</v>
      </c>
      <c r="K193" t="s">
        <v>1730</v>
      </c>
      <c r="M193" s="158" t="s">
        <v>5207</v>
      </c>
      <c r="N193" s="158">
        <v>849600</v>
      </c>
    </row>
    <row r="194" spans="1:14" x14ac:dyDescent="0.35">
      <c r="A194" t="s">
        <v>1085</v>
      </c>
      <c r="B194" t="s">
        <v>790</v>
      </c>
      <c r="C194" t="s">
        <v>814</v>
      </c>
      <c r="D194" t="s">
        <v>5019</v>
      </c>
      <c r="E194" t="s">
        <v>5053</v>
      </c>
      <c r="F194" s="35">
        <v>46160</v>
      </c>
      <c r="G194" s="47">
        <v>884826.39</v>
      </c>
      <c r="H194" s="37">
        <f t="shared" si="18"/>
        <v>75</v>
      </c>
      <c r="I194" s="37" t="str">
        <f t="shared" si="28"/>
        <v>0-120 DAYS</v>
      </c>
      <c r="J194" s="37" t="str">
        <f t="shared" si="20"/>
        <v>0-180 DAYS</v>
      </c>
      <c r="K194" t="s">
        <v>1730</v>
      </c>
      <c r="M194" s="158" t="s">
        <v>5209</v>
      </c>
      <c r="N194" s="158">
        <v>884826.39</v>
      </c>
    </row>
    <row r="195" spans="1:14" x14ac:dyDescent="0.35">
      <c r="A195" s="88" t="s">
        <v>477</v>
      </c>
      <c r="B195" t="s">
        <v>790</v>
      </c>
      <c r="C195" t="s">
        <v>5054</v>
      </c>
      <c r="D195" t="s">
        <v>5055</v>
      </c>
      <c r="E195" t="s">
        <v>5056</v>
      </c>
      <c r="F195" s="35">
        <v>46161</v>
      </c>
      <c r="G195" s="47">
        <v>206500</v>
      </c>
      <c r="H195" s="37">
        <f t="shared" si="18"/>
        <v>74</v>
      </c>
      <c r="I195" s="37" t="str">
        <f t="shared" ref="I195" si="31">IF(H195&lt;91,"1-90 DAYS",IF(H195&lt;121,"91-120DAYS",IF(H195&lt;181,"121-180 DAYS","More than 180 Days")))</f>
        <v>1-90 DAYS</v>
      </c>
      <c r="J195" s="37" t="str">
        <f t="shared" si="20"/>
        <v>0-180 DAYS</v>
      </c>
      <c r="K195" t="s">
        <v>1730</v>
      </c>
      <c r="M195" s="158" t="s">
        <v>5210</v>
      </c>
      <c r="N195" s="158">
        <v>206500</v>
      </c>
    </row>
    <row r="196" spans="1:14" x14ac:dyDescent="0.35">
      <c r="A196" s="88" t="s">
        <v>4333</v>
      </c>
      <c r="B196" s="88" t="s">
        <v>789</v>
      </c>
      <c r="C196" t="s">
        <v>125</v>
      </c>
      <c r="D196" t="s">
        <v>57</v>
      </c>
      <c r="E196" t="s">
        <v>1612</v>
      </c>
      <c r="F196" s="35">
        <v>46161</v>
      </c>
      <c r="G196" s="47">
        <v>1290786.95</v>
      </c>
      <c r="H196" s="37">
        <f t="shared" ref="H196:H264" si="32">$H$1-F196+1</f>
        <v>74</v>
      </c>
      <c r="I196" s="37" t="str">
        <f>IF(H196&lt;91,"1-90 DAYS",IF(H196&lt;121,"91-120DAYS",IF(H196&lt;181,"121-180 DAYS","More than 180 Days")))</f>
        <v>1-90 DAYS</v>
      </c>
      <c r="J196" s="37" t="str">
        <f t="shared" si="20"/>
        <v>0-180 DAYS</v>
      </c>
      <c r="M196" s="158" t="s">
        <v>5210</v>
      </c>
      <c r="N196" s="158">
        <v>1290786.95</v>
      </c>
    </row>
    <row r="197" spans="1:14" x14ac:dyDescent="0.35">
      <c r="A197" s="88" t="s">
        <v>1085</v>
      </c>
      <c r="B197" s="88" t="s">
        <v>790</v>
      </c>
      <c r="C197" t="s">
        <v>1086</v>
      </c>
      <c r="D197" s="37" t="s">
        <v>507</v>
      </c>
      <c r="E197" t="s">
        <v>5057</v>
      </c>
      <c r="F197" s="35">
        <v>46162</v>
      </c>
      <c r="G197" s="47">
        <v>2256022.2400000002</v>
      </c>
      <c r="H197" s="37">
        <f t="shared" si="32"/>
        <v>73</v>
      </c>
      <c r="I197" s="37" t="str">
        <f t="shared" si="28"/>
        <v>0-120 DAYS</v>
      </c>
      <c r="J197" s="37" t="str">
        <f t="shared" si="20"/>
        <v>0-180 DAYS</v>
      </c>
      <c r="K197" t="s">
        <v>1730</v>
      </c>
      <c r="M197" s="158" t="s">
        <v>5211</v>
      </c>
      <c r="N197" s="158">
        <v>2256022.2400000002</v>
      </c>
    </row>
    <row r="198" spans="1:14" x14ac:dyDescent="0.35">
      <c r="A198" s="88" t="s">
        <v>1085</v>
      </c>
      <c r="B198" s="88" t="s">
        <v>790</v>
      </c>
      <c r="C198" t="s">
        <v>1086</v>
      </c>
      <c r="D198" s="37" t="s">
        <v>507</v>
      </c>
      <c r="E198" t="s">
        <v>5058</v>
      </c>
      <c r="F198" s="35">
        <v>46162</v>
      </c>
      <c r="G198" s="47">
        <v>712587.09</v>
      </c>
      <c r="H198" s="37">
        <f t="shared" si="32"/>
        <v>73</v>
      </c>
      <c r="I198" s="37" t="str">
        <f t="shared" si="28"/>
        <v>0-120 DAYS</v>
      </c>
      <c r="J198" s="37" t="str">
        <f t="shared" ref="J198:J265" si="33">IF(H198&lt;180,"0-180 DAYS","More than 180 Days")</f>
        <v>0-180 DAYS</v>
      </c>
      <c r="K198" t="s">
        <v>1730</v>
      </c>
      <c r="M198" s="158" t="s">
        <v>5211</v>
      </c>
      <c r="N198" s="158">
        <v>712587.09</v>
      </c>
    </row>
    <row r="199" spans="1:14" x14ac:dyDescent="0.35">
      <c r="A199" s="88" t="s">
        <v>1085</v>
      </c>
      <c r="B199" s="88" t="s">
        <v>790</v>
      </c>
      <c r="C199" t="s">
        <v>1086</v>
      </c>
      <c r="D199" s="37" t="s">
        <v>507</v>
      </c>
      <c r="E199" t="s">
        <v>5059</v>
      </c>
      <c r="F199" s="35">
        <v>46162</v>
      </c>
      <c r="G199" s="47">
        <v>101104.49</v>
      </c>
      <c r="H199" s="37">
        <f t="shared" si="32"/>
        <v>73</v>
      </c>
      <c r="I199" s="37" t="str">
        <f t="shared" si="28"/>
        <v>0-120 DAYS</v>
      </c>
      <c r="J199" s="37" t="str">
        <f t="shared" si="33"/>
        <v>0-180 DAYS</v>
      </c>
      <c r="K199" t="s">
        <v>1730</v>
      </c>
      <c r="M199" s="158" t="s">
        <v>5211</v>
      </c>
      <c r="N199" s="158">
        <v>101104.49</v>
      </c>
    </row>
    <row r="200" spans="1:14" x14ac:dyDescent="0.35">
      <c r="A200" s="88" t="s">
        <v>1085</v>
      </c>
      <c r="B200" s="88" t="s">
        <v>790</v>
      </c>
      <c r="C200" t="s">
        <v>1086</v>
      </c>
      <c r="D200" s="37" t="s">
        <v>507</v>
      </c>
      <c r="E200" t="s">
        <v>5060</v>
      </c>
      <c r="F200" s="35">
        <v>46162</v>
      </c>
      <c r="G200" s="47">
        <v>3109048.79</v>
      </c>
      <c r="H200" s="37">
        <f t="shared" si="32"/>
        <v>73</v>
      </c>
      <c r="I200" s="37" t="str">
        <f t="shared" si="28"/>
        <v>0-120 DAYS</v>
      </c>
      <c r="J200" s="37" t="str">
        <f t="shared" si="33"/>
        <v>0-180 DAYS</v>
      </c>
      <c r="K200" t="s">
        <v>1730</v>
      </c>
      <c r="M200" s="158" t="s">
        <v>5211</v>
      </c>
      <c r="N200" s="158">
        <v>3109048.79</v>
      </c>
    </row>
    <row r="201" spans="1:14" x14ac:dyDescent="0.35">
      <c r="A201" s="88" t="s">
        <v>4333</v>
      </c>
      <c r="B201" s="88" t="s">
        <v>789</v>
      </c>
      <c r="C201" t="s">
        <v>125</v>
      </c>
      <c r="D201" t="s">
        <v>57</v>
      </c>
      <c r="E201" t="s">
        <v>5061</v>
      </c>
      <c r="F201" s="35">
        <v>46164</v>
      </c>
      <c r="G201" s="47">
        <v>496019.23</v>
      </c>
      <c r="H201" s="37">
        <f t="shared" si="32"/>
        <v>71</v>
      </c>
      <c r="I201" s="37" t="str">
        <f t="shared" ref="I201:I202" si="34">IF(H201&lt;91,"1-90 DAYS",IF(H201&lt;121,"91-120DAYS",IF(H201&lt;181,"121-180 DAYS","More than 180 Days")))</f>
        <v>1-90 DAYS</v>
      </c>
      <c r="J201" s="37" t="str">
        <f t="shared" si="33"/>
        <v>0-180 DAYS</v>
      </c>
      <c r="M201" s="158" t="s">
        <v>5213</v>
      </c>
      <c r="N201" s="158">
        <v>496019.23</v>
      </c>
    </row>
    <row r="202" spans="1:14" x14ac:dyDescent="0.35">
      <c r="A202" s="88" t="s">
        <v>4333</v>
      </c>
      <c r="B202" s="88" t="s">
        <v>789</v>
      </c>
      <c r="C202" t="s">
        <v>125</v>
      </c>
      <c r="D202" t="s">
        <v>57</v>
      </c>
      <c r="E202" t="s">
        <v>15</v>
      </c>
      <c r="F202" s="35">
        <v>46164</v>
      </c>
      <c r="G202" s="47">
        <v>4866.91</v>
      </c>
      <c r="H202" s="37">
        <f t="shared" si="32"/>
        <v>71</v>
      </c>
      <c r="I202" s="37" t="str">
        <f t="shared" si="34"/>
        <v>1-90 DAYS</v>
      </c>
      <c r="J202" s="37" t="str">
        <f t="shared" si="33"/>
        <v>0-180 DAYS</v>
      </c>
      <c r="M202" s="158" t="s">
        <v>5213</v>
      </c>
      <c r="N202" s="158">
        <v>4866.91</v>
      </c>
    </row>
    <row r="203" spans="1:14" x14ac:dyDescent="0.35">
      <c r="A203" s="88" t="s">
        <v>1085</v>
      </c>
      <c r="B203" s="88" t="s">
        <v>790</v>
      </c>
      <c r="C203" t="s">
        <v>650</v>
      </c>
      <c r="D203" s="37" t="s">
        <v>507</v>
      </c>
      <c r="E203" t="s">
        <v>5062</v>
      </c>
      <c r="F203" s="35">
        <v>46164</v>
      </c>
      <c r="G203" s="47">
        <v>4407861.51</v>
      </c>
      <c r="H203" s="37">
        <f t="shared" si="32"/>
        <v>71</v>
      </c>
      <c r="I203" s="37" t="str">
        <f t="shared" si="28"/>
        <v>0-120 DAYS</v>
      </c>
      <c r="J203" s="37" t="str">
        <f t="shared" si="33"/>
        <v>0-180 DAYS</v>
      </c>
      <c r="K203" t="s">
        <v>1730</v>
      </c>
      <c r="M203" s="158" t="s">
        <v>5213</v>
      </c>
      <c r="N203" s="158">
        <v>4407861.51</v>
      </c>
    </row>
    <row r="204" spans="1:14" x14ac:dyDescent="0.35">
      <c r="A204" s="88" t="s">
        <v>4333</v>
      </c>
      <c r="B204" s="88" t="s">
        <v>789</v>
      </c>
      <c r="C204" t="s">
        <v>125</v>
      </c>
      <c r="D204" t="s">
        <v>57</v>
      </c>
      <c r="E204" t="s">
        <v>5063</v>
      </c>
      <c r="F204" s="35">
        <v>46165</v>
      </c>
      <c r="G204" s="47">
        <v>5939732.2999999998</v>
      </c>
      <c r="H204" s="37">
        <f t="shared" si="32"/>
        <v>70</v>
      </c>
      <c r="I204" s="37" t="str">
        <f t="shared" ref="I204:I205" si="35">IF(H204&lt;91,"1-90 DAYS",IF(H204&lt;121,"91-120DAYS",IF(H204&lt;181,"121-180 DAYS","More than 180 Days")))</f>
        <v>1-90 DAYS</v>
      </c>
      <c r="J204" s="37" t="str">
        <f t="shared" si="33"/>
        <v>0-180 DAYS</v>
      </c>
      <c r="M204" s="158" t="s">
        <v>5214</v>
      </c>
      <c r="N204" s="158">
        <v>5939732.2999999998</v>
      </c>
    </row>
    <row r="205" spans="1:14" x14ac:dyDescent="0.35">
      <c r="A205" s="88" t="s">
        <v>4333</v>
      </c>
      <c r="B205" s="88" t="s">
        <v>789</v>
      </c>
      <c r="C205" t="s">
        <v>125</v>
      </c>
      <c r="D205" t="s">
        <v>57</v>
      </c>
      <c r="E205" t="s">
        <v>5064</v>
      </c>
      <c r="F205" s="35">
        <v>46166</v>
      </c>
      <c r="G205" s="47">
        <v>992208.78</v>
      </c>
      <c r="H205" s="37">
        <f t="shared" si="32"/>
        <v>69</v>
      </c>
      <c r="I205" s="37" t="str">
        <f t="shared" si="35"/>
        <v>1-90 DAYS</v>
      </c>
      <c r="J205" s="37" t="str">
        <f t="shared" si="33"/>
        <v>0-180 DAYS</v>
      </c>
      <c r="M205" s="158" t="s">
        <v>5215</v>
      </c>
      <c r="N205" s="158">
        <v>992208.78</v>
      </c>
    </row>
    <row r="206" spans="1:14" x14ac:dyDescent="0.35">
      <c r="A206" s="88" t="s">
        <v>1085</v>
      </c>
      <c r="B206" s="88" t="s">
        <v>790</v>
      </c>
      <c r="C206" t="s">
        <v>647</v>
      </c>
      <c r="D206" s="37" t="s">
        <v>507</v>
      </c>
      <c r="E206" t="s">
        <v>5065</v>
      </c>
      <c r="F206" s="35">
        <v>46169</v>
      </c>
      <c r="G206" s="47">
        <v>3244593.64</v>
      </c>
      <c r="H206" s="37">
        <f t="shared" si="32"/>
        <v>66</v>
      </c>
      <c r="I206" s="37" t="str">
        <f t="shared" si="28"/>
        <v>0-120 DAYS</v>
      </c>
      <c r="J206" s="37" t="str">
        <f t="shared" si="33"/>
        <v>0-180 DAYS</v>
      </c>
      <c r="K206" t="s">
        <v>1730</v>
      </c>
      <c r="M206" s="158" t="s">
        <v>5218</v>
      </c>
      <c r="N206" s="158">
        <v>3244593.64</v>
      </c>
    </row>
    <row r="207" spans="1:14" x14ac:dyDescent="0.35">
      <c r="A207" s="88" t="s">
        <v>4333</v>
      </c>
      <c r="B207" s="88" t="s">
        <v>789</v>
      </c>
      <c r="C207" t="s">
        <v>125</v>
      </c>
      <c r="D207" t="s">
        <v>57</v>
      </c>
      <c r="E207" t="s">
        <v>1620</v>
      </c>
      <c r="F207" s="35">
        <v>46169</v>
      </c>
      <c r="G207" s="47">
        <v>872271.84</v>
      </c>
      <c r="H207" s="37">
        <f t="shared" si="32"/>
        <v>66</v>
      </c>
      <c r="I207" s="37" t="str">
        <f t="shared" ref="I207:I208" si="36">IF(H207&lt;91,"1-90 DAYS",IF(H207&lt;121,"91-120DAYS",IF(H207&lt;181,"121-180 DAYS","More than 180 Days")))</f>
        <v>1-90 DAYS</v>
      </c>
      <c r="J207" s="37" t="str">
        <f t="shared" si="33"/>
        <v>0-180 DAYS</v>
      </c>
      <c r="M207" s="158" t="s">
        <v>5218</v>
      </c>
      <c r="N207" s="158">
        <v>872271.84</v>
      </c>
    </row>
    <row r="208" spans="1:14" x14ac:dyDescent="0.35">
      <c r="A208" s="88" t="s">
        <v>4333</v>
      </c>
      <c r="B208" s="88" t="s">
        <v>789</v>
      </c>
      <c r="C208" t="s">
        <v>125</v>
      </c>
      <c r="D208" t="s">
        <v>57</v>
      </c>
      <c r="E208" t="s">
        <v>1619</v>
      </c>
      <c r="F208" s="35">
        <v>46169</v>
      </c>
      <c r="G208" s="47">
        <v>18675.36</v>
      </c>
      <c r="H208" s="37">
        <f t="shared" si="32"/>
        <v>66</v>
      </c>
      <c r="I208" s="37" t="str">
        <f t="shared" si="36"/>
        <v>1-90 DAYS</v>
      </c>
      <c r="J208" s="37" t="str">
        <f t="shared" si="33"/>
        <v>0-180 DAYS</v>
      </c>
      <c r="M208" s="158" t="s">
        <v>5218</v>
      </c>
      <c r="N208" s="158">
        <v>18675.36</v>
      </c>
    </row>
    <row r="209" spans="1:14" x14ac:dyDescent="0.35">
      <c r="A209" s="88" t="s">
        <v>1085</v>
      </c>
      <c r="B209" s="88" t="s">
        <v>790</v>
      </c>
      <c r="C209" t="s">
        <v>1086</v>
      </c>
      <c r="D209" s="37" t="s">
        <v>507</v>
      </c>
      <c r="E209" t="s">
        <v>5066</v>
      </c>
      <c r="F209" s="35">
        <v>46170</v>
      </c>
      <c r="G209" s="47">
        <v>108307.11</v>
      </c>
      <c r="H209" s="37">
        <f t="shared" si="32"/>
        <v>65</v>
      </c>
      <c r="I209" s="37" t="str">
        <f t="shared" si="28"/>
        <v>0-120 DAYS</v>
      </c>
      <c r="J209" s="37" t="str">
        <f t="shared" si="33"/>
        <v>0-180 DAYS</v>
      </c>
      <c r="K209" t="s">
        <v>1730</v>
      </c>
      <c r="M209" s="158" t="s">
        <v>5219</v>
      </c>
      <c r="N209" s="158">
        <v>108307.11</v>
      </c>
    </row>
    <row r="210" spans="1:14" x14ac:dyDescent="0.35">
      <c r="A210" s="88" t="s">
        <v>1085</v>
      </c>
      <c r="B210" s="88" t="s">
        <v>790</v>
      </c>
      <c r="C210" t="s">
        <v>1086</v>
      </c>
      <c r="D210" s="37" t="s">
        <v>507</v>
      </c>
      <c r="E210" t="s">
        <v>5067</v>
      </c>
      <c r="F210" s="35">
        <v>46170</v>
      </c>
      <c r="G210" s="47">
        <v>1664664.16</v>
      </c>
      <c r="H210" s="37">
        <f t="shared" si="32"/>
        <v>65</v>
      </c>
      <c r="I210" s="37" t="str">
        <f t="shared" si="28"/>
        <v>0-120 DAYS</v>
      </c>
      <c r="J210" s="37" t="str">
        <f t="shared" si="33"/>
        <v>0-180 DAYS</v>
      </c>
      <c r="K210" t="s">
        <v>1730</v>
      </c>
      <c r="M210" s="158" t="s">
        <v>5219</v>
      </c>
      <c r="N210" s="158">
        <v>1664664.16</v>
      </c>
    </row>
    <row r="211" spans="1:14" x14ac:dyDescent="0.35">
      <c r="A211" s="88" t="s">
        <v>1085</v>
      </c>
      <c r="B211" s="88" t="s">
        <v>790</v>
      </c>
      <c r="C211" t="s">
        <v>1086</v>
      </c>
      <c r="D211" s="37" t="s">
        <v>507</v>
      </c>
      <c r="E211" t="s">
        <v>5068</v>
      </c>
      <c r="F211" s="35">
        <v>46170</v>
      </c>
      <c r="G211" s="47">
        <v>1179699.76</v>
      </c>
      <c r="H211" s="37">
        <f t="shared" si="32"/>
        <v>65</v>
      </c>
      <c r="I211" s="37" t="str">
        <f t="shared" si="28"/>
        <v>0-120 DAYS</v>
      </c>
      <c r="J211" s="37" t="str">
        <f t="shared" si="33"/>
        <v>0-180 DAYS</v>
      </c>
      <c r="K211" t="s">
        <v>1730</v>
      </c>
      <c r="M211" s="158" t="s">
        <v>5219</v>
      </c>
      <c r="N211" s="158">
        <v>1179699.76</v>
      </c>
    </row>
    <row r="212" spans="1:14" x14ac:dyDescent="0.35">
      <c r="A212" s="88" t="s">
        <v>4333</v>
      </c>
      <c r="B212" s="88" t="s">
        <v>789</v>
      </c>
      <c r="C212" t="s">
        <v>125</v>
      </c>
      <c r="D212" t="s">
        <v>57</v>
      </c>
      <c r="E212" t="s">
        <v>5069</v>
      </c>
      <c r="F212" s="35">
        <v>46170</v>
      </c>
      <c r="G212" s="47">
        <v>5547079.8300000001</v>
      </c>
      <c r="H212" s="37">
        <f t="shared" si="32"/>
        <v>65</v>
      </c>
      <c r="I212" s="37" t="str">
        <f t="shared" ref="I212:I229" si="37">IF(H212&lt;91,"1-90 DAYS",IF(H212&lt;121,"91-120DAYS",IF(H212&lt;181,"121-180 DAYS","More than 180 Days")))</f>
        <v>1-90 DAYS</v>
      </c>
      <c r="J212" s="37" t="str">
        <f t="shared" si="33"/>
        <v>0-180 DAYS</v>
      </c>
      <c r="M212" s="158" t="s">
        <v>5219</v>
      </c>
      <c r="N212" s="158">
        <v>5547079.8300000001</v>
      </c>
    </row>
    <row r="213" spans="1:14" x14ac:dyDescent="0.35">
      <c r="A213" s="88" t="s">
        <v>4333</v>
      </c>
      <c r="B213" s="88" t="s">
        <v>789</v>
      </c>
      <c r="C213" t="s">
        <v>125</v>
      </c>
      <c r="D213" t="s">
        <v>57</v>
      </c>
      <c r="E213" t="s">
        <v>5070</v>
      </c>
      <c r="F213" s="35">
        <v>46172</v>
      </c>
      <c r="G213" s="47">
        <v>326224.58</v>
      </c>
      <c r="H213" s="37">
        <f t="shared" si="32"/>
        <v>63</v>
      </c>
      <c r="I213" s="37" t="str">
        <f t="shared" si="37"/>
        <v>1-90 DAYS</v>
      </c>
      <c r="J213" s="37" t="str">
        <f t="shared" si="33"/>
        <v>0-180 DAYS</v>
      </c>
      <c r="M213" s="158" t="s">
        <v>5221</v>
      </c>
      <c r="N213" s="158">
        <v>326224.58</v>
      </c>
    </row>
    <row r="214" spans="1:14" x14ac:dyDescent="0.35">
      <c r="A214" s="88" t="s">
        <v>4333</v>
      </c>
      <c r="B214" s="88" t="s">
        <v>789</v>
      </c>
      <c r="C214" t="s">
        <v>125</v>
      </c>
      <c r="D214" t="s">
        <v>57</v>
      </c>
      <c r="E214" t="s">
        <v>5071</v>
      </c>
      <c r="F214" s="35">
        <v>46172</v>
      </c>
      <c r="G214" s="47">
        <v>3169.15</v>
      </c>
      <c r="H214" s="37">
        <f t="shared" si="32"/>
        <v>63</v>
      </c>
      <c r="I214" s="37" t="str">
        <f t="shared" si="37"/>
        <v>1-90 DAYS</v>
      </c>
      <c r="J214" s="37" t="str">
        <f t="shared" si="33"/>
        <v>0-180 DAYS</v>
      </c>
      <c r="M214" s="158" t="s">
        <v>5221</v>
      </c>
      <c r="N214" s="158">
        <v>3169.15</v>
      </c>
    </row>
    <row r="215" spans="1:14" x14ac:dyDescent="0.35">
      <c r="A215" t="s">
        <v>477</v>
      </c>
      <c r="B215" t="s">
        <v>790</v>
      </c>
      <c r="C215" t="s">
        <v>4780</v>
      </c>
      <c r="D215" t="s">
        <v>4783</v>
      </c>
      <c r="E215" t="s">
        <v>5077</v>
      </c>
      <c r="F215" s="35">
        <v>46175</v>
      </c>
      <c r="G215" s="47">
        <v>254936.21</v>
      </c>
      <c r="H215" s="37">
        <f t="shared" si="32"/>
        <v>60</v>
      </c>
      <c r="I215" s="37" t="str">
        <f t="shared" si="37"/>
        <v>1-90 DAYS</v>
      </c>
      <c r="J215" s="37" t="str">
        <f t="shared" si="33"/>
        <v>0-180 DAYS</v>
      </c>
      <c r="K215" t="s">
        <v>1730</v>
      </c>
      <c r="M215" s="158" t="s">
        <v>5224</v>
      </c>
      <c r="N215" s="158">
        <v>254936.21</v>
      </c>
    </row>
    <row r="216" spans="1:14" x14ac:dyDescent="0.35">
      <c r="A216" t="s">
        <v>4333</v>
      </c>
      <c r="B216" t="s">
        <v>789</v>
      </c>
      <c r="C216" t="s">
        <v>125</v>
      </c>
      <c r="D216" t="s">
        <v>57</v>
      </c>
      <c r="E216" t="s">
        <v>1966</v>
      </c>
      <c r="F216" s="35">
        <v>46175</v>
      </c>
      <c r="G216" s="47">
        <v>464859.78</v>
      </c>
      <c r="H216" s="37">
        <f t="shared" si="32"/>
        <v>60</v>
      </c>
      <c r="I216" s="37" t="str">
        <f t="shared" si="37"/>
        <v>1-90 DAYS</v>
      </c>
      <c r="J216" s="37" t="str">
        <f t="shared" si="33"/>
        <v>0-180 DAYS</v>
      </c>
      <c r="M216" s="158" t="s">
        <v>5224</v>
      </c>
      <c r="N216" s="158">
        <v>464859.78</v>
      </c>
    </row>
    <row r="217" spans="1:14" x14ac:dyDescent="0.35">
      <c r="A217" t="s">
        <v>4333</v>
      </c>
      <c r="B217" t="s">
        <v>789</v>
      </c>
      <c r="C217" t="s">
        <v>125</v>
      </c>
      <c r="D217" t="s">
        <v>57</v>
      </c>
      <c r="E217" t="s">
        <v>1966</v>
      </c>
      <c r="F217" s="35">
        <v>46175</v>
      </c>
      <c r="G217" s="47">
        <v>98724.12</v>
      </c>
      <c r="H217" s="37">
        <f t="shared" si="32"/>
        <v>60</v>
      </c>
      <c r="I217" s="37" t="str">
        <f t="shared" si="37"/>
        <v>1-90 DAYS</v>
      </c>
      <c r="J217" s="37" t="str">
        <f t="shared" si="33"/>
        <v>0-180 DAYS</v>
      </c>
      <c r="M217" s="158" t="s">
        <v>5224</v>
      </c>
      <c r="N217" s="158">
        <v>98724.12</v>
      </c>
    </row>
    <row r="218" spans="1:14" x14ac:dyDescent="0.35">
      <c r="A218" t="s">
        <v>4333</v>
      </c>
      <c r="B218" t="s">
        <v>789</v>
      </c>
      <c r="C218" t="s">
        <v>125</v>
      </c>
      <c r="D218" t="s">
        <v>57</v>
      </c>
      <c r="E218" t="s">
        <v>1966</v>
      </c>
      <c r="F218" s="35">
        <v>46175</v>
      </c>
      <c r="G218" s="47">
        <v>186785.68</v>
      </c>
      <c r="H218" s="37">
        <f t="shared" si="32"/>
        <v>60</v>
      </c>
      <c r="I218" s="37" t="str">
        <f t="shared" si="37"/>
        <v>1-90 DAYS</v>
      </c>
      <c r="J218" s="37" t="str">
        <f t="shared" si="33"/>
        <v>0-180 DAYS</v>
      </c>
      <c r="M218" s="158" t="s">
        <v>5224</v>
      </c>
      <c r="N218" s="158">
        <v>186785.68</v>
      </c>
    </row>
    <row r="219" spans="1:14" x14ac:dyDescent="0.35">
      <c r="A219" t="s">
        <v>4333</v>
      </c>
      <c r="B219" t="s">
        <v>789</v>
      </c>
      <c r="C219" t="s">
        <v>125</v>
      </c>
      <c r="D219" t="s">
        <v>57</v>
      </c>
      <c r="E219" t="s">
        <v>1966</v>
      </c>
      <c r="F219" s="35">
        <v>46175</v>
      </c>
      <c r="G219" s="47">
        <v>138434.82999999999</v>
      </c>
      <c r="H219" s="37">
        <f t="shared" si="32"/>
        <v>60</v>
      </c>
      <c r="I219" s="37" t="str">
        <f t="shared" si="37"/>
        <v>1-90 DAYS</v>
      </c>
      <c r="J219" s="37" t="str">
        <f t="shared" si="33"/>
        <v>0-180 DAYS</v>
      </c>
      <c r="M219" s="158" t="s">
        <v>5224</v>
      </c>
      <c r="N219" s="158">
        <v>138434.82999999999</v>
      </c>
    </row>
    <row r="220" spans="1:14" x14ac:dyDescent="0.35">
      <c r="A220" t="s">
        <v>4333</v>
      </c>
      <c r="B220" t="s">
        <v>789</v>
      </c>
      <c r="C220" t="s">
        <v>125</v>
      </c>
      <c r="D220" t="s">
        <v>57</v>
      </c>
      <c r="E220" t="s">
        <v>1966</v>
      </c>
      <c r="F220" s="35">
        <v>46175</v>
      </c>
      <c r="G220" s="47">
        <v>248785.41</v>
      </c>
      <c r="H220" s="37">
        <f t="shared" si="32"/>
        <v>60</v>
      </c>
      <c r="I220" s="37" t="str">
        <f t="shared" si="37"/>
        <v>1-90 DAYS</v>
      </c>
      <c r="J220" s="37" t="str">
        <f t="shared" si="33"/>
        <v>0-180 DAYS</v>
      </c>
      <c r="M220" s="158" t="s">
        <v>5224</v>
      </c>
      <c r="N220" s="158">
        <v>248785.41</v>
      </c>
    </row>
    <row r="221" spans="1:14" x14ac:dyDescent="0.35">
      <c r="A221" t="s">
        <v>4333</v>
      </c>
      <c r="B221" t="s">
        <v>789</v>
      </c>
      <c r="C221" t="s">
        <v>125</v>
      </c>
      <c r="D221" t="s">
        <v>57</v>
      </c>
      <c r="E221" t="s">
        <v>1966</v>
      </c>
      <c r="F221" s="35">
        <v>46175</v>
      </c>
      <c r="G221" s="47">
        <v>53741.1</v>
      </c>
      <c r="H221" s="37">
        <f t="shared" si="32"/>
        <v>60</v>
      </c>
      <c r="I221" s="37" t="str">
        <f t="shared" si="37"/>
        <v>1-90 DAYS</v>
      </c>
      <c r="J221" s="37" t="str">
        <f t="shared" si="33"/>
        <v>0-180 DAYS</v>
      </c>
      <c r="M221" s="158" t="s">
        <v>5224</v>
      </c>
      <c r="N221" s="158">
        <v>53741.1</v>
      </c>
    </row>
    <row r="222" spans="1:14" x14ac:dyDescent="0.35">
      <c r="A222" t="s">
        <v>4333</v>
      </c>
      <c r="B222" t="s">
        <v>789</v>
      </c>
      <c r="C222" t="s">
        <v>125</v>
      </c>
      <c r="D222" t="s">
        <v>57</v>
      </c>
      <c r="E222" t="s">
        <v>1966</v>
      </c>
      <c r="F222" s="35">
        <v>46175</v>
      </c>
      <c r="G222" s="47">
        <v>157023.6</v>
      </c>
      <c r="H222" s="37">
        <f t="shared" si="32"/>
        <v>60</v>
      </c>
      <c r="I222" s="37" t="str">
        <f t="shared" si="37"/>
        <v>1-90 DAYS</v>
      </c>
      <c r="J222" s="37" t="str">
        <f t="shared" si="33"/>
        <v>0-180 DAYS</v>
      </c>
      <c r="M222" s="158" t="s">
        <v>5224</v>
      </c>
      <c r="N222" s="158">
        <v>157023.6</v>
      </c>
    </row>
    <row r="223" spans="1:14" x14ac:dyDescent="0.35">
      <c r="A223" t="s">
        <v>4333</v>
      </c>
      <c r="B223" t="s">
        <v>789</v>
      </c>
      <c r="C223" t="s">
        <v>125</v>
      </c>
      <c r="D223" t="s">
        <v>57</v>
      </c>
      <c r="E223" t="s">
        <v>1967</v>
      </c>
      <c r="F223" s="35">
        <v>46175</v>
      </c>
      <c r="G223" s="47">
        <v>4800</v>
      </c>
      <c r="H223" s="37">
        <f t="shared" si="32"/>
        <v>60</v>
      </c>
      <c r="I223" s="37" t="str">
        <f t="shared" si="37"/>
        <v>1-90 DAYS</v>
      </c>
      <c r="J223" s="37" t="str">
        <f t="shared" si="33"/>
        <v>0-180 DAYS</v>
      </c>
      <c r="M223" s="158" t="s">
        <v>5224</v>
      </c>
      <c r="N223" s="158">
        <v>4800</v>
      </c>
    </row>
    <row r="224" spans="1:14" x14ac:dyDescent="0.35">
      <c r="A224" t="s">
        <v>4333</v>
      </c>
      <c r="B224" t="s">
        <v>789</v>
      </c>
      <c r="C224" t="s">
        <v>125</v>
      </c>
      <c r="D224" t="s">
        <v>57</v>
      </c>
      <c r="E224" t="s">
        <v>5078</v>
      </c>
      <c r="F224" s="35">
        <v>46175</v>
      </c>
      <c r="G224" s="47">
        <v>42553.36</v>
      </c>
      <c r="H224" s="37">
        <f t="shared" si="32"/>
        <v>60</v>
      </c>
      <c r="I224" s="37" t="str">
        <f t="shared" si="37"/>
        <v>1-90 DAYS</v>
      </c>
      <c r="J224" s="37" t="str">
        <f t="shared" si="33"/>
        <v>0-180 DAYS</v>
      </c>
      <c r="M224" s="158" t="s">
        <v>5224</v>
      </c>
      <c r="N224" s="158">
        <v>42553.36</v>
      </c>
    </row>
    <row r="225" spans="1:14" x14ac:dyDescent="0.35">
      <c r="A225" t="s">
        <v>4333</v>
      </c>
      <c r="B225" t="s">
        <v>789</v>
      </c>
      <c r="C225" t="s">
        <v>125</v>
      </c>
      <c r="D225" t="s">
        <v>57</v>
      </c>
      <c r="E225" t="s">
        <v>5078</v>
      </c>
      <c r="F225" s="35">
        <v>46175</v>
      </c>
      <c r="G225" s="47">
        <v>38992.300000000003</v>
      </c>
      <c r="H225" s="37">
        <f t="shared" si="32"/>
        <v>60</v>
      </c>
      <c r="I225" s="37" t="str">
        <f t="shared" si="37"/>
        <v>1-90 DAYS</v>
      </c>
      <c r="J225" s="37" t="str">
        <f t="shared" si="33"/>
        <v>0-180 DAYS</v>
      </c>
      <c r="M225" s="158" t="s">
        <v>5224</v>
      </c>
      <c r="N225" s="158">
        <v>38992.300000000003</v>
      </c>
    </row>
    <row r="226" spans="1:14" x14ac:dyDescent="0.35">
      <c r="A226" t="s">
        <v>4333</v>
      </c>
      <c r="B226" t="s">
        <v>789</v>
      </c>
      <c r="C226" t="s">
        <v>125</v>
      </c>
      <c r="D226" t="s">
        <v>57</v>
      </c>
      <c r="E226" t="s">
        <v>5078</v>
      </c>
      <c r="F226" s="35">
        <v>46175</v>
      </c>
      <c r="G226" s="47">
        <v>13152.9</v>
      </c>
      <c r="H226" s="37">
        <f t="shared" si="32"/>
        <v>60</v>
      </c>
      <c r="I226" s="37" t="str">
        <f t="shared" si="37"/>
        <v>1-90 DAYS</v>
      </c>
      <c r="J226" s="37" t="str">
        <f t="shared" si="33"/>
        <v>0-180 DAYS</v>
      </c>
      <c r="M226" s="158" t="s">
        <v>5224</v>
      </c>
      <c r="N226" s="158">
        <v>13152.9</v>
      </c>
    </row>
    <row r="227" spans="1:14" x14ac:dyDescent="0.35">
      <c r="A227" t="s">
        <v>4333</v>
      </c>
      <c r="B227" t="s">
        <v>789</v>
      </c>
      <c r="C227" t="s">
        <v>125</v>
      </c>
      <c r="D227" t="s">
        <v>57</v>
      </c>
      <c r="E227" t="s">
        <v>5079</v>
      </c>
      <c r="F227" s="35">
        <v>46175</v>
      </c>
      <c r="G227" s="47">
        <v>3312</v>
      </c>
      <c r="H227" s="37">
        <f t="shared" si="32"/>
        <v>60</v>
      </c>
      <c r="I227" s="37" t="str">
        <f t="shared" si="37"/>
        <v>1-90 DAYS</v>
      </c>
      <c r="J227" s="37" t="str">
        <f t="shared" si="33"/>
        <v>0-180 DAYS</v>
      </c>
      <c r="M227" s="158" t="s">
        <v>5224</v>
      </c>
      <c r="N227" s="158">
        <v>3312</v>
      </c>
    </row>
    <row r="228" spans="1:14" x14ac:dyDescent="0.35">
      <c r="A228" t="s">
        <v>4333</v>
      </c>
      <c r="B228" t="s">
        <v>789</v>
      </c>
      <c r="C228" t="s">
        <v>125</v>
      </c>
      <c r="D228" t="s">
        <v>57</v>
      </c>
      <c r="E228" t="s">
        <v>5080</v>
      </c>
      <c r="F228" s="35">
        <v>46175</v>
      </c>
      <c r="G228" s="47">
        <v>280583.38</v>
      </c>
      <c r="H228" s="37">
        <f t="shared" si="32"/>
        <v>60</v>
      </c>
      <c r="I228" s="37" t="str">
        <f t="shared" si="37"/>
        <v>1-90 DAYS</v>
      </c>
      <c r="J228" s="37" t="str">
        <f t="shared" si="33"/>
        <v>0-180 DAYS</v>
      </c>
      <c r="M228" s="158" t="s">
        <v>5224</v>
      </c>
      <c r="N228" s="158">
        <v>280583.38</v>
      </c>
    </row>
    <row r="229" spans="1:14" x14ac:dyDescent="0.35">
      <c r="A229" t="s">
        <v>477</v>
      </c>
      <c r="B229" t="s">
        <v>790</v>
      </c>
      <c r="C229" t="s">
        <v>3537</v>
      </c>
      <c r="D229" t="s">
        <v>3542</v>
      </c>
      <c r="E229" t="s">
        <v>5081</v>
      </c>
      <c r="F229" s="35">
        <v>46176</v>
      </c>
      <c r="G229" s="47">
        <v>440040.72</v>
      </c>
      <c r="H229" s="37">
        <f t="shared" si="32"/>
        <v>59</v>
      </c>
      <c r="I229" s="37" t="str">
        <f t="shared" si="37"/>
        <v>1-90 DAYS</v>
      </c>
      <c r="J229" s="37" t="str">
        <f t="shared" si="33"/>
        <v>0-180 DAYS</v>
      </c>
      <c r="K229" t="s">
        <v>1730</v>
      </c>
      <c r="M229" s="158" t="s">
        <v>5225</v>
      </c>
      <c r="N229" s="158">
        <v>440040.72</v>
      </c>
    </row>
    <row r="230" spans="1:14" x14ac:dyDescent="0.35">
      <c r="A230" t="s">
        <v>1085</v>
      </c>
      <c r="B230" t="s">
        <v>790</v>
      </c>
      <c r="C230" t="s">
        <v>559</v>
      </c>
      <c r="D230" t="s">
        <v>507</v>
      </c>
      <c r="E230" t="s">
        <v>5082</v>
      </c>
      <c r="F230" s="35">
        <v>46176</v>
      </c>
      <c r="G230" s="47">
        <v>1027955.001</v>
      </c>
      <c r="H230" s="37">
        <f t="shared" si="32"/>
        <v>59</v>
      </c>
      <c r="I230" s="37" t="str">
        <f t="shared" ref="I230:I233" si="38">IF(H230&lt;121,"0-120 DAYS",IF(H230&lt;181,"121-180 DAYS","More than 180 Days"))</f>
        <v>0-120 DAYS</v>
      </c>
      <c r="J230" s="37" t="str">
        <f t="shared" si="33"/>
        <v>0-180 DAYS</v>
      </c>
      <c r="K230" t="s">
        <v>1730</v>
      </c>
      <c r="M230" s="158" t="s">
        <v>5225</v>
      </c>
      <c r="N230" s="158">
        <v>1027955</v>
      </c>
    </row>
    <row r="231" spans="1:14" x14ac:dyDescent="0.35">
      <c r="A231" t="s">
        <v>1085</v>
      </c>
      <c r="B231" t="s">
        <v>790</v>
      </c>
      <c r="C231" t="s">
        <v>559</v>
      </c>
      <c r="D231" t="s">
        <v>507</v>
      </c>
      <c r="E231" t="s">
        <v>5082</v>
      </c>
      <c r="F231" s="35">
        <v>46176</v>
      </c>
      <c r="G231" s="47">
        <v>2680068.2415</v>
      </c>
      <c r="H231" s="37">
        <f t="shared" si="32"/>
        <v>59</v>
      </c>
      <c r="I231" s="37" t="str">
        <f t="shared" si="38"/>
        <v>0-120 DAYS</v>
      </c>
      <c r="J231" s="37" t="str">
        <f t="shared" si="33"/>
        <v>0-180 DAYS</v>
      </c>
      <c r="K231" t="s">
        <v>1730</v>
      </c>
      <c r="M231" s="158" t="s">
        <v>5225</v>
      </c>
      <c r="N231" s="158">
        <v>2680068.2400000002</v>
      </c>
    </row>
    <row r="232" spans="1:14" x14ac:dyDescent="0.35">
      <c r="A232" t="s">
        <v>1085</v>
      </c>
      <c r="B232" t="s">
        <v>790</v>
      </c>
      <c r="C232" t="s">
        <v>538</v>
      </c>
      <c r="D232" t="s">
        <v>507</v>
      </c>
      <c r="E232" t="s">
        <v>5083</v>
      </c>
      <c r="F232" s="35">
        <v>46176</v>
      </c>
      <c r="G232" s="47">
        <v>4372227.5310000004</v>
      </c>
      <c r="H232" s="37">
        <f t="shared" si="32"/>
        <v>59</v>
      </c>
      <c r="I232" s="37" t="str">
        <f t="shared" si="38"/>
        <v>0-120 DAYS</v>
      </c>
      <c r="J232" s="37" t="str">
        <f t="shared" si="33"/>
        <v>0-180 DAYS</v>
      </c>
      <c r="K232" t="s">
        <v>1730</v>
      </c>
      <c r="M232" s="158" t="s">
        <v>5225</v>
      </c>
      <c r="N232" s="158">
        <v>4372227.53</v>
      </c>
    </row>
    <row r="233" spans="1:14" x14ac:dyDescent="0.35">
      <c r="A233" t="s">
        <v>1085</v>
      </c>
      <c r="B233" t="s">
        <v>790</v>
      </c>
      <c r="C233" t="s">
        <v>538</v>
      </c>
      <c r="D233" t="s">
        <v>507</v>
      </c>
      <c r="E233" t="s">
        <v>5083</v>
      </c>
      <c r="F233" s="35">
        <v>46176</v>
      </c>
      <c r="G233" s="47">
        <v>251820.46400000001</v>
      </c>
      <c r="H233" s="37">
        <f t="shared" si="32"/>
        <v>59</v>
      </c>
      <c r="I233" s="37" t="str">
        <f t="shared" si="38"/>
        <v>0-120 DAYS</v>
      </c>
      <c r="J233" s="37" t="str">
        <f t="shared" si="33"/>
        <v>0-180 DAYS</v>
      </c>
      <c r="K233" t="s">
        <v>1730</v>
      </c>
      <c r="M233" s="158" t="s">
        <v>5225</v>
      </c>
      <c r="N233" s="158">
        <v>251820.46</v>
      </c>
    </row>
    <row r="234" spans="1:14" x14ac:dyDescent="0.35">
      <c r="A234" t="s">
        <v>4333</v>
      </c>
      <c r="B234" t="s">
        <v>789</v>
      </c>
      <c r="C234" t="s">
        <v>125</v>
      </c>
      <c r="D234" t="s">
        <v>57</v>
      </c>
      <c r="E234" t="s">
        <v>5084</v>
      </c>
      <c r="F234" s="35">
        <v>46176</v>
      </c>
      <c r="G234" s="47">
        <v>6757</v>
      </c>
      <c r="H234" s="37">
        <f t="shared" si="32"/>
        <v>59</v>
      </c>
      <c r="I234" s="37" t="str">
        <f t="shared" ref="I234:I251" si="39">IF(H234&lt;91,"1-90 DAYS",IF(H234&lt;121,"91-120DAYS",IF(H234&lt;181,"121-180 DAYS","More than 180 Days")))</f>
        <v>1-90 DAYS</v>
      </c>
      <c r="J234" s="37" t="str">
        <f t="shared" si="33"/>
        <v>0-180 DAYS</v>
      </c>
      <c r="M234" s="158" t="s">
        <v>5225</v>
      </c>
      <c r="N234" s="158">
        <v>6757</v>
      </c>
    </row>
    <row r="235" spans="1:14" x14ac:dyDescent="0.35">
      <c r="A235" t="s">
        <v>4333</v>
      </c>
      <c r="B235" t="s">
        <v>789</v>
      </c>
      <c r="C235" t="s">
        <v>125</v>
      </c>
      <c r="D235" t="s">
        <v>57</v>
      </c>
      <c r="E235" t="s">
        <v>5085</v>
      </c>
      <c r="F235" s="35">
        <v>46176</v>
      </c>
      <c r="G235" s="47">
        <v>960</v>
      </c>
      <c r="H235" s="37">
        <f t="shared" si="32"/>
        <v>59</v>
      </c>
      <c r="I235" s="37" t="str">
        <f t="shared" si="39"/>
        <v>1-90 DAYS</v>
      </c>
      <c r="J235" s="37" t="str">
        <f t="shared" si="33"/>
        <v>0-180 DAYS</v>
      </c>
      <c r="M235" s="158" t="s">
        <v>5225</v>
      </c>
      <c r="N235" s="158">
        <v>960</v>
      </c>
    </row>
    <row r="236" spans="1:14" x14ac:dyDescent="0.35">
      <c r="A236" t="s">
        <v>4333</v>
      </c>
      <c r="B236" t="s">
        <v>789</v>
      </c>
      <c r="C236" t="s">
        <v>125</v>
      </c>
      <c r="D236" t="s">
        <v>57</v>
      </c>
      <c r="E236" t="s">
        <v>5086</v>
      </c>
      <c r="F236" s="35">
        <v>46176</v>
      </c>
      <c r="G236" s="47">
        <v>33144.58</v>
      </c>
      <c r="H236" s="37">
        <f t="shared" si="32"/>
        <v>59</v>
      </c>
      <c r="I236" s="37" t="str">
        <f t="shared" si="39"/>
        <v>1-90 DAYS</v>
      </c>
      <c r="J236" s="37" t="str">
        <f t="shared" si="33"/>
        <v>0-180 DAYS</v>
      </c>
      <c r="M236" s="158" t="s">
        <v>5225</v>
      </c>
      <c r="N236" s="158">
        <v>33144.58</v>
      </c>
    </row>
    <row r="237" spans="1:14" x14ac:dyDescent="0.35">
      <c r="A237" t="s">
        <v>4333</v>
      </c>
      <c r="B237" t="s">
        <v>789</v>
      </c>
      <c r="C237" t="s">
        <v>125</v>
      </c>
      <c r="D237" t="s">
        <v>57</v>
      </c>
      <c r="E237" t="s">
        <v>5086</v>
      </c>
      <c r="F237" s="35">
        <v>46176</v>
      </c>
      <c r="G237" s="47">
        <v>217180.95</v>
      </c>
      <c r="H237" s="37">
        <f t="shared" si="32"/>
        <v>59</v>
      </c>
      <c r="I237" s="37" t="str">
        <f t="shared" si="39"/>
        <v>1-90 DAYS</v>
      </c>
      <c r="J237" s="37" t="str">
        <f t="shared" si="33"/>
        <v>0-180 DAYS</v>
      </c>
      <c r="M237" s="158" t="s">
        <v>5225</v>
      </c>
      <c r="N237" s="158">
        <v>217180.95</v>
      </c>
    </row>
    <row r="238" spans="1:14" x14ac:dyDescent="0.35">
      <c r="A238" t="s">
        <v>4333</v>
      </c>
      <c r="B238" t="s">
        <v>789</v>
      </c>
      <c r="C238" t="s">
        <v>125</v>
      </c>
      <c r="D238" t="s">
        <v>57</v>
      </c>
      <c r="E238" t="s">
        <v>5086</v>
      </c>
      <c r="F238" s="35">
        <v>46176</v>
      </c>
      <c r="G238" s="47">
        <v>58149.15</v>
      </c>
      <c r="H238" s="37">
        <f t="shared" si="32"/>
        <v>59</v>
      </c>
      <c r="I238" s="37" t="str">
        <f t="shared" si="39"/>
        <v>1-90 DAYS</v>
      </c>
      <c r="J238" s="37" t="str">
        <f t="shared" si="33"/>
        <v>0-180 DAYS</v>
      </c>
      <c r="M238" s="158" t="s">
        <v>5225</v>
      </c>
      <c r="N238" s="158">
        <v>58149.15</v>
      </c>
    </row>
    <row r="239" spans="1:14" x14ac:dyDescent="0.35">
      <c r="A239" t="s">
        <v>4333</v>
      </c>
      <c r="B239" t="s">
        <v>789</v>
      </c>
      <c r="C239" t="s">
        <v>125</v>
      </c>
      <c r="D239" t="s">
        <v>57</v>
      </c>
      <c r="E239" t="s">
        <v>5086</v>
      </c>
      <c r="F239" s="35">
        <v>46176</v>
      </c>
      <c r="G239" s="47">
        <v>266900.15000000002</v>
      </c>
      <c r="H239" s="37">
        <f t="shared" si="32"/>
        <v>59</v>
      </c>
      <c r="I239" s="37" t="str">
        <f t="shared" si="39"/>
        <v>1-90 DAYS</v>
      </c>
      <c r="J239" s="37" t="str">
        <f t="shared" si="33"/>
        <v>0-180 DAYS</v>
      </c>
      <c r="M239" s="158" t="s">
        <v>5225</v>
      </c>
      <c r="N239" s="158">
        <v>266900.15000000002</v>
      </c>
    </row>
    <row r="240" spans="1:14" x14ac:dyDescent="0.35">
      <c r="A240" t="s">
        <v>4333</v>
      </c>
      <c r="B240" t="s">
        <v>789</v>
      </c>
      <c r="C240" t="s">
        <v>125</v>
      </c>
      <c r="D240" t="s">
        <v>57</v>
      </c>
      <c r="E240" t="s">
        <v>5086</v>
      </c>
      <c r="F240" s="35">
        <v>46176</v>
      </c>
      <c r="G240" s="47">
        <v>108318</v>
      </c>
      <c r="H240" s="37">
        <f t="shared" si="32"/>
        <v>59</v>
      </c>
      <c r="I240" s="37" t="str">
        <f t="shared" si="39"/>
        <v>1-90 DAYS</v>
      </c>
      <c r="J240" s="37" t="str">
        <f t="shared" si="33"/>
        <v>0-180 DAYS</v>
      </c>
      <c r="M240" s="158" t="s">
        <v>5225</v>
      </c>
      <c r="N240" s="158">
        <v>108318</v>
      </c>
    </row>
    <row r="241" spans="1:14" x14ac:dyDescent="0.35">
      <c r="A241" t="s">
        <v>4333</v>
      </c>
      <c r="B241" t="s">
        <v>789</v>
      </c>
      <c r="C241" t="s">
        <v>125</v>
      </c>
      <c r="D241" t="s">
        <v>57</v>
      </c>
      <c r="E241" t="s">
        <v>5086</v>
      </c>
      <c r="F241" s="35">
        <v>46176</v>
      </c>
      <c r="G241" s="47">
        <v>118624.03</v>
      </c>
      <c r="H241" s="37">
        <f t="shared" si="32"/>
        <v>59</v>
      </c>
      <c r="I241" s="37" t="str">
        <f t="shared" si="39"/>
        <v>1-90 DAYS</v>
      </c>
      <c r="J241" s="37" t="str">
        <f t="shared" si="33"/>
        <v>0-180 DAYS</v>
      </c>
      <c r="M241" s="158" t="s">
        <v>5225</v>
      </c>
      <c r="N241" s="158">
        <v>118624.03</v>
      </c>
    </row>
    <row r="242" spans="1:14" x14ac:dyDescent="0.35">
      <c r="A242" t="s">
        <v>4333</v>
      </c>
      <c r="B242" t="s">
        <v>789</v>
      </c>
      <c r="C242" t="s">
        <v>125</v>
      </c>
      <c r="D242" t="s">
        <v>57</v>
      </c>
      <c r="E242" t="s">
        <v>5087</v>
      </c>
      <c r="F242" s="35">
        <v>46176</v>
      </c>
      <c r="G242" s="47">
        <v>1367500</v>
      </c>
      <c r="H242" s="37">
        <f t="shared" si="32"/>
        <v>59</v>
      </c>
      <c r="I242" s="37" t="str">
        <f t="shared" si="39"/>
        <v>1-90 DAYS</v>
      </c>
      <c r="J242" s="37" t="str">
        <f t="shared" si="33"/>
        <v>0-180 DAYS</v>
      </c>
      <c r="M242" s="158" t="s">
        <v>5225</v>
      </c>
      <c r="N242" s="158">
        <v>1367500</v>
      </c>
    </row>
    <row r="243" spans="1:14" x14ac:dyDescent="0.35">
      <c r="A243" t="s">
        <v>4333</v>
      </c>
      <c r="B243" t="s">
        <v>789</v>
      </c>
      <c r="C243" t="s">
        <v>125</v>
      </c>
      <c r="D243" t="s">
        <v>57</v>
      </c>
      <c r="E243" t="s">
        <v>5088</v>
      </c>
      <c r="F243" s="35">
        <v>46176</v>
      </c>
      <c r="G243" s="47">
        <v>34500</v>
      </c>
      <c r="H243" s="37">
        <f t="shared" si="32"/>
        <v>59</v>
      </c>
      <c r="I243" s="37" t="str">
        <f t="shared" si="39"/>
        <v>1-90 DAYS</v>
      </c>
      <c r="J243" s="37" t="str">
        <f t="shared" si="33"/>
        <v>0-180 DAYS</v>
      </c>
      <c r="M243" s="158" t="s">
        <v>5225</v>
      </c>
      <c r="N243" s="158">
        <v>34500</v>
      </c>
    </row>
    <row r="244" spans="1:14" x14ac:dyDescent="0.35">
      <c r="A244" t="s">
        <v>477</v>
      </c>
      <c r="B244" t="s">
        <v>790</v>
      </c>
      <c r="C244" t="s">
        <v>4780</v>
      </c>
      <c r="D244" t="s">
        <v>4783</v>
      </c>
      <c r="E244" t="s">
        <v>5089</v>
      </c>
      <c r="F244" s="35">
        <v>46177</v>
      </c>
      <c r="G244" s="47">
        <v>196908.27</v>
      </c>
      <c r="H244" s="37">
        <f t="shared" si="32"/>
        <v>58</v>
      </c>
      <c r="I244" s="37" t="str">
        <f t="shared" si="39"/>
        <v>1-90 DAYS</v>
      </c>
      <c r="J244" s="37" t="str">
        <f t="shared" si="33"/>
        <v>0-180 DAYS</v>
      </c>
      <c r="K244" t="s">
        <v>1730</v>
      </c>
      <c r="M244" s="158" t="s">
        <v>5226</v>
      </c>
      <c r="N244" s="158">
        <v>196908.27</v>
      </c>
    </row>
    <row r="245" spans="1:14" x14ac:dyDescent="0.35">
      <c r="A245" t="s">
        <v>4333</v>
      </c>
      <c r="B245" t="s">
        <v>789</v>
      </c>
      <c r="C245" t="s">
        <v>125</v>
      </c>
      <c r="D245" t="s">
        <v>57</v>
      </c>
      <c r="E245" t="s">
        <v>5090</v>
      </c>
      <c r="F245" s="35">
        <v>46177</v>
      </c>
      <c r="G245" s="47">
        <v>6864</v>
      </c>
      <c r="H245" s="37">
        <f t="shared" si="32"/>
        <v>58</v>
      </c>
      <c r="I245" s="37" t="str">
        <f t="shared" si="39"/>
        <v>1-90 DAYS</v>
      </c>
      <c r="J245" s="37" t="str">
        <f t="shared" si="33"/>
        <v>0-180 DAYS</v>
      </c>
      <c r="M245" s="158" t="s">
        <v>5226</v>
      </c>
      <c r="N245" s="158">
        <v>6864</v>
      </c>
    </row>
    <row r="246" spans="1:14" x14ac:dyDescent="0.35">
      <c r="A246" t="s">
        <v>4333</v>
      </c>
      <c r="B246" t="s">
        <v>789</v>
      </c>
      <c r="C246" t="s">
        <v>125</v>
      </c>
      <c r="D246" t="s">
        <v>57</v>
      </c>
      <c r="E246" t="s">
        <v>2034</v>
      </c>
      <c r="F246" s="35">
        <v>46177</v>
      </c>
      <c r="G246" s="47">
        <v>161431.28</v>
      </c>
      <c r="H246" s="37">
        <f t="shared" si="32"/>
        <v>58</v>
      </c>
      <c r="I246" s="37" t="str">
        <f t="shared" si="39"/>
        <v>1-90 DAYS</v>
      </c>
      <c r="J246" s="37" t="str">
        <f t="shared" si="33"/>
        <v>0-180 DAYS</v>
      </c>
      <c r="M246" s="158" t="s">
        <v>5226</v>
      </c>
      <c r="N246" s="158">
        <v>161431.28</v>
      </c>
    </row>
    <row r="247" spans="1:14" x14ac:dyDescent="0.35">
      <c r="A247" t="s">
        <v>4333</v>
      </c>
      <c r="B247" t="s">
        <v>789</v>
      </c>
      <c r="C247" t="s">
        <v>125</v>
      </c>
      <c r="D247" t="s">
        <v>57</v>
      </c>
      <c r="E247" t="s">
        <v>2034</v>
      </c>
      <c r="F247" s="35">
        <v>46177</v>
      </c>
      <c r="G247" s="47">
        <v>605807.1</v>
      </c>
      <c r="H247" s="37">
        <f t="shared" si="32"/>
        <v>58</v>
      </c>
      <c r="I247" s="37" t="str">
        <f t="shared" si="39"/>
        <v>1-90 DAYS</v>
      </c>
      <c r="J247" s="37" t="str">
        <f t="shared" si="33"/>
        <v>0-180 DAYS</v>
      </c>
      <c r="M247" s="158" t="s">
        <v>5226</v>
      </c>
      <c r="N247" s="158">
        <v>605807.1</v>
      </c>
    </row>
    <row r="248" spans="1:14" x14ac:dyDescent="0.35">
      <c r="A248" t="s">
        <v>4333</v>
      </c>
      <c r="B248" t="s">
        <v>789</v>
      </c>
      <c r="C248" t="s">
        <v>125</v>
      </c>
      <c r="D248" t="s">
        <v>57</v>
      </c>
      <c r="E248" t="s">
        <v>2034</v>
      </c>
      <c r="F248" s="35">
        <v>46177</v>
      </c>
      <c r="G248" s="47">
        <v>66777.929999999993</v>
      </c>
      <c r="H248" s="37">
        <f t="shared" si="32"/>
        <v>58</v>
      </c>
      <c r="I248" s="37" t="str">
        <f t="shared" si="39"/>
        <v>1-90 DAYS</v>
      </c>
      <c r="J248" s="37" t="str">
        <f t="shared" si="33"/>
        <v>0-180 DAYS</v>
      </c>
      <c r="M248" s="158" t="s">
        <v>5226</v>
      </c>
      <c r="N248" s="158">
        <v>66777.929999999993</v>
      </c>
    </row>
    <row r="249" spans="1:14" x14ac:dyDescent="0.35">
      <c r="A249" t="s">
        <v>4333</v>
      </c>
      <c r="B249" t="s">
        <v>789</v>
      </c>
      <c r="C249" t="s">
        <v>125</v>
      </c>
      <c r="D249" t="s">
        <v>57</v>
      </c>
      <c r="E249" t="s">
        <v>2034</v>
      </c>
      <c r="F249" s="35">
        <v>46177</v>
      </c>
      <c r="G249" s="47">
        <v>7620.74</v>
      </c>
      <c r="H249" s="37">
        <f t="shared" si="32"/>
        <v>58</v>
      </c>
      <c r="I249" s="37" t="str">
        <f t="shared" si="39"/>
        <v>1-90 DAYS</v>
      </c>
      <c r="J249" s="37" t="str">
        <f t="shared" si="33"/>
        <v>0-180 DAYS</v>
      </c>
      <c r="M249" s="158" t="s">
        <v>5226</v>
      </c>
      <c r="N249" s="158">
        <v>7620.74</v>
      </c>
    </row>
    <row r="250" spans="1:14" x14ac:dyDescent="0.35">
      <c r="A250" t="s">
        <v>4333</v>
      </c>
      <c r="B250" t="s">
        <v>789</v>
      </c>
      <c r="C250" t="s">
        <v>125</v>
      </c>
      <c r="D250" t="s">
        <v>57</v>
      </c>
      <c r="E250" t="s">
        <v>2034</v>
      </c>
      <c r="F250" s="35">
        <v>46177</v>
      </c>
      <c r="G250" s="47">
        <v>112874.86</v>
      </c>
      <c r="H250" s="37">
        <f t="shared" si="32"/>
        <v>58</v>
      </c>
      <c r="I250" s="37" t="str">
        <f t="shared" si="39"/>
        <v>1-90 DAYS</v>
      </c>
      <c r="J250" s="37" t="str">
        <f t="shared" si="33"/>
        <v>0-180 DAYS</v>
      </c>
      <c r="M250" s="158" t="s">
        <v>5226</v>
      </c>
      <c r="N250" s="158">
        <v>112874.86</v>
      </c>
    </row>
    <row r="251" spans="1:14" x14ac:dyDescent="0.35">
      <c r="A251" t="s">
        <v>477</v>
      </c>
      <c r="B251" t="s">
        <v>790</v>
      </c>
      <c r="C251" t="s">
        <v>4942</v>
      </c>
      <c r="D251" t="s">
        <v>4951</v>
      </c>
      <c r="E251" t="s">
        <v>5091</v>
      </c>
      <c r="F251" s="35">
        <v>46178</v>
      </c>
      <c r="G251" s="47">
        <v>449775</v>
      </c>
      <c r="H251" s="37">
        <f t="shared" si="32"/>
        <v>57</v>
      </c>
      <c r="I251" s="37" t="str">
        <f t="shared" si="39"/>
        <v>1-90 DAYS</v>
      </c>
      <c r="J251" s="37" t="str">
        <f t="shared" si="33"/>
        <v>0-180 DAYS</v>
      </c>
      <c r="K251" t="s">
        <v>1730</v>
      </c>
      <c r="M251" s="158" t="s">
        <v>5227</v>
      </c>
      <c r="N251" s="158">
        <v>449775</v>
      </c>
    </row>
    <row r="252" spans="1:14" x14ac:dyDescent="0.35">
      <c r="A252" t="s">
        <v>1085</v>
      </c>
      <c r="B252" t="s">
        <v>790</v>
      </c>
      <c r="C252" t="s">
        <v>814</v>
      </c>
      <c r="D252" t="s">
        <v>5019</v>
      </c>
      <c r="E252" t="s">
        <v>5092</v>
      </c>
      <c r="F252" s="35">
        <v>46178</v>
      </c>
      <c r="G252" s="47">
        <v>4040</v>
      </c>
      <c r="H252" s="37">
        <f t="shared" si="32"/>
        <v>57</v>
      </c>
      <c r="I252" s="37" t="str">
        <f t="shared" ref="I252:I253" si="40">IF(H252&lt;121,"0-120 DAYS",IF(H252&lt;181,"121-180 DAYS","More than 180 Days"))</f>
        <v>0-120 DAYS</v>
      </c>
      <c r="J252" s="37" t="str">
        <f t="shared" si="33"/>
        <v>0-180 DAYS</v>
      </c>
      <c r="K252" t="s">
        <v>1730</v>
      </c>
      <c r="M252" s="158" t="s">
        <v>5227</v>
      </c>
      <c r="N252" s="158">
        <v>4040</v>
      </c>
    </row>
    <row r="253" spans="1:14" x14ac:dyDescent="0.35">
      <c r="A253" t="s">
        <v>1085</v>
      </c>
      <c r="B253" t="s">
        <v>790</v>
      </c>
      <c r="C253" t="s">
        <v>814</v>
      </c>
      <c r="D253" t="s">
        <v>5019</v>
      </c>
      <c r="E253" t="s">
        <v>5093</v>
      </c>
      <c r="F253" s="35">
        <v>46178</v>
      </c>
      <c r="G253" s="47">
        <v>1705</v>
      </c>
      <c r="H253" s="37">
        <f t="shared" si="32"/>
        <v>57</v>
      </c>
      <c r="I253" s="37" t="str">
        <f t="shared" si="40"/>
        <v>0-120 DAYS</v>
      </c>
      <c r="J253" s="37" t="str">
        <f t="shared" si="33"/>
        <v>0-180 DAYS</v>
      </c>
      <c r="K253" t="s">
        <v>1730</v>
      </c>
      <c r="M253" s="158" t="s">
        <v>5227</v>
      </c>
      <c r="N253" s="158">
        <v>1705</v>
      </c>
    </row>
    <row r="254" spans="1:14" x14ac:dyDescent="0.35">
      <c r="A254" t="s">
        <v>4333</v>
      </c>
      <c r="B254" t="s">
        <v>789</v>
      </c>
      <c r="C254" t="s">
        <v>125</v>
      </c>
      <c r="D254" t="s">
        <v>57</v>
      </c>
      <c r="E254" t="s">
        <v>5094</v>
      </c>
      <c r="F254" s="35">
        <v>46178</v>
      </c>
      <c r="G254" s="47">
        <v>2112</v>
      </c>
      <c r="H254" s="37">
        <f t="shared" si="32"/>
        <v>57</v>
      </c>
      <c r="I254" s="37" t="str">
        <f t="shared" ref="I254:I267" si="41">IF(H254&lt;91,"1-90 DAYS",IF(H254&lt;121,"91-120DAYS",IF(H254&lt;181,"121-180 DAYS","More than 180 Days")))</f>
        <v>1-90 DAYS</v>
      </c>
      <c r="J254" s="37" t="str">
        <f t="shared" si="33"/>
        <v>0-180 DAYS</v>
      </c>
      <c r="M254" s="158" t="s">
        <v>5227</v>
      </c>
      <c r="N254" s="158">
        <v>2112</v>
      </c>
    </row>
    <row r="255" spans="1:14" x14ac:dyDescent="0.35">
      <c r="A255" t="s">
        <v>4333</v>
      </c>
      <c r="B255" t="s">
        <v>789</v>
      </c>
      <c r="C255" t="s">
        <v>125</v>
      </c>
      <c r="D255" t="s">
        <v>57</v>
      </c>
      <c r="E255" t="s">
        <v>5095</v>
      </c>
      <c r="F255" s="35">
        <v>46178</v>
      </c>
      <c r="G255" s="47">
        <v>112287.6</v>
      </c>
      <c r="H255" s="37">
        <f t="shared" si="32"/>
        <v>57</v>
      </c>
      <c r="I255" s="37" t="str">
        <f t="shared" si="41"/>
        <v>1-90 DAYS</v>
      </c>
      <c r="J255" s="37" t="str">
        <f t="shared" si="33"/>
        <v>0-180 DAYS</v>
      </c>
      <c r="M255" s="158" t="s">
        <v>5227</v>
      </c>
      <c r="N255" s="158">
        <v>112287.6</v>
      </c>
    </row>
    <row r="256" spans="1:14" x14ac:dyDescent="0.35">
      <c r="A256" t="s">
        <v>4333</v>
      </c>
      <c r="B256" t="s">
        <v>789</v>
      </c>
      <c r="C256" t="s">
        <v>125</v>
      </c>
      <c r="D256" t="s">
        <v>57</v>
      </c>
      <c r="E256" t="s">
        <v>5095</v>
      </c>
      <c r="F256" s="35">
        <v>46178</v>
      </c>
      <c r="G256" s="47">
        <v>121886.52</v>
      </c>
      <c r="H256" s="37">
        <f t="shared" si="32"/>
        <v>57</v>
      </c>
      <c r="I256" s="37" t="str">
        <f t="shared" si="41"/>
        <v>1-90 DAYS</v>
      </c>
      <c r="J256" s="37" t="str">
        <f t="shared" si="33"/>
        <v>0-180 DAYS</v>
      </c>
      <c r="M256" s="158" t="s">
        <v>5227</v>
      </c>
      <c r="N256" s="158">
        <v>121886.52</v>
      </c>
    </row>
    <row r="257" spans="1:14" x14ac:dyDescent="0.35">
      <c r="A257" t="s">
        <v>4333</v>
      </c>
      <c r="B257" t="s">
        <v>789</v>
      </c>
      <c r="C257" t="s">
        <v>125</v>
      </c>
      <c r="D257" t="s">
        <v>57</v>
      </c>
      <c r="E257" t="s">
        <v>5095</v>
      </c>
      <c r="F257" s="35">
        <v>46178</v>
      </c>
      <c r="G257" s="47">
        <v>157826.23999999999</v>
      </c>
      <c r="H257" s="37">
        <f t="shared" si="32"/>
        <v>57</v>
      </c>
      <c r="I257" s="37" t="str">
        <f t="shared" si="41"/>
        <v>1-90 DAYS</v>
      </c>
      <c r="J257" s="37" t="str">
        <f t="shared" si="33"/>
        <v>0-180 DAYS</v>
      </c>
      <c r="M257" s="158" t="s">
        <v>5227</v>
      </c>
      <c r="N257" s="158">
        <v>157826.23999999999</v>
      </c>
    </row>
    <row r="258" spans="1:14" x14ac:dyDescent="0.35">
      <c r="A258" t="s">
        <v>4333</v>
      </c>
      <c r="B258" t="s">
        <v>789</v>
      </c>
      <c r="C258" t="s">
        <v>125</v>
      </c>
      <c r="D258" t="s">
        <v>57</v>
      </c>
      <c r="E258" t="s">
        <v>5095</v>
      </c>
      <c r="F258" s="35">
        <v>46178</v>
      </c>
      <c r="G258" s="47">
        <v>136961.07999999999</v>
      </c>
      <c r="H258" s="37">
        <f t="shared" si="32"/>
        <v>57</v>
      </c>
      <c r="I258" s="37" t="str">
        <f t="shared" si="41"/>
        <v>1-90 DAYS</v>
      </c>
      <c r="J258" s="37" t="str">
        <f t="shared" si="33"/>
        <v>0-180 DAYS</v>
      </c>
      <c r="M258" s="158" t="s">
        <v>5227</v>
      </c>
      <c r="N258" s="158">
        <v>136961.07999999999</v>
      </c>
    </row>
    <row r="259" spans="1:14" x14ac:dyDescent="0.35">
      <c r="A259" t="s">
        <v>4333</v>
      </c>
      <c r="B259" t="s">
        <v>789</v>
      </c>
      <c r="C259" t="s">
        <v>125</v>
      </c>
      <c r="D259" t="s">
        <v>57</v>
      </c>
      <c r="E259" t="s">
        <v>5095</v>
      </c>
      <c r="F259" s="35">
        <v>46178</v>
      </c>
      <c r="G259" s="47">
        <v>135587.31</v>
      </c>
      <c r="H259" s="37">
        <f t="shared" si="32"/>
        <v>57</v>
      </c>
      <c r="I259" s="37" t="str">
        <f t="shared" si="41"/>
        <v>1-90 DAYS</v>
      </c>
      <c r="J259" s="37" t="str">
        <f t="shared" si="33"/>
        <v>0-180 DAYS</v>
      </c>
      <c r="M259" s="158" t="s">
        <v>5227</v>
      </c>
      <c r="N259" s="158">
        <v>135587.31</v>
      </c>
    </row>
    <row r="260" spans="1:14" x14ac:dyDescent="0.35">
      <c r="A260" t="s">
        <v>4333</v>
      </c>
      <c r="B260" t="s">
        <v>789</v>
      </c>
      <c r="C260" t="s">
        <v>125</v>
      </c>
      <c r="D260" t="s">
        <v>57</v>
      </c>
      <c r="E260" t="s">
        <v>5096</v>
      </c>
      <c r="F260" s="35">
        <v>46179</v>
      </c>
      <c r="G260" s="47">
        <v>1920</v>
      </c>
      <c r="H260" s="37">
        <f t="shared" si="32"/>
        <v>56</v>
      </c>
      <c r="I260" s="37" t="str">
        <f t="shared" si="41"/>
        <v>1-90 DAYS</v>
      </c>
      <c r="J260" s="37" t="str">
        <f t="shared" si="33"/>
        <v>0-180 DAYS</v>
      </c>
      <c r="M260" s="158" t="s">
        <v>5228</v>
      </c>
      <c r="N260" s="158">
        <v>1920</v>
      </c>
    </row>
    <row r="261" spans="1:14" x14ac:dyDescent="0.35">
      <c r="A261" t="s">
        <v>4333</v>
      </c>
      <c r="B261" t="s">
        <v>789</v>
      </c>
      <c r="C261" t="s">
        <v>125</v>
      </c>
      <c r="D261" t="s">
        <v>57</v>
      </c>
      <c r="E261" t="s">
        <v>5097</v>
      </c>
      <c r="F261" s="35">
        <v>46179</v>
      </c>
      <c r="G261" s="47">
        <v>191688.7</v>
      </c>
      <c r="H261" s="37">
        <f t="shared" si="32"/>
        <v>56</v>
      </c>
      <c r="I261" s="37" t="str">
        <f t="shared" si="41"/>
        <v>1-90 DAYS</v>
      </c>
      <c r="J261" s="37" t="str">
        <f t="shared" si="33"/>
        <v>0-180 DAYS</v>
      </c>
      <c r="M261" s="158" t="s">
        <v>5228</v>
      </c>
      <c r="N261" s="158">
        <v>191688.7</v>
      </c>
    </row>
    <row r="262" spans="1:14" x14ac:dyDescent="0.35">
      <c r="A262" t="s">
        <v>4333</v>
      </c>
      <c r="B262" t="s">
        <v>789</v>
      </c>
      <c r="C262" t="s">
        <v>125</v>
      </c>
      <c r="D262" t="s">
        <v>57</v>
      </c>
      <c r="E262" t="s">
        <v>5097</v>
      </c>
      <c r="F262" s="35">
        <v>46179</v>
      </c>
      <c r="G262" s="47">
        <v>204885.44</v>
      </c>
      <c r="H262" s="37">
        <f t="shared" si="32"/>
        <v>56</v>
      </c>
      <c r="I262" s="37" t="str">
        <f t="shared" si="41"/>
        <v>1-90 DAYS</v>
      </c>
      <c r="J262" s="37" t="str">
        <f t="shared" si="33"/>
        <v>0-180 DAYS</v>
      </c>
      <c r="M262" s="158" t="s">
        <v>5228</v>
      </c>
      <c r="N262" s="158">
        <v>204885.44</v>
      </c>
    </row>
    <row r="263" spans="1:14" x14ac:dyDescent="0.35">
      <c r="A263" t="s">
        <v>4333</v>
      </c>
      <c r="B263" t="s">
        <v>789</v>
      </c>
      <c r="C263" t="s">
        <v>125</v>
      </c>
      <c r="D263" t="s">
        <v>57</v>
      </c>
      <c r="E263" t="s">
        <v>5097</v>
      </c>
      <c r="F263" s="35">
        <v>46179</v>
      </c>
      <c r="G263" s="47">
        <v>60504.1</v>
      </c>
      <c r="H263" s="37">
        <f t="shared" si="32"/>
        <v>56</v>
      </c>
      <c r="I263" s="37" t="str">
        <f t="shared" si="41"/>
        <v>1-90 DAYS</v>
      </c>
      <c r="J263" s="37" t="str">
        <f t="shared" si="33"/>
        <v>0-180 DAYS</v>
      </c>
      <c r="M263" s="158" t="s">
        <v>5228</v>
      </c>
      <c r="N263" s="158">
        <v>60504.1</v>
      </c>
    </row>
    <row r="264" spans="1:14" x14ac:dyDescent="0.35">
      <c r="A264" t="s">
        <v>4333</v>
      </c>
      <c r="B264" t="s">
        <v>789</v>
      </c>
      <c r="C264" t="s">
        <v>125</v>
      </c>
      <c r="D264" t="s">
        <v>57</v>
      </c>
      <c r="E264" t="s">
        <v>5098</v>
      </c>
      <c r="F264" s="35">
        <v>46180</v>
      </c>
      <c r="G264" s="47">
        <v>185563.83</v>
      </c>
      <c r="H264" s="37">
        <f t="shared" si="32"/>
        <v>55</v>
      </c>
      <c r="I264" s="37" t="str">
        <f t="shared" si="41"/>
        <v>1-90 DAYS</v>
      </c>
      <c r="J264" s="37" t="str">
        <f t="shared" si="33"/>
        <v>0-180 DAYS</v>
      </c>
      <c r="M264" s="158" t="s">
        <v>5229</v>
      </c>
      <c r="N264" s="158">
        <v>185563.83</v>
      </c>
    </row>
    <row r="265" spans="1:14" x14ac:dyDescent="0.35">
      <c r="A265" t="s">
        <v>4333</v>
      </c>
      <c r="B265" t="s">
        <v>789</v>
      </c>
      <c r="C265" t="s">
        <v>125</v>
      </c>
      <c r="D265" t="s">
        <v>57</v>
      </c>
      <c r="E265" t="s">
        <v>5098</v>
      </c>
      <c r="F265" s="35">
        <v>46180</v>
      </c>
      <c r="G265" s="47">
        <v>180301.66</v>
      </c>
      <c r="H265" s="37">
        <f t="shared" ref="H265:H328" si="42">$H$1-F265+1</f>
        <v>55</v>
      </c>
      <c r="I265" s="37" t="str">
        <f t="shared" si="41"/>
        <v>1-90 DAYS</v>
      </c>
      <c r="J265" s="37" t="str">
        <f t="shared" si="33"/>
        <v>0-180 DAYS</v>
      </c>
      <c r="M265" s="158" t="s">
        <v>5229</v>
      </c>
      <c r="N265" s="158">
        <v>180301.66</v>
      </c>
    </row>
    <row r="266" spans="1:14" x14ac:dyDescent="0.35">
      <c r="A266" t="s">
        <v>477</v>
      </c>
      <c r="B266" t="s">
        <v>790</v>
      </c>
      <c r="C266" t="s">
        <v>1196</v>
      </c>
      <c r="D266" t="s">
        <v>1208</v>
      </c>
      <c r="E266" t="s">
        <v>5099</v>
      </c>
      <c r="F266" s="35">
        <v>46180</v>
      </c>
      <c r="G266" s="47">
        <f>-915914+1984200</f>
        <v>1068286</v>
      </c>
      <c r="H266" s="37">
        <f t="shared" si="42"/>
        <v>55</v>
      </c>
      <c r="I266" s="37" t="str">
        <f t="shared" si="41"/>
        <v>1-90 DAYS</v>
      </c>
      <c r="J266" s="37" t="str">
        <f t="shared" ref="J266:J329" si="43">IF(H266&lt;180,"0-180 DAYS","More than 180 Days")</f>
        <v>0-180 DAYS</v>
      </c>
      <c r="K266" t="s">
        <v>1730</v>
      </c>
      <c r="M266" s="158" t="s">
        <v>5229</v>
      </c>
      <c r="N266" s="158">
        <v>1984200</v>
      </c>
    </row>
    <row r="267" spans="1:14" x14ac:dyDescent="0.35">
      <c r="A267" t="s">
        <v>477</v>
      </c>
      <c r="B267" t="s">
        <v>790</v>
      </c>
      <c r="C267" t="s">
        <v>4780</v>
      </c>
      <c r="D267" t="s">
        <v>4783</v>
      </c>
      <c r="E267" t="s">
        <v>5100</v>
      </c>
      <c r="F267" s="35">
        <v>46181</v>
      </c>
      <c r="G267" s="47">
        <v>148211.88</v>
      </c>
      <c r="H267" s="37">
        <f t="shared" si="42"/>
        <v>54</v>
      </c>
      <c r="I267" s="37" t="str">
        <f t="shared" si="41"/>
        <v>1-90 DAYS</v>
      </c>
      <c r="J267" s="37" t="str">
        <f t="shared" si="43"/>
        <v>0-180 DAYS</v>
      </c>
      <c r="K267" t="s">
        <v>1730</v>
      </c>
      <c r="M267" s="158" t="s">
        <v>5230</v>
      </c>
      <c r="N267" s="158">
        <v>148211.88</v>
      </c>
    </row>
    <row r="268" spans="1:14" x14ac:dyDescent="0.35">
      <c r="A268" t="s">
        <v>1085</v>
      </c>
      <c r="B268" t="s">
        <v>790</v>
      </c>
      <c r="C268" t="s">
        <v>1086</v>
      </c>
      <c r="D268" t="s">
        <v>507</v>
      </c>
      <c r="E268" t="s">
        <v>5101</v>
      </c>
      <c r="F268" s="35">
        <v>46181</v>
      </c>
      <c r="G268" s="47">
        <v>719779.48899999994</v>
      </c>
      <c r="H268" s="37">
        <f t="shared" si="42"/>
        <v>54</v>
      </c>
      <c r="I268" s="37" t="str">
        <f t="shared" ref="I268:I273" si="44">IF(H268&lt;121,"0-120 DAYS",IF(H268&lt;181,"121-180 DAYS","More than 180 Days"))</f>
        <v>0-120 DAYS</v>
      </c>
      <c r="J268" s="37" t="str">
        <f t="shared" si="43"/>
        <v>0-180 DAYS</v>
      </c>
      <c r="K268" t="s">
        <v>1730</v>
      </c>
      <c r="M268" s="158" t="s">
        <v>5230</v>
      </c>
      <c r="N268" s="158">
        <v>719779.49</v>
      </c>
    </row>
    <row r="269" spans="1:14" x14ac:dyDescent="0.35">
      <c r="A269" t="s">
        <v>1085</v>
      </c>
      <c r="B269" t="s">
        <v>790</v>
      </c>
      <c r="C269" t="s">
        <v>1086</v>
      </c>
      <c r="D269" t="s">
        <v>507</v>
      </c>
      <c r="E269" t="s">
        <v>5102</v>
      </c>
      <c r="F269" s="35">
        <v>46181</v>
      </c>
      <c r="G269" s="47">
        <v>306081.91899999999</v>
      </c>
      <c r="H269" s="37">
        <f t="shared" si="42"/>
        <v>54</v>
      </c>
      <c r="I269" s="37" t="str">
        <f t="shared" si="44"/>
        <v>0-120 DAYS</v>
      </c>
      <c r="J269" s="37" t="str">
        <f t="shared" si="43"/>
        <v>0-180 DAYS</v>
      </c>
      <c r="K269" t="s">
        <v>1730</v>
      </c>
      <c r="M269" s="158" t="s">
        <v>5230</v>
      </c>
      <c r="N269" s="158">
        <v>306081.91999999998</v>
      </c>
    </row>
    <row r="270" spans="1:14" x14ac:dyDescent="0.35">
      <c r="A270" t="s">
        <v>1085</v>
      </c>
      <c r="B270" t="s">
        <v>790</v>
      </c>
      <c r="C270" t="s">
        <v>1086</v>
      </c>
      <c r="D270" t="s">
        <v>507</v>
      </c>
      <c r="E270" t="s">
        <v>5103</v>
      </c>
      <c r="F270" s="35">
        <v>46181</v>
      </c>
      <c r="G270" s="47">
        <v>717358.59</v>
      </c>
      <c r="H270" s="37">
        <f t="shared" si="42"/>
        <v>54</v>
      </c>
      <c r="I270" s="37" t="str">
        <f t="shared" si="44"/>
        <v>0-120 DAYS</v>
      </c>
      <c r="J270" s="37" t="str">
        <f t="shared" si="43"/>
        <v>0-180 DAYS</v>
      </c>
      <c r="K270" t="s">
        <v>1730</v>
      </c>
      <c r="M270" s="158" t="s">
        <v>5230</v>
      </c>
      <c r="N270" s="158">
        <v>717358.59</v>
      </c>
    </row>
    <row r="271" spans="1:14" x14ac:dyDescent="0.35">
      <c r="A271" t="s">
        <v>1085</v>
      </c>
      <c r="B271" t="s">
        <v>790</v>
      </c>
      <c r="C271" t="s">
        <v>1086</v>
      </c>
      <c r="D271" t="s">
        <v>507</v>
      </c>
      <c r="E271" t="s">
        <v>5104</v>
      </c>
      <c r="F271" s="35">
        <v>46181</v>
      </c>
      <c r="G271" s="47">
        <v>241662.85</v>
      </c>
      <c r="H271" s="37">
        <f t="shared" si="42"/>
        <v>54</v>
      </c>
      <c r="I271" s="37" t="str">
        <f t="shared" si="44"/>
        <v>0-120 DAYS</v>
      </c>
      <c r="J271" s="37" t="str">
        <f t="shared" si="43"/>
        <v>0-180 DAYS</v>
      </c>
      <c r="K271" t="s">
        <v>1730</v>
      </c>
      <c r="M271" s="158" t="s">
        <v>5230</v>
      </c>
      <c r="N271" s="158">
        <v>241662.85</v>
      </c>
    </row>
    <row r="272" spans="1:14" x14ac:dyDescent="0.35">
      <c r="A272" t="s">
        <v>1085</v>
      </c>
      <c r="B272" t="s">
        <v>790</v>
      </c>
      <c r="C272" t="s">
        <v>1086</v>
      </c>
      <c r="D272" t="s">
        <v>507</v>
      </c>
      <c r="E272" t="s">
        <v>5105</v>
      </c>
      <c r="F272" s="35">
        <v>46181</v>
      </c>
      <c r="G272" s="47">
        <v>35507.277942274901</v>
      </c>
      <c r="H272" s="37">
        <f t="shared" si="42"/>
        <v>54</v>
      </c>
      <c r="I272" s="37" t="str">
        <f t="shared" si="44"/>
        <v>0-120 DAYS</v>
      </c>
      <c r="J272" s="37" t="str">
        <f t="shared" si="43"/>
        <v>0-180 DAYS</v>
      </c>
      <c r="K272" t="s">
        <v>1730</v>
      </c>
      <c r="M272" s="158" t="s">
        <v>5230</v>
      </c>
      <c r="N272" s="158">
        <v>35507.279999999999</v>
      </c>
    </row>
    <row r="273" spans="1:14" x14ac:dyDescent="0.35">
      <c r="A273" t="s">
        <v>1085</v>
      </c>
      <c r="B273" t="s">
        <v>790</v>
      </c>
      <c r="C273" t="s">
        <v>1086</v>
      </c>
      <c r="D273" t="s">
        <v>507</v>
      </c>
      <c r="E273" t="s">
        <v>5105</v>
      </c>
      <c r="F273" s="35">
        <v>46181</v>
      </c>
      <c r="G273" s="47">
        <v>664668.718057725</v>
      </c>
      <c r="H273" s="37">
        <f t="shared" si="42"/>
        <v>54</v>
      </c>
      <c r="I273" s="37" t="str">
        <f t="shared" si="44"/>
        <v>0-120 DAYS</v>
      </c>
      <c r="J273" s="37" t="str">
        <f t="shared" si="43"/>
        <v>0-180 DAYS</v>
      </c>
      <c r="K273" t="s">
        <v>1730</v>
      </c>
      <c r="M273" s="158" t="s">
        <v>5230</v>
      </c>
      <c r="N273" s="158">
        <v>664668.72</v>
      </c>
    </row>
    <row r="274" spans="1:14" x14ac:dyDescent="0.35">
      <c r="A274" t="s">
        <v>4333</v>
      </c>
      <c r="B274" t="s">
        <v>789</v>
      </c>
      <c r="C274" t="s">
        <v>125</v>
      </c>
      <c r="D274" t="s">
        <v>57</v>
      </c>
      <c r="E274" t="s">
        <v>5106</v>
      </c>
      <c r="F274" s="35">
        <v>46181</v>
      </c>
      <c r="G274" s="47">
        <v>2544</v>
      </c>
      <c r="H274" s="37">
        <f t="shared" si="42"/>
        <v>54</v>
      </c>
      <c r="I274" s="37" t="str">
        <f t="shared" ref="I274:I308" si="45">IF(H274&lt;91,"1-90 DAYS",IF(H274&lt;121,"91-120DAYS",IF(H274&lt;181,"121-180 DAYS","More than 180 Days")))</f>
        <v>1-90 DAYS</v>
      </c>
      <c r="J274" s="37" t="str">
        <f t="shared" si="43"/>
        <v>0-180 DAYS</v>
      </c>
      <c r="M274" s="158" t="s">
        <v>5230</v>
      </c>
      <c r="N274" s="158">
        <v>2544</v>
      </c>
    </row>
    <row r="275" spans="1:14" x14ac:dyDescent="0.35">
      <c r="A275" t="s">
        <v>4333</v>
      </c>
      <c r="B275" t="s">
        <v>789</v>
      </c>
      <c r="C275" t="s">
        <v>125</v>
      </c>
      <c r="D275" t="s">
        <v>57</v>
      </c>
      <c r="E275" t="s">
        <v>5107</v>
      </c>
      <c r="F275" s="35">
        <v>46181</v>
      </c>
      <c r="G275" s="47">
        <v>165524.34</v>
      </c>
      <c r="H275" s="37">
        <f t="shared" si="42"/>
        <v>54</v>
      </c>
      <c r="I275" s="37" t="str">
        <f t="shared" si="45"/>
        <v>1-90 DAYS</v>
      </c>
      <c r="J275" s="37" t="str">
        <f t="shared" si="43"/>
        <v>0-180 DAYS</v>
      </c>
      <c r="M275" s="158" t="s">
        <v>5230</v>
      </c>
      <c r="N275" s="158">
        <v>165524.34</v>
      </c>
    </row>
    <row r="276" spans="1:14" x14ac:dyDescent="0.35">
      <c r="A276" t="s">
        <v>4333</v>
      </c>
      <c r="B276" t="s">
        <v>789</v>
      </c>
      <c r="C276" t="s">
        <v>125</v>
      </c>
      <c r="D276" t="s">
        <v>57</v>
      </c>
      <c r="E276" t="s">
        <v>5107</v>
      </c>
      <c r="F276" s="35">
        <v>46181</v>
      </c>
      <c r="G276" s="47">
        <v>60544.05</v>
      </c>
      <c r="H276" s="37">
        <f t="shared" si="42"/>
        <v>54</v>
      </c>
      <c r="I276" s="37" t="str">
        <f t="shared" si="45"/>
        <v>1-90 DAYS</v>
      </c>
      <c r="J276" s="37" t="str">
        <f t="shared" si="43"/>
        <v>0-180 DAYS</v>
      </c>
      <c r="M276" s="158" t="s">
        <v>5230</v>
      </c>
      <c r="N276" s="158">
        <v>60544.05</v>
      </c>
    </row>
    <row r="277" spans="1:14" x14ac:dyDescent="0.35">
      <c r="A277" t="s">
        <v>4333</v>
      </c>
      <c r="B277" t="s">
        <v>789</v>
      </c>
      <c r="C277" t="s">
        <v>125</v>
      </c>
      <c r="D277" t="s">
        <v>57</v>
      </c>
      <c r="E277" t="s">
        <v>5107</v>
      </c>
      <c r="F277" s="35">
        <v>46181</v>
      </c>
      <c r="G277" s="47">
        <v>41664.5</v>
      </c>
      <c r="H277" s="37">
        <f t="shared" si="42"/>
        <v>54</v>
      </c>
      <c r="I277" s="37" t="str">
        <f t="shared" si="45"/>
        <v>1-90 DAYS</v>
      </c>
      <c r="J277" s="37" t="str">
        <f t="shared" si="43"/>
        <v>0-180 DAYS</v>
      </c>
      <c r="M277" s="158" t="s">
        <v>5230</v>
      </c>
      <c r="N277" s="158">
        <v>41664.5</v>
      </c>
    </row>
    <row r="278" spans="1:14" x14ac:dyDescent="0.35">
      <c r="A278" t="s">
        <v>4333</v>
      </c>
      <c r="B278" t="s">
        <v>789</v>
      </c>
      <c r="C278" t="s">
        <v>125</v>
      </c>
      <c r="D278" t="s">
        <v>57</v>
      </c>
      <c r="E278" t="s">
        <v>5107</v>
      </c>
      <c r="F278" s="35">
        <v>46181</v>
      </c>
      <c r="G278" s="47">
        <v>226218.91</v>
      </c>
      <c r="H278" s="37">
        <f t="shared" si="42"/>
        <v>54</v>
      </c>
      <c r="I278" s="37" t="str">
        <f t="shared" si="45"/>
        <v>1-90 DAYS</v>
      </c>
      <c r="J278" s="37" t="str">
        <f t="shared" si="43"/>
        <v>0-180 DAYS</v>
      </c>
      <c r="M278" s="158" t="s">
        <v>5230</v>
      </c>
      <c r="N278" s="158">
        <v>226218.91</v>
      </c>
    </row>
    <row r="279" spans="1:14" x14ac:dyDescent="0.35">
      <c r="A279" t="s">
        <v>4333</v>
      </c>
      <c r="B279" t="s">
        <v>789</v>
      </c>
      <c r="C279" t="s">
        <v>125</v>
      </c>
      <c r="D279" t="s">
        <v>57</v>
      </c>
      <c r="E279" t="s">
        <v>5107</v>
      </c>
      <c r="F279" s="35">
        <v>46181</v>
      </c>
      <c r="G279" s="47">
        <v>8889.4699999999993</v>
      </c>
      <c r="H279" s="37">
        <f t="shared" si="42"/>
        <v>54</v>
      </c>
      <c r="I279" s="37" t="str">
        <f t="shared" si="45"/>
        <v>1-90 DAYS</v>
      </c>
      <c r="J279" s="37" t="str">
        <f t="shared" si="43"/>
        <v>0-180 DAYS</v>
      </c>
      <c r="M279" s="158" t="s">
        <v>5230</v>
      </c>
      <c r="N279" s="158">
        <v>8889.4699999999993</v>
      </c>
    </row>
    <row r="280" spans="1:14" x14ac:dyDescent="0.35">
      <c r="A280" t="s">
        <v>4333</v>
      </c>
      <c r="B280" t="s">
        <v>789</v>
      </c>
      <c r="C280" t="s">
        <v>125</v>
      </c>
      <c r="D280" t="s">
        <v>57</v>
      </c>
      <c r="E280" t="s">
        <v>5107</v>
      </c>
      <c r="F280" s="35">
        <v>46181</v>
      </c>
      <c r="G280" s="47">
        <v>193425</v>
      </c>
      <c r="H280" s="37">
        <f t="shared" si="42"/>
        <v>54</v>
      </c>
      <c r="I280" s="37" t="str">
        <f t="shared" si="45"/>
        <v>1-90 DAYS</v>
      </c>
      <c r="J280" s="37" t="str">
        <f t="shared" si="43"/>
        <v>0-180 DAYS</v>
      </c>
      <c r="M280" s="158" t="s">
        <v>5230</v>
      </c>
      <c r="N280" s="158">
        <v>193425</v>
      </c>
    </row>
    <row r="281" spans="1:14" x14ac:dyDescent="0.35">
      <c r="A281" t="s">
        <v>4333</v>
      </c>
      <c r="B281" t="s">
        <v>789</v>
      </c>
      <c r="C281" t="s">
        <v>125</v>
      </c>
      <c r="D281" t="s">
        <v>57</v>
      </c>
      <c r="E281" t="s">
        <v>5107</v>
      </c>
      <c r="F281" s="35">
        <v>46181</v>
      </c>
      <c r="G281" s="47">
        <v>197472.87</v>
      </c>
      <c r="H281" s="37">
        <f t="shared" si="42"/>
        <v>54</v>
      </c>
      <c r="I281" s="37" t="str">
        <f t="shared" si="45"/>
        <v>1-90 DAYS</v>
      </c>
      <c r="J281" s="37" t="str">
        <f t="shared" si="43"/>
        <v>0-180 DAYS</v>
      </c>
      <c r="M281" s="158" t="s">
        <v>5230</v>
      </c>
      <c r="N281" s="158">
        <v>197472.87</v>
      </c>
    </row>
    <row r="282" spans="1:14" x14ac:dyDescent="0.35">
      <c r="A282" t="s">
        <v>4333</v>
      </c>
      <c r="B282" t="s">
        <v>789</v>
      </c>
      <c r="C282" t="s">
        <v>125</v>
      </c>
      <c r="D282" t="s">
        <v>57</v>
      </c>
      <c r="E282" t="s">
        <v>5108</v>
      </c>
      <c r="F282" s="35">
        <v>46182</v>
      </c>
      <c r="G282" s="47">
        <v>30242.2</v>
      </c>
      <c r="H282" s="37">
        <f t="shared" si="42"/>
        <v>53</v>
      </c>
      <c r="I282" s="37" t="str">
        <f t="shared" si="45"/>
        <v>1-90 DAYS</v>
      </c>
      <c r="J282" s="37" t="str">
        <f t="shared" si="43"/>
        <v>0-180 DAYS</v>
      </c>
      <c r="M282" s="158" t="s">
        <v>5231</v>
      </c>
      <c r="N282" s="158">
        <v>30242.2</v>
      </c>
    </row>
    <row r="283" spans="1:14" x14ac:dyDescent="0.35">
      <c r="A283" t="s">
        <v>4333</v>
      </c>
      <c r="B283" t="s">
        <v>789</v>
      </c>
      <c r="C283" t="s">
        <v>125</v>
      </c>
      <c r="D283" t="s">
        <v>57</v>
      </c>
      <c r="E283" t="s">
        <v>2143</v>
      </c>
      <c r="F283" s="35">
        <v>46182</v>
      </c>
      <c r="G283" s="47">
        <v>4800</v>
      </c>
      <c r="H283" s="37">
        <f t="shared" si="42"/>
        <v>53</v>
      </c>
      <c r="I283" s="37" t="str">
        <f t="shared" si="45"/>
        <v>1-90 DAYS</v>
      </c>
      <c r="J283" s="37" t="str">
        <f t="shared" si="43"/>
        <v>0-180 DAYS</v>
      </c>
      <c r="M283" s="158" t="s">
        <v>5231</v>
      </c>
      <c r="N283" s="158">
        <v>4800</v>
      </c>
    </row>
    <row r="284" spans="1:14" x14ac:dyDescent="0.35">
      <c r="A284" t="s">
        <v>4333</v>
      </c>
      <c r="B284" t="s">
        <v>789</v>
      </c>
      <c r="C284" t="s">
        <v>125</v>
      </c>
      <c r="D284" t="s">
        <v>57</v>
      </c>
      <c r="E284" t="s">
        <v>5109</v>
      </c>
      <c r="F284" s="35">
        <v>46182</v>
      </c>
      <c r="G284" s="47">
        <v>483946.32</v>
      </c>
      <c r="H284" s="37">
        <f t="shared" si="42"/>
        <v>53</v>
      </c>
      <c r="I284" s="37" t="str">
        <f t="shared" si="45"/>
        <v>1-90 DAYS</v>
      </c>
      <c r="J284" s="37" t="str">
        <f t="shared" si="43"/>
        <v>0-180 DAYS</v>
      </c>
      <c r="M284" s="158" t="s">
        <v>5231</v>
      </c>
      <c r="N284" s="158">
        <v>483946.32</v>
      </c>
    </row>
    <row r="285" spans="1:14" x14ac:dyDescent="0.35">
      <c r="A285" t="s">
        <v>4333</v>
      </c>
      <c r="B285" t="s">
        <v>789</v>
      </c>
      <c r="C285" t="s">
        <v>125</v>
      </c>
      <c r="D285" t="s">
        <v>57</v>
      </c>
      <c r="E285" t="s">
        <v>5109</v>
      </c>
      <c r="F285" s="35">
        <v>46182</v>
      </c>
      <c r="G285" s="47">
        <v>39101.440000000002</v>
      </c>
      <c r="H285" s="37">
        <f t="shared" si="42"/>
        <v>53</v>
      </c>
      <c r="I285" s="37" t="str">
        <f t="shared" si="45"/>
        <v>1-90 DAYS</v>
      </c>
      <c r="J285" s="37" t="str">
        <f t="shared" si="43"/>
        <v>0-180 DAYS</v>
      </c>
      <c r="M285" s="158" t="s">
        <v>5231</v>
      </c>
      <c r="N285" s="158">
        <v>39101.440000000002</v>
      </c>
    </row>
    <row r="286" spans="1:14" x14ac:dyDescent="0.35">
      <c r="A286" t="s">
        <v>4333</v>
      </c>
      <c r="B286" t="s">
        <v>789</v>
      </c>
      <c r="C286" t="s">
        <v>125</v>
      </c>
      <c r="D286" t="s">
        <v>57</v>
      </c>
      <c r="E286" t="s">
        <v>5109</v>
      </c>
      <c r="F286" s="35">
        <v>46182</v>
      </c>
      <c r="G286" s="47">
        <v>156879.25</v>
      </c>
      <c r="H286" s="37">
        <f t="shared" si="42"/>
        <v>53</v>
      </c>
      <c r="I286" s="37" t="str">
        <f t="shared" si="45"/>
        <v>1-90 DAYS</v>
      </c>
      <c r="J286" s="37" t="str">
        <f t="shared" si="43"/>
        <v>0-180 DAYS</v>
      </c>
      <c r="M286" s="158" t="s">
        <v>5231</v>
      </c>
      <c r="N286" s="158">
        <v>156879.25</v>
      </c>
    </row>
    <row r="287" spans="1:14" x14ac:dyDescent="0.35">
      <c r="A287" t="s">
        <v>4333</v>
      </c>
      <c r="B287" t="s">
        <v>789</v>
      </c>
      <c r="C287" t="s">
        <v>125</v>
      </c>
      <c r="D287" t="s">
        <v>57</v>
      </c>
      <c r="E287" t="s">
        <v>5110</v>
      </c>
      <c r="F287" s="35">
        <v>46182</v>
      </c>
      <c r="G287" s="47">
        <v>30250</v>
      </c>
      <c r="H287" s="37">
        <f t="shared" si="42"/>
        <v>53</v>
      </c>
      <c r="I287" s="37" t="str">
        <f t="shared" si="45"/>
        <v>1-90 DAYS</v>
      </c>
      <c r="J287" s="37" t="str">
        <f t="shared" si="43"/>
        <v>0-180 DAYS</v>
      </c>
      <c r="M287" s="158" t="s">
        <v>5231</v>
      </c>
      <c r="N287" s="158">
        <v>30250</v>
      </c>
    </row>
    <row r="288" spans="1:14" x14ac:dyDescent="0.35">
      <c r="A288" t="s">
        <v>4333</v>
      </c>
      <c r="B288" t="s">
        <v>789</v>
      </c>
      <c r="C288" t="s">
        <v>125</v>
      </c>
      <c r="D288" t="s">
        <v>57</v>
      </c>
      <c r="E288" t="s">
        <v>2148</v>
      </c>
      <c r="F288" s="35">
        <v>46183</v>
      </c>
      <c r="G288" s="47">
        <v>1152</v>
      </c>
      <c r="H288" s="37">
        <f t="shared" si="42"/>
        <v>52</v>
      </c>
      <c r="I288" s="37" t="str">
        <f t="shared" si="45"/>
        <v>1-90 DAYS</v>
      </c>
      <c r="J288" s="37" t="str">
        <f t="shared" si="43"/>
        <v>0-180 DAYS</v>
      </c>
      <c r="M288" s="158" t="s">
        <v>5232</v>
      </c>
      <c r="N288" s="158">
        <v>1152</v>
      </c>
    </row>
    <row r="289" spans="1:14" x14ac:dyDescent="0.35">
      <c r="A289" t="s">
        <v>4333</v>
      </c>
      <c r="B289" t="s">
        <v>789</v>
      </c>
      <c r="C289" t="s">
        <v>125</v>
      </c>
      <c r="D289" t="s">
        <v>57</v>
      </c>
      <c r="E289" t="s">
        <v>2146</v>
      </c>
      <c r="F289" s="35">
        <v>46183</v>
      </c>
      <c r="G289" s="47">
        <v>176215.06</v>
      </c>
      <c r="H289" s="37">
        <f t="shared" si="42"/>
        <v>52</v>
      </c>
      <c r="I289" s="37" t="str">
        <f t="shared" si="45"/>
        <v>1-90 DAYS</v>
      </c>
      <c r="J289" s="37" t="str">
        <f t="shared" si="43"/>
        <v>0-180 DAYS</v>
      </c>
      <c r="M289" s="158" t="s">
        <v>5232</v>
      </c>
      <c r="N289" s="158">
        <v>176215.06</v>
      </c>
    </row>
    <row r="290" spans="1:14" x14ac:dyDescent="0.35">
      <c r="A290" t="s">
        <v>4333</v>
      </c>
      <c r="B290" t="s">
        <v>789</v>
      </c>
      <c r="C290" t="s">
        <v>125</v>
      </c>
      <c r="D290" t="s">
        <v>57</v>
      </c>
      <c r="E290" t="s">
        <v>2146</v>
      </c>
      <c r="F290" s="35">
        <v>46183</v>
      </c>
      <c r="G290" s="47">
        <v>71653.899999999994</v>
      </c>
      <c r="H290" s="37">
        <f t="shared" si="42"/>
        <v>52</v>
      </c>
      <c r="I290" s="37" t="str">
        <f t="shared" si="45"/>
        <v>1-90 DAYS</v>
      </c>
      <c r="J290" s="37" t="str">
        <f t="shared" si="43"/>
        <v>0-180 DAYS</v>
      </c>
      <c r="M290" s="158" t="s">
        <v>5232</v>
      </c>
      <c r="N290" s="158">
        <v>71653.899999999994</v>
      </c>
    </row>
    <row r="291" spans="1:14" x14ac:dyDescent="0.35">
      <c r="A291" t="s">
        <v>4333</v>
      </c>
      <c r="B291" t="s">
        <v>789</v>
      </c>
      <c r="C291" t="s">
        <v>125</v>
      </c>
      <c r="D291" t="s">
        <v>57</v>
      </c>
      <c r="E291" t="s">
        <v>2146</v>
      </c>
      <c r="F291" s="35">
        <v>46183</v>
      </c>
      <c r="G291" s="47">
        <v>72709.05</v>
      </c>
      <c r="H291" s="37">
        <f t="shared" si="42"/>
        <v>52</v>
      </c>
      <c r="I291" s="37" t="str">
        <f t="shared" si="45"/>
        <v>1-90 DAYS</v>
      </c>
      <c r="J291" s="37" t="str">
        <f t="shared" si="43"/>
        <v>0-180 DAYS</v>
      </c>
      <c r="M291" s="158" t="s">
        <v>5232</v>
      </c>
      <c r="N291" s="158">
        <v>72709.05</v>
      </c>
    </row>
    <row r="292" spans="1:14" x14ac:dyDescent="0.35">
      <c r="A292" t="s">
        <v>4333</v>
      </c>
      <c r="B292" t="s">
        <v>789</v>
      </c>
      <c r="C292" t="s">
        <v>125</v>
      </c>
      <c r="D292" t="s">
        <v>57</v>
      </c>
      <c r="E292" t="s">
        <v>2146</v>
      </c>
      <c r="F292" s="35">
        <v>46183</v>
      </c>
      <c r="G292" s="47">
        <v>186739.92</v>
      </c>
      <c r="H292" s="37">
        <f t="shared" si="42"/>
        <v>52</v>
      </c>
      <c r="I292" s="37" t="str">
        <f t="shared" si="45"/>
        <v>1-90 DAYS</v>
      </c>
      <c r="J292" s="37" t="str">
        <f t="shared" si="43"/>
        <v>0-180 DAYS</v>
      </c>
      <c r="M292" s="158" t="s">
        <v>5232</v>
      </c>
      <c r="N292" s="158">
        <v>186739.92</v>
      </c>
    </row>
    <row r="293" spans="1:14" x14ac:dyDescent="0.35">
      <c r="A293" t="s">
        <v>4333</v>
      </c>
      <c r="B293" t="s">
        <v>789</v>
      </c>
      <c r="C293" t="s">
        <v>125</v>
      </c>
      <c r="D293" t="s">
        <v>57</v>
      </c>
      <c r="E293" t="s">
        <v>2150</v>
      </c>
      <c r="F293" s="35">
        <v>46184</v>
      </c>
      <c r="G293" s="47">
        <v>4608</v>
      </c>
      <c r="H293" s="37">
        <f t="shared" si="42"/>
        <v>51</v>
      </c>
      <c r="I293" s="37" t="str">
        <f t="shared" si="45"/>
        <v>1-90 DAYS</v>
      </c>
      <c r="J293" s="37" t="str">
        <f t="shared" si="43"/>
        <v>0-180 DAYS</v>
      </c>
      <c r="M293" s="158" t="s">
        <v>5233</v>
      </c>
      <c r="N293" s="158">
        <v>4608</v>
      </c>
    </row>
    <row r="294" spans="1:14" x14ac:dyDescent="0.35">
      <c r="A294" t="s">
        <v>4333</v>
      </c>
      <c r="B294" t="s">
        <v>789</v>
      </c>
      <c r="C294" t="s">
        <v>125</v>
      </c>
      <c r="D294" t="s">
        <v>57</v>
      </c>
      <c r="E294" t="s">
        <v>5111</v>
      </c>
      <c r="F294" s="35">
        <v>46184</v>
      </c>
      <c r="G294" s="47">
        <v>126743.65</v>
      </c>
      <c r="H294" s="37">
        <f t="shared" si="42"/>
        <v>51</v>
      </c>
      <c r="I294" s="37" t="str">
        <f t="shared" si="45"/>
        <v>1-90 DAYS</v>
      </c>
      <c r="J294" s="37" t="str">
        <f t="shared" si="43"/>
        <v>0-180 DAYS</v>
      </c>
      <c r="M294" s="158" t="s">
        <v>5233</v>
      </c>
      <c r="N294" s="158">
        <v>126743.65</v>
      </c>
    </row>
    <row r="295" spans="1:14" x14ac:dyDescent="0.35">
      <c r="A295" t="s">
        <v>4333</v>
      </c>
      <c r="B295" t="s">
        <v>789</v>
      </c>
      <c r="C295" t="s">
        <v>125</v>
      </c>
      <c r="D295" t="s">
        <v>57</v>
      </c>
      <c r="E295" t="s">
        <v>5111</v>
      </c>
      <c r="F295" s="35">
        <v>46184</v>
      </c>
      <c r="G295" s="47">
        <v>54959.28</v>
      </c>
      <c r="H295" s="37">
        <f t="shared" si="42"/>
        <v>51</v>
      </c>
      <c r="I295" s="37" t="str">
        <f t="shared" si="45"/>
        <v>1-90 DAYS</v>
      </c>
      <c r="J295" s="37" t="str">
        <f t="shared" si="43"/>
        <v>0-180 DAYS</v>
      </c>
      <c r="M295" s="158" t="s">
        <v>5233</v>
      </c>
      <c r="N295" s="158">
        <v>54959.28</v>
      </c>
    </row>
    <row r="296" spans="1:14" x14ac:dyDescent="0.35">
      <c r="A296" t="s">
        <v>4333</v>
      </c>
      <c r="B296" t="s">
        <v>789</v>
      </c>
      <c r="C296" t="s">
        <v>125</v>
      </c>
      <c r="D296" t="s">
        <v>57</v>
      </c>
      <c r="E296" t="s">
        <v>5111</v>
      </c>
      <c r="F296" s="35">
        <v>46184</v>
      </c>
      <c r="G296" s="47">
        <v>395749.34</v>
      </c>
      <c r="H296" s="37">
        <f t="shared" si="42"/>
        <v>51</v>
      </c>
      <c r="I296" s="37" t="str">
        <f t="shared" si="45"/>
        <v>1-90 DAYS</v>
      </c>
      <c r="J296" s="37" t="str">
        <f t="shared" si="43"/>
        <v>0-180 DAYS</v>
      </c>
      <c r="M296" s="158" t="s">
        <v>5233</v>
      </c>
      <c r="N296" s="158">
        <v>395749.34</v>
      </c>
    </row>
    <row r="297" spans="1:14" x14ac:dyDescent="0.35">
      <c r="A297" t="s">
        <v>4333</v>
      </c>
      <c r="B297" t="s">
        <v>789</v>
      </c>
      <c r="C297" t="s">
        <v>125</v>
      </c>
      <c r="D297" t="s">
        <v>57</v>
      </c>
      <c r="E297" t="s">
        <v>5111</v>
      </c>
      <c r="F297" s="35">
        <v>46184</v>
      </c>
      <c r="G297" s="47">
        <v>365413.18</v>
      </c>
      <c r="H297" s="37">
        <f t="shared" si="42"/>
        <v>51</v>
      </c>
      <c r="I297" s="37" t="str">
        <f t="shared" si="45"/>
        <v>1-90 DAYS</v>
      </c>
      <c r="J297" s="37" t="str">
        <f t="shared" si="43"/>
        <v>0-180 DAYS</v>
      </c>
      <c r="M297" s="158" t="s">
        <v>5233</v>
      </c>
      <c r="N297" s="158">
        <v>365413.18</v>
      </c>
    </row>
    <row r="298" spans="1:14" x14ac:dyDescent="0.35">
      <c r="A298" t="s">
        <v>4333</v>
      </c>
      <c r="B298" t="s">
        <v>789</v>
      </c>
      <c r="C298" t="s">
        <v>125</v>
      </c>
      <c r="D298" t="s">
        <v>57</v>
      </c>
      <c r="E298" t="s">
        <v>5111</v>
      </c>
      <c r="F298" s="35">
        <v>46184</v>
      </c>
      <c r="G298" s="47">
        <v>161155.79999999999</v>
      </c>
      <c r="H298" s="37">
        <f t="shared" si="42"/>
        <v>51</v>
      </c>
      <c r="I298" s="37" t="str">
        <f t="shared" si="45"/>
        <v>1-90 DAYS</v>
      </c>
      <c r="J298" s="37" t="str">
        <f t="shared" si="43"/>
        <v>0-180 DAYS</v>
      </c>
      <c r="M298" s="158" t="s">
        <v>5233</v>
      </c>
      <c r="N298" s="158">
        <v>161155.79999999999</v>
      </c>
    </row>
    <row r="299" spans="1:14" x14ac:dyDescent="0.35">
      <c r="A299" t="s">
        <v>4333</v>
      </c>
      <c r="B299" t="s">
        <v>789</v>
      </c>
      <c r="C299" t="s">
        <v>125</v>
      </c>
      <c r="D299" t="s">
        <v>57</v>
      </c>
      <c r="E299" t="s">
        <v>2151</v>
      </c>
      <c r="F299" s="35">
        <v>46185</v>
      </c>
      <c r="G299" s="47">
        <v>4032</v>
      </c>
      <c r="H299" s="37">
        <f t="shared" si="42"/>
        <v>50</v>
      </c>
      <c r="I299" s="37" t="str">
        <f t="shared" si="45"/>
        <v>1-90 DAYS</v>
      </c>
      <c r="J299" s="37" t="str">
        <f t="shared" si="43"/>
        <v>0-180 DAYS</v>
      </c>
      <c r="M299" s="158" t="s">
        <v>5234</v>
      </c>
      <c r="N299" s="158">
        <v>4032</v>
      </c>
    </row>
    <row r="300" spans="1:14" x14ac:dyDescent="0.35">
      <c r="A300" t="s">
        <v>4333</v>
      </c>
      <c r="B300" t="s">
        <v>789</v>
      </c>
      <c r="C300" t="s">
        <v>125</v>
      </c>
      <c r="D300" t="s">
        <v>57</v>
      </c>
      <c r="E300" t="s">
        <v>2153</v>
      </c>
      <c r="F300" s="35">
        <v>46185</v>
      </c>
      <c r="G300" s="47">
        <v>157230.56</v>
      </c>
      <c r="H300" s="37">
        <f t="shared" si="42"/>
        <v>50</v>
      </c>
      <c r="I300" s="37" t="str">
        <f t="shared" si="45"/>
        <v>1-90 DAYS</v>
      </c>
      <c r="J300" s="37" t="str">
        <f t="shared" si="43"/>
        <v>0-180 DAYS</v>
      </c>
      <c r="M300" s="158" t="s">
        <v>5234</v>
      </c>
      <c r="N300" s="158">
        <v>157230.56</v>
      </c>
    </row>
    <row r="301" spans="1:14" x14ac:dyDescent="0.35">
      <c r="A301" t="s">
        <v>4333</v>
      </c>
      <c r="B301" t="s">
        <v>789</v>
      </c>
      <c r="C301" t="s">
        <v>125</v>
      </c>
      <c r="D301" t="s">
        <v>57</v>
      </c>
      <c r="E301" t="s">
        <v>2153</v>
      </c>
      <c r="F301" s="35">
        <v>46185</v>
      </c>
      <c r="G301" s="47">
        <v>46736.7</v>
      </c>
      <c r="H301" s="37">
        <f t="shared" si="42"/>
        <v>50</v>
      </c>
      <c r="I301" s="37" t="str">
        <f t="shared" si="45"/>
        <v>1-90 DAYS</v>
      </c>
      <c r="J301" s="37" t="str">
        <f t="shared" si="43"/>
        <v>0-180 DAYS</v>
      </c>
      <c r="M301" s="158" t="s">
        <v>5234</v>
      </c>
      <c r="N301" s="158">
        <v>46736.7</v>
      </c>
    </row>
    <row r="302" spans="1:14" x14ac:dyDescent="0.35">
      <c r="A302" t="s">
        <v>4333</v>
      </c>
      <c r="B302" t="s">
        <v>789</v>
      </c>
      <c r="C302" t="s">
        <v>125</v>
      </c>
      <c r="D302" t="s">
        <v>57</v>
      </c>
      <c r="E302" t="s">
        <v>2153</v>
      </c>
      <c r="F302" s="35">
        <v>46185</v>
      </c>
      <c r="G302" s="47">
        <v>55431.9</v>
      </c>
      <c r="H302" s="37">
        <f t="shared" si="42"/>
        <v>50</v>
      </c>
      <c r="I302" s="37" t="str">
        <f t="shared" si="45"/>
        <v>1-90 DAYS</v>
      </c>
      <c r="J302" s="37" t="str">
        <f t="shared" si="43"/>
        <v>0-180 DAYS</v>
      </c>
      <c r="M302" s="158" t="s">
        <v>5234</v>
      </c>
      <c r="N302" s="158">
        <v>55431.9</v>
      </c>
    </row>
    <row r="303" spans="1:14" x14ac:dyDescent="0.35">
      <c r="A303" t="s">
        <v>4333</v>
      </c>
      <c r="B303" t="s">
        <v>789</v>
      </c>
      <c r="C303" t="s">
        <v>125</v>
      </c>
      <c r="D303" t="s">
        <v>57</v>
      </c>
      <c r="E303" t="s">
        <v>2153</v>
      </c>
      <c r="F303" s="35">
        <v>46185</v>
      </c>
      <c r="G303" s="47">
        <v>71801.64</v>
      </c>
      <c r="H303" s="37">
        <f t="shared" si="42"/>
        <v>50</v>
      </c>
      <c r="I303" s="37" t="str">
        <f t="shared" si="45"/>
        <v>1-90 DAYS</v>
      </c>
      <c r="J303" s="37" t="str">
        <f t="shared" si="43"/>
        <v>0-180 DAYS</v>
      </c>
      <c r="M303" s="158" t="s">
        <v>5234</v>
      </c>
      <c r="N303" s="158">
        <v>71801.64</v>
      </c>
    </row>
    <row r="304" spans="1:14" x14ac:dyDescent="0.35">
      <c r="A304" t="s">
        <v>4333</v>
      </c>
      <c r="B304" t="s">
        <v>789</v>
      </c>
      <c r="C304" t="s">
        <v>125</v>
      </c>
      <c r="D304" t="s">
        <v>57</v>
      </c>
      <c r="E304" t="s">
        <v>2153</v>
      </c>
      <c r="F304" s="35">
        <v>46185</v>
      </c>
      <c r="G304" s="47">
        <v>296791.32</v>
      </c>
      <c r="H304" s="37">
        <f t="shared" si="42"/>
        <v>50</v>
      </c>
      <c r="I304" s="37" t="str">
        <f t="shared" si="45"/>
        <v>1-90 DAYS</v>
      </c>
      <c r="J304" s="37" t="str">
        <f t="shared" si="43"/>
        <v>0-180 DAYS</v>
      </c>
      <c r="M304" s="158" t="s">
        <v>5234</v>
      </c>
      <c r="N304" s="158">
        <v>296791.32</v>
      </c>
    </row>
    <row r="305" spans="1:14" x14ac:dyDescent="0.35">
      <c r="A305" t="s">
        <v>4333</v>
      </c>
      <c r="B305" t="s">
        <v>789</v>
      </c>
      <c r="C305" t="s">
        <v>125</v>
      </c>
      <c r="D305" t="s">
        <v>57</v>
      </c>
      <c r="E305" t="s">
        <v>2153</v>
      </c>
      <c r="F305" s="35">
        <v>46185</v>
      </c>
      <c r="G305" s="47">
        <v>152200.26999999999</v>
      </c>
      <c r="H305" s="37">
        <f t="shared" si="42"/>
        <v>50</v>
      </c>
      <c r="I305" s="37" t="str">
        <f t="shared" si="45"/>
        <v>1-90 DAYS</v>
      </c>
      <c r="J305" s="37" t="str">
        <f t="shared" si="43"/>
        <v>0-180 DAYS</v>
      </c>
      <c r="M305" s="158" t="s">
        <v>5234</v>
      </c>
      <c r="N305" s="158">
        <v>152200.26999999999</v>
      </c>
    </row>
    <row r="306" spans="1:14" x14ac:dyDescent="0.35">
      <c r="A306" t="s">
        <v>4333</v>
      </c>
      <c r="B306" t="s">
        <v>789</v>
      </c>
      <c r="C306" t="s">
        <v>125</v>
      </c>
      <c r="D306" t="s">
        <v>57</v>
      </c>
      <c r="E306" t="s">
        <v>2153</v>
      </c>
      <c r="F306" s="35">
        <v>46185</v>
      </c>
      <c r="G306" s="47">
        <v>4762.96</v>
      </c>
      <c r="H306" s="37">
        <f t="shared" si="42"/>
        <v>50</v>
      </c>
      <c r="I306" s="37" t="str">
        <f t="shared" si="45"/>
        <v>1-90 DAYS</v>
      </c>
      <c r="J306" s="37" t="str">
        <f t="shared" si="43"/>
        <v>0-180 DAYS</v>
      </c>
      <c r="M306" s="158" t="s">
        <v>5234</v>
      </c>
      <c r="N306" s="158">
        <v>4762.96</v>
      </c>
    </row>
    <row r="307" spans="1:14" x14ac:dyDescent="0.35">
      <c r="A307" t="s">
        <v>4333</v>
      </c>
      <c r="B307" t="s">
        <v>789</v>
      </c>
      <c r="C307" t="s">
        <v>125</v>
      </c>
      <c r="D307" t="s">
        <v>57</v>
      </c>
      <c r="E307" t="s">
        <v>2153</v>
      </c>
      <c r="F307" s="35">
        <v>46185</v>
      </c>
      <c r="G307" s="47">
        <v>135219.91</v>
      </c>
      <c r="H307" s="37">
        <f t="shared" si="42"/>
        <v>50</v>
      </c>
      <c r="I307" s="37" t="str">
        <f t="shared" si="45"/>
        <v>1-90 DAYS</v>
      </c>
      <c r="J307" s="37" t="str">
        <f t="shared" si="43"/>
        <v>0-180 DAYS</v>
      </c>
      <c r="M307" s="158" t="s">
        <v>5234</v>
      </c>
      <c r="N307" s="158">
        <v>135219.91</v>
      </c>
    </row>
    <row r="308" spans="1:14" x14ac:dyDescent="0.35">
      <c r="A308" t="s">
        <v>4333</v>
      </c>
      <c r="B308" t="s">
        <v>789</v>
      </c>
      <c r="C308" t="s">
        <v>125</v>
      </c>
      <c r="D308" t="s">
        <v>57</v>
      </c>
      <c r="E308" t="s">
        <v>5112</v>
      </c>
      <c r="F308" s="35">
        <v>46185</v>
      </c>
      <c r="G308" s="47">
        <v>34250</v>
      </c>
      <c r="H308" s="37">
        <f t="shared" si="42"/>
        <v>50</v>
      </c>
      <c r="I308" s="37" t="str">
        <f t="shared" si="45"/>
        <v>1-90 DAYS</v>
      </c>
      <c r="J308" s="37" t="str">
        <f t="shared" si="43"/>
        <v>0-180 DAYS</v>
      </c>
      <c r="M308" s="158" t="s">
        <v>5234</v>
      </c>
      <c r="N308" s="158">
        <v>34250</v>
      </c>
    </row>
    <row r="309" spans="1:14" x14ac:dyDescent="0.35">
      <c r="A309" t="s">
        <v>1085</v>
      </c>
      <c r="B309" t="s">
        <v>790</v>
      </c>
      <c r="C309" t="s">
        <v>650</v>
      </c>
      <c r="D309" t="s">
        <v>507</v>
      </c>
      <c r="E309" t="s">
        <v>1340</v>
      </c>
      <c r="F309" s="35">
        <v>46185</v>
      </c>
      <c r="G309" s="47">
        <v>3984172.7987059602</v>
      </c>
      <c r="H309" s="37">
        <f t="shared" si="42"/>
        <v>50</v>
      </c>
      <c r="I309" s="37" t="str">
        <f t="shared" ref="I309:I310" si="46">IF(H309&lt;121,"0-120 DAYS",IF(H309&lt;181,"121-180 DAYS","More than 180 Days"))</f>
        <v>0-120 DAYS</v>
      </c>
      <c r="J309" s="37" t="str">
        <f t="shared" si="43"/>
        <v>0-180 DAYS</v>
      </c>
      <c r="K309" t="s">
        <v>1730</v>
      </c>
      <c r="M309" s="158" t="s">
        <v>5234</v>
      </c>
      <c r="N309" s="158">
        <v>3984172.8</v>
      </c>
    </row>
    <row r="310" spans="1:14" x14ac:dyDescent="0.35">
      <c r="A310" t="s">
        <v>1085</v>
      </c>
      <c r="B310" t="s">
        <v>790</v>
      </c>
      <c r="C310" t="s">
        <v>650</v>
      </c>
      <c r="D310" t="s">
        <v>507</v>
      </c>
      <c r="E310" t="s">
        <v>1344</v>
      </c>
      <c r="F310" s="35">
        <v>46185</v>
      </c>
      <c r="G310" s="47">
        <v>465484.50151839998</v>
      </c>
      <c r="H310" s="37">
        <f t="shared" si="42"/>
        <v>50</v>
      </c>
      <c r="I310" s="37" t="str">
        <f t="shared" si="46"/>
        <v>0-120 DAYS</v>
      </c>
      <c r="J310" s="37" t="str">
        <f t="shared" si="43"/>
        <v>0-180 DAYS</v>
      </c>
      <c r="K310" t="s">
        <v>1730</v>
      </c>
      <c r="M310" s="158" t="s">
        <v>5234</v>
      </c>
      <c r="N310" s="158">
        <v>465484.5</v>
      </c>
    </row>
    <row r="311" spans="1:14" x14ac:dyDescent="0.35">
      <c r="A311" t="s">
        <v>4333</v>
      </c>
      <c r="B311" t="s">
        <v>789</v>
      </c>
      <c r="C311" t="s">
        <v>125</v>
      </c>
      <c r="D311" t="s">
        <v>57</v>
      </c>
      <c r="E311" t="s">
        <v>2158</v>
      </c>
      <c r="F311" s="35">
        <v>46186</v>
      </c>
      <c r="G311" s="47">
        <v>15900</v>
      </c>
      <c r="H311" s="37">
        <f t="shared" si="42"/>
        <v>49</v>
      </c>
      <c r="I311" s="37" t="str">
        <f t="shared" ref="I311:I312" si="47">IF(H311&lt;91,"1-90 DAYS",IF(H311&lt;121,"91-120DAYS",IF(H311&lt;181,"121-180 DAYS","More than 180 Days")))</f>
        <v>1-90 DAYS</v>
      </c>
      <c r="J311" s="37" t="str">
        <f t="shared" si="43"/>
        <v>0-180 DAYS</v>
      </c>
      <c r="M311" s="158" t="s">
        <v>5235</v>
      </c>
      <c r="N311" s="158">
        <v>15900</v>
      </c>
    </row>
    <row r="312" spans="1:14" x14ac:dyDescent="0.35">
      <c r="A312" t="s">
        <v>4333</v>
      </c>
      <c r="B312" t="s">
        <v>789</v>
      </c>
      <c r="C312" t="s">
        <v>125</v>
      </c>
      <c r="D312" t="s">
        <v>57</v>
      </c>
      <c r="E312" t="s">
        <v>2159</v>
      </c>
      <c r="F312" s="35">
        <v>46186</v>
      </c>
      <c r="G312" s="47">
        <v>2552</v>
      </c>
      <c r="H312" s="37">
        <f t="shared" si="42"/>
        <v>49</v>
      </c>
      <c r="I312" s="37" t="str">
        <f t="shared" si="47"/>
        <v>1-90 DAYS</v>
      </c>
      <c r="J312" s="37" t="str">
        <f t="shared" si="43"/>
        <v>0-180 DAYS</v>
      </c>
      <c r="M312" s="158" t="s">
        <v>5235</v>
      </c>
      <c r="N312" s="158">
        <v>2552</v>
      </c>
    </row>
    <row r="313" spans="1:14" x14ac:dyDescent="0.35">
      <c r="A313" t="s">
        <v>1085</v>
      </c>
      <c r="B313" t="s">
        <v>790</v>
      </c>
      <c r="C313" t="s">
        <v>1086</v>
      </c>
      <c r="D313" t="s">
        <v>507</v>
      </c>
      <c r="E313" t="s">
        <v>5113</v>
      </c>
      <c r="F313" s="35">
        <v>46187</v>
      </c>
      <c r="G313" s="47">
        <v>638573.55900000001</v>
      </c>
      <c r="H313" s="37">
        <f t="shared" si="42"/>
        <v>48</v>
      </c>
      <c r="I313" s="37" t="str">
        <f t="shared" ref="I313:I315" si="48">IF(H313&lt;121,"0-120 DAYS",IF(H313&lt;181,"121-180 DAYS","More than 180 Days"))</f>
        <v>0-120 DAYS</v>
      </c>
      <c r="J313" s="37" t="str">
        <f t="shared" si="43"/>
        <v>0-180 DAYS</v>
      </c>
      <c r="K313" t="s">
        <v>1730</v>
      </c>
      <c r="M313" s="158" t="s">
        <v>5236</v>
      </c>
      <c r="N313" s="158">
        <v>638573.56000000006</v>
      </c>
    </row>
    <row r="314" spans="1:14" x14ac:dyDescent="0.35">
      <c r="A314" t="s">
        <v>1085</v>
      </c>
      <c r="B314" t="s">
        <v>790</v>
      </c>
      <c r="C314" t="s">
        <v>1086</v>
      </c>
      <c r="D314" t="s">
        <v>507</v>
      </c>
      <c r="E314" t="s">
        <v>5114</v>
      </c>
      <c r="F314" s="35">
        <v>46187</v>
      </c>
      <c r="G314" s="47">
        <v>974290.85</v>
      </c>
      <c r="H314" s="37">
        <f t="shared" si="42"/>
        <v>48</v>
      </c>
      <c r="I314" s="37" t="str">
        <f t="shared" si="48"/>
        <v>0-120 DAYS</v>
      </c>
      <c r="J314" s="37" t="str">
        <f t="shared" si="43"/>
        <v>0-180 DAYS</v>
      </c>
      <c r="K314" t="s">
        <v>1730</v>
      </c>
      <c r="M314" s="158" t="s">
        <v>5236</v>
      </c>
      <c r="N314" s="158">
        <v>974290.85</v>
      </c>
    </row>
    <row r="315" spans="1:14" x14ac:dyDescent="0.35">
      <c r="A315" t="s">
        <v>1085</v>
      </c>
      <c r="B315" t="s">
        <v>790</v>
      </c>
      <c r="C315" t="s">
        <v>1086</v>
      </c>
      <c r="D315" t="s">
        <v>507</v>
      </c>
      <c r="E315" t="s">
        <v>5115</v>
      </c>
      <c r="F315" s="35">
        <v>46187</v>
      </c>
      <c r="G315" s="47">
        <v>1180139.389</v>
      </c>
      <c r="H315" s="37">
        <f t="shared" si="42"/>
        <v>48</v>
      </c>
      <c r="I315" s="37" t="str">
        <f t="shared" si="48"/>
        <v>0-120 DAYS</v>
      </c>
      <c r="J315" s="37" t="str">
        <f t="shared" si="43"/>
        <v>0-180 DAYS</v>
      </c>
      <c r="K315" t="s">
        <v>1730</v>
      </c>
      <c r="M315" s="158" t="s">
        <v>5236</v>
      </c>
      <c r="N315" s="158">
        <v>1180139.3899999999</v>
      </c>
    </row>
    <row r="316" spans="1:14" x14ac:dyDescent="0.35">
      <c r="A316" t="s">
        <v>4333</v>
      </c>
      <c r="B316" t="s">
        <v>789</v>
      </c>
      <c r="C316" t="s">
        <v>125</v>
      </c>
      <c r="D316" t="s">
        <v>57</v>
      </c>
      <c r="E316" t="s">
        <v>2162</v>
      </c>
      <c r="F316" s="35">
        <v>46187</v>
      </c>
      <c r="G316" s="47">
        <v>6912</v>
      </c>
      <c r="H316" s="37">
        <f t="shared" si="42"/>
        <v>48</v>
      </c>
      <c r="I316" s="37" t="str">
        <f t="shared" ref="I316:I324" si="49">IF(H316&lt;91,"1-90 DAYS",IF(H316&lt;121,"91-120DAYS",IF(H316&lt;181,"121-180 DAYS","More than 180 Days")))</f>
        <v>1-90 DAYS</v>
      </c>
      <c r="J316" s="37" t="str">
        <f t="shared" si="43"/>
        <v>0-180 DAYS</v>
      </c>
      <c r="M316" s="158" t="s">
        <v>5236</v>
      </c>
      <c r="N316" s="158">
        <v>6912</v>
      </c>
    </row>
    <row r="317" spans="1:14" x14ac:dyDescent="0.35">
      <c r="A317" t="s">
        <v>4333</v>
      </c>
      <c r="B317" t="s">
        <v>789</v>
      </c>
      <c r="C317" t="s">
        <v>125</v>
      </c>
      <c r="D317" t="s">
        <v>57</v>
      </c>
      <c r="E317" t="s">
        <v>2163</v>
      </c>
      <c r="F317" s="35">
        <v>46187</v>
      </c>
      <c r="G317" s="47">
        <v>295554</v>
      </c>
      <c r="H317" s="37">
        <f t="shared" si="42"/>
        <v>48</v>
      </c>
      <c r="I317" s="37" t="str">
        <f t="shared" si="49"/>
        <v>1-90 DAYS</v>
      </c>
      <c r="J317" s="37" t="str">
        <f t="shared" si="43"/>
        <v>0-180 DAYS</v>
      </c>
      <c r="M317" s="158" t="s">
        <v>5236</v>
      </c>
      <c r="N317" s="158">
        <v>295554</v>
      </c>
    </row>
    <row r="318" spans="1:14" x14ac:dyDescent="0.35">
      <c r="A318" t="s">
        <v>4333</v>
      </c>
      <c r="B318" t="s">
        <v>789</v>
      </c>
      <c r="C318" t="s">
        <v>125</v>
      </c>
      <c r="D318" t="s">
        <v>57</v>
      </c>
      <c r="E318" t="s">
        <v>2163</v>
      </c>
      <c r="F318" s="35">
        <v>46187</v>
      </c>
      <c r="G318" s="47">
        <v>38490.480000000003</v>
      </c>
      <c r="H318" s="37">
        <f t="shared" si="42"/>
        <v>48</v>
      </c>
      <c r="I318" s="37" t="str">
        <f t="shared" si="49"/>
        <v>1-90 DAYS</v>
      </c>
      <c r="J318" s="37" t="str">
        <f t="shared" si="43"/>
        <v>0-180 DAYS</v>
      </c>
      <c r="M318" s="158" t="s">
        <v>5236</v>
      </c>
      <c r="N318" s="158">
        <v>38490.480000000003</v>
      </c>
    </row>
    <row r="319" spans="1:14" x14ac:dyDescent="0.35">
      <c r="A319" t="s">
        <v>4333</v>
      </c>
      <c r="B319" t="s">
        <v>789</v>
      </c>
      <c r="C319" t="s">
        <v>125</v>
      </c>
      <c r="D319" t="s">
        <v>57</v>
      </c>
      <c r="E319" t="s">
        <v>2163</v>
      </c>
      <c r="F319" s="35">
        <v>46187</v>
      </c>
      <c r="G319" s="47">
        <v>9441.92</v>
      </c>
      <c r="H319" s="37">
        <f t="shared" si="42"/>
        <v>48</v>
      </c>
      <c r="I319" s="37" t="str">
        <f t="shared" si="49"/>
        <v>1-90 DAYS</v>
      </c>
      <c r="J319" s="37" t="str">
        <f t="shared" si="43"/>
        <v>0-180 DAYS</v>
      </c>
      <c r="M319" s="158" t="s">
        <v>5236</v>
      </c>
      <c r="N319" s="158">
        <v>9441.92</v>
      </c>
    </row>
    <row r="320" spans="1:14" x14ac:dyDescent="0.35">
      <c r="A320" t="s">
        <v>4333</v>
      </c>
      <c r="B320" t="s">
        <v>789</v>
      </c>
      <c r="C320" t="s">
        <v>125</v>
      </c>
      <c r="D320" t="s">
        <v>57</v>
      </c>
      <c r="E320" t="s">
        <v>2163</v>
      </c>
      <c r="F320" s="35">
        <v>46187</v>
      </c>
      <c r="G320" s="47">
        <v>9852.89</v>
      </c>
      <c r="H320" s="37">
        <f t="shared" si="42"/>
        <v>48</v>
      </c>
      <c r="I320" s="37" t="str">
        <f t="shared" si="49"/>
        <v>1-90 DAYS</v>
      </c>
      <c r="J320" s="37" t="str">
        <f t="shared" si="43"/>
        <v>0-180 DAYS</v>
      </c>
      <c r="M320" s="158" t="s">
        <v>5236</v>
      </c>
      <c r="N320" s="158">
        <v>9852.89</v>
      </c>
    </row>
    <row r="321" spans="1:14" x14ac:dyDescent="0.35">
      <c r="A321" t="s">
        <v>4333</v>
      </c>
      <c r="B321" t="s">
        <v>789</v>
      </c>
      <c r="C321" t="s">
        <v>125</v>
      </c>
      <c r="D321" t="s">
        <v>57</v>
      </c>
      <c r="E321" t="s">
        <v>2163</v>
      </c>
      <c r="F321" s="35">
        <v>46187</v>
      </c>
      <c r="G321" s="47">
        <v>167922.36</v>
      </c>
      <c r="H321" s="37">
        <f t="shared" si="42"/>
        <v>48</v>
      </c>
      <c r="I321" s="37" t="str">
        <f t="shared" si="49"/>
        <v>1-90 DAYS</v>
      </c>
      <c r="J321" s="37" t="str">
        <f t="shared" si="43"/>
        <v>0-180 DAYS</v>
      </c>
      <c r="M321" s="158" t="s">
        <v>5236</v>
      </c>
      <c r="N321" s="158">
        <v>167922.36</v>
      </c>
    </row>
    <row r="322" spans="1:14" x14ac:dyDescent="0.35">
      <c r="A322" t="s">
        <v>4333</v>
      </c>
      <c r="B322" t="s">
        <v>789</v>
      </c>
      <c r="C322" t="s">
        <v>125</v>
      </c>
      <c r="D322" t="s">
        <v>57</v>
      </c>
      <c r="E322" t="s">
        <v>2163</v>
      </c>
      <c r="F322" s="35">
        <v>46187</v>
      </c>
      <c r="G322" s="47">
        <v>634743.48</v>
      </c>
      <c r="H322" s="37">
        <f t="shared" si="42"/>
        <v>48</v>
      </c>
      <c r="I322" s="37" t="str">
        <f t="shared" si="49"/>
        <v>1-90 DAYS</v>
      </c>
      <c r="J322" s="37" t="str">
        <f t="shared" si="43"/>
        <v>0-180 DAYS</v>
      </c>
      <c r="M322" s="158" t="s">
        <v>5236</v>
      </c>
      <c r="N322" s="158">
        <v>634743.48</v>
      </c>
    </row>
    <row r="323" spans="1:14" x14ac:dyDescent="0.35">
      <c r="A323" t="s">
        <v>4333</v>
      </c>
      <c r="B323" t="s">
        <v>789</v>
      </c>
      <c r="C323" t="s">
        <v>125</v>
      </c>
      <c r="D323" t="s">
        <v>57</v>
      </c>
      <c r="E323" t="s">
        <v>2163</v>
      </c>
      <c r="F323" s="35">
        <v>46187</v>
      </c>
      <c r="G323" s="47">
        <v>18263.490000000002</v>
      </c>
      <c r="H323" s="37">
        <f t="shared" si="42"/>
        <v>48</v>
      </c>
      <c r="I323" s="37" t="str">
        <f t="shared" si="49"/>
        <v>1-90 DAYS</v>
      </c>
      <c r="J323" s="37" t="str">
        <f t="shared" si="43"/>
        <v>0-180 DAYS</v>
      </c>
      <c r="M323" s="158" t="s">
        <v>5236</v>
      </c>
      <c r="N323" s="158">
        <v>18263.490000000002</v>
      </c>
    </row>
    <row r="324" spans="1:14" x14ac:dyDescent="0.35">
      <c r="A324" t="s">
        <v>4333</v>
      </c>
      <c r="B324" t="s">
        <v>789</v>
      </c>
      <c r="C324" t="s">
        <v>125</v>
      </c>
      <c r="D324" t="s">
        <v>57</v>
      </c>
      <c r="E324" t="s">
        <v>2164</v>
      </c>
      <c r="F324" s="35">
        <v>46187</v>
      </c>
      <c r="G324" s="47">
        <v>19000</v>
      </c>
      <c r="H324" s="37">
        <f t="shared" si="42"/>
        <v>48</v>
      </c>
      <c r="I324" s="37" t="str">
        <f t="shared" si="49"/>
        <v>1-90 DAYS</v>
      </c>
      <c r="J324" s="37" t="str">
        <f t="shared" si="43"/>
        <v>0-180 DAYS</v>
      </c>
      <c r="M324" s="158" t="s">
        <v>5236</v>
      </c>
      <c r="N324" s="158">
        <v>19000</v>
      </c>
    </row>
    <row r="325" spans="1:14" x14ac:dyDescent="0.35">
      <c r="A325" t="s">
        <v>1085</v>
      </c>
      <c r="B325" t="s">
        <v>790</v>
      </c>
      <c r="C325" t="s">
        <v>1055</v>
      </c>
      <c r="D325" t="s">
        <v>507</v>
      </c>
      <c r="E325" t="s">
        <v>5116</v>
      </c>
      <c r="F325" s="35">
        <v>46188</v>
      </c>
      <c r="G325" s="47">
        <v>5052855.5999999996</v>
      </c>
      <c r="H325" s="37">
        <f t="shared" si="42"/>
        <v>47</v>
      </c>
      <c r="I325" s="37" t="str">
        <f t="shared" ref="I325:I326" si="50">IF(H325&lt;121,"0-120 DAYS",IF(H325&lt;181,"121-180 DAYS","More than 180 Days"))</f>
        <v>0-120 DAYS</v>
      </c>
      <c r="J325" s="37" t="str">
        <f t="shared" si="43"/>
        <v>0-180 DAYS</v>
      </c>
      <c r="K325" t="s">
        <v>1730</v>
      </c>
      <c r="M325" s="158" t="s">
        <v>5237</v>
      </c>
      <c r="N325" s="158">
        <v>5052855.5999999996</v>
      </c>
    </row>
    <row r="326" spans="1:14" x14ac:dyDescent="0.35">
      <c r="A326" t="s">
        <v>1085</v>
      </c>
      <c r="B326" t="s">
        <v>790</v>
      </c>
      <c r="C326" t="s">
        <v>4752</v>
      </c>
      <c r="D326" t="s">
        <v>507</v>
      </c>
      <c r="E326" t="s">
        <v>5117</v>
      </c>
      <c r="F326" s="35">
        <v>46188</v>
      </c>
      <c r="G326" s="47">
        <f>-515846+1525737.18723084</f>
        <v>1009891.1872308401</v>
      </c>
      <c r="H326" s="37">
        <f t="shared" si="42"/>
        <v>47</v>
      </c>
      <c r="I326" s="37" t="str">
        <f t="shared" si="50"/>
        <v>0-120 DAYS</v>
      </c>
      <c r="J326" s="37" t="str">
        <f t="shared" si="43"/>
        <v>0-180 DAYS</v>
      </c>
      <c r="K326" t="s">
        <v>1730</v>
      </c>
      <c r="M326" s="158" t="s">
        <v>5237</v>
      </c>
      <c r="N326" s="158">
        <v>1009891.19</v>
      </c>
    </row>
    <row r="327" spans="1:14" x14ac:dyDescent="0.35">
      <c r="A327" t="s">
        <v>4333</v>
      </c>
      <c r="B327" t="s">
        <v>789</v>
      </c>
      <c r="C327" t="s">
        <v>125</v>
      </c>
      <c r="D327" t="s">
        <v>57</v>
      </c>
      <c r="E327" t="s">
        <v>2166</v>
      </c>
      <c r="F327" s="35">
        <v>46188</v>
      </c>
      <c r="G327" s="47">
        <v>2928</v>
      </c>
      <c r="H327" s="37">
        <f t="shared" si="42"/>
        <v>47</v>
      </c>
      <c r="I327" s="37" t="str">
        <f t="shared" ref="I327:I377" si="51">IF(H327&lt;91,"1-90 DAYS",IF(H327&lt;121,"91-120DAYS",IF(H327&lt;181,"121-180 DAYS","More than 180 Days")))</f>
        <v>1-90 DAYS</v>
      </c>
      <c r="J327" s="37" t="str">
        <f t="shared" si="43"/>
        <v>0-180 DAYS</v>
      </c>
      <c r="M327" s="158" t="s">
        <v>5237</v>
      </c>
      <c r="N327" s="158">
        <v>2928</v>
      </c>
    </row>
    <row r="328" spans="1:14" x14ac:dyDescent="0.35">
      <c r="A328" t="s">
        <v>4333</v>
      </c>
      <c r="B328" t="s">
        <v>789</v>
      </c>
      <c r="C328" t="s">
        <v>125</v>
      </c>
      <c r="D328" t="s">
        <v>57</v>
      </c>
      <c r="E328" t="s">
        <v>2167</v>
      </c>
      <c r="F328" s="35">
        <v>46188</v>
      </c>
      <c r="G328" s="47">
        <v>8656.52</v>
      </c>
      <c r="H328" s="37">
        <f t="shared" si="42"/>
        <v>47</v>
      </c>
      <c r="I328" s="37" t="str">
        <f t="shared" si="51"/>
        <v>1-90 DAYS</v>
      </c>
      <c r="J328" s="37" t="str">
        <f t="shared" si="43"/>
        <v>0-180 DAYS</v>
      </c>
      <c r="M328" s="158" t="s">
        <v>5237</v>
      </c>
      <c r="N328" s="158">
        <v>8656.52</v>
      </c>
    </row>
    <row r="329" spans="1:14" x14ac:dyDescent="0.35">
      <c r="A329" t="s">
        <v>4333</v>
      </c>
      <c r="B329" t="s">
        <v>789</v>
      </c>
      <c r="C329" t="s">
        <v>125</v>
      </c>
      <c r="D329" t="s">
        <v>57</v>
      </c>
      <c r="E329" t="s">
        <v>2167</v>
      </c>
      <c r="F329" s="35">
        <v>46188</v>
      </c>
      <c r="G329" s="47">
        <v>60912.71</v>
      </c>
      <c r="H329" s="37">
        <f t="shared" ref="H329:H392" si="52">$H$1-F329+1</f>
        <v>47</v>
      </c>
      <c r="I329" s="37" t="str">
        <f t="shared" si="51"/>
        <v>1-90 DAYS</v>
      </c>
      <c r="J329" s="37" t="str">
        <f t="shared" si="43"/>
        <v>0-180 DAYS</v>
      </c>
      <c r="M329" s="158" t="s">
        <v>5237</v>
      </c>
      <c r="N329" s="158">
        <v>60912.71</v>
      </c>
    </row>
    <row r="330" spans="1:14" x14ac:dyDescent="0.35">
      <c r="A330" t="s">
        <v>4333</v>
      </c>
      <c r="B330" t="s">
        <v>789</v>
      </c>
      <c r="C330" t="s">
        <v>125</v>
      </c>
      <c r="D330" t="s">
        <v>57</v>
      </c>
      <c r="E330" t="s">
        <v>2167</v>
      </c>
      <c r="F330" s="35">
        <v>46188</v>
      </c>
      <c r="G330" s="47">
        <v>35282.94</v>
      </c>
      <c r="H330" s="37">
        <f t="shared" si="52"/>
        <v>47</v>
      </c>
      <c r="I330" s="37" t="str">
        <f t="shared" si="51"/>
        <v>1-90 DAYS</v>
      </c>
      <c r="J330" s="37" t="str">
        <f t="shared" ref="J330:J393" si="53">IF(H330&lt;180,"0-180 DAYS","More than 180 Days")</f>
        <v>0-180 DAYS</v>
      </c>
      <c r="M330" s="158" t="s">
        <v>5237</v>
      </c>
      <c r="N330" s="158">
        <v>35282.94</v>
      </c>
    </row>
    <row r="331" spans="1:14" x14ac:dyDescent="0.35">
      <c r="A331" t="s">
        <v>4333</v>
      </c>
      <c r="B331" t="s">
        <v>789</v>
      </c>
      <c r="C331" t="s">
        <v>125</v>
      </c>
      <c r="D331" t="s">
        <v>57</v>
      </c>
      <c r="E331" t="s">
        <v>2167</v>
      </c>
      <c r="F331" s="35">
        <v>46188</v>
      </c>
      <c r="G331" s="47">
        <v>108588.9</v>
      </c>
      <c r="H331" s="37">
        <f t="shared" si="52"/>
        <v>47</v>
      </c>
      <c r="I331" s="37" t="str">
        <f t="shared" si="51"/>
        <v>1-90 DAYS</v>
      </c>
      <c r="J331" s="37" t="str">
        <f t="shared" si="53"/>
        <v>0-180 DAYS</v>
      </c>
      <c r="M331" s="158" t="s">
        <v>5237</v>
      </c>
      <c r="N331" s="158">
        <v>108588.9</v>
      </c>
    </row>
    <row r="332" spans="1:14" x14ac:dyDescent="0.35">
      <c r="A332" t="s">
        <v>4333</v>
      </c>
      <c r="B332" t="s">
        <v>789</v>
      </c>
      <c r="C332" t="s">
        <v>125</v>
      </c>
      <c r="D332" t="s">
        <v>57</v>
      </c>
      <c r="E332" t="s">
        <v>2167</v>
      </c>
      <c r="F332" s="35">
        <v>46188</v>
      </c>
      <c r="G332" s="47">
        <v>4237.3900000000003</v>
      </c>
      <c r="H332" s="37">
        <f t="shared" si="52"/>
        <v>47</v>
      </c>
      <c r="I332" s="37" t="str">
        <f t="shared" si="51"/>
        <v>1-90 DAYS</v>
      </c>
      <c r="J332" s="37" t="str">
        <f t="shared" si="53"/>
        <v>0-180 DAYS</v>
      </c>
      <c r="M332" s="158" t="s">
        <v>5237</v>
      </c>
      <c r="N332" s="158">
        <v>4237.3900000000003</v>
      </c>
    </row>
    <row r="333" spans="1:14" x14ac:dyDescent="0.35">
      <c r="A333" t="s">
        <v>4333</v>
      </c>
      <c r="B333" t="s">
        <v>789</v>
      </c>
      <c r="C333" t="s">
        <v>125</v>
      </c>
      <c r="D333" t="s">
        <v>57</v>
      </c>
      <c r="E333" t="s">
        <v>2167</v>
      </c>
      <c r="F333" s="35">
        <v>46188</v>
      </c>
      <c r="G333" s="47">
        <v>221274.79</v>
      </c>
      <c r="H333" s="37">
        <f t="shared" si="52"/>
        <v>47</v>
      </c>
      <c r="I333" s="37" t="str">
        <f t="shared" si="51"/>
        <v>1-90 DAYS</v>
      </c>
      <c r="J333" s="37" t="str">
        <f t="shared" si="53"/>
        <v>0-180 DAYS</v>
      </c>
      <c r="M333" s="158" t="s">
        <v>5237</v>
      </c>
      <c r="N333" s="158">
        <v>221274.79</v>
      </c>
    </row>
    <row r="334" spans="1:14" x14ac:dyDescent="0.35">
      <c r="A334" t="s">
        <v>477</v>
      </c>
      <c r="B334" t="s">
        <v>790</v>
      </c>
      <c r="C334" t="s">
        <v>5072</v>
      </c>
      <c r="D334" t="s">
        <v>5075</v>
      </c>
      <c r="E334" t="s">
        <v>2169</v>
      </c>
      <c r="F334" s="35">
        <v>46189</v>
      </c>
      <c r="G334" s="47">
        <v>50000</v>
      </c>
      <c r="H334" s="37">
        <f t="shared" si="52"/>
        <v>46</v>
      </c>
      <c r="I334" s="37" t="str">
        <f t="shared" si="51"/>
        <v>1-90 DAYS</v>
      </c>
      <c r="J334" s="37" t="str">
        <f t="shared" si="53"/>
        <v>0-180 DAYS</v>
      </c>
      <c r="K334" t="s">
        <v>1730</v>
      </c>
      <c r="M334" s="158" t="s">
        <v>5238</v>
      </c>
      <c r="N334" s="158">
        <v>50000</v>
      </c>
    </row>
    <row r="335" spans="1:14" x14ac:dyDescent="0.35">
      <c r="A335" t="s">
        <v>4333</v>
      </c>
      <c r="B335" t="s">
        <v>789</v>
      </c>
      <c r="C335" t="s">
        <v>125</v>
      </c>
      <c r="D335" t="s">
        <v>57</v>
      </c>
      <c r="E335" t="s">
        <v>5118</v>
      </c>
      <c r="F335" s="35">
        <v>46189</v>
      </c>
      <c r="G335" s="47">
        <v>5904</v>
      </c>
      <c r="H335" s="37">
        <f t="shared" si="52"/>
        <v>46</v>
      </c>
      <c r="I335" s="37" t="str">
        <f t="shared" si="51"/>
        <v>1-90 DAYS</v>
      </c>
      <c r="J335" s="37" t="str">
        <f t="shared" si="53"/>
        <v>0-180 DAYS</v>
      </c>
      <c r="M335" s="158" t="s">
        <v>5238</v>
      </c>
      <c r="N335" s="158">
        <v>5904</v>
      </c>
    </row>
    <row r="336" spans="1:14" x14ac:dyDescent="0.35">
      <c r="A336" t="s">
        <v>4333</v>
      </c>
      <c r="B336" t="s">
        <v>789</v>
      </c>
      <c r="C336" t="s">
        <v>125</v>
      </c>
      <c r="D336" t="s">
        <v>57</v>
      </c>
      <c r="E336" t="s">
        <v>5119</v>
      </c>
      <c r="F336" s="35">
        <v>46189</v>
      </c>
      <c r="G336" s="47">
        <v>29866.99</v>
      </c>
      <c r="H336" s="37">
        <f t="shared" si="52"/>
        <v>46</v>
      </c>
      <c r="I336" s="37" t="str">
        <f t="shared" si="51"/>
        <v>1-90 DAYS</v>
      </c>
      <c r="J336" s="37" t="str">
        <f t="shared" si="53"/>
        <v>0-180 DAYS</v>
      </c>
      <c r="M336" s="158" t="s">
        <v>5238</v>
      </c>
      <c r="N336" s="158">
        <v>29866.99</v>
      </c>
    </row>
    <row r="337" spans="1:14" x14ac:dyDescent="0.35">
      <c r="A337" t="s">
        <v>4333</v>
      </c>
      <c r="B337" t="s">
        <v>789</v>
      </c>
      <c r="C337" t="s">
        <v>125</v>
      </c>
      <c r="D337" t="s">
        <v>57</v>
      </c>
      <c r="E337" t="s">
        <v>5119</v>
      </c>
      <c r="F337" s="35">
        <v>46189</v>
      </c>
      <c r="G337" s="47">
        <v>91155.58</v>
      </c>
      <c r="H337" s="37">
        <f t="shared" si="52"/>
        <v>46</v>
      </c>
      <c r="I337" s="37" t="str">
        <f t="shared" si="51"/>
        <v>1-90 DAYS</v>
      </c>
      <c r="J337" s="37" t="str">
        <f t="shared" si="53"/>
        <v>0-180 DAYS</v>
      </c>
      <c r="M337" s="158" t="s">
        <v>5238</v>
      </c>
      <c r="N337" s="158">
        <v>91155.58</v>
      </c>
    </row>
    <row r="338" spans="1:14" x14ac:dyDescent="0.35">
      <c r="A338" t="s">
        <v>4333</v>
      </c>
      <c r="B338" t="s">
        <v>789</v>
      </c>
      <c r="C338" t="s">
        <v>125</v>
      </c>
      <c r="D338" t="s">
        <v>57</v>
      </c>
      <c r="E338" t="s">
        <v>5119</v>
      </c>
      <c r="F338" s="35">
        <v>46189</v>
      </c>
      <c r="G338" s="47">
        <v>522866.46</v>
      </c>
      <c r="H338" s="37">
        <f t="shared" si="52"/>
        <v>46</v>
      </c>
      <c r="I338" s="37" t="str">
        <f t="shared" si="51"/>
        <v>1-90 DAYS</v>
      </c>
      <c r="J338" s="37" t="str">
        <f t="shared" si="53"/>
        <v>0-180 DAYS</v>
      </c>
      <c r="M338" s="158" t="s">
        <v>5238</v>
      </c>
      <c r="N338" s="158">
        <v>522866.46</v>
      </c>
    </row>
    <row r="339" spans="1:14" x14ac:dyDescent="0.35">
      <c r="A339" t="s">
        <v>4333</v>
      </c>
      <c r="B339" t="s">
        <v>789</v>
      </c>
      <c r="C339" t="s">
        <v>125</v>
      </c>
      <c r="D339" t="s">
        <v>57</v>
      </c>
      <c r="E339" t="s">
        <v>5119</v>
      </c>
      <c r="F339" s="35">
        <v>46189</v>
      </c>
      <c r="G339" s="47">
        <v>4063.61</v>
      </c>
      <c r="H339" s="37">
        <f t="shared" si="52"/>
        <v>46</v>
      </c>
      <c r="I339" s="37" t="str">
        <f t="shared" si="51"/>
        <v>1-90 DAYS</v>
      </c>
      <c r="J339" s="37" t="str">
        <f t="shared" si="53"/>
        <v>0-180 DAYS</v>
      </c>
      <c r="M339" s="158" t="s">
        <v>5238</v>
      </c>
      <c r="N339" s="158">
        <v>4063.61</v>
      </c>
    </row>
    <row r="340" spans="1:14" x14ac:dyDescent="0.35">
      <c r="A340" t="s">
        <v>4333</v>
      </c>
      <c r="B340" t="s">
        <v>789</v>
      </c>
      <c r="C340" t="s">
        <v>125</v>
      </c>
      <c r="D340" t="s">
        <v>57</v>
      </c>
      <c r="E340" t="s">
        <v>5119</v>
      </c>
      <c r="F340" s="35">
        <v>46189</v>
      </c>
      <c r="G340" s="47">
        <v>61543.14</v>
      </c>
      <c r="H340" s="37">
        <f t="shared" si="52"/>
        <v>46</v>
      </c>
      <c r="I340" s="37" t="str">
        <f t="shared" si="51"/>
        <v>1-90 DAYS</v>
      </c>
      <c r="J340" s="37" t="str">
        <f t="shared" si="53"/>
        <v>0-180 DAYS</v>
      </c>
      <c r="M340" s="158" t="s">
        <v>5238</v>
      </c>
      <c r="N340" s="158">
        <v>61543.14</v>
      </c>
    </row>
    <row r="341" spans="1:14" x14ac:dyDescent="0.35">
      <c r="A341" t="s">
        <v>4333</v>
      </c>
      <c r="B341" t="s">
        <v>789</v>
      </c>
      <c r="C341" t="s">
        <v>125</v>
      </c>
      <c r="D341" t="s">
        <v>57</v>
      </c>
      <c r="E341" t="s">
        <v>5119</v>
      </c>
      <c r="F341" s="35">
        <v>46189</v>
      </c>
      <c r="G341" s="47">
        <v>60164.29</v>
      </c>
      <c r="H341" s="37">
        <f t="shared" si="52"/>
        <v>46</v>
      </c>
      <c r="I341" s="37" t="str">
        <f t="shared" si="51"/>
        <v>1-90 DAYS</v>
      </c>
      <c r="J341" s="37" t="str">
        <f t="shared" si="53"/>
        <v>0-180 DAYS</v>
      </c>
      <c r="M341" s="158" t="s">
        <v>5238</v>
      </c>
      <c r="N341" s="158">
        <v>60164.29</v>
      </c>
    </row>
    <row r="342" spans="1:14" x14ac:dyDescent="0.35">
      <c r="A342" t="s">
        <v>4333</v>
      </c>
      <c r="B342" t="s">
        <v>789</v>
      </c>
      <c r="C342" t="s">
        <v>125</v>
      </c>
      <c r="D342" t="s">
        <v>57</v>
      </c>
      <c r="E342" t="s">
        <v>2172</v>
      </c>
      <c r="F342" s="35">
        <v>46189</v>
      </c>
      <c r="G342" s="47">
        <v>210000</v>
      </c>
      <c r="H342" s="37">
        <f t="shared" si="52"/>
        <v>46</v>
      </c>
      <c r="I342" s="37" t="str">
        <f t="shared" si="51"/>
        <v>1-90 DAYS</v>
      </c>
      <c r="J342" s="37" t="str">
        <f t="shared" si="53"/>
        <v>0-180 DAYS</v>
      </c>
      <c r="M342" s="158" t="s">
        <v>5238</v>
      </c>
      <c r="N342" s="158">
        <v>210000</v>
      </c>
    </row>
    <row r="343" spans="1:14" x14ac:dyDescent="0.35">
      <c r="A343" t="s">
        <v>4333</v>
      </c>
      <c r="B343" t="s">
        <v>789</v>
      </c>
      <c r="C343" t="s">
        <v>125</v>
      </c>
      <c r="D343" t="s">
        <v>57</v>
      </c>
      <c r="E343" t="s">
        <v>5120</v>
      </c>
      <c r="F343" s="35">
        <v>46190</v>
      </c>
      <c r="G343" s="47">
        <v>2064</v>
      </c>
      <c r="H343" s="37">
        <f t="shared" si="52"/>
        <v>45</v>
      </c>
      <c r="I343" s="37" t="str">
        <f t="shared" si="51"/>
        <v>1-90 DAYS</v>
      </c>
      <c r="J343" s="37" t="str">
        <f t="shared" si="53"/>
        <v>0-180 DAYS</v>
      </c>
      <c r="M343" s="158" t="s">
        <v>5239</v>
      </c>
      <c r="N343" s="158">
        <v>2064</v>
      </c>
    </row>
    <row r="344" spans="1:14" x14ac:dyDescent="0.35">
      <c r="A344" t="s">
        <v>4333</v>
      </c>
      <c r="B344" t="s">
        <v>789</v>
      </c>
      <c r="C344" t="s">
        <v>125</v>
      </c>
      <c r="D344" t="s">
        <v>57</v>
      </c>
      <c r="E344" t="s">
        <v>2177</v>
      </c>
      <c r="F344" s="35">
        <v>46190</v>
      </c>
      <c r="G344" s="47">
        <v>10278.549999999999</v>
      </c>
      <c r="H344" s="37">
        <f t="shared" si="52"/>
        <v>45</v>
      </c>
      <c r="I344" s="37" t="str">
        <f t="shared" si="51"/>
        <v>1-90 DAYS</v>
      </c>
      <c r="J344" s="37" t="str">
        <f t="shared" si="53"/>
        <v>0-180 DAYS</v>
      </c>
      <c r="M344" s="158" t="s">
        <v>5239</v>
      </c>
      <c r="N344" s="158">
        <v>10278.549999999999</v>
      </c>
    </row>
    <row r="345" spans="1:14" x14ac:dyDescent="0.35">
      <c r="A345" t="s">
        <v>4333</v>
      </c>
      <c r="B345" t="s">
        <v>789</v>
      </c>
      <c r="C345" t="s">
        <v>125</v>
      </c>
      <c r="D345" t="s">
        <v>57</v>
      </c>
      <c r="E345" t="s">
        <v>2177</v>
      </c>
      <c r="F345" s="35">
        <v>46190</v>
      </c>
      <c r="G345" s="47">
        <v>40444.769999999997</v>
      </c>
      <c r="H345" s="37">
        <f t="shared" si="52"/>
        <v>45</v>
      </c>
      <c r="I345" s="37" t="str">
        <f t="shared" si="51"/>
        <v>1-90 DAYS</v>
      </c>
      <c r="J345" s="37" t="str">
        <f t="shared" si="53"/>
        <v>0-180 DAYS</v>
      </c>
      <c r="M345" s="158" t="s">
        <v>5239</v>
      </c>
      <c r="N345" s="158">
        <v>40444.769999999997</v>
      </c>
    </row>
    <row r="346" spans="1:14" x14ac:dyDescent="0.35">
      <c r="A346" t="s">
        <v>4333</v>
      </c>
      <c r="B346" t="s">
        <v>789</v>
      </c>
      <c r="C346" t="s">
        <v>125</v>
      </c>
      <c r="D346" t="s">
        <v>57</v>
      </c>
      <c r="E346" t="s">
        <v>2177</v>
      </c>
      <c r="F346" s="35">
        <v>46190</v>
      </c>
      <c r="G346" s="47">
        <v>108750.88</v>
      </c>
      <c r="H346" s="37">
        <f t="shared" si="52"/>
        <v>45</v>
      </c>
      <c r="I346" s="37" t="str">
        <f t="shared" si="51"/>
        <v>1-90 DAYS</v>
      </c>
      <c r="J346" s="37" t="str">
        <f t="shared" si="53"/>
        <v>0-180 DAYS</v>
      </c>
      <c r="M346" s="158" t="s">
        <v>5239</v>
      </c>
      <c r="N346" s="158">
        <v>108750.88</v>
      </c>
    </row>
    <row r="347" spans="1:14" x14ac:dyDescent="0.35">
      <c r="A347" t="s">
        <v>4333</v>
      </c>
      <c r="B347" t="s">
        <v>789</v>
      </c>
      <c r="C347" t="s">
        <v>125</v>
      </c>
      <c r="D347" t="s">
        <v>57</v>
      </c>
      <c r="E347" t="s">
        <v>2177</v>
      </c>
      <c r="F347" s="35">
        <v>46190</v>
      </c>
      <c r="G347" s="47">
        <v>54222.7</v>
      </c>
      <c r="H347" s="37">
        <f t="shared" si="52"/>
        <v>45</v>
      </c>
      <c r="I347" s="37" t="str">
        <f t="shared" si="51"/>
        <v>1-90 DAYS</v>
      </c>
      <c r="J347" s="37" t="str">
        <f t="shared" si="53"/>
        <v>0-180 DAYS</v>
      </c>
      <c r="M347" s="158" t="s">
        <v>5239</v>
      </c>
      <c r="N347" s="158">
        <v>54222.7</v>
      </c>
    </row>
    <row r="348" spans="1:14" x14ac:dyDescent="0.35">
      <c r="A348" t="s">
        <v>4333</v>
      </c>
      <c r="B348" t="s">
        <v>789</v>
      </c>
      <c r="C348" t="s">
        <v>125</v>
      </c>
      <c r="D348" t="s">
        <v>57</v>
      </c>
      <c r="E348" t="s">
        <v>2177</v>
      </c>
      <c r="F348" s="35">
        <v>46190</v>
      </c>
      <c r="G348" s="47">
        <v>17330.88</v>
      </c>
      <c r="H348" s="37">
        <f t="shared" si="52"/>
        <v>45</v>
      </c>
      <c r="I348" s="37" t="str">
        <f t="shared" si="51"/>
        <v>1-90 DAYS</v>
      </c>
      <c r="J348" s="37" t="str">
        <f t="shared" si="53"/>
        <v>0-180 DAYS</v>
      </c>
      <c r="M348" s="158" t="s">
        <v>5239</v>
      </c>
      <c r="N348" s="158">
        <v>17330.88</v>
      </c>
    </row>
    <row r="349" spans="1:14" x14ac:dyDescent="0.35">
      <c r="A349" t="s">
        <v>4333</v>
      </c>
      <c r="B349" t="s">
        <v>789</v>
      </c>
      <c r="C349" t="s">
        <v>125</v>
      </c>
      <c r="D349" t="s">
        <v>57</v>
      </c>
      <c r="E349" t="s">
        <v>5121</v>
      </c>
      <c r="F349" s="35">
        <v>46190</v>
      </c>
      <c r="G349" s="47">
        <v>23500</v>
      </c>
      <c r="H349" s="37">
        <f t="shared" si="52"/>
        <v>45</v>
      </c>
      <c r="I349" s="37" t="str">
        <f t="shared" si="51"/>
        <v>1-90 DAYS</v>
      </c>
      <c r="J349" s="37" t="str">
        <f t="shared" si="53"/>
        <v>0-180 DAYS</v>
      </c>
      <c r="M349" s="158" t="s">
        <v>5239</v>
      </c>
      <c r="N349" s="158">
        <v>23500</v>
      </c>
    </row>
    <row r="350" spans="1:14" x14ac:dyDescent="0.35">
      <c r="A350" t="s">
        <v>4333</v>
      </c>
      <c r="B350" t="s">
        <v>789</v>
      </c>
      <c r="C350" t="s">
        <v>125</v>
      </c>
      <c r="D350" t="s">
        <v>57</v>
      </c>
      <c r="E350" t="s">
        <v>5122</v>
      </c>
      <c r="F350" s="35">
        <v>46191</v>
      </c>
      <c r="G350" s="47">
        <v>6120</v>
      </c>
      <c r="H350" s="37">
        <f t="shared" si="52"/>
        <v>44</v>
      </c>
      <c r="I350" s="37" t="str">
        <f t="shared" si="51"/>
        <v>1-90 DAYS</v>
      </c>
      <c r="J350" s="37" t="str">
        <f t="shared" si="53"/>
        <v>0-180 DAYS</v>
      </c>
      <c r="M350" s="158" t="s">
        <v>5240</v>
      </c>
      <c r="N350" s="158">
        <v>6120</v>
      </c>
    </row>
    <row r="351" spans="1:14" x14ac:dyDescent="0.35">
      <c r="A351" t="s">
        <v>4333</v>
      </c>
      <c r="B351" t="s">
        <v>789</v>
      </c>
      <c r="C351" t="s">
        <v>125</v>
      </c>
      <c r="D351" t="s">
        <v>57</v>
      </c>
      <c r="E351" t="s">
        <v>2183</v>
      </c>
      <c r="F351" s="35">
        <v>46191</v>
      </c>
      <c r="G351" s="47">
        <v>2352</v>
      </c>
      <c r="H351" s="37">
        <f t="shared" si="52"/>
        <v>44</v>
      </c>
      <c r="I351" s="37" t="str">
        <f t="shared" si="51"/>
        <v>1-90 DAYS</v>
      </c>
      <c r="J351" s="37" t="str">
        <f t="shared" si="53"/>
        <v>0-180 DAYS</v>
      </c>
      <c r="M351" s="158" t="s">
        <v>5240</v>
      </c>
      <c r="N351" s="158">
        <v>2352</v>
      </c>
    </row>
    <row r="352" spans="1:14" x14ac:dyDescent="0.35">
      <c r="A352" t="s">
        <v>4333</v>
      </c>
      <c r="B352" t="s">
        <v>789</v>
      </c>
      <c r="C352" t="s">
        <v>125</v>
      </c>
      <c r="D352" t="s">
        <v>57</v>
      </c>
      <c r="E352" t="s">
        <v>2184</v>
      </c>
      <c r="F352" s="35">
        <v>46191</v>
      </c>
      <c r="G352" s="47">
        <v>348351.45</v>
      </c>
      <c r="H352" s="37">
        <f t="shared" si="52"/>
        <v>44</v>
      </c>
      <c r="I352" s="37" t="str">
        <f t="shared" si="51"/>
        <v>1-90 DAYS</v>
      </c>
      <c r="J352" s="37" t="str">
        <f t="shared" si="53"/>
        <v>0-180 DAYS</v>
      </c>
      <c r="M352" s="158" t="s">
        <v>5240</v>
      </c>
      <c r="N352" s="158">
        <v>348351.45</v>
      </c>
    </row>
    <row r="353" spans="1:14" x14ac:dyDescent="0.35">
      <c r="A353" t="s">
        <v>4333</v>
      </c>
      <c r="B353" t="s">
        <v>789</v>
      </c>
      <c r="C353" t="s">
        <v>125</v>
      </c>
      <c r="D353" t="s">
        <v>57</v>
      </c>
      <c r="E353" t="s">
        <v>2184</v>
      </c>
      <c r="F353" s="35">
        <v>46191</v>
      </c>
      <c r="G353" s="47">
        <v>44996.87</v>
      </c>
      <c r="H353" s="37">
        <f t="shared" si="52"/>
        <v>44</v>
      </c>
      <c r="I353" s="37" t="str">
        <f t="shared" si="51"/>
        <v>1-90 DAYS</v>
      </c>
      <c r="J353" s="37" t="str">
        <f t="shared" si="53"/>
        <v>0-180 DAYS</v>
      </c>
      <c r="M353" s="158" t="s">
        <v>5240</v>
      </c>
      <c r="N353" s="158">
        <v>44996.87</v>
      </c>
    </row>
    <row r="354" spans="1:14" x14ac:dyDescent="0.35">
      <c r="A354" t="s">
        <v>4333</v>
      </c>
      <c r="B354" t="s">
        <v>789</v>
      </c>
      <c r="C354" t="s">
        <v>125</v>
      </c>
      <c r="D354" t="s">
        <v>57</v>
      </c>
      <c r="E354" t="s">
        <v>2184</v>
      </c>
      <c r="F354" s="35">
        <v>46191</v>
      </c>
      <c r="G354" s="47">
        <v>7444.26</v>
      </c>
      <c r="H354" s="37">
        <f t="shared" si="52"/>
        <v>44</v>
      </c>
      <c r="I354" s="37" t="str">
        <f t="shared" si="51"/>
        <v>1-90 DAYS</v>
      </c>
      <c r="J354" s="37" t="str">
        <f t="shared" si="53"/>
        <v>0-180 DAYS</v>
      </c>
      <c r="M354" s="158" t="s">
        <v>5240</v>
      </c>
      <c r="N354" s="158">
        <v>7444.26</v>
      </c>
    </row>
    <row r="355" spans="1:14" x14ac:dyDescent="0.35">
      <c r="A355" t="s">
        <v>4333</v>
      </c>
      <c r="B355" t="s">
        <v>789</v>
      </c>
      <c r="C355" t="s">
        <v>125</v>
      </c>
      <c r="D355" t="s">
        <v>57</v>
      </c>
      <c r="E355" t="s">
        <v>2184</v>
      </c>
      <c r="F355" s="35">
        <v>46191</v>
      </c>
      <c r="G355" s="47">
        <v>59156.2</v>
      </c>
      <c r="H355" s="37">
        <f t="shared" si="52"/>
        <v>44</v>
      </c>
      <c r="I355" s="37" t="str">
        <f t="shared" si="51"/>
        <v>1-90 DAYS</v>
      </c>
      <c r="J355" s="37" t="str">
        <f t="shared" si="53"/>
        <v>0-180 DAYS</v>
      </c>
      <c r="M355" s="158" t="s">
        <v>5240</v>
      </c>
      <c r="N355" s="158">
        <v>59156.2</v>
      </c>
    </row>
    <row r="356" spans="1:14" x14ac:dyDescent="0.35">
      <c r="A356" t="s">
        <v>4333</v>
      </c>
      <c r="B356" t="s">
        <v>789</v>
      </c>
      <c r="C356" t="s">
        <v>125</v>
      </c>
      <c r="D356" t="s">
        <v>57</v>
      </c>
      <c r="E356" t="s">
        <v>2184</v>
      </c>
      <c r="F356" s="35">
        <v>46191</v>
      </c>
      <c r="G356" s="47">
        <v>88053.04</v>
      </c>
      <c r="H356" s="37">
        <f t="shared" si="52"/>
        <v>44</v>
      </c>
      <c r="I356" s="37" t="str">
        <f t="shared" si="51"/>
        <v>1-90 DAYS</v>
      </c>
      <c r="J356" s="37" t="str">
        <f t="shared" si="53"/>
        <v>0-180 DAYS</v>
      </c>
      <c r="M356" s="158" t="s">
        <v>5240</v>
      </c>
      <c r="N356" s="158">
        <v>88053.04</v>
      </c>
    </row>
    <row r="357" spans="1:14" x14ac:dyDescent="0.35">
      <c r="A357" t="s">
        <v>4333</v>
      </c>
      <c r="B357" t="s">
        <v>789</v>
      </c>
      <c r="C357" t="s">
        <v>125</v>
      </c>
      <c r="D357" t="s">
        <v>57</v>
      </c>
      <c r="E357" t="s">
        <v>2184</v>
      </c>
      <c r="F357" s="35">
        <v>46191</v>
      </c>
      <c r="G357" s="47">
        <v>114402.26</v>
      </c>
      <c r="H357" s="37">
        <f t="shared" si="52"/>
        <v>44</v>
      </c>
      <c r="I357" s="37" t="str">
        <f t="shared" si="51"/>
        <v>1-90 DAYS</v>
      </c>
      <c r="J357" s="37" t="str">
        <f t="shared" si="53"/>
        <v>0-180 DAYS</v>
      </c>
      <c r="M357" s="158" t="s">
        <v>5240</v>
      </c>
      <c r="N357" s="158">
        <v>114402.26</v>
      </c>
    </row>
    <row r="358" spans="1:14" x14ac:dyDescent="0.35">
      <c r="A358" t="s">
        <v>4333</v>
      </c>
      <c r="B358" t="s">
        <v>789</v>
      </c>
      <c r="C358" t="s">
        <v>125</v>
      </c>
      <c r="D358" t="s">
        <v>57</v>
      </c>
      <c r="E358" t="s">
        <v>2184</v>
      </c>
      <c r="F358" s="35">
        <v>46191</v>
      </c>
      <c r="G358" s="47">
        <v>7620.74</v>
      </c>
      <c r="H358" s="37">
        <f t="shared" si="52"/>
        <v>44</v>
      </c>
      <c r="I358" s="37" t="str">
        <f t="shared" si="51"/>
        <v>1-90 DAYS</v>
      </c>
      <c r="J358" s="37" t="str">
        <f t="shared" si="53"/>
        <v>0-180 DAYS</v>
      </c>
      <c r="M358" s="158" t="s">
        <v>5240</v>
      </c>
      <c r="N358" s="158">
        <v>7620.74</v>
      </c>
    </row>
    <row r="359" spans="1:14" x14ac:dyDescent="0.35">
      <c r="A359" t="s">
        <v>4333</v>
      </c>
      <c r="B359" t="s">
        <v>789</v>
      </c>
      <c r="C359" t="s">
        <v>125</v>
      </c>
      <c r="D359" t="s">
        <v>57</v>
      </c>
      <c r="E359" t="s">
        <v>5123</v>
      </c>
      <c r="F359" s="35">
        <v>46192</v>
      </c>
      <c r="G359" s="47">
        <v>5952</v>
      </c>
      <c r="H359" s="37">
        <f t="shared" si="52"/>
        <v>43</v>
      </c>
      <c r="I359" s="37" t="str">
        <f t="shared" si="51"/>
        <v>1-90 DAYS</v>
      </c>
      <c r="J359" s="37" t="str">
        <f t="shared" si="53"/>
        <v>0-180 DAYS</v>
      </c>
      <c r="M359" s="158" t="s">
        <v>5241</v>
      </c>
      <c r="N359" s="158">
        <v>5952</v>
      </c>
    </row>
    <row r="360" spans="1:14" x14ac:dyDescent="0.35">
      <c r="A360" t="s">
        <v>4333</v>
      </c>
      <c r="B360" t="s">
        <v>789</v>
      </c>
      <c r="C360" t="s">
        <v>125</v>
      </c>
      <c r="D360" t="s">
        <v>57</v>
      </c>
      <c r="E360" t="s">
        <v>2191</v>
      </c>
      <c r="F360" s="35">
        <v>46192</v>
      </c>
      <c r="G360" s="47">
        <v>103878.47</v>
      </c>
      <c r="H360" s="37">
        <f t="shared" si="52"/>
        <v>43</v>
      </c>
      <c r="I360" s="37" t="str">
        <f t="shared" si="51"/>
        <v>1-90 DAYS</v>
      </c>
      <c r="J360" s="37" t="str">
        <f t="shared" si="53"/>
        <v>0-180 DAYS</v>
      </c>
      <c r="M360" s="158" t="s">
        <v>5241</v>
      </c>
      <c r="N360" s="158">
        <v>103878.47</v>
      </c>
    </row>
    <row r="361" spans="1:14" x14ac:dyDescent="0.35">
      <c r="A361" t="s">
        <v>4333</v>
      </c>
      <c r="B361" t="s">
        <v>789</v>
      </c>
      <c r="C361" t="s">
        <v>125</v>
      </c>
      <c r="D361" t="s">
        <v>57</v>
      </c>
      <c r="E361" t="s">
        <v>2191</v>
      </c>
      <c r="F361" s="35">
        <v>46192</v>
      </c>
      <c r="G361" s="47">
        <v>30651.78</v>
      </c>
      <c r="H361" s="37">
        <f t="shared" si="52"/>
        <v>43</v>
      </c>
      <c r="I361" s="37" t="str">
        <f t="shared" si="51"/>
        <v>1-90 DAYS</v>
      </c>
      <c r="J361" s="37" t="str">
        <f t="shared" si="53"/>
        <v>0-180 DAYS</v>
      </c>
      <c r="M361" s="158" t="s">
        <v>5241</v>
      </c>
      <c r="N361" s="158">
        <v>30651.78</v>
      </c>
    </row>
    <row r="362" spans="1:14" x14ac:dyDescent="0.35">
      <c r="A362" t="s">
        <v>4333</v>
      </c>
      <c r="B362" t="s">
        <v>789</v>
      </c>
      <c r="C362" t="s">
        <v>125</v>
      </c>
      <c r="D362" t="s">
        <v>57</v>
      </c>
      <c r="E362" t="s">
        <v>2191</v>
      </c>
      <c r="F362" s="35">
        <v>46192</v>
      </c>
      <c r="G362" s="47">
        <v>463755.78</v>
      </c>
      <c r="H362" s="37">
        <f t="shared" si="52"/>
        <v>43</v>
      </c>
      <c r="I362" s="37" t="str">
        <f t="shared" si="51"/>
        <v>1-90 DAYS</v>
      </c>
      <c r="J362" s="37" t="str">
        <f t="shared" si="53"/>
        <v>0-180 DAYS</v>
      </c>
      <c r="M362" s="158" t="s">
        <v>5241</v>
      </c>
      <c r="N362" s="158">
        <v>463755.78</v>
      </c>
    </row>
    <row r="363" spans="1:14" x14ac:dyDescent="0.35">
      <c r="A363" t="s">
        <v>4333</v>
      </c>
      <c r="B363" t="s">
        <v>789</v>
      </c>
      <c r="C363" t="s">
        <v>125</v>
      </c>
      <c r="D363" t="s">
        <v>57</v>
      </c>
      <c r="E363" t="s">
        <v>2191</v>
      </c>
      <c r="F363" s="35">
        <v>46192</v>
      </c>
      <c r="G363" s="47">
        <v>75051.92</v>
      </c>
      <c r="H363" s="37">
        <f t="shared" si="52"/>
        <v>43</v>
      </c>
      <c r="I363" s="37" t="str">
        <f t="shared" si="51"/>
        <v>1-90 DAYS</v>
      </c>
      <c r="J363" s="37" t="str">
        <f t="shared" si="53"/>
        <v>0-180 DAYS</v>
      </c>
      <c r="M363" s="158" t="s">
        <v>5241</v>
      </c>
      <c r="N363" s="158">
        <v>75051.92</v>
      </c>
    </row>
    <row r="364" spans="1:14" x14ac:dyDescent="0.35">
      <c r="A364" t="s">
        <v>4333</v>
      </c>
      <c r="B364" t="s">
        <v>789</v>
      </c>
      <c r="C364" t="s">
        <v>125</v>
      </c>
      <c r="D364" t="s">
        <v>57</v>
      </c>
      <c r="E364" t="s">
        <v>2191</v>
      </c>
      <c r="F364" s="35">
        <v>46192</v>
      </c>
      <c r="G364" s="47">
        <v>43143.05</v>
      </c>
      <c r="H364" s="37">
        <f t="shared" si="52"/>
        <v>43</v>
      </c>
      <c r="I364" s="37" t="str">
        <f t="shared" si="51"/>
        <v>1-90 DAYS</v>
      </c>
      <c r="J364" s="37" t="str">
        <f t="shared" si="53"/>
        <v>0-180 DAYS</v>
      </c>
      <c r="M364" s="158" t="s">
        <v>5241</v>
      </c>
      <c r="N364" s="158">
        <v>43143.05</v>
      </c>
    </row>
    <row r="365" spans="1:14" x14ac:dyDescent="0.35">
      <c r="A365" t="s">
        <v>4333</v>
      </c>
      <c r="B365" t="s">
        <v>789</v>
      </c>
      <c r="C365" t="s">
        <v>125</v>
      </c>
      <c r="D365" t="s">
        <v>57</v>
      </c>
      <c r="E365" t="s">
        <v>2191</v>
      </c>
      <c r="F365" s="35">
        <v>46192</v>
      </c>
      <c r="G365" s="47">
        <v>258682.96</v>
      </c>
      <c r="H365" s="37">
        <f t="shared" si="52"/>
        <v>43</v>
      </c>
      <c r="I365" s="37" t="str">
        <f t="shared" si="51"/>
        <v>1-90 DAYS</v>
      </c>
      <c r="J365" s="37" t="str">
        <f t="shared" si="53"/>
        <v>0-180 DAYS</v>
      </c>
      <c r="M365" s="158" t="s">
        <v>5241</v>
      </c>
      <c r="N365" s="158">
        <v>258682.96</v>
      </c>
    </row>
    <row r="366" spans="1:14" x14ac:dyDescent="0.35">
      <c r="A366" t="s">
        <v>4333</v>
      </c>
      <c r="B366" t="s">
        <v>789</v>
      </c>
      <c r="C366" t="s">
        <v>125</v>
      </c>
      <c r="D366" t="s">
        <v>57</v>
      </c>
      <c r="E366" t="s">
        <v>2191</v>
      </c>
      <c r="F366" s="35">
        <v>46192</v>
      </c>
      <c r="G366" s="47">
        <v>62506.26</v>
      </c>
      <c r="H366" s="37">
        <f t="shared" si="52"/>
        <v>43</v>
      </c>
      <c r="I366" s="37" t="str">
        <f t="shared" si="51"/>
        <v>1-90 DAYS</v>
      </c>
      <c r="J366" s="37" t="str">
        <f t="shared" si="53"/>
        <v>0-180 DAYS</v>
      </c>
      <c r="M366" s="158" t="s">
        <v>5241</v>
      </c>
      <c r="N366" s="158">
        <v>62506.26</v>
      </c>
    </row>
    <row r="367" spans="1:14" x14ac:dyDescent="0.35">
      <c r="A367" t="s">
        <v>4333</v>
      </c>
      <c r="B367" t="s">
        <v>789</v>
      </c>
      <c r="C367" t="s">
        <v>125</v>
      </c>
      <c r="D367" t="s">
        <v>57</v>
      </c>
      <c r="E367" t="s">
        <v>2191</v>
      </c>
      <c r="F367" s="35">
        <v>46192</v>
      </c>
      <c r="G367" s="47">
        <v>4861.5</v>
      </c>
      <c r="H367" s="37">
        <f t="shared" si="52"/>
        <v>43</v>
      </c>
      <c r="I367" s="37" t="str">
        <f t="shared" si="51"/>
        <v>1-90 DAYS</v>
      </c>
      <c r="J367" s="37" t="str">
        <f t="shared" si="53"/>
        <v>0-180 DAYS</v>
      </c>
      <c r="M367" s="158" t="s">
        <v>5241</v>
      </c>
      <c r="N367" s="158">
        <v>4861.5</v>
      </c>
    </row>
    <row r="368" spans="1:14" x14ac:dyDescent="0.35">
      <c r="A368" t="s">
        <v>4333</v>
      </c>
      <c r="B368" t="s">
        <v>789</v>
      </c>
      <c r="C368" t="s">
        <v>125</v>
      </c>
      <c r="D368" t="s">
        <v>57</v>
      </c>
      <c r="E368" t="s">
        <v>5124</v>
      </c>
      <c r="F368" s="35">
        <v>46193</v>
      </c>
      <c r="G368" s="47">
        <v>2352</v>
      </c>
      <c r="H368" s="37">
        <f t="shared" si="52"/>
        <v>42</v>
      </c>
      <c r="I368" s="37" t="str">
        <f t="shared" si="51"/>
        <v>1-90 DAYS</v>
      </c>
      <c r="J368" s="37" t="str">
        <f t="shared" si="53"/>
        <v>0-180 DAYS</v>
      </c>
      <c r="M368" s="158" t="s">
        <v>5242</v>
      </c>
      <c r="N368" s="158">
        <v>2352</v>
      </c>
    </row>
    <row r="369" spans="1:14" x14ac:dyDescent="0.35">
      <c r="A369" t="s">
        <v>4333</v>
      </c>
      <c r="B369" t="s">
        <v>789</v>
      </c>
      <c r="C369" t="s">
        <v>125</v>
      </c>
      <c r="D369" t="s">
        <v>57</v>
      </c>
      <c r="E369" t="s">
        <v>2052</v>
      </c>
      <c r="F369" s="35">
        <v>46193</v>
      </c>
      <c r="G369" s="47">
        <v>7670.01</v>
      </c>
      <c r="H369" s="37">
        <f t="shared" si="52"/>
        <v>42</v>
      </c>
      <c r="I369" s="37" t="str">
        <f t="shared" si="51"/>
        <v>1-90 DAYS</v>
      </c>
      <c r="J369" s="37" t="str">
        <f t="shared" si="53"/>
        <v>0-180 DAYS</v>
      </c>
      <c r="M369" s="158" t="s">
        <v>5242</v>
      </c>
      <c r="N369" s="158">
        <v>7670.01</v>
      </c>
    </row>
    <row r="370" spans="1:14" x14ac:dyDescent="0.35">
      <c r="A370" t="s">
        <v>4333</v>
      </c>
      <c r="B370" t="s">
        <v>789</v>
      </c>
      <c r="C370" t="s">
        <v>125</v>
      </c>
      <c r="D370" t="s">
        <v>57</v>
      </c>
      <c r="E370" t="s">
        <v>2052</v>
      </c>
      <c r="F370" s="35">
        <v>46193</v>
      </c>
      <c r="G370" s="47">
        <v>36207.129999999997</v>
      </c>
      <c r="H370" s="37">
        <f t="shared" si="52"/>
        <v>42</v>
      </c>
      <c r="I370" s="37" t="str">
        <f t="shared" si="51"/>
        <v>1-90 DAYS</v>
      </c>
      <c r="J370" s="37" t="str">
        <f t="shared" si="53"/>
        <v>0-180 DAYS</v>
      </c>
      <c r="M370" s="158" t="s">
        <v>5242</v>
      </c>
      <c r="N370" s="158">
        <v>36207.129999999997</v>
      </c>
    </row>
    <row r="371" spans="1:14" x14ac:dyDescent="0.35">
      <c r="A371" t="s">
        <v>4333</v>
      </c>
      <c r="B371" t="s">
        <v>789</v>
      </c>
      <c r="C371" t="s">
        <v>125</v>
      </c>
      <c r="D371" t="s">
        <v>57</v>
      </c>
      <c r="E371" t="s">
        <v>2052</v>
      </c>
      <c r="F371" s="35">
        <v>46193</v>
      </c>
      <c r="G371" s="47">
        <v>121764.33</v>
      </c>
      <c r="H371" s="37">
        <f t="shared" si="52"/>
        <v>42</v>
      </c>
      <c r="I371" s="37" t="str">
        <f t="shared" si="51"/>
        <v>1-90 DAYS</v>
      </c>
      <c r="J371" s="37" t="str">
        <f t="shared" si="53"/>
        <v>0-180 DAYS</v>
      </c>
      <c r="M371" s="158" t="s">
        <v>5242</v>
      </c>
      <c r="N371" s="158">
        <v>121764.33</v>
      </c>
    </row>
    <row r="372" spans="1:14" x14ac:dyDescent="0.35">
      <c r="A372" t="s">
        <v>4333</v>
      </c>
      <c r="B372" t="s">
        <v>789</v>
      </c>
      <c r="C372" t="s">
        <v>125</v>
      </c>
      <c r="D372" t="s">
        <v>57</v>
      </c>
      <c r="E372" t="s">
        <v>2052</v>
      </c>
      <c r="F372" s="35">
        <v>46193</v>
      </c>
      <c r="G372" s="47">
        <v>335035.44</v>
      </c>
      <c r="H372" s="37">
        <f t="shared" si="52"/>
        <v>42</v>
      </c>
      <c r="I372" s="37" t="str">
        <f t="shared" si="51"/>
        <v>1-90 DAYS</v>
      </c>
      <c r="J372" s="37" t="str">
        <f t="shared" si="53"/>
        <v>0-180 DAYS</v>
      </c>
      <c r="M372" s="158" t="s">
        <v>5242</v>
      </c>
      <c r="N372" s="158">
        <v>335035.44</v>
      </c>
    </row>
    <row r="373" spans="1:14" x14ac:dyDescent="0.35">
      <c r="A373" t="s">
        <v>4333</v>
      </c>
      <c r="B373" t="s">
        <v>789</v>
      </c>
      <c r="C373" t="s">
        <v>125</v>
      </c>
      <c r="D373" t="s">
        <v>57</v>
      </c>
      <c r="E373" t="s">
        <v>2052</v>
      </c>
      <c r="F373" s="35">
        <v>46193</v>
      </c>
      <c r="G373" s="47">
        <v>100031.14</v>
      </c>
      <c r="H373" s="37">
        <f t="shared" si="52"/>
        <v>42</v>
      </c>
      <c r="I373" s="37" t="str">
        <f t="shared" si="51"/>
        <v>1-90 DAYS</v>
      </c>
      <c r="J373" s="37" t="str">
        <f t="shared" si="53"/>
        <v>0-180 DAYS</v>
      </c>
      <c r="M373" s="158" t="s">
        <v>5242</v>
      </c>
      <c r="N373" s="158">
        <v>100031.14</v>
      </c>
    </row>
    <row r="374" spans="1:14" x14ac:dyDescent="0.35">
      <c r="A374" t="s">
        <v>4333</v>
      </c>
      <c r="B374" t="s">
        <v>789</v>
      </c>
      <c r="C374" t="s">
        <v>125</v>
      </c>
      <c r="D374" t="s">
        <v>57</v>
      </c>
      <c r="E374" t="s">
        <v>2052</v>
      </c>
      <c r="F374" s="35">
        <v>46193</v>
      </c>
      <c r="G374" s="47">
        <v>84950.5</v>
      </c>
      <c r="H374" s="37">
        <f t="shared" si="52"/>
        <v>42</v>
      </c>
      <c r="I374" s="37" t="str">
        <f t="shared" si="51"/>
        <v>1-90 DAYS</v>
      </c>
      <c r="J374" s="37" t="str">
        <f t="shared" si="53"/>
        <v>0-180 DAYS</v>
      </c>
      <c r="M374" s="158" t="s">
        <v>5242</v>
      </c>
      <c r="N374" s="158">
        <v>84950.5</v>
      </c>
    </row>
    <row r="375" spans="1:14" x14ac:dyDescent="0.35">
      <c r="A375" t="s">
        <v>4333</v>
      </c>
      <c r="B375" t="s">
        <v>789</v>
      </c>
      <c r="C375" t="s">
        <v>125</v>
      </c>
      <c r="D375" t="s">
        <v>57</v>
      </c>
      <c r="E375" t="s">
        <v>2052</v>
      </c>
      <c r="F375" s="35">
        <v>46193</v>
      </c>
      <c r="G375" s="47">
        <v>113027.6</v>
      </c>
      <c r="H375" s="37">
        <f t="shared" si="52"/>
        <v>42</v>
      </c>
      <c r="I375" s="37" t="str">
        <f t="shared" si="51"/>
        <v>1-90 DAYS</v>
      </c>
      <c r="J375" s="37" t="str">
        <f t="shared" si="53"/>
        <v>0-180 DAYS</v>
      </c>
      <c r="M375" s="158" t="s">
        <v>5242</v>
      </c>
      <c r="N375" s="158">
        <v>113027.6</v>
      </c>
    </row>
    <row r="376" spans="1:14" x14ac:dyDescent="0.35">
      <c r="A376" t="s">
        <v>4333</v>
      </c>
      <c r="B376" t="s">
        <v>789</v>
      </c>
      <c r="C376" t="s">
        <v>125</v>
      </c>
      <c r="D376" t="s">
        <v>57</v>
      </c>
      <c r="E376" t="s">
        <v>2052</v>
      </c>
      <c r="F376" s="35">
        <v>46193</v>
      </c>
      <c r="G376" s="47">
        <v>6931.58</v>
      </c>
      <c r="H376" s="37">
        <f t="shared" si="52"/>
        <v>42</v>
      </c>
      <c r="I376" s="37" t="str">
        <f t="shared" si="51"/>
        <v>1-90 DAYS</v>
      </c>
      <c r="J376" s="37" t="str">
        <f t="shared" si="53"/>
        <v>0-180 DAYS</v>
      </c>
      <c r="M376" s="158" t="s">
        <v>5242</v>
      </c>
      <c r="N376" s="158">
        <v>6931.58</v>
      </c>
    </row>
    <row r="377" spans="1:14" x14ac:dyDescent="0.35">
      <c r="A377" t="s">
        <v>4333</v>
      </c>
      <c r="B377" t="s">
        <v>789</v>
      </c>
      <c r="C377" t="s">
        <v>125</v>
      </c>
      <c r="D377" t="s">
        <v>57</v>
      </c>
      <c r="E377" t="s">
        <v>2197</v>
      </c>
      <c r="F377" s="35">
        <v>46193</v>
      </c>
      <c r="G377" s="47">
        <v>27250</v>
      </c>
      <c r="H377" s="37">
        <f t="shared" si="52"/>
        <v>42</v>
      </c>
      <c r="I377" s="37" t="str">
        <f t="shared" si="51"/>
        <v>1-90 DAYS</v>
      </c>
      <c r="J377" s="37" t="str">
        <f t="shared" si="53"/>
        <v>0-180 DAYS</v>
      </c>
      <c r="M377" s="158" t="s">
        <v>5242</v>
      </c>
      <c r="N377" s="158">
        <v>27250</v>
      </c>
    </row>
    <row r="378" spans="1:14" x14ac:dyDescent="0.35">
      <c r="A378" t="s">
        <v>1085</v>
      </c>
      <c r="B378" t="s">
        <v>790</v>
      </c>
      <c r="C378" t="s">
        <v>1243</v>
      </c>
      <c r="D378" t="s">
        <v>507</v>
      </c>
      <c r="E378" t="s">
        <v>5125</v>
      </c>
      <c r="F378" s="35">
        <v>46194</v>
      </c>
      <c r="G378" s="47">
        <v>4173448.9</v>
      </c>
      <c r="H378" s="37">
        <f t="shared" si="52"/>
        <v>41</v>
      </c>
      <c r="I378" s="37" t="str">
        <f t="shared" ref="I378" si="54">IF(H378&lt;121,"0-120 DAYS",IF(H378&lt;181,"121-180 DAYS","More than 180 Days"))</f>
        <v>0-120 DAYS</v>
      </c>
      <c r="J378" s="37" t="str">
        <f t="shared" si="53"/>
        <v>0-180 DAYS</v>
      </c>
      <c r="K378" t="s">
        <v>1730</v>
      </c>
      <c r="M378" s="158" t="s">
        <v>5243</v>
      </c>
      <c r="N378" s="158">
        <v>4173448.9</v>
      </c>
    </row>
    <row r="379" spans="1:14" x14ac:dyDescent="0.35">
      <c r="A379" t="s">
        <v>4333</v>
      </c>
      <c r="B379" t="s">
        <v>789</v>
      </c>
      <c r="C379" t="s">
        <v>125</v>
      </c>
      <c r="D379" t="s">
        <v>57</v>
      </c>
      <c r="E379" t="s">
        <v>5126</v>
      </c>
      <c r="F379" s="35">
        <v>46194</v>
      </c>
      <c r="G379" s="47">
        <v>3264</v>
      </c>
      <c r="H379" s="37">
        <f t="shared" si="52"/>
        <v>41</v>
      </c>
      <c r="I379" s="37" t="str">
        <f t="shared" ref="I379:I411" si="55">IF(H379&lt;91,"1-90 DAYS",IF(H379&lt;121,"91-120DAYS",IF(H379&lt;181,"121-180 DAYS","More than 180 Days")))</f>
        <v>1-90 DAYS</v>
      </c>
      <c r="J379" s="37" t="str">
        <f t="shared" si="53"/>
        <v>0-180 DAYS</v>
      </c>
      <c r="M379" s="158" t="s">
        <v>5243</v>
      </c>
      <c r="N379" s="158">
        <v>3264</v>
      </c>
    </row>
    <row r="380" spans="1:14" x14ac:dyDescent="0.35">
      <c r="A380" t="s">
        <v>4333</v>
      </c>
      <c r="B380" t="s">
        <v>789</v>
      </c>
      <c r="C380" t="s">
        <v>125</v>
      </c>
      <c r="D380" t="s">
        <v>57</v>
      </c>
      <c r="E380" t="s">
        <v>2053</v>
      </c>
      <c r="F380" s="35">
        <v>46194</v>
      </c>
      <c r="G380" s="47">
        <v>71506.16</v>
      </c>
      <c r="H380" s="37">
        <f t="shared" si="52"/>
        <v>41</v>
      </c>
      <c r="I380" s="37" t="str">
        <f t="shared" si="55"/>
        <v>1-90 DAYS</v>
      </c>
      <c r="J380" s="37" t="str">
        <f t="shared" si="53"/>
        <v>0-180 DAYS</v>
      </c>
      <c r="M380" s="158" t="s">
        <v>5243</v>
      </c>
      <c r="N380" s="158">
        <v>71506.16</v>
      </c>
    </row>
    <row r="381" spans="1:14" x14ac:dyDescent="0.35">
      <c r="A381" t="s">
        <v>4333</v>
      </c>
      <c r="B381" t="s">
        <v>789</v>
      </c>
      <c r="C381" t="s">
        <v>125</v>
      </c>
      <c r="D381" t="s">
        <v>57</v>
      </c>
      <c r="E381" t="s">
        <v>2053</v>
      </c>
      <c r="F381" s="35">
        <v>46194</v>
      </c>
      <c r="G381" s="47">
        <v>219792.86</v>
      </c>
      <c r="H381" s="37">
        <f t="shared" si="52"/>
        <v>41</v>
      </c>
      <c r="I381" s="37" t="str">
        <f t="shared" si="55"/>
        <v>1-90 DAYS</v>
      </c>
      <c r="J381" s="37" t="str">
        <f t="shared" si="53"/>
        <v>0-180 DAYS</v>
      </c>
      <c r="M381" s="158" t="s">
        <v>5243</v>
      </c>
      <c r="N381" s="158">
        <v>219792.86</v>
      </c>
    </row>
    <row r="382" spans="1:14" x14ac:dyDescent="0.35">
      <c r="A382" t="s">
        <v>4333</v>
      </c>
      <c r="B382" t="s">
        <v>789</v>
      </c>
      <c r="C382" t="s">
        <v>125</v>
      </c>
      <c r="D382" t="s">
        <v>57</v>
      </c>
      <c r="E382" t="s">
        <v>2053</v>
      </c>
      <c r="F382" s="35">
        <v>46194</v>
      </c>
      <c r="G382" s="47">
        <v>3334.07</v>
      </c>
      <c r="H382" s="37">
        <f t="shared" si="52"/>
        <v>41</v>
      </c>
      <c r="I382" s="37" t="str">
        <f t="shared" si="55"/>
        <v>1-90 DAYS</v>
      </c>
      <c r="J382" s="37" t="str">
        <f t="shared" si="53"/>
        <v>0-180 DAYS</v>
      </c>
      <c r="M382" s="158" t="s">
        <v>5243</v>
      </c>
      <c r="N382" s="158">
        <v>3334.07</v>
      </c>
    </row>
    <row r="383" spans="1:14" x14ac:dyDescent="0.35">
      <c r="A383" t="s">
        <v>4333</v>
      </c>
      <c r="B383" t="s">
        <v>789</v>
      </c>
      <c r="C383" t="s">
        <v>125</v>
      </c>
      <c r="D383" t="s">
        <v>57</v>
      </c>
      <c r="E383" t="s">
        <v>2053</v>
      </c>
      <c r="F383" s="35">
        <v>46194</v>
      </c>
      <c r="G383" s="47">
        <v>38692.82</v>
      </c>
      <c r="H383" s="37">
        <f t="shared" si="52"/>
        <v>41</v>
      </c>
      <c r="I383" s="37" t="str">
        <f t="shared" si="55"/>
        <v>1-90 DAYS</v>
      </c>
      <c r="J383" s="37" t="str">
        <f t="shared" si="53"/>
        <v>0-180 DAYS</v>
      </c>
      <c r="M383" s="158" t="s">
        <v>5243</v>
      </c>
      <c r="N383" s="158">
        <v>38692.82</v>
      </c>
    </row>
    <row r="384" spans="1:14" x14ac:dyDescent="0.35">
      <c r="A384" t="s">
        <v>4333</v>
      </c>
      <c r="B384" t="s">
        <v>789</v>
      </c>
      <c r="C384" t="s">
        <v>125</v>
      </c>
      <c r="D384" t="s">
        <v>57</v>
      </c>
      <c r="E384" t="s">
        <v>2053</v>
      </c>
      <c r="F384" s="35">
        <v>46194</v>
      </c>
      <c r="G384" s="47">
        <v>168884.62</v>
      </c>
      <c r="H384" s="37">
        <f t="shared" si="52"/>
        <v>41</v>
      </c>
      <c r="I384" s="37" t="str">
        <f t="shared" si="55"/>
        <v>1-90 DAYS</v>
      </c>
      <c r="J384" s="37" t="str">
        <f t="shared" si="53"/>
        <v>0-180 DAYS</v>
      </c>
      <c r="M384" s="158" t="s">
        <v>5243</v>
      </c>
      <c r="N384" s="158">
        <v>168884.62</v>
      </c>
    </row>
    <row r="385" spans="1:14" x14ac:dyDescent="0.35">
      <c r="A385" t="s">
        <v>4333</v>
      </c>
      <c r="B385" t="s">
        <v>789</v>
      </c>
      <c r="C385" t="s">
        <v>125</v>
      </c>
      <c r="D385" t="s">
        <v>57</v>
      </c>
      <c r="E385" t="s">
        <v>2055</v>
      </c>
      <c r="F385" s="35">
        <v>46194</v>
      </c>
      <c r="G385" s="47">
        <v>57679.85</v>
      </c>
      <c r="H385" s="37">
        <f t="shared" si="52"/>
        <v>41</v>
      </c>
      <c r="I385" s="37" t="str">
        <f t="shared" si="55"/>
        <v>1-90 DAYS</v>
      </c>
      <c r="J385" s="37" t="str">
        <f t="shared" si="53"/>
        <v>0-180 DAYS</v>
      </c>
      <c r="M385" s="158" t="s">
        <v>5243</v>
      </c>
      <c r="N385" s="158">
        <v>57679.85</v>
      </c>
    </row>
    <row r="386" spans="1:14" x14ac:dyDescent="0.35">
      <c r="A386" t="s">
        <v>4333</v>
      </c>
      <c r="B386" t="s">
        <v>789</v>
      </c>
      <c r="C386" t="s">
        <v>125</v>
      </c>
      <c r="D386" t="s">
        <v>57</v>
      </c>
      <c r="E386" t="s">
        <v>2205</v>
      </c>
      <c r="F386" s="35">
        <v>46195</v>
      </c>
      <c r="G386" s="47">
        <v>210000</v>
      </c>
      <c r="H386" s="37">
        <f t="shared" si="52"/>
        <v>40</v>
      </c>
      <c r="I386" s="37" t="str">
        <f t="shared" si="55"/>
        <v>1-90 DAYS</v>
      </c>
      <c r="J386" s="37" t="str">
        <f t="shared" si="53"/>
        <v>0-180 DAYS</v>
      </c>
      <c r="M386" s="158" t="s">
        <v>5244</v>
      </c>
      <c r="N386" s="158">
        <v>210000</v>
      </c>
    </row>
    <row r="387" spans="1:14" x14ac:dyDescent="0.35">
      <c r="A387" t="s">
        <v>4333</v>
      </c>
      <c r="B387" t="s">
        <v>789</v>
      </c>
      <c r="C387" t="s">
        <v>125</v>
      </c>
      <c r="D387" t="s">
        <v>57</v>
      </c>
      <c r="E387" t="s">
        <v>5127</v>
      </c>
      <c r="F387" s="35">
        <v>46195</v>
      </c>
      <c r="G387" s="47">
        <v>299700</v>
      </c>
      <c r="H387" s="37">
        <f t="shared" si="52"/>
        <v>40</v>
      </c>
      <c r="I387" s="37" t="str">
        <f t="shared" si="55"/>
        <v>1-90 DAYS</v>
      </c>
      <c r="J387" s="37" t="str">
        <f t="shared" si="53"/>
        <v>0-180 DAYS</v>
      </c>
      <c r="M387" s="158" t="s">
        <v>5244</v>
      </c>
      <c r="N387" s="158">
        <v>299700</v>
      </c>
    </row>
    <row r="388" spans="1:14" x14ac:dyDescent="0.35">
      <c r="A388" t="s">
        <v>4333</v>
      </c>
      <c r="B388" t="s">
        <v>789</v>
      </c>
      <c r="C388" t="s">
        <v>125</v>
      </c>
      <c r="D388" t="s">
        <v>57</v>
      </c>
      <c r="E388" t="s">
        <v>5127</v>
      </c>
      <c r="F388" s="35">
        <v>46195</v>
      </c>
      <c r="G388" s="47">
        <v>341875</v>
      </c>
      <c r="H388" s="37">
        <f t="shared" si="52"/>
        <v>40</v>
      </c>
      <c r="I388" s="37" t="str">
        <f t="shared" si="55"/>
        <v>1-90 DAYS</v>
      </c>
      <c r="J388" s="37" t="str">
        <f t="shared" si="53"/>
        <v>0-180 DAYS</v>
      </c>
      <c r="M388" s="158" t="s">
        <v>5244</v>
      </c>
      <c r="N388" s="158">
        <v>341875</v>
      </c>
    </row>
    <row r="389" spans="1:14" x14ac:dyDescent="0.35">
      <c r="A389" t="s">
        <v>4333</v>
      </c>
      <c r="B389" t="s">
        <v>789</v>
      </c>
      <c r="C389" t="s">
        <v>125</v>
      </c>
      <c r="D389" t="s">
        <v>57</v>
      </c>
      <c r="E389" t="s">
        <v>2208</v>
      </c>
      <c r="F389" s="35">
        <v>46196</v>
      </c>
      <c r="G389" s="47">
        <v>115532.54</v>
      </c>
      <c r="H389" s="37">
        <f t="shared" si="52"/>
        <v>39</v>
      </c>
      <c r="I389" s="37" t="str">
        <f t="shared" si="55"/>
        <v>1-90 DAYS</v>
      </c>
      <c r="J389" s="37" t="str">
        <f t="shared" si="53"/>
        <v>0-180 DAYS</v>
      </c>
      <c r="M389" s="158" t="s">
        <v>5245</v>
      </c>
      <c r="N389" s="158">
        <v>115532.54</v>
      </c>
    </row>
    <row r="390" spans="1:14" x14ac:dyDescent="0.35">
      <c r="A390" t="s">
        <v>4333</v>
      </c>
      <c r="B390" t="s">
        <v>789</v>
      </c>
      <c r="C390" t="s">
        <v>125</v>
      </c>
      <c r="D390" t="s">
        <v>57</v>
      </c>
      <c r="E390" t="s">
        <v>2208</v>
      </c>
      <c r="F390" s="35">
        <v>46196</v>
      </c>
      <c r="G390" s="47">
        <v>115973.63</v>
      </c>
      <c r="H390" s="37">
        <f t="shared" si="52"/>
        <v>39</v>
      </c>
      <c r="I390" s="37" t="str">
        <f t="shared" si="55"/>
        <v>1-90 DAYS</v>
      </c>
      <c r="J390" s="37" t="str">
        <f t="shared" si="53"/>
        <v>0-180 DAYS</v>
      </c>
      <c r="M390" s="158" t="s">
        <v>5245</v>
      </c>
      <c r="N390" s="158">
        <v>115973.63</v>
      </c>
    </row>
    <row r="391" spans="1:14" x14ac:dyDescent="0.35">
      <c r="A391" t="s">
        <v>4333</v>
      </c>
      <c r="B391" t="s">
        <v>789</v>
      </c>
      <c r="C391" t="s">
        <v>125</v>
      </c>
      <c r="D391" t="s">
        <v>57</v>
      </c>
      <c r="E391" t="s">
        <v>2208</v>
      </c>
      <c r="F391" s="35">
        <v>46196</v>
      </c>
      <c r="G391" s="47">
        <v>302671.44</v>
      </c>
      <c r="H391" s="37">
        <f t="shared" si="52"/>
        <v>39</v>
      </c>
      <c r="I391" s="37" t="str">
        <f t="shared" si="55"/>
        <v>1-90 DAYS</v>
      </c>
      <c r="J391" s="37" t="str">
        <f t="shared" si="53"/>
        <v>0-180 DAYS</v>
      </c>
      <c r="M391" s="158" t="s">
        <v>5245</v>
      </c>
      <c r="N391" s="158">
        <v>302671.44</v>
      </c>
    </row>
    <row r="392" spans="1:14" x14ac:dyDescent="0.35">
      <c r="A392" t="s">
        <v>4333</v>
      </c>
      <c r="B392" t="s">
        <v>789</v>
      </c>
      <c r="C392" t="s">
        <v>125</v>
      </c>
      <c r="D392" t="s">
        <v>57</v>
      </c>
      <c r="E392" t="s">
        <v>2208</v>
      </c>
      <c r="F392" s="35">
        <v>46196</v>
      </c>
      <c r="G392" s="47">
        <v>301661.5</v>
      </c>
      <c r="H392" s="37">
        <f t="shared" si="52"/>
        <v>39</v>
      </c>
      <c r="I392" s="37" t="str">
        <f t="shared" si="55"/>
        <v>1-90 DAYS</v>
      </c>
      <c r="J392" s="37" t="str">
        <f t="shared" si="53"/>
        <v>0-180 DAYS</v>
      </c>
      <c r="M392" s="158" t="s">
        <v>5245</v>
      </c>
      <c r="N392" s="158">
        <v>301661.5</v>
      </c>
    </row>
    <row r="393" spans="1:14" x14ac:dyDescent="0.35">
      <c r="A393" t="s">
        <v>4333</v>
      </c>
      <c r="B393" t="s">
        <v>789</v>
      </c>
      <c r="C393" t="s">
        <v>125</v>
      </c>
      <c r="D393" t="s">
        <v>57</v>
      </c>
      <c r="E393" t="s">
        <v>2208</v>
      </c>
      <c r="F393" s="35">
        <v>46196</v>
      </c>
      <c r="G393" s="47">
        <v>55472.32</v>
      </c>
      <c r="H393" s="37">
        <f t="shared" ref="H393:H456" si="56">$H$1-F393+1</f>
        <v>39</v>
      </c>
      <c r="I393" s="37" t="str">
        <f t="shared" si="55"/>
        <v>1-90 DAYS</v>
      </c>
      <c r="J393" s="37" t="str">
        <f t="shared" si="53"/>
        <v>0-180 DAYS</v>
      </c>
      <c r="M393" s="158" t="s">
        <v>5245</v>
      </c>
      <c r="N393" s="158">
        <v>55472.32</v>
      </c>
    </row>
    <row r="394" spans="1:14" x14ac:dyDescent="0.35">
      <c r="A394" t="s">
        <v>4333</v>
      </c>
      <c r="B394" t="s">
        <v>789</v>
      </c>
      <c r="C394" t="s">
        <v>125</v>
      </c>
      <c r="D394" t="s">
        <v>57</v>
      </c>
      <c r="E394" t="s">
        <v>5128</v>
      </c>
      <c r="F394" s="35">
        <v>46196</v>
      </c>
      <c r="G394" s="47">
        <v>9696</v>
      </c>
      <c r="H394" s="37">
        <f t="shared" si="56"/>
        <v>39</v>
      </c>
      <c r="I394" s="37" t="str">
        <f t="shared" si="55"/>
        <v>1-90 DAYS</v>
      </c>
      <c r="J394" s="37" t="str">
        <f t="shared" ref="J394:J457" si="57">IF(H394&lt;180,"0-180 DAYS","More than 180 Days")</f>
        <v>0-180 DAYS</v>
      </c>
      <c r="M394" s="158" t="s">
        <v>5245</v>
      </c>
      <c r="N394" s="158">
        <v>9696</v>
      </c>
    </row>
    <row r="395" spans="1:14" x14ac:dyDescent="0.35">
      <c r="A395" t="s">
        <v>4333</v>
      </c>
      <c r="B395" t="s">
        <v>789</v>
      </c>
      <c r="C395" t="s">
        <v>125</v>
      </c>
      <c r="D395" t="s">
        <v>57</v>
      </c>
      <c r="E395" t="s">
        <v>5129</v>
      </c>
      <c r="F395" s="35">
        <v>46196</v>
      </c>
      <c r="G395" s="47">
        <v>47823.6</v>
      </c>
      <c r="H395" s="37">
        <f t="shared" si="56"/>
        <v>39</v>
      </c>
      <c r="I395" s="37" t="str">
        <f t="shared" si="55"/>
        <v>1-90 DAYS</v>
      </c>
      <c r="J395" s="37" t="str">
        <f t="shared" si="57"/>
        <v>0-180 DAYS</v>
      </c>
      <c r="M395" s="158" t="s">
        <v>5245</v>
      </c>
      <c r="N395" s="158">
        <v>47823.6</v>
      </c>
    </row>
    <row r="396" spans="1:14" x14ac:dyDescent="0.35">
      <c r="A396" t="s">
        <v>4333</v>
      </c>
      <c r="B396" t="s">
        <v>789</v>
      </c>
      <c r="C396" t="s">
        <v>125</v>
      </c>
      <c r="D396" t="s">
        <v>57</v>
      </c>
      <c r="E396" t="s">
        <v>5129</v>
      </c>
      <c r="F396" s="35">
        <v>46196</v>
      </c>
      <c r="G396" s="47">
        <v>100906.42</v>
      </c>
      <c r="H396" s="37">
        <f t="shared" si="56"/>
        <v>39</v>
      </c>
      <c r="I396" s="37" t="str">
        <f t="shared" si="55"/>
        <v>1-90 DAYS</v>
      </c>
      <c r="J396" s="37" t="str">
        <f t="shared" si="57"/>
        <v>0-180 DAYS</v>
      </c>
      <c r="M396" s="158" t="s">
        <v>5245</v>
      </c>
      <c r="N396" s="158">
        <v>100906.42</v>
      </c>
    </row>
    <row r="397" spans="1:14" x14ac:dyDescent="0.35">
      <c r="A397" t="s">
        <v>4333</v>
      </c>
      <c r="B397" t="s">
        <v>789</v>
      </c>
      <c r="C397" t="s">
        <v>125</v>
      </c>
      <c r="D397" t="s">
        <v>57</v>
      </c>
      <c r="E397" t="s">
        <v>5129</v>
      </c>
      <c r="F397" s="35">
        <v>46196</v>
      </c>
      <c r="G397" s="47">
        <v>103675.8</v>
      </c>
      <c r="H397" s="37">
        <f t="shared" si="56"/>
        <v>39</v>
      </c>
      <c r="I397" s="37" t="str">
        <f t="shared" si="55"/>
        <v>1-90 DAYS</v>
      </c>
      <c r="J397" s="37" t="str">
        <f t="shared" si="57"/>
        <v>0-180 DAYS</v>
      </c>
      <c r="M397" s="158" t="s">
        <v>5245</v>
      </c>
      <c r="N397" s="158">
        <v>103675.8</v>
      </c>
    </row>
    <row r="398" spans="1:14" x14ac:dyDescent="0.35">
      <c r="A398" t="s">
        <v>4333</v>
      </c>
      <c r="B398" t="s">
        <v>789</v>
      </c>
      <c r="C398" t="s">
        <v>125</v>
      </c>
      <c r="D398" t="s">
        <v>57</v>
      </c>
      <c r="E398" t="s">
        <v>5129</v>
      </c>
      <c r="F398" s="35">
        <v>46196</v>
      </c>
      <c r="G398" s="47">
        <v>87550.57</v>
      </c>
      <c r="H398" s="37">
        <f t="shared" si="56"/>
        <v>39</v>
      </c>
      <c r="I398" s="37" t="str">
        <f t="shared" si="55"/>
        <v>1-90 DAYS</v>
      </c>
      <c r="J398" s="37" t="str">
        <f t="shared" si="57"/>
        <v>0-180 DAYS</v>
      </c>
      <c r="M398" s="158" t="s">
        <v>5245</v>
      </c>
      <c r="N398" s="158">
        <v>87550.57</v>
      </c>
    </row>
    <row r="399" spans="1:14" x14ac:dyDescent="0.35">
      <c r="A399" t="s">
        <v>4333</v>
      </c>
      <c r="B399" t="s">
        <v>789</v>
      </c>
      <c r="C399" t="s">
        <v>125</v>
      </c>
      <c r="D399" t="s">
        <v>57</v>
      </c>
      <c r="E399" t="s">
        <v>5129</v>
      </c>
      <c r="F399" s="35">
        <v>46196</v>
      </c>
      <c r="G399" s="47">
        <v>104623.34</v>
      </c>
      <c r="H399" s="37">
        <f t="shared" si="56"/>
        <v>39</v>
      </c>
      <c r="I399" s="37" t="str">
        <f t="shared" si="55"/>
        <v>1-90 DAYS</v>
      </c>
      <c r="J399" s="37" t="str">
        <f t="shared" si="57"/>
        <v>0-180 DAYS</v>
      </c>
      <c r="M399" s="158" t="s">
        <v>5245</v>
      </c>
      <c r="N399" s="158">
        <v>104623.34</v>
      </c>
    </row>
    <row r="400" spans="1:14" x14ac:dyDescent="0.35">
      <c r="A400" t="s">
        <v>4333</v>
      </c>
      <c r="B400" t="s">
        <v>789</v>
      </c>
      <c r="C400" t="s">
        <v>125</v>
      </c>
      <c r="D400" t="s">
        <v>57</v>
      </c>
      <c r="E400" t="s">
        <v>5129</v>
      </c>
      <c r="F400" s="35">
        <v>46196</v>
      </c>
      <c r="G400" s="47">
        <v>36001.410000000003</v>
      </c>
      <c r="H400" s="37">
        <f t="shared" si="56"/>
        <v>39</v>
      </c>
      <c r="I400" s="37" t="str">
        <f t="shared" si="55"/>
        <v>1-90 DAYS</v>
      </c>
      <c r="J400" s="37" t="str">
        <f t="shared" si="57"/>
        <v>0-180 DAYS</v>
      </c>
      <c r="M400" s="158" t="s">
        <v>5245</v>
      </c>
      <c r="N400" s="158">
        <v>36001.410000000003</v>
      </c>
    </row>
    <row r="401" spans="1:14" x14ac:dyDescent="0.35">
      <c r="A401" t="s">
        <v>4333</v>
      </c>
      <c r="B401" t="s">
        <v>789</v>
      </c>
      <c r="C401" t="s">
        <v>125</v>
      </c>
      <c r="D401" t="s">
        <v>57</v>
      </c>
      <c r="E401" t="s">
        <v>5130</v>
      </c>
      <c r="F401" s="35">
        <v>46196</v>
      </c>
      <c r="G401" s="47">
        <v>341875</v>
      </c>
      <c r="H401" s="37">
        <f t="shared" si="56"/>
        <v>39</v>
      </c>
      <c r="I401" s="37" t="str">
        <f t="shared" si="55"/>
        <v>1-90 DAYS</v>
      </c>
      <c r="J401" s="37" t="str">
        <f t="shared" si="57"/>
        <v>0-180 DAYS</v>
      </c>
      <c r="M401" s="158" t="s">
        <v>5245</v>
      </c>
      <c r="N401" s="158">
        <v>341875</v>
      </c>
    </row>
    <row r="402" spans="1:14" x14ac:dyDescent="0.35">
      <c r="A402" t="s">
        <v>4333</v>
      </c>
      <c r="B402" t="s">
        <v>789</v>
      </c>
      <c r="C402" t="s">
        <v>125</v>
      </c>
      <c r="D402" t="s">
        <v>57</v>
      </c>
      <c r="E402" t="s">
        <v>2213</v>
      </c>
      <c r="F402" s="35">
        <v>46196</v>
      </c>
      <c r="G402" s="47">
        <v>29500</v>
      </c>
      <c r="H402" s="37">
        <f t="shared" si="56"/>
        <v>39</v>
      </c>
      <c r="I402" s="37" t="str">
        <f t="shared" si="55"/>
        <v>1-90 DAYS</v>
      </c>
      <c r="J402" s="37" t="str">
        <f t="shared" si="57"/>
        <v>0-180 DAYS</v>
      </c>
      <c r="M402" s="158" t="s">
        <v>5245</v>
      </c>
      <c r="N402" s="158">
        <v>29500</v>
      </c>
    </row>
    <row r="403" spans="1:14" x14ac:dyDescent="0.35">
      <c r="A403" t="s">
        <v>4333</v>
      </c>
      <c r="B403" t="s">
        <v>789</v>
      </c>
      <c r="C403" t="s">
        <v>125</v>
      </c>
      <c r="D403" t="s">
        <v>57</v>
      </c>
      <c r="E403" t="s">
        <v>5131</v>
      </c>
      <c r="F403" s="35">
        <v>46197</v>
      </c>
      <c r="G403" s="47">
        <v>6240</v>
      </c>
      <c r="H403" s="37">
        <f t="shared" si="56"/>
        <v>38</v>
      </c>
      <c r="I403" s="37" t="str">
        <f t="shared" si="55"/>
        <v>1-90 DAYS</v>
      </c>
      <c r="J403" s="37" t="str">
        <f t="shared" si="57"/>
        <v>0-180 DAYS</v>
      </c>
      <c r="M403" s="158" t="s">
        <v>5246</v>
      </c>
      <c r="N403" s="158">
        <v>6240</v>
      </c>
    </row>
    <row r="404" spans="1:14" x14ac:dyDescent="0.35">
      <c r="A404" t="s">
        <v>4333</v>
      </c>
      <c r="B404" t="s">
        <v>789</v>
      </c>
      <c r="C404" t="s">
        <v>125</v>
      </c>
      <c r="D404" t="s">
        <v>57</v>
      </c>
      <c r="E404" t="s">
        <v>5132</v>
      </c>
      <c r="F404" s="35">
        <v>46197</v>
      </c>
      <c r="G404" s="47">
        <v>26248.639999999999</v>
      </c>
      <c r="H404" s="37">
        <f t="shared" si="56"/>
        <v>38</v>
      </c>
      <c r="I404" s="37" t="str">
        <f t="shared" si="55"/>
        <v>1-90 DAYS</v>
      </c>
      <c r="J404" s="37" t="str">
        <f t="shared" si="57"/>
        <v>0-180 DAYS</v>
      </c>
      <c r="M404" s="158" t="s">
        <v>5246</v>
      </c>
      <c r="N404" s="158">
        <v>26248.639999999999</v>
      </c>
    </row>
    <row r="405" spans="1:14" x14ac:dyDescent="0.35">
      <c r="A405" t="s">
        <v>4333</v>
      </c>
      <c r="B405" t="s">
        <v>789</v>
      </c>
      <c r="C405" t="s">
        <v>125</v>
      </c>
      <c r="D405" t="s">
        <v>57</v>
      </c>
      <c r="E405" t="s">
        <v>5132</v>
      </c>
      <c r="F405" s="35">
        <v>46197</v>
      </c>
      <c r="G405" s="47">
        <v>69343.960000000006</v>
      </c>
      <c r="H405" s="37">
        <f t="shared" si="56"/>
        <v>38</v>
      </c>
      <c r="I405" s="37" t="str">
        <f t="shared" si="55"/>
        <v>1-90 DAYS</v>
      </c>
      <c r="J405" s="37" t="str">
        <f t="shared" si="57"/>
        <v>0-180 DAYS</v>
      </c>
      <c r="M405" s="158" t="s">
        <v>5246</v>
      </c>
      <c r="N405" s="158">
        <v>69343.960000000006</v>
      </c>
    </row>
    <row r="406" spans="1:14" x14ac:dyDescent="0.35">
      <c r="A406" t="s">
        <v>4333</v>
      </c>
      <c r="B406" t="s">
        <v>789</v>
      </c>
      <c r="C406" t="s">
        <v>125</v>
      </c>
      <c r="D406" t="s">
        <v>57</v>
      </c>
      <c r="E406" t="s">
        <v>5132</v>
      </c>
      <c r="F406" s="35">
        <v>46197</v>
      </c>
      <c r="G406" s="47">
        <v>355019.22</v>
      </c>
      <c r="H406" s="37">
        <f t="shared" si="56"/>
        <v>38</v>
      </c>
      <c r="I406" s="37" t="str">
        <f t="shared" si="55"/>
        <v>1-90 DAYS</v>
      </c>
      <c r="J406" s="37" t="str">
        <f t="shared" si="57"/>
        <v>0-180 DAYS</v>
      </c>
      <c r="M406" s="158" t="s">
        <v>5246</v>
      </c>
      <c r="N406" s="158">
        <v>355019.22</v>
      </c>
    </row>
    <row r="407" spans="1:14" x14ac:dyDescent="0.35">
      <c r="A407" t="s">
        <v>4333</v>
      </c>
      <c r="B407" t="s">
        <v>789</v>
      </c>
      <c r="C407" t="s">
        <v>125</v>
      </c>
      <c r="D407" t="s">
        <v>57</v>
      </c>
      <c r="E407" t="s">
        <v>5132</v>
      </c>
      <c r="F407" s="35">
        <v>46197</v>
      </c>
      <c r="G407" s="47">
        <v>64960.32</v>
      </c>
      <c r="H407" s="37">
        <f t="shared" si="56"/>
        <v>38</v>
      </c>
      <c r="I407" s="37" t="str">
        <f t="shared" si="55"/>
        <v>1-90 DAYS</v>
      </c>
      <c r="J407" s="37" t="str">
        <f t="shared" si="57"/>
        <v>0-180 DAYS</v>
      </c>
      <c r="M407" s="158" t="s">
        <v>5246</v>
      </c>
      <c r="N407" s="158">
        <v>64960.32</v>
      </c>
    </row>
    <row r="408" spans="1:14" x14ac:dyDescent="0.35">
      <c r="A408" t="s">
        <v>4333</v>
      </c>
      <c r="B408" t="s">
        <v>789</v>
      </c>
      <c r="C408" t="s">
        <v>125</v>
      </c>
      <c r="D408" t="s">
        <v>57</v>
      </c>
      <c r="E408" t="s">
        <v>5132</v>
      </c>
      <c r="F408" s="35">
        <v>46197</v>
      </c>
      <c r="G408" s="47">
        <v>44577.599999999999</v>
      </c>
      <c r="H408" s="37">
        <f t="shared" si="56"/>
        <v>38</v>
      </c>
      <c r="I408" s="37" t="str">
        <f t="shared" si="55"/>
        <v>1-90 DAYS</v>
      </c>
      <c r="J408" s="37" t="str">
        <f t="shared" si="57"/>
        <v>0-180 DAYS</v>
      </c>
      <c r="M408" s="158" t="s">
        <v>5246</v>
      </c>
      <c r="N408" s="158">
        <v>44577.599999999999</v>
      </c>
    </row>
    <row r="409" spans="1:14" x14ac:dyDescent="0.35">
      <c r="A409" t="s">
        <v>4333</v>
      </c>
      <c r="B409" t="s">
        <v>789</v>
      </c>
      <c r="C409" t="s">
        <v>125</v>
      </c>
      <c r="D409" t="s">
        <v>57</v>
      </c>
      <c r="E409" t="s">
        <v>5132</v>
      </c>
      <c r="F409" s="35">
        <v>46197</v>
      </c>
      <c r="G409" s="47">
        <v>4533.0200000000004</v>
      </c>
      <c r="H409" s="37">
        <f t="shared" si="56"/>
        <v>38</v>
      </c>
      <c r="I409" s="37" t="str">
        <f t="shared" si="55"/>
        <v>1-90 DAYS</v>
      </c>
      <c r="J409" s="37" t="str">
        <f t="shared" si="57"/>
        <v>0-180 DAYS</v>
      </c>
      <c r="M409" s="158" t="s">
        <v>5246</v>
      </c>
      <c r="N409" s="158">
        <v>4533.0200000000004</v>
      </c>
    </row>
    <row r="410" spans="1:14" x14ac:dyDescent="0.35">
      <c r="A410" t="s">
        <v>4333</v>
      </c>
      <c r="B410" t="s">
        <v>789</v>
      </c>
      <c r="C410" t="s">
        <v>125</v>
      </c>
      <c r="D410" t="s">
        <v>57</v>
      </c>
      <c r="E410" t="s">
        <v>5133</v>
      </c>
      <c r="F410" s="35">
        <v>46197</v>
      </c>
      <c r="G410" s="47">
        <v>94894.24</v>
      </c>
      <c r="H410" s="37">
        <f t="shared" si="56"/>
        <v>38</v>
      </c>
      <c r="I410" s="37" t="str">
        <f t="shared" si="55"/>
        <v>1-90 DAYS</v>
      </c>
      <c r="J410" s="37" t="str">
        <f t="shared" si="57"/>
        <v>0-180 DAYS</v>
      </c>
      <c r="M410" s="158" t="s">
        <v>5246</v>
      </c>
      <c r="N410" s="158">
        <v>94894.24</v>
      </c>
    </row>
    <row r="411" spans="1:14" x14ac:dyDescent="0.35">
      <c r="A411" t="s">
        <v>477</v>
      </c>
      <c r="B411" t="s">
        <v>790</v>
      </c>
      <c r="C411" t="s">
        <v>4780</v>
      </c>
      <c r="D411" t="s">
        <v>4783</v>
      </c>
      <c r="E411" t="s">
        <v>5134</v>
      </c>
      <c r="F411" s="35">
        <v>46198</v>
      </c>
      <c r="G411" s="47">
        <v>10400</v>
      </c>
      <c r="H411" s="37">
        <f t="shared" si="56"/>
        <v>37</v>
      </c>
      <c r="I411" s="37" t="str">
        <f t="shared" si="55"/>
        <v>1-90 DAYS</v>
      </c>
      <c r="J411" s="37" t="str">
        <f t="shared" si="57"/>
        <v>0-180 DAYS</v>
      </c>
      <c r="K411" t="s">
        <v>1730</v>
      </c>
      <c r="M411" s="158" t="s">
        <v>5247</v>
      </c>
      <c r="N411" s="158">
        <v>10400</v>
      </c>
    </row>
    <row r="412" spans="1:14" x14ac:dyDescent="0.35">
      <c r="A412" t="s">
        <v>1085</v>
      </c>
      <c r="B412" t="s">
        <v>790</v>
      </c>
      <c r="C412" t="s">
        <v>536</v>
      </c>
      <c r="D412" t="s">
        <v>507</v>
      </c>
      <c r="E412" t="s">
        <v>5135</v>
      </c>
      <c r="F412" s="35">
        <v>46198</v>
      </c>
      <c r="G412" s="47">
        <v>3969285.6</v>
      </c>
      <c r="H412" s="37">
        <f t="shared" si="56"/>
        <v>37</v>
      </c>
      <c r="I412" s="37" t="str">
        <f t="shared" ref="I412" si="58">IF(H412&lt;121,"0-120 DAYS",IF(H412&lt;181,"121-180 DAYS","More than 180 Days"))</f>
        <v>0-120 DAYS</v>
      </c>
      <c r="J412" s="37" t="str">
        <f t="shared" si="57"/>
        <v>0-180 DAYS</v>
      </c>
      <c r="K412" t="s">
        <v>1730</v>
      </c>
      <c r="M412" s="158" t="s">
        <v>5247</v>
      </c>
      <c r="N412" s="158">
        <v>3969285.6</v>
      </c>
    </row>
    <row r="413" spans="1:14" x14ac:dyDescent="0.35">
      <c r="A413" t="s">
        <v>4333</v>
      </c>
      <c r="B413" t="s">
        <v>789</v>
      </c>
      <c r="C413" t="s">
        <v>125</v>
      </c>
      <c r="D413" t="s">
        <v>57</v>
      </c>
      <c r="E413" t="s">
        <v>5136</v>
      </c>
      <c r="F413" s="35">
        <v>46198</v>
      </c>
      <c r="G413" s="47">
        <v>78302.2</v>
      </c>
      <c r="H413" s="37">
        <f t="shared" si="56"/>
        <v>37</v>
      </c>
      <c r="I413" s="37" t="str">
        <f>IF(H413&lt;91,"1-90 DAYS",IF(H413&lt;121,"91-120DAYS",IF(H413&lt;181,"121-180 DAYS","More than 180 Days")))</f>
        <v>1-90 DAYS</v>
      </c>
      <c r="J413" s="37" t="str">
        <f t="shared" si="57"/>
        <v>0-180 DAYS</v>
      </c>
      <c r="M413" s="158" t="s">
        <v>5247</v>
      </c>
      <c r="N413" s="158">
        <v>78302.2</v>
      </c>
    </row>
    <row r="414" spans="1:14" x14ac:dyDescent="0.35">
      <c r="A414" t="s">
        <v>477</v>
      </c>
      <c r="B414" t="s">
        <v>790</v>
      </c>
      <c r="C414" t="s">
        <v>4780</v>
      </c>
      <c r="D414" t="s">
        <v>4783</v>
      </c>
      <c r="E414" t="s">
        <v>5137</v>
      </c>
      <c r="F414" s="35">
        <v>46199</v>
      </c>
      <c r="G414" s="47">
        <v>13000</v>
      </c>
      <c r="H414" s="37">
        <f t="shared" si="56"/>
        <v>36</v>
      </c>
      <c r="I414" s="37" t="str">
        <f t="shared" ref="I414:I424" si="59">IF(H414&lt;91,"1-90 DAYS",IF(H414&lt;121,"91-120DAYS",IF(H414&lt;181,"121-180 DAYS","More than 180 Days")))</f>
        <v>1-90 DAYS</v>
      </c>
      <c r="J414" s="37" t="str">
        <f t="shared" si="57"/>
        <v>0-180 DAYS</v>
      </c>
      <c r="K414" t="s">
        <v>1730</v>
      </c>
      <c r="M414" s="158" t="s">
        <v>5248</v>
      </c>
      <c r="N414" s="158">
        <v>13000</v>
      </c>
    </row>
    <row r="415" spans="1:14" x14ac:dyDescent="0.35">
      <c r="A415" t="s">
        <v>477</v>
      </c>
      <c r="B415" t="s">
        <v>790</v>
      </c>
      <c r="C415" t="s">
        <v>4780</v>
      </c>
      <c r="D415" t="s">
        <v>4783</v>
      </c>
      <c r="E415" t="s">
        <v>5138</v>
      </c>
      <c r="F415" s="35">
        <v>46199</v>
      </c>
      <c r="G415" s="47">
        <v>221713.7</v>
      </c>
      <c r="H415" s="37">
        <f t="shared" si="56"/>
        <v>36</v>
      </c>
      <c r="I415" s="37" t="str">
        <f t="shared" si="59"/>
        <v>1-90 DAYS</v>
      </c>
      <c r="J415" s="37" t="str">
        <f t="shared" si="57"/>
        <v>0-180 DAYS</v>
      </c>
      <c r="K415" t="s">
        <v>1730</v>
      </c>
      <c r="M415" s="158" t="s">
        <v>5248</v>
      </c>
      <c r="N415" s="158">
        <v>221713.7</v>
      </c>
    </row>
    <row r="416" spans="1:14" x14ac:dyDescent="0.35">
      <c r="A416" t="s">
        <v>4333</v>
      </c>
      <c r="B416" t="s">
        <v>789</v>
      </c>
      <c r="C416" t="s">
        <v>125</v>
      </c>
      <c r="D416" t="s">
        <v>57</v>
      </c>
      <c r="E416" t="s">
        <v>5139</v>
      </c>
      <c r="F416" s="35">
        <v>46199</v>
      </c>
      <c r="G416" s="47">
        <v>2640</v>
      </c>
      <c r="H416" s="37">
        <f t="shared" si="56"/>
        <v>36</v>
      </c>
      <c r="I416" s="37" t="str">
        <f t="shared" si="59"/>
        <v>1-90 DAYS</v>
      </c>
      <c r="J416" s="37" t="str">
        <f t="shared" si="57"/>
        <v>0-180 DAYS</v>
      </c>
      <c r="M416" s="158" t="s">
        <v>5248</v>
      </c>
      <c r="N416" s="158">
        <v>2640</v>
      </c>
    </row>
    <row r="417" spans="1:14" x14ac:dyDescent="0.35">
      <c r="A417" t="s">
        <v>4333</v>
      </c>
      <c r="B417" t="s">
        <v>789</v>
      </c>
      <c r="C417" t="s">
        <v>125</v>
      </c>
      <c r="D417" t="s">
        <v>57</v>
      </c>
      <c r="E417" t="s">
        <v>5140</v>
      </c>
      <c r="F417" s="35">
        <v>46199</v>
      </c>
      <c r="G417" s="47">
        <v>56676.59</v>
      </c>
      <c r="H417" s="37">
        <f t="shared" si="56"/>
        <v>36</v>
      </c>
      <c r="I417" s="37" t="str">
        <f t="shared" si="59"/>
        <v>1-90 DAYS</v>
      </c>
      <c r="J417" s="37" t="str">
        <f t="shared" si="57"/>
        <v>0-180 DAYS</v>
      </c>
      <c r="M417" s="158" t="s">
        <v>5248</v>
      </c>
      <c r="N417" s="158">
        <v>56676.59</v>
      </c>
    </row>
    <row r="418" spans="1:14" x14ac:dyDescent="0.35">
      <c r="A418" t="s">
        <v>4333</v>
      </c>
      <c r="B418" t="s">
        <v>789</v>
      </c>
      <c r="C418" t="s">
        <v>125</v>
      </c>
      <c r="D418" t="s">
        <v>57</v>
      </c>
      <c r="E418" t="s">
        <v>5140</v>
      </c>
      <c r="F418" s="35">
        <v>46199</v>
      </c>
      <c r="G418" s="47">
        <v>163462.35</v>
      </c>
      <c r="H418" s="37">
        <f t="shared" si="56"/>
        <v>36</v>
      </c>
      <c r="I418" s="37" t="str">
        <f t="shared" si="59"/>
        <v>1-90 DAYS</v>
      </c>
      <c r="J418" s="37" t="str">
        <f t="shared" si="57"/>
        <v>0-180 DAYS</v>
      </c>
      <c r="M418" s="158" t="s">
        <v>5248</v>
      </c>
      <c r="N418" s="158">
        <v>163462.35</v>
      </c>
    </row>
    <row r="419" spans="1:14" x14ac:dyDescent="0.35">
      <c r="A419" t="s">
        <v>4333</v>
      </c>
      <c r="B419" t="s">
        <v>789</v>
      </c>
      <c r="C419" t="s">
        <v>125</v>
      </c>
      <c r="D419" t="s">
        <v>57</v>
      </c>
      <c r="E419" t="s">
        <v>5140</v>
      </c>
      <c r="F419" s="35">
        <v>46199</v>
      </c>
      <c r="G419" s="47">
        <v>171017.64</v>
      </c>
      <c r="H419" s="37">
        <f t="shared" si="56"/>
        <v>36</v>
      </c>
      <c r="I419" s="37" t="str">
        <f t="shared" si="59"/>
        <v>1-90 DAYS</v>
      </c>
      <c r="J419" s="37" t="str">
        <f t="shared" si="57"/>
        <v>0-180 DAYS</v>
      </c>
      <c r="M419" s="158" t="s">
        <v>5248</v>
      </c>
      <c r="N419" s="158">
        <v>171017.64</v>
      </c>
    </row>
    <row r="420" spans="1:14" x14ac:dyDescent="0.35">
      <c r="A420" t="s">
        <v>4333</v>
      </c>
      <c r="B420" t="s">
        <v>789</v>
      </c>
      <c r="C420" t="s">
        <v>125</v>
      </c>
      <c r="D420" t="s">
        <v>57</v>
      </c>
      <c r="E420" t="s">
        <v>5140</v>
      </c>
      <c r="F420" s="35">
        <v>46199</v>
      </c>
      <c r="G420" s="47">
        <v>67423.179999999993</v>
      </c>
      <c r="H420" s="37">
        <f t="shared" si="56"/>
        <v>36</v>
      </c>
      <c r="I420" s="37" t="str">
        <f t="shared" si="59"/>
        <v>1-90 DAYS</v>
      </c>
      <c r="J420" s="37" t="str">
        <f t="shared" si="57"/>
        <v>0-180 DAYS</v>
      </c>
      <c r="M420" s="158" t="s">
        <v>5248</v>
      </c>
      <c r="N420" s="158">
        <v>67423.179999999993</v>
      </c>
    </row>
    <row r="421" spans="1:14" x14ac:dyDescent="0.35">
      <c r="A421" t="s">
        <v>4333</v>
      </c>
      <c r="B421" t="s">
        <v>789</v>
      </c>
      <c r="C421" t="s">
        <v>125</v>
      </c>
      <c r="D421" t="s">
        <v>57</v>
      </c>
      <c r="E421" t="s">
        <v>5140</v>
      </c>
      <c r="F421" s="35">
        <v>46199</v>
      </c>
      <c r="G421" s="47">
        <v>9805.1299999999992</v>
      </c>
      <c r="H421" s="37">
        <f t="shared" si="56"/>
        <v>36</v>
      </c>
      <c r="I421" s="37" t="str">
        <f t="shared" si="59"/>
        <v>1-90 DAYS</v>
      </c>
      <c r="J421" s="37" t="str">
        <f t="shared" si="57"/>
        <v>0-180 DAYS</v>
      </c>
      <c r="M421" s="158" t="s">
        <v>5248</v>
      </c>
      <c r="N421" s="158">
        <v>9805.1299999999992</v>
      </c>
    </row>
    <row r="422" spans="1:14" x14ac:dyDescent="0.35">
      <c r="A422" t="s">
        <v>4333</v>
      </c>
      <c r="B422" t="s">
        <v>789</v>
      </c>
      <c r="C422" t="s">
        <v>125</v>
      </c>
      <c r="D422" t="s">
        <v>57</v>
      </c>
      <c r="E422" t="s">
        <v>5140</v>
      </c>
      <c r="F422" s="35">
        <v>46199</v>
      </c>
      <c r="G422" s="47">
        <v>170491.96</v>
      </c>
      <c r="H422" s="37">
        <f t="shared" si="56"/>
        <v>36</v>
      </c>
      <c r="I422" s="37" t="str">
        <f t="shared" si="59"/>
        <v>1-90 DAYS</v>
      </c>
      <c r="J422" s="37" t="str">
        <f t="shared" si="57"/>
        <v>0-180 DAYS</v>
      </c>
      <c r="M422" s="158" t="s">
        <v>5248</v>
      </c>
      <c r="N422" s="158">
        <v>170491.96</v>
      </c>
    </row>
    <row r="423" spans="1:14" x14ac:dyDescent="0.35">
      <c r="A423" t="s">
        <v>4333</v>
      </c>
      <c r="B423" t="s">
        <v>789</v>
      </c>
      <c r="C423" t="s">
        <v>125</v>
      </c>
      <c r="D423" t="s">
        <v>57</v>
      </c>
      <c r="E423" t="s">
        <v>5140</v>
      </c>
      <c r="F423" s="35">
        <v>46199</v>
      </c>
      <c r="G423" s="47">
        <v>452.88</v>
      </c>
      <c r="H423" s="37">
        <f t="shared" si="56"/>
        <v>36</v>
      </c>
      <c r="I423" s="37" t="str">
        <f t="shared" si="59"/>
        <v>1-90 DAYS</v>
      </c>
      <c r="J423" s="37" t="str">
        <f t="shared" si="57"/>
        <v>0-180 DAYS</v>
      </c>
      <c r="M423" s="158" t="s">
        <v>5248</v>
      </c>
      <c r="N423" s="158">
        <v>452.88</v>
      </c>
    </row>
    <row r="424" spans="1:14" x14ac:dyDescent="0.35">
      <c r="A424" t="s">
        <v>4333</v>
      </c>
      <c r="B424" t="s">
        <v>789</v>
      </c>
      <c r="C424" t="s">
        <v>125</v>
      </c>
      <c r="D424" t="s">
        <v>57</v>
      </c>
      <c r="E424" t="s">
        <v>5141</v>
      </c>
      <c r="F424" s="35">
        <v>46199</v>
      </c>
      <c r="G424" s="47">
        <v>17000</v>
      </c>
      <c r="H424" s="37">
        <f t="shared" si="56"/>
        <v>36</v>
      </c>
      <c r="I424" s="37" t="str">
        <f t="shared" si="59"/>
        <v>1-90 DAYS</v>
      </c>
      <c r="J424" s="37" t="str">
        <f t="shared" si="57"/>
        <v>0-180 DAYS</v>
      </c>
      <c r="M424" s="158" t="s">
        <v>5248</v>
      </c>
      <c r="N424" s="158">
        <v>17000</v>
      </c>
    </row>
    <row r="425" spans="1:14" x14ac:dyDescent="0.35">
      <c r="A425" t="s">
        <v>1085</v>
      </c>
      <c r="B425" t="s">
        <v>790</v>
      </c>
      <c r="C425" t="s">
        <v>1086</v>
      </c>
      <c r="D425" t="s">
        <v>507</v>
      </c>
      <c r="E425" t="s">
        <v>5142</v>
      </c>
      <c r="F425" s="35">
        <v>46200</v>
      </c>
      <c r="G425" s="47">
        <v>1413668.88</v>
      </c>
      <c r="H425" s="37">
        <f t="shared" si="56"/>
        <v>35</v>
      </c>
      <c r="I425" s="37" t="str">
        <f t="shared" ref="I425:I427" si="60">IF(H425&lt;121,"0-120 DAYS",IF(H425&lt;181,"121-180 DAYS","More than 180 Days"))</f>
        <v>0-120 DAYS</v>
      </c>
      <c r="J425" s="37" t="str">
        <f t="shared" si="57"/>
        <v>0-180 DAYS</v>
      </c>
      <c r="K425" t="s">
        <v>1730</v>
      </c>
      <c r="M425" s="158" t="s">
        <v>5249</v>
      </c>
      <c r="N425" s="158">
        <v>1413668.88</v>
      </c>
    </row>
    <row r="426" spans="1:14" x14ac:dyDescent="0.35">
      <c r="A426" t="s">
        <v>1085</v>
      </c>
      <c r="B426" t="s">
        <v>790</v>
      </c>
      <c r="C426" t="s">
        <v>1086</v>
      </c>
      <c r="D426" t="s">
        <v>507</v>
      </c>
      <c r="E426" t="s">
        <v>5143</v>
      </c>
      <c r="F426" s="35">
        <v>46200</v>
      </c>
      <c r="G426" s="47">
        <v>1333719.504</v>
      </c>
      <c r="H426" s="37">
        <f t="shared" si="56"/>
        <v>35</v>
      </c>
      <c r="I426" s="37" t="str">
        <f t="shared" si="60"/>
        <v>0-120 DAYS</v>
      </c>
      <c r="J426" s="37" t="str">
        <f t="shared" si="57"/>
        <v>0-180 DAYS</v>
      </c>
      <c r="K426" t="s">
        <v>1730</v>
      </c>
      <c r="M426" s="158" t="s">
        <v>5249</v>
      </c>
      <c r="N426" s="158">
        <v>1333719.5</v>
      </c>
    </row>
    <row r="427" spans="1:14" x14ac:dyDescent="0.35">
      <c r="A427" t="s">
        <v>1085</v>
      </c>
      <c r="B427" t="s">
        <v>790</v>
      </c>
      <c r="C427" t="s">
        <v>1086</v>
      </c>
      <c r="D427" t="s">
        <v>507</v>
      </c>
      <c r="E427" t="s">
        <v>5144</v>
      </c>
      <c r="F427" s="35">
        <v>46200</v>
      </c>
      <c r="G427" s="47">
        <v>812211.19200000004</v>
      </c>
      <c r="H427" s="37">
        <f t="shared" si="56"/>
        <v>35</v>
      </c>
      <c r="I427" s="37" t="str">
        <f t="shared" si="60"/>
        <v>0-120 DAYS</v>
      </c>
      <c r="J427" s="37" t="str">
        <f t="shared" si="57"/>
        <v>0-180 DAYS</v>
      </c>
      <c r="K427" t="s">
        <v>1730</v>
      </c>
      <c r="M427" s="158" t="s">
        <v>5249</v>
      </c>
      <c r="N427" s="158">
        <v>812211.19</v>
      </c>
    </row>
    <row r="428" spans="1:14" x14ac:dyDescent="0.35">
      <c r="A428" t="s">
        <v>4333</v>
      </c>
      <c r="B428" t="s">
        <v>789</v>
      </c>
      <c r="C428" t="s">
        <v>125</v>
      </c>
      <c r="D428" t="s">
        <v>57</v>
      </c>
      <c r="E428" t="s">
        <v>5145</v>
      </c>
      <c r="F428" s="35">
        <v>46200</v>
      </c>
      <c r="G428" s="47">
        <v>624</v>
      </c>
      <c r="H428" s="37">
        <f t="shared" si="56"/>
        <v>35</v>
      </c>
      <c r="I428" s="37" t="str">
        <f t="shared" ref="I428:I459" si="61">IF(H428&lt;91,"1-90 DAYS",IF(H428&lt;121,"91-120DAYS",IF(H428&lt;181,"121-180 DAYS","More than 180 Days")))</f>
        <v>1-90 DAYS</v>
      </c>
      <c r="J428" s="37" t="str">
        <f t="shared" si="57"/>
        <v>0-180 DAYS</v>
      </c>
      <c r="M428" s="158" t="s">
        <v>5249</v>
      </c>
      <c r="N428" s="158">
        <v>624</v>
      </c>
    </row>
    <row r="429" spans="1:14" x14ac:dyDescent="0.35">
      <c r="A429" t="s">
        <v>4333</v>
      </c>
      <c r="B429" t="s">
        <v>789</v>
      </c>
      <c r="C429" t="s">
        <v>125</v>
      </c>
      <c r="D429" t="s">
        <v>57</v>
      </c>
      <c r="E429" t="s">
        <v>5146</v>
      </c>
      <c r="F429" s="35">
        <v>46200</v>
      </c>
      <c r="G429" s="47">
        <v>53439.25</v>
      </c>
      <c r="H429" s="37">
        <f t="shared" si="56"/>
        <v>35</v>
      </c>
      <c r="I429" s="37" t="str">
        <f t="shared" si="61"/>
        <v>1-90 DAYS</v>
      </c>
      <c r="J429" s="37" t="str">
        <f t="shared" si="57"/>
        <v>0-180 DAYS</v>
      </c>
      <c r="M429" s="158" t="s">
        <v>5249</v>
      </c>
      <c r="N429" s="158">
        <v>53439.25</v>
      </c>
    </row>
    <row r="430" spans="1:14" x14ac:dyDescent="0.35">
      <c r="A430" t="s">
        <v>4333</v>
      </c>
      <c r="B430" t="s">
        <v>789</v>
      </c>
      <c r="C430" t="s">
        <v>125</v>
      </c>
      <c r="D430" t="s">
        <v>57</v>
      </c>
      <c r="E430" t="s">
        <v>5146</v>
      </c>
      <c r="F430" s="35">
        <v>46200</v>
      </c>
      <c r="G430" s="47">
        <v>40776.239999999998</v>
      </c>
      <c r="H430" s="37">
        <f t="shared" si="56"/>
        <v>35</v>
      </c>
      <c r="I430" s="37" t="str">
        <f t="shared" si="61"/>
        <v>1-90 DAYS</v>
      </c>
      <c r="J430" s="37" t="str">
        <f t="shared" si="57"/>
        <v>0-180 DAYS</v>
      </c>
      <c r="M430" s="158" t="s">
        <v>5249</v>
      </c>
      <c r="N430" s="158">
        <v>40776.239999999998</v>
      </c>
    </row>
    <row r="431" spans="1:14" x14ac:dyDescent="0.35">
      <c r="A431" t="s">
        <v>4333</v>
      </c>
      <c r="B431" t="s">
        <v>789</v>
      </c>
      <c r="C431" t="s">
        <v>125</v>
      </c>
      <c r="D431" t="s">
        <v>57</v>
      </c>
      <c r="E431" t="s">
        <v>5146</v>
      </c>
      <c r="F431" s="35">
        <v>46200</v>
      </c>
      <c r="G431" s="47">
        <v>4549.45</v>
      </c>
      <c r="H431" s="37">
        <f t="shared" si="56"/>
        <v>35</v>
      </c>
      <c r="I431" s="37" t="str">
        <f t="shared" si="61"/>
        <v>1-90 DAYS</v>
      </c>
      <c r="J431" s="37" t="str">
        <f t="shared" si="57"/>
        <v>0-180 DAYS</v>
      </c>
      <c r="M431" s="158" t="s">
        <v>5249</v>
      </c>
      <c r="N431" s="158">
        <v>4549.45</v>
      </c>
    </row>
    <row r="432" spans="1:14" x14ac:dyDescent="0.35">
      <c r="A432" t="s">
        <v>4333</v>
      </c>
      <c r="B432" t="s">
        <v>789</v>
      </c>
      <c r="C432" t="s">
        <v>125</v>
      </c>
      <c r="D432" t="s">
        <v>57</v>
      </c>
      <c r="E432" t="s">
        <v>5146</v>
      </c>
      <c r="F432" s="35">
        <v>46200</v>
      </c>
      <c r="G432" s="47">
        <v>46898.57</v>
      </c>
      <c r="H432" s="37">
        <f t="shared" si="56"/>
        <v>35</v>
      </c>
      <c r="I432" s="37" t="str">
        <f t="shared" si="61"/>
        <v>1-90 DAYS</v>
      </c>
      <c r="J432" s="37" t="str">
        <f t="shared" si="57"/>
        <v>0-180 DAYS</v>
      </c>
      <c r="M432" s="158" t="s">
        <v>5249</v>
      </c>
      <c r="N432" s="158">
        <v>46898.57</v>
      </c>
    </row>
    <row r="433" spans="1:14" x14ac:dyDescent="0.35">
      <c r="A433" t="s">
        <v>4333</v>
      </c>
      <c r="B433" t="s">
        <v>789</v>
      </c>
      <c r="C433" t="s">
        <v>125</v>
      </c>
      <c r="D433" t="s">
        <v>57</v>
      </c>
      <c r="E433" t="s">
        <v>5146</v>
      </c>
      <c r="F433" s="35">
        <v>46200</v>
      </c>
      <c r="G433" s="47">
        <v>64654.84</v>
      </c>
      <c r="H433" s="37">
        <f t="shared" si="56"/>
        <v>35</v>
      </c>
      <c r="I433" s="37" t="str">
        <f t="shared" si="61"/>
        <v>1-90 DAYS</v>
      </c>
      <c r="J433" s="37" t="str">
        <f t="shared" si="57"/>
        <v>0-180 DAYS</v>
      </c>
      <c r="M433" s="158" t="s">
        <v>5249</v>
      </c>
      <c r="N433" s="158">
        <v>64654.84</v>
      </c>
    </row>
    <row r="434" spans="1:14" x14ac:dyDescent="0.35">
      <c r="A434" t="s">
        <v>4333</v>
      </c>
      <c r="B434" t="s">
        <v>789</v>
      </c>
      <c r="C434" t="s">
        <v>125</v>
      </c>
      <c r="D434" t="s">
        <v>57</v>
      </c>
      <c r="E434" t="s">
        <v>5147</v>
      </c>
      <c r="F434" s="35">
        <v>46201</v>
      </c>
      <c r="G434" s="47">
        <v>400818.62</v>
      </c>
      <c r="H434" s="37">
        <f t="shared" si="56"/>
        <v>34</v>
      </c>
      <c r="I434" s="37" t="str">
        <f t="shared" si="61"/>
        <v>1-90 DAYS</v>
      </c>
      <c r="J434" s="37" t="str">
        <f t="shared" si="57"/>
        <v>0-180 DAYS</v>
      </c>
      <c r="M434" s="158" t="s">
        <v>5250</v>
      </c>
      <c r="N434" s="158">
        <v>400818.62</v>
      </c>
    </row>
    <row r="435" spans="1:14" x14ac:dyDescent="0.35">
      <c r="A435" t="s">
        <v>4333</v>
      </c>
      <c r="B435" t="s">
        <v>789</v>
      </c>
      <c r="C435" t="s">
        <v>125</v>
      </c>
      <c r="D435" t="s">
        <v>57</v>
      </c>
      <c r="E435" t="s">
        <v>5147</v>
      </c>
      <c r="F435" s="35">
        <v>46201</v>
      </c>
      <c r="G435" s="47">
        <v>39830.839999999997</v>
      </c>
      <c r="H435" s="37">
        <f t="shared" si="56"/>
        <v>34</v>
      </c>
      <c r="I435" s="37" t="str">
        <f t="shared" si="61"/>
        <v>1-90 DAYS</v>
      </c>
      <c r="J435" s="37" t="str">
        <f t="shared" si="57"/>
        <v>0-180 DAYS</v>
      </c>
      <c r="M435" s="158" t="s">
        <v>5250</v>
      </c>
      <c r="N435" s="158">
        <v>39830.839999999997</v>
      </c>
    </row>
    <row r="436" spans="1:14" x14ac:dyDescent="0.35">
      <c r="A436" t="s">
        <v>4333</v>
      </c>
      <c r="B436" t="s">
        <v>789</v>
      </c>
      <c r="C436" t="s">
        <v>125</v>
      </c>
      <c r="D436" t="s">
        <v>57</v>
      </c>
      <c r="E436" t="s">
        <v>5148</v>
      </c>
      <c r="F436" s="35">
        <v>46201</v>
      </c>
      <c r="G436" s="47">
        <v>3840</v>
      </c>
      <c r="H436" s="37">
        <f t="shared" si="56"/>
        <v>34</v>
      </c>
      <c r="I436" s="37" t="str">
        <f t="shared" si="61"/>
        <v>1-90 DAYS</v>
      </c>
      <c r="J436" s="37" t="str">
        <f t="shared" si="57"/>
        <v>0-180 DAYS</v>
      </c>
      <c r="M436" s="158" t="s">
        <v>5250</v>
      </c>
      <c r="N436" s="158">
        <v>3840</v>
      </c>
    </row>
    <row r="437" spans="1:14" x14ac:dyDescent="0.35">
      <c r="A437" t="s">
        <v>4333</v>
      </c>
      <c r="B437" t="s">
        <v>789</v>
      </c>
      <c r="C437" t="s">
        <v>125</v>
      </c>
      <c r="D437" t="s">
        <v>57</v>
      </c>
      <c r="E437" t="s">
        <v>5149</v>
      </c>
      <c r="F437" s="35">
        <v>46201</v>
      </c>
      <c r="G437" s="47">
        <v>4303.09</v>
      </c>
      <c r="H437" s="37">
        <f t="shared" si="56"/>
        <v>34</v>
      </c>
      <c r="I437" s="37" t="str">
        <f t="shared" si="61"/>
        <v>1-90 DAYS</v>
      </c>
      <c r="J437" s="37" t="str">
        <f t="shared" si="57"/>
        <v>0-180 DAYS</v>
      </c>
      <c r="M437" s="158" t="s">
        <v>5250</v>
      </c>
      <c r="N437" s="158">
        <v>4303.09</v>
      </c>
    </row>
    <row r="438" spans="1:14" x14ac:dyDescent="0.35">
      <c r="A438" t="s">
        <v>4333</v>
      </c>
      <c r="B438" t="s">
        <v>789</v>
      </c>
      <c r="C438" t="s">
        <v>125</v>
      </c>
      <c r="D438" t="s">
        <v>57</v>
      </c>
      <c r="E438" t="s">
        <v>5149</v>
      </c>
      <c r="F438" s="35">
        <v>46201</v>
      </c>
      <c r="G438" s="47">
        <v>80005.210000000006</v>
      </c>
      <c r="H438" s="37">
        <f t="shared" si="56"/>
        <v>34</v>
      </c>
      <c r="I438" s="37" t="str">
        <f t="shared" si="61"/>
        <v>1-90 DAYS</v>
      </c>
      <c r="J438" s="37" t="str">
        <f t="shared" si="57"/>
        <v>0-180 DAYS</v>
      </c>
      <c r="M438" s="158" t="s">
        <v>5250</v>
      </c>
      <c r="N438" s="158">
        <v>80005.210000000006</v>
      </c>
    </row>
    <row r="439" spans="1:14" x14ac:dyDescent="0.35">
      <c r="A439" t="s">
        <v>4333</v>
      </c>
      <c r="B439" t="s">
        <v>789</v>
      </c>
      <c r="C439" t="s">
        <v>125</v>
      </c>
      <c r="D439" t="s">
        <v>57</v>
      </c>
      <c r="E439" t="s">
        <v>5149</v>
      </c>
      <c r="F439" s="35">
        <v>46201</v>
      </c>
      <c r="G439" s="47">
        <v>45910.28</v>
      </c>
      <c r="H439" s="37">
        <f t="shared" si="56"/>
        <v>34</v>
      </c>
      <c r="I439" s="37" t="str">
        <f t="shared" si="61"/>
        <v>1-90 DAYS</v>
      </c>
      <c r="J439" s="37" t="str">
        <f t="shared" si="57"/>
        <v>0-180 DAYS</v>
      </c>
      <c r="M439" s="158" t="s">
        <v>5250</v>
      </c>
      <c r="N439" s="158">
        <v>45910.28</v>
      </c>
    </row>
    <row r="440" spans="1:14" x14ac:dyDescent="0.35">
      <c r="A440" t="s">
        <v>4333</v>
      </c>
      <c r="B440" t="s">
        <v>789</v>
      </c>
      <c r="C440" t="s">
        <v>125</v>
      </c>
      <c r="D440" t="s">
        <v>57</v>
      </c>
      <c r="E440" t="s">
        <v>5149</v>
      </c>
      <c r="F440" s="35">
        <v>46201</v>
      </c>
      <c r="G440" s="47">
        <v>399262.36</v>
      </c>
      <c r="H440" s="37">
        <f t="shared" si="56"/>
        <v>34</v>
      </c>
      <c r="I440" s="37" t="str">
        <f t="shared" si="61"/>
        <v>1-90 DAYS</v>
      </c>
      <c r="J440" s="37" t="str">
        <f t="shared" si="57"/>
        <v>0-180 DAYS</v>
      </c>
      <c r="M440" s="158" t="s">
        <v>5250</v>
      </c>
      <c r="N440" s="158">
        <v>399262.36</v>
      </c>
    </row>
    <row r="441" spans="1:14" x14ac:dyDescent="0.35">
      <c r="A441" t="s">
        <v>4333</v>
      </c>
      <c r="B441" t="s">
        <v>789</v>
      </c>
      <c r="C441" t="s">
        <v>125</v>
      </c>
      <c r="D441" t="s">
        <v>57</v>
      </c>
      <c r="E441" t="s">
        <v>5150</v>
      </c>
      <c r="F441" s="35">
        <v>46201</v>
      </c>
      <c r="G441" s="47">
        <v>36000</v>
      </c>
      <c r="H441" s="37">
        <f t="shared" si="56"/>
        <v>34</v>
      </c>
      <c r="I441" s="37" t="str">
        <f t="shared" si="61"/>
        <v>1-90 DAYS</v>
      </c>
      <c r="J441" s="37" t="str">
        <f t="shared" si="57"/>
        <v>0-180 DAYS</v>
      </c>
      <c r="M441" s="158" t="s">
        <v>5250</v>
      </c>
      <c r="N441" s="158">
        <v>36000</v>
      </c>
    </row>
    <row r="442" spans="1:14" x14ac:dyDescent="0.35">
      <c r="A442" t="s">
        <v>477</v>
      </c>
      <c r="B442" t="s">
        <v>790</v>
      </c>
      <c r="C442" t="s">
        <v>1196</v>
      </c>
      <c r="D442" t="s">
        <v>1208</v>
      </c>
      <c r="E442" t="s">
        <v>5151</v>
      </c>
      <c r="F442" s="35">
        <v>46201</v>
      </c>
      <c r="G442" s="47">
        <v>1999800</v>
      </c>
      <c r="H442" s="37">
        <f t="shared" si="56"/>
        <v>34</v>
      </c>
      <c r="I442" s="37" t="str">
        <f t="shared" si="61"/>
        <v>1-90 DAYS</v>
      </c>
      <c r="J442" s="37" t="str">
        <f t="shared" si="57"/>
        <v>0-180 DAYS</v>
      </c>
      <c r="K442" t="s">
        <v>1730</v>
      </c>
      <c r="M442" s="158" t="s">
        <v>5250</v>
      </c>
      <c r="N442" s="158">
        <v>1999800</v>
      </c>
    </row>
    <row r="443" spans="1:14" x14ac:dyDescent="0.35">
      <c r="A443" t="s">
        <v>4333</v>
      </c>
      <c r="B443" t="s">
        <v>789</v>
      </c>
      <c r="C443" t="s">
        <v>125</v>
      </c>
      <c r="D443" t="s">
        <v>57</v>
      </c>
      <c r="E443" t="s">
        <v>5153</v>
      </c>
      <c r="F443" s="35">
        <v>46202</v>
      </c>
      <c r="G443" s="47">
        <v>1104</v>
      </c>
      <c r="H443" s="37">
        <f t="shared" si="56"/>
        <v>33</v>
      </c>
      <c r="I443" s="37" t="str">
        <f t="shared" si="61"/>
        <v>1-90 DAYS</v>
      </c>
      <c r="J443" s="37" t="str">
        <f t="shared" si="57"/>
        <v>0-180 DAYS</v>
      </c>
      <c r="M443" s="158" t="s">
        <v>5251</v>
      </c>
      <c r="N443" s="158">
        <v>1104</v>
      </c>
    </row>
    <row r="444" spans="1:14" x14ac:dyDescent="0.35">
      <c r="A444" t="s">
        <v>4333</v>
      </c>
      <c r="B444" t="s">
        <v>789</v>
      </c>
      <c r="C444" t="s">
        <v>125</v>
      </c>
      <c r="D444" t="s">
        <v>57</v>
      </c>
      <c r="E444" t="s">
        <v>5154</v>
      </c>
      <c r="F444" s="35">
        <v>46202</v>
      </c>
      <c r="G444" s="47">
        <v>565369.15</v>
      </c>
      <c r="H444" s="37">
        <f t="shared" si="56"/>
        <v>33</v>
      </c>
      <c r="I444" s="37" t="str">
        <f t="shared" si="61"/>
        <v>1-90 DAYS</v>
      </c>
      <c r="J444" s="37" t="str">
        <f t="shared" si="57"/>
        <v>0-180 DAYS</v>
      </c>
      <c r="M444" s="158" t="s">
        <v>5251</v>
      </c>
      <c r="N444" s="158">
        <v>565369.15</v>
      </c>
    </row>
    <row r="445" spans="1:14" x14ac:dyDescent="0.35">
      <c r="A445" t="s">
        <v>4333</v>
      </c>
      <c r="B445" t="s">
        <v>789</v>
      </c>
      <c r="C445" t="s">
        <v>125</v>
      </c>
      <c r="D445" t="s">
        <v>57</v>
      </c>
      <c r="E445" t="s">
        <v>5154</v>
      </c>
      <c r="F445" s="35">
        <v>46202</v>
      </c>
      <c r="G445" s="47">
        <v>80188.5</v>
      </c>
      <c r="H445" s="37">
        <f t="shared" si="56"/>
        <v>33</v>
      </c>
      <c r="I445" s="37" t="str">
        <f t="shared" si="61"/>
        <v>1-90 DAYS</v>
      </c>
      <c r="J445" s="37" t="str">
        <f t="shared" si="57"/>
        <v>0-180 DAYS</v>
      </c>
      <c r="M445" s="158" t="s">
        <v>5251</v>
      </c>
      <c r="N445" s="158">
        <v>80188.5</v>
      </c>
    </row>
    <row r="446" spans="1:14" x14ac:dyDescent="0.35">
      <c r="A446" t="s">
        <v>4333</v>
      </c>
      <c r="B446" t="s">
        <v>789</v>
      </c>
      <c r="C446" t="s">
        <v>125</v>
      </c>
      <c r="D446" t="s">
        <v>57</v>
      </c>
      <c r="E446" t="s">
        <v>5154</v>
      </c>
      <c r="F446" s="35">
        <v>46202</v>
      </c>
      <c r="G446" s="47">
        <v>4319.51</v>
      </c>
      <c r="H446" s="37">
        <f t="shared" si="56"/>
        <v>33</v>
      </c>
      <c r="I446" s="37" t="str">
        <f t="shared" si="61"/>
        <v>1-90 DAYS</v>
      </c>
      <c r="J446" s="37" t="str">
        <f t="shared" si="57"/>
        <v>0-180 DAYS</v>
      </c>
      <c r="M446" s="158" t="s">
        <v>5251</v>
      </c>
      <c r="N446" s="158">
        <v>4319.51</v>
      </c>
    </row>
    <row r="447" spans="1:14" x14ac:dyDescent="0.35">
      <c r="A447" t="s">
        <v>4333</v>
      </c>
      <c r="B447" t="s">
        <v>789</v>
      </c>
      <c r="C447" t="s">
        <v>125</v>
      </c>
      <c r="D447" t="s">
        <v>57</v>
      </c>
      <c r="E447" t="s">
        <v>5154</v>
      </c>
      <c r="F447" s="35">
        <v>46202</v>
      </c>
      <c r="G447" s="47">
        <v>78598.53</v>
      </c>
      <c r="H447" s="37">
        <f t="shared" si="56"/>
        <v>33</v>
      </c>
      <c r="I447" s="37" t="str">
        <f t="shared" si="61"/>
        <v>1-90 DAYS</v>
      </c>
      <c r="J447" s="37" t="str">
        <f t="shared" si="57"/>
        <v>0-180 DAYS</v>
      </c>
      <c r="M447" s="158" t="s">
        <v>5251</v>
      </c>
      <c r="N447" s="158">
        <v>78598.53</v>
      </c>
    </row>
    <row r="448" spans="1:14" x14ac:dyDescent="0.35">
      <c r="A448" t="s">
        <v>4333</v>
      </c>
      <c r="B448" t="s">
        <v>789</v>
      </c>
      <c r="C448" t="s">
        <v>125</v>
      </c>
      <c r="D448" t="s">
        <v>57</v>
      </c>
      <c r="E448" t="s">
        <v>5154</v>
      </c>
      <c r="F448" s="35">
        <v>46202</v>
      </c>
      <c r="G448" s="47">
        <v>36229.93</v>
      </c>
      <c r="H448" s="37">
        <f t="shared" si="56"/>
        <v>33</v>
      </c>
      <c r="I448" s="37" t="str">
        <f t="shared" si="61"/>
        <v>1-90 DAYS</v>
      </c>
      <c r="J448" s="37" t="str">
        <f t="shared" si="57"/>
        <v>0-180 DAYS</v>
      </c>
      <c r="M448" s="158" t="s">
        <v>5251</v>
      </c>
      <c r="N448" s="158">
        <v>36229.93</v>
      </c>
    </row>
    <row r="449" spans="1:14" x14ac:dyDescent="0.35">
      <c r="A449" t="s">
        <v>477</v>
      </c>
      <c r="B449" t="s">
        <v>790</v>
      </c>
      <c r="C449" t="s">
        <v>4460</v>
      </c>
      <c r="D449" t="s">
        <v>4538</v>
      </c>
      <c r="E449" t="s">
        <v>5155</v>
      </c>
      <c r="F449" s="35">
        <v>46203</v>
      </c>
      <c r="G449" s="47">
        <v>2190000</v>
      </c>
      <c r="H449" s="37">
        <f t="shared" si="56"/>
        <v>32</v>
      </c>
      <c r="I449" s="37" t="str">
        <f t="shared" si="61"/>
        <v>1-90 DAYS</v>
      </c>
      <c r="J449" s="37" t="str">
        <f t="shared" si="57"/>
        <v>0-180 DAYS</v>
      </c>
      <c r="K449" t="s">
        <v>1730</v>
      </c>
      <c r="M449" s="158" t="s">
        <v>5195</v>
      </c>
      <c r="N449" s="158">
        <v>2190000</v>
      </c>
    </row>
    <row r="450" spans="1:14" x14ac:dyDescent="0.35">
      <c r="A450" t="s">
        <v>4333</v>
      </c>
      <c r="B450" t="s">
        <v>789</v>
      </c>
      <c r="C450" t="s">
        <v>125</v>
      </c>
      <c r="D450" t="s">
        <v>57</v>
      </c>
      <c r="E450" t="s">
        <v>5156</v>
      </c>
      <c r="F450" s="35">
        <v>46203</v>
      </c>
      <c r="G450" s="47">
        <v>57396.5</v>
      </c>
      <c r="H450" s="37">
        <f t="shared" si="56"/>
        <v>32</v>
      </c>
      <c r="I450" s="37" t="str">
        <f t="shared" si="61"/>
        <v>1-90 DAYS</v>
      </c>
      <c r="J450" s="37" t="str">
        <f t="shared" si="57"/>
        <v>0-180 DAYS</v>
      </c>
      <c r="M450" s="158" t="s">
        <v>5195</v>
      </c>
      <c r="N450" s="158">
        <v>57396.5</v>
      </c>
    </row>
    <row r="451" spans="1:14" x14ac:dyDescent="0.35">
      <c r="A451" t="s">
        <v>4333</v>
      </c>
      <c r="B451" t="s">
        <v>789</v>
      </c>
      <c r="C451" t="s">
        <v>125</v>
      </c>
      <c r="D451" t="s">
        <v>57</v>
      </c>
      <c r="E451" t="s">
        <v>2324</v>
      </c>
      <c r="F451" s="35">
        <v>46203</v>
      </c>
      <c r="G451" s="47">
        <v>105781.84</v>
      </c>
      <c r="H451" s="37">
        <f t="shared" si="56"/>
        <v>32</v>
      </c>
      <c r="I451" s="37" t="str">
        <f t="shared" si="61"/>
        <v>1-90 DAYS</v>
      </c>
      <c r="J451" s="37" t="str">
        <f t="shared" si="57"/>
        <v>0-180 DAYS</v>
      </c>
      <c r="M451" s="158" t="s">
        <v>5195</v>
      </c>
      <c r="N451" s="158">
        <v>105781.84</v>
      </c>
    </row>
    <row r="452" spans="1:14" x14ac:dyDescent="0.35">
      <c r="A452" t="s">
        <v>4333</v>
      </c>
      <c r="B452" t="s">
        <v>789</v>
      </c>
      <c r="C452" t="s">
        <v>125</v>
      </c>
      <c r="D452" t="s">
        <v>57</v>
      </c>
      <c r="E452" t="s">
        <v>2324</v>
      </c>
      <c r="F452" s="35">
        <v>46203</v>
      </c>
      <c r="G452" s="47">
        <v>149230.88</v>
      </c>
      <c r="H452" s="37">
        <f t="shared" si="56"/>
        <v>32</v>
      </c>
      <c r="I452" s="37" t="str">
        <f t="shared" si="61"/>
        <v>1-90 DAYS</v>
      </c>
      <c r="J452" s="37" t="str">
        <f t="shared" si="57"/>
        <v>0-180 DAYS</v>
      </c>
      <c r="M452" s="158" t="s">
        <v>5195</v>
      </c>
      <c r="N452" s="158">
        <v>149230.88</v>
      </c>
    </row>
    <row r="453" spans="1:14" x14ac:dyDescent="0.35">
      <c r="A453" t="s">
        <v>4333</v>
      </c>
      <c r="B453" t="s">
        <v>789</v>
      </c>
      <c r="C453" t="s">
        <v>125</v>
      </c>
      <c r="D453" t="s">
        <v>57</v>
      </c>
      <c r="E453" t="s">
        <v>5157</v>
      </c>
      <c r="F453" s="35">
        <v>46203</v>
      </c>
      <c r="G453" s="47">
        <v>4800</v>
      </c>
      <c r="H453" s="37">
        <f t="shared" si="56"/>
        <v>32</v>
      </c>
      <c r="I453" s="37" t="str">
        <f t="shared" si="61"/>
        <v>1-90 DAYS</v>
      </c>
      <c r="J453" s="37" t="str">
        <f t="shared" si="57"/>
        <v>0-180 DAYS</v>
      </c>
      <c r="M453" s="158" t="s">
        <v>5195</v>
      </c>
      <c r="N453" s="158">
        <v>4800</v>
      </c>
    </row>
    <row r="454" spans="1:14" x14ac:dyDescent="0.35">
      <c r="A454" t="s">
        <v>4333</v>
      </c>
      <c r="B454" t="s">
        <v>789</v>
      </c>
      <c r="C454" t="s">
        <v>125</v>
      </c>
      <c r="D454" t="s">
        <v>57</v>
      </c>
      <c r="E454" t="s">
        <v>5158</v>
      </c>
      <c r="F454" s="35">
        <v>46203</v>
      </c>
      <c r="G454" s="47">
        <v>3547.58</v>
      </c>
      <c r="H454" s="37">
        <f t="shared" si="56"/>
        <v>32</v>
      </c>
      <c r="I454" s="37" t="str">
        <f t="shared" si="61"/>
        <v>1-90 DAYS</v>
      </c>
      <c r="J454" s="37" t="str">
        <f t="shared" si="57"/>
        <v>0-180 DAYS</v>
      </c>
      <c r="M454" s="158" t="s">
        <v>5195</v>
      </c>
      <c r="N454" s="158">
        <v>3547.58</v>
      </c>
    </row>
    <row r="455" spans="1:14" x14ac:dyDescent="0.35">
      <c r="A455" t="s">
        <v>4333</v>
      </c>
      <c r="B455" t="s">
        <v>789</v>
      </c>
      <c r="C455" t="s">
        <v>125</v>
      </c>
      <c r="D455" t="s">
        <v>57</v>
      </c>
      <c r="E455" t="s">
        <v>5158</v>
      </c>
      <c r="F455" s="35">
        <v>46203</v>
      </c>
      <c r="G455" s="47">
        <v>43798.95</v>
      </c>
      <c r="H455" s="37">
        <f t="shared" si="56"/>
        <v>32</v>
      </c>
      <c r="I455" s="37" t="str">
        <f t="shared" si="61"/>
        <v>1-90 DAYS</v>
      </c>
      <c r="J455" s="37" t="str">
        <f t="shared" si="57"/>
        <v>0-180 DAYS</v>
      </c>
      <c r="M455" s="158" t="s">
        <v>5195</v>
      </c>
      <c r="N455" s="158">
        <v>43798.95</v>
      </c>
    </row>
    <row r="456" spans="1:14" x14ac:dyDescent="0.35">
      <c r="A456" t="s">
        <v>4333</v>
      </c>
      <c r="B456" t="s">
        <v>789</v>
      </c>
      <c r="C456" t="s">
        <v>125</v>
      </c>
      <c r="D456" t="s">
        <v>57</v>
      </c>
      <c r="E456" t="s">
        <v>5158</v>
      </c>
      <c r="F456" s="35">
        <v>46203</v>
      </c>
      <c r="G456" s="47">
        <v>9805.91</v>
      </c>
      <c r="H456" s="37">
        <f t="shared" si="56"/>
        <v>32</v>
      </c>
      <c r="I456" s="37" t="str">
        <f t="shared" si="61"/>
        <v>1-90 DAYS</v>
      </c>
      <c r="J456" s="37" t="str">
        <f t="shared" si="57"/>
        <v>0-180 DAYS</v>
      </c>
      <c r="M456" s="158" t="s">
        <v>5195</v>
      </c>
      <c r="N456" s="158">
        <v>9805.91</v>
      </c>
    </row>
    <row r="457" spans="1:14" x14ac:dyDescent="0.35">
      <c r="A457" t="s">
        <v>4333</v>
      </c>
      <c r="B457" t="s">
        <v>789</v>
      </c>
      <c r="C457" t="s">
        <v>125</v>
      </c>
      <c r="D457" t="s">
        <v>57</v>
      </c>
      <c r="E457" t="s">
        <v>5158</v>
      </c>
      <c r="F457" s="35">
        <v>46203</v>
      </c>
      <c r="G457" s="47">
        <v>597361.38</v>
      </c>
      <c r="H457" s="37">
        <f t="shared" ref="H457:H520" si="62">$H$1-F457+1</f>
        <v>32</v>
      </c>
      <c r="I457" s="37" t="str">
        <f t="shared" si="61"/>
        <v>1-90 DAYS</v>
      </c>
      <c r="J457" s="37" t="str">
        <f t="shared" si="57"/>
        <v>0-180 DAYS</v>
      </c>
      <c r="M457" s="158" t="s">
        <v>5195</v>
      </c>
      <c r="N457" s="158">
        <v>597361.38</v>
      </c>
    </row>
    <row r="458" spans="1:14" x14ac:dyDescent="0.35">
      <c r="A458" t="s">
        <v>4333</v>
      </c>
      <c r="B458" t="s">
        <v>789</v>
      </c>
      <c r="C458" t="s">
        <v>125</v>
      </c>
      <c r="D458" t="s">
        <v>57</v>
      </c>
      <c r="E458" t="s">
        <v>5159</v>
      </c>
      <c r="F458" s="35">
        <v>46203</v>
      </c>
      <c r="G458" s="47">
        <v>210000</v>
      </c>
      <c r="H458" s="37">
        <f t="shared" si="62"/>
        <v>32</v>
      </c>
      <c r="I458" s="37" t="str">
        <f t="shared" si="61"/>
        <v>1-90 DAYS</v>
      </c>
      <c r="J458" s="37" t="str">
        <f t="shared" ref="J458:J521" si="63">IF(H458&lt;180,"0-180 DAYS","More than 180 Days")</f>
        <v>0-180 DAYS</v>
      </c>
      <c r="M458" s="158" t="s">
        <v>5195</v>
      </c>
      <c r="N458" s="158">
        <v>210000</v>
      </c>
    </row>
    <row r="459" spans="1:14" x14ac:dyDescent="0.35">
      <c r="A459" t="s">
        <v>4333</v>
      </c>
      <c r="B459" t="s">
        <v>789</v>
      </c>
      <c r="C459" t="s">
        <v>125</v>
      </c>
      <c r="D459" t="s">
        <v>57</v>
      </c>
      <c r="E459" t="s">
        <v>5159</v>
      </c>
      <c r="F459" s="35">
        <v>46203</v>
      </c>
      <c r="G459" s="47">
        <v>618750</v>
      </c>
      <c r="H459" s="37">
        <f t="shared" si="62"/>
        <v>32</v>
      </c>
      <c r="I459" s="37" t="str">
        <f t="shared" si="61"/>
        <v>1-90 DAYS</v>
      </c>
      <c r="J459" s="37" t="str">
        <f t="shared" si="63"/>
        <v>0-180 DAYS</v>
      </c>
      <c r="M459" s="158" t="s">
        <v>5195</v>
      </c>
      <c r="N459" s="158">
        <v>618750</v>
      </c>
    </row>
    <row r="460" spans="1:14" x14ac:dyDescent="0.35">
      <c r="A460" t="s">
        <v>1085</v>
      </c>
      <c r="B460" t="s">
        <v>790</v>
      </c>
      <c r="C460" t="s">
        <v>814</v>
      </c>
      <c r="D460" t="s">
        <v>5019</v>
      </c>
      <c r="E460" t="s">
        <v>5160</v>
      </c>
      <c r="F460" s="35">
        <v>46175</v>
      </c>
      <c r="G460" s="47">
        <v>518345.59499999997</v>
      </c>
      <c r="H460" s="37">
        <f t="shared" si="62"/>
        <v>60</v>
      </c>
      <c r="I460" s="37" t="str">
        <f t="shared" ref="I460:I461" si="64">IF(H460&lt;121,"0-120 DAYS",IF(H460&lt;181,"121-180 DAYS","More than 180 Days"))</f>
        <v>0-120 DAYS</v>
      </c>
      <c r="J460" s="37" t="str">
        <f t="shared" si="63"/>
        <v>0-180 DAYS</v>
      </c>
      <c r="K460" t="s">
        <v>1730</v>
      </c>
      <c r="M460" s="158" t="s">
        <v>5224</v>
      </c>
      <c r="N460" s="158">
        <v>518345.6</v>
      </c>
    </row>
    <row r="461" spans="1:14" x14ac:dyDescent="0.35">
      <c r="A461" t="s">
        <v>1085</v>
      </c>
      <c r="B461" t="s">
        <v>790</v>
      </c>
      <c r="C461" t="s">
        <v>4752</v>
      </c>
      <c r="D461" t="s">
        <v>507</v>
      </c>
      <c r="E461" t="s">
        <v>5161</v>
      </c>
      <c r="F461" s="35">
        <v>46175</v>
      </c>
      <c r="G461" s="47">
        <v>6158496.3119999999</v>
      </c>
      <c r="H461" s="37">
        <f t="shared" si="62"/>
        <v>60</v>
      </c>
      <c r="I461" s="37" t="str">
        <f t="shared" si="64"/>
        <v>0-120 DAYS</v>
      </c>
      <c r="J461" s="37" t="str">
        <f t="shared" si="63"/>
        <v>0-180 DAYS</v>
      </c>
      <c r="K461" t="s">
        <v>1730</v>
      </c>
      <c r="M461" s="158" t="s">
        <v>5224</v>
      </c>
      <c r="N461" s="158">
        <v>6158496.3099999996</v>
      </c>
    </row>
    <row r="462" spans="1:14" x14ac:dyDescent="0.35">
      <c r="A462" t="s">
        <v>4333</v>
      </c>
      <c r="B462" t="s">
        <v>789</v>
      </c>
      <c r="C462" t="s">
        <v>125</v>
      </c>
      <c r="D462" t="s">
        <v>57</v>
      </c>
      <c r="E462" t="s">
        <v>5162</v>
      </c>
      <c r="F462" s="35">
        <v>46175</v>
      </c>
      <c r="G462" s="47">
        <v>745786.14</v>
      </c>
      <c r="H462" s="37">
        <f t="shared" si="62"/>
        <v>60</v>
      </c>
      <c r="I462" s="37" t="str">
        <f t="shared" ref="I462:I468" si="65">IF(H462&lt;91,"1-90 DAYS",IF(H462&lt;121,"91-120DAYS",IF(H462&lt;181,"121-180 DAYS","More than 180 Days")))</f>
        <v>1-90 DAYS</v>
      </c>
      <c r="J462" s="37" t="str">
        <f t="shared" si="63"/>
        <v>0-180 DAYS</v>
      </c>
      <c r="M462" s="158" t="s">
        <v>5224</v>
      </c>
      <c r="N462" s="158">
        <v>745786.14</v>
      </c>
    </row>
    <row r="463" spans="1:14" x14ac:dyDescent="0.35">
      <c r="A463" t="s">
        <v>4333</v>
      </c>
      <c r="B463" t="s">
        <v>789</v>
      </c>
      <c r="C463" t="s">
        <v>125</v>
      </c>
      <c r="D463" t="s">
        <v>57</v>
      </c>
      <c r="E463" t="s">
        <v>5162</v>
      </c>
      <c r="F463" s="35">
        <v>46175</v>
      </c>
      <c r="G463" s="47">
        <v>659634.88</v>
      </c>
      <c r="H463" s="37">
        <f t="shared" si="62"/>
        <v>60</v>
      </c>
      <c r="I463" s="37" t="str">
        <f t="shared" si="65"/>
        <v>1-90 DAYS</v>
      </c>
      <c r="J463" s="37" t="str">
        <f t="shared" si="63"/>
        <v>0-180 DAYS</v>
      </c>
      <c r="M463" s="158" t="s">
        <v>5224</v>
      </c>
      <c r="N463" s="158">
        <v>659634.88</v>
      </c>
    </row>
    <row r="464" spans="1:14" x14ac:dyDescent="0.35">
      <c r="A464" t="s">
        <v>4333</v>
      </c>
      <c r="B464" t="s">
        <v>789</v>
      </c>
      <c r="C464" t="s">
        <v>125</v>
      </c>
      <c r="D464" t="s">
        <v>57</v>
      </c>
      <c r="E464" t="s">
        <v>5162</v>
      </c>
      <c r="F464" s="35">
        <v>46175</v>
      </c>
      <c r="G464" s="47">
        <v>1254741.8400000001</v>
      </c>
      <c r="H464" s="37">
        <f t="shared" si="62"/>
        <v>60</v>
      </c>
      <c r="I464" s="37" t="str">
        <f t="shared" si="65"/>
        <v>1-90 DAYS</v>
      </c>
      <c r="J464" s="37" t="str">
        <f t="shared" si="63"/>
        <v>0-180 DAYS</v>
      </c>
      <c r="M464" s="158" t="s">
        <v>5224</v>
      </c>
      <c r="N464" s="158">
        <v>1254741.8400000001</v>
      </c>
    </row>
    <row r="465" spans="1:14" x14ac:dyDescent="0.35">
      <c r="A465" t="s">
        <v>4333</v>
      </c>
      <c r="B465" t="s">
        <v>789</v>
      </c>
      <c r="C465" t="s">
        <v>125</v>
      </c>
      <c r="D465" t="s">
        <v>57</v>
      </c>
      <c r="E465" t="s">
        <v>5162</v>
      </c>
      <c r="F465" s="35">
        <v>46175</v>
      </c>
      <c r="G465" s="47">
        <v>825231.88</v>
      </c>
      <c r="H465" s="37">
        <f t="shared" si="62"/>
        <v>60</v>
      </c>
      <c r="I465" s="37" t="str">
        <f t="shared" si="65"/>
        <v>1-90 DAYS</v>
      </c>
      <c r="J465" s="37" t="str">
        <f t="shared" si="63"/>
        <v>0-180 DAYS</v>
      </c>
      <c r="M465" s="158" t="s">
        <v>5224</v>
      </c>
      <c r="N465" s="158">
        <v>825231.88</v>
      </c>
    </row>
    <row r="466" spans="1:14" x14ac:dyDescent="0.35">
      <c r="A466" t="s">
        <v>4333</v>
      </c>
      <c r="B466" t="s">
        <v>789</v>
      </c>
      <c r="C466" t="s">
        <v>125</v>
      </c>
      <c r="D466" t="s">
        <v>57</v>
      </c>
      <c r="E466" t="s">
        <v>5162</v>
      </c>
      <c r="F466" s="35">
        <v>46175</v>
      </c>
      <c r="G466" s="47">
        <v>624636.13</v>
      </c>
      <c r="H466" s="37">
        <f t="shared" si="62"/>
        <v>60</v>
      </c>
      <c r="I466" s="37" t="str">
        <f t="shared" si="65"/>
        <v>1-90 DAYS</v>
      </c>
      <c r="J466" s="37" t="str">
        <f t="shared" si="63"/>
        <v>0-180 DAYS</v>
      </c>
      <c r="M466" s="158" t="s">
        <v>5224</v>
      </c>
      <c r="N466" s="158">
        <v>624636.13</v>
      </c>
    </row>
    <row r="467" spans="1:14" x14ac:dyDescent="0.35">
      <c r="A467" t="s">
        <v>4333</v>
      </c>
      <c r="B467" t="s">
        <v>789</v>
      </c>
      <c r="C467" t="s">
        <v>125</v>
      </c>
      <c r="D467" t="s">
        <v>57</v>
      </c>
      <c r="E467" t="s">
        <v>5163</v>
      </c>
      <c r="F467" s="35">
        <v>46175</v>
      </c>
      <c r="G467" s="47">
        <v>777.6</v>
      </c>
      <c r="H467" s="37">
        <f t="shared" si="62"/>
        <v>60</v>
      </c>
      <c r="I467" s="37" t="str">
        <f t="shared" si="65"/>
        <v>1-90 DAYS</v>
      </c>
      <c r="J467" s="37" t="str">
        <f t="shared" si="63"/>
        <v>0-180 DAYS</v>
      </c>
      <c r="M467" s="158" t="s">
        <v>5224</v>
      </c>
      <c r="N467" s="158">
        <v>777.6</v>
      </c>
    </row>
    <row r="468" spans="1:14" x14ac:dyDescent="0.35">
      <c r="A468" t="s">
        <v>4333</v>
      </c>
      <c r="B468" t="s">
        <v>789</v>
      </c>
      <c r="C468" t="s">
        <v>125</v>
      </c>
      <c r="D468" t="s">
        <v>57</v>
      </c>
      <c r="E468" t="s">
        <v>5163</v>
      </c>
      <c r="F468" s="35">
        <v>46175</v>
      </c>
      <c r="G468" s="47">
        <v>4235.3999999999996</v>
      </c>
      <c r="H468" s="37">
        <f t="shared" si="62"/>
        <v>60</v>
      </c>
      <c r="I468" s="37" t="str">
        <f t="shared" si="65"/>
        <v>1-90 DAYS</v>
      </c>
      <c r="J468" s="37" t="str">
        <f t="shared" si="63"/>
        <v>0-180 DAYS</v>
      </c>
      <c r="M468" s="158" t="s">
        <v>5224</v>
      </c>
      <c r="N468" s="158">
        <v>4235.3999999999996</v>
      </c>
    </row>
    <row r="469" spans="1:14" x14ac:dyDescent="0.35">
      <c r="A469" t="s">
        <v>1085</v>
      </c>
      <c r="B469" t="s">
        <v>790</v>
      </c>
      <c r="C469" t="s">
        <v>650</v>
      </c>
      <c r="D469" t="s">
        <v>507</v>
      </c>
      <c r="E469" t="s">
        <v>5164</v>
      </c>
      <c r="F469" s="35">
        <v>46177</v>
      </c>
      <c r="G469" s="47">
        <v>2424877.56</v>
      </c>
      <c r="H469" s="37">
        <f t="shared" si="62"/>
        <v>58</v>
      </c>
      <c r="I469" s="37" t="str">
        <f t="shared" ref="I469:I471" si="66">IF(H469&lt;121,"0-120 DAYS",IF(H469&lt;181,"121-180 DAYS","More than 180 Days"))</f>
        <v>0-120 DAYS</v>
      </c>
      <c r="J469" s="37" t="str">
        <f t="shared" si="63"/>
        <v>0-180 DAYS</v>
      </c>
      <c r="K469" t="s">
        <v>1730</v>
      </c>
      <c r="M469" s="158" t="s">
        <v>5226</v>
      </c>
      <c r="N469" s="158">
        <v>2424877.56</v>
      </c>
    </row>
    <row r="470" spans="1:14" x14ac:dyDescent="0.35">
      <c r="A470" t="s">
        <v>1085</v>
      </c>
      <c r="B470" t="s">
        <v>790</v>
      </c>
      <c r="C470" t="s">
        <v>650</v>
      </c>
      <c r="D470" t="s">
        <v>507</v>
      </c>
      <c r="E470" t="s">
        <v>5164</v>
      </c>
      <c r="F470" s="35">
        <v>46177</v>
      </c>
      <c r="G470" s="47">
        <v>980720.125</v>
      </c>
      <c r="H470" s="37">
        <f t="shared" si="62"/>
        <v>58</v>
      </c>
      <c r="I470" s="37" t="str">
        <f t="shared" si="66"/>
        <v>0-120 DAYS</v>
      </c>
      <c r="J470" s="37" t="str">
        <f t="shared" si="63"/>
        <v>0-180 DAYS</v>
      </c>
      <c r="K470" t="s">
        <v>1730</v>
      </c>
      <c r="M470" s="158" t="s">
        <v>5226</v>
      </c>
      <c r="N470" s="158">
        <v>980720.13</v>
      </c>
    </row>
    <row r="471" spans="1:14" x14ac:dyDescent="0.35">
      <c r="A471" t="s">
        <v>1085</v>
      </c>
      <c r="B471" t="s">
        <v>790</v>
      </c>
      <c r="C471" t="s">
        <v>650</v>
      </c>
      <c r="D471" t="s">
        <v>507</v>
      </c>
      <c r="E471" t="s">
        <v>5164</v>
      </c>
      <c r="F471" s="35">
        <v>46177</v>
      </c>
      <c r="G471" s="47">
        <v>1063282.5</v>
      </c>
      <c r="H471" s="37">
        <f t="shared" si="62"/>
        <v>58</v>
      </c>
      <c r="I471" s="37" t="str">
        <f t="shared" si="66"/>
        <v>0-120 DAYS</v>
      </c>
      <c r="J471" s="37" t="str">
        <f t="shared" si="63"/>
        <v>0-180 DAYS</v>
      </c>
      <c r="K471" t="s">
        <v>1730</v>
      </c>
      <c r="M471" s="158" t="s">
        <v>5226</v>
      </c>
      <c r="N471" s="158">
        <v>1063282.5</v>
      </c>
    </row>
    <row r="472" spans="1:14" x14ac:dyDescent="0.35">
      <c r="A472" t="s">
        <v>477</v>
      </c>
      <c r="B472" t="s">
        <v>790</v>
      </c>
      <c r="C472" t="s">
        <v>3</v>
      </c>
      <c r="D472" t="s">
        <v>4</v>
      </c>
      <c r="E472" t="s">
        <v>5165</v>
      </c>
      <c r="F472" s="35">
        <v>46178</v>
      </c>
      <c r="G472" s="47">
        <v>1224416</v>
      </c>
      <c r="H472" s="37">
        <f t="shared" si="62"/>
        <v>57</v>
      </c>
      <c r="I472" s="37" t="str">
        <f t="shared" ref="I472:I473" si="67">IF(H472&lt;91,"1-90 DAYS",IF(H472&lt;121,"91-120DAYS",IF(H472&lt;181,"121-180 DAYS","More than 180 Days")))</f>
        <v>1-90 DAYS</v>
      </c>
      <c r="J472" s="37" t="str">
        <f t="shared" si="63"/>
        <v>0-180 DAYS</v>
      </c>
      <c r="K472" t="s">
        <v>1730</v>
      </c>
      <c r="M472" s="158" t="s">
        <v>5227</v>
      </c>
      <c r="N472" s="158">
        <v>1224416</v>
      </c>
    </row>
    <row r="473" spans="1:14" x14ac:dyDescent="0.35">
      <c r="A473" t="s">
        <v>477</v>
      </c>
      <c r="B473" t="s">
        <v>790</v>
      </c>
      <c r="C473" t="s">
        <v>3</v>
      </c>
      <c r="D473" t="s">
        <v>4</v>
      </c>
      <c r="E473" t="s">
        <v>5165</v>
      </c>
      <c r="F473" s="35">
        <v>46178</v>
      </c>
      <c r="G473" s="47">
        <v>226420</v>
      </c>
      <c r="H473" s="37">
        <f t="shared" si="62"/>
        <v>57</v>
      </c>
      <c r="I473" s="37" t="str">
        <f t="shared" si="67"/>
        <v>1-90 DAYS</v>
      </c>
      <c r="J473" s="37" t="str">
        <f t="shared" si="63"/>
        <v>0-180 DAYS</v>
      </c>
      <c r="K473" t="s">
        <v>1730</v>
      </c>
      <c r="M473" s="158" t="s">
        <v>5227</v>
      </c>
      <c r="N473" s="158">
        <v>226420</v>
      </c>
    </row>
    <row r="474" spans="1:14" x14ac:dyDescent="0.35">
      <c r="A474" t="s">
        <v>1085</v>
      </c>
      <c r="B474" t="s">
        <v>790</v>
      </c>
      <c r="C474" t="s">
        <v>1086</v>
      </c>
      <c r="D474" t="s">
        <v>507</v>
      </c>
      <c r="E474" t="s">
        <v>5166</v>
      </c>
      <c r="F474" s="35">
        <v>46178</v>
      </c>
      <c r="G474" s="47">
        <v>2538764.7999999998</v>
      </c>
      <c r="H474" s="37">
        <f t="shared" si="62"/>
        <v>57</v>
      </c>
      <c r="I474" s="37" t="str">
        <f t="shared" ref="I474:I477" si="68">IF(H474&lt;121,"0-120 DAYS",IF(H474&lt;181,"121-180 DAYS","More than 180 Days"))</f>
        <v>0-120 DAYS</v>
      </c>
      <c r="J474" s="37" t="str">
        <f t="shared" si="63"/>
        <v>0-180 DAYS</v>
      </c>
      <c r="K474" t="s">
        <v>1730</v>
      </c>
      <c r="M474" s="158" t="s">
        <v>5227</v>
      </c>
      <c r="N474" s="158">
        <v>2538764.7999999998</v>
      </c>
    </row>
    <row r="475" spans="1:14" x14ac:dyDescent="0.35">
      <c r="A475" t="s">
        <v>1085</v>
      </c>
      <c r="B475" t="s">
        <v>790</v>
      </c>
      <c r="C475" t="s">
        <v>1086</v>
      </c>
      <c r="D475" t="s">
        <v>507</v>
      </c>
      <c r="E475" t="s">
        <v>5167</v>
      </c>
      <c r="F475" s="35">
        <v>46178</v>
      </c>
      <c r="G475" s="47">
        <v>562446.94464823103</v>
      </c>
      <c r="H475" s="37">
        <f t="shared" si="62"/>
        <v>57</v>
      </c>
      <c r="I475" s="37" t="str">
        <f t="shared" si="68"/>
        <v>0-120 DAYS</v>
      </c>
      <c r="J475" s="37" t="str">
        <f t="shared" si="63"/>
        <v>0-180 DAYS</v>
      </c>
      <c r="K475" t="s">
        <v>1730</v>
      </c>
      <c r="M475" s="158" t="s">
        <v>5227</v>
      </c>
      <c r="N475" s="158">
        <v>562446.93999999994</v>
      </c>
    </row>
    <row r="476" spans="1:14" x14ac:dyDescent="0.35">
      <c r="A476" t="s">
        <v>1085</v>
      </c>
      <c r="B476" t="s">
        <v>790</v>
      </c>
      <c r="C476" t="s">
        <v>1086</v>
      </c>
      <c r="D476" t="s">
        <v>507</v>
      </c>
      <c r="E476" t="s">
        <v>5167</v>
      </c>
      <c r="F476" s="35">
        <v>46178</v>
      </c>
      <c r="G476" s="47">
        <v>227805.28435176899</v>
      </c>
      <c r="H476" s="37">
        <f t="shared" si="62"/>
        <v>57</v>
      </c>
      <c r="I476" s="37" t="str">
        <f t="shared" si="68"/>
        <v>0-120 DAYS</v>
      </c>
      <c r="J476" s="37" t="str">
        <f t="shared" si="63"/>
        <v>0-180 DAYS</v>
      </c>
      <c r="K476" t="s">
        <v>1730</v>
      </c>
      <c r="M476" s="158" t="s">
        <v>5227</v>
      </c>
      <c r="N476" s="158">
        <v>227805.28</v>
      </c>
    </row>
    <row r="477" spans="1:14" x14ac:dyDescent="0.35">
      <c r="A477" t="s">
        <v>1085</v>
      </c>
      <c r="B477" t="s">
        <v>790</v>
      </c>
      <c r="C477" t="s">
        <v>635</v>
      </c>
      <c r="D477" t="s">
        <v>507</v>
      </c>
      <c r="E477" t="s">
        <v>5168</v>
      </c>
      <c r="F477" s="35">
        <v>46179</v>
      </c>
      <c r="G477" s="47">
        <v>49035</v>
      </c>
      <c r="H477" s="37">
        <f t="shared" si="62"/>
        <v>56</v>
      </c>
      <c r="I477" s="37" t="str">
        <f t="shared" si="68"/>
        <v>0-120 DAYS</v>
      </c>
      <c r="J477" s="37" t="str">
        <f t="shared" si="63"/>
        <v>0-180 DAYS</v>
      </c>
      <c r="K477" t="s">
        <v>1730</v>
      </c>
      <c r="M477" s="158" t="s">
        <v>5228</v>
      </c>
      <c r="N477" s="158">
        <v>49035</v>
      </c>
    </row>
    <row r="478" spans="1:14" x14ac:dyDescent="0.35">
      <c r="A478" t="s">
        <v>4333</v>
      </c>
      <c r="B478" t="s">
        <v>789</v>
      </c>
      <c r="C478" t="s">
        <v>125</v>
      </c>
      <c r="D478" t="s">
        <v>57</v>
      </c>
      <c r="E478" t="s">
        <v>1633</v>
      </c>
      <c r="F478" s="35">
        <v>46179</v>
      </c>
      <c r="G478" s="47">
        <v>130662</v>
      </c>
      <c r="H478" s="37">
        <f t="shared" si="62"/>
        <v>56</v>
      </c>
      <c r="I478" s="37" t="str">
        <f t="shared" ref="I478:I496" si="69">IF(H478&lt;91,"1-90 DAYS",IF(H478&lt;121,"91-120DAYS",IF(H478&lt;181,"121-180 DAYS","More than 180 Days")))</f>
        <v>1-90 DAYS</v>
      </c>
      <c r="J478" s="37" t="str">
        <f t="shared" si="63"/>
        <v>0-180 DAYS</v>
      </c>
      <c r="M478" s="158" t="s">
        <v>5228</v>
      </c>
      <c r="N478" s="158">
        <v>130662</v>
      </c>
    </row>
    <row r="479" spans="1:14" x14ac:dyDescent="0.35">
      <c r="A479" t="s">
        <v>4333</v>
      </c>
      <c r="B479" t="s">
        <v>789</v>
      </c>
      <c r="C479" t="s">
        <v>125</v>
      </c>
      <c r="D479" t="s">
        <v>57</v>
      </c>
      <c r="E479" t="s">
        <v>1633</v>
      </c>
      <c r="F479" s="35">
        <v>46179</v>
      </c>
      <c r="G479" s="47">
        <v>629259.80000000005</v>
      </c>
      <c r="H479" s="37">
        <f t="shared" si="62"/>
        <v>56</v>
      </c>
      <c r="I479" s="37" t="str">
        <f t="shared" si="69"/>
        <v>1-90 DAYS</v>
      </c>
      <c r="J479" s="37" t="str">
        <f t="shared" si="63"/>
        <v>0-180 DAYS</v>
      </c>
      <c r="M479" s="158" t="s">
        <v>5228</v>
      </c>
      <c r="N479" s="158">
        <v>629259.80000000005</v>
      </c>
    </row>
    <row r="480" spans="1:14" x14ac:dyDescent="0.35">
      <c r="A480" t="s">
        <v>4333</v>
      </c>
      <c r="B480" t="s">
        <v>789</v>
      </c>
      <c r="C480" t="s">
        <v>125</v>
      </c>
      <c r="D480" t="s">
        <v>57</v>
      </c>
      <c r="E480" t="s">
        <v>1633</v>
      </c>
      <c r="F480" s="35">
        <v>46179</v>
      </c>
      <c r="G480" s="47">
        <v>32580</v>
      </c>
      <c r="H480" s="37">
        <f t="shared" si="62"/>
        <v>56</v>
      </c>
      <c r="I480" s="37" t="str">
        <f t="shared" si="69"/>
        <v>1-90 DAYS</v>
      </c>
      <c r="J480" s="37" t="str">
        <f t="shared" si="63"/>
        <v>0-180 DAYS</v>
      </c>
      <c r="M480" s="158" t="s">
        <v>5228</v>
      </c>
      <c r="N480" s="158">
        <v>32580</v>
      </c>
    </row>
    <row r="481" spans="1:14" x14ac:dyDescent="0.35">
      <c r="A481" t="s">
        <v>477</v>
      </c>
      <c r="B481" t="s">
        <v>790</v>
      </c>
      <c r="C481" t="s">
        <v>259</v>
      </c>
      <c r="D481" t="s">
        <v>260</v>
      </c>
      <c r="E481" t="s">
        <v>5170</v>
      </c>
      <c r="F481" s="35">
        <v>46183</v>
      </c>
      <c r="G481" s="47">
        <v>9486</v>
      </c>
      <c r="H481" s="37">
        <f t="shared" si="62"/>
        <v>52</v>
      </c>
      <c r="I481" s="37" t="str">
        <f t="shared" si="69"/>
        <v>1-90 DAYS</v>
      </c>
      <c r="J481" s="37" t="str">
        <f t="shared" si="63"/>
        <v>0-180 DAYS</v>
      </c>
      <c r="K481" t="s">
        <v>1730</v>
      </c>
      <c r="M481" s="158" t="s">
        <v>5232</v>
      </c>
      <c r="N481" s="158">
        <v>1719000</v>
      </c>
    </row>
    <row r="482" spans="1:14" x14ac:dyDescent="0.35">
      <c r="A482" t="s">
        <v>4333</v>
      </c>
      <c r="B482" t="s">
        <v>789</v>
      </c>
      <c r="C482" t="s">
        <v>125</v>
      </c>
      <c r="D482" t="s">
        <v>57</v>
      </c>
      <c r="E482" t="s">
        <v>5171</v>
      </c>
      <c r="F482" s="35">
        <v>46185</v>
      </c>
      <c r="G482" s="47">
        <v>112482.48</v>
      </c>
      <c r="H482" s="37">
        <f t="shared" si="62"/>
        <v>50</v>
      </c>
      <c r="I482" s="37" t="str">
        <f t="shared" si="69"/>
        <v>1-90 DAYS</v>
      </c>
      <c r="J482" s="37" t="str">
        <f t="shared" si="63"/>
        <v>0-180 DAYS</v>
      </c>
      <c r="M482" s="158" t="s">
        <v>5234</v>
      </c>
      <c r="N482" s="158">
        <v>112482.48</v>
      </c>
    </row>
    <row r="483" spans="1:14" x14ac:dyDescent="0.35">
      <c r="A483" t="s">
        <v>4333</v>
      </c>
      <c r="B483" t="s">
        <v>789</v>
      </c>
      <c r="C483" t="s">
        <v>125</v>
      </c>
      <c r="D483" t="s">
        <v>57</v>
      </c>
      <c r="E483" t="s">
        <v>5171</v>
      </c>
      <c r="F483" s="35">
        <v>46185</v>
      </c>
      <c r="G483" s="47">
        <v>654131.86</v>
      </c>
      <c r="H483" s="37">
        <f t="shared" si="62"/>
        <v>50</v>
      </c>
      <c r="I483" s="37" t="str">
        <f t="shared" si="69"/>
        <v>1-90 DAYS</v>
      </c>
      <c r="J483" s="37" t="str">
        <f t="shared" si="63"/>
        <v>0-180 DAYS</v>
      </c>
      <c r="M483" s="158" t="s">
        <v>5234</v>
      </c>
      <c r="N483" s="158">
        <v>654131.86</v>
      </c>
    </row>
    <row r="484" spans="1:14" x14ac:dyDescent="0.35">
      <c r="A484" t="s">
        <v>477</v>
      </c>
      <c r="B484" t="s">
        <v>790</v>
      </c>
      <c r="C484" t="s">
        <v>263</v>
      </c>
      <c r="D484" t="s">
        <v>264</v>
      </c>
      <c r="E484" t="s">
        <v>5172</v>
      </c>
      <c r="F484" s="35">
        <v>46186</v>
      </c>
      <c r="G484" s="47">
        <v>990216</v>
      </c>
      <c r="H484" s="37">
        <f t="shared" si="62"/>
        <v>49</v>
      </c>
      <c r="I484" s="37" t="str">
        <f t="shared" si="69"/>
        <v>1-90 DAYS</v>
      </c>
      <c r="J484" s="37" t="str">
        <f t="shared" si="63"/>
        <v>0-180 DAYS</v>
      </c>
      <c r="K484" t="s">
        <v>1730</v>
      </c>
      <c r="M484" s="158" t="s">
        <v>5235</v>
      </c>
      <c r="N484" s="158">
        <v>990216</v>
      </c>
    </row>
    <row r="485" spans="1:14" x14ac:dyDescent="0.35">
      <c r="A485" t="s">
        <v>477</v>
      </c>
      <c r="B485" t="s">
        <v>790</v>
      </c>
      <c r="C485" t="s">
        <v>263</v>
      </c>
      <c r="D485" t="s">
        <v>264</v>
      </c>
      <c r="E485" t="s">
        <v>5172</v>
      </c>
      <c r="F485" s="35">
        <v>46186</v>
      </c>
      <c r="G485" s="47">
        <v>221580</v>
      </c>
      <c r="H485" s="37">
        <f t="shared" si="62"/>
        <v>49</v>
      </c>
      <c r="I485" s="37" t="str">
        <f t="shared" si="69"/>
        <v>1-90 DAYS</v>
      </c>
      <c r="J485" s="37" t="str">
        <f t="shared" si="63"/>
        <v>0-180 DAYS</v>
      </c>
      <c r="K485" t="s">
        <v>1730</v>
      </c>
      <c r="M485" s="158" t="s">
        <v>5235</v>
      </c>
      <c r="N485" s="158">
        <v>221580</v>
      </c>
    </row>
    <row r="486" spans="1:14" x14ac:dyDescent="0.35">
      <c r="A486" t="s">
        <v>4333</v>
      </c>
      <c r="B486" t="s">
        <v>789</v>
      </c>
      <c r="C486" t="s">
        <v>125</v>
      </c>
      <c r="D486" t="s">
        <v>57</v>
      </c>
      <c r="E486" t="s">
        <v>5173</v>
      </c>
      <c r="F486" s="35">
        <v>46188</v>
      </c>
      <c r="G486" s="47">
        <v>770359.08</v>
      </c>
      <c r="H486" s="37">
        <f t="shared" si="62"/>
        <v>47</v>
      </c>
      <c r="I486" s="37" t="str">
        <f t="shared" si="69"/>
        <v>1-90 DAYS</v>
      </c>
      <c r="J486" s="37" t="str">
        <f t="shared" si="63"/>
        <v>0-180 DAYS</v>
      </c>
      <c r="M486" s="158" t="s">
        <v>5237</v>
      </c>
      <c r="N486" s="158">
        <v>770359.08</v>
      </c>
    </row>
    <row r="487" spans="1:14" x14ac:dyDescent="0.35">
      <c r="A487" t="s">
        <v>4333</v>
      </c>
      <c r="B487" t="s">
        <v>789</v>
      </c>
      <c r="C487" t="s">
        <v>125</v>
      </c>
      <c r="D487" t="s">
        <v>57</v>
      </c>
      <c r="E487" t="s">
        <v>5173</v>
      </c>
      <c r="F487" s="35">
        <v>46188</v>
      </c>
      <c r="G487" s="47">
        <v>2140106.46</v>
      </c>
      <c r="H487" s="37">
        <f t="shared" si="62"/>
        <v>47</v>
      </c>
      <c r="I487" s="37" t="str">
        <f t="shared" si="69"/>
        <v>1-90 DAYS</v>
      </c>
      <c r="J487" s="37" t="str">
        <f t="shared" si="63"/>
        <v>0-180 DAYS</v>
      </c>
      <c r="M487" s="158" t="s">
        <v>5237</v>
      </c>
      <c r="N487" s="158">
        <v>2140106.46</v>
      </c>
    </row>
    <row r="488" spans="1:14" x14ac:dyDescent="0.35">
      <c r="A488" t="s">
        <v>4333</v>
      </c>
      <c r="B488" t="s">
        <v>789</v>
      </c>
      <c r="C488" t="s">
        <v>125</v>
      </c>
      <c r="D488" t="s">
        <v>57</v>
      </c>
      <c r="E488" t="s">
        <v>5173</v>
      </c>
      <c r="F488" s="35">
        <v>46188</v>
      </c>
      <c r="G488" s="47">
        <v>776681.02</v>
      </c>
      <c r="H488" s="37">
        <f t="shared" si="62"/>
        <v>47</v>
      </c>
      <c r="I488" s="37" t="str">
        <f t="shared" si="69"/>
        <v>1-90 DAYS</v>
      </c>
      <c r="J488" s="37" t="str">
        <f t="shared" si="63"/>
        <v>0-180 DAYS</v>
      </c>
      <c r="M488" s="158" t="s">
        <v>5237</v>
      </c>
      <c r="N488" s="158">
        <v>776681.02</v>
      </c>
    </row>
    <row r="489" spans="1:14" x14ac:dyDescent="0.35">
      <c r="A489" t="s">
        <v>4333</v>
      </c>
      <c r="B489" t="s">
        <v>789</v>
      </c>
      <c r="C489" t="s">
        <v>125</v>
      </c>
      <c r="D489" t="s">
        <v>57</v>
      </c>
      <c r="E489" t="s">
        <v>5173</v>
      </c>
      <c r="F489" s="35">
        <v>46188</v>
      </c>
      <c r="G489" s="47">
        <v>1504055.74</v>
      </c>
      <c r="H489" s="37">
        <f t="shared" si="62"/>
        <v>47</v>
      </c>
      <c r="I489" s="37" t="str">
        <f t="shared" si="69"/>
        <v>1-90 DAYS</v>
      </c>
      <c r="J489" s="37" t="str">
        <f t="shared" si="63"/>
        <v>0-180 DAYS</v>
      </c>
      <c r="M489" s="158" t="s">
        <v>5237</v>
      </c>
      <c r="N489" s="158">
        <v>1504055.74</v>
      </c>
    </row>
    <row r="490" spans="1:14" x14ac:dyDescent="0.35">
      <c r="A490" t="s">
        <v>4333</v>
      </c>
      <c r="B490" t="s">
        <v>789</v>
      </c>
      <c r="C490" t="s">
        <v>125</v>
      </c>
      <c r="D490" t="s">
        <v>57</v>
      </c>
      <c r="E490" t="s">
        <v>5174</v>
      </c>
      <c r="F490" s="35">
        <v>46188</v>
      </c>
      <c r="G490" s="47">
        <v>363682</v>
      </c>
      <c r="H490" s="37">
        <f t="shared" si="62"/>
        <v>47</v>
      </c>
      <c r="I490" s="37" t="str">
        <f t="shared" si="69"/>
        <v>1-90 DAYS</v>
      </c>
      <c r="J490" s="37" t="str">
        <f t="shared" si="63"/>
        <v>0-180 DAYS</v>
      </c>
      <c r="M490" s="158" t="s">
        <v>5237</v>
      </c>
      <c r="N490" s="158">
        <v>363682</v>
      </c>
    </row>
    <row r="491" spans="1:14" x14ac:dyDescent="0.35">
      <c r="A491" t="s">
        <v>4333</v>
      </c>
      <c r="B491" t="s">
        <v>789</v>
      </c>
      <c r="C491" t="s">
        <v>125</v>
      </c>
      <c r="D491" t="s">
        <v>57</v>
      </c>
      <c r="E491" t="s">
        <v>5175</v>
      </c>
      <c r="F491" s="35">
        <v>46188</v>
      </c>
      <c r="G491" s="47">
        <v>3504</v>
      </c>
      <c r="H491" s="37">
        <f t="shared" si="62"/>
        <v>47</v>
      </c>
      <c r="I491" s="37" t="str">
        <f t="shared" si="69"/>
        <v>1-90 DAYS</v>
      </c>
      <c r="J491" s="37" t="str">
        <f t="shared" si="63"/>
        <v>0-180 DAYS</v>
      </c>
      <c r="M491" s="158" t="s">
        <v>5237</v>
      </c>
      <c r="N491" s="158">
        <v>3504</v>
      </c>
    </row>
    <row r="492" spans="1:14" x14ac:dyDescent="0.35">
      <c r="A492" t="s">
        <v>4333</v>
      </c>
      <c r="B492" t="s">
        <v>789</v>
      </c>
      <c r="C492" t="s">
        <v>125</v>
      </c>
      <c r="D492" t="s">
        <v>57</v>
      </c>
      <c r="E492" t="s">
        <v>3952</v>
      </c>
      <c r="F492" s="35">
        <v>46189</v>
      </c>
      <c r="G492" s="47">
        <v>1867091.2</v>
      </c>
      <c r="H492" s="37">
        <f t="shared" si="62"/>
        <v>46</v>
      </c>
      <c r="I492" s="37" t="str">
        <f t="shared" si="69"/>
        <v>1-90 DAYS</v>
      </c>
      <c r="J492" s="37" t="str">
        <f t="shared" si="63"/>
        <v>0-180 DAYS</v>
      </c>
      <c r="M492" s="158" t="s">
        <v>5238</v>
      </c>
      <c r="N492" s="158">
        <v>1867091.2</v>
      </c>
    </row>
    <row r="493" spans="1:14" x14ac:dyDescent="0.35">
      <c r="A493" t="s">
        <v>4333</v>
      </c>
      <c r="B493" t="s">
        <v>789</v>
      </c>
      <c r="C493" t="s">
        <v>125</v>
      </c>
      <c r="D493" t="s">
        <v>57</v>
      </c>
      <c r="E493" t="s">
        <v>3952</v>
      </c>
      <c r="F493" s="35">
        <v>46189</v>
      </c>
      <c r="G493" s="47">
        <v>691634.7</v>
      </c>
      <c r="H493" s="37">
        <f t="shared" si="62"/>
        <v>46</v>
      </c>
      <c r="I493" s="37" t="str">
        <f t="shared" si="69"/>
        <v>1-90 DAYS</v>
      </c>
      <c r="J493" s="37" t="str">
        <f t="shared" si="63"/>
        <v>0-180 DAYS</v>
      </c>
      <c r="M493" s="158" t="s">
        <v>5238</v>
      </c>
      <c r="N493" s="158">
        <v>691634.7</v>
      </c>
    </row>
    <row r="494" spans="1:14" x14ac:dyDescent="0.35">
      <c r="A494" t="s">
        <v>4333</v>
      </c>
      <c r="B494" t="s">
        <v>789</v>
      </c>
      <c r="C494" t="s">
        <v>125</v>
      </c>
      <c r="D494" t="s">
        <v>57</v>
      </c>
      <c r="E494" t="s">
        <v>3952</v>
      </c>
      <c r="F494" s="35">
        <v>46189</v>
      </c>
      <c r="G494" s="47">
        <v>1001163.03</v>
      </c>
      <c r="H494" s="37">
        <f t="shared" si="62"/>
        <v>46</v>
      </c>
      <c r="I494" s="37" t="str">
        <f t="shared" si="69"/>
        <v>1-90 DAYS</v>
      </c>
      <c r="J494" s="37" t="str">
        <f t="shared" si="63"/>
        <v>0-180 DAYS</v>
      </c>
      <c r="M494" s="158" t="s">
        <v>5238</v>
      </c>
      <c r="N494" s="158">
        <v>1001163.03</v>
      </c>
    </row>
    <row r="495" spans="1:14" x14ac:dyDescent="0.35">
      <c r="A495" t="s">
        <v>4333</v>
      </c>
      <c r="B495" t="s">
        <v>789</v>
      </c>
      <c r="C495" t="s">
        <v>125</v>
      </c>
      <c r="D495" t="s">
        <v>57</v>
      </c>
      <c r="E495" t="s">
        <v>3952</v>
      </c>
      <c r="F495" s="35">
        <v>46189</v>
      </c>
      <c r="G495" s="47">
        <v>525135.6</v>
      </c>
      <c r="H495" s="37">
        <f t="shared" si="62"/>
        <v>46</v>
      </c>
      <c r="I495" s="37" t="str">
        <f t="shared" si="69"/>
        <v>1-90 DAYS</v>
      </c>
      <c r="J495" s="37" t="str">
        <f t="shared" si="63"/>
        <v>0-180 DAYS</v>
      </c>
      <c r="M495" s="158" t="s">
        <v>5238</v>
      </c>
      <c r="N495" s="158">
        <v>525135.6</v>
      </c>
    </row>
    <row r="496" spans="1:14" x14ac:dyDescent="0.35">
      <c r="A496" t="s">
        <v>4333</v>
      </c>
      <c r="B496" t="s">
        <v>789</v>
      </c>
      <c r="C496" t="s">
        <v>125</v>
      </c>
      <c r="D496" t="s">
        <v>57</v>
      </c>
      <c r="E496" t="s">
        <v>3952</v>
      </c>
      <c r="F496" s="35">
        <v>46189</v>
      </c>
      <c r="G496" s="47">
        <v>587569.5</v>
      </c>
      <c r="H496" s="37">
        <f t="shared" si="62"/>
        <v>46</v>
      </c>
      <c r="I496" s="37" t="str">
        <f t="shared" si="69"/>
        <v>1-90 DAYS</v>
      </c>
      <c r="J496" s="37" t="str">
        <f t="shared" si="63"/>
        <v>0-180 DAYS</v>
      </c>
      <c r="M496" s="158" t="s">
        <v>5238</v>
      </c>
      <c r="N496" s="158">
        <v>587569.5</v>
      </c>
    </row>
    <row r="497" spans="1:14" x14ac:dyDescent="0.35">
      <c r="A497" t="s">
        <v>1085</v>
      </c>
      <c r="B497" t="s">
        <v>790</v>
      </c>
      <c r="C497" t="s">
        <v>1764</v>
      </c>
      <c r="D497" t="s">
        <v>507</v>
      </c>
      <c r="E497" t="s">
        <v>5176</v>
      </c>
      <c r="F497" s="35">
        <v>46192</v>
      </c>
      <c r="G497" s="47">
        <v>5209153.6179999998</v>
      </c>
      <c r="H497" s="37">
        <f t="shared" si="62"/>
        <v>43</v>
      </c>
      <c r="I497" s="37" t="str">
        <f t="shared" ref="I497:I505" si="70">IF(H497&lt;121,"0-120 DAYS",IF(H497&lt;181,"121-180 DAYS","More than 180 Days"))</f>
        <v>0-120 DAYS</v>
      </c>
      <c r="J497" s="37" t="str">
        <f t="shared" si="63"/>
        <v>0-180 DAYS</v>
      </c>
      <c r="K497" t="s">
        <v>1730</v>
      </c>
      <c r="M497" s="158" t="s">
        <v>5241</v>
      </c>
      <c r="N497" s="158">
        <v>5209153.62</v>
      </c>
    </row>
    <row r="498" spans="1:14" x14ac:dyDescent="0.35">
      <c r="A498" t="s">
        <v>1085</v>
      </c>
      <c r="B498" t="s">
        <v>790</v>
      </c>
      <c r="C498" t="s">
        <v>1086</v>
      </c>
      <c r="D498" t="s">
        <v>507</v>
      </c>
      <c r="E498" t="s">
        <v>5177</v>
      </c>
      <c r="F498" s="35">
        <v>46192</v>
      </c>
      <c r="G498" s="47">
        <v>516154.39199999999</v>
      </c>
      <c r="H498" s="37">
        <f t="shared" si="62"/>
        <v>43</v>
      </c>
      <c r="I498" s="37" t="str">
        <f t="shared" si="70"/>
        <v>0-120 DAYS</v>
      </c>
      <c r="J498" s="37" t="str">
        <f t="shared" si="63"/>
        <v>0-180 DAYS</v>
      </c>
      <c r="K498" t="s">
        <v>1730</v>
      </c>
      <c r="M498" s="158" t="s">
        <v>5241</v>
      </c>
      <c r="N498" s="158">
        <v>516154.39</v>
      </c>
    </row>
    <row r="499" spans="1:14" x14ac:dyDescent="0.35">
      <c r="A499" t="s">
        <v>1085</v>
      </c>
      <c r="B499" t="s">
        <v>790</v>
      </c>
      <c r="C499" t="s">
        <v>1086</v>
      </c>
      <c r="D499" t="s">
        <v>507</v>
      </c>
      <c r="E499" t="s">
        <v>5178</v>
      </c>
      <c r="F499" s="35">
        <v>46192</v>
      </c>
      <c r="G499" s="47">
        <v>3174069.6</v>
      </c>
      <c r="H499" s="37">
        <f t="shared" si="62"/>
        <v>43</v>
      </c>
      <c r="I499" s="37" t="str">
        <f t="shared" si="70"/>
        <v>0-120 DAYS</v>
      </c>
      <c r="J499" s="37" t="str">
        <f t="shared" si="63"/>
        <v>0-180 DAYS</v>
      </c>
      <c r="K499" t="s">
        <v>1730</v>
      </c>
      <c r="M499" s="158" t="s">
        <v>5241</v>
      </c>
      <c r="N499" s="158">
        <v>3174069.6</v>
      </c>
    </row>
    <row r="500" spans="1:14" x14ac:dyDescent="0.35">
      <c r="A500" t="s">
        <v>1085</v>
      </c>
      <c r="B500" t="s">
        <v>790</v>
      </c>
      <c r="C500" t="s">
        <v>1086</v>
      </c>
      <c r="D500" t="s">
        <v>507</v>
      </c>
      <c r="E500" t="s">
        <v>5179</v>
      </c>
      <c r="F500" s="35">
        <v>46192</v>
      </c>
      <c r="G500" s="47">
        <v>168293.736</v>
      </c>
      <c r="H500" s="37">
        <f t="shared" si="62"/>
        <v>43</v>
      </c>
      <c r="I500" s="37" t="str">
        <f t="shared" si="70"/>
        <v>0-120 DAYS</v>
      </c>
      <c r="J500" s="37" t="str">
        <f t="shared" si="63"/>
        <v>0-180 DAYS</v>
      </c>
      <c r="K500" t="s">
        <v>1730</v>
      </c>
      <c r="M500" s="158" t="s">
        <v>5241</v>
      </c>
      <c r="N500" s="158">
        <v>168293.74</v>
      </c>
    </row>
    <row r="501" spans="1:14" x14ac:dyDescent="0.35">
      <c r="A501" t="s">
        <v>1085</v>
      </c>
      <c r="B501" t="s">
        <v>790</v>
      </c>
      <c r="C501" t="s">
        <v>1086</v>
      </c>
      <c r="D501" t="s">
        <v>507</v>
      </c>
      <c r="E501" t="s">
        <v>5180</v>
      </c>
      <c r="F501" s="35">
        <v>46192</v>
      </c>
      <c r="G501" s="47">
        <v>49101.624000000003</v>
      </c>
      <c r="H501" s="37">
        <f t="shared" si="62"/>
        <v>43</v>
      </c>
      <c r="I501" s="37" t="str">
        <f t="shared" si="70"/>
        <v>0-120 DAYS</v>
      </c>
      <c r="J501" s="37" t="str">
        <f t="shared" si="63"/>
        <v>0-180 DAYS</v>
      </c>
      <c r="K501" t="s">
        <v>1730</v>
      </c>
      <c r="M501" s="158" t="s">
        <v>5241</v>
      </c>
      <c r="N501" s="158">
        <v>49101.62</v>
      </c>
    </row>
    <row r="502" spans="1:14" x14ac:dyDescent="0.35">
      <c r="A502" t="s">
        <v>1085</v>
      </c>
      <c r="B502" t="s">
        <v>790</v>
      </c>
      <c r="C502" t="s">
        <v>1086</v>
      </c>
      <c r="D502" t="s">
        <v>507</v>
      </c>
      <c r="E502" t="s">
        <v>5181</v>
      </c>
      <c r="F502" s="35">
        <v>46192</v>
      </c>
      <c r="G502" s="47">
        <v>1626300</v>
      </c>
      <c r="H502" s="37">
        <f t="shared" si="62"/>
        <v>43</v>
      </c>
      <c r="I502" s="37" t="str">
        <f t="shared" si="70"/>
        <v>0-120 DAYS</v>
      </c>
      <c r="J502" s="37" t="str">
        <f t="shared" si="63"/>
        <v>0-180 DAYS</v>
      </c>
      <c r="K502" t="s">
        <v>1730</v>
      </c>
      <c r="M502" s="158" t="s">
        <v>5241</v>
      </c>
      <c r="N502" s="158">
        <v>1626300</v>
      </c>
    </row>
    <row r="503" spans="1:14" x14ac:dyDescent="0.35">
      <c r="A503" t="s">
        <v>1085</v>
      </c>
      <c r="B503" t="s">
        <v>790</v>
      </c>
      <c r="C503" t="s">
        <v>1086</v>
      </c>
      <c r="D503" t="s">
        <v>507</v>
      </c>
      <c r="E503" t="s">
        <v>5182</v>
      </c>
      <c r="F503" s="35">
        <v>46192</v>
      </c>
      <c r="G503" s="47">
        <v>1329316.7092919</v>
      </c>
      <c r="H503" s="37">
        <f t="shared" si="62"/>
        <v>43</v>
      </c>
      <c r="I503" s="37" t="str">
        <f t="shared" si="70"/>
        <v>0-120 DAYS</v>
      </c>
      <c r="J503" s="37" t="str">
        <f t="shared" si="63"/>
        <v>0-180 DAYS</v>
      </c>
      <c r="K503" t="s">
        <v>1730</v>
      </c>
      <c r="M503" s="158" t="s">
        <v>5241</v>
      </c>
      <c r="N503" s="158">
        <v>1329316.71</v>
      </c>
    </row>
    <row r="504" spans="1:14" x14ac:dyDescent="0.35">
      <c r="A504" t="s">
        <v>1085</v>
      </c>
      <c r="B504" t="s">
        <v>790</v>
      </c>
      <c r="C504" t="s">
        <v>1086</v>
      </c>
      <c r="D504" t="s">
        <v>507</v>
      </c>
      <c r="E504" t="s">
        <v>5182</v>
      </c>
      <c r="F504" s="35">
        <v>46192</v>
      </c>
      <c r="G504" s="47">
        <v>43623.066708103601</v>
      </c>
      <c r="H504" s="37">
        <f t="shared" si="62"/>
        <v>43</v>
      </c>
      <c r="I504" s="37" t="str">
        <f t="shared" si="70"/>
        <v>0-120 DAYS</v>
      </c>
      <c r="J504" s="37" t="str">
        <f t="shared" si="63"/>
        <v>0-180 DAYS</v>
      </c>
      <c r="K504" t="s">
        <v>1730</v>
      </c>
      <c r="M504" s="158" t="s">
        <v>5241</v>
      </c>
      <c r="N504" s="158">
        <v>43623.07</v>
      </c>
    </row>
    <row r="505" spans="1:14" x14ac:dyDescent="0.35">
      <c r="A505" t="s">
        <v>1085</v>
      </c>
      <c r="B505" t="s">
        <v>790</v>
      </c>
      <c r="C505" t="s">
        <v>814</v>
      </c>
      <c r="D505" t="s">
        <v>5019</v>
      </c>
      <c r="E505" t="s">
        <v>5183</v>
      </c>
      <c r="F505" s="35">
        <v>46195</v>
      </c>
      <c r="G505" s="47">
        <v>365714.8</v>
      </c>
      <c r="H505" s="37">
        <f t="shared" si="62"/>
        <v>40</v>
      </c>
      <c r="I505" s="37" t="str">
        <f t="shared" si="70"/>
        <v>0-120 DAYS</v>
      </c>
      <c r="J505" s="37" t="str">
        <f t="shared" si="63"/>
        <v>0-180 DAYS</v>
      </c>
      <c r="K505" t="s">
        <v>1730</v>
      </c>
      <c r="M505" s="158" t="s">
        <v>5244</v>
      </c>
      <c r="N505" s="158">
        <v>365714.8</v>
      </c>
    </row>
    <row r="506" spans="1:14" x14ac:dyDescent="0.35">
      <c r="A506" t="s">
        <v>4333</v>
      </c>
      <c r="B506" t="s">
        <v>789</v>
      </c>
      <c r="C506" t="s">
        <v>125</v>
      </c>
      <c r="D506" t="s">
        <v>57</v>
      </c>
      <c r="E506" t="s">
        <v>5184</v>
      </c>
      <c r="F506" s="35">
        <v>46195</v>
      </c>
      <c r="G506" s="47">
        <v>26986.400000000001</v>
      </c>
      <c r="H506" s="37">
        <f t="shared" si="62"/>
        <v>40</v>
      </c>
      <c r="I506" s="37" t="str">
        <f t="shared" ref="I506:I510" si="71">IF(H506&lt;91,"1-90 DAYS",IF(H506&lt;121,"91-120DAYS",IF(H506&lt;181,"121-180 DAYS","More than 180 Days")))</f>
        <v>1-90 DAYS</v>
      </c>
      <c r="J506" s="37" t="str">
        <f t="shared" si="63"/>
        <v>0-180 DAYS</v>
      </c>
      <c r="M506" s="158" t="s">
        <v>5244</v>
      </c>
      <c r="N506" s="158">
        <v>26986.400000000001</v>
      </c>
    </row>
    <row r="507" spans="1:14" x14ac:dyDescent="0.35">
      <c r="A507" t="s">
        <v>4333</v>
      </c>
      <c r="B507" t="s">
        <v>789</v>
      </c>
      <c r="C507" t="s">
        <v>125</v>
      </c>
      <c r="D507" t="s">
        <v>57</v>
      </c>
      <c r="E507" t="s">
        <v>5184</v>
      </c>
      <c r="F507" s="35">
        <v>46195</v>
      </c>
      <c r="G507" s="47">
        <v>1080000</v>
      </c>
      <c r="H507" s="37">
        <f t="shared" si="62"/>
        <v>40</v>
      </c>
      <c r="I507" s="37" t="str">
        <f t="shared" si="71"/>
        <v>1-90 DAYS</v>
      </c>
      <c r="J507" s="37" t="str">
        <f t="shared" si="63"/>
        <v>0-180 DAYS</v>
      </c>
      <c r="M507" s="158" t="s">
        <v>5244</v>
      </c>
      <c r="N507" s="158">
        <v>1080000</v>
      </c>
    </row>
    <row r="508" spans="1:14" x14ac:dyDescent="0.35">
      <c r="A508" t="s">
        <v>4333</v>
      </c>
      <c r="B508" t="s">
        <v>789</v>
      </c>
      <c r="C508" t="s">
        <v>125</v>
      </c>
      <c r="D508" t="s">
        <v>57</v>
      </c>
      <c r="E508" t="s">
        <v>5184</v>
      </c>
      <c r="F508" s="35">
        <v>46195</v>
      </c>
      <c r="G508" s="47">
        <v>261324</v>
      </c>
      <c r="H508" s="37">
        <f t="shared" si="62"/>
        <v>40</v>
      </c>
      <c r="I508" s="37" t="str">
        <f t="shared" si="71"/>
        <v>1-90 DAYS</v>
      </c>
      <c r="J508" s="37" t="str">
        <f t="shared" si="63"/>
        <v>0-180 DAYS</v>
      </c>
      <c r="M508" s="158" t="s">
        <v>5244</v>
      </c>
      <c r="N508" s="158">
        <v>261324</v>
      </c>
    </row>
    <row r="509" spans="1:14" x14ac:dyDescent="0.35">
      <c r="A509" t="s">
        <v>4333</v>
      </c>
      <c r="B509" t="s">
        <v>789</v>
      </c>
      <c r="C509" t="s">
        <v>125</v>
      </c>
      <c r="D509" t="s">
        <v>57</v>
      </c>
      <c r="E509" t="s">
        <v>5185</v>
      </c>
      <c r="F509" s="35">
        <v>46195</v>
      </c>
      <c r="G509" s="47">
        <v>3552</v>
      </c>
      <c r="H509" s="37">
        <f t="shared" si="62"/>
        <v>40</v>
      </c>
      <c r="I509" s="37" t="str">
        <f t="shared" si="71"/>
        <v>1-90 DAYS</v>
      </c>
      <c r="J509" s="37" t="str">
        <f t="shared" si="63"/>
        <v>0-180 DAYS</v>
      </c>
      <c r="M509" s="158" t="s">
        <v>5244</v>
      </c>
      <c r="N509" s="158">
        <v>3552</v>
      </c>
    </row>
    <row r="510" spans="1:14" x14ac:dyDescent="0.35">
      <c r="A510" t="s">
        <v>4333</v>
      </c>
      <c r="B510" t="s">
        <v>789</v>
      </c>
      <c r="C510" t="s">
        <v>125</v>
      </c>
      <c r="D510" t="s">
        <v>57</v>
      </c>
      <c r="E510" t="s">
        <v>5186</v>
      </c>
      <c r="F510" s="35">
        <v>46195</v>
      </c>
      <c r="G510" s="47">
        <v>182388.29</v>
      </c>
      <c r="H510" s="37">
        <f t="shared" si="62"/>
        <v>40</v>
      </c>
      <c r="I510" s="37" t="str">
        <f t="shared" si="71"/>
        <v>1-90 DAYS</v>
      </c>
      <c r="J510" s="37" t="str">
        <f t="shared" si="63"/>
        <v>0-180 DAYS</v>
      </c>
      <c r="M510" s="158" t="s">
        <v>5244</v>
      </c>
      <c r="N510" s="158">
        <v>182388.29</v>
      </c>
    </row>
    <row r="511" spans="1:14" x14ac:dyDescent="0.35">
      <c r="A511" t="s">
        <v>1085</v>
      </c>
      <c r="B511" t="s">
        <v>790</v>
      </c>
      <c r="C511" t="s">
        <v>653</v>
      </c>
      <c r="D511" t="s">
        <v>507</v>
      </c>
      <c r="E511" t="s">
        <v>5187</v>
      </c>
      <c r="F511" s="35">
        <v>46196</v>
      </c>
      <c r="G511" s="47">
        <v>4502628</v>
      </c>
      <c r="H511" s="37">
        <f t="shared" si="62"/>
        <v>39</v>
      </c>
      <c r="I511" s="37" t="str">
        <f t="shared" ref="I511" si="72">IF(H511&lt;121,"0-120 DAYS",IF(H511&lt;181,"121-180 DAYS","More than 180 Days"))</f>
        <v>0-120 DAYS</v>
      </c>
      <c r="J511" s="37" t="str">
        <f t="shared" si="63"/>
        <v>0-180 DAYS</v>
      </c>
      <c r="K511" t="s">
        <v>1730</v>
      </c>
      <c r="M511" s="158" t="s">
        <v>5245</v>
      </c>
      <c r="N511" s="158">
        <v>4502628</v>
      </c>
    </row>
    <row r="512" spans="1:14" x14ac:dyDescent="0.35">
      <c r="A512" t="s">
        <v>4333</v>
      </c>
      <c r="B512" t="s">
        <v>789</v>
      </c>
      <c r="C512" t="s">
        <v>125</v>
      </c>
      <c r="D512" t="s">
        <v>57</v>
      </c>
      <c r="E512" t="s">
        <v>5188</v>
      </c>
      <c r="F512" s="35">
        <v>46198</v>
      </c>
      <c r="G512" s="47">
        <v>4681832.75</v>
      </c>
      <c r="H512" s="37">
        <f t="shared" si="62"/>
        <v>37</v>
      </c>
      <c r="I512" s="37" t="str">
        <f t="shared" ref="I512:I514" si="73">IF(H512&lt;91,"1-90 DAYS",IF(H512&lt;121,"91-120DAYS",IF(H512&lt;181,"121-180 DAYS","More than 180 Days")))</f>
        <v>1-90 DAYS</v>
      </c>
      <c r="J512" s="37" t="str">
        <f t="shared" si="63"/>
        <v>0-180 DAYS</v>
      </c>
      <c r="M512" s="158" t="s">
        <v>5247</v>
      </c>
      <c r="N512" s="158">
        <v>4681832.75</v>
      </c>
    </row>
    <row r="513" spans="1:14" x14ac:dyDescent="0.35">
      <c r="A513" t="s">
        <v>4333</v>
      </c>
      <c r="B513" t="s">
        <v>789</v>
      </c>
      <c r="C513" t="s">
        <v>125</v>
      </c>
      <c r="D513" t="s">
        <v>57</v>
      </c>
      <c r="E513" t="s">
        <v>1990</v>
      </c>
      <c r="F513" s="35">
        <v>46199</v>
      </c>
      <c r="G513" s="47">
        <v>256200</v>
      </c>
      <c r="H513" s="37">
        <f t="shared" si="62"/>
        <v>36</v>
      </c>
      <c r="I513" s="37" t="str">
        <f t="shared" si="73"/>
        <v>1-90 DAYS</v>
      </c>
      <c r="J513" s="37" t="str">
        <f t="shared" si="63"/>
        <v>0-180 DAYS</v>
      </c>
      <c r="M513" s="158" t="s">
        <v>5248</v>
      </c>
      <c r="N513" s="158">
        <v>256200</v>
      </c>
    </row>
    <row r="514" spans="1:14" x14ac:dyDescent="0.35">
      <c r="A514" t="s">
        <v>4333</v>
      </c>
      <c r="B514" t="s">
        <v>789</v>
      </c>
      <c r="C514" t="s">
        <v>125</v>
      </c>
      <c r="D514" t="s">
        <v>57</v>
      </c>
      <c r="E514" t="s">
        <v>1991</v>
      </c>
      <c r="F514" s="35">
        <v>46199</v>
      </c>
      <c r="G514" s="47">
        <v>2688</v>
      </c>
      <c r="H514" s="37">
        <f t="shared" si="62"/>
        <v>36</v>
      </c>
      <c r="I514" s="37" t="str">
        <f t="shared" si="73"/>
        <v>1-90 DAYS</v>
      </c>
      <c r="J514" s="37" t="str">
        <f t="shared" si="63"/>
        <v>0-180 DAYS</v>
      </c>
      <c r="M514" s="158" t="s">
        <v>5248</v>
      </c>
      <c r="N514" s="158">
        <v>2688</v>
      </c>
    </row>
    <row r="515" spans="1:14" x14ac:dyDescent="0.35">
      <c r="A515" t="s">
        <v>1085</v>
      </c>
      <c r="B515" t="s">
        <v>790</v>
      </c>
      <c r="C515" t="s">
        <v>650</v>
      </c>
      <c r="D515" t="s">
        <v>507</v>
      </c>
      <c r="E515" t="s">
        <v>5189</v>
      </c>
      <c r="F515" s="35">
        <v>46199</v>
      </c>
      <c r="G515" s="47">
        <v>4384411.2</v>
      </c>
      <c r="H515" s="37">
        <f t="shared" si="62"/>
        <v>36</v>
      </c>
      <c r="I515" s="37" t="str">
        <f t="shared" ref="I515:I516" si="74">IF(H515&lt;121,"0-120 DAYS",IF(H515&lt;181,"121-180 DAYS","More than 180 Days"))</f>
        <v>0-120 DAYS</v>
      </c>
      <c r="J515" s="37" t="str">
        <f t="shared" si="63"/>
        <v>0-180 DAYS</v>
      </c>
      <c r="K515" t="s">
        <v>1730</v>
      </c>
      <c r="M515" s="158" t="s">
        <v>5248</v>
      </c>
      <c r="N515" s="158">
        <v>4384411.2</v>
      </c>
    </row>
    <row r="516" spans="1:14" x14ac:dyDescent="0.35">
      <c r="A516" t="s">
        <v>1085</v>
      </c>
      <c r="B516" t="s">
        <v>790</v>
      </c>
      <c r="C516" t="s">
        <v>650</v>
      </c>
      <c r="D516" t="s">
        <v>507</v>
      </c>
      <c r="E516" t="s">
        <v>5189</v>
      </c>
      <c r="F516" s="35">
        <v>46199</v>
      </c>
      <c r="G516" s="47">
        <v>1152513.648</v>
      </c>
      <c r="H516" s="37">
        <f t="shared" si="62"/>
        <v>36</v>
      </c>
      <c r="I516" s="37" t="str">
        <f t="shared" si="74"/>
        <v>0-120 DAYS</v>
      </c>
      <c r="J516" s="37" t="str">
        <f t="shared" si="63"/>
        <v>0-180 DAYS</v>
      </c>
      <c r="K516" t="s">
        <v>1730</v>
      </c>
      <c r="M516" s="158" t="s">
        <v>5248</v>
      </c>
      <c r="N516" s="158">
        <v>1152513.6499999999</v>
      </c>
    </row>
    <row r="517" spans="1:14" x14ac:dyDescent="0.35">
      <c r="A517" s="2" t="s">
        <v>477</v>
      </c>
      <c r="B517" s="2" t="s">
        <v>790</v>
      </c>
      <c r="C517" t="s">
        <v>4780</v>
      </c>
      <c r="D517" t="s">
        <v>4783</v>
      </c>
      <c r="E517" t="s">
        <v>5306</v>
      </c>
      <c r="F517" s="35">
        <v>46206</v>
      </c>
      <c r="G517" s="47">
        <v>52000</v>
      </c>
      <c r="H517" s="37">
        <f t="shared" si="62"/>
        <v>29</v>
      </c>
      <c r="I517" s="37" t="str">
        <f t="shared" ref="I517" si="75">IF(H517&lt;91,"1-90 DAYS",IF(H517&lt;121,"91-120DAYS",IF(H517&lt;181,"121-180 DAYS","More than 180 Days")))</f>
        <v>1-90 DAYS</v>
      </c>
      <c r="J517" s="37" t="str">
        <f t="shared" si="63"/>
        <v>0-180 DAYS</v>
      </c>
      <c r="M517" s="158"/>
      <c r="N517" s="158"/>
    </row>
    <row r="518" spans="1:14" x14ac:dyDescent="0.35">
      <c r="A518" s="2" t="s">
        <v>1085</v>
      </c>
      <c r="B518" s="2" t="s">
        <v>790</v>
      </c>
      <c r="C518" t="s">
        <v>1055</v>
      </c>
      <c r="D518" s="37" t="s">
        <v>507</v>
      </c>
      <c r="E518" t="s">
        <v>5307</v>
      </c>
      <c r="F518" s="35">
        <v>46208</v>
      </c>
      <c r="G518" s="47">
        <v>4623201</v>
      </c>
      <c r="H518" s="37">
        <f t="shared" si="62"/>
        <v>27</v>
      </c>
      <c r="I518" s="37" t="str">
        <f t="shared" ref="I518:I559" si="76">IF(H518&lt;121,"0-120 DAYS",IF(H518&lt;181,"121-180 DAYS","More than 180 Days"))</f>
        <v>0-120 DAYS</v>
      </c>
      <c r="J518" s="37" t="str">
        <f t="shared" si="63"/>
        <v>0-180 DAYS</v>
      </c>
      <c r="M518" s="158"/>
      <c r="N518" s="158"/>
    </row>
    <row r="519" spans="1:14" x14ac:dyDescent="0.35">
      <c r="A519" s="2" t="s">
        <v>1085</v>
      </c>
      <c r="B519" s="2" t="s">
        <v>790</v>
      </c>
      <c r="C519" t="s">
        <v>609</v>
      </c>
      <c r="D519" s="37" t="s">
        <v>507</v>
      </c>
      <c r="E519" t="s">
        <v>5308</v>
      </c>
      <c r="F519" s="35">
        <v>46209</v>
      </c>
      <c r="G519" s="47">
        <v>3975339.5</v>
      </c>
      <c r="H519" s="37">
        <f t="shared" si="62"/>
        <v>26</v>
      </c>
      <c r="I519" s="37" t="str">
        <f t="shared" si="76"/>
        <v>0-120 DAYS</v>
      </c>
      <c r="J519" s="37" t="str">
        <f t="shared" si="63"/>
        <v>0-180 DAYS</v>
      </c>
      <c r="M519" s="158"/>
      <c r="N519" s="158"/>
    </row>
    <row r="520" spans="1:14" x14ac:dyDescent="0.35">
      <c r="A520" s="2" t="s">
        <v>477</v>
      </c>
      <c r="B520" s="2" t="s">
        <v>790</v>
      </c>
      <c r="C520" t="s">
        <v>1196</v>
      </c>
      <c r="D520" t="s">
        <v>1208</v>
      </c>
      <c r="E520" t="s">
        <v>2332</v>
      </c>
      <c r="F520" s="35">
        <v>46209</v>
      </c>
      <c r="G520" s="47">
        <v>1992000</v>
      </c>
      <c r="H520" s="37">
        <f t="shared" si="62"/>
        <v>26</v>
      </c>
      <c r="I520" s="37" t="str">
        <f t="shared" ref="I520" si="77">IF(H520&lt;91,"1-90 DAYS",IF(H520&lt;121,"91-120DAYS",IF(H520&lt;181,"121-180 DAYS","More than 180 Days")))</f>
        <v>1-90 DAYS</v>
      </c>
      <c r="J520" s="37" t="str">
        <f t="shared" si="63"/>
        <v>0-180 DAYS</v>
      </c>
      <c r="M520" s="158"/>
      <c r="N520" s="158"/>
    </row>
    <row r="521" spans="1:14" x14ac:dyDescent="0.35">
      <c r="A521" s="2" t="s">
        <v>1085</v>
      </c>
      <c r="B521" s="2" t="s">
        <v>790</v>
      </c>
      <c r="C521" t="s">
        <v>631</v>
      </c>
      <c r="D521" s="37" t="s">
        <v>507</v>
      </c>
      <c r="E521" t="s">
        <v>5309</v>
      </c>
      <c r="F521" s="35">
        <v>46211</v>
      </c>
      <c r="G521" s="47">
        <v>4862748</v>
      </c>
      <c r="H521" s="37">
        <f t="shared" ref="H521:H584" si="78">$H$1-F521+1</f>
        <v>24</v>
      </c>
      <c r="I521" s="37" t="str">
        <f t="shared" si="76"/>
        <v>0-120 DAYS</v>
      </c>
      <c r="J521" s="37" t="str">
        <f t="shared" si="63"/>
        <v>0-180 DAYS</v>
      </c>
      <c r="M521" s="158"/>
      <c r="N521" s="158"/>
    </row>
    <row r="522" spans="1:14" x14ac:dyDescent="0.35">
      <c r="A522" s="2" t="s">
        <v>477</v>
      </c>
      <c r="B522" s="2" t="s">
        <v>790</v>
      </c>
      <c r="C522" t="s">
        <v>4780</v>
      </c>
      <c r="D522" t="s">
        <v>4783</v>
      </c>
      <c r="E522" t="s">
        <v>5310</v>
      </c>
      <c r="F522" s="35">
        <v>46214</v>
      </c>
      <c r="G522" s="47">
        <v>213942.96</v>
      </c>
      <c r="H522" s="37">
        <f t="shared" si="78"/>
        <v>21</v>
      </c>
      <c r="I522" s="37" t="str">
        <f t="shared" ref="I522" si="79">IF(H522&lt;91,"1-90 DAYS",IF(H522&lt;121,"91-120DAYS",IF(H522&lt;181,"121-180 DAYS","More than 180 Days")))</f>
        <v>1-90 DAYS</v>
      </c>
      <c r="J522" s="37" t="str">
        <f t="shared" ref="J522:J585" si="80">IF(H522&lt;180,"0-180 DAYS","More than 180 Days")</f>
        <v>0-180 DAYS</v>
      </c>
      <c r="M522" s="158"/>
      <c r="N522" s="158"/>
    </row>
    <row r="523" spans="1:14" x14ac:dyDescent="0.35">
      <c r="A523" s="2" t="s">
        <v>1085</v>
      </c>
      <c r="B523" s="2" t="s">
        <v>790</v>
      </c>
      <c r="C523" t="s">
        <v>4403</v>
      </c>
      <c r="D523" s="37" t="s">
        <v>507</v>
      </c>
      <c r="E523" t="s">
        <v>5311</v>
      </c>
      <c r="F523" s="35">
        <v>46214</v>
      </c>
      <c r="G523" s="47">
        <v>3855192</v>
      </c>
      <c r="H523" s="37">
        <f t="shared" si="78"/>
        <v>21</v>
      </c>
      <c r="I523" s="37" t="str">
        <f t="shared" si="76"/>
        <v>0-120 DAYS</v>
      </c>
      <c r="J523" s="37" t="str">
        <f t="shared" si="80"/>
        <v>0-180 DAYS</v>
      </c>
      <c r="M523" s="158"/>
      <c r="N523" s="158"/>
    </row>
    <row r="524" spans="1:14" x14ac:dyDescent="0.35">
      <c r="A524" s="2" t="s">
        <v>477</v>
      </c>
      <c r="B524" s="2" t="s">
        <v>790</v>
      </c>
      <c r="C524" t="s">
        <v>814</v>
      </c>
      <c r="D524" t="s">
        <v>5019</v>
      </c>
      <c r="E524" t="s">
        <v>5312</v>
      </c>
      <c r="F524" s="35">
        <v>46215</v>
      </c>
      <c r="G524" s="47">
        <v>545324</v>
      </c>
      <c r="H524" s="37">
        <f t="shared" si="78"/>
        <v>20</v>
      </c>
      <c r="I524" s="37" t="str">
        <f t="shared" ref="I524:I537" si="81">IF(H524&lt;91,"1-90 DAYS",IF(H524&lt;121,"91-120DAYS",IF(H524&lt;181,"121-180 DAYS","More than 180 Days")))</f>
        <v>1-90 DAYS</v>
      </c>
      <c r="J524" s="37" t="str">
        <f t="shared" si="80"/>
        <v>0-180 DAYS</v>
      </c>
      <c r="M524" s="158"/>
      <c r="N524" s="158"/>
    </row>
    <row r="525" spans="1:14" x14ac:dyDescent="0.35">
      <c r="A525" s="2" t="s">
        <v>477</v>
      </c>
      <c r="B525" s="2" t="s">
        <v>790</v>
      </c>
      <c r="C525" t="s">
        <v>814</v>
      </c>
      <c r="D525" t="s">
        <v>5019</v>
      </c>
      <c r="E525" t="s">
        <v>5312</v>
      </c>
      <c r="F525" s="35">
        <v>46215</v>
      </c>
      <c r="G525" s="47">
        <v>39750</v>
      </c>
      <c r="H525" s="37">
        <f t="shared" si="78"/>
        <v>20</v>
      </c>
      <c r="I525" s="37" t="str">
        <f t="shared" si="81"/>
        <v>1-90 DAYS</v>
      </c>
      <c r="J525" s="37" t="str">
        <f t="shared" si="80"/>
        <v>0-180 DAYS</v>
      </c>
      <c r="M525" s="158"/>
      <c r="N525" s="158"/>
    </row>
    <row r="526" spans="1:14" x14ac:dyDescent="0.35">
      <c r="A526" s="2" t="s">
        <v>477</v>
      </c>
      <c r="B526" s="2" t="s">
        <v>790</v>
      </c>
      <c r="C526" t="s">
        <v>814</v>
      </c>
      <c r="D526" t="s">
        <v>5019</v>
      </c>
      <c r="E526" t="s">
        <v>5312</v>
      </c>
      <c r="F526" s="35">
        <v>46215</v>
      </c>
      <c r="G526" s="47">
        <v>10800</v>
      </c>
      <c r="H526" s="37">
        <f t="shared" si="78"/>
        <v>20</v>
      </c>
      <c r="I526" s="37" t="str">
        <f t="shared" si="81"/>
        <v>1-90 DAYS</v>
      </c>
      <c r="J526" s="37" t="str">
        <f t="shared" si="80"/>
        <v>0-180 DAYS</v>
      </c>
      <c r="M526" s="158"/>
      <c r="N526" s="158"/>
    </row>
    <row r="527" spans="1:14" x14ac:dyDescent="0.35">
      <c r="A527" s="2" t="s">
        <v>477</v>
      </c>
      <c r="B527" s="2" t="s">
        <v>790</v>
      </c>
      <c r="C527" t="s">
        <v>814</v>
      </c>
      <c r="D527" t="s">
        <v>5019</v>
      </c>
      <c r="E527" t="s">
        <v>5312</v>
      </c>
      <c r="F527" s="35">
        <v>46215</v>
      </c>
      <c r="G527" s="47">
        <v>11800</v>
      </c>
      <c r="H527" s="37">
        <f t="shared" si="78"/>
        <v>20</v>
      </c>
      <c r="I527" s="37" t="str">
        <f t="shared" si="81"/>
        <v>1-90 DAYS</v>
      </c>
      <c r="J527" s="37" t="str">
        <f t="shared" si="80"/>
        <v>0-180 DAYS</v>
      </c>
      <c r="M527" s="158"/>
      <c r="N527" s="158"/>
    </row>
    <row r="528" spans="1:14" x14ac:dyDescent="0.35">
      <c r="A528" s="2" t="s">
        <v>477</v>
      </c>
      <c r="B528" s="2" t="s">
        <v>790</v>
      </c>
      <c r="C528" t="s">
        <v>814</v>
      </c>
      <c r="D528" t="s">
        <v>5019</v>
      </c>
      <c r="E528" t="s">
        <v>5312</v>
      </c>
      <c r="F528" s="35">
        <v>46215</v>
      </c>
      <c r="G528" s="47">
        <v>52800</v>
      </c>
      <c r="H528" s="37">
        <f t="shared" si="78"/>
        <v>20</v>
      </c>
      <c r="I528" s="37" t="str">
        <f t="shared" si="81"/>
        <v>1-90 DAYS</v>
      </c>
      <c r="J528" s="37" t="str">
        <f t="shared" si="80"/>
        <v>0-180 DAYS</v>
      </c>
      <c r="M528" s="158"/>
      <c r="N528" s="158"/>
    </row>
    <row r="529" spans="1:14" x14ac:dyDescent="0.35">
      <c r="A529" s="2" t="s">
        <v>477</v>
      </c>
      <c r="B529" s="2" t="s">
        <v>790</v>
      </c>
      <c r="C529" t="s">
        <v>814</v>
      </c>
      <c r="D529" t="s">
        <v>5019</v>
      </c>
      <c r="E529" t="s">
        <v>5313</v>
      </c>
      <c r="F529" s="35">
        <v>46216</v>
      </c>
      <c r="G529" s="47">
        <v>1610000</v>
      </c>
      <c r="H529" s="37">
        <f t="shared" si="78"/>
        <v>19</v>
      </c>
      <c r="I529" s="37" t="str">
        <f t="shared" si="81"/>
        <v>1-90 DAYS</v>
      </c>
      <c r="J529" s="37" t="str">
        <f t="shared" si="80"/>
        <v>0-180 DAYS</v>
      </c>
      <c r="M529" s="158"/>
      <c r="N529" s="158"/>
    </row>
    <row r="530" spans="1:14" x14ac:dyDescent="0.35">
      <c r="A530" s="2" t="s">
        <v>477</v>
      </c>
      <c r="B530" s="2" t="s">
        <v>790</v>
      </c>
      <c r="C530" t="s">
        <v>814</v>
      </c>
      <c r="D530" t="s">
        <v>5019</v>
      </c>
      <c r="E530" t="s">
        <v>5314</v>
      </c>
      <c r="F530" s="35">
        <v>46217</v>
      </c>
      <c r="G530" s="47">
        <v>612800</v>
      </c>
      <c r="H530" s="37">
        <f t="shared" si="78"/>
        <v>18</v>
      </c>
      <c r="I530" s="37" t="str">
        <f t="shared" si="81"/>
        <v>1-90 DAYS</v>
      </c>
      <c r="J530" s="37" t="str">
        <f t="shared" si="80"/>
        <v>0-180 DAYS</v>
      </c>
      <c r="M530" s="158"/>
      <c r="N530" s="158"/>
    </row>
    <row r="531" spans="1:14" x14ac:dyDescent="0.35">
      <c r="A531" s="2" t="s">
        <v>477</v>
      </c>
      <c r="B531" s="2" t="s">
        <v>790</v>
      </c>
      <c r="C531" t="s">
        <v>814</v>
      </c>
      <c r="D531" t="s">
        <v>5019</v>
      </c>
      <c r="E531" t="s">
        <v>5314</v>
      </c>
      <c r="F531" s="35">
        <v>46217</v>
      </c>
      <c r="G531" s="47">
        <v>1283400</v>
      </c>
      <c r="H531" s="37">
        <f t="shared" si="78"/>
        <v>18</v>
      </c>
      <c r="I531" s="37" t="str">
        <f t="shared" si="81"/>
        <v>1-90 DAYS</v>
      </c>
      <c r="J531" s="37" t="str">
        <f t="shared" si="80"/>
        <v>0-180 DAYS</v>
      </c>
      <c r="M531" s="158"/>
      <c r="N531" s="158"/>
    </row>
    <row r="532" spans="1:14" x14ac:dyDescent="0.35">
      <c r="A532" s="2" t="s">
        <v>477</v>
      </c>
      <c r="B532" s="2" t="s">
        <v>790</v>
      </c>
      <c r="C532" t="s">
        <v>3536</v>
      </c>
      <c r="D532" t="s">
        <v>3541</v>
      </c>
      <c r="E532" t="s">
        <v>5315</v>
      </c>
      <c r="F532" s="35">
        <v>46218</v>
      </c>
      <c r="G532" s="47">
        <v>17125800</v>
      </c>
      <c r="H532" s="37">
        <f t="shared" si="78"/>
        <v>17</v>
      </c>
      <c r="I532" s="37" t="str">
        <f t="shared" si="81"/>
        <v>1-90 DAYS</v>
      </c>
      <c r="J532" s="37" t="str">
        <f t="shared" si="80"/>
        <v>0-180 DAYS</v>
      </c>
      <c r="M532" s="158"/>
      <c r="N532" s="158"/>
    </row>
    <row r="533" spans="1:14" x14ac:dyDescent="0.35">
      <c r="A533" s="2" t="s">
        <v>477</v>
      </c>
      <c r="B533" s="2" t="s">
        <v>790</v>
      </c>
      <c r="C533" t="s">
        <v>26</v>
      </c>
      <c r="D533" t="s">
        <v>27</v>
      </c>
      <c r="E533" t="s">
        <v>5316</v>
      </c>
      <c r="F533" s="35">
        <v>46220</v>
      </c>
      <c r="G533" s="47">
        <v>274660</v>
      </c>
      <c r="H533" s="37">
        <f t="shared" si="78"/>
        <v>15</v>
      </c>
      <c r="I533" s="37" t="str">
        <f t="shared" si="81"/>
        <v>1-90 DAYS</v>
      </c>
      <c r="J533" s="37" t="str">
        <f t="shared" si="80"/>
        <v>0-180 DAYS</v>
      </c>
      <c r="M533" s="158"/>
      <c r="N533" s="158"/>
    </row>
    <row r="534" spans="1:14" x14ac:dyDescent="0.35">
      <c r="A534" s="2" t="s">
        <v>477</v>
      </c>
      <c r="B534" s="2" t="s">
        <v>790</v>
      </c>
      <c r="C534" t="s">
        <v>26</v>
      </c>
      <c r="D534" t="s">
        <v>27</v>
      </c>
      <c r="E534" t="s">
        <v>5316</v>
      </c>
      <c r="F534" s="35">
        <v>46220</v>
      </c>
      <c r="G534" s="47">
        <v>174375</v>
      </c>
      <c r="H534" s="37">
        <f t="shared" si="78"/>
        <v>15</v>
      </c>
      <c r="I534" s="37" t="str">
        <f t="shared" si="81"/>
        <v>1-90 DAYS</v>
      </c>
      <c r="J534" s="37" t="str">
        <f t="shared" si="80"/>
        <v>0-180 DAYS</v>
      </c>
      <c r="M534" s="158"/>
      <c r="N534" s="158"/>
    </row>
    <row r="535" spans="1:14" x14ac:dyDescent="0.35">
      <c r="A535" s="2" t="s">
        <v>477</v>
      </c>
      <c r="B535" s="2" t="s">
        <v>790</v>
      </c>
      <c r="C535" t="s">
        <v>814</v>
      </c>
      <c r="D535" t="s">
        <v>5019</v>
      </c>
      <c r="E535" t="s">
        <v>5317</v>
      </c>
      <c r="F535" s="35">
        <v>46220</v>
      </c>
      <c r="G535" s="47">
        <v>145000</v>
      </c>
      <c r="H535" s="37">
        <f t="shared" si="78"/>
        <v>15</v>
      </c>
      <c r="I535" s="37" t="str">
        <f t="shared" si="81"/>
        <v>1-90 DAYS</v>
      </c>
      <c r="J535" s="37" t="str">
        <f t="shared" si="80"/>
        <v>0-180 DAYS</v>
      </c>
      <c r="M535" s="158"/>
      <c r="N535" s="158"/>
    </row>
    <row r="536" spans="1:14" x14ac:dyDescent="0.35">
      <c r="A536" s="2" t="s">
        <v>477</v>
      </c>
      <c r="B536" s="2" t="s">
        <v>790</v>
      </c>
      <c r="C536" t="s">
        <v>1196</v>
      </c>
      <c r="D536" t="s">
        <v>1208</v>
      </c>
      <c r="E536" t="s">
        <v>5318</v>
      </c>
      <c r="F536" s="35">
        <v>46221</v>
      </c>
      <c r="G536" s="47">
        <v>1962000</v>
      </c>
      <c r="H536" s="37">
        <f t="shared" si="78"/>
        <v>14</v>
      </c>
      <c r="I536" s="37" t="str">
        <f t="shared" si="81"/>
        <v>1-90 DAYS</v>
      </c>
      <c r="J536" s="37" t="str">
        <f t="shared" si="80"/>
        <v>0-180 DAYS</v>
      </c>
      <c r="M536" s="158"/>
      <c r="N536" s="158"/>
    </row>
    <row r="537" spans="1:14" x14ac:dyDescent="0.35">
      <c r="A537" s="2" t="s">
        <v>477</v>
      </c>
      <c r="B537" s="2" t="s">
        <v>790</v>
      </c>
      <c r="C537" t="s">
        <v>5072</v>
      </c>
      <c r="D537" t="s">
        <v>5075</v>
      </c>
      <c r="E537" t="s">
        <v>5319</v>
      </c>
      <c r="F537" s="35">
        <v>46223</v>
      </c>
      <c r="G537" s="47">
        <v>297980</v>
      </c>
      <c r="H537" s="37">
        <f t="shared" si="78"/>
        <v>12</v>
      </c>
      <c r="I537" s="37" t="str">
        <f t="shared" si="81"/>
        <v>1-90 DAYS</v>
      </c>
      <c r="J537" s="37" t="str">
        <f t="shared" si="80"/>
        <v>0-180 DAYS</v>
      </c>
      <c r="M537" s="158"/>
      <c r="N537" s="158"/>
    </row>
    <row r="538" spans="1:14" x14ac:dyDescent="0.35">
      <c r="A538" s="2" t="s">
        <v>1085</v>
      </c>
      <c r="B538" s="2" t="s">
        <v>790</v>
      </c>
      <c r="C538" t="s">
        <v>575</v>
      </c>
      <c r="D538" s="37" t="s">
        <v>507</v>
      </c>
      <c r="E538" t="s">
        <v>5320</v>
      </c>
      <c r="F538" s="35">
        <v>46224</v>
      </c>
      <c r="G538" s="47">
        <v>1387280.2919999999</v>
      </c>
      <c r="H538" s="37">
        <f t="shared" si="78"/>
        <v>11</v>
      </c>
      <c r="I538" s="37" t="str">
        <f t="shared" si="76"/>
        <v>0-120 DAYS</v>
      </c>
      <c r="J538" s="37" t="str">
        <f t="shared" si="80"/>
        <v>0-180 DAYS</v>
      </c>
      <c r="M538" s="158"/>
      <c r="N538" s="158"/>
    </row>
    <row r="539" spans="1:14" x14ac:dyDescent="0.35">
      <c r="A539" s="2" t="s">
        <v>1085</v>
      </c>
      <c r="B539" s="2" t="s">
        <v>790</v>
      </c>
      <c r="C539" t="s">
        <v>575</v>
      </c>
      <c r="D539" s="37" t="s">
        <v>507</v>
      </c>
      <c r="E539" t="s">
        <v>5320</v>
      </c>
      <c r="F539" s="35">
        <v>46224</v>
      </c>
      <c r="G539" s="47">
        <v>3653823.108</v>
      </c>
      <c r="H539" s="37">
        <f t="shared" si="78"/>
        <v>11</v>
      </c>
      <c r="I539" s="37" t="str">
        <f t="shared" si="76"/>
        <v>0-120 DAYS</v>
      </c>
      <c r="J539" s="37" t="str">
        <f t="shared" si="80"/>
        <v>0-180 DAYS</v>
      </c>
      <c r="M539" s="158"/>
      <c r="N539" s="158"/>
    </row>
    <row r="540" spans="1:14" x14ac:dyDescent="0.35">
      <c r="A540" s="2" t="s">
        <v>477</v>
      </c>
      <c r="B540" s="2" t="s">
        <v>790</v>
      </c>
      <c r="C540" t="s">
        <v>5296</v>
      </c>
      <c r="D540" t="s">
        <v>5301</v>
      </c>
      <c r="E540" t="s">
        <v>5321</v>
      </c>
      <c r="F540" s="35">
        <v>46224</v>
      </c>
      <c r="G540" s="47">
        <v>7881</v>
      </c>
      <c r="H540" s="37">
        <f t="shared" si="78"/>
        <v>11</v>
      </c>
      <c r="I540" s="37" t="str">
        <f t="shared" ref="I540" si="82">IF(H540&lt;91,"1-90 DAYS",IF(H540&lt;121,"91-120DAYS",IF(H540&lt;181,"121-180 DAYS","More than 180 Days")))</f>
        <v>1-90 DAYS</v>
      </c>
      <c r="J540" s="37" t="str">
        <f t="shared" si="80"/>
        <v>0-180 DAYS</v>
      </c>
      <c r="M540" s="158"/>
      <c r="N540" s="158"/>
    </row>
    <row r="541" spans="1:14" x14ac:dyDescent="0.35">
      <c r="A541" s="2" t="s">
        <v>1085</v>
      </c>
      <c r="B541" s="2" t="s">
        <v>790</v>
      </c>
      <c r="C541" t="s">
        <v>540</v>
      </c>
      <c r="D541" s="37" t="s">
        <v>507</v>
      </c>
      <c r="E541" t="s">
        <v>5322</v>
      </c>
      <c r="F541" s="35">
        <v>46224</v>
      </c>
      <c r="G541" s="47">
        <v>4343630.76</v>
      </c>
      <c r="H541" s="37">
        <f t="shared" si="78"/>
        <v>11</v>
      </c>
      <c r="I541" s="37" t="str">
        <f t="shared" si="76"/>
        <v>0-120 DAYS</v>
      </c>
      <c r="J541" s="37" t="str">
        <f t="shared" si="80"/>
        <v>0-180 DAYS</v>
      </c>
      <c r="M541" s="158"/>
      <c r="N541" s="158"/>
    </row>
    <row r="542" spans="1:14" x14ac:dyDescent="0.35">
      <c r="A542" s="2" t="s">
        <v>477</v>
      </c>
      <c r="B542" s="2" t="s">
        <v>790</v>
      </c>
      <c r="C542" t="s">
        <v>814</v>
      </c>
      <c r="D542" t="s">
        <v>5019</v>
      </c>
      <c r="E542" t="s">
        <v>5323</v>
      </c>
      <c r="F542" s="35">
        <v>46224</v>
      </c>
      <c r="G542" s="47">
        <v>575000</v>
      </c>
      <c r="H542" s="37">
        <f t="shared" si="78"/>
        <v>11</v>
      </c>
      <c r="I542" s="37" t="str">
        <f t="shared" ref="I542:I544" si="83">IF(H542&lt;91,"1-90 DAYS",IF(H542&lt;121,"91-120DAYS",IF(H542&lt;181,"121-180 DAYS","More than 180 Days")))</f>
        <v>1-90 DAYS</v>
      </c>
      <c r="J542" s="37" t="str">
        <f t="shared" si="80"/>
        <v>0-180 DAYS</v>
      </c>
      <c r="M542" s="158"/>
      <c r="N542" s="158"/>
    </row>
    <row r="543" spans="1:14" x14ac:dyDescent="0.35">
      <c r="A543" s="2" t="s">
        <v>477</v>
      </c>
      <c r="B543" s="2" t="s">
        <v>790</v>
      </c>
      <c r="C543" t="s">
        <v>814</v>
      </c>
      <c r="D543" t="s">
        <v>5019</v>
      </c>
      <c r="E543" t="s">
        <v>5323</v>
      </c>
      <c r="F543" s="35">
        <v>46224</v>
      </c>
      <c r="G543" s="47">
        <v>18100</v>
      </c>
      <c r="H543" s="37">
        <f t="shared" si="78"/>
        <v>11</v>
      </c>
      <c r="I543" s="37" t="str">
        <f t="shared" si="83"/>
        <v>1-90 DAYS</v>
      </c>
      <c r="J543" s="37" t="str">
        <f t="shared" si="80"/>
        <v>0-180 DAYS</v>
      </c>
      <c r="M543" s="158"/>
      <c r="N543" s="158"/>
    </row>
    <row r="544" spans="1:14" x14ac:dyDescent="0.35">
      <c r="A544" s="2" t="s">
        <v>477</v>
      </c>
      <c r="B544" s="2" t="s">
        <v>790</v>
      </c>
      <c r="C544" t="s">
        <v>814</v>
      </c>
      <c r="D544" t="s">
        <v>5019</v>
      </c>
      <c r="E544" t="s">
        <v>5323</v>
      </c>
      <c r="F544" s="35">
        <v>46224</v>
      </c>
      <c r="G544" s="47">
        <v>42625</v>
      </c>
      <c r="H544" s="37">
        <f t="shared" si="78"/>
        <v>11</v>
      </c>
      <c r="I544" s="37" t="str">
        <f t="shared" si="83"/>
        <v>1-90 DAYS</v>
      </c>
      <c r="J544" s="37" t="str">
        <f t="shared" si="80"/>
        <v>0-180 DAYS</v>
      </c>
      <c r="M544" s="158"/>
      <c r="N544" s="158"/>
    </row>
    <row r="545" spans="1:14" x14ac:dyDescent="0.35">
      <c r="A545" s="2" t="s">
        <v>1085</v>
      </c>
      <c r="B545" s="2" t="s">
        <v>790</v>
      </c>
      <c r="C545" t="s">
        <v>3797</v>
      </c>
      <c r="D545" s="37" t="s">
        <v>507</v>
      </c>
      <c r="E545" t="s">
        <v>5324</v>
      </c>
      <c r="F545" s="35">
        <v>46224</v>
      </c>
      <c r="G545" s="47">
        <v>4793672.9000000004</v>
      </c>
      <c r="H545" s="37">
        <f t="shared" si="78"/>
        <v>11</v>
      </c>
      <c r="I545" s="37" t="str">
        <f t="shared" si="76"/>
        <v>0-120 DAYS</v>
      </c>
      <c r="J545" s="37" t="str">
        <f t="shared" si="80"/>
        <v>0-180 DAYS</v>
      </c>
      <c r="M545" s="158"/>
      <c r="N545" s="158"/>
    </row>
    <row r="546" spans="1:14" x14ac:dyDescent="0.35">
      <c r="A546" s="2" t="s">
        <v>477</v>
      </c>
      <c r="B546" s="2" t="s">
        <v>790</v>
      </c>
      <c r="C546" t="s">
        <v>814</v>
      </c>
      <c r="D546" t="s">
        <v>5019</v>
      </c>
      <c r="E546" t="s">
        <v>5325</v>
      </c>
      <c r="F546" s="35">
        <v>46225</v>
      </c>
      <c r="G546" s="47">
        <v>54532.4</v>
      </c>
      <c r="H546" s="37">
        <f t="shared" si="78"/>
        <v>10</v>
      </c>
      <c r="I546" s="37" t="str">
        <f t="shared" ref="I546:I547" si="84">IF(H546&lt;91,"1-90 DAYS",IF(H546&lt;121,"91-120DAYS",IF(H546&lt;181,"121-180 DAYS","More than 180 Days")))</f>
        <v>1-90 DAYS</v>
      </c>
      <c r="J546" s="37" t="str">
        <f t="shared" si="80"/>
        <v>0-180 DAYS</v>
      </c>
      <c r="M546" s="158"/>
      <c r="N546" s="158"/>
    </row>
    <row r="547" spans="1:14" x14ac:dyDescent="0.35">
      <c r="A547" s="2" t="s">
        <v>477</v>
      </c>
      <c r="B547" s="2" t="s">
        <v>790</v>
      </c>
      <c r="C547" t="s">
        <v>1838</v>
      </c>
      <c r="D547" t="s">
        <v>2001</v>
      </c>
      <c r="E547" t="s">
        <v>5326</v>
      </c>
      <c r="F547" s="35">
        <v>46226</v>
      </c>
      <c r="G547" s="47">
        <v>66886</v>
      </c>
      <c r="H547" s="37">
        <f t="shared" si="78"/>
        <v>9</v>
      </c>
      <c r="I547" s="37" t="str">
        <f t="shared" si="84"/>
        <v>1-90 DAYS</v>
      </c>
      <c r="J547" s="37" t="str">
        <f t="shared" si="80"/>
        <v>0-180 DAYS</v>
      </c>
      <c r="M547" s="158"/>
      <c r="N547" s="158"/>
    </row>
    <row r="548" spans="1:14" x14ac:dyDescent="0.35">
      <c r="A548" s="2" t="s">
        <v>1085</v>
      </c>
      <c r="B548" s="2" t="s">
        <v>790</v>
      </c>
      <c r="C548" t="s">
        <v>600</v>
      </c>
      <c r="D548" s="37" t="s">
        <v>507</v>
      </c>
      <c r="E548" t="s">
        <v>5327</v>
      </c>
      <c r="F548" s="35">
        <v>46226</v>
      </c>
      <c r="G548" s="47">
        <v>4910329.8</v>
      </c>
      <c r="H548" s="37">
        <f t="shared" si="78"/>
        <v>9</v>
      </c>
      <c r="I548" s="37" t="str">
        <f t="shared" si="76"/>
        <v>0-120 DAYS</v>
      </c>
      <c r="J548" s="37" t="str">
        <f t="shared" si="80"/>
        <v>0-180 DAYS</v>
      </c>
      <c r="M548" s="158"/>
      <c r="N548" s="158"/>
    </row>
    <row r="549" spans="1:14" x14ac:dyDescent="0.35">
      <c r="A549" s="2" t="s">
        <v>477</v>
      </c>
      <c r="B549" s="2" t="s">
        <v>790</v>
      </c>
      <c r="C549" t="s">
        <v>814</v>
      </c>
      <c r="D549" t="s">
        <v>5019</v>
      </c>
      <c r="E549" t="s">
        <v>5328</v>
      </c>
      <c r="F549" s="35">
        <v>46226</v>
      </c>
      <c r="G549" s="47">
        <v>136331</v>
      </c>
      <c r="H549" s="37">
        <f t="shared" si="78"/>
        <v>9</v>
      </c>
      <c r="I549" s="37" t="str">
        <f t="shared" ref="I549" si="85">IF(H549&lt;91,"1-90 DAYS",IF(H549&lt;121,"91-120DAYS",IF(H549&lt;181,"121-180 DAYS","More than 180 Days")))</f>
        <v>1-90 DAYS</v>
      </c>
      <c r="J549" s="37" t="str">
        <f t="shared" si="80"/>
        <v>0-180 DAYS</v>
      </c>
      <c r="M549" s="158"/>
      <c r="N549" s="158"/>
    </row>
    <row r="550" spans="1:14" x14ac:dyDescent="0.35">
      <c r="A550" s="2" t="s">
        <v>1085</v>
      </c>
      <c r="B550" s="2" t="s">
        <v>790</v>
      </c>
      <c r="C550" t="s">
        <v>600</v>
      </c>
      <c r="D550" s="37" t="s">
        <v>507</v>
      </c>
      <c r="E550" t="s">
        <v>5329</v>
      </c>
      <c r="F550" s="35">
        <v>46227</v>
      </c>
      <c r="G550" s="47">
        <v>472160.707619772</v>
      </c>
      <c r="H550" s="37">
        <f t="shared" si="78"/>
        <v>8</v>
      </c>
      <c r="I550" s="37" t="str">
        <f t="shared" si="76"/>
        <v>0-120 DAYS</v>
      </c>
      <c r="J550" s="37" t="str">
        <f t="shared" si="80"/>
        <v>0-180 DAYS</v>
      </c>
      <c r="M550" s="158"/>
      <c r="N550" s="158"/>
    </row>
    <row r="551" spans="1:14" x14ac:dyDescent="0.35">
      <c r="A551" s="2" t="s">
        <v>1085</v>
      </c>
      <c r="B551" s="2" t="s">
        <v>790</v>
      </c>
      <c r="C551" t="s">
        <v>600</v>
      </c>
      <c r="D551" s="37" t="s">
        <v>507</v>
      </c>
      <c r="E551" t="s">
        <v>5329</v>
      </c>
      <c r="F551" s="35">
        <v>46227</v>
      </c>
      <c r="G551" s="47">
        <v>5162061.8923802301</v>
      </c>
      <c r="H551" s="37">
        <f t="shared" si="78"/>
        <v>8</v>
      </c>
      <c r="I551" s="37" t="str">
        <f t="shared" si="76"/>
        <v>0-120 DAYS</v>
      </c>
      <c r="J551" s="37" t="str">
        <f t="shared" si="80"/>
        <v>0-180 DAYS</v>
      </c>
      <c r="M551" s="158"/>
      <c r="N551" s="158"/>
    </row>
    <row r="552" spans="1:14" x14ac:dyDescent="0.35">
      <c r="A552" s="2" t="s">
        <v>1085</v>
      </c>
      <c r="B552" s="2" t="s">
        <v>790</v>
      </c>
      <c r="C552" t="s">
        <v>538</v>
      </c>
      <c r="D552" s="37" t="s">
        <v>507</v>
      </c>
      <c r="E552" t="s">
        <v>5330</v>
      </c>
      <c r="F552" s="35">
        <v>46227</v>
      </c>
      <c r="G552" s="47">
        <v>4065984</v>
      </c>
      <c r="H552" s="37">
        <f t="shared" si="78"/>
        <v>8</v>
      </c>
      <c r="I552" s="37" t="str">
        <f t="shared" si="76"/>
        <v>0-120 DAYS</v>
      </c>
      <c r="J552" s="37" t="str">
        <f t="shared" si="80"/>
        <v>0-180 DAYS</v>
      </c>
      <c r="M552" s="158"/>
      <c r="N552" s="158"/>
    </row>
    <row r="553" spans="1:14" x14ac:dyDescent="0.35">
      <c r="A553" s="2" t="s">
        <v>1085</v>
      </c>
      <c r="B553" s="2" t="s">
        <v>790</v>
      </c>
      <c r="C553" t="s">
        <v>631</v>
      </c>
      <c r="D553" s="37" t="s">
        <v>507</v>
      </c>
      <c r="E553" t="s">
        <v>5331</v>
      </c>
      <c r="F553" s="35">
        <v>46227</v>
      </c>
      <c r="G553" s="47">
        <v>4863368.4000000004</v>
      </c>
      <c r="H553" s="37">
        <f t="shared" si="78"/>
        <v>8</v>
      </c>
      <c r="I553" s="37" t="str">
        <f t="shared" si="76"/>
        <v>0-120 DAYS</v>
      </c>
      <c r="J553" s="37" t="str">
        <f t="shared" si="80"/>
        <v>0-180 DAYS</v>
      </c>
      <c r="M553" s="158"/>
      <c r="N553" s="158"/>
    </row>
    <row r="554" spans="1:14" x14ac:dyDescent="0.35">
      <c r="A554" s="2" t="s">
        <v>1085</v>
      </c>
      <c r="B554" s="2" t="s">
        <v>790</v>
      </c>
      <c r="C554" t="s">
        <v>538</v>
      </c>
      <c r="D554" s="37" t="s">
        <v>507</v>
      </c>
      <c r="E554" t="s">
        <v>5332</v>
      </c>
      <c r="F554" s="35">
        <v>46228</v>
      </c>
      <c r="G554" s="47">
        <v>4065984</v>
      </c>
      <c r="H554" s="37">
        <f t="shared" si="78"/>
        <v>7</v>
      </c>
      <c r="I554" s="37" t="str">
        <f t="shared" si="76"/>
        <v>0-120 DAYS</v>
      </c>
      <c r="J554" s="37" t="str">
        <f t="shared" si="80"/>
        <v>0-180 DAYS</v>
      </c>
      <c r="M554" s="158"/>
      <c r="N554" s="158"/>
    </row>
    <row r="555" spans="1:14" x14ac:dyDescent="0.35">
      <c r="A555" s="2" t="s">
        <v>477</v>
      </c>
      <c r="B555" s="2" t="s">
        <v>790</v>
      </c>
      <c r="C555" t="s">
        <v>1838</v>
      </c>
      <c r="D555" t="s">
        <v>2001</v>
      </c>
      <c r="E555" t="s">
        <v>5333</v>
      </c>
      <c r="F555" s="35">
        <v>46230</v>
      </c>
      <c r="G555" s="47">
        <v>52598.5</v>
      </c>
      <c r="H555" s="37">
        <f t="shared" si="78"/>
        <v>5</v>
      </c>
      <c r="I555" s="37" t="str">
        <f t="shared" ref="I555:I556" si="86">IF(H555&lt;91,"1-90 DAYS",IF(H555&lt;121,"91-120DAYS",IF(H555&lt;181,"121-180 DAYS","More than 180 Days")))</f>
        <v>1-90 DAYS</v>
      </c>
      <c r="J555" s="37" t="str">
        <f t="shared" si="80"/>
        <v>0-180 DAYS</v>
      </c>
      <c r="M555" s="158"/>
      <c r="N555" s="158"/>
    </row>
    <row r="556" spans="1:14" x14ac:dyDescent="0.35">
      <c r="A556" s="2" t="s">
        <v>477</v>
      </c>
      <c r="B556" s="2" t="s">
        <v>790</v>
      </c>
      <c r="C556" t="s">
        <v>1838</v>
      </c>
      <c r="D556" t="s">
        <v>2001</v>
      </c>
      <c r="E556" t="s">
        <v>5333</v>
      </c>
      <c r="F556" s="35">
        <v>46230</v>
      </c>
      <c r="G556" s="47">
        <v>121317</v>
      </c>
      <c r="H556" s="37">
        <f t="shared" si="78"/>
        <v>5</v>
      </c>
      <c r="I556" s="37" t="str">
        <f t="shared" si="86"/>
        <v>1-90 DAYS</v>
      </c>
      <c r="J556" s="37" t="str">
        <f t="shared" si="80"/>
        <v>0-180 DAYS</v>
      </c>
      <c r="M556" s="158"/>
      <c r="N556" s="158"/>
    </row>
    <row r="557" spans="1:14" x14ac:dyDescent="0.35">
      <c r="A557" s="2" t="s">
        <v>1085</v>
      </c>
      <c r="B557" s="2" t="s">
        <v>790</v>
      </c>
      <c r="C557" t="s">
        <v>573</v>
      </c>
      <c r="D557" s="37" t="s">
        <v>507</v>
      </c>
      <c r="E557" t="s">
        <v>1778</v>
      </c>
      <c r="F557" s="35">
        <v>46232</v>
      </c>
      <c r="G557" s="47">
        <v>5314827.8118421799</v>
      </c>
      <c r="H557" s="37">
        <f t="shared" si="78"/>
        <v>3</v>
      </c>
      <c r="I557" s="37" t="str">
        <f t="shared" si="76"/>
        <v>0-120 DAYS</v>
      </c>
      <c r="J557" s="37" t="str">
        <f t="shared" si="80"/>
        <v>0-180 DAYS</v>
      </c>
      <c r="M557" s="158"/>
      <c r="N557" s="158"/>
    </row>
    <row r="558" spans="1:14" x14ac:dyDescent="0.35">
      <c r="A558" s="2" t="s">
        <v>1085</v>
      </c>
      <c r="B558" s="2" t="s">
        <v>790</v>
      </c>
      <c r="C558" t="s">
        <v>573</v>
      </c>
      <c r="D558" s="37" t="s">
        <v>507</v>
      </c>
      <c r="E558" t="s">
        <v>1794</v>
      </c>
      <c r="F558" s="35">
        <v>46233</v>
      </c>
      <c r="G558" s="47">
        <v>5041034.2581605101</v>
      </c>
      <c r="H558" s="37">
        <f t="shared" si="78"/>
        <v>2</v>
      </c>
      <c r="I558" s="37" t="str">
        <f t="shared" si="76"/>
        <v>0-120 DAYS</v>
      </c>
      <c r="J558" s="37" t="str">
        <f t="shared" si="80"/>
        <v>0-180 DAYS</v>
      </c>
      <c r="M558" s="158"/>
      <c r="N558" s="158"/>
    </row>
    <row r="559" spans="1:14" x14ac:dyDescent="0.35">
      <c r="A559" s="2" t="s">
        <v>1085</v>
      </c>
      <c r="B559" s="2" t="s">
        <v>790</v>
      </c>
      <c r="C559" t="s">
        <v>573</v>
      </c>
      <c r="D559" s="37" t="s">
        <v>507</v>
      </c>
      <c r="E559" t="s">
        <v>1795</v>
      </c>
      <c r="F559" s="35">
        <v>46234</v>
      </c>
      <c r="G559" s="47">
        <v>5276771.8971848497</v>
      </c>
      <c r="H559" s="37">
        <f t="shared" si="78"/>
        <v>1</v>
      </c>
      <c r="I559" s="37" t="str">
        <f t="shared" si="76"/>
        <v>0-120 DAYS</v>
      </c>
      <c r="J559" s="37" t="str">
        <f t="shared" si="80"/>
        <v>0-180 DAYS</v>
      </c>
      <c r="M559" s="158"/>
      <c r="N559" s="158"/>
    </row>
    <row r="560" spans="1:14" x14ac:dyDescent="0.35">
      <c r="A560" s="2" t="s">
        <v>477</v>
      </c>
      <c r="B560" s="2" t="s">
        <v>790</v>
      </c>
      <c r="C560" t="s">
        <v>814</v>
      </c>
      <c r="D560" t="s">
        <v>5019</v>
      </c>
      <c r="E560" t="s">
        <v>5334</v>
      </c>
      <c r="F560" s="35">
        <v>46204</v>
      </c>
      <c r="G560" s="47">
        <v>720600</v>
      </c>
      <c r="H560" s="37">
        <f t="shared" si="78"/>
        <v>31</v>
      </c>
      <c r="I560" s="37" t="str">
        <f t="shared" ref="I560" si="87">IF(H560&lt;91,"1-90 DAYS",IF(H560&lt;121,"91-120DAYS",IF(H560&lt;181,"121-180 DAYS","More than 180 Days")))</f>
        <v>1-90 DAYS</v>
      </c>
      <c r="J560" s="37" t="str">
        <f t="shared" si="80"/>
        <v>0-180 DAYS</v>
      </c>
      <c r="M560" s="158"/>
      <c r="N560" s="158"/>
    </row>
    <row r="561" spans="1:14" x14ac:dyDescent="0.35">
      <c r="A561" s="2" t="s">
        <v>1085</v>
      </c>
      <c r="B561" s="2" t="s">
        <v>790</v>
      </c>
      <c r="C561" t="s">
        <v>1086</v>
      </c>
      <c r="D561" s="37" t="s">
        <v>507</v>
      </c>
      <c r="E561" t="s">
        <v>5335</v>
      </c>
      <c r="F561" s="35">
        <v>46208</v>
      </c>
      <c r="G561" s="47">
        <v>1513241.4</v>
      </c>
      <c r="H561" s="37">
        <f t="shared" si="78"/>
        <v>27</v>
      </c>
      <c r="I561" s="37" t="str">
        <f t="shared" ref="I561:I605" si="88">IF(H561&lt;121,"0-120 DAYS",IF(H561&lt;181,"121-180 DAYS","More than 180 Days"))</f>
        <v>0-120 DAYS</v>
      </c>
      <c r="J561" s="37" t="str">
        <f t="shared" si="80"/>
        <v>0-180 DAYS</v>
      </c>
      <c r="M561" s="158"/>
      <c r="N561" s="158"/>
    </row>
    <row r="562" spans="1:14" x14ac:dyDescent="0.35">
      <c r="A562" s="2" t="s">
        <v>1085</v>
      </c>
      <c r="B562" s="2" t="s">
        <v>790</v>
      </c>
      <c r="C562" t="s">
        <v>1086</v>
      </c>
      <c r="D562" s="37" t="s">
        <v>507</v>
      </c>
      <c r="E562" t="s">
        <v>5336</v>
      </c>
      <c r="F562" s="35">
        <v>46208</v>
      </c>
      <c r="G562" s="47">
        <v>1383932.77</v>
      </c>
      <c r="H562" s="37">
        <f t="shared" si="78"/>
        <v>27</v>
      </c>
      <c r="I562" s="37" t="str">
        <f t="shared" si="88"/>
        <v>0-120 DAYS</v>
      </c>
      <c r="J562" s="37" t="str">
        <f t="shared" si="80"/>
        <v>0-180 DAYS</v>
      </c>
      <c r="M562" s="158"/>
      <c r="N562" s="158"/>
    </row>
    <row r="563" spans="1:14" x14ac:dyDescent="0.35">
      <c r="A563" s="2" t="s">
        <v>1085</v>
      </c>
      <c r="B563" s="2" t="s">
        <v>790</v>
      </c>
      <c r="C563" t="s">
        <v>1086</v>
      </c>
      <c r="D563" s="37" t="s">
        <v>507</v>
      </c>
      <c r="E563" t="s">
        <v>5337</v>
      </c>
      <c r="F563" s="35">
        <v>46208</v>
      </c>
      <c r="G563" s="47">
        <v>385580.10561273998</v>
      </c>
      <c r="H563" s="37">
        <f t="shared" si="78"/>
        <v>27</v>
      </c>
      <c r="I563" s="37" t="str">
        <f t="shared" si="88"/>
        <v>0-120 DAYS</v>
      </c>
      <c r="J563" s="37" t="str">
        <f t="shared" si="80"/>
        <v>0-180 DAYS</v>
      </c>
      <c r="M563" s="158"/>
      <c r="N563" s="158"/>
    </row>
    <row r="564" spans="1:14" x14ac:dyDescent="0.35">
      <c r="A564" s="2" t="s">
        <v>1085</v>
      </c>
      <c r="B564" s="2" t="s">
        <v>790</v>
      </c>
      <c r="C564" t="s">
        <v>1086</v>
      </c>
      <c r="D564" s="37" t="s">
        <v>507</v>
      </c>
      <c r="E564" t="s">
        <v>5337</v>
      </c>
      <c r="F564" s="35">
        <v>46208</v>
      </c>
      <c r="G564" s="47">
        <v>27709.529387260201</v>
      </c>
      <c r="H564" s="37">
        <f t="shared" si="78"/>
        <v>27</v>
      </c>
      <c r="I564" s="37" t="str">
        <f t="shared" si="88"/>
        <v>0-120 DAYS</v>
      </c>
      <c r="J564" s="37" t="str">
        <f t="shared" si="80"/>
        <v>0-180 DAYS</v>
      </c>
      <c r="M564" s="158"/>
      <c r="N564" s="158"/>
    </row>
    <row r="565" spans="1:14" x14ac:dyDescent="0.35">
      <c r="A565" s="2" t="s">
        <v>1085</v>
      </c>
      <c r="B565" s="2" t="s">
        <v>790</v>
      </c>
      <c r="C565" t="s">
        <v>1086</v>
      </c>
      <c r="D565" s="37" t="s">
        <v>507</v>
      </c>
      <c r="E565" t="s">
        <v>5338</v>
      </c>
      <c r="F565" s="35">
        <v>46208</v>
      </c>
      <c r="G565" s="47">
        <v>3278056.7050000001</v>
      </c>
      <c r="H565" s="37">
        <f t="shared" si="78"/>
        <v>27</v>
      </c>
      <c r="I565" s="37" t="str">
        <f t="shared" si="88"/>
        <v>0-120 DAYS</v>
      </c>
      <c r="J565" s="37" t="str">
        <f t="shared" si="80"/>
        <v>0-180 DAYS</v>
      </c>
      <c r="M565" s="158"/>
      <c r="N565" s="158"/>
    </row>
    <row r="566" spans="1:14" x14ac:dyDescent="0.35">
      <c r="A566" s="2" t="s">
        <v>477</v>
      </c>
      <c r="B566" s="2" t="s">
        <v>790</v>
      </c>
      <c r="C566" t="s">
        <v>3096</v>
      </c>
      <c r="D566" t="s">
        <v>3100</v>
      </c>
      <c r="E566" t="s">
        <v>5339</v>
      </c>
      <c r="F566" s="35">
        <v>46208</v>
      </c>
      <c r="G566" s="47">
        <v>556155</v>
      </c>
      <c r="H566" s="37">
        <f t="shared" si="78"/>
        <v>27</v>
      </c>
      <c r="I566" s="37" t="str">
        <f t="shared" ref="I566:I567" si="89">IF(H566&lt;91,"1-90 DAYS",IF(H566&lt;121,"91-120DAYS",IF(H566&lt;181,"121-180 DAYS","More than 180 Days")))</f>
        <v>1-90 DAYS</v>
      </c>
      <c r="J566" s="37" t="str">
        <f t="shared" si="80"/>
        <v>0-180 DAYS</v>
      </c>
      <c r="M566" s="158"/>
      <c r="N566" s="158"/>
    </row>
    <row r="567" spans="1:14" x14ac:dyDescent="0.35">
      <c r="A567" s="2" t="s">
        <v>477</v>
      </c>
      <c r="B567" s="2" t="s">
        <v>790</v>
      </c>
      <c r="C567" t="s">
        <v>4944</v>
      </c>
      <c r="D567" t="s">
        <v>4953</v>
      </c>
      <c r="E567" t="s">
        <v>5340</v>
      </c>
      <c r="F567" s="35">
        <v>46209</v>
      </c>
      <c r="G567" s="47">
        <v>1096520.3999999999</v>
      </c>
      <c r="H567" s="37">
        <f t="shared" si="78"/>
        <v>26</v>
      </c>
      <c r="I567" s="37" t="str">
        <f t="shared" si="89"/>
        <v>1-90 DAYS</v>
      </c>
      <c r="J567" s="37" t="str">
        <f t="shared" si="80"/>
        <v>0-180 DAYS</v>
      </c>
      <c r="M567" s="158"/>
      <c r="N567" s="158"/>
    </row>
    <row r="568" spans="1:14" x14ac:dyDescent="0.35">
      <c r="A568" s="2" t="s">
        <v>1085</v>
      </c>
      <c r="B568" s="2" t="s">
        <v>790</v>
      </c>
      <c r="C568" t="s">
        <v>545</v>
      </c>
      <c r="D568" s="37" t="s">
        <v>507</v>
      </c>
      <c r="E568" t="s">
        <v>5341</v>
      </c>
      <c r="F568" s="35">
        <v>46209</v>
      </c>
      <c r="G568" s="47">
        <v>4552024.125</v>
      </c>
      <c r="H568" s="37">
        <f t="shared" si="78"/>
        <v>26</v>
      </c>
      <c r="I568" s="37" t="str">
        <f t="shared" si="88"/>
        <v>0-120 DAYS</v>
      </c>
      <c r="J568" s="37" t="str">
        <f t="shared" si="80"/>
        <v>0-180 DAYS</v>
      </c>
      <c r="M568" s="158"/>
      <c r="N568" s="158"/>
    </row>
    <row r="569" spans="1:14" x14ac:dyDescent="0.35">
      <c r="A569" s="2" t="s">
        <v>477</v>
      </c>
      <c r="B569" s="2" t="s">
        <v>790</v>
      </c>
      <c r="C569" t="s">
        <v>5298</v>
      </c>
      <c r="D569" t="s">
        <v>5303</v>
      </c>
      <c r="E569" t="s">
        <v>5342</v>
      </c>
      <c r="F569" s="35">
        <v>46210</v>
      </c>
      <c r="G569" s="47">
        <v>235000</v>
      </c>
      <c r="H569" s="37">
        <f t="shared" si="78"/>
        <v>25</v>
      </c>
      <c r="I569" s="37" t="str">
        <f t="shared" ref="I569" si="90">IF(H569&lt;91,"1-90 DAYS",IF(H569&lt;121,"91-120DAYS",IF(H569&lt;181,"121-180 DAYS","More than 180 Days")))</f>
        <v>1-90 DAYS</v>
      </c>
      <c r="J569" s="37" t="str">
        <f t="shared" si="80"/>
        <v>0-180 DAYS</v>
      </c>
      <c r="M569" s="158"/>
      <c r="N569" s="158"/>
    </row>
    <row r="570" spans="1:14" x14ac:dyDescent="0.35">
      <c r="A570" s="2" t="s">
        <v>1085</v>
      </c>
      <c r="B570" s="2" t="s">
        <v>790</v>
      </c>
      <c r="C570" t="s">
        <v>1086</v>
      </c>
      <c r="D570" s="37" t="s">
        <v>507</v>
      </c>
      <c r="E570" t="s">
        <v>5343</v>
      </c>
      <c r="F570" s="35">
        <v>46210</v>
      </c>
      <c r="G570" s="47">
        <v>2919915.24</v>
      </c>
      <c r="H570" s="37">
        <f t="shared" si="78"/>
        <v>25</v>
      </c>
      <c r="I570" s="37" t="str">
        <f t="shared" si="88"/>
        <v>0-120 DAYS</v>
      </c>
      <c r="J570" s="37" t="str">
        <f t="shared" si="80"/>
        <v>0-180 DAYS</v>
      </c>
      <c r="M570" s="158"/>
      <c r="N570" s="158"/>
    </row>
    <row r="571" spans="1:14" x14ac:dyDescent="0.35">
      <c r="A571" s="2" t="s">
        <v>477</v>
      </c>
      <c r="B571" s="2" t="s">
        <v>790</v>
      </c>
      <c r="C571" t="s">
        <v>5297</v>
      </c>
      <c r="D571" t="s">
        <v>5302</v>
      </c>
      <c r="E571" t="s">
        <v>5344</v>
      </c>
      <c r="F571" s="35">
        <v>46210</v>
      </c>
      <c r="G571" s="47">
        <v>1547</v>
      </c>
      <c r="H571" s="37">
        <f t="shared" si="78"/>
        <v>25</v>
      </c>
      <c r="I571" s="37" t="str">
        <f t="shared" ref="I571" si="91">IF(H571&lt;91,"1-90 DAYS",IF(H571&lt;121,"91-120DAYS",IF(H571&lt;181,"121-180 DAYS","More than 180 Days")))</f>
        <v>1-90 DAYS</v>
      </c>
      <c r="J571" s="37" t="str">
        <f t="shared" si="80"/>
        <v>0-180 DAYS</v>
      </c>
      <c r="M571" s="158"/>
      <c r="N571" s="158"/>
    </row>
    <row r="572" spans="1:14" x14ac:dyDescent="0.35">
      <c r="A572" s="2" t="s">
        <v>1085</v>
      </c>
      <c r="B572" s="2" t="s">
        <v>790</v>
      </c>
      <c r="C572" t="s">
        <v>545</v>
      </c>
      <c r="D572" s="37" t="s">
        <v>507</v>
      </c>
      <c r="E572" t="s">
        <v>5345</v>
      </c>
      <c r="F572" s="35">
        <v>46211</v>
      </c>
      <c r="G572" s="47">
        <v>4852439.625</v>
      </c>
      <c r="H572" s="37">
        <f t="shared" si="78"/>
        <v>24</v>
      </c>
      <c r="I572" s="37" t="str">
        <f t="shared" si="88"/>
        <v>0-120 DAYS</v>
      </c>
      <c r="J572" s="37" t="str">
        <f t="shared" si="80"/>
        <v>0-180 DAYS</v>
      </c>
      <c r="M572" s="158"/>
      <c r="N572" s="158"/>
    </row>
    <row r="573" spans="1:14" x14ac:dyDescent="0.35">
      <c r="A573" s="2" t="s">
        <v>477</v>
      </c>
      <c r="B573" s="2" t="s">
        <v>790</v>
      </c>
      <c r="C573" t="s">
        <v>1497</v>
      </c>
      <c r="D573" t="s">
        <v>1500</v>
      </c>
      <c r="E573" t="s">
        <v>5346</v>
      </c>
      <c r="F573" s="35">
        <v>46216</v>
      </c>
      <c r="G573" s="47">
        <f>-2294+1203300</f>
        <v>1201006</v>
      </c>
      <c r="H573" s="37">
        <f t="shared" si="78"/>
        <v>19</v>
      </c>
      <c r="I573" s="37" t="str">
        <f t="shared" ref="I573:I574" si="92">IF(H573&lt;91,"1-90 DAYS",IF(H573&lt;121,"91-120DAYS",IF(H573&lt;181,"121-180 DAYS","More than 180 Days")))</f>
        <v>1-90 DAYS</v>
      </c>
      <c r="J573" s="37" t="str">
        <f t="shared" si="80"/>
        <v>0-180 DAYS</v>
      </c>
      <c r="M573" s="158"/>
      <c r="N573" s="158"/>
    </row>
    <row r="574" spans="1:14" x14ac:dyDescent="0.35">
      <c r="A574" s="2" t="s">
        <v>477</v>
      </c>
      <c r="B574" s="2" t="s">
        <v>790</v>
      </c>
      <c r="C574" t="s">
        <v>1497</v>
      </c>
      <c r="D574" t="s">
        <v>1500</v>
      </c>
      <c r="E574" t="s">
        <v>5347</v>
      </c>
      <c r="F574" s="35">
        <v>46216</v>
      </c>
      <c r="G574" s="47">
        <v>1090992</v>
      </c>
      <c r="H574" s="37">
        <f t="shared" si="78"/>
        <v>19</v>
      </c>
      <c r="I574" s="37" t="str">
        <f t="shared" si="92"/>
        <v>1-90 DAYS</v>
      </c>
      <c r="J574" s="37" t="str">
        <f t="shared" si="80"/>
        <v>0-180 DAYS</v>
      </c>
      <c r="M574" s="158"/>
      <c r="N574" s="158"/>
    </row>
    <row r="575" spans="1:14" x14ac:dyDescent="0.35">
      <c r="A575" s="2" t="s">
        <v>1085</v>
      </c>
      <c r="B575" s="2" t="s">
        <v>790</v>
      </c>
      <c r="C575" t="s">
        <v>1086</v>
      </c>
      <c r="D575" s="37" t="s">
        <v>507</v>
      </c>
      <c r="E575" t="s">
        <v>5348</v>
      </c>
      <c r="F575" s="35">
        <v>46218</v>
      </c>
      <c r="G575" s="47">
        <v>686278.00993730396</v>
      </c>
      <c r="H575" s="37">
        <f t="shared" si="78"/>
        <v>17</v>
      </c>
      <c r="I575" s="37" t="str">
        <f t="shared" si="88"/>
        <v>0-120 DAYS</v>
      </c>
      <c r="J575" s="37" t="str">
        <f t="shared" si="80"/>
        <v>0-180 DAYS</v>
      </c>
      <c r="M575" s="158"/>
      <c r="N575" s="158"/>
    </row>
    <row r="576" spans="1:14" x14ac:dyDescent="0.35">
      <c r="A576" s="2" t="s">
        <v>1085</v>
      </c>
      <c r="B576" s="2" t="s">
        <v>790</v>
      </c>
      <c r="C576" t="s">
        <v>1086</v>
      </c>
      <c r="D576" s="37" t="s">
        <v>507</v>
      </c>
      <c r="E576" t="s">
        <v>5348</v>
      </c>
      <c r="F576" s="35">
        <v>46218</v>
      </c>
      <c r="G576" s="47">
        <v>39505.455062695903</v>
      </c>
      <c r="H576" s="37">
        <f t="shared" si="78"/>
        <v>17</v>
      </c>
      <c r="I576" s="37" t="str">
        <f t="shared" si="88"/>
        <v>0-120 DAYS</v>
      </c>
      <c r="J576" s="37" t="str">
        <f t="shared" si="80"/>
        <v>0-180 DAYS</v>
      </c>
      <c r="M576" s="158"/>
      <c r="N576" s="158"/>
    </row>
    <row r="577" spans="1:14" x14ac:dyDescent="0.35">
      <c r="A577" s="2" t="s">
        <v>1085</v>
      </c>
      <c r="B577" s="2" t="s">
        <v>790</v>
      </c>
      <c r="C577" t="s">
        <v>1086</v>
      </c>
      <c r="D577" s="37" t="s">
        <v>507</v>
      </c>
      <c r="E577" t="s">
        <v>5349</v>
      </c>
      <c r="F577" s="35">
        <v>46218</v>
      </c>
      <c r="G577" s="47">
        <v>409112.03398876399</v>
      </c>
      <c r="H577" s="37">
        <f t="shared" si="78"/>
        <v>17</v>
      </c>
      <c r="I577" s="37" t="str">
        <f t="shared" si="88"/>
        <v>0-120 DAYS</v>
      </c>
      <c r="J577" s="37" t="str">
        <f t="shared" si="80"/>
        <v>0-180 DAYS</v>
      </c>
      <c r="M577" s="158"/>
      <c r="N577" s="158"/>
    </row>
    <row r="578" spans="1:14" x14ac:dyDescent="0.35">
      <c r="A578" s="2" t="s">
        <v>1085</v>
      </c>
      <c r="B578" s="2" t="s">
        <v>790</v>
      </c>
      <c r="C578" t="s">
        <v>1086</v>
      </c>
      <c r="D578" s="37" t="s">
        <v>507</v>
      </c>
      <c r="E578" t="s">
        <v>5349</v>
      </c>
      <c r="F578" s="35">
        <v>46218</v>
      </c>
      <c r="G578" s="47">
        <v>242149.676805778</v>
      </c>
      <c r="H578" s="37">
        <f t="shared" si="78"/>
        <v>17</v>
      </c>
      <c r="I578" s="37" t="str">
        <f t="shared" si="88"/>
        <v>0-120 DAYS</v>
      </c>
      <c r="J578" s="37" t="str">
        <f t="shared" si="80"/>
        <v>0-180 DAYS</v>
      </c>
      <c r="M578" s="158"/>
      <c r="N578" s="158"/>
    </row>
    <row r="579" spans="1:14" x14ac:dyDescent="0.35">
      <c r="A579" s="2" t="s">
        <v>1085</v>
      </c>
      <c r="B579" s="2" t="s">
        <v>790</v>
      </c>
      <c r="C579" t="s">
        <v>1086</v>
      </c>
      <c r="D579" s="37" t="s">
        <v>507</v>
      </c>
      <c r="E579" t="s">
        <v>5349</v>
      </c>
      <c r="F579" s="35">
        <v>46218</v>
      </c>
      <c r="G579" s="47">
        <v>121384.88920545801</v>
      </c>
      <c r="H579" s="37">
        <f t="shared" si="78"/>
        <v>17</v>
      </c>
      <c r="I579" s="37" t="str">
        <f t="shared" si="88"/>
        <v>0-120 DAYS</v>
      </c>
      <c r="J579" s="37" t="str">
        <f t="shared" si="80"/>
        <v>0-180 DAYS</v>
      </c>
      <c r="M579" s="158"/>
      <c r="N579" s="158"/>
    </row>
    <row r="580" spans="1:14" x14ac:dyDescent="0.35">
      <c r="A580" s="2" t="s">
        <v>1085</v>
      </c>
      <c r="B580" s="2" t="s">
        <v>790</v>
      </c>
      <c r="C580" t="s">
        <v>1086</v>
      </c>
      <c r="D580" s="37" t="s">
        <v>507</v>
      </c>
      <c r="E580" t="s">
        <v>5350</v>
      </c>
      <c r="F580" s="35">
        <v>46218</v>
      </c>
      <c r="G580" s="47">
        <v>1224470.3899999999</v>
      </c>
      <c r="H580" s="37">
        <f t="shared" si="78"/>
        <v>17</v>
      </c>
      <c r="I580" s="37" t="str">
        <f t="shared" si="88"/>
        <v>0-120 DAYS</v>
      </c>
      <c r="J580" s="37" t="str">
        <f t="shared" si="80"/>
        <v>0-180 DAYS</v>
      </c>
      <c r="M580" s="158"/>
      <c r="N580" s="158"/>
    </row>
    <row r="581" spans="1:14" x14ac:dyDescent="0.35">
      <c r="A581" s="2" t="s">
        <v>1085</v>
      </c>
      <c r="B581" s="2" t="s">
        <v>790</v>
      </c>
      <c r="C581" t="s">
        <v>650</v>
      </c>
      <c r="D581" s="37" t="s">
        <v>507</v>
      </c>
      <c r="E581" t="s">
        <v>5351</v>
      </c>
      <c r="F581" s="35">
        <v>46220</v>
      </c>
      <c r="G581" s="47">
        <v>4252098.3360000001</v>
      </c>
      <c r="H581" s="37">
        <f t="shared" si="78"/>
        <v>15</v>
      </c>
      <c r="I581" s="37" t="str">
        <f t="shared" si="88"/>
        <v>0-120 DAYS</v>
      </c>
      <c r="J581" s="37" t="str">
        <f t="shared" si="80"/>
        <v>0-180 DAYS</v>
      </c>
      <c r="M581" s="158"/>
      <c r="N581" s="158"/>
    </row>
    <row r="582" spans="1:14" x14ac:dyDescent="0.35">
      <c r="A582" s="2" t="s">
        <v>477</v>
      </c>
      <c r="B582" s="2" t="s">
        <v>790</v>
      </c>
      <c r="C582" t="s">
        <v>814</v>
      </c>
      <c r="D582" t="s">
        <v>5019</v>
      </c>
      <c r="E582" t="s">
        <v>5352</v>
      </c>
      <c r="F582" s="35">
        <v>46221</v>
      </c>
      <c r="G582" s="47">
        <v>142165.32</v>
      </c>
      <c r="H582" s="37">
        <f t="shared" si="78"/>
        <v>14</v>
      </c>
      <c r="I582" s="37" t="str">
        <f t="shared" ref="I582:I585" si="93">IF(H582&lt;91,"1-90 DAYS",IF(H582&lt;121,"91-120DAYS",IF(H582&lt;181,"121-180 DAYS","More than 180 Days")))</f>
        <v>1-90 DAYS</v>
      </c>
      <c r="J582" s="37" t="str">
        <f t="shared" si="80"/>
        <v>0-180 DAYS</v>
      </c>
      <c r="M582" s="158"/>
      <c r="N582" s="158"/>
    </row>
    <row r="583" spans="1:14" x14ac:dyDescent="0.35">
      <c r="A583" s="2" t="s">
        <v>477</v>
      </c>
      <c r="B583" s="2" t="s">
        <v>790</v>
      </c>
      <c r="C583" t="s">
        <v>814</v>
      </c>
      <c r="D583" t="s">
        <v>5019</v>
      </c>
      <c r="E583" t="s">
        <v>5352</v>
      </c>
      <c r="F583" s="35">
        <v>46221</v>
      </c>
      <c r="G583" s="47">
        <v>603564.95200000005</v>
      </c>
      <c r="H583" s="37">
        <f t="shared" si="78"/>
        <v>14</v>
      </c>
      <c r="I583" s="37" t="str">
        <f t="shared" si="93"/>
        <v>1-90 DAYS</v>
      </c>
      <c r="J583" s="37" t="str">
        <f t="shared" si="80"/>
        <v>0-180 DAYS</v>
      </c>
      <c r="M583" s="158"/>
      <c r="N583" s="158"/>
    </row>
    <row r="584" spans="1:14" x14ac:dyDescent="0.35">
      <c r="A584" s="2" t="s">
        <v>477</v>
      </c>
      <c r="B584" s="2" t="s">
        <v>790</v>
      </c>
      <c r="C584" t="s">
        <v>5054</v>
      </c>
      <c r="D584" t="s">
        <v>5055</v>
      </c>
      <c r="E584" t="s">
        <v>2228</v>
      </c>
      <c r="F584" s="35">
        <v>46223</v>
      </c>
      <c r="G584" s="47">
        <v>1320000</v>
      </c>
      <c r="H584" s="37">
        <f t="shared" si="78"/>
        <v>12</v>
      </c>
      <c r="I584" s="37" t="str">
        <f t="shared" si="93"/>
        <v>1-90 DAYS</v>
      </c>
      <c r="J584" s="37" t="str">
        <f t="shared" si="80"/>
        <v>0-180 DAYS</v>
      </c>
      <c r="M584" s="158"/>
      <c r="N584" s="158"/>
    </row>
    <row r="585" spans="1:14" x14ac:dyDescent="0.35">
      <c r="A585" s="2" t="s">
        <v>477</v>
      </c>
      <c r="B585" s="2" t="s">
        <v>790</v>
      </c>
      <c r="C585" t="s">
        <v>5054</v>
      </c>
      <c r="D585" t="s">
        <v>5055</v>
      </c>
      <c r="E585" t="s">
        <v>2229</v>
      </c>
      <c r="F585" s="35">
        <v>46223</v>
      </c>
      <c r="G585" s="47">
        <v>1320000</v>
      </c>
      <c r="H585" s="37">
        <f t="shared" ref="H585:H608" si="94">$H$1-F585+1</f>
        <v>12</v>
      </c>
      <c r="I585" s="37" t="str">
        <f t="shared" si="93"/>
        <v>1-90 DAYS</v>
      </c>
      <c r="J585" s="37" t="str">
        <f t="shared" si="80"/>
        <v>0-180 DAYS</v>
      </c>
      <c r="M585" s="158"/>
      <c r="N585" s="158"/>
    </row>
    <row r="586" spans="1:14" x14ac:dyDescent="0.35">
      <c r="A586" s="2" t="s">
        <v>1085</v>
      </c>
      <c r="B586" s="2" t="s">
        <v>790</v>
      </c>
      <c r="C586" t="s">
        <v>538</v>
      </c>
      <c r="D586" s="37" t="s">
        <v>507</v>
      </c>
      <c r="E586" t="s">
        <v>5353</v>
      </c>
      <c r="F586" s="35">
        <v>46228</v>
      </c>
      <c r="G586" s="47">
        <v>3909600</v>
      </c>
      <c r="H586" s="37">
        <f t="shared" si="94"/>
        <v>7</v>
      </c>
      <c r="I586" s="37" t="str">
        <f t="shared" si="88"/>
        <v>0-120 DAYS</v>
      </c>
      <c r="J586" s="37" t="str">
        <f t="shared" ref="J586:J608" si="95">IF(H586&lt;180,"0-180 DAYS","More than 180 Days")</f>
        <v>0-180 DAYS</v>
      </c>
      <c r="M586" s="158"/>
      <c r="N586" s="158"/>
    </row>
    <row r="587" spans="1:14" x14ac:dyDescent="0.35">
      <c r="A587" s="2" t="s">
        <v>1085</v>
      </c>
      <c r="B587" s="2" t="s">
        <v>790</v>
      </c>
      <c r="C587" t="s">
        <v>538</v>
      </c>
      <c r="D587" s="37" t="s">
        <v>507</v>
      </c>
      <c r="E587" t="s">
        <v>5354</v>
      </c>
      <c r="F587" s="35">
        <v>46228</v>
      </c>
      <c r="G587" s="47">
        <v>4065984</v>
      </c>
      <c r="H587" s="37">
        <f t="shared" si="94"/>
        <v>7</v>
      </c>
      <c r="I587" s="37" t="str">
        <f t="shared" si="88"/>
        <v>0-120 DAYS</v>
      </c>
      <c r="J587" s="37" t="str">
        <f t="shared" si="95"/>
        <v>0-180 DAYS</v>
      </c>
      <c r="M587" s="158"/>
      <c r="N587" s="158"/>
    </row>
    <row r="588" spans="1:14" x14ac:dyDescent="0.35">
      <c r="A588" s="2" t="s">
        <v>1085</v>
      </c>
      <c r="B588" s="2" t="s">
        <v>790</v>
      </c>
      <c r="C588" t="s">
        <v>538</v>
      </c>
      <c r="D588" s="37" t="s">
        <v>507</v>
      </c>
      <c r="E588" t="s">
        <v>5355</v>
      </c>
      <c r="F588" s="35">
        <v>46229</v>
      </c>
      <c r="G588" s="47">
        <v>4065984</v>
      </c>
      <c r="H588" s="37">
        <f t="shared" si="94"/>
        <v>6</v>
      </c>
      <c r="I588" s="37" t="str">
        <f t="shared" si="88"/>
        <v>0-120 DAYS</v>
      </c>
      <c r="J588" s="37" t="str">
        <f t="shared" si="95"/>
        <v>0-180 DAYS</v>
      </c>
      <c r="M588" s="158"/>
      <c r="N588" s="158"/>
    </row>
    <row r="589" spans="1:14" x14ac:dyDescent="0.35">
      <c r="A589" s="2" t="s">
        <v>1085</v>
      </c>
      <c r="B589" s="2" t="s">
        <v>790</v>
      </c>
      <c r="C589" t="s">
        <v>526</v>
      </c>
      <c r="D589" s="37" t="s">
        <v>507</v>
      </c>
      <c r="E589" t="s">
        <v>5356</v>
      </c>
      <c r="F589" s="35">
        <v>46229</v>
      </c>
      <c r="G589" s="47">
        <v>6287176.96</v>
      </c>
      <c r="H589" s="37">
        <f t="shared" si="94"/>
        <v>6</v>
      </c>
      <c r="I589" s="37" t="str">
        <f t="shared" si="88"/>
        <v>0-120 DAYS</v>
      </c>
      <c r="J589" s="37" t="str">
        <f t="shared" si="95"/>
        <v>0-180 DAYS</v>
      </c>
      <c r="M589" s="158"/>
      <c r="N589" s="158"/>
    </row>
    <row r="590" spans="1:14" x14ac:dyDescent="0.35">
      <c r="A590" s="2" t="s">
        <v>1085</v>
      </c>
      <c r="B590" s="2" t="s">
        <v>790</v>
      </c>
      <c r="C590" t="s">
        <v>526</v>
      </c>
      <c r="D590" s="37" t="s">
        <v>507</v>
      </c>
      <c r="E590" t="s">
        <v>5357</v>
      </c>
      <c r="F590" s="35">
        <v>46230</v>
      </c>
      <c r="G590" s="47">
        <v>6052942.6600000001</v>
      </c>
      <c r="H590" s="37">
        <f t="shared" si="94"/>
        <v>5</v>
      </c>
      <c r="I590" s="37" t="str">
        <f t="shared" si="88"/>
        <v>0-120 DAYS</v>
      </c>
      <c r="J590" s="37" t="str">
        <f t="shared" si="95"/>
        <v>0-180 DAYS</v>
      </c>
      <c r="M590" s="158"/>
      <c r="N590" s="158"/>
    </row>
    <row r="591" spans="1:14" x14ac:dyDescent="0.35">
      <c r="A591" s="2" t="s">
        <v>1085</v>
      </c>
      <c r="B591" s="2" t="s">
        <v>790</v>
      </c>
      <c r="C591" t="s">
        <v>1086</v>
      </c>
      <c r="D591" s="37" t="s">
        <v>507</v>
      </c>
      <c r="E591" t="s">
        <v>5358</v>
      </c>
      <c r="F591" s="35">
        <v>46231</v>
      </c>
      <c r="G591" s="47">
        <v>778642.92</v>
      </c>
      <c r="H591" s="37">
        <f t="shared" si="94"/>
        <v>4</v>
      </c>
      <c r="I591" s="37" t="str">
        <f t="shared" si="88"/>
        <v>0-120 DAYS</v>
      </c>
      <c r="J591" s="37" t="str">
        <f t="shared" si="95"/>
        <v>0-180 DAYS</v>
      </c>
      <c r="M591" s="158"/>
      <c r="N591" s="158"/>
    </row>
    <row r="592" spans="1:14" x14ac:dyDescent="0.35">
      <c r="A592" s="2" t="s">
        <v>1085</v>
      </c>
      <c r="B592" s="2" t="s">
        <v>790</v>
      </c>
      <c r="C592" t="s">
        <v>1086</v>
      </c>
      <c r="D592" s="37" t="s">
        <v>507</v>
      </c>
      <c r="E592" t="s">
        <v>5359</v>
      </c>
      <c r="F592" s="35">
        <v>46231</v>
      </c>
      <c r="G592" s="47">
        <v>542970.86907798203</v>
      </c>
      <c r="H592" s="37">
        <f t="shared" si="94"/>
        <v>4</v>
      </c>
      <c r="I592" s="37" t="str">
        <f t="shared" si="88"/>
        <v>0-120 DAYS</v>
      </c>
      <c r="J592" s="37" t="str">
        <f t="shared" si="95"/>
        <v>0-180 DAYS</v>
      </c>
      <c r="M592" s="158"/>
      <c r="N592" s="158"/>
    </row>
    <row r="593" spans="1:14" x14ac:dyDescent="0.35">
      <c r="A593" s="2" t="s">
        <v>1085</v>
      </c>
      <c r="B593" s="2" t="s">
        <v>790</v>
      </c>
      <c r="C593" t="s">
        <v>1086</v>
      </c>
      <c r="D593" s="37" t="s">
        <v>507</v>
      </c>
      <c r="E593" t="s">
        <v>5359</v>
      </c>
      <c r="F593" s="35">
        <v>46231</v>
      </c>
      <c r="G593" s="47">
        <v>49685.816922017802</v>
      </c>
      <c r="H593" s="37">
        <f t="shared" si="94"/>
        <v>4</v>
      </c>
      <c r="I593" s="37" t="str">
        <f t="shared" si="88"/>
        <v>0-120 DAYS</v>
      </c>
      <c r="J593" s="37" t="str">
        <f t="shared" si="95"/>
        <v>0-180 DAYS</v>
      </c>
      <c r="M593" s="158"/>
      <c r="N593" s="158"/>
    </row>
    <row r="594" spans="1:14" x14ac:dyDescent="0.35">
      <c r="A594" s="2" t="s">
        <v>1085</v>
      </c>
      <c r="B594" s="2" t="s">
        <v>790</v>
      </c>
      <c r="C594" t="s">
        <v>1086</v>
      </c>
      <c r="D594" s="37" t="s">
        <v>507</v>
      </c>
      <c r="E594" t="s">
        <v>5360</v>
      </c>
      <c r="F594" s="35">
        <v>46231</v>
      </c>
      <c r="G594" s="47">
        <v>1262245.5162368901</v>
      </c>
      <c r="H594" s="37">
        <f t="shared" si="94"/>
        <v>4</v>
      </c>
      <c r="I594" s="37" t="str">
        <f t="shared" si="88"/>
        <v>0-120 DAYS</v>
      </c>
      <c r="J594" s="37" t="str">
        <f t="shared" si="95"/>
        <v>0-180 DAYS</v>
      </c>
      <c r="M594" s="158"/>
      <c r="N594" s="158"/>
    </row>
    <row r="595" spans="1:14" x14ac:dyDescent="0.35">
      <c r="A595" s="2" t="s">
        <v>1085</v>
      </c>
      <c r="B595" s="2" t="s">
        <v>790</v>
      </c>
      <c r="C595" t="s">
        <v>1086</v>
      </c>
      <c r="D595" s="37" t="s">
        <v>507</v>
      </c>
      <c r="E595" t="s">
        <v>5360</v>
      </c>
      <c r="F595" s="35">
        <v>46231</v>
      </c>
      <c r="G595" s="47">
        <v>286494.68526311102</v>
      </c>
      <c r="H595" s="37">
        <f t="shared" si="94"/>
        <v>4</v>
      </c>
      <c r="I595" s="37" t="str">
        <f t="shared" si="88"/>
        <v>0-120 DAYS</v>
      </c>
      <c r="J595" s="37" t="str">
        <f t="shared" si="95"/>
        <v>0-180 DAYS</v>
      </c>
      <c r="M595" s="158"/>
      <c r="N595" s="158"/>
    </row>
    <row r="596" spans="1:14" x14ac:dyDescent="0.35">
      <c r="A596" s="2" t="s">
        <v>1085</v>
      </c>
      <c r="B596" s="2" t="s">
        <v>790</v>
      </c>
      <c r="C596" t="s">
        <v>1086</v>
      </c>
      <c r="D596" s="37" t="s">
        <v>507</v>
      </c>
      <c r="E596" t="s">
        <v>5361</v>
      </c>
      <c r="F596" s="35">
        <v>46232</v>
      </c>
      <c r="G596" s="47">
        <v>428591.49900000001</v>
      </c>
      <c r="H596" s="37">
        <f t="shared" si="94"/>
        <v>3</v>
      </c>
      <c r="I596" s="37" t="str">
        <f t="shared" si="88"/>
        <v>0-120 DAYS</v>
      </c>
      <c r="J596" s="37" t="str">
        <f t="shared" si="95"/>
        <v>0-180 DAYS</v>
      </c>
      <c r="M596" s="158"/>
      <c r="N596" s="158"/>
    </row>
    <row r="597" spans="1:14" x14ac:dyDescent="0.35">
      <c r="A597" s="2" t="s">
        <v>1085</v>
      </c>
      <c r="B597" s="2" t="s">
        <v>790</v>
      </c>
      <c r="C597" t="s">
        <v>1086</v>
      </c>
      <c r="D597" s="37" t="s">
        <v>507</v>
      </c>
      <c r="E597" t="s">
        <v>5362</v>
      </c>
      <c r="F597" s="35">
        <v>46232</v>
      </c>
      <c r="G597" s="47">
        <v>287765.25826573698</v>
      </c>
      <c r="H597" s="37">
        <f t="shared" si="94"/>
        <v>3</v>
      </c>
      <c r="I597" s="37" t="str">
        <f t="shared" si="88"/>
        <v>0-120 DAYS</v>
      </c>
      <c r="J597" s="37" t="str">
        <f t="shared" si="95"/>
        <v>0-180 DAYS</v>
      </c>
      <c r="M597" s="158"/>
      <c r="N597" s="158"/>
    </row>
    <row r="598" spans="1:14" x14ac:dyDescent="0.35">
      <c r="A598" s="2" t="s">
        <v>1085</v>
      </c>
      <c r="B598" s="2" t="s">
        <v>790</v>
      </c>
      <c r="C598" t="s">
        <v>1086</v>
      </c>
      <c r="D598" s="37" t="s">
        <v>507</v>
      </c>
      <c r="E598" t="s">
        <v>5362</v>
      </c>
      <c r="F598" s="35">
        <v>46232</v>
      </c>
      <c r="G598" s="47">
        <v>292987.85823426303</v>
      </c>
      <c r="H598" s="37">
        <f t="shared" si="94"/>
        <v>3</v>
      </c>
      <c r="I598" s="37" t="str">
        <f t="shared" si="88"/>
        <v>0-120 DAYS</v>
      </c>
      <c r="J598" s="37" t="str">
        <f t="shared" si="95"/>
        <v>0-180 DAYS</v>
      </c>
      <c r="M598" s="158"/>
      <c r="N598" s="158"/>
    </row>
    <row r="599" spans="1:14" x14ac:dyDescent="0.35">
      <c r="A599" s="2" t="s">
        <v>1085</v>
      </c>
      <c r="B599" s="2" t="s">
        <v>790</v>
      </c>
      <c r="C599" t="s">
        <v>1086</v>
      </c>
      <c r="D599" s="37" t="s">
        <v>507</v>
      </c>
      <c r="E599" t="s">
        <v>5363</v>
      </c>
      <c r="F599" s="35">
        <v>46232</v>
      </c>
      <c r="G599" s="47">
        <v>2288031.9500000002</v>
      </c>
      <c r="H599" s="37">
        <f t="shared" si="94"/>
        <v>3</v>
      </c>
      <c r="I599" s="37" t="str">
        <f t="shared" si="88"/>
        <v>0-120 DAYS</v>
      </c>
      <c r="J599" s="37" t="str">
        <f t="shared" si="95"/>
        <v>0-180 DAYS</v>
      </c>
      <c r="M599" s="158"/>
      <c r="N599" s="158"/>
    </row>
    <row r="600" spans="1:14" x14ac:dyDescent="0.35">
      <c r="A600" s="2" t="s">
        <v>1085</v>
      </c>
      <c r="B600" s="2" t="s">
        <v>790</v>
      </c>
      <c r="C600" t="s">
        <v>1086</v>
      </c>
      <c r="D600" s="37" t="s">
        <v>507</v>
      </c>
      <c r="E600" t="s">
        <v>5364</v>
      </c>
      <c r="F600" s="35">
        <v>46232</v>
      </c>
      <c r="G600" s="47">
        <v>353297.67550000001</v>
      </c>
      <c r="H600" s="37">
        <f t="shared" si="94"/>
        <v>3</v>
      </c>
      <c r="I600" s="37" t="str">
        <f t="shared" si="88"/>
        <v>0-120 DAYS</v>
      </c>
      <c r="J600" s="37" t="str">
        <f t="shared" si="95"/>
        <v>0-180 DAYS</v>
      </c>
      <c r="M600" s="158"/>
      <c r="N600" s="158"/>
    </row>
    <row r="601" spans="1:14" x14ac:dyDescent="0.35">
      <c r="A601" s="2" t="s">
        <v>1085</v>
      </c>
      <c r="B601" s="2" t="s">
        <v>790</v>
      </c>
      <c r="C601" t="s">
        <v>538</v>
      </c>
      <c r="D601" s="37" t="s">
        <v>507</v>
      </c>
      <c r="E601" t="s">
        <v>5365</v>
      </c>
      <c r="F601" s="35">
        <v>46234</v>
      </c>
      <c r="G601" s="47">
        <v>3451148.358</v>
      </c>
      <c r="H601" s="37">
        <f t="shared" si="94"/>
        <v>1</v>
      </c>
      <c r="I601" s="37" t="str">
        <f t="shared" si="88"/>
        <v>0-120 DAYS</v>
      </c>
      <c r="J601" s="37" t="str">
        <f t="shared" si="95"/>
        <v>0-180 DAYS</v>
      </c>
      <c r="M601" s="158"/>
      <c r="N601" s="158"/>
    </row>
    <row r="602" spans="1:14" x14ac:dyDescent="0.35">
      <c r="A602" s="2" t="s">
        <v>1085</v>
      </c>
      <c r="B602" s="2" t="s">
        <v>790</v>
      </c>
      <c r="C602" t="s">
        <v>538</v>
      </c>
      <c r="D602" s="37" t="s">
        <v>507</v>
      </c>
      <c r="E602" t="s">
        <v>5365</v>
      </c>
      <c r="F602" s="35">
        <v>46234</v>
      </c>
      <c r="G602" s="47">
        <v>855884.20200000005</v>
      </c>
      <c r="H602" s="37">
        <f t="shared" si="94"/>
        <v>1</v>
      </c>
      <c r="I602" s="37" t="str">
        <f t="shared" si="88"/>
        <v>0-120 DAYS</v>
      </c>
      <c r="J602" s="37" t="str">
        <f t="shared" si="95"/>
        <v>0-180 DAYS</v>
      </c>
      <c r="M602" s="158"/>
      <c r="N602" s="158"/>
    </row>
    <row r="603" spans="1:14" x14ac:dyDescent="0.35">
      <c r="A603" s="2" t="s">
        <v>477</v>
      </c>
      <c r="B603" s="2" t="s">
        <v>790</v>
      </c>
      <c r="C603" t="s">
        <v>5300</v>
      </c>
      <c r="D603" t="s">
        <v>5305</v>
      </c>
      <c r="E603" t="s">
        <v>5366</v>
      </c>
      <c r="F603" s="35">
        <v>46234</v>
      </c>
      <c r="G603" s="47">
        <v>67035</v>
      </c>
      <c r="H603" s="37">
        <f t="shared" si="94"/>
        <v>1</v>
      </c>
      <c r="I603" s="37" t="str">
        <f t="shared" ref="I603:I604" si="96">IF(H603&lt;91,"1-90 DAYS",IF(H603&lt;121,"91-120DAYS",IF(H603&lt;181,"121-180 DAYS","More than 180 Days")))</f>
        <v>1-90 DAYS</v>
      </c>
      <c r="J603" s="37" t="str">
        <f t="shared" si="95"/>
        <v>0-180 DAYS</v>
      </c>
      <c r="M603" s="158"/>
      <c r="N603" s="158"/>
    </row>
    <row r="604" spans="1:14" x14ac:dyDescent="0.35">
      <c r="A604" s="2" t="s">
        <v>477</v>
      </c>
      <c r="B604" s="2" t="s">
        <v>790</v>
      </c>
      <c r="C604" t="s">
        <v>5299</v>
      </c>
      <c r="D604" t="s">
        <v>5304</v>
      </c>
      <c r="E604" t="s">
        <v>5367</v>
      </c>
      <c r="F604" s="35">
        <v>46234</v>
      </c>
      <c r="G604" s="47">
        <v>802400</v>
      </c>
      <c r="H604" s="37">
        <f t="shared" si="94"/>
        <v>1</v>
      </c>
      <c r="I604" s="37" t="str">
        <f t="shared" si="96"/>
        <v>1-90 DAYS</v>
      </c>
      <c r="J604" s="37" t="str">
        <f t="shared" si="95"/>
        <v>0-180 DAYS</v>
      </c>
      <c r="M604" s="158"/>
      <c r="N604" s="158"/>
    </row>
    <row r="605" spans="1:14" x14ac:dyDescent="0.35">
      <c r="A605" s="2" t="s">
        <v>1085</v>
      </c>
      <c r="B605" s="2" t="s">
        <v>790</v>
      </c>
      <c r="C605" t="s">
        <v>650</v>
      </c>
      <c r="D605" s="37" t="s">
        <v>507</v>
      </c>
      <c r="E605" t="s">
        <v>5368</v>
      </c>
      <c r="F605" s="35">
        <v>46234</v>
      </c>
      <c r="G605" s="47">
        <v>3701181.3960000002</v>
      </c>
      <c r="H605" s="37">
        <f t="shared" si="94"/>
        <v>1</v>
      </c>
      <c r="I605" s="37" t="str">
        <f t="shared" si="88"/>
        <v>0-120 DAYS</v>
      </c>
      <c r="J605" s="37" t="str">
        <f t="shared" si="95"/>
        <v>0-180 DAYS</v>
      </c>
      <c r="M605" s="158"/>
      <c r="N605" s="158"/>
    </row>
    <row r="606" spans="1:14" x14ac:dyDescent="0.35">
      <c r="A606" t="s">
        <v>4333</v>
      </c>
      <c r="B606" t="s">
        <v>789</v>
      </c>
      <c r="C606" t="s">
        <v>125</v>
      </c>
      <c r="D606" t="s">
        <v>57</v>
      </c>
      <c r="E606" t="s">
        <v>5190</v>
      </c>
      <c r="F606" s="35">
        <v>46203</v>
      </c>
      <c r="G606" s="47">
        <v>132004</v>
      </c>
      <c r="H606" s="37">
        <f t="shared" si="94"/>
        <v>32</v>
      </c>
      <c r="I606" s="37" t="str">
        <f t="shared" ref="I606:I608" si="97">IF(H606&lt;91,"1-90 DAYS",IF(H606&lt;121,"91-120DAYS",IF(H606&lt;181,"121-180 DAYS","More than 180 Days")))</f>
        <v>1-90 DAYS</v>
      </c>
      <c r="J606" s="37" t="str">
        <f t="shared" si="95"/>
        <v>0-180 DAYS</v>
      </c>
      <c r="M606" s="158" t="s">
        <v>5195</v>
      </c>
      <c r="N606" s="158">
        <v>132004</v>
      </c>
    </row>
    <row r="607" spans="1:14" x14ac:dyDescent="0.35">
      <c r="A607" t="s">
        <v>4333</v>
      </c>
      <c r="B607" t="s">
        <v>789</v>
      </c>
      <c r="C607" t="s">
        <v>125</v>
      </c>
      <c r="D607" t="s">
        <v>57</v>
      </c>
      <c r="E607" t="s">
        <v>5190</v>
      </c>
      <c r="F607" s="35">
        <v>46203</v>
      </c>
      <c r="G607" s="47">
        <v>52011.6</v>
      </c>
      <c r="H607" s="37">
        <f t="shared" si="94"/>
        <v>32</v>
      </c>
      <c r="I607" s="37" t="str">
        <f t="shared" si="97"/>
        <v>1-90 DAYS</v>
      </c>
      <c r="J607" s="37" t="str">
        <f t="shared" si="95"/>
        <v>0-180 DAYS</v>
      </c>
      <c r="M607" s="158" t="s">
        <v>5195</v>
      </c>
      <c r="N607" s="158">
        <v>52011.6</v>
      </c>
    </row>
    <row r="608" spans="1:14" x14ac:dyDescent="0.35">
      <c r="A608" t="s">
        <v>4333</v>
      </c>
      <c r="B608" t="s">
        <v>789</v>
      </c>
      <c r="C608" t="s">
        <v>125</v>
      </c>
      <c r="D608" t="s">
        <v>57</v>
      </c>
      <c r="E608" t="s">
        <v>5191</v>
      </c>
      <c r="F608" s="35">
        <v>46203</v>
      </c>
      <c r="G608" s="47">
        <v>2448</v>
      </c>
      <c r="H608" s="37">
        <f t="shared" si="94"/>
        <v>32</v>
      </c>
      <c r="I608" s="37" t="str">
        <f t="shared" si="97"/>
        <v>1-90 DAYS</v>
      </c>
      <c r="J608" s="37" t="str">
        <f t="shared" si="95"/>
        <v>0-180 DAYS</v>
      </c>
      <c r="M608" s="158" t="s">
        <v>5195</v>
      </c>
      <c r="N608" s="158">
        <v>2448</v>
      </c>
    </row>
  </sheetData>
  <autoFilter ref="A3:N608" xr:uid="{0BEEAA7A-972D-4FF2-9EAF-044395AFA7F5}"/>
  <conditionalFormatting sqref="E3">
    <cfRule type="duplicateValues" dxfId="32" priority="1"/>
    <cfRule type="duplicateValues" dxfId="31" priority="2"/>
  </conditionalFormatting>
  <conditionalFormatting sqref="E4">
    <cfRule type="duplicateValues" dxfId="30" priority="3"/>
  </conditionalFormatting>
  <conditionalFormatting sqref="E4:E5">
    <cfRule type="duplicateValues" dxfId="29" priority="4"/>
    <cfRule type="duplicateValues" dxfId="28" priority="5"/>
  </conditionalFormatting>
  <conditionalFormatting sqref="E8:E9">
    <cfRule type="duplicateValues" dxfId="27" priority="6"/>
  </conditionalFormatting>
  <conditionalFormatting sqref="E8:E12">
    <cfRule type="duplicateValues" dxfId="26" priority="7"/>
    <cfRule type="duplicateValues" dxfId="25" priority="8"/>
  </conditionalFormatting>
  <dataValidations count="2">
    <dataValidation type="textLength" allowBlank="1" showInputMessage="1" showErrorMessage="1" error="GST Number, please update 15 characters" sqref="D4 D8:D9 D23:D28 D135:D136 D156:D157 D167 D176 D180 D189:D192 D203 D206 D209:D211 D197:D200 D138:D140 D131:D132 D100:D124 D518:D519 D521 D523 D538:D539 D541 D545 D548 D550:D554 D557:D559 D561:D565 D568 D570 D572 D575:D581 D586:D602 D605 D77:D94 D52:D74" xr:uid="{624BDBEB-5751-455E-AD90-D4BEFA0631CF}">
      <formula1>15</formula1>
      <formula2>15</formula2>
    </dataValidation>
    <dataValidation type="textLength" operator="lessThanOrEqual" allowBlank="1" showInputMessage="1" showErrorMessage="1" error="Invoice number cannot be greater 18 characters" sqref="E4 E8:E9" xr:uid="{07D82DA8-04AD-4AA0-B21A-D1F9A20FA77D}">
      <formula1>18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C08E-0AB2-4596-88E1-ABCD5FD1F466}">
  <sheetPr>
    <tabColor theme="7"/>
  </sheetPr>
  <dimension ref="A1:N556"/>
  <sheetViews>
    <sheetView topLeftCell="A540" workbookViewId="0">
      <selection activeCell="E4" sqref="E4:E556"/>
    </sheetView>
  </sheetViews>
  <sheetFormatPr defaultRowHeight="14.5" x14ac:dyDescent="0.35"/>
  <cols>
    <col min="3" max="3" width="38.7265625" bestFit="1" customWidth="1"/>
    <col min="4" max="4" width="16.7265625" bestFit="1" customWidth="1"/>
    <col min="5" max="5" width="16.6328125" bestFit="1" customWidth="1"/>
    <col min="6" max="6" width="17.453125" bestFit="1" customWidth="1"/>
    <col min="7" max="7" width="16.08984375" style="150" bestFit="1" customWidth="1"/>
    <col min="8" max="8" width="14.6328125" bestFit="1" customWidth="1"/>
    <col min="9" max="9" width="12.54296875" bestFit="1" customWidth="1"/>
    <col min="10" max="10" width="16.1796875" bestFit="1" customWidth="1"/>
    <col min="12" max="12" width="10" bestFit="1" customWidth="1"/>
    <col min="13" max="13" width="11" style="157" bestFit="1" customWidth="1"/>
    <col min="14" max="14" width="10" style="157" bestFit="1" customWidth="1"/>
  </cols>
  <sheetData>
    <row r="1" spans="1:14" x14ac:dyDescent="0.35">
      <c r="E1" s="66"/>
      <c r="F1" s="66"/>
      <c r="H1" s="197">
        <v>46203</v>
      </c>
      <c r="I1" s="198" t="s">
        <v>5193</v>
      </c>
    </row>
    <row r="2" spans="1:14" x14ac:dyDescent="0.35">
      <c r="E2" s="66"/>
      <c r="F2" s="66"/>
      <c r="G2" s="150">
        <f>SUBTOTAL(9,G4:G556)</f>
        <v>582659882.13795495</v>
      </c>
      <c r="H2" s="35"/>
      <c r="I2" s="184"/>
      <c r="L2" s="66"/>
    </row>
    <row r="3" spans="1:14" x14ac:dyDescent="0.35">
      <c r="A3" s="80" t="s">
        <v>478</v>
      </c>
      <c r="B3" s="88" t="s">
        <v>787</v>
      </c>
      <c r="C3" s="80" t="s">
        <v>472</v>
      </c>
      <c r="D3" s="80" t="s">
        <v>473</v>
      </c>
      <c r="E3" s="81" t="s">
        <v>474</v>
      </c>
      <c r="F3" s="80" t="s">
        <v>475</v>
      </c>
      <c r="G3" s="177" t="s">
        <v>476</v>
      </c>
      <c r="H3" s="83" t="s">
        <v>483</v>
      </c>
      <c r="I3" s="83" t="s">
        <v>484</v>
      </c>
      <c r="J3" s="83" t="s">
        <v>1051</v>
      </c>
      <c r="K3" s="89"/>
    </row>
    <row r="4" spans="1:14" x14ac:dyDescent="0.35">
      <c r="A4" s="2" t="s">
        <v>1085</v>
      </c>
      <c r="B4" s="2" t="s">
        <v>790</v>
      </c>
      <c r="C4" s="37" t="s">
        <v>518</v>
      </c>
      <c r="D4" s="37" t="s">
        <v>507</v>
      </c>
      <c r="E4" s="37" t="s">
        <v>519</v>
      </c>
      <c r="F4" s="174" t="s">
        <v>1406</v>
      </c>
      <c r="G4" s="47">
        <v>3151699.2</v>
      </c>
      <c r="H4" s="37">
        <f t="shared" ref="H4:H67" si="0">$H$1-F4+1</f>
        <v>1336</v>
      </c>
      <c r="I4" s="37" t="str">
        <f>IF(H4&lt;121,"0-120 DAYS",IF(H4&lt;181,"121-180 DAYS","More than 180 Days"))</f>
        <v>More than 180 Days</v>
      </c>
      <c r="J4" s="37" t="str">
        <f>IF(H4&lt;180,"0-180 DAYS","More than 180 Days")</f>
        <v>More than 180 Days</v>
      </c>
      <c r="L4" s="66"/>
      <c r="M4" s="158" t="s">
        <v>1406</v>
      </c>
      <c r="N4" s="158">
        <v>3151699.2</v>
      </c>
    </row>
    <row r="5" spans="1:14" x14ac:dyDescent="0.35">
      <c r="A5" s="2" t="s">
        <v>1085</v>
      </c>
      <c r="B5" s="2" t="s">
        <v>790</v>
      </c>
      <c r="C5" s="37" t="s">
        <v>520</v>
      </c>
      <c r="D5" s="37" t="s">
        <v>507</v>
      </c>
      <c r="E5" s="37" t="s">
        <v>521</v>
      </c>
      <c r="F5" s="174" t="s">
        <v>1406</v>
      </c>
      <c r="G5" s="47">
        <v>3151699.2</v>
      </c>
      <c r="H5" s="37">
        <f t="shared" si="0"/>
        <v>1336</v>
      </c>
      <c r="I5" s="37" t="str">
        <f>IF(H5&lt;121,"0-120 DAYS",IF(H5&lt;181,"121-180 DAYS","More than 180 Days"))</f>
        <v>More than 180 Days</v>
      </c>
      <c r="J5" s="37" t="str">
        <f>IF(H5&lt;180,"0-180 DAYS","More than 180 Days")</f>
        <v>More than 180 Days</v>
      </c>
      <c r="L5" s="66"/>
      <c r="M5" s="158" t="s">
        <v>1406</v>
      </c>
      <c r="N5" s="158">
        <v>3151699.2</v>
      </c>
    </row>
    <row r="6" spans="1:14" x14ac:dyDescent="0.35">
      <c r="A6" s="2" t="s">
        <v>1727</v>
      </c>
      <c r="B6" s="2" t="s">
        <v>788</v>
      </c>
      <c r="C6" s="44" t="s">
        <v>1729</v>
      </c>
      <c r="D6" s="2" t="s">
        <v>507</v>
      </c>
      <c r="E6" s="192">
        <v>46174</v>
      </c>
      <c r="F6" s="174">
        <v>46203</v>
      </c>
      <c r="G6" s="151">
        <v>26653565.809999999</v>
      </c>
      <c r="H6" s="37">
        <f>$H$1-F6+1</f>
        <v>1</v>
      </c>
      <c r="I6" s="37" t="str">
        <f>IF(H6&lt;91,"1-90 DAYS",IF(H6&lt;121,"91-120DAYS",IF(H6&lt;181,"121-180 DAYS","More than 180 Days")))</f>
        <v>1-90 DAYS</v>
      </c>
      <c r="J6" s="37" t="str">
        <f t="shared" ref="J6:J69" si="1">IF(H6&lt;180,"0-180 DAYS","More than 180 Days")</f>
        <v>0-180 DAYS</v>
      </c>
      <c r="K6" t="s">
        <v>1730</v>
      </c>
      <c r="L6" s="66"/>
      <c r="M6" s="158" t="s">
        <v>5195</v>
      </c>
      <c r="N6" s="158">
        <v>26653565.809999999</v>
      </c>
    </row>
    <row r="7" spans="1:14" x14ac:dyDescent="0.35">
      <c r="A7" s="2" t="s">
        <v>1727</v>
      </c>
      <c r="B7" s="2" t="s">
        <v>788</v>
      </c>
      <c r="C7" s="44" t="s">
        <v>4894</v>
      </c>
      <c r="D7" s="2" t="s">
        <v>507</v>
      </c>
      <c r="E7" s="192">
        <v>46174</v>
      </c>
      <c r="F7" s="174">
        <v>46203</v>
      </c>
      <c r="G7" s="151">
        <v>44953082.5</v>
      </c>
      <c r="H7" s="37">
        <f t="shared" ref="H7" si="2">$H$1-F7+1</f>
        <v>1</v>
      </c>
      <c r="I7" s="37" t="str">
        <f>IF(H7&lt;91,"1-90 DAYS",IF(H7&lt;121,"91-120DAYS",IF(H7&lt;181,"121-180 DAYS","More than 180 Days")))</f>
        <v>1-90 DAYS</v>
      </c>
      <c r="J7" s="37" t="str">
        <f t="shared" si="1"/>
        <v>0-180 DAYS</v>
      </c>
      <c r="K7" t="s">
        <v>1730</v>
      </c>
      <c r="L7" s="66"/>
      <c r="M7" s="158" t="s">
        <v>5195</v>
      </c>
      <c r="N7" s="158">
        <v>44953082.5</v>
      </c>
    </row>
    <row r="8" spans="1:14" x14ac:dyDescent="0.35">
      <c r="A8" s="2" t="s">
        <v>477</v>
      </c>
      <c r="B8" s="2" t="s">
        <v>790</v>
      </c>
      <c r="C8" s="2" t="s">
        <v>0</v>
      </c>
      <c r="D8" s="2" t="s">
        <v>1</v>
      </c>
      <c r="E8" s="3" t="s">
        <v>1058</v>
      </c>
      <c r="F8" s="174" t="s">
        <v>1425</v>
      </c>
      <c r="G8" s="47">
        <v>82517.399999999994</v>
      </c>
      <c r="H8" s="37">
        <f t="shared" si="0"/>
        <v>1608</v>
      </c>
      <c r="I8" s="37" t="str">
        <f>IF(H8&lt;91,"1-90 DAYS",IF(H8&lt;121,"91-120DAYS",IF(H8&lt;181,"121-180 DAYS","More than 180 Days")))</f>
        <v>More than 180 Days</v>
      </c>
      <c r="J8" s="37" t="str">
        <f t="shared" si="1"/>
        <v>More than 180 Days</v>
      </c>
      <c r="L8" s="66"/>
      <c r="M8" s="158" t="s">
        <v>1425</v>
      </c>
      <c r="N8" s="158">
        <v>82517.399999999994</v>
      </c>
    </row>
    <row r="9" spans="1:14" x14ac:dyDescent="0.35">
      <c r="A9" s="2" t="s">
        <v>477</v>
      </c>
      <c r="B9" s="2" t="s">
        <v>790</v>
      </c>
      <c r="C9" s="44" t="s">
        <v>0</v>
      </c>
      <c r="D9" s="44" t="s">
        <v>1</v>
      </c>
      <c r="E9" s="44" t="s">
        <v>1059</v>
      </c>
      <c r="F9" s="174" t="s">
        <v>1426</v>
      </c>
      <c r="G9" s="47">
        <v>49754.7</v>
      </c>
      <c r="H9" s="37">
        <f t="shared" si="0"/>
        <v>1184</v>
      </c>
      <c r="I9" s="37" t="str">
        <f t="shared" ref="I9:I14" si="3">IF(H9&lt;91,"1-90 DAYS",IF(H9&lt;121,"91-120DAYS",IF(H9&lt;181,"121-180 DAYS","More than 180 Days")))</f>
        <v>More than 180 Days</v>
      </c>
      <c r="J9" s="37" t="str">
        <f t="shared" si="1"/>
        <v>More than 180 Days</v>
      </c>
      <c r="L9" s="66"/>
      <c r="M9" s="158" t="s">
        <v>1426</v>
      </c>
      <c r="N9" s="158">
        <v>49754.7</v>
      </c>
    </row>
    <row r="10" spans="1:14" x14ac:dyDescent="0.35">
      <c r="A10" s="2" t="s">
        <v>477</v>
      </c>
      <c r="B10" s="2" t="s">
        <v>790</v>
      </c>
      <c r="C10" s="44" t="s">
        <v>35</v>
      </c>
      <c r="D10" s="44" t="s">
        <v>36</v>
      </c>
      <c r="E10" s="44" t="s">
        <v>1192</v>
      </c>
      <c r="F10" s="174" t="s">
        <v>1436</v>
      </c>
      <c r="G10" s="47">
        <v>580857.09</v>
      </c>
      <c r="H10" s="37">
        <f t="shared" si="0"/>
        <v>962</v>
      </c>
      <c r="I10" s="37" t="str">
        <f t="shared" si="3"/>
        <v>More than 180 Days</v>
      </c>
      <c r="J10" s="37" t="str">
        <f t="shared" si="1"/>
        <v>More than 180 Days</v>
      </c>
      <c r="L10" s="66"/>
      <c r="M10" s="158" t="s">
        <v>1436</v>
      </c>
      <c r="N10" s="158">
        <v>580857.09</v>
      </c>
    </row>
    <row r="11" spans="1:14" x14ac:dyDescent="0.35">
      <c r="A11" s="2" t="s">
        <v>477</v>
      </c>
      <c r="B11" s="2" t="s">
        <v>790</v>
      </c>
      <c r="C11" s="2" t="s">
        <v>38</v>
      </c>
      <c r="D11" s="2" t="s">
        <v>39</v>
      </c>
      <c r="E11" s="2" t="s">
        <v>40</v>
      </c>
      <c r="F11" s="174">
        <v>42760</v>
      </c>
      <c r="G11" s="47">
        <v>1507988</v>
      </c>
      <c r="H11" s="37">
        <f t="shared" si="0"/>
        <v>3444</v>
      </c>
      <c r="I11" s="37" t="str">
        <f t="shared" si="3"/>
        <v>More than 180 Days</v>
      </c>
      <c r="J11" s="37" t="str">
        <f t="shared" si="1"/>
        <v>More than 180 Days</v>
      </c>
      <c r="L11" s="66"/>
      <c r="M11" s="158" t="s">
        <v>1437</v>
      </c>
      <c r="N11" s="158">
        <v>1507988</v>
      </c>
    </row>
    <row r="12" spans="1:14" x14ac:dyDescent="0.35">
      <c r="A12" s="2" t="s">
        <v>477</v>
      </c>
      <c r="B12" s="2" t="s">
        <v>790</v>
      </c>
      <c r="C12" s="2" t="s">
        <v>38</v>
      </c>
      <c r="D12" s="2" t="s">
        <v>39</v>
      </c>
      <c r="E12" s="2" t="s">
        <v>41</v>
      </c>
      <c r="F12" s="174" t="s">
        <v>1438</v>
      </c>
      <c r="G12" s="47">
        <v>2089970</v>
      </c>
      <c r="H12" s="37">
        <f t="shared" si="0"/>
        <v>3194</v>
      </c>
      <c r="I12" s="37" t="str">
        <f t="shared" si="3"/>
        <v>More than 180 Days</v>
      </c>
      <c r="J12" s="37" t="str">
        <f t="shared" si="1"/>
        <v>More than 180 Days</v>
      </c>
      <c r="L12" s="66"/>
      <c r="M12" s="158" t="s">
        <v>1438</v>
      </c>
      <c r="N12" s="158">
        <v>2089970</v>
      </c>
    </row>
    <row r="13" spans="1:14" x14ac:dyDescent="0.35">
      <c r="A13" s="2" t="s">
        <v>477</v>
      </c>
      <c r="B13" s="2" t="s">
        <v>790</v>
      </c>
      <c r="C13" s="44" t="s">
        <v>0</v>
      </c>
      <c r="D13" s="44" t="s">
        <v>1</v>
      </c>
      <c r="E13" s="44" t="s">
        <v>1610</v>
      </c>
      <c r="F13" s="174" t="s">
        <v>1739</v>
      </c>
      <c r="G13" s="47">
        <v>52321.2</v>
      </c>
      <c r="H13" s="37">
        <f t="shared" si="0"/>
        <v>603</v>
      </c>
      <c r="I13" s="37" t="str">
        <f t="shared" si="3"/>
        <v>More than 180 Days</v>
      </c>
      <c r="J13" s="37" t="str">
        <f t="shared" si="1"/>
        <v>More than 180 Days</v>
      </c>
      <c r="L13" s="66"/>
      <c r="M13" s="158" t="s">
        <v>1739</v>
      </c>
      <c r="N13" s="158">
        <v>52321.2</v>
      </c>
    </row>
    <row r="14" spans="1:14" x14ac:dyDescent="0.35">
      <c r="A14" s="2" t="s">
        <v>477</v>
      </c>
      <c r="B14" s="2" t="s">
        <v>790</v>
      </c>
      <c r="C14" s="18" t="s">
        <v>2321</v>
      </c>
      <c r="D14" s="18" t="s">
        <v>2347</v>
      </c>
      <c r="E14" s="18" t="s">
        <v>315</v>
      </c>
      <c r="F14" s="175">
        <v>45609</v>
      </c>
      <c r="G14" s="179">
        <v>40000</v>
      </c>
      <c r="H14" s="37">
        <f t="shared" si="0"/>
        <v>595</v>
      </c>
      <c r="I14" s="37" t="str">
        <f t="shared" si="3"/>
        <v>More than 180 Days</v>
      </c>
      <c r="J14" s="37" t="str">
        <f t="shared" si="1"/>
        <v>More than 180 Days</v>
      </c>
      <c r="L14" s="66"/>
      <c r="M14" s="158" t="s">
        <v>2865</v>
      </c>
      <c r="N14" s="158">
        <v>40000</v>
      </c>
    </row>
    <row r="15" spans="1:14" x14ac:dyDescent="0.35">
      <c r="A15" s="2" t="s">
        <v>1209</v>
      </c>
      <c r="B15" s="2" t="s">
        <v>789</v>
      </c>
      <c r="C15" s="18" t="s">
        <v>506</v>
      </c>
      <c r="D15" s="2" t="s">
        <v>507</v>
      </c>
      <c r="E15" s="18" t="s">
        <v>3865</v>
      </c>
      <c r="F15" s="176">
        <v>45832</v>
      </c>
      <c r="G15" s="179">
        <f>14031144-13457095-954+144+1</f>
        <v>573240</v>
      </c>
      <c r="H15" s="37">
        <f t="shared" si="0"/>
        <v>372</v>
      </c>
      <c r="I15" s="37" t="str">
        <f t="shared" ref="I15:I20" si="4">IF(H15&lt;121,"0-120 DAYS",IF(H15&lt;181,"121-180 DAYS","More than 180 Days"))</f>
        <v>More than 180 Days</v>
      </c>
      <c r="J15" s="37" t="str">
        <f t="shared" si="1"/>
        <v>More than 180 Days</v>
      </c>
      <c r="L15" s="66"/>
      <c r="M15" s="158" t="s">
        <v>3936</v>
      </c>
      <c r="N15" s="158">
        <v>573240</v>
      </c>
    </row>
    <row r="16" spans="1:14" x14ac:dyDescent="0.35">
      <c r="A16" s="2" t="s">
        <v>1209</v>
      </c>
      <c r="B16" s="2" t="s">
        <v>789</v>
      </c>
      <c r="C16" s="18" t="s">
        <v>506</v>
      </c>
      <c r="D16" s="2" t="s">
        <v>507</v>
      </c>
      <c r="E16" s="18" t="s">
        <v>3866</v>
      </c>
      <c r="F16" s="176">
        <v>45832</v>
      </c>
      <c r="G16" s="179">
        <v>265716.14</v>
      </c>
      <c r="H16" s="37">
        <f t="shared" si="0"/>
        <v>372</v>
      </c>
      <c r="I16" s="37" t="str">
        <f t="shared" si="4"/>
        <v>More than 180 Days</v>
      </c>
      <c r="J16" s="37" t="str">
        <f t="shared" si="1"/>
        <v>More than 180 Days</v>
      </c>
      <c r="L16" s="66"/>
      <c r="M16" s="158" t="s">
        <v>3936</v>
      </c>
      <c r="N16" s="158">
        <v>265716.14</v>
      </c>
    </row>
    <row r="17" spans="1:14" x14ac:dyDescent="0.35">
      <c r="A17" s="2" t="s">
        <v>1209</v>
      </c>
      <c r="B17" s="2" t="s">
        <v>789</v>
      </c>
      <c r="C17" s="18" t="s">
        <v>506</v>
      </c>
      <c r="D17" s="2" t="s">
        <v>507</v>
      </c>
      <c r="E17" s="18" t="s">
        <v>3867</v>
      </c>
      <c r="F17" s="176">
        <v>45832</v>
      </c>
      <c r="G17" s="179">
        <v>829457.9</v>
      </c>
      <c r="H17" s="37">
        <f t="shared" si="0"/>
        <v>372</v>
      </c>
      <c r="I17" s="37" t="str">
        <f t="shared" si="4"/>
        <v>More than 180 Days</v>
      </c>
      <c r="J17" s="37" t="str">
        <f t="shared" si="1"/>
        <v>More than 180 Days</v>
      </c>
      <c r="L17" s="66"/>
      <c r="M17" s="158" t="s">
        <v>3936</v>
      </c>
      <c r="N17" s="158">
        <v>829457.9</v>
      </c>
    </row>
    <row r="18" spans="1:14" x14ac:dyDescent="0.35">
      <c r="A18" s="2" t="s">
        <v>1209</v>
      </c>
      <c r="B18" s="2" t="s">
        <v>789</v>
      </c>
      <c r="C18" s="18" t="s">
        <v>506</v>
      </c>
      <c r="D18" s="2" t="s">
        <v>507</v>
      </c>
      <c r="E18" s="18" t="s">
        <v>3880</v>
      </c>
      <c r="F18" s="176">
        <v>45818</v>
      </c>
      <c r="G18" s="179">
        <v>579946.59</v>
      </c>
      <c r="H18" s="37">
        <f t="shared" si="0"/>
        <v>386</v>
      </c>
      <c r="I18" s="37" t="str">
        <f t="shared" si="4"/>
        <v>More than 180 Days</v>
      </c>
      <c r="J18" s="37" t="str">
        <f t="shared" si="1"/>
        <v>More than 180 Days</v>
      </c>
      <c r="L18" s="66"/>
      <c r="M18" s="158" t="s">
        <v>3940</v>
      </c>
      <c r="N18" s="158">
        <v>579946.59</v>
      </c>
    </row>
    <row r="19" spans="1:14" x14ac:dyDescent="0.35">
      <c r="A19" s="2" t="s">
        <v>1209</v>
      </c>
      <c r="B19" s="2" t="s">
        <v>789</v>
      </c>
      <c r="C19" s="18" t="s">
        <v>506</v>
      </c>
      <c r="D19" s="2" t="s">
        <v>507</v>
      </c>
      <c r="E19" s="18" t="s">
        <v>3881</v>
      </c>
      <c r="F19" s="176">
        <v>45818</v>
      </c>
      <c r="G19" s="179">
        <v>1626044.59</v>
      </c>
      <c r="H19" s="37">
        <f t="shared" si="0"/>
        <v>386</v>
      </c>
      <c r="I19" s="37" t="str">
        <f t="shared" si="4"/>
        <v>More than 180 Days</v>
      </c>
      <c r="J19" s="37" t="str">
        <f t="shared" si="1"/>
        <v>More than 180 Days</v>
      </c>
      <c r="L19" s="66"/>
      <c r="M19" s="158" t="s">
        <v>3940</v>
      </c>
      <c r="N19" s="158">
        <v>1626044.59</v>
      </c>
    </row>
    <row r="20" spans="1:14" x14ac:dyDescent="0.35">
      <c r="A20" s="2" t="s">
        <v>1209</v>
      </c>
      <c r="B20" s="2" t="s">
        <v>789</v>
      </c>
      <c r="C20" s="18" t="s">
        <v>506</v>
      </c>
      <c r="D20" s="2" t="s">
        <v>507</v>
      </c>
      <c r="E20" s="18" t="s">
        <v>3882</v>
      </c>
      <c r="F20" s="176">
        <v>45818</v>
      </c>
      <c r="G20" s="179">
        <v>553115.02</v>
      </c>
      <c r="H20" s="37">
        <f t="shared" si="0"/>
        <v>386</v>
      </c>
      <c r="I20" s="37" t="str">
        <f t="shared" si="4"/>
        <v>More than 180 Days</v>
      </c>
      <c r="J20" s="37" t="str">
        <f t="shared" si="1"/>
        <v>More than 180 Days</v>
      </c>
      <c r="L20" s="66"/>
      <c r="M20" s="158" t="s">
        <v>3940</v>
      </c>
      <c r="N20" s="158">
        <v>553115.02</v>
      </c>
    </row>
    <row r="21" spans="1:14" x14ac:dyDescent="0.35">
      <c r="A21" s="2" t="s">
        <v>477</v>
      </c>
      <c r="B21" s="2" t="s">
        <v>790</v>
      </c>
      <c r="C21" s="18" t="s">
        <v>2789</v>
      </c>
      <c r="D21" s="18" t="s">
        <v>2801</v>
      </c>
      <c r="E21" s="18" t="s">
        <v>5192</v>
      </c>
      <c r="F21" s="176">
        <v>46174</v>
      </c>
      <c r="G21" s="179">
        <v>13608000</v>
      </c>
      <c r="H21" s="37">
        <f t="shared" si="0"/>
        <v>30</v>
      </c>
      <c r="I21" s="37" t="str">
        <f t="shared" ref="I21:I22" si="5">IF(H21&lt;91,"1-90 DAYS",IF(H21&lt;121,"91-120DAYS",IF(H21&lt;181,"121-180 DAYS","More than 180 Days")))</f>
        <v>1-90 DAYS</v>
      </c>
      <c r="J21" s="37" t="str">
        <f t="shared" si="1"/>
        <v>0-180 DAYS</v>
      </c>
      <c r="K21" t="s">
        <v>1730</v>
      </c>
      <c r="L21" s="66"/>
      <c r="M21" s="158" t="s">
        <v>5196</v>
      </c>
      <c r="N21" s="158">
        <v>13608000</v>
      </c>
    </row>
    <row r="22" spans="1:14" x14ac:dyDescent="0.35">
      <c r="A22" s="2" t="s">
        <v>477</v>
      </c>
      <c r="B22" s="2" t="s">
        <v>790</v>
      </c>
      <c r="C22" s="18" t="s">
        <v>3409</v>
      </c>
      <c r="D22" s="18" t="s">
        <v>3060</v>
      </c>
      <c r="E22" s="18" t="s">
        <v>3954</v>
      </c>
      <c r="F22" s="176">
        <v>45867</v>
      </c>
      <c r="G22" s="179">
        <v>43680</v>
      </c>
      <c r="H22" s="37">
        <f t="shared" si="0"/>
        <v>337</v>
      </c>
      <c r="I22" s="37" t="str">
        <f t="shared" si="5"/>
        <v>More than 180 Days</v>
      </c>
      <c r="J22" s="37" t="str">
        <f t="shared" si="1"/>
        <v>More than 180 Days</v>
      </c>
      <c r="L22" s="66"/>
      <c r="M22" s="158" t="s">
        <v>4073</v>
      </c>
      <c r="N22" s="158">
        <v>43680</v>
      </c>
    </row>
    <row r="23" spans="1:14" x14ac:dyDescent="0.35">
      <c r="A23" s="2" t="s">
        <v>1209</v>
      </c>
      <c r="B23" s="2" t="s">
        <v>789</v>
      </c>
      <c r="C23" s="18" t="s">
        <v>506</v>
      </c>
      <c r="D23" s="37" t="s">
        <v>507</v>
      </c>
      <c r="E23" s="18" t="s">
        <v>4031</v>
      </c>
      <c r="F23" s="176">
        <v>45868</v>
      </c>
      <c r="G23" s="179">
        <v>3020702.8</v>
      </c>
      <c r="H23" s="37">
        <f t="shared" si="0"/>
        <v>336</v>
      </c>
      <c r="I23" s="37" t="str">
        <f t="shared" ref="I23:I31" si="6">IF(H23&lt;121,"0-120 DAYS",IF(H23&lt;181,"121-180 DAYS","More than 180 Days"))</f>
        <v>More than 180 Days</v>
      </c>
      <c r="J23" s="37" t="str">
        <f t="shared" si="1"/>
        <v>More than 180 Days</v>
      </c>
      <c r="L23" s="66"/>
      <c r="M23" s="158" t="s">
        <v>4074</v>
      </c>
      <c r="N23" s="158">
        <v>3020702.8</v>
      </c>
    </row>
    <row r="24" spans="1:14" x14ac:dyDescent="0.35">
      <c r="A24" s="2" t="s">
        <v>1209</v>
      </c>
      <c r="B24" s="2" t="s">
        <v>789</v>
      </c>
      <c r="C24" s="18" t="s">
        <v>506</v>
      </c>
      <c r="D24" s="37" t="s">
        <v>507</v>
      </c>
      <c r="E24" s="18" t="s">
        <v>4099</v>
      </c>
      <c r="F24" s="176">
        <v>45889</v>
      </c>
      <c r="G24" s="179">
        <v>2013374.8</v>
      </c>
      <c r="H24" s="37">
        <f t="shared" si="0"/>
        <v>315</v>
      </c>
      <c r="I24" s="37" t="str">
        <f t="shared" si="6"/>
        <v>More than 180 Days</v>
      </c>
      <c r="J24" s="37" t="str">
        <f t="shared" si="1"/>
        <v>More than 180 Days</v>
      </c>
      <c r="L24" s="66"/>
      <c r="M24" s="158" t="s">
        <v>4192</v>
      </c>
      <c r="N24" s="158">
        <v>2013374.8</v>
      </c>
    </row>
    <row r="25" spans="1:14" x14ac:dyDescent="0.35">
      <c r="A25" s="2" t="s">
        <v>1209</v>
      </c>
      <c r="B25" s="2" t="s">
        <v>789</v>
      </c>
      <c r="C25" s="18" t="s">
        <v>506</v>
      </c>
      <c r="D25" s="37" t="s">
        <v>507</v>
      </c>
      <c r="E25" s="18" t="s">
        <v>4100</v>
      </c>
      <c r="F25" s="176">
        <v>45889</v>
      </c>
      <c r="G25" s="179">
        <v>443448.97</v>
      </c>
      <c r="H25" s="37">
        <f t="shared" si="0"/>
        <v>315</v>
      </c>
      <c r="I25" s="37" t="str">
        <f t="shared" si="6"/>
        <v>More than 180 Days</v>
      </c>
      <c r="J25" s="37" t="str">
        <f t="shared" si="1"/>
        <v>More than 180 Days</v>
      </c>
      <c r="L25" s="66"/>
      <c r="M25" s="158" t="s">
        <v>4192</v>
      </c>
      <c r="N25" s="158">
        <v>443448.97</v>
      </c>
    </row>
    <row r="26" spans="1:14" x14ac:dyDescent="0.35">
      <c r="A26" s="2" t="s">
        <v>1209</v>
      </c>
      <c r="B26" s="2" t="s">
        <v>789</v>
      </c>
      <c r="C26" s="18" t="s">
        <v>506</v>
      </c>
      <c r="D26" s="37" t="s">
        <v>507</v>
      </c>
      <c r="E26" s="18" t="s">
        <v>4101</v>
      </c>
      <c r="F26" s="176">
        <v>45889</v>
      </c>
      <c r="G26" s="179">
        <v>102122.27</v>
      </c>
      <c r="H26" s="37">
        <f t="shared" si="0"/>
        <v>315</v>
      </c>
      <c r="I26" s="37" t="str">
        <f t="shared" si="6"/>
        <v>More than 180 Days</v>
      </c>
      <c r="J26" s="37" t="str">
        <f t="shared" si="1"/>
        <v>More than 180 Days</v>
      </c>
      <c r="L26" s="66"/>
      <c r="M26" s="158" t="s">
        <v>4192</v>
      </c>
      <c r="N26" s="158">
        <v>102122.27</v>
      </c>
    </row>
    <row r="27" spans="1:14" x14ac:dyDescent="0.35">
      <c r="A27" s="2" t="s">
        <v>1209</v>
      </c>
      <c r="B27" s="2" t="s">
        <v>789</v>
      </c>
      <c r="C27" s="18" t="s">
        <v>506</v>
      </c>
      <c r="D27" s="37" t="s">
        <v>507</v>
      </c>
      <c r="E27" s="18" t="s">
        <v>4102</v>
      </c>
      <c r="F27" s="176">
        <v>45889</v>
      </c>
      <c r="G27" s="179">
        <v>287053.3</v>
      </c>
      <c r="H27" s="37">
        <f t="shared" si="0"/>
        <v>315</v>
      </c>
      <c r="I27" s="37" t="str">
        <f t="shared" si="6"/>
        <v>More than 180 Days</v>
      </c>
      <c r="J27" s="37" t="str">
        <f t="shared" si="1"/>
        <v>More than 180 Days</v>
      </c>
      <c r="L27" s="66"/>
      <c r="M27" s="158" t="s">
        <v>4192</v>
      </c>
      <c r="N27" s="158">
        <v>287053.3</v>
      </c>
    </row>
    <row r="28" spans="1:14" x14ac:dyDescent="0.35">
      <c r="A28" s="2" t="s">
        <v>1209</v>
      </c>
      <c r="B28" s="2" t="s">
        <v>789</v>
      </c>
      <c r="C28" s="18" t="s">
        <v>506</v>
      </c>
      <c r="D28" s="37" t="s">
        <v>507</v>
      </c>
      <c r="E28" s="18" t="s">
        <v>4103</v>
      </c>
      <c r="F28" s="176">
        <v>45889</v>
      </c>
      <c r="G28" s="179">
        <v>136124.5</v>
      </c>
      <c r="H28" s="37">
        <f t="shared" si="0"/>
        <v>315</v>
      </c>
      <c r="I28" s="37" t="str">
        <f t="shared" si="6"/>
        <v>More than 180 Days</v>
      </c>
      <c r="J28" s="37" t="str">
        <f t="shared" si="1"/>
        <v>More than 180 Days</v>
      </c>
      <c r="L28" s="66"/>
      <c r="M28" s="158" t="s">
        <v>4192</v>
      </c>
      <c r="N28" s="158">
        <v>136124.5</v>
      </c>
    </row>
    <row r="29" spans="1:14" x14ac:dyDescent="0.35">
      <c r="A29" s="2" t="s">
        <v>1209</v>
      </c>
      <c r="B29" s="2" t="s">
        <v>789</v>
      </c>
      <c r="C29" s="18" t="s">
        <v>506</v>
      </c>
      <c r="D29" s="37" t="s">
        <v>507</v>
      </c>
      <c r="E29" s="18" t="s">
        <v>4239</v>
      </c>
      <c r="F29" s="176">
        <v>45905</v>
      </c>
      <c r="G29" s="179">
        <v>2407874.5600000001</v>
      </c>
      <c r="H29" s="37">
        <f t="shared" si="0"/>
        <v>299</v>
      </c>
      <c r="I29" s="37" t="str">
        <f t="shared" si="6"/>
        <v>More than 180 Days</v>
      </c>
      <c r="J29" s="37" t="str">
        <f t="shared" si="1"/>
        <v>More than 180 Days</v>
      </c>
      <c r="L29" s="66"/>
      <c r="M29" s="158" t="s">
        <v>4758</v>
      </c>
      <c r="N29" s="158">
        <v>2407874.5600000001</v>
      </c>
    </row>
    <row r="30" spans="1:14" x14ac:dyDescent="0.35">
      <c r="A30" s="2" t="s">
        <v>1209</v>
      </c>
      <c r="B30" s="2" t="s">
        <v>789</v>
      </c>
      <c r="C30" s="18" t="s">
        <v>506</v>
      </c>
      <c r="D30" s="37" t="s">
        <v>507</v>
      </c>
      <c r="E30" s="18" t="s">
        <v>4240</v>
      </c>
      <c r="F30" s="176">
        <v>45905</v>
      </c>
      <c r="G30" s="179">
        <v>382490.99</v>
      </c>
      <c r="H30" s="37">
        <f t="shared" si="0"/>
        <v>299</v>
      </c>
      <c r="I30" s="37" t="str">
        <f t="shared" si="6"/>
        <v>More than 180 Days</v>
      </c>
      <c r="J30" s="37" t="str">
        <f t="shared" si="1"/>
        <v>More than 180 Days</v>
      </c>
      <c r="L30" s="66"/>
      <c r="M30" s="158" t="s">
        <v>4758</v>
      </c>
      <c r="N30" s="158">
        <v>382490.99</v>
      </c>
    </row>
    <row r="31" spans="1:14" x14ac:dyDescent="0.35">
      <c r="A31" s="2" t="s">
        <v>1209</v>
      </c>
      <c r="B31" s="2" t="s">
        <v>789</v>
      </c>
      <c r="C31" s="18" t="s">
        <v>506</v>
      </c>
      <c r="D31" s="37" t="s">
        <v>507</v>
      </c>
      <c r="E31" s="18" t="s">
        <v>4241</v>
      </c>
      <c r="F31" s="176">
        <v>45905</v>
      </c>
      <c r="G31" s="179">
        <v>345305.54</v>
      </c>
      <c r="H31" s="37">
        <f t="shared" si="0"/>
        <v>299</v>
      </c>
      <c r="I31" s="37" t="str">
        <f t="shared" si="6"/>
        <v>More than 180 Days</v>
      </c>
      <c r="J31" s="37" t="str">
        <f t="shared" si="1"/>
        <v>More than 180 Days</v>
      </c>
      <c r="L31" s="66"/>
      <c r="M31" s="158" t="s">
        <v>4758</v>
      </c>
      <c r="N31" s="158">
        <v>345305.54</v>
      </c>
    </row>
    <row r="32" spans="1:14" x14ac:dyDescent="0.35">
      <c r="A32" s="88" t="s">
        <v>477</v>
      </c>
      <c r="B32" s="88" t="s">
        <v>790</v>
      </c>
      <c r="C32" t="s">
        <v>4744</v>
      </c>
      <c r="D32" t="s">
        <v>4750</v>
      </c>
      <c r="E32" t="s">
        <v>4746</v>
      </c>
      <c r="F32" s="35">
        <v>45999</v>
      </c>
      <c r="G32" s="47">
        <v>4925269.8</v>
      </c>
      <c r="H32" s="37">
        <f t="shared" si="0"/>
        <v>205</v>
      </c>
      <c r="I32" s="37" t="str">
        <f t="shared" ref="I32:I35" si="7">IF(H32&lt;91,"1-90 DAYS",IF(H32&lt;121,"91-120DAYS",IF(H32&lt;181,"121-180 DAYS","More than 180 Days")))</f>
        <v>More than 180 Days</v>
      </c>
      <c r="J32" s="37" t="str">
        <f t="shared" si="1"/>
        <v>More than 180 Days</v>
      </c>
      <c r="M32" s="158" t="s">
        <v>4759</v>
      </c>
      <c r="N32" s="158">
        <v>4925269.8</v>
      </c>
    </row>
    <row r="33" spans="1:14" x14ac:dyDescent="0.35">
      <c r="A33" s="88" t="s">
        <v>477</v>
      </c>
      <c r="B33" s="88" t="s">
        <v>790</v>
      </c>
      <c r="C33" t="s">
        <v>4744</v>
      </c>
      <c r="D33" t="s">
        <v>4750</v>
      </c>
      <c r="E33" t="s">
        <v>4747</v>
      </c>
      <c r="F33" s="35">
        <v>45999</v>
      </c>
      <c r="G33" s="47">
        <v>4925269.8</v>
      </c>
      <c r="H33" s="37">
        <f t="shared" si="0"/>
        <v>205</v>
      </c>
      <c r="I33" s="37" t="str">
        <f t="shared" si="7"/>
        <v>More than 180 Days</v>
      </c>
      <c r="J33" s="37" t="str">
        <f t="shared" si="1"/>
        <v>More than 180 Days</v>
      </c>
      <c r="M33" s="158" t="s">
        <v>4759</v>
      </c>
      <c r="N33" s="158">
        <v>4925269.8</v>
      </c>
    </row>
    <row r="34" spans="1:14" x14ac:dyDescent="0.35">
      <c r="A34" s="88" t="s">
        <v>477</v>
      </c>
      <c r="B34" s="88" t="s">
        <v>790</v>
      </c>
      <c r="C34" t="s">
        <v>263</v>
      </c>
      <c r="D34" t="s">
        <v>264</v>
      </c>
      <c r="E34" t="s">
        <v>4748</v>
      </c>
      <c r="F34" s="35">
        <v>46005</v>
      </c>
      <c r="G34" s="47">
        <f>-464384+930474.84</f>
        <v>466090.83999999997</v>
      </c>
      <c r="H34" s="37">
        <f t="shared" si="0"/>
        <v>199</v>
      </c>
      <c r="I34" s="37" t="str">
        <f t="shared" si="7"/>
        <v>More than 180 Days</v>
      </c>
      <c r="J34" s="37" t="str">
        <f t="shared" si="1"/>
        <v>More than 180 Days</v>
      </c>
      <c r="M34" s="158" t="s">
        <v>4760</v>
      </c>
      <c r="N34" s="158">
        <v>466090.84</v>
      </c>
    </row>
    <row r="35" spans="1:14" x14ac:dyDescent="0.35">
      <c r="A35" s="88" t="s">
        <v>477</v>
      </c>
      <c r="B35" s="88" t="s">
        <v>790</v>
      </c>
      <c r="C35" t="s">
        <v>263</v>
      </c>
      <c r="D35" t="s">
        <v>264</v>
      </c>
      <c r="E35" t="s">
        <v>4749</v>
      </c>
      <c r="F35" s="35">
        <v>46012</v>
      </c>
      <c r="G35" s="47">
        <v>820239.24</v>
      </c>
      <c r="H35" s="37">
        <f t="shared" si="0"/>
        <v>192</v>
      </c>
      <c r="I35" s="37" t="str">
        <f t="shared" si="7"/>
        <v>More than 180 Days</v>
      </c>
      <c r="J35" s="37" t="str">
        <f t="shared" si="1"/>
        <v>More than 180 Days</v>
      </c>
      <c r="M35" s="158" t="s">
        <v>4761</v>
      </c>
      <c r="N35" s="158">
        <v>820239.24</v>
      </c>
    </row>
    <row r="36" spans="1:14" x14ac:dyDescent="0.35">
      <c r="A36" s="2" t="s">
        <v>1209</v>
      </c>
      <c r="B36" s="2" t="s">
        <v>789</v>
      </c>
      <c r="C36" t="s">
        <v>506</v>
      </c>
      <c r="D36" s="37" t="s">
        <v>507</v>
      </c>
      <c r="E36" t="s">
        <v>4743</v>
      </c>
      <c r="F36" s="35">
        <v>46008</v>
      </c>
      <c r="G36" s="47">
        <v>465127.04</v>
      </c>
      <c r="H36" s="37">
        <f t="shared" si="0"/>
        <v>196</v>
      </c>
      <c r="I36" s="37" t="str">
        <f t="shared" ref="I36:I52" si="8">IF(H36&lt;121,"0-120 DAYS",IF(H36&lt;181,"121-180 DAYS","More than 180 Days"))</f>
        <v>More than 180 Days</v>
      </c>
      <c r="J36" s="37" t="str">
        <f t="shared" si="1"/>
        <v>More than 180 Days</v>
      </c>
      <c r="M36" s="158" t="s">
        <v>4762</v>
      </c>
      <c r="N36" s="158">
        <v>465127.04</v>
      </c>
    </row>
    <row r="37" spans="1:14" x14ac:dyDescent="0.35">
      <c r="A37" s="2" t="s">
        <v>1085</v>
      </c>
      <c r="B37" s="2" t="s">
        <v>790</v>
      </c>
      <c r="C37" s="18" t="s">
        <v>536</v>
      </c>
      <c r="D37" s="37" t="s">
        <v>507</v>
      </c>
      <c r="E37" s="18" t="s">
        <v>4764</v>
      </c>
      <c r="F37" s="19">
        <v>46034</v>
      </c>
      <c r="G37" s="179">
        <f>-2893649+2927043</f>
        <v>33394</v>
      </c>
      <c r="H37" s="37">
        <f t="shared" si="0"/>
        <v>170</v>
      </c>
      <c r="I37" s="37" t="str">
        <f t="shared" si="8"/>
        <v>121-180 DAYS</v>
      </c>
      <c r="J37" s="37" t="str">
        <f t="shared" si="1"/>
        <v>0-180 DAYS</v>
      </c>
      <c r="M37" s="158" t="s">
        <v>4796</v>
      </c>
      <c r="N37" s="158">
        <v>33394</v>
      </c>
    </row>
    <row r="38" spans="1:14" x14ac:dyDescent="0.35">
      <c r="A38" s="2" t="s">
        <v>1085</v>
      </c>
      <c r="B38" s="2" t="s">
        <v>790</v>
      </c>
      <c r="C38" s="18" t="s">
        <v>650</v>
      </c>
      <c r="D38" s="37" t="s">
        <v>507</v>
      </c>
      <c r="E38" s="18" t="s">
        <v>1218</v>
      </c>
      <c r="F38" s="19">
        <v>46030</v>
      </c>
      <c r="G38" s="179">
        <f>-1243879+1870583.22</f>
        <v>626704.22</v>
      </c>
      <c r="H38" s="37">
        <f t="shared" si="0"/>
        <v>174</v>
      </c>
      <c r="I38" s="37" t="str">
        <f t="shared" si="8"/>
        <v>121-180 DAYS</v>
      </c>
      <c r="J38" s="37" t="str">
        <f t="shared" si="1"/>
        <v>0-180 DAYS</v>
      </c>
      <c r="M38" s="158" t="s">
        <v>4803</v>
      </c>
      <c r="N38" s="158">
        <v>626704.22</v>
      </c>
    </row>
    <row r="39" spans="1:14" x14ac:dyDescent="0.35">
      <c r="A39" s="2" t="s">
        <v>1085</v>
      </c>
      <c r="B39" s="2" t="s">
        <v>790</v>
      </c>
      <c r="C39" s="18" t="s">
        <v>650</v>
      </c>
      <c r="D39" s="37" t="s">
        <v>507</v>
      </c>
      <c r="E39" s="18" t="s">
        <v>1273</v>
      </c>
      <c r="F39" s="19">
        <v>46030</v>
      </c>
      <c r="G39" s="179">
        <v>1867963.73</v>
      </c>
      <c r="H39" s="37">
        <f t="shared" si="0"/>
        <v>174</v>
      </c>
      <c r="I39" s="37" t="str">
        <f t="shared" si="8"/>
        <v>121-180 DAYS</v>
      </c>
      <c r="J39" s="37" t="str">
        <f t="shared" si="1"/>
        <v>0-180 DAYS</v>
      </c>
      <c r="M39" s="158" t="s">
        <v>4803</v>
      </c>
      <c r="N39" s="158">
        <v>1867963.73</v>
      </c>
    </row>
    <row r="40" spans="1:14" x14ac:dyDescent="0.35">
      <c r="A40" s="2" t="s">
        <v>1085</v>
      </c>
      <c r="B40" s="2" t="s">
        <v>790</v>
      </c>
      <c r="C40" s="18" t="s">
        <v>1086</v>
      </c>
      <c r="D40" s="37" t="s">
        <v>507</v>
      </c>
      <c r="E40" s="18" t="s">
        <v>4765</v>
      </c>
      <c r="F40" s="19">
        <v>46037</v>
      </c>
      <c r="G40" s="179">
        <f>-2495995+2587214.52</f>
        <v>91219.520000000019</v>
      </c>
      <c r="H40" s="37">
        <f t="shared" si="0"/>
        <v>167</v>
      </c>
      <c r="I40" s="37" t="str">
        <f t="shared" si="8"/>
        <v>121-180 DAYS</v>
      </c>
      <c r="J40" s="37" t="str">
        <f t="shared" si="1"/>
        <v>0-180 DAYS</v>
      </c>
      <c r="M40" s="158" t="s">
        <v>4797</v>
      </c>
      <c r="N40" s="158">
        <v>91219.520000000004</v>
      </c>
    </row>
    <row r="41" spans="1:14" x14ac:dyDescent="0.35">
      <c r="A41" s="2" t="s">
        <v>1085</v>
      </c>
      <c r="B41" s="2" t="s">
        <v>790</v>
      </c>
      <c r="C41" s="18" t="s">
        <v>1086</v>
      </c>
      <c r="D41" s="37" t="s">
        <v>507</v>
      </c>
      <c r="E41" s="18" t="s">
        <v>4766</v>
      </c>
      <c r="F41" s="19">
        <v>46037</v>
      </c>
      <c r="G41" s="179">
        <v>3794613.97</v>
      </c>
      <c r="H41" s="37">
        <f t="shared" si="0"/>
        <v>167</v>
      </c>
      <c r="I41" s="37" t="str">
        <f t="shared" si="8"/>
        <v>121-180 DAYS</v>
      </c>
      <c r="J41" s="37" t="str">
        <f t="shared" si="1"/>
        <v>0-180 DAYS</v>
      </c>
      <c r="M41" s="158" t="s">
        <v>4797</v>
      </c>
      <c r="N41" s="158">
        <v>3794613.97</v>
      </c>
    </row>
    <row r="42" spans="1:14" x14ac:dyDescent="0.35">
      <c r="A42" s="2" t="s">
        <v>1085</v>
      </c>
      <c r="B42" s="2" t="s">
        <v>790</v>
      </c>
      <c r="C42" s="18" t="s">
        <v>4778</v>
      </c>
      <c r="D42" s="37" t="s">
        <v>507</v>
      </c>
      <c r="E42" s="18" t="s">
        <v>4767</v>
      </c>
      <c r="F42" s="19">
        <v>46039</v>
      </c>
      <c r="G42" s="179">
        <v>511492.5</v>
      </c>
      <c r="H42" s="37">
        <f t="shared" si="0"/>
        <v>165</v>
      </c>
      <c r="I42" s="37" t="str">
        <f t="shared" si="8"/>
        <v>121-180 DAYS</v>
      </c>
      <c r="J42" s="37" t="str">
        <f t="shared" si="1"/>
        <v>0-180 DAYS</v>
      </c>
      <c r="M42" s="158" t="s">
        <v>4798</v>
      </c>
      <c r="N42" s="158">
        <v>511492.5</v>
      </c>
    </row>
    <row r="43" spans="1:14" x14ac:dyDescent="0.35">
      <c r="A43" s="2" t="s">
        <v>1085</v>
      </c>
      <c r="B43" s="2" t="s">
        <v>790</v>
      </c>
      <c r="C43" s="18" t="s">
        <v>1086</v>
      </c>
      <c r="D43" s="37" t="s">
        <v>507</v>
      </c>
      <c r="E43" s="18" t="s">
        <v>4768</v>
      </c>
      <c r="F43" s="19">
        <v>46042</v>
      </c>
      <c r="G43" s="179">
        <v>1653707.61</v>
      </c>
      <c r="H43" s="37">
        <f t="shared" si="0"/>
        <v>162</v>
      </c>
      <c r="I43" s="37" t="str">
        <f t="shared" si="8"/>
        <v>121-180 DAYS</v>
      </c>
      <c r="J43" s="37" t="str">
        <f t="shared" si="1"/>
        <v>0-180 DAYS</v>
      </c>
      <c r="M43" s="158" t="s">
        <v>4799</v>
      </c>
      <c r="N43" s="158">
        <v>1653707.61</v>
      </c>
    </row>
    <row r="44" spans="1:14" x14ac:dyDescent="0.35">
      <c r="A44" s="2" t="s">
        <v>1085</v>
      </c>
      <c r="B44" s="2" t="s">
        <v>790</v>
      </c>
      <c r="C44" s="18" t="s">
        <v>1086</v>
      </c>
      <c r="D44" s="37" t="s">
        <v>507</v>
      </c>
      <c r="E44" s="18" t="s">
        <v>4769</v>
      </c>
      <c r="F44" s="19">
        <v>46042</v>
      </c>
      <c r="G44" s="179">
        <v>89107.1</v>
      </c>
      <c r="H44" s="37">
        <f t="shared" si="0"/>
        <v>162</v>
      </c>
      <c r="I44" s="37" t="str">
        <f t="shared" si="8"/>
        <v>121-180 DAYS</v>
      </c>
      <c r="J44" s="37" t="str">
        <f t="shared" si="1"/>
        <v>0-180 DAYS</v>
      </c>
      <c r="M44" s="158" t="s">
        <v>4799</v>
      </c>
      <c r="N44" s="158">
        <v>89107.1</v>
      </c>
    </row>
    <row r="45" spans="1:14" x14ac:dyDescent="0.35">
      <c r="A45" s="2" t="s">
        <v>1085</v>
      </c>
      <c r="B45" s="2" t="s">
        <v>790</v>
      </c>
      <c r="C45" s="18" t="s">
        <v>1086</v>
      </c>
      <c r="D45" s="37" t="s">
        <v>507</v>
      </c>
      <c r="E45" s="18" t="s">
        <v>4770</v>
      </c>
      <c r="F45" s="19">
        <v>46042</v>
      </c>
      <c r="G45" s="179">
        <v>1033261.39</v>
      </c>
      <c r="H45" s="37">
        <f t="shared" si="0"/>
        <v>162</v>
      </c>
      <c r="I45" s="37" t="str">
        <f t="shared" si="8"/>
        <v>121-180 DAYS</v>
      </c>
      <c r="J45" s="37" t="str">
        <f t="shared" si="1"/>
        <v>0-180 DAYS</v>
      </c>
      <c r="M45" s="158" t="s">
        <v>4799</v>
      </c>
      <c r="N45" s="158">
        <v>1033261.39</v>
      </c>
    </row>
    <row r="46" spans="1:14" x14ac:dyDescent="0.35">
      <c r="A46" s="2" t="s">
        <v>1085</v>
      </c>
      <c r="B46" s="2" t="s">
        <v>790</v>
      </c>
      <c r="C46" s="18" t="s">
        <v>1086</v>
      </c>
      <c r="D46" s="37" t="s">
        <v>507</v>
      </c>
      <c r="E46" s="18" t="s">
        <v>4771</v>
      </c>
      <c r="F46" s="19">
        <v>46042</v>
      </c>
      <c r="G46" s="179">
        <v>1266942.32</v>
      </c>
      <c r="H46" s="37">
        <f t="shared" si="0"/>
        <v>162</v>
      </c>
      <c r="I46" s="37" t="str">
        <f t="shared" si="8"/>
        <v>121-180 DAYS</v>
      </c>
      <c r="J46" s="37" t="str">
        <f t="shared" si="1"/>
        <v>0-180 DAYS</v>
      </c>
      <c r="M46" s="158" t="s">
        <v>4799</v>
      </c>
      <c r="N46" s="158">
        <v>1266942.32</v>
      </c>
    </row>
    <row r="47" spans="1:14" x14ac:dyDescent="0.35">
      <c r="A47" s="2" t="s">
        <v>1085</v>
      </c>
      <c r="B47" s="2" t="s">
        <v>790</v>
      </c>
      <c r="C47" s="18" t="s">
        <v>1086</v>
      </c>
      <c r="D47" s="37" t="s">
        <v>507</v>
      </c>
      <c r="E47" s="18" t="s">
        <v>4772</v>
      </c>
      <c r="F47" s="19">
        <v>46042</v>
      </c>
      <c r="G47" s="179">
        <v>1066773.78</v>
      </c>
      <c r="H47" s="37">
        <f t="shared" si="0"/>
        <v>162</v>
      </c>
      <c r="I47" s="37" t="str">
        <f t="shared" si="8"/>
        <v>121-180 DAYS</v>
      </c>
      <c r="J47" s="37" t="str">
        <f t="shared" si="1"/>
        <v>0-180 DAYS</v>
      </c>
      <c r="M47" s="158" t="s">
        <v>4799</v>
      </c>
      <c r="N47" s="158">
        <v>1066773.78</v>
      </c>
    </row>
    <row r="48" spans="1:14" x14ac:dyDescent="0.35">
      <c r="A48" s="2" t="s">
        <v>1085</v>
      </c>
      <c r="B48" s="2" t="s">
        <v>790</v>
      </c>
      <c r="C48" s="18" t="s">
        <v>538</v>
      </c>
      <c r="D48" s="37" t="s">
        <v>507</v>
      </c>
      <c r="E48" s="18" t="s">
        <v>4773</v>
      </c>
      <c r="F48" s="19">
        <v>46046</v>
      </c>
      <c r="G48" s="179">
        <f>-56171+3302776.62-1070539</f>
        <v>2176066.62</v>
      </c>
      <c r="H48" s="37">
        <f t="shared" si="0"/>
        <v>158</v>
      </c>
      <c r="I48" s="37" t="str">
        <f t="shared" si="8"/>
        <v>121-180 DAYS</v>
      </c>
      <c r="J48" s="37" t="str">
        <f t="shared" si="1"/>
        <v>0-180 DAYS</v>
      </c>
      <c r="M48" s="158" t="s">
        <v>4800</v>
      </c>
      <c r="N48" s="158">
        <v>2176066.62</v>
      </c>
    </row>
    <row r="49" spans="1:14" x14ac:dyDescent="0.35">
      <c r="A49" s="2" t="s">
        <v>1085</v>
      </c>
      <c r="B49" s="2" t="s">
        <v>790</v>
      </c>
      <c r="C49" s="18" t="s">
        <v>1086</v>
      </c>
      <c r="D49" s="37" t="s">
        <v>507</v>
      </c>
      <c r="E49" s="18" t="s">
        <v>4774</v>
      </c>
      <c r="F49" s="19">
        <v>46047</v>
      </c>
      <c r="G49" s="179">
        <v>3092993.81</v>
      </c>
      <c r="H49" s="37">
        <f t="shared" si="0"/>
        <v>157</v>
      </c>
      <c r="I49" s="37" t="str">
        <f t="shared" si="8"/>
        <v>121-180 DAYS</v>
      </c>
      <c r="J49" s="37" t="str">
        <f t="shared" si="1"/>
        <v>0-180 DAYS</v>
      </c>
      <c r="M49" s="158" t="s">
        <v>4801</v>
      </c>
      <c r="N49" s="158">
        <v>3092993.81</v>
      </c>
    </row>
    <row r="50" spans="1:14" x14ac:dyDescent="0.35">
      <c r="A50" s="2" t="s">
        <v>1085</v>
      </c>
      <c r="B50" s="2" t="s">
        <v>790</v>
      </c>
      <c r="C50" s="18" t="s">
        <v>1086</v>
      </c>
      <c r="D50" s="37" t="s">
        <v>507</v>
      </c>
      <c r="E50" s="18" t="s">
        <v>4775</v>
      </c>
      <c r="F50" s="19">
        <v>46053</v>
      </c>
      <c r="G50" s="179">
        <v>517808.52</v>
      </c>
      <c r="H50" s="37">
        <f t="shared" si="0"/>
        <v>151</v>
      </c>
      <c r="I50" s="37" t="str">
        <f t="shared" si="8"/>
        <v>121-180 DAYS</v>
      </c>
      <c r="J50" s="37" t="str">
        <f t="shared" si="1"/>
        <v>0-180 DAYS</v>
      </c>
      <c r="M50" s="158" t="s">
        <v>4795</v>
      </c>
      <c r="N50" s="158">
        <v>517808.52</v>
      </c>
    </row>
    <row r="51" spans="1:14" x14ac:dyDescent="0.35">
      <c r="A51" s="2" t="s">
        <v>1085</v>
      </c>
      <c r="B51" s="2" t="s">
        <v>790</v>
      </c>
      <c r="C51" s="18" t="s">
        <v>1086</v>
      </c>
      <c r="D51" s="37" t="s">
        <v>507</v>
      </c>
      <c r="E51" s="18" t="s">
        <v>4776</v>
      </c>
      <c r="F51" s="19">
        <v>46053</v>
      </c>
      <c r="G51" s="179">
        <v>472167.99</v>
      </c>
      <c r="H51" s="37">
        <f t="shared" si="0"/>
        <v>151</v>
      </c>
      <c r="I51" s="37" t="str">
        <f t="shared" si="8"/>
        <v>121-180 DAYS</v>
      </c>
      <c r="J51" s="37" t="str">
        <f t="shared" si="1"/>
        <v>0-180 DAYS</v>
      </c>
      <c r="M51" s="158" t="s">
        <v>4795</v>
      </c>
      <c r="N51" s="158">
        <v>472167.99</v>
      </c>
    </row>
    <row r="52" spans="1:14" x14ac:dyDescent="0.35">
      <c r="A52" s="2" t="s">
        <v>1085</v>
      </c>
      <c r="B52" s="2" t="s">
        <v>790</v>
      </c>
      <c r="C52" s="18" t="s">
        <v>1086</v>
      </c>
      <c r="D52" s="37" t="s">
        <v>507</v>
      </c>
      <c r="E52" s="18" t="s">
        <v>4777</v>
      </c>
      <c r="F52" s="19">
        <v>46053</v>
      </c>
      <c r="G52" s="179">
        <v>1557453.95</v>
      </c>
      <c r="H52" s="37">
        <f t="shared" si="0"/>
        <v>151</v>
      </c>
      <c r="I52" s="37" t="str">
        <f t="shared" si="8"/>
        <v>121-180 DAYS</v>
      </c>
      <c r="J52" s="37" t="str">
        <f t="shared" si="1"/>
        <v>0-180 DAYS</v>
      </c>
      <c r="M52" s="158" t="s">
        <v>4795</v>
      </c>
      <c r="N52" s="158">
        <v>1557453.95</v>
      </c>
    </row>
    <row r="53" spans="1:14" x14ac:dyDescent="0.35">
      <c r="A53" s="2" t="s">
        <v>477</v>
      </c>
      <c r="B53" s="2" t="s">
        <v>790</v>
      </c>
      <c r="C53" s="18" t="s">
        <v>4779</v>
      </c>
      <c r="D53" s="18" t="s">
        <v>4782</v>
      </c>
      <c r="E53" s="18" t="s">
        <v>4785</v>
      </c>
      <c r="F53" s="19">
        <v>46030</v>
      </c>
      <c r="G53" s="179">
        <v>20472507</v>
      </c>
      <c r="H53" s="37">
        <f t="shared" si="0"/>
        <v>174</v>
      </c>
      <c r="I53" s="37" t="str">
        <f t="shared" ref="I53:I57" si="9">IF(H53&lt;91,"1-90 DAYS",IF(H53&lt;121,"91-120DAYS",IF(H53&lt;181,"121-180 DAYS","More than 180 Days")))</f>
        <v>121-180 DAYS</v>
      </c>
      <c r="J53" s="37" t="str">
        <f t="shared" si="1"/>
        <v>0-180 DAYS</v>
      </c>
      <c r="M53" s="158" t="s">
        <v>4803</v>
      </c>
      <c r="N53" s="158">
        <v>20472507</v>
      </c>
    </row>
    <row r="54" spans="1:14" x14ac:dyDescent="0.35">
      <c r="A54" s="2" t="s">
        <v>477</v>
      </c>
      <c r="B54" s="2" t="s">
        <v>790</v>
      </c>
      <c r="C54" s="18" t="s">
        <v>263</v>
      </c>
      <c r="D54" s="18" t="s">
        <v>264</v>
      </c>
      <c r="E54" s="18" t="s">
        <v>4786</v>
      </c>
      <c r="F54" s="19">
        <v>46032</v>
      </c>
      <c r="G54" s="179">
        <v>861614.76</v>
      </c>
      <c r="H54" s="37">
        <f t="shared" si="0"/>
        <v>172</v>
      </c>
      <c r="I54" s="37" t="str">
        <f t="shared" si="9"/>
        <v>121-180 DAYS</v>
      </c>
      <c r="J54" s="37" t="str">
        <f t="shared" si="1"/>
        <v>0-180 DAYS</v>
      </c>
      <c r="M54" s="158" t="s">
        <v>4804</v>
      </c>
      <c r="N54" s="158">
        <v>861614.76</v>
      </c>
    </row>
    <row r="55" spans="1:14" x14ac:dyDescent="0.35">
      <c r="A55" s="2" t="s">
        <v>477</v>
      </c>
      <c r="B55" s="2" t="s">
        <v>790</v>
      </c>
      <c r="C55" s="18" t="s">
        <v>4781</v>
      </c>
      <c r="D55" s="18" t="s">
        <v>4784</v>
      </c>
      <c r="E55" s="18" t="s">
        <v>4787</v>
      </c>
      <c r="F55" s="19">
        <v>46041</v>
      </c>
      <c r="G55" s="179">
        <f>53631-10800</f>
        <v>42831</v>
      </c>
      <c r="H55" s="37">
        <f t="shared" si="0"/>
        <v>163</v>
      </c>
      <c r="I55" s="37" t="str">
        <f t="shared" si="9"/>
        <v>121-180 DAYS</v>
      </c>
      <c r="J55" s="37" t="str">
        <f t="shared" si="1"/>
        <v>0-180 DAYS</v>
      </c>
      <c r="M55" s="158" t="s">
        <v>4805</v>
      </c>
      <c r="N55" s="158">
        <v>42831</v>
      </c>
    </row>
    <row r="56" spans="1:14" x14ac:dyDescent="0.35">
      <c r="A56" s="2" t="s">
        <v>477</v>
      </c>
      <c r="B56" s="2" t="s">
        <v>790</v>
      </c>
      <c r="C56" s="18" t="s">
        <v>259</v>
      </c>
      <c r="D56" s="18" t="s">
        <v>260</v>
      </c>
      <c r="E56" s="18" t="s">
        <v>55</v>
      </c>
      <c r="F56" s="19">
        <v>46048</v>
      </c>
      <c r="G56" s="179">
        <f>2037906-1719000</f>
        <v>318906</v>
      </c>
      <c r="H56" s="37">
        <f t="shared" si="0"/>
        <v>156</v>
      </c>
      <c r="I56" s="37" t="str">
        <f t="shared" si="9"/>
        <v>121-180 DAYS</v>
      </c>
      <c r="J56" s="37" t="str">
        <f t="shared" si="1"/>
        <v>0-180 DAYS</v>
      </c>
      <c r="M56" s="158" t="s">
        <v>4802</v>
      </c>
      <c r="N56" s="158">
        <v>318906</v>
      </c>
    </row>
    <row r="57" spans="1:14" x14ac:dyDescent="0.35">
      <c r="A57" s="2" t="s">
        <v>477</v>
      </c>
      <c r="B57" s="2" t="s">
        <v>790</v>
      </c>
      <c r="C57" s="18" t="s">
        <v>263</v>
      </c>
      <c r="D57" s="18" t="s">
        <v>264</v>
      </c>
      <c r="E57" s="18" t="s">
        <v>2962</v>
      </c>
      <c r="F57" s="19">
        <v>46053</v>
      </c>
      <c r="G57" s="179">
        <v>545259.12</v>
      </c>
      <c r="H57" s="37">
        <f t="shared" si="0"/>
        <v>151</v>
      </c>
      <c r="I57" s="37" t="str">
        <f t="shared" si="9"/>
        <v>121-180 DAYS</v>
      </c>
      <c r="J57" s="37" t="str">
        <f t="shared" si="1"/>
        <v>0-180 DAYS</v>
      </c>
      <c r="M57" s="158" t="s">
        <v>4795</v>
      </c>
      <c r="N57" s="158">
        <v>545259.12</v>
      </c>
    </row>
    <row r="58" spans="1:14" x14ac:dyDescent="0.35">
      <c r="A58" s="2" t="s">
        <v>1085</v>
      </c>
      <c r="B58" s="2" t="s">
        <v>790</v>
      </c>
      <c r="C58" s="18" t="s">
        <v>1647</v>
      </c>
      <c r="D58" s="37" t="s">
        <v>507</v>
      </c>
      <c r="E58" s="18" t="s">
        <v>4806</v>
      </c>
      <c r="F58" s="19">
        <v>46063</v>
      </c>
      <c r="G58" s="179">
        <v>1555544.05</v>
      </c>
      <c r="H58" s="37">
        <f t="shared" si="0"/>
        <v>141</v>
      </c>
      <c r="I58" s="37" t="str">
        <f t="shared" ref="I58:I91" si="10">IF(H58&lt;121,"0-120 DAYS",IF(H58&lt;181,"121-180 DAYS","More than 180 Days"))</f>
        <v>121-180 DAYS</v>
      </c>
      <c r="J58" s="37" t="str">
        <f t="shared" si="1"/>
        <v>0-180 DAYS</v>
      </c>
      <c r="M58" s="158" t="s">
        <v>4845</v>
      </c>
      <c r="N58" s="158">
        <v>1555544.05</v>
      </c>
    </row>
    <row r="59" spans="1:14" x14ac:dyDescent="0.35">
      <c r="A59" s="2" t="s">
        <v>1085</v>
      </c>
      <c r="B59" s="2" t="s">
        <v>790</v>
      </c>
      <c r="C59" s="18" t="s">
        <v>1647</v>
      </c>
      <c r="D59" s="37" t="s">
        <v>507</v>
      </c>
      <c r="E59" s="18" t="s">
        <v>4807</v>
      </c>
      <c r="F59" s="19">
        <v>46063</v>
      </c>
      <c r="G59" s="179">
        <v>205318.22</v>
      </c>
      <c r="H59" s="37">
        <f t="shared" si="0"/>
        <v>141</v>
      </c>
      <c r="I59" s="37" t="str">
        <f t="shared" si="10"/>
        <v>121-180 DAYS</v>
      </c>
      <c r="J59" s="37" t="str">
        <f t="shared" si="1"/>
        <v>0-180 DAYS</v>
      </c>
      <c r="M59" s="158" t="s">
        <v>4845</v>
      </c>
      <c r="N59" s="158">
        <v>205318.22</v>
      </c>
    </row>
    <row r="60" spans="1:14" x14ac:dyDescent="0.35">
      <c r="A60" s="2" t="s">
        <v>1085</v>
      </c>
      <c r="B60" s="2" t="s">
        <v>790</v>
      </c>
      <c r="C60" s="18" t="s">
        <v>1647</v>
      </c>
      <c r="D60" s="37" t="s">
        <v>507</v>
      </c>
      <c r="E60" s="18" t="s">
        <v>4808</v>
      </c>
      <c r="F60" s="19">
        <v>46063</v>
      </c>
      <c r="G60" s="179">
        <v>970102.65</v>
      </c>
      <c r="H60" s="37">
        <f t="shared" si="0"/>
        <v>141</v>
      </c>
      <c r="I60" s="37" t="str">
        <f t="shared" si="10"/>
        <v>121-180 DAYS</v>
      </c>
      <c r="J60" s="37" t="str">
        <f t="shared" si="1"/>
        <v>0-180 DAYS</v>
      </c>
      <c r="M60" s="158" t="s">
        <v>4845</v>
      </c>
      <c r="N60" s="158">
        <v>970102.65</v>
      </c>
    </row>
    <row r="61" spans="1:14" x14ac:dyDescent="0.35">
      <c r="A61" s="2" t="s">
        <v>1085</v>
      </c>
      <c r="B61" s="2" t="s">
        <v>790</v>
      </c>
      <c r="C61" s="18" t="s">
        <v>1647</v>
      </c>
      <c r="D61" s="37" t="s">
        <v>507</v>
      </c>
      <c r="E61" s="18" t="s">
        <v>4809</v>
      </c>
      <c r="F61" s="19">
        <v>46063</v>
      </c>
      <c r="G61" s="179">
        <v>63345.79</v>
      </c>
      <c r="H61" s="37">
        <f t="shared" si="0"/>
        <v>141</v>
      </c>
      <c r="I61" s="37" t="str">
        <f t="shared" si="10"/>
        <v>121-180 DAYS</v>
      </c>
      <c r="J61" s="37" t="str">
        <f t="shared" si="1"/>
        <v>0-180 DAYS</v>
      </c>
      <c r="M61" s="158" t="s">
        <v>4845</v>
      </c>
      <c r="N61" s="158">
        <v>63345.79</v>
      </c>
    </row>
    <row r="62" spans="1:14" x14ac:dyDescent="0.35">
      <c r="A62" s="2" t="s">
        <v>1085</v>
      </c>
      <c r="B62" s="2" t="s">
        <v>790</v>
      </c>
      <c r="C62" s="18" t="s">
        <v>1647</v>
      </c>
      <c r="D62" s="37" t="s">
        <v>507</v>
      </c>
      <c r="E62" s="18" t="s">
        <v>4810</v>
      </c>
      <c r="F62" s="19">
        <v>46063</v>
      </c>
      <c r="G62" s="179">
        <v>199373.53</v>
      </c>
      <c r="H62" s="37">
        <f t="shared" si="0"/>
        <v>141</v>
      </c>
      <c r="I62" s="37" t="str">
        <f t="shared" si="10"/>
        <v>121-180 DAYS</v>
      </c>
      <c r="J62" s="37" t="str">
        <f t="shared" si="1"/>
        <v>0-180 DAYS</v>
      </c>
      <c r="M62" s="158" t="s">
        <v>4845</v>
      </c>
      <c r="N62" s="158">
        <v>199373.53</v>
      </c>
    </row>
    <row r="63" spans="1:14" x14ac:dyDescent="0.35">
      <c r="A63" s="2" t="s">
        <v>1085</v>
      </c>
      <c r="B63" s="2" t="s">
        <v>790</v>
      </c>
      <c r="C63" s="18" t="s">
        <v>1086</v>
      </c>
      <c r="D63" s="37" t="s">
        <v>507</v>
      </c>
      <c r="E63" s="18" t="s">
        <v>4811</v>
      </c>
      <c r="F63" s="19">
        <v>46069</v>
      </c>
      <c r="G63" s="179">
        <v>796272.2</v>
      </c>
      <c r="H63" s="37">
        <f t="shared" si="0"/>
        <v>135</v>
      </c>
      <c r="I63" s="37" t="str">
        <f t="shared" si="10"/>
        <v>121-180 DAYS</v>
      </c>
      <c r="J63" s="37" t="str">
        <f t="shared" si="1"/>
        <v>0-180 DAYS</v>
      </c>
      <c r="M63" s="158" t="s">
        <v>4847</v>
      </c>
      <c r="N63" s="158">
        <v>796272.2</v>
      </c>
    </row>
    <row r="64" spans="1:14" x14ac:dyDescent="0.35">
      <c r="A64" s="2" t="s">
        <v>1085</v>
      </c>
      <c r="B64" s="2" t="s">
        <v>790</v>
      </c>
      <c r="C64" s="18" t="s">
        <v>1086</v>
      </c>
      <c r="D64" s="37" t="s">
        <v>507</v>
      </c>
      <c r="E64" s="18" t="s">
        <v>4812</v>
      </c>
      <c r="F64" s="19">
        <v>46069</v>
      </c>
      <c r="G64" s="179">
        <v>686306.61</v>
      </c>
      <c r="H64" s="37">
        <f t="shared" si="0"/>
        <v>135</v>
      </c>
      <c r="I64" s="37" t="str">
        <f t="shared" si="10"/>
        <v>121-180 DAYS</v>
      </c>
      <c r="J64" s="37" t="str">
        <f t="shared" si="1"/>
        <v>0-180 DAYS</v>
      </c>
      <c r="M64" s="158" t="s">
        <v>4847</v>
      </c>
      <c r="N64" s="158">
        <v>686306.61</v>
      </c>
    </row>
    <row r="65" spans="1:14" x14ac:dyDescent="0.35">
      <c r="A65" s="2" t="s">
        <v>1085</v>
      </c>
      <c r="B65" s="2" t="s">
        <v>790</v>
      </c>
      <c r="C65" s="18" t="s">
        <v>1086</v>
      </c>
      <c r="D65" s="37" t="s">
        <v>507</v>
      </c>
      <c r="E65" s="18" t="s">
        <v>4813</v>
      </c>
      <c r="F65" s="19">
        <v>46069</v>
      </c>
      <c r="G65" s="179">
        <v>627027.34</v>
      </c>
      <c r="H65" s="37">
        <f t="shared" si="0"/>
        <v>135</v>
      </c>
      <c r="I65" s="37" t="str">
        <f t="shared" si="10"/>
        <v>121-180 DAYS</v>
      </c>
      <c r="J65" s="37" t="str">
        <f t="shared" si="1"/>
        <v>0-180 DAYS</v>
      </c>
      <c r="M65" s="158" t="s">
        <v>4847</v>
      </c>
      <c r="N65" s="158">
        <v>627027.34</v>
      </c>
    </row>
    <row r="66" spans="1:14" x14ac:dyDescent="0.35">
      <c r="A66" s="2" t="s">
        <v>1085</v>
      </c>
      <c r="B66" s="2" t="s">
        <v>790</v>
      </c>
      <c r="C66" s="18" t="s">
        <v>1086</v>
      </c>
      <c r="D66" s="37" t="s">
        <v>507</v>
      </c>
      <c r="E66" s="18" t="s">
        <v>4814</v>
      </c>
      <c r="F66" s="19">
        <v>46069</v>
      </c>
      <c r="G66" s="179">
        <v>383813.17</v>
      </c>
      <c r="H66" s="37">
        <f t="shared" si="0"/>
        <v>135</v>
      </c>
      <c r="I66" s="37" t="str">
        <f t="shared" si="10"/>
        <v>121-180 DAYS</v>
      </c>
      <c r="J66" s="37" t="str">
        <f t="shared" si="1"/>
        <v>0-180 DAYS</v>
      </c>
      <c r="M66" s="158" t="s">
        <v>4847</v>
      </c>
      <c r="N66" s="158">
        <v>383813.17</v>
      </c>
    </row>
    <row r="67" spans="1:14" x14ac:dyDescent="0.35">
      <c r="A67" s="2" t="s">
        <v>1085</v>
      </c>
      <c r="B67" s="2" t="s">
        <v>790</v>
      </c>
      <c r="C67" s="18" t="s">
        <v>573</v>
      </c>
      <c r="D67" s="37" t="s">
        <v>507</v>
      </c>
      <c r="E67" s="18" t="s">
        <v>2292</v>
      </c>
      <c r="F67" s="19">
        <v>46069</v>
      </c>
      <c r="G67" s="179">
        <v>4099766.21</v>
      </c>
      <c r="H67" s="37">
        <f t="shared" si="0"/>
        <v>135</v>
      </c>
      <c r="I67" s="37" t="str">
        <f t="shared" si="10"/>
        <v>121-180 DAYS</v>
      </c>
      <c r="J67" s="37" t="str">
        <f t="shared" si="1"/>
        <v>0-180 DAYS</v>
      </c>
      <c r="M67" s="158" t="s">
        <v>4847</v>
      </c>
      <c r="N67" s="158">
        <v>4099766.21</v>
      </c>
    </row>
    <row r="68" spans="1:14" x14ac:dyDescent="0.35">
      <c r="A68" s="2" t="s">
        <v>1085</v>
      </c>
      <c r="B68" s="2" t="s">
        <v>790</v>
      </c>
      <c r="C68" s="18" t="s">
        <v>573</v>
      </c>
      <c r="D68" s="37" t="s">
        <v>507</v>
      </c>
      <c r="E68" s="18" t="s">
        <v>4815</v>
      </c>
      <c r="F68" s="19">
        <v>46073</v>
      </c>
      <c r="G68" s="179">
        <v>3932097.62</v>
      </c>
      <c r="H68" s="37">
        <f t="shared" ref="H68:H131" si="11">$H$1-F68+1</f>
        <v>131</v>
      </c>
      <c r="I68" s="37" t="str">
        <f t="shared" si="10"/>
        <v>121-180 DAYS</v>
      </c>
      <c r="J68" s="37" t="str">
        <f t="shared" si="1"/>
        <v>0-180 DAYS</v>
      </c>
      <c r="M68" s="158" t="s">
        <v>4850</v>
      </c>
      <c r="N68" s="158">
        <v>3932097.62</v>
      </c>
    </row>
    <row r="69" spans="1:14" x14ac:dyDescent="0.35">
      <c r="A69" s="2" t="s">
        <v>1085</v>
      </c>
      <c r="B69" s="2" t="s">
        <v>790</v>
      </c>
      <c r="C69" s="18" t="s">
        <v>573</v>
      </c>
      <c r="D69" s="37" t="s">
        <v>507</v>
      </c>
      <c r="E69" s="18" t="s">
        <v>2437</v>
      </c>
      <c r="F69" s="19">
        <v>46073</v>
      </c>
      <c r="G69" s="179">
        <v>4108790.49</v>
      </c>
      <c r="H69" s="37">
        <f t="shared" si="11"/>
        <v>131</v>
      </c>
      <c r="I69" s="37" t="str">
        <f t="shared" si="10"/>
        <v>121-180 DAYS</v>
      </c>
      <c r="J69" s="37" t="str">
        <f t="shared" si="1"/>
        <v>0-180 DAYS</v>
      </c>
      <c r="M69" s="158" t="s">
        <v>4850</v>
      </c>
      <c r="N69" s="158">
        <v>4108790.49</v>
      </c>
    </row>
    <row r="70" spans="1:14" x14ac:dyDescent="0.35">
      <c r="A70" s="2" t="s">
        <v>1085</v>
      </c>
      <c r="B70" s="2" t="s">
        <v>790</v>
      </c>
      <c r="C70" s="18" t="s">
        <v>573</v>
      </c>
      <c r="D70" s="37" t="s">
        <v>507</v>
      </c>
      <c r="E70" s="18" t="s">
        <v>2442</v>
      </c>
      <c r="F70" s="19">
        <v>46076</v>
      </c>
      <c r="G70" s="179">
        <v>4386101.42</v>
      </c>
      <c r="H70" s="37">
        <f t="shared" si="11"/>
        <v>128</v>
      </c>
      <c r="I70" s="37" t="str">
        <f t="shared" si="10"/>
        <v>121-180 DAYS</v>
      </c>
      <c r="J70" s="37" t="str">
        <f t="shared" ref="J70:J133" si="12">IF(H70&lt;180,"0-180 DAYS","More than 180 Days")</f>
        <v>0-180 DAYS</v>
      </c>
      <c r="M70" s="158" t="s">
        <v>4852</v>
      </c>
      <c r="N70" s="158">
        <v>4386101.42</v>
      </c>
    </row>
    <row r="71" spans="1:14" x14ac:dyDescent="0.35">
      <c r="A71" s="2" t="s">
        <v>1085</v>
      </c>
      <c r="B71" s="2" t="s">
        <v>790</v>
      </c>
      <c r="C71" s="18" t="s">
        <v>1086</v>
      </c>
      <c r="D71" s="37" t="s">
        <v>507</v>
      </c>
      <c r="E71" s="18" t="s">
        <v>4816</v>
      </c>
      <c r="F71" s="19">
        <v>46079</v>
      </c>
      <c r="G71" s="179">
        <v>872452.28</v>
      </c>
      <c r="H71" s="37">
        <f t="shared" si="11"/>
        <v>125</v>
      </c>
      <c r="I71" s="37" t="str">
        <f t="shared" si="10"/>
        <v>121-180 DAYS</v>
      </c>
      <c r="J71" s="37" t="str">
        <f t="shared" si="12"/>
        <v>0-180 DAYS</v>
      </c>
      <c r="M71" s="158" t="s">
        <v>4854</v>
      </c>
      <c r="N71" s="158">
        <v>872452.28</v>
      </c>
    </row>
    <row r="72" spans="1:14" x14ac:dyDescent="0.35">
      <c r="A72" s="2" t="s">
        <v>1085</v>
      </c>
      <c r="B72" s="2" t="s">
        <v>790</v>
      </c>
      <c r="C72" s="18" t="s">
        <v>1086</v>
      </c>
      <c r="D72" s="37" t="s">
        <v>507</v>
      </c>
      <c r="E72" s="18" t="s">
        <v>4817</v>
      </c>
      <c r="F72" s="19">
        <v>46079</v>
      </c>
      <c r="G72" s="179">
        <v>541973.92000000004</v>
      </c>
      <c r="H72" s="37">
        <f t="shared" si="11"/>
        <v>125</v>
      </c>
      <c r="I72" s="37" t="str">
        <f t="shared" si="10"/>
        <v>121-180 DAYS</v>
      </c>
      <c r="J72" s="37" t="str">
        <f t="shared" si="12"/>
        <v>0-180 DAYS</v>
      </c>
      <c r="M72" s="158" t="s">
        <v>4854</v>
      </c>
      <c r="N72" s="158">
        <v>541973.92000000004</v>
      </c>
    </row>
    <row r="73" spans="1:14" x14ac:dyDescent="0.35">
      <c r="A73" s="2" t="s">
        <v>1085</v>
      </c>
      <c r="B73" s="2" t="s">
        <v>790</v>
      </c>
      <c r="C73" s="18" t="s">
        <v>1086</v>
      </c>
      <c r="D73" s="37" t="s">
        <v>507</v>
      </c>
      <c r="E73" s="18" t="s">
        <v>4818</v>
      </c>
      <c r="F73" s="19">
        <v>46079</v>
      </c>
      <c r="G73" s="179">
        <v>340716.07</v>
      </c>
      <c r="H73" s="37">
        <f t="shared" si="11"/>
        <v>125</v>
      </c>
      <c r="I73" s="37" t="str">
        <f t="shared" si="10"/>
        <v>121-180 DAYS</v>
      </c>
      <c r="J73" s="37" t="str">
        <f t="shared" si="12"/>
        <v>0-180 DAYS</v>
      </c>
      <c r="M73" s="158" t="s">
        <v>4854</v>
      </c>
      <c r="N73" s="158">
        <v>340716.07</v>
      </c>
    </row>
    <row r="74" spans="1:14" x14ac:dyDescent="0.35">
      <c r="A74" s="2" t="s">
        <v>1085</v>
      </c>
      <c r="B74" s="2" t="s">
        <v>790</v>
      </c>
      <c r="C74" s="18" t="s">
        <v>1086</v>
      </c>
      <c r="D74" s="37" t="s">
        <v>507</v>
      </c>
      <c r="E74" s="18" t="s">
        <v>4819</v>
      </c>
      <c r="F74" s="19">
        <v>46079</v>
      </c>
      <c r="G74" s="179">
        <v>429326.74</v>
      </c>
      <c r="H74" s="37">
        <f t="shared" si="11"/>
        <v>125</v>
      </c>
      <c r="I74" s="37" t="str">
        <f t="shared" si="10"/>
        <v>121-180 DAYS</v>
      </c>
      <c r="J74" s="37" t="str">
        <f t="shared" si="12"/>
        <v>0-180 DAYS</v>
      </c>
      <c r="M74" s="158" t="s">
        <v>4854</v>
      </c>
      <c r="N74" s="158">
        <v>429326.74</v>
      </c>
    </row>
    <row r="75" spans="1:14" x14ac:dyDescent="0.35">
      <c r="A75" s="2" t="s">
        <v>1085</v>
      </c>
      <c r="B75" s="2" t="s">
        <v>790</v>
      </c>
      <c r="C75" s="18" t="s">
        <v>1086</v>
      </c>
      <c r="D75" s="37" t="s">
        <v>507</v>
      </c>
      <c r="E75" s="18" t="s">
        <v>4820</v>
      </c>
      <c r="F75" s="19">
        <v>46079</v>
      </c>
      <c r="G75" s="179">
        <v>320390.40000000002</v>
      </c>
      <c r="H75" s="37">
        <f t="shared" si="11"/>
        <v>125</v>
      </c>
      <c r="I75" s="37" t="str">
        <f t="shared" si="10"/>
        <v>121-180 DAYS</v>
      </c>
      <c r="J75" s="37" t="str">
        <f t="shared" si="12"/>
        <v>0-180 DAYS</v>
      </c>
      <c r="M75" s="158" t="s">
        <v>4854</v>
      </c>
      <c r="N75" s="158">
        <v>320390.40000000002</v>
      </c>
    </row>
    <row r="76" spans="1:14" x14ac:dyDescent="0.35">
      <c r="A76" s="2" t="s">
        <v>1085</v>
      </c>
      <c r="B76" s="2" t="s">
        <v>790</v>
      </c>
      <c r="C76" s="18" t="s">
        <v>536</v>
      </c>
      <c r="D76" s="37" t="s">
        <v>507</v>
      </c>
      <c r="E76" s="18" t="s">
        <v>4821</v>
      </c>
      <c r="F76" s="19">
        <v>46081</v>
      </c>
      <c r="G76" s="179">
        <v>132445.12</v>
      </c>
      <c r="H76" s="37">
        <f t="shared" si="11"/>
        <v>123</v>
      </c>
      <c r="I76" s="37" t="str">
        <f t="shared" si="10"/>
        <v>121-180 DAYS</v>
      </c>
      <c r="J76" s="37" t="str">
        <f t="shared" si="12"/>
        <v>0-180 DAYS</v>
      </c>
      <c r="M76" s="158" t="s">
        <v>4843</v>
      </c>
      <c r="N76" s="158">
        <v>132445.12</v>
      </c>
    </row>
    <row r="77" spans="1:14" x14ac:dyDescent="0.35">
      <c r="A77" s="2" t="s">
        <v>1085</v>
      </c>
      <c r="B77" s="2" t="s">
        <v>790</v>
      </c>
      <c r="C77" s="18" t="s">
        <v>1086</v>
      </c>
      <c r="D77" s="37" t="s">
        <v>507</v>
      </c>
      <c r="E77" s="18" t="s">
        <v>4822</v>
      </c>
      <c r="F77" s="19">
        <v>46057</v>
      </c>
      <c r="G77" s="179">
        <v>90475.55</v>
      </c>
      <c r="H77" s="37">
        <f t="shared" si="11"/>
        <v>147</v>
      </c>
      <c r="I77" s="37" t="str">
        <f t="shared" si="10"/>
        <v>121-180 DAYS</v>
      </c>
      <c r="J77" s="37" t="str">
        <f t="shared" si="12"/>
        <v>0-180 DAYS</v>
      </c>
      <c r="M77" s="158" t="s">
        <v>4844</v>
      </c>
      <c r="N77" s="158">
        <v>90475.55</v>
      </c>
    </row>
    <row r="78" spans="1:14" x14ac:dyDescent="0.35">
      <c r="A78" s="2" t="s">
        <v>1085</v>
      </c>
      <c r="B78" s="2" t="s">
        <v>790</v>
      </c>
      <c r="C78" s="18" t="s">
        <v>1086</v>
      </c>
      <c r="D78" s="37" t="s">
        <v>507</v>
      </c>
      <c r="E78" s="18" t="s">
        <v>4823</v>
      </c>
      <c r="F78" s="19">
        <v>46057</v>
      </c>
      <c r="G78" s="179">
        <v>2223085.13</v>
      </c>
      <c r="H78" s="37">
        <f t="shared" si="11"/>
        <v>147</v>
      </c>
      <c r="I78" s="37" t="str">
        <f t="shared" si="10"/>
        <v>121-180 DAYS</v>
      </c>
      <c r="J78" s="37" t="str">
        <f t="shared" si="12"/>
        <v>0-180 DAYS</v>
      </c>
      <c r="M78" s="158" t="s">
        <v>4844</v>
      </c>
      <c r="N78" s="158">
        <v>2223085.13</v>
      </c>
    </row>
    <row r="79" spans="1:14" x14ac:dyDescent="0.35">
      <c r="A79" s="2" t="s">
        <v>1085</v>
      </c>
      <c r="B79" s="2" t="s">
        <v>790</v>
      </c>
      <c r="C79" s="18" t="s">
        <v>1086</v>
      </c>
      <c r="D79" s="37" t="s">
        <v>507</v>
      </c>
      <c r="E79" s="18" t="s">
        <v>4824</v>
      </c>
      <c r="F79" s="19">
        <v>46058</v>
      </c>
      <c r="G79" s="179">
        <v>226322.24</v>
      </c>
      <c r="H79" s="37">
        <f t="shared" si="11"/>
        <v>146</v>
      </c>
      <c r="I79" s="37" t="str">
        <f t="shared" si="10"/>
        <v>121-180 DAYS</v>
      </c>
      <c r="J79" s="37" t="str">
        <f t="shared" si="12"/>
        <v>0-180 DAYS</v>
      </c>
      <c r="M79" s="158" t="s">
        <v>4855</v>
      </c>
      <c r="N79" s="158">
        <v>226322.24</v>
      </c>
    </row>
    <row r="80" spans="1:14" x14ac:dyDescent="0.35">
      <c r="A80" s="2" t="s">
        <v>1085</v>
      </c>
      <c r="B80" s="2" t="s">
        <v>790</v>
      </c>
      <c r="C80" s="18" t="s">
        <v>1086</v>
      </c>
      <c r="D80" s="37" t="s">
        <v>507</v>
      </c>
      <c r="E80" s="18" t="s">
        <v>4825</v>
      </c>
      <c r="F80" s="19">
        <v>46058</v>
      </c>
      <c r="G80" s="179">
        <v>997138.3</v>
      </c>
      <c r="H80" s="37">
        <f t="shared" si="11"/>
        <v>146</v>
      </c>
      <c r="I80" s="37" t="str">
        <f t="shared" si="10"/>
        <v>121-180 DAYS</v>
      </c>
      <c r="J80" s="37" t="str">
        <f t="shared" si="12"/>
        <v>0-180 DAYS</v>
      </c>
      <c r="M80" s="158" t="s">
        <v>4855</v>
      </c>
      <c r="N80" s="158">
        <v>997138.3</v>
      </c>
    </row>
    <row r="81" spans="1:14" x14ac:dyDescent="0.35">
      <c r="A81" s="2" t="s">
        <v>1085</v>
      </c>
      <c r="B81" s="2" t="s">
        <v>790</v>
      </c>
      <c r="C81" s="18" t="s">
        <v>1086</v>
      </c>
      <c r="D81" s="37" t="s">
        <v>507</v>
      </c>
      <c r="E81" s="18" t="s">
        <v>4826</v>
      </c>
      <c r="F81" s="19">
        <v>46058</v>
      </c>
      <c r="G81" s="179">
        <v>586562.42000000004</v>
      </c>
      <c r="H81" s="37">
        <f t="shared" si="11"/>
        <v>146</v>
      </c>
      <c r="I81" s="37" t="str">
        <f t="shared" si="10"/>
        <v>121-180 DAYS</v>
      </c>
      <c r="J81" s="37" t="str">
        <f t="shared" si="12"/>
        <v>0-180 DAYS</v>
      </c>
      <c r="M81" s="158" t="s">
        <v>4855</v>
      </c>
      <c r="N81" s="158">
        <v>586562.42000000004</v>
      </c>
    </row>
    <row r="82" spans="1:14" x14ac:dyDescent="0.35">
      <c r="A82" s="2" t="s">
        <v>1085</v>
      </c>
      <c r="B82" s="2" t="s">
        <v>790</v>
      </c>
      <c r="C82" s="18" t="s">
        <v>1086</v>
      </c>
      <c r="D82" s="37" t="s">
        <v>507</v>
      </c>
      <c r="E82" s="18" t="s">
        <v>4827</v>
      </c>
      <c r="F82" s="19">
        <v>46058</v>
      </c>
      <c r="G82" s="179">
        <v>764710.38</v>
      </c>
      <c r="H82" s="37">
        <f t="shared" si="11"/>
        <v>146</v>
      </c>
      <c r="I82" s="37" t="str">
        <f t="shared" si="10"/>
        <v>121-180 DAYS</v>
      </c>
      <c r="J82" s="37" t="str">
        <f t="shared" si="12"/>
        <v>0-180 DAYS</v>
      </c>
      <c r="M82" s="158" t="s">
        <v>4855</v>
      </c>
      <c r="N82" s="158">
        <v>764710.38</v>
      </c>
    </row>
    <row r="83" spans="1:14" x14ac:dyDescent="0.35">
      <c r="A83" s="2" t="s">
        <v>1085</v>
      </c>
      <c r="B83" s="2" t="s">
        <v>790</v>
      </c>
      <c r="C83" s="18" t="s">
        <v>573</v>
      </c>
      <c r="D83" s="37" t="s">
        <v>507</v>
      </c>
      <c r="E83" s="18" t="s">
        <v>4828</v>
      </c>
      <c r="F83" s="19">
        <v>46060</v>
      </c>
      <c r="G83" s="179">
        <v>3562287.58</v>
      </c>
      <c r="H83" s="37">
        <f t="shared" si="11"/>
        <v>144</v>
      </c>
      <c r="I83" s="37" t="str">
        <f t="shared" si="10"/>
        <v>121-180 DAYS</v>
      </c>
      <c r="J83" s="37" t="str">
        <f t="shared" si="12"/>
        <v>0-180 DAYS</v>
      </c>
      <c r="M83" s="158" t="s">
        <v>4856</v>
      </c>
      <c r="N83" s="158">
        <v>3562287.58</v>
      </c>
    </row>
    <row r="84" spans="1:14" x14ac:dyDescent="0.35">
      <c r="A84" s="2" t="s">
        <v>1085</v>
      </c>
      <c r="B84" s="2" t="s">
        <v>790</v>
      </c>
      <c r="C84" s="18" t="s">
        <v>573</v>
      </c>
      <c r="D84" s="37" t="s">
        <v>507</v>
      </c>
      <c r="E84" s="18" t="s">
        <v>4829</v>
      </c>
      <c r="F84" s="19">
        <v>46060</v>
      </c>
      <c r="G84" s="179">
        <v>254606</v>
      </c>
      <c r="H84" s="37">
        <f t="shared" si="11"/>
        <v>144</v>
      </c>
      <c r="I84" s="37" t="str">
        <f t="shared" si="10"/>
        <v>121-180 DAYS</v>
      </c>
      <c r="J84" s="37" t="str">
        <f t="shared" si="12"/>
        <v>0-180 DAYS</v>
      </c>
      <c r="M84" s="158" t="s">
        <v>4856</v>
      </c>
      <c r="N84" s="158">
        <v>254606</v>
      </c>
    </row>
    <row r="85" spans="1:14" x14ac:dyDescent="0.35">
      <c r="A85" s="2" t="s">
        <v>1085</v>
      </c>
      <c r="B85" s="2" t="s">
        <v>790</v>
      </c>
      <c r="C85" s="18" t="s">
        <v>1086</v>
      </c>
      <c r="D85" s="37" t="s">
        <v>507</v>
      </c>
      <c r="E85" s="18" t="s">
        <v>4830</v>
      </c>
      <c r="F85" s="19">
        <v>46066</v>
      </c>
      <c r="G85" s="179">
        <v>47492.09</v>
      </c>
      <c r="H85" s="37">
        <f t="shared" si="11"/>
        <v>138</v>
      </c>
      <c r="I85" s="37" t="str">
        <f t="shared" si="10"/>
        <v>121-180 DAYS</v>
      </c>
      <c r="J85" s="37" t="str">
        <f t="shared" si="12"/>
        <v>0-180 DAYS</v>
      </c>
      <c r="M85" s="158" t="s">
        <v>4846</v>
      </c>
      <c r="N85" s="158">
        <v>47492.09</v>
      </c>
    </row>
    <row r="86" spans="1:14" x14ac:dyDescent="0.35">
      <c r="A86" s="2" t="s">
        <v>1085</v>
      </c>
      <c r="B86" s="2" t="s">
        <v>790</v>
      </c>
      <c r="C86" s="18" t="s">
        <v>1086</v>
      </c>
      <c r="D86" s="37" t="s">
        <v>507</v>
      </c>
      <c r="E86" s="18" t="s">
        <v>4831</v>
      </c>
      <c r="F86" s="19">
        <v>46066</v>
      </c>
      <c r="G86" s="179">
        <v>2141245.42</v>
      </c>
      <c r="H86" s="37">
        <f t="shared" si="11"/>
        <v>138</v>
      </c>
      <c r="I86" s="37" t="str">
        <f t="shared" si="10"/>
        <v>121-180 DAYS</v>
      </c>
      <c r="J86" s="37" t="str">
        <f t="shared" si="12"/>
        <v>0-180 DAYS</v>
      </c>
      <c r="M86" s="158" t="s">
        <v>4846</v>
      </c>
      <c r="N86" s="158">
        <v>2141245.42</v>
      </c>
    </row>
    <row r="87" spans="1:14" x14ac:dyDescent="0.35">
      <c r="A87" s="2" t="s">
        <v>1085</v>
      </c>
      <c r="B87" s="2" t="s">
        <v>790</v>
      </c>
      <c r="C87" s="18" t="s">
        <v>1764</v>
      </c>
      <c r="D87" s="37" t="s">
        <v>507</v>
      </c>
      <c r="E87" s="18" t="s">
        <v>4832</v>
      </c>
      <c r="F87" s="19">
        <v>46070</v>
      </c>
      <c r="G87" s="179">
        <v>3884063.4</v>
      </c>
      <c r="H87" s="37">
        <f t="shared" si="11"/>
        <v>134</v>
      </c>
      <c r="I87" s="37" t="str">
        <f t="shared" si="10"/>
        <v>121-180 DAYS</v>
      </c>
      <c r="J87" s="37" t="str">
        <f t="shared" si="12"/>
        <v>0-180 DAYS</v>
      </c>
      <c r="M87" s="158" t="s">
        <v>4848</v>
      </c>
      <c r="N87" s="158">
        <v>3884063.4</v>
      </c>
    </row>
    <row r="88" spans="1:14" x14ac:dyDescent="0.35">
      <c r="A88" s="2" t="s">
        <v>1085</v>
      </c>
      <c r="B88" s="2" t="s">
        <v>790</v>
      </c>
      <c r="C88" s="18" t="s">
        <v>1086</v>
      </c>
      <c r="D88" s="37" t="s">
        <v>507</v>
      </c>
      <c r="E88" s="18" t="s">
        <v>4833</v>
      </c>
      <c r="F88" s="19">
        <v>46072</v>
      </c>
      <c r="G88" s="179">
        <v>635323.69999999995</v>
      </c>
      <c r="H88" s="37">
        <f t="shared" si="11"/>
        <v>132</v>
      </c>
      <c r="I88" s="37" t="str">
        <f t="shared" si="10"/>
        <v>121-180 DAYS</v>
      </c>
      <c r="J88" s="37" t="str">
        <f t="shared" si="12"/>
        <v>0-180 DAYS</v>
      </c>
      <c r="M88" s="158" t="s">
        <v>4849</v>
      </c>
      <c r="N88" s="158">
        <v>635323.69999999995</v>
      </c>
    </row>
    <row r="89" spans="1:14" x14ac:dyDescent="0.35">
      <c r="A89" s="2" t="s">
        <v>1085</v>
      </c>
      <c r="B89" s="2" t="s">
        <v>790</v>
      </c>
      <c r="C89" s="18" t="s">
        <v>1086</v>
      </c>
      <c r="D89" s="37" t="s">
        <v>507</v>
      </c>
      <c r="E89" s="18" t="s">
        <v>4834</v>
      </c>
      <c r="F89" s="19">
        <v>46072</v>
      </c>
      <c r="G89" s="179">
        <v>90983.84</v>
      </c>
      <c r="H89" s="37">
        <f t="shared" si="11"/>
        <v>132</v>
      </c>
      <c r="I89" s="37" t="str">
        <f t="shared" si="10"/>
        <v>121-180 DAYS</v>
      </c>
      <c r="J89" s="37" t="str">
        <f t="shared" si="12"/>
        <v>0-180 DAYS</v>
      </c>
      <c r="M89" s="158" t="s">
        <v>4849</v>
      </c>
      <c r="N89" s="158">
        <v>90983.84</v>
      </c>
    </row>
    <row r="90" spans="1:14" x14ac:dyDescent="0.35">
      <c r="A90" s="2" t="s">
        <v>1085</v>
      </c>
      <c r="B90" s="2" t="s">
        <v>790</v>
      </c>
      <c r="C90" s="18" t="s">
        <v>1086</v>
      </c>
      <c r="D90" s="37" t="s">
        <v>507</v>
      </c>
      <c r="E90" s="18" t="s">
        <v>4835</v>
      </c>
      <c r="F90" s="19">
        <v>46072</v>
      </c>
      <c r="G90" s="179">
        <v>1714734.47</v>
      </c>
      <c r="H90" s="37">
        <f t="shared" si="11"/>
        <v>132</v>
      </c>
      <c r="I90" s="37" t="str">
        <f t="shared" si="10"/>
        <v>121-180 DAYS</v>
      </c>
      <c r="J90" s="37" t="str">
        <f t="shared" si="12"/>
        <v>0-180 DAYS</v>
      </c>
      <c r="M90" s="158" t="s">
        <v>4849</v>
      </c>
      <c r="N90" s="158">
        <v>1714734.47</v>
      </c>
    </row>
    <row r="91" spans="1:14" x14ac:dyDescent="0.35">
      <c r="A91" s="2" t="s">
        <v>1085</v>
      </c>
      <c r="B91" s="2" t="s">
        <v>790</v>
      </c>
      <c r="C91" s="18" t="s">
        <v>650</v>
      </c>
      <c r="D91" s="37" t="s">
        <v>507</v>
      </c>
      <c r="E91" s="18" t="s">
        <v>4836</v>
      </c>
      <c r="F91" s="19">
        <v>46078</v>
      </c>
      <c r="G91" s="179">
        <v>4501896.01</v>
      </c>
      <c r="H91" s="37">
        <f t="shared" si="11"/>
        <v>126</v>
      </c>
      <c r="I91" s="37" t="str">
        <f t="shared" si="10"/>
        <v>121-180 DAYS</v>
      </c>
      <c r="J91" s="37" t="str">
        <f t="shared" si="12"/>
        <v>0-180 DAYS</v>
      </c>
      <c r="M91" s="158" t="s">
        <v>4853</v>
      </c>
      <c r="N91" s="158">
        <v>4501896.01</v>
      </c>
    </row>
    <row r="92" spans="1:14" x14ac:dyDescent="0.35">
      <c r="A92" s="2" t="s">
        <v>477</v>
      </c>
      <c r="B92" s="2" t="s">
        <v>790</v>
      </c>
      <c r="C92" s="18" t="s">
        <v>263</v>
      </c>
      <c r="D92" s="18" t="s">
        <v>264</v>
      </c>
      <c r="E92" s="18" t="s">
        <v>4837</v>
      </c>
      <c r="F92" s="19">
        <v>46070</v>
      </c>
      <c r="G92" s="179">
        <v>967574.04</v>
      </c>
      <c r="H92" s="37">
        <f t="shared" si="11"/>
        <v>134</v>
      </c>
      <c r="I92" s="37" t="str">
        <f>IF(H92&lt;91,"1-90 DAYS",IF(H92&lt;121,"91-120DAYS",IF(H92&lt;181,"121-180 DAYS","More than 180 Days")))</f>
        <v>121-180 DAYS</v>
      </c>
      <c r="J92" s="37" t="str">
        <f t="shared" si="12"/>
        <v>0-180 DAYS</v>
      </c>
      <c r="M92" s="158" t="s">
        <v>4848</v>
      </c>
      <c r="N92" s="158">
        <v>967574.04</v>
      </c>
    </row>
    <row r="93" spans="1:14" x14ac:dyDescent="0.35">
      <c r="A93" s="2" t="s">
        <v>477</v>
      </c>
      <c r="B93" s="2" t="s">
        <v>790</v>
      </c>
      <c r="C93" s="18" t="s">
        <v>4745</v>
      </c>
      <c r="D93" s="18" t="s">
        <v>4751</v>
      </c>
      <c r="E93" s="18" t="s">
        <v>3370</v>
      </c>
      <c r="F93" s="19">
        <v>46073</v>
      </c>
      <c r="G93" s="179">
        <f>-34331+117034.76</f>
        <v>82703.759999999995</v>
      </c>
      <c r="H93" s="37">
        <f t="shared" si="11"/>
        <v>131</v>
      </c>
      <c r="I93" s="37" t="str">
        <f>IF(H93&lt;91,"1-90 DAYS",IF(H93&lt;121,"91-120DAYS",IF(H93&lt;181,"121-180 DAYS","More than 180 Days")))</f>
        <v>121-180 DAYS</v>
      </c>
      <c r="J93" s="37" t="str">
        <f t="shared" si="12"/>
        <v>0-180 DAYS</v>
      </c>
      <c r="M93" s="158" t="s">
        <v>4850</v>
      </c>
      <c r="N93" s="158">
        <v>82703.759999999995</v>
      </c>
    </row>
    <row r="94" spans="1:14" x14ac:dyDescent="0.35">
      <c r="A94" s="2" t="s">
        <v>1085</v>
      </c>
      <c r="B94" s="2" t="s">
        <v>790</v>
      </c>
      <c r="C94" s="18" t="s">
        <v>3796</v>
      </c>
      <c r="D94" s="37" t="s">
        <v>507</v>
      </c>
      <c r="E94" s="18" t="s">
        <v>4860</v>
      </c>
      <c r="F94" s="19">
        <v>46084</v>
      </c>
      <c r="G94" s="179">
        <f>-3852142+3861734.4</f>
        <v>9592.3999999999069</v>
      </c>
      <c r="H94" s="37">
        <f t="shared" si="11"/>
        <v>120</v>
      </c>
      <c r="I94" s="37" t="str">
        <f t="shared" ref="I94:I122" si="13">IF(H94&lt;121,"0-120 DAYS",IF(H94&lt;181,"121-180 DAYS","More than 180 Days"))</f>
        <v>0-120 DAYS</v>
      </c>
      <c r="J94" s="37" t="str">
        <f t="shared" si="12"/>
        <v>0-180 DAYS</v>
      </c>
      <c r="K94" t="s">
        <v>1730</v>
      </c>
      <c r="M94" s="158" t="s">
        <v>4898</v>
      </c>
      <c r="N94" s="158">
        <v>9592.4</v>
      </c>
    </row>
    <row r="95" spans="1:14" x14ac:dyDescent="0.35">
      <c r="A95" s="2" t="s">
        <v>1085</v>
      </c>
      <c r="B95" s="2" t="s">
        <v>790</v>
      </c>
      <c r="C95" s="18" t="s">
        <v>1086</v>
      </c>
      <c r="D95" s="37" t="s">
        <v>507</v>
      </c>
      <c r="E95" s="18" t="s">
        <v>4861</v>
      </c>
      <c r="F95" s="19">
        <v>46094</v>
      </c>
      <c r="G95" s="179">
        <v>817496.01</v>
      </c>
      <c r="H95" s="37">
        <f t="shared" si="11"/>
        <v>110</v>
      </c>
      <c r="I95" s="37" t="str">
        <f t="shared" si="13"/>
        <v>0-120 DAYS</v>
      </c>
      <c r="J95" s="37" t="str">
        <f t="shared" si="12"/>
        <v>0-180 DAYS</v>
      </c>
      <c r="K95" t="s">
        <v>1730</v>
      </c>
      <c r="M95" s="158" t="s">
        <v>4900</v>
      </c>
      <c r="N95" s="158">
        <v>817496.01</v>
      </c>
    </row>
    <row r="96" spans="1:14" x14ac:dyDescent="0.35">
      <c r="A96" s="2" t="s">
        <v>1085</v>
      </c>
      <c r="B96" s="2" t="s">
        <v>790</v>
      </c>
      <c r="C96" s="18" t="s">
        <v>1086</v>
      </c>
      <c r="D96" s="37" t="s">
        <v>507</v>
      </c>
      <c r="E96" s="18" t="s">
        <v>4862</v>
      </c>
      <c r="F96" s="19">
        <v>46094</v>
      </c>
      <c r="G96" s="179">
        <v>687051.82</v>
      </c>
      <c r="H96" s="37">
        <f t="shared" si="11"/>
        <v>110</v>
      </c>
      <c r="I96" s="37" t="str">
        <f t="shared" si="13"/>
        <v>0-120 DAYS</v>
      </c>
      <c r="J96" s="37" t="str">
        <f t="shared" si="12"/>
        <v>0-180 DAYS</v>
      </c>
      <c r="K96" t="s">
        <v>1730</v>
      </c>
      <c r="M96" s="158" t="s">
        <v>4900</v>
      </c>
      <c r="N96" s="158">
        <v>687051.82</v>
      </c>
    </row>
    <row r="97" spans="1:14" x14ac:dyDescent="0.35">
      <c r="A97" s="2" t="s">
        <v>1085</v>
      </c>
      <c r="B97" s="2" t="s">
        <v>790</v>
      </c>
      <c r="C97" s="18" t="s">
        <v>1086</v>
      </c>
      <c r="D97" s="37" t="s">
        <v>507</v>
      </c>
      <c r="E97" s="18" t="s">
        <v>4863</v>
      </c>
      <c r="F97" s="19">
        <v>46094</v>
      </c>
      <c r="G97" s="179">
        <v>900740.54</v>
      </c>
      <c r="H97" s="37">
        <f t="shared" si="11"/>
        <v>110</v>
      </c>
      <c r="I97" s="37" t="str">
        <f t="shared" si="13"/>
        <v>0-120 DAYS</v>
      </c>
      <c r="J97" s="37" t="str">
        <f t="shared" si="12"/>
        <v>0-180 DAYS</v>
      </c>
      <c r="K97" t="s">
        <v>1730</v>
      </c>
      <c r="M97" s="158" t="s">
        <v>4900</v>
      </c>
      <c r="N97" s="158">
        <v>900740.54</v>
      </c>
    </row>
    <row r="98" spans="1:14" x14ac:dyDescent="0.35">
      <c r="A98" s="2" t="s">
        <v>1085</v>
      </c>
      <c r="B98" s="2" t="s">
        <v>790</v>
      </c>
      <c r="C98" s="18" t="s">
        <v>1086</v>
      </c>
      <c r="D98" s="37" t="s">
        <v>507</v>
      </c>
      <c r="E98" s="18" t="s">
        <v>4864</v>
      </c>
      <c r="F98" s="19">
        <v>46094</v>
      </c>
      <c r="G98" s="179">
        <v>280790.83</v>
      </c>
      <c r="H98" s="37">
        <f t="shared" si="11"/>
        <v>110</v>
      </c>
      <c r="I98" s="37" t="str">
        <f t="shared" si="13"/>
        <v>0-120 DAYS</v>
      </c>
      <c r="J98" s="37" t="str">
        <f t="shared" si="12"/>
        <v>0-180 DAYS</v>
      </c>
      <c r="K98" t="s">
        <v>1730</v>
      </c>
      <c r="M98" s="158" t="s">
        <v>4900</v>
      </c>
      <c r="N98" s="158">
        <v>280790.83</v>
      </c>
    </row>
    <row r="99" spans="1:14" x14ac:dyDescent="0.35">
      <c r="A99" s="2" t="s">
        <v>1085</v>
      </c>
      <c r="B99" s="2" t="s">
        <v>790</v>
      </c>
      <c r="C99" s="18" t="s">
        <v>570</v>
      </c>
      <c r="D99" s="37" t="s">
        <v>507</v>
      </c>
      <c r="E99" s="18" t="s">
        <v>550</v>
      </c>
      <c r="F99" s="19">
        <v>46097</v>
      </c>
      <c r="G99" s="179">
        <f>-43991+4314611.8</f>
        <v>4270620.8</v>
      </c>
      <c r="H99" s="37">
        <f t="shared" si="11"/>
        <v>107</v>
      </c>
      <c r="I99" s="37" t="str">
        <f t="shared" si="13"/>
        <v>0-120 DAYS</v>
      </c>
      <c r="J99" s="37" t="str">
        <f t="shared" si="12"/>
        <v>0-180 DAYS</v>
      </c>
      <c r="K99" t="s">
        <v>1730</v>
      </c>
      <c r="M99" s="158" t="s">
        <v>4901</v>
      </c>
      <c r="N99" s="158">
        <v>4270620.8</v>
      </c>
    </row>
    <row r="100" spans="1:14" x14ac:dyDescent="0.35">
      <c r="A100" s="2" t="s">
        <v>1085</v>
      </c>
      <c r="B100" s="2" t="s">
        <v>790</v>
      </c>
      <c r="C100" s="18" t="s">
        <v>3796</v>
      </c>
      <c r="D100" s="37" t="s">
        <v>507</v>
      </c>
      <c r="E100" s="18" t="s">
        <v>4865</v>
      </c>
      <c r="F100" s="19">
        <v>46098</v>
      </c>
      <c r="G100" s="179">
        <v>3672518.41</v>
      </c>
      <c r="H100" s="37">
        <f t="shared" si="11"/>
        <v>106</v>
      </c>
      <c r="I100" s="37" t="str">
        <f t="shared" si="13"/>
        <v>0-120 DAYS</v>
      </c>
      <c r="J100" s="37" t="str">
        <f t="shared" si="12"/>
        <v>0-180 DAYS</v>
      </c>
      <c r="K100" t="s">
        <v>1730</v>
      </c>
      <c r="M100" s="158" t="s">
        <v>4902</v>
      </c>
      <c r="N100" s="158">
        <v>3672518.41</v>
      </c>
    </row>
    <row r="101" spans="1:14" x14ac:dyDescent="0.35">
      <c r="A101" s="2" t="s">
        <v>1085</v>
      </c>
      <c r="B101" s="2" t="s">
        <v>790</v>
      </c>
      <c r="C101" s="18" t="s">
        <v>1055</v>
      </c>
      <c r="D101" s="37" t="s">
        <v>507</v>
      </c>
      <c r="E101" s="18" t="s">
        <v>4866</v>
      </c>
      <c r="F101" s="19">
        <v>46101</v>
      </c>
      <c r="G101" s="179">
        <v>3215187</v>
      </c>
      <c r="H101" s="37">
        <f t="shared" si="11"/>
        <v>103</v>
      </c>
      <c r="I101" s="37" t="str">
        <f t="shared" si="13"/>
        <v>0-120 DAYS</v>
      </c>
      <c r="J101" s="37" t="str">
        <f t="shared" si="12"/>
        <v>0-180 DAYS</v>
      </c>
      <c r="K101" t="s">
        <v>1730</v>
      </c>
      <c r="M101" s="158" t="s">
        <v>4904</v>
      </c>
      <c r="N101" s="158">
        <v>3215187</v>
      </c>
    </row>
    <row r="102" spans="1:14" x14ac:dyDescent="0.35">
      <c r="A102" s="2" t="s">
        <v>1085</v>
      </c>
      <c r="B102" s="2" t="s">
        <v>790</v>
      </c>
      <c r="C102" s="18" t="s">
        <v>1764</v>
      </c>
      <c r="D102" s="37" t="s">
        <v>507</v>
      </c>
      <c r="E102" s="18" t="s">
        <v>4867</v>
      </c>
      <c r="F102" s="19">
        <v>46102</v>
      </c>
      <c r="G102" s="179">
        <v>3900733.2</v>
      </c>
      <c r="H102" s="37">
        <f t="shared" si="11"/>
        <v>102</v>
      </c>
      <c r="I102" s="37" t="str">
        <f t="shared" si="13"/>
        <v>0-120 DAYS</v>
      </c>
      <c r="J102" s="37" t="str">
        <f t="shared" si="12"/>
        <v>0-180 DAYS</v>
      </c>
      <c r="K102" t="s">
        <v>1730</v>
      </c>
      <c r="M102" s="158" t="s">
        <v>4905</v>
      </c>
      <c r="N102" s="158">
        <v>3900733.2</v>
      </c>
    </row>
    <row r="103" spans="1:14" x14ac:dyDescent="0.35">
      <c r="A103" s="2" t="s">
        <v>1085</v>
      </c>
      <c r="B103" s="2" t="s">
        <v>790</v>
      </c>
      <c r="C103" s="18" t="s">
        <v>3796</v>
      </c>
      <c r="D103" s="37" t="s">
        <v>507</v>
      </c>
      <c r="E103" s="18" t="s">
        <v>4868</v>
      </c>
      <c r="F103" s="19">
        <v>46103</v>
      </c>
      <c r="G103" s="179">
        <v>3324055.78</v>
      </c>
      <c r="H103" s="37">
        <f t="shared" si="11"/>
        <v>101</v>
      </c>
      <c r="I103" s="37" t="str">
        <f t="shared" si="13"/>
        <v>0-120 DAYS</v>
      </c>
      <c r="J103" s="37" t="str">
        <f t="shared" si="12"/>
        <v>0-180 DAYS</v>
      </c>
      <c r="K103" t="s">
        <v>1730</v>
      </c>
      <c r="M103" s="158" t="s">
        <v>4906</v>
      </c>
      <c r="N103" s="158">
        <v>3324055.78</v>
      </c>
    </row>
    <row r="104" spans="1:14" x14ac:dyDescent="0.35">
      <c r="A104" s="2" t="s">
        <v>1085</v>
      </c>
      <c r="B104" s="2" t="s">
        <v>790</v>
      </c>
      <c r="C104" s="18" t="s">
        <v>596</v>
      </c>
      <c r="D104" s="37" t="s">
        <v>507</v>
      </c>
      <c r="E104" s="18" t="s">
        <v>629</v>
      </c>
      <c r="F104" s="19">
        <v>46106</v>
      </c>
      <c r="G104" s="179">
        <v>5317</v>
      </c>
      <c r="H104" s="37">
        <f t="shared" si="11"/>
        <v>98</v>
      </c>
      <c r="I104" s="37" t="str">
        <f t="shared" si="13"/>
        <v>0-120 DAYS</v>
      </c>
      <c r="J104" s="37" t="str">
        <f t="shared" si="12"/>
        <v>0-180 DAYS</v>
      </c>
      <c r="K104" t="s">
        <v>1730</v>
      </c>
      <c r="M104" s="158" t="s">
        <v>4907</v>
      </c>
      <c r="N104" s="158">
        <v>5317</v>
      </c>
    </row>
    <row r="105" spans="1:14" x14ac:dyDescent="0.35">
      <c r="A105" s="2" t="s">
        <v>1085</v>
      </c>
      <c r="B105" s="2" t="s">
        <v>790</v>
      </c>
      <c r="C105" s="18" t="s">
        <v>650</v>
      </c>
      <c r="D105" s="37" t="s">
        <v>507</v>
      </c>
      <c r="E105" s="18" t="s">
        <v>589</v>
      </c>
      <c r="F105" s="19">
        <v>46107</v>
      </c>
      <c r="G105" s="179">
        <v>3636456.47</v>
      </c>
      <c r="H105" s="37">
        <f t="shared" si="11"/>
        <v>97</v>
      </c>
      <c r="I105" s="37" t="str">
        <f t="shared" si="13"/>
        <v>0-120 DAYS</v>
      </c>
      <c r="J105" s="37" t="str">
        <f t="shared" si="12"/>
        <v>0-180 DAYS</v>
      </c>
      <c r="K105" t="s">
        <v>1730</v>
      </c>
      <c r="M105" s="158" t="s">
        <v>4908</v>
      </c>
      <c r="N105" s="158">
        <v>3636456.47</v>
      </c>
    </row>
    <row r="106" spans="1:14" x14ac:dyDescent="0.35">
      <c r="A106" s="2" t="s">
        <v>1085</v>
      </c>
      <c r="B106" s="2" t="s">
        <v>790</v>
      </c>
      <c r="C106" s="18" t="s">
        <v>4859</v>
      </c>
      <c r="D106" s="37" t="s">
        <v>507</v>
      </c>
      <c r="E106" s="18" t="s">
        <v>4869</v>
      </c>
      <c r="F106" s="19">
        <v>46108</v>
      </c>
      <c r="G106" s="179">
        <v>138825</v>
      </c>
      <c r="H106" s="37">
        <f t="shared" si="11"/>
        <v>96</v>
      </c>
      <c r="I106" s="37" t="str">
        <f t="shared" si="13"/>
        <v>0-120 DAYS</v>
      </c>
      <c r="J106" s="37" t="str">
        <f t="shared" si="12"/>
        <v>0-180 DAYS</v>
      </c>
      <c r="K106" t="s">
        <v>1730</v>
      </c>
      <c r="M106" s="158" t="s">
        <v>4909</v>
      </c>
      <c r="N106" s="158">
        <v>138825</v>
      </c>
    </row>
    <row r="107" spans="1:14" x14ac:dyDescent="0.35">
      <c r="A107" s="2" t="s">
        <v>1085</v>
      </c>
      <c r="B107" s="2" t="s">
        <v>790</v>
      </c>
      <c r="C107" s="18" t="s">
        <v>3796</v>
      </c>
      <c r="D107" s="37" t="s">
        <v>507</v>
      </c>
      <c r="E107" s="18" t="s">
        <v>4870</v>
      </c>
      <c r="F107" s="19">
        <v>46110</v>
      </c>
      <c r="G107" s="179">
        <v>3256693.04</v>
      </c>
      <c r="H107" s="37">
        <f t="shared" si="11"/>
        <v>94</v>
      </c>
      <c r="I107" s="37" t="str">
        <f t="shared" si="13"/>
        <v>0-120 DAYS</v>
      </c>
      <c r="J107" s="37" t="str">
        <f t="shared" si="12"/>
        <v>0-180 DAYS</v>
      </c>
      <c r="K107" t="s">
        <v>1730</v>
      </c>
      <c r="M107" s="158" t="s">
        <v>4910</v>
      </c>
      <c r="N107" s="158">
        <v>3256693.04</v>
      </c>
    </row>
    <row r="108" spans="1:14" x14ac:dyDescent="0.35">
      <c r="A108" s="2" t="s">
        <v>1085</v>
      </c>
      <c r="B108" s="2" t="s">
        <v>790</v>
      </c>
      <c r="C108" s="18" t="s">
        <v>650</v>
      </c>
      <c r="D108" s="37" t="s">
        <v>507</v>
      </c>
      <c r="E108" s="18" t="s">
        <v>599</v>
      </c>
      <c r="F108" s="19">
        <v>46110</v>
      </c>
      <c r="G108" s="179">
        <v>4294107.21</v>
      </c>
      <c r="H108" s="37">
        <f t="shared" si="11"/>
        <v>94</v>
      </c>
      <c r="I108" s="37" t="str">
        <f t="shared" si="13"/>
        <v>0-120 DAYS</v>
      </c>
      <c r="J108" s="37" t="str">
        <f t="shared" si="12"/>
        <v>0-180 DAYS</v>
      </c>
      <c r="K108" t="s">
        <v>1730</v>
      </c>
      <c r="M108" s="158" t="s">
        <v>4910</v>
      </c>
      <c r="N108" s="158">
        <v>4294107.21</v>
      </c>
    </row>
    <row r="109" spans="1:14" x14ac:dyDescent="0.35">
      <c r="A109" s="2" t="s">
        <v>1085</v>
      </c>
      <c r="B109" s="2" t="s">
        <v>790</v>
      </c>
      <c r="C109" s="18" t="s">
        <v>814</v>
      </c>
      <c r="D109" s="37" t="s">
        <v>507</v>
      </c>
      <c r="E109" s="18" t="s">
        <v>4871</v>
      </c>
      <c r="F109" s="19">
        <v>46111</v>
      </c>
      <c r="G109" s="179">
        <v>2035</v>
      </c>
      <c r="H109" s="37">
        <f t="shared" si="11"/>
        <v>93</v>
      </c>
      <c r="I109" s="37" t="str">
        <f t="shared" si="13"/>
        <v>0-120 DAYS</v>
      </c>
      <c r="J109" s="37" t="str">
        <f t="shared" si="12"/>
        <v>0-180 DAYS</v>
      </c>
      <c r="K109" t="s">
        <v>1730</v>
      </c>
      <c r="M109" s="158" t="s">
        <v>4911</v>
      </c>
      <c r="N109" s="158">
        <v>2035</v>
      </c>
    </row>
    <row r="110" spans="1:14" x14ac:dyDescent="0.35">
      <c r="A110" s="2" t="s">
        <v>1085</v>
      </c>
      <c r="B110" s="2" t="s">
        <v>790</v>
      </c>
      <c r="C110" s="18" t="s">
        <v>577</v>
      </c>
      <c r="D110" s="37" t="s">
        <v>507</v>
      </c>
      <c r="E110" s="18" t="s">
        <v>4872</v>
      </c>
      <c r="F110" s="19">
        <v>46111</v>
      </c>
      <c r="G110" s="179">
        <v>4536540</v>
      </c>
      <c r="H110" s="37">
        <f t="shared" si="11"/>
        <v>93</v>
      </c>
      <c r="I110" s="37" t="str">
        <f t="shared" si="13"/>
        <v>0-120 DAYS</v>
      </c>
      <c r="J110" s="37" t="str">
        <f t="shared" si="12"/>
        <v>0-180 DAYS</v>
      </c>
      <c r="K110" t="s">
        <v>1730</v>
      </c>
      <c r="M110" s="158" t="s">
        <v>4911</v>
      </c>
      <c r="N110" s="158">
        <v>4536540</v>
      </c>
    </row>
    <row r="111" spans="1:14" x14ac:dyDescent="0.35">
      <c r="A111" s="2" t="s">
        <v>1085</v>
      </c>
      <c r="B111" s="2" t="s">
        <v>790</v>
      </c>
      <c r="C111" s="18" t="s">
        <v>538</v>
      </c>
      <c r="D111" s="37" t="s">
        <v>507</v>
      </c>
      <c r="E111" s="18" t="s">
        <v>4873</v>
      </c>
      <c r="F111" s="19">
        <v>46089</v>
      </c>
      <c r="G111" s="179">
        <v>3356300.2</v>
      </c>
      <c r="H111" s="37">
        <f t="shared" si="11"/>
        <v>115</v>
      </c>
      <c r="I111" s="37" t="str">
        <f t="shared" si="13"/>
        <v>0-120 DAYS</v>
      </c>
      <c r="J111" s="37" t="str">
        <f t="shared" si="12"/>
        <v>0-180 DAYS</v>
      </c>
      <c r="K111" t="s">
        <v>1730</v>
      </c>
      <c r="M111" s="158" t="s">
        <v>4912</v>
      </c>
      <c r="N111" s="158">
        <v>3356300.2</v>
      </c>
    </row>
    <row r="112" spans="1:14" x14ac:dyDescent="0.35">
      <c r="A112" s="2" t="s">
        <v>1085</v>
      </c>
      <c r="B112" s="2" t="s">
        <v>790</v>
      </c>
      <c r="C112" s="18" t="s">
        <v>570</v>
      </c>
      <c r="D112" s="37" t="s">
        <v>507</v>
      </c>
      <c r="E112" s="18" t="s">
        <v>4874</v>
      </c>
      <c r="F112" s="19">
        <v>46090</v>
      </c>
      <c r="G112" s="179">
        <v>3219768</v>
      </c>
      <c r="H112" s="37">
        <f t="shared" si="11"/>
        <v>114</v>
      </c>
      <c r="I112" s="37" t="str">
        <f t="shared" si="13"/>
        <v>0-120 DAYS</v>
      </c>
      <c r="J112" s="37" t="str">
        <f t="shared" si="12"/>
        <v>0-180 DAYS</v>
      </c>
      <c r="K112" t="s">
        <v>1730</v>
      </c>
      <c r="M112" s="158" t="s">
        <v>4913</v>
      </c>
      <c r="N112" s="158">
        <v>3219768</v>
      </c>
    </row>
    <row r="113" spans="1:14" x14ac:dyDescent="0.35">
      <c r="A113" s="2" t="s">
        <v>1085</v>
      </c>
      <c r="B113" s="2" t="s">
        <v>790</v>
      </c>
      <c r="C113" s="18" t="s">
        <v>570</v>
      </c>
      <c r="D113" s="37" t="s">
        <v>507</v>
      </c>
      <c r="E113" s="18" t="s">
        <v>4875</v>
      </c>
      <c r="F113" s="19">
        <v>46091</v>
      </c>
      <c r="G113" s="179">
        <v>3219768</v>
      </c>
      <c r="H113" s="37">
        <f t="shared" si="11"/>
        <v>113</v>
      </c>
      <c r="I113" s="37" t="str">
        <f t="shared" si="13"/>
        <v>0-120 DAYS</v>
      </c>
      <c r="J113" s="37" t="str">
        <f t="shared" si="12"/>
        <v>0-180 DAYS</v>
      </c>
      <c r="K113" t="s">
        <v>1730</v>
      </c>
      <c r="M113" s="158" t="s">
        <v>4914</v>
      </c>
      <c r="N113" s="158">
        <v>3219768</v>
      </c>
    </row>
    <row r="114" spans="1:14" x14ac:dyDescent="0.35">
      <c r="A114" s="2" t="s">
        <v>1085</v>
      </c>
      <c r="B114" s="2" t="s">
        <v>790</v>
      </c>
      <c r="C114" s="18" t="s">
        <v>570</v>
      </c>
      <c r="D114" s="37" t="s">
        <v>507</v>
      </c>
      <c r="E114" s="18" t="s">
        <v>4876</v>
      </c>
      <c r="F114" s="19">
        <v>46091</v>
      </c>
      <c r="G114" s="179">
        <v>3817958.4</v>
      </c>
      <c r="H114" s="37">
        <f t="shared" si="11"/>
        <v>113</v>
      </c>
      <c r="I114" s="37" t="str">
        <f t="shared" si="13"/>
        <v>0-120 DAYS</v>
      </c>
      <c r="J114" s="37" t="str">
        <f t="shared" si="12"/>
        <v>0-180 DAYS</v>
      </c>
      <c r="K114" t="s">
        <v>1730</v>
      </c>
      <c r="M114" s="158" t="s">
        <v>4914</v>
      </c>
      <c r="N114" s="158">
        <v>3817958.4</v>
      </c>
    </row>
    <row r="115" spans="1:14" x14ac:dyDescent="0.35">
      <c r="A115" s="2" t="s">
        <v>1085</v>
      </c>
      <c r="B115" s="2" t="s">
        <v>790</v>
      </c>
      <c r="C115" s="18" t="s">
        <v>1086</v>
      </c>
      <c r="D115" s="37" t="s">
        <v>507</v>
      </c>
      <c r="E115" s="18" t="s">
        <v>4877</v>
      </c>
      <c r="F115" s="19">
        <v>46094</v>
      </c>
      <c r="G115" s="179">
        <v>186752.9</v>
      </c>
      <c r="H115" s="37">
        <f t="shared" si="11"/>
        <v>110</v>
      </c>
      <c r="I115" s="37" t="str">
        <f t="shared" si="13"/>
        <v>0-120 DAYS</v>
      </c>
      <c r="J115" s="37" t="str">
        <f t="shared" si="12"/>
        <v>0-180 DAYS</v>
      </c>
      <c r="K115" t="s">
        <v>1730</v>
      </c>
      <c r="M115" s="158" t="s">
        <v>4900</v>
      </c>
      <c r="N115" s="158">
        <v>186752.9</v>
      </c>
    </row>
    <row r="116" spans="1:14" x14ac:dyDescent="0.35">
      <c r="A116" s="2" t="s">
        <v>1085</v>
      </c>
      <c r="B116" s="2" t="s">
        <v>790</v>
      </c>
      <c r="C116" s="18" t="s">
        <v>1086</v>
      </c>
      <c r="D116" s="37" t="s">
        <v>507</v>
      </c>
      <c r="E116" s="18" t="s">
        <v>4878</v>
      </c>
      <c r="F116" s="19">
        <v>46094</v>
      </c>
      <c r="G116" s="179">
        <v>1771276.46</v>
      </c>
      <c r="H116" s="37">
        <f t="shared" si="11"/>
        <v>110</v>
      </c>
      <c r="I116" s="37" t="str">
        <f t="shared" si="13"/>
        <v>0-120 DAYS</v>
      </c>
      <c r="J116" s="37" t="str">
        <f t="shared" si="12"/>
        <v>0-180 DAYS</v>
      </c>
      <c r="K116" t="s">
        <v>1730</v>
      </c>
      <c r="M116" s="158" t="s">
        <v>4900</v>
      </c>
      <c r="N116" s="158">
        <v>1771276.46</v>
      </c>
    </row>
    <row r="117" spans="1:14" x14ac:dyDescent="0.35">
      <c r="A117" s="2" t="s">
        <v>1085</v>
      </c>
      <c r="B117" s="2" t="s">
        <v>790</v>
      </c>
      <c r="C117" s="18" t="s">
        <v>1086</v>
      </c>
      <c r="D117" s="37" t="s">
        <v>507</v>
      </c>
      <c r="E117" s="18" t="s">
        <v>4879</v>
      </c>
      <c r="F117" s="19">
        <v>46094</v>
      </c>
      <c r="G117" s="179">
        <v>557732.65</v>
      </c>
      <c r="H117" s="37">
        <f t="shared" si="11"/>
        <v>110</v>
      </c>
      <c r="I117" s="37" t="str">
        <f t="shared" si="13"/>
        <v>0-120 DAYS</v>
      </c>
      <c r="J117" s="37" t="str">
        <f t="shared" si="12"/>
        <v>0-180 DAYS</v>
      </c>
      <c r="K117" t="s">
        <v>1730</v>
      </c>
      <c r="M117" s="158" t="s">
        <v>4900</v>
      </c>
      <c r="N117" s="158">
        <v>557732.65</v>
      </c>
    </row>
    <row r="118" spans="1:14" x14ac:dyDescent="0.35">
      <c r="A118" s="2" t="s">
        <v>1085</v>
      </c>
      <c r="B118" s="2" t="s">
        <v>790</v>
      </c>
      <c r="C118" s="18" t="s">
        <v>522</v>
      </c>
      <c r="D118" s="37" t="s">
        <v>507</v>
      </c>
      <c r="E118" s="18" t="s">
        <v>4880</v>
      </c>
      <c r="F118" s="19">
        <v>46100</v>
      </c>
      <c r="G118" s="179">
        <v>31380</v>
      </c>
      <c r="H118" s="37">
        <f t="shared" si="11"/>
        <v>104</v>
      </c>
      <c r="I118" s="37" t="str">
        <f t="shared" si="13"/>
        <v>0-120 DAYS</v>
      </c>
      <c r="J118" s="37" t="str">
        <f t="shared" si="12"/>
        <v>0-180 DAYS</v>
      </c>
      <c r="K118" t="s">
        <v>1730</v>
      </c>
      <c r="M118" s="158" t="s">
        <v>4903</v>
      </c>
      <c r="N118" s="158">
        <v>31380</v>
      </c>
    </row>
    <row r="119" spans="1:14" x14ac:dyDescent="0.35">
      <c r="A119" s="2" t="s">
        <v>1085</v>
      </c>
      <c r="B119" s="2" t="s">
        <v>790</v>
      </c>
      <c r="C119" s="18" t="s">
        <v>538</v>
      </c>
      <c r="D119" s="37" t="s">
        <v>507</v>
      </c>
      <c r="E119" s="18" t="s">
        <v>4881</v>
      </c>
      <c r="F119" s="19">
        <v>46108</v>
      </c>
      <c r="G119" s="179">
        <v>3386448</v>
      </c>
      <c r="H119" s="37">
        <f t="shared" si="11"/>
        <v>96</v>
      </c>
      <c r="I119" s="37" t="str">
        <f t="shared" si="13"/>
        <v>0-120 DAYS</v>
      </c>
      <c r="J119" s="37" t="str">
        <f t="shared" si="12"/>
        <v>0-180 DAYS</v>
      </c>
      <c r="K119" t="s">
        <v>1730</v>
      </c>
      <c r="M119" s="158" t="s">
        <v>4909</v>
      </c>
      <c r="N119" s="158">
        <v>3386448</v>
      </c>
    </row>
    <row r="120" spans="1:14" x14ac:dyDescent="0.35">
      <c r="A120" s="2" t="s">
        <v>1085</v>
      </c>
      <c r="B120" s="2" t="s">
        <v>790</v>
      </c>
      <c r="C120" s="18" t="s">
        <v>538</v>
      </c>
      <c r="D120" s="37" t="s">
        <v>507</v>
      </c>
      <c r="E120" s="18" t="s">
        <v>4882</v>
      </c>
      <c r="F120" s="19">
        <v>46112</v>
      </c>
      <c r="G120" s="179">
        <v>3442499.19</v>
      </c>
      <c r="H120" s="37">
        <f t="shared" si="11"/>
        <v>92</v>
      </c>
      <c r="I120" s="37" t="str">
        <f t="shared" si="13"/>
        <v>0-120 DAYS</v>
      </c>
      <c r="J120" s="37" t="str">
        <f t="shared" si="12"/>
        <v>0-180 DAYS</v>
      </c>
      <c r="K120" t="s">
        <v>1730</v>
      </c>
      <c r="M120" s="158" t="s">
        <v>4896</v>
      </c>
      <c r="N120" s="158">
        <v>3442499.19</v>
      </c>
    </row>
    <row r="121" spans="1:14" x14ac:dyDescent="0.35">
      <c r="A121" s="2" t="s">
        <v>1085</v>
      </c>
      <c r="B121" s="2" t="s">
        <v>790</v>
      </c>
      <c r="C121" s="18" t="s">
        <v>538</v>
      </c>
      <c r="D121" s="37" t="s">
        <v>507</v>
      </c>
      <c r="E121" s="18" t="s">
        <v>4883</v>
      </c>
      <c r="F121" s="19">
        <v>46112</v>
      </c>
      <c r="G121" s="179">
        <v>3488639.54</v>
      </c>
      <c r="H121" s="37">
        <f t="shared" si="11"/>
        <v>92</v>
      </c>
      <c r="I121" s="37" t="str">
        <f t="shared" si="13"/>
        <v>0-120 DAYS</v>
      </c>
      <c r="J121" s="37" t="str">
        <f t="shared" si="12"/>
        <v>0-180 DAYS</v>
      </c>
      <c r="K121" t="s">
        <v>1730</v>
      </c>
      <c r="M121" s="158" t="s">
        <v>4896</v>
      </c>
      <c r="N121" s="158">
        <v>3488639.54</v>
      </c>
    </row>
    <row r="122" spans="1:14" x14ac:dyDescent="0.35">
      <c r="A122" s="2" t="s">
        <v>1085</v>
      </c>
      <c r="B122" s="2" t="s">
        <v>790</v>
      </c>
      <c r="C122" s="18" t="s">
        <v>650</v>
      </c>
      <c r="D122" s="37" t="s">
        <v>507</v>
      </c>
      <c r="E122" s="18" t="s">
        <v>4884</v>
      </c>
      <c r="F122" s="19">
        <v>46112</v>
      </c>
      <c r="G122" s="179">
        <v>4074499.87</v>
      </c>
      <c r="H122" s="37">
        <f t="shared" si="11"/>
        <v>92</v>
      </c>
      <c r="I122" s="37" t="str">
        <f t="shared" si="13"/>
        <v>0-120 DAYS</v>
      </c>
      <c r="J122" s="37" t="str">
        <f t="shared" si="12"/>
        <v>0-180 DAYS</v>
      </c>
      <c r="K122" t="s">
        <v>1730</v>
      </c>
      <c r="M122" s="158" t="s">
        <v>4896</v>
      </c>
      <c r="N122" s="158">
        <v>4074499.87</v>
      </c>
    </row>
    <row r="123" spans="1:14" x14ac:dyDescent="0.35">
      <c r="A123" s="2" t="s">
        <v>477</v>
      </c>
      <c r="B123" s="2" t="s">
        <v>790</v>
      </c>
      <c r="C123" s="18" t="s">
        <v>4780</v>
      </c>
      <c r="D123" s="18" t="s">
        <v>4783</v>
      </c>
      <c r="E123" s="18" t="s">
        <v>4886</v>
      </c>
      <c r="F123" s="19">
        <v>46088</v>
      </c>
      <c r="G123" s="179">
        <f>155565.3-118613</f>
        <v>36952.299999999988</v>
      </c>
      <c r="H123" s="37">
        <f t="shared" si="11"/>
        <v>116</v>
      </c>
      <c r="I123" s="37" t="str">
        <f>IF(H123&lt;91,"1-90 DAYS",IF(H123&lt;121,"91-120DAYS",IF(H123&lt;181,"121-180 DAYS","More than 180 Days")))</f>
        <v>91-120DAYS</v>
      </c>
      <c r="J123" s="37" t="str">
        <f t="shared" si="12"/>
        <v>0-180 DAYS</v>
      </c>
      <c r="M123" s="158" t="s">
        <v>4899</v>
      </c>
      <c r="N123" s="158">
        <v>36952.300000000003</v>
      </c>
    </row>
    <row r="124" spans="1:14" x14ac:dyDescent="0.35">
      <c r="A124" s="2" t="s">
        <v>477</v>
      </c>
      <c r="B124" s="2" t="s">
        <v>790</v>
      </c>
      <c r="C124" s="18" t="s">
        <v>4780</v>
      </c>
      <c r="D124" s="18" t="s">
        <v>4783</v>
      </c>
      <c r="E124" s="18" t="s">
        <v>4887</v>
      </c>
      <c r="F124" s="19">
        <v>46097</v>
      </c>
      <c r="G124" s="179">
        <v>183018</v>
      </c>
      <c r="H124" s="37">
        <f t="shared" si="11"/>
        <v>107</v>
      </c>
      <c r="I124" s="37" t="str">
        <f>IF(H124&lt;91,"1-90 DAYS",IF(H124&lt;121,"91-120DAYS",IF(H124&lt;181,"121-180 DAYS","More than 180 Days")))</f>
        <v>91-120DAYS</v>
      </c>
      <c r="J124" s="37" t="str">
        <f t="shared" si="12"/>
        <v>0-180 DAYS</v>
      </c>
      <c r="M124" s="158" t="s">
        <v>4901</v>
      </c>
      <c r="N124" s="158">
        <v>183018</v>
      </c>
    </row>
    <row r="125" spans="1:14" x14ac:dyDescent="0.35">
      <c r="A125" s="2" t="s">
        <v>477</v>
      </c>
      <c r="B125" s="2" t="s">
        <v>790</v>
      </c>
      <c r="C125" s="18" t="s">
        <v>4780</v>
      </c>
      <c r="D125" s="18" t="s">
        <v>4783</v>
      </c>
      <c r="E125" s="18" t="s">
        <v>4888</v>
      </c>
      <c r="F125" s="19">
        <v>46106</v>
      </c>
      <c r="G125" s="179">
        <v>286423.18</v>
      </c>
      <c r="H125" s="37">
        <f t="shared" si="11"/>
        <v>98</v>
      </c>
      <c r="I125" s="37" t="str">
        <f>IF(H125&lt;91,"1-90 DAYS",IF(H125&lt;121,"91-120DAYS",IF(H125&lt;181,"121-180 DAYS","More than 180 Days")))</f>
        <v>91-120DAYS</v>
      </c>
      <c r="J125" s="37" t="str">
        <f t="shared" si="12"/>
        <v>0-180 DAYS</v>
      </c>
      <c r="M125" s="158" t="s">
        <v>4907</v>
      </c>
      <c r="N125" s="158">
        <v>286423.18</v>
      </c>
    </row>
    <row r="126" spans="1:14" x14ac:dyDescent="0.35">
      <c r="A126" s="2" t="s">
        <v>477</v>
      </c>
      <c r="B126" s="2" t="s">
        <v>790</v>
      </c>
      <c r="C126" s="18" t="s">
        <v>4460</v>
      </c>
      <c r="D126" s="18" t="s">
        <v>4538</v>
      </c>
      <c r="E126" s="18" t="s">
        <v>4889</v>
      </c>
      <c r="F126" s="19">
        <v>46107</v>
      </c>
      <c r="G126" s="179">
        <f>2585000-2190000</f>
        <v>395000</v>
      </c>
      <c r="H126" s="37">
        <f t="shared" si="11"/>
        <v>97</v>
      </c>
      <c r="I126" s="37" t="str">
        <f t="shared" ref="I126:I129" si="14">IF(H126&lt;91,"1-90 DAYS",IF(H126&lt;121,"91-120DAYS",IF(H126&lt;181,"121-180 DAYS","More than 180 Days")))</f>
        <v>91-120DAYS</v>
      </c>
      <c r="J126" s="37" t="str">
        <f t="shared" si="12"/>
        <v>0-180 DAYS</v>
      </c>
      <c r="M126" s="158" t="s">
        <v>4908</v>
      </c>
      <c r="N126" s="158">
        <v>395000</v>
      </c>
    </row>
    <row r="127" spans="1:14" x14ac:dyDescent="0.35">
      <c r="A127" s="2" t="s">
        <v>477</v>
      </c>
      <c r="B127" s="2" t="s">
        <v>790</v>
      </c>
      <c r="C127" s="18" t="s">
        <v>1838</v>
      </c>
      <c r="D127" s="18" t="s">
        <v>2001</v>
      </c>
      <c r="E127" s="18" t="s">
        <v>4890</v>
      </c>
      <c r="F127" s="19">
        <v>46112</v>
      </c>
      <c r="G127" s="179">
        <f>1322276-884519</f>
        <v>437757</v>
      </c>
      <c r="H127" s="37">
        <f t="shared" si="11"/>
        <v>92</v>
      </c>
      <c r="I127" s="37" t="str">
        <f t="shared" si="14"/>
        <v>91-120DAYS</v>
      </c>
      <c r="J127" s="37" t="str">
        <f t="shared" si="12"/>
        <v>0-180 DAYS</v>
      </c>
      <c r="M127" s="158" t="s">
        <v>4896</v>
      </c>
      <c r="N127" s="158">
        <v>437757</v>
      </c>
    </row>
    <row r="128" spans="1:14" x14ac:dyDescent="0.35">
      <c r="A128" s="2" t="s">
        <v>477</v>
      </c>
      <c r="B128" s="2" t="s">
        <v>790</v>
      </c>
      <c r="C128" s="18" t="s">
        <v>4745</v>
      </c>
      <c r="D128" s="18" t="s">
        <v>4751</v>
      </c>
      <c r="E128" s="18" t="s">
        <v>4891</v>
      </c>
      <c r="F128" s="19">
        <v>46083</v>
      </c>
      <c r="G128" s="179">
        <v>114651.16</v>
      </c>
      <c r="H128" s="37">
        <f t="shared" si="11"/>
        <v>121</v>
      </c>
      <c r="I128" s="37" t="str">
        <f t="shared" si="14"/>
        <v>121-180 DAYS</v>
      </c>
      <c r="J128" s="37" t="str">
        <f t="shared" si="12"/>
        <v>0-180 DAYS</v>
      </c>
      <c r="M128" s="158" t="s">
        <v>4897</v>
      </c>
      <c r="N128" s="158">
        <v>114651.16</v>
      </c>
    </row>
    <row r="129" spans="1:14" x14ac:dyDescent="0.35">
      <c r="A129" s="2" t="s">
        <v>477</v>
      </c>
      <c r="B129" s="2" t="s">
        <v>790</v>
      </c>
      <c r="C129" s="18" t="s">
        <v>263</v>
      </c>
      <c r="D129" s="18" t="s">
        <v>264</v>
      </c>
      <c r="E129" s="18" t="s">
        <v>4892</v>
      </c>
      <c r="F129" s="19">
        <v>46092</v>
      </c>
      <c r="G129" s="179">
        <v>855186.12</v>
      </c>
      <c r="H129" s="37">
        <f t="shared" si="11"/>
        <v>112</v>
      </c>
      <c r="I129" s="37" t="str">
        <f t="shared" si="14"/>
        <v>91-120DAYS</v>
      </c>
      <c r="J129" s="37" t="str">
        <f t="shared" si="12"/>
        <v>0-180 DAYS</v>
      </c>
      <c r="M129" s="158" t="s">
        <v>4895</v>
      </c>
      <c r="N129" s="158">
        <v>855186.12</v>
      </c>
    </row>
    <row r="130" spans="1:14" x14ac:dyDescent="0.35">
      <c r="A130" s="2" t="s">
        <v>1085</v>
      </c>
      <c r="B130" s="2" t="s">
        <v>790</v>
      </c>
      <c r="C130" s="18" t="s">
        <v>540</v>
      </c>
      <c r="D130" s="37" t="s">
        <v>507</v>
      </c>
      <c r="E130" s="18" t="s">
        <v>4919</v>
      </c>
      <c r="F130" s="19">
        <v>46130</v>
      </c>
      <c r="G130" s="179">
        <v>841362.79</v>
      </c>
      <c r="H130" s="37">
        <f t="shared" si="11"/>
        <v>74</v>
      </c>
      <c r="I130" s="37" t="str">
        <f t="shared" ref="I130:I154" si="15">IF(H130&lt;121,"0-120 DAYS",IF(H130&lt;181,"121-180 DAYS","More than 180 Days"))</f>
        <v>0-120 DAYS</v>
      </c>
      <c r="J130" s="37" t="str">
        <f t="shared" si="12"/>
        <v>0-180 DAYS</v>
      </c>
      <c r="K130" t="s">
        <v>1730</v>
      </c>
      <c r="M130" s="158" t="s">
        <v>4976</v>
      </c>
      <c r="N130" s="158">
        <v>841362.79</v>
      </c>
    </row>
    <row r="131" spans="1:14" x14ac:dyDescent="0.35">
      <c r="A131" s="2" t="s">
        <v>1085</v>
      </c>
      <c r="B131" s="2" t="s">
        <v>790</v>
      </c>
      <c r="C131" s="18" t="s">
        <v>548</v>
      </c>
      <c r="D131" s="37" t="s">
        <v>507</v>
      </c>
      <c r="E131" s="18" t="s">
        <v>4920</v>
      </c>
      <c r="F131" s="19">
        <v>46132</v>
      </c>
      <c r="G131" s="179">
        <v>3731440.75</v>
      </c>
      <c r="H131" s="37">
        <f t="shared" si="11"/>
        <v>72</v>
      </c>
      <c r="I131" s="37" t="str">
        <f t="shared" si="15"/>
        <v>0-120 DAYS</v>
      </c>
      <c r="J131" s="37" t="str">
        <f t="shared" si="12"/>
        <v>0-180 DAYS</v>
      </c>
      <c r="K131" t="s">
        <v>1730</v>
      </c>
      <c r="M131" s="158" t="s">
        <v>4977</v>
      </c>
      <c r="N131" s="158">
        <v>3731440.75</v>
      </c>
    </row>
    <row r="132" spans="1:14" x14ac:dyDescent="0.35">
      <c r="A132" s="2" t="s">
        <v>1085</v>
      </c>
      <c r="B132" s="2" t="s">
        <v>790</v>
      </c>
      <c r="C132" s="18" t="s">
        <v>548</v>
      </c>
      <c r="D132" s="37" t="s">
        <v>507</v>
      </c>
      <c r="E132" s="18" t="s">
        <v>4921</v>
      </c>
      <c r="F132" s="19">
        <v>46132</v>
      </c>
      <c r="G132" s="179">
        <v>550264</v>
      </c>
      <c r="H132" s="37">
        <f t="shared" ref="H132:H195" si="16">$H$1-F132+1</f>
        <v>72</v>
      </c>
      <c r="I132" s="37" t="str">
        <f t="shared" si="15"/>
        <v>0-120 DAYS</v>
      </c>
      <c r="J132" s="37" t="str">
        <f t="shared" si="12"/>
        <v>0-180 DAYS</v>
      </c>
      <c r="K132" t="s">
        <v>1730</v>
      </c>
      <c r="M132" s="158" t="s">
        <v>4977</v>
      </c>
      <c r="N132" s="158">
        <v>550264</v>
      </c>
    </row>
    <row r="133" spans="1:14" x14ac:dyDescent="0.35">
      <c r="A133" s="2" t="s">
        <v>1085</v>
      </c>
      <c r="B133" s="2" t="s">
        <v>790</v>
      </c>
      <c r="C133" s="18" t="s">
        <v>2066</v>
      </c>
      <c r="D133" s="37" t="s">
        <v>507</v>
      </c>
      <c r="E133" s="18" t="s">
        <v>4922</v>
      </c>
      <c r="F133" s="19">
        <v>46136</v>
      </c>
      <c r="G133" s="179">
        <v>2905071.84</v>
      </c>
      <c r="H133" s="37">
        <f t="shared" si="16"/>
        <v>68</v>
      </c>
      <c r="I133" s="37" t="str">
        <f t="shared" si="15"/>
        <v>0-120 DAYS</v>
      </c>
      <c r="J133" s="37" t="str">
        <f t="shared" si="12"/>
        <v>0-180 DAYS</v>
      </c>
      <c r="K133" t="s">
        <v>1730</v>
      </c>
      <c r="M133" s="158" t="s">
        <v>4981</v>
      </c>
      <c r="N133" s="158">
        <v>2905071.84</v>
      </c>
    </row>
    <row r="134" spans="1:14" x14ac:dyDescent="0.35">
      <c r="A134" s="2" t="s">
        <v>1085</v>
      </c>
      <c r="B134" s="2" t="s">
        <v>790</v>
      </c>
      <c r="C134" s="18" t="s">
        <v>814</v>
      </c>
      <c r="D134" s="37" t="s">
        <v>507</v>
      </c>
      <c r="E134" s="18" t="s">
        <v>4923</v>
      </c>
      <c r="F134" s="19">
        <v>46136</v>
      </c>
      <c r="G134" s="179">
        <v>162364</v>
      </c>
      <c r="H134" s="37">
        <f t="shared" si="16"/>
        <v>68</v>
      </c>
      <c r="I134" s="37" t="str">
        <f t="shared" si="15"/>
        <v>0-120 DAYS</v>
      </c>
      <c r="J134" s="37" t="str">
        <f t="shared" ref="J134:J197" si="17">IF(H134&lt;180,"0-180 DAYS","More than 180 Days")</f>
        <v>0-180 DAYS</v>
      </c>
      <c r="K134" t="s">
        <v>1730</v>
      </c>
      <c r="M134" s="158" t="s">
        <v>4981</v>
      </c>
      <c r="N134" s="158">
        <v>162364</v>
      </c>
    </row>
    <row r="135" spans="1:14" x14ac:dyDescent="0.35">
      <c r="A135" s="2" t="s">
        <v>1085</v>
      </c>
      <c r="B135" s="2" t="s">
        <v>790</v>
      </c>
      <c r="C135" s="18" t="s">
        <v>650</v>
      </c>
      <c r="D135" s="37" t="s">
        <v>507</v>
      </c>
      <c r="E135" s="18" t="s">
        <v>1334</v>
      </c>
      <c r="F135" s="19">
        <v>46136</v>
      </c>
      <c r="G135" s="179">
        <v>4362330.75</v>
      </c>
      <c r="H135" s="37">
        <f t="shared" si="16"/>
        <v>68</v>
      </c>
      <c r="I135" s="37" t="str">
        <f t="shared" si="15"/>
        <v>0-120 DAYS</v>
      </c>
      <c r="J135" s="37" t="str">
        <f t="shared" si="17"/>
        <v>0-180 DAYS</v>
      </c>
      <c r="K135" t="s">
        <v>1730</v>
      </c>
      <c r="M135" s="158" t="s">
        <v>4981</v>
      </c>
      <c r="N135" s="158">
        <v>4362330.75</v>
      </c>
    </row>
    <row r="136" spans="1:14" x14ac:dyDescent="0.35">
      <c r="A136" s="2" t="s">
        <v>1085</v>
      </c>
      <c r="B136" s="2" t="s">
        <v>790</v>
      </c>
      <c r="C136" s="18" t="s">
        <v>600</v>
      </c>
      <c r="D136" s="37" t="s">
        <v>507</v>
      </c>
      <c r="E136" s="18" t="s">
        <v>1335</v>
      </c>
      <c r="F136" s="19">
        <v>46140</v>
      </c>
      <c r="G136" s="179">
        <f>-5387144+5421832.01</f>
        <v>34688.009999999776</v>
      </c>
      <c r="H136" s="37">
        <f t="shared" si="16"/>
        <v>64</v>
      </c>
      <c r="I136" s="37" t="str">
        <f t="shared" si="15"/>
        <v>0-120 DAYS</v>
      </c>
      <c r="J136" s="37" t="str">
        <f t="shared" si="17"/>
        <v>0-180 DAYS</v>
      </c>
      <c r="K136" t="s">
        <v>1730</v>
      </c>
      <c r="M136" s="158" t="s">
        <v>4982</v>
      </c>
      <c r="N136" s="158">
        <v>34688.01</v>
      </c>
    </row>
    <row r="137" spans="1:14" x14ac:dyDescent="0.35">
      <c r="A137" s="2" t="s">
        <v>1085</v>
      </c>
      <c r="B137" s="2" t="s">
        <v>790</v>
      </c>
      <c r="C137" s="18" t="s">
        <v>1244</v>
      </c>
      <c r="D137" s="37" t="s">
        <v>507</v>
      </c>
      <c r="E137" s="18" t="s">
        <v>4924</v>
      </c>
      <c r="F137" s="19">
        <v>46140</v>
      </c>
      <c r="G137" s="179">
        <f>-1626647+3783577.45</f>
        <v>2156930.4500000002</v>
      </c>
      <c r="H137" s="37">
        <f t="shared" si="16"/>
        <v>64</v>
      </c>
      <c r="I137" s="37" t="str">
        <f t="shared" si="15"/>
        <v>0-120 DAYS</v>
      </c>
      <c r="J137" s="37" t="str">
        <f t="shared" si="17"/>
        <v>0-180 DAYS</v>
      </c>
      <c r="K137" t="s">
        <v>1730</v>
      </c>
      <c r="M137" s="158" t="s">
        <v>4982</v>
      </c>
      <c r="N137" s="158">
        <v>2156930.4500000002</v>
      </c>
    </row>
    <row r="138" spans="1:14" x14ac:dyDescent="0.35">
      <c r="A138" s="2" t="s">
        <v>1085</v>
      </c>
      <c r="B138" s="2" t="s">
        <v>790</v>
      </c>
      <c r="C138" s="18" t="s">
        <v>1244</v>
      </c>
      <c r="D138" s="37" t="s">
        <v>507</v>
      </c>
      <c r="E138" s="18" t="s">
        <v>4925</v>
      </c>
      <c r="F138" s="19">
        <v>46141</v>
      </c>
      <c r="G138" s="179">
        <v>3806583.13</v>
      </c>
      <c r="H138" s="37">
        <f t="shared" si="16"/>
        <v>63</v>
      </c>
      <c r="I138" s="37" t="str">
        <f t="shared" si="15"/>
        <v>0-120 DAYS</v>
      </c>
      <c r="J138" s="37" t="str">
        <f t="shared" si="17"/>
        <v>0-180 DAYS</v>
      </c>
      <c r="K138" t="s">
        <v>1730</v>
      </c>
      <c r="M138" s="158" t="s">
        <v>4983</v>
      </c>
      <c r="N138" s="158">
        <v>3806583.13</v>
      </c>
    </row>
    <row r="139" spans="1:14" x14ac:dyDescent="0.35">
      <c r="A139" s="2" t="s">
        <v>1085</v>
      </c>
      <c r="B139" s="2" t="s">
        <v>790</v>
      </c>
      <c r="C139" s="18" t="s">
        <v>3796</v>
      </c>
      <c r="D139" s="37" t="s">
        <v>507</v>
      </c>
      <c r="E139" s="18" t="s">
        <v>4926</v>
      </c>
      <c r="F139" s="19">
        <v>46141</v>
      </c>
      <c r="G139" s="179">
        <v>4975676.16</v>
      </c>
      <c r="H139" s="37">
        <f t="shared" si="16"/>
        <v>63</v>
      </c>
      <c r="I139" s="37" t="str">
        <f t="shared" si="15"/>
        <v>0-120 DAYS</v>
      </c>
      <c r="J139" s="37" t="str">
        <f t="shared" si="17"/>
        <v>0-180 DAYS</v>
      </c>
      <c r="K139" t="s">
        <v>1730</v>
      </c>
      <c r="M139" s="158" t="s">
        <v>4983</v>
      </c>
      <c r="N139" s="158">
        <v>4975676.16</v>
      </c>
    </row>
    <row r="140" spans="1:14" x14ac:dyDescent="0.35">
      <c r="A140" s="2" t="s">
        <v>1085</v>
      </c>
      <c r="B140" s="2" t="s">
        <v>790</v>
      </c>
      <c r="C140" s="18" t="s">
        <v>814</v>
      </c>
      <c r="D140" s="37" t="s">
        <v>507</v>
      </c>
      <c r="E140" s="18" t="s">
        <v>4927</v>
      </c>
      <c r="F140" s="19">
        <v>46142</v>
      </c>
      <c r="G140" s="179">
        <v>325</v>
      </c>
      <c r="H140" s="37">
        <f t="shared" si="16"/>
        <v>62</v>
      </c>
      <c r="I140" s="37" t="str">
        <f t="shared" si="15"/>
        <v>0-120 DAYS</v>
      </c>
      <c r="J140" s="37" t="str">
        <f t="shared" si="17"/>
        <v>0-180 DAYS</v>
      </c>
      <c r="K140" t="s">
        <v>1730</v>
      </c>
      <c r="M140" s="158" t="s">
        <v>4973</v>
      </c>
      <c r="N140" s="158">
        <v>325</v>
      </c>
    </row>
    <row r="141" spans="1:14" x14ac:dyDescent="0.35">
      <c r="A141" s="2" t="s">
        <v>1085</v>
      </c>
      <c r="B141" s="2" t="s">
        <v>790</v>
      </c>
      <c r="C141" s="18" t="s">
        <v>647</v>
      </c>
      <c r="D141" s="37" t="s">
        <v>507</v>
      </c>
      <c r="E141" s="18" t="s">
        <v>4928</v>
      </c>
      <c r="F141" s="19">
        <v>46118</v>
      </c>
      <c r="G141" s="179">
        <f>-1561975+3138077.25</f>
        <v>1576102.25</v>
      </c>
      <c r="H141" s="37">
        <f t="shared" si="16"/>
        <v>86</v>
      </c>
      <c r="I141" s="37" t="str">
        <f t="shared" si="15"/>
        <v>0-120 DAYS</v>
      </c>
      <c r="J141" s="37" t="str">
        <f t="shared" si="17"/>
        <v>0-180 DAYS</v>
      </c>
      <c r="K141" t="s">
        <v>1730</v>
      </c>
      <c r="M141" s="158" t="s">
        <v>4984</v>
      </c>
      <c r="N141" s="158">
        <v>1576102.25</v>
      </c>
    </row>
    <row r="142" spans="1:14" x14ac:dyDescent="0.35">
      <c r="A142" s="2" t="s">
        <v>1085</v>
      </c>
      <c r="B142" s="2" t="s">
        <v>790</v>
      </c>
      <c r="C142" s="18" t="s">
        <v>538</v>
      </c>
      <c r="D142" s="37" t="s">
        <v>507</v>
      </c>
      <c r="E142" s="18" t="s">
        <v>4929</v>
      </c>
      <c r="F142" s="19">
        <v>46120</v>
      </c>
      <c r="G142" s="179">
        <v>4165012.25</v>
      </c>
      <c r="H142" s="37">
        <f t="shared" si="16"/>
        <v>84</v>
      </c>
      <c r="I142" s="37" t="str">
        <f t="shared" si="15"/>
        <v>0-120 DAYS</v>
      </c>
      <c r="J142" s="37" t="str">
        <f t="shared" si="17"/>
        <v>0-180 DAYS</v>
      </c>
      <c r="K142" t="s">
        <v>1730</v>
      </c>
      <c r="M142" s="158" t="s">
        <v>4985</v>
      </c>
      <c r="N142" s="158">
        <v>4165012.25</v>
      </c>
    </row>
    <row r="143" spans="1:14" x14ac:dyDescent="0.35">
      <c r="A143" s="2" t="s">
        <v>1085</v>
      </c>
      <c r="B143" s="2" t="s">
        <v>790</v>
      </c>
      <c r="C143" s="18" t="s">
        <v>538</v>
      </c>
      <c r="D143" s="37" t="s">
        <v>507</v>
      </c>
      <c r="E143" s="18" t="s">
        <v>4930</v>
      </c>
      <c r="F143" s="19">
        <v>46120</v>
      </c>
      <c r="G143" s="179">
        <v>4516228.08</v>
      </c>
      <c r="H143" s="37">
        <f t="shared" si="16"/>
        <v>84</v>
      </c>
      <c r="I143" s="37" t="str">
        <f t="shared" si="15"/>
        <v>0-120 DAYS</v>
      </c>
      <c r="J143" s="37" t="str">
        <f t="shared" si="17"/>
        <v>0-180 DAYS</v>
      </c>
      <c r="K143" t="s">
        <v>1730</v>
      </c>
      <c r="M143" s="158" t="s">
        <v>4985</v>
      </c>
      <c r="N143" s="158">
        <v>4516228.08</v>
      </c>
    </row>
    <row r="144" spans="1:14" x14ac:dyDescent="0.35">
      <c r="A144" s="2" t="s">
        <v>1085</v>
      </c>
      <c r="B144" s="2" t="s">
        <v>790</v>
      </c>
      <c r="C144" s="18" t="s">
        <v>545</v>
      </c>
      <c r="D144" s="37" t="s">
        <v>507</v>
      </c>
      <c r="E144" s="18" t="s">
        <v>4931</v>
      </c>
      <c r="F144" s="19">
        <v>46120</v>
      </c>
      <c r="G144" s="179">
        <f>-219017+4963977.25</f>
        <v>4744960.25</v>
      </c>
      <c r="H144" s="37">
        <f t="shared" si="16"/>
        <v>84</v>
      </c>
      <c r="I144" s="37" t="str">
        <f t="shared" si="15"/>
        <v>0-120 DAYS</v>
      </c>
      <c r="J144" s="37" t="str">
        <f t="shared" si="17"/>
        <v>0-180 DAYS</v>
      </c>
      <c r="K144" t="s">
        <v>1730</v>
      </c>
      <c r="M144" s="158" t="s">
        <v>4985</v>
      </c>
      <c r="N144" s="158">
        <v>4744960.25</v>
      </c>
    </row>
    <row r="145" spans="1:14" x14ac:dyDescent="0.35">
      <c r="A145" s="2" t="s">
        <v>1085</v>
      </c>
      <c r="B145" s="2" t="s">
        <v>790</v>
      </c>
      <c r="C145" s="18" t="s">
        <v>545</v>
      </c>
      <c r="D145" s="37" t="s">
        <v>507</v>
      </c>
      <c r="E145" s="18" t="s">
        <v>4932</v>
      </c>
      <c r="F145" s="19">
        <v>46122</v>
      </c>
      <c r="G145" s="179">
        <v>4942806.22</v>
      </c>
      <c r="H145" s="37">
        <f t="shared" si="16"/>
        <v>82</v>
      </c>
      <c r="I145" s="37" t="str">
        <f t="shared" si="15"/>
        <v>0-120 DAYS</v>
      </c>
      <c r="J145" s="37" t="str">
        <f t="shared" si="17"/>
        <v>0-180 DAYS</v>
      </c>
      <c r="K145" t="s">
        <v>1730</v>
      </c>
      <c r="M145" s="158" t="s">
        <v>4986</v>
      </c>
      <c r="N145" s="158">
        <v>4942806.22</v>
      </c>
    </row>
    <row r="146" spans="1:14" x14ac:dyDescent="0.35">
      <c r="A146" s="2" t="s">
        <v>1085</v>
      </c>
      <c r="B146" s="2" t="s">
        <v>790</v>
      </c>
      <c r="C146" s="18" t="s">
        <v>650</v>
      </c>
      <c r="D146" s="37" t="s">
        <v>507</v>
      </c>
      <c r="E146" s="18" t="s">
        <v>4933</v>
      </c>
      <c r="F146" s="19">
        <v>46126</v>
      </c>
      <c r="G146" s="179">
        <v>3932167.68</v>
      </c>
      <c r="H146" s="37">
        <f t="shared" si="16"/>
        <v>78</v>
      </c>
      <c r="I146" s="37" t="str">
        <f t="shared" si="15"/>
        <v>0-120 DAYS</v>
      </c>
      <c r="J146" s="37" t="str">
        <f t="shared" si="17"/>
        <v>0-180 DAYS</v>
      </c>
      <c r="K146" t="s">
        <v>1730</v>
      </c>
      <c r="M146" s="158" t="s">
        <v>4975</v>
      </c>
      <c r="N146" s="158">
        <v>3932167.68</v>
      </c>
    </row>
    <row r="147" spans="1:14" x14ac:dyDescent="0.35">
      <c r="A147" s="2" t="s">
        <v>1085</v>
      </c>
      <c r="B147" s="2" t="s">
        <v>790</v>
      </c>
      <c r="C147" s="18" t="s">
        <v>1086</v>
      </c>
      <c r="D147" s="37" t="s">
        <v>507</v>
      </c>
      <c r="E147" s="18" t="s">
        <v>4934</v>
      </c>
      <c r="F147" s="19">
        <v>46128</v>
      </c>
      <c r="G147" s="179">
        <v>3085142.78</v>
      </c>
      <c r="H147" s="37">
        <f t="shared" si="16"/>
        <v>76</v>
      </c>
      <c r="I147" s="37" t="str">
        <f t="shared" si="15"/>
        <v>0-120 DAYS</v>
      </c>
      <c r="J147" s="37" t="str">
        <f t="shared" si="17"/>
        <v>0-180 DAYS</v>
      </c>
      <c r="K147" t="s">
        <v>1730</v>
      </c>
      <c r="M147" s="158" t="s">
        <v>4971</v>
      </c>
      <c r="N147" s="158">
        <v>3085142.78</v>
      </c>
    </row>
    <row r="148" spans="1:14" x14ac:dyDescent="0.35">
      <c r="A148" s="2" t="s">
        <v>1085</v>
      </c>
      <c r="B148" s="2" t="s">
        <v>790</v>
      </c>
      <c r="C148" s="18" t="s">
        <v>538</v>
      </c>
      <c r="D148" s="37" t="s">
        <v>507</v>
      </c>
      <c r="E148" s="18" t="s">
        <v>4935</v>
      </c>
      <c r="F148" s="19">
        <v>46128</v>
      </c>
      <c r="G148" s="179">
        <v>4219077.87</v>
      </c>
      <c r="H148" s="37">
        <f t="shared" si="16"/>
        <v>76</v>
      </c>
      <c r="I148" s="37" t="str">
        <f t="shared" si="15"/>
        <v>0-120 DAYS</v>
      </c>
      <c r="J148" s="37" t="str">
        <f t="shared" si="17"/>
        <v>0-180 DAYS</v>
      </c>
      <c r="K148" t="s">
        <v>1730</v>
      </c>
      <c r="M148" s="158" t="s">
        <v>4971</v>
      </c>
      <c r="N148" s="158">
        <v>4219077.87</v>
      </c>
    </row>
    <row r="149" spans="1:14" x14ac:dyDescent="0.35">
      <c r="A149" s="2" t="s">
        <v>1085</v>
      </c>
      <c r="B149" s="2" t="s">
        <v>790</v>
      </c>
      <c r="C149" s="18" t="s">
        <v>538</v>
      </c>
      <c r="D149" s="37" t="s">
        <v>507</v>
      </c>
      <c r="E149" s="18" t="s">
        <v>4936</v>
      </c>
      <c r="F149" s="19">
        <v>46134</v>
      </c>
      <c r="G149" s="179">
        <v>4545399.78</v>
      </c>
      <c r="H149" s="37">
        <f t="shared" si="16"/>
        <v>70</v>
      </c>
      <c r="I149" s="37" t="str">
        <f t="shared" si="15"/>
        <v>0-120 DAYS</v>
      </c>
      <c r="J149" s="37" t="str">
        <f t="shared" si="17"/>
        <v>0-180 DAYS</v>
      </c>
      <c r="K149" t="s">
        <v>1730</v>
      </c>
      <c r="M149" s="158" t="s">
        <v>4979</v>
      </c>
      <c r="N149" s="158">
        <v>4545399.78</v>
      </c>
    </row>
    <row r="150" spans="1:14" x14ac:dyDescent="0.35">
      <c r="A150" s="2" t="s">
        <v>1085</v>
      </c>
      <c r="B150" s="2" t="s">
        <v>790</v>
      </c>
      <c r="C150" s="18" t="s">
        <v>650</v>
      </c>
      <c r="D150" s="37" t="s">
        <v>507</v>
      </c>
      <c r="E150" s="18" t="s">
        <v>4937</v>
      </c>
      <c r="F150" s="19">
        <v>46137</v>
      </c>
      <c r="G150" s="179">
        <v>4589256.96</v>
      </c>
      <c r="H150" s="37">
        <f t="shared" si="16"/>
        <v>67</v>
      </c>
      <c r="I150" s="37" t="str">
        <f t="shared" si="15"/>
        <v>0-120 DAYS</v>
      </c>
      <c r="J150" s="37" t="str">
        <f t="shared" si="17"/>
        <v>0-180 DAYS</v>
      </c>
      <c r="K150" t="s">
        <v>1730</v>
      </c>
      <c r="M150" s="158" t="s">
        <v>4987</v>
      </c>
      <c r="N150" s="158">
        <v>4589256.96</v>
      </c>
    </row>
    <row r="151" spans="1:14" x14ac:dyDescent="0.35">
      <c r="A151" s="2" t="s">
        <v>1085</v>
      </c>
      <c r="B151" s="2" t="s">
        <v>790</v>
      </c>
      <c r="C151" s="18" t="s">
        <v>538</v>
      </c>
      <c r="D151" s="37" t="s">
        <v>507</v>
      </c>
      <c r="E151" s="18" t="s">
        <v>4938</v>
      </c>
      <c r="F151" s="19">
        <v>46140</v>
      </c>
      <c r="G151" s="179">
        <v>4705862.4000000004</v>
      </c>
      <c r="H151" s="37">
        <f t="shared" si="16"/>
        <v>64</v>
      </c>
      <c r="I151" s="37" t="str">
        <f t="shared" si="15"/>
        <v>0-120 DAYS</v>
      </c>
      <c r="J151" s="37" t="str">
        <f t="shared" si="17"/>
        <v>0-180 DAYS</v>
      </c>
      <c r="K151" t="s">
        <v>1730</v>
      </c>
      <c r="M151" s="158" t="s">
        <v>4982</v>
      </c>
      <c r="N151" s="158">
        <v>4705862.4000000004</v>
      </c>
    </row>
    <row r="152" spans="1:14" x14ac:dyDescent="0.35">
      <c r="A152" s="2" t="s">
        <v>1085</v>
      </c>
      <c r="B152" s="2" t="s">
        <v>790</v>
      </c>
      <c r="C152" s="18" t="s">
        <v>814</v>
      </c>
      <c r="D152" s="37" t="s">
        <v>507</v>
      </c>
      <c r="E152" s="18" t="s">
        <v>4939</v>
      </c>
      <c r="F152" s="19">
        <v>46140</v>
      </c>
      <c r="G152" s="179">
        <v>394345.14</v>
      </c>
      <c r="H152" s="37">
        <f t="shared" si="16"/>
        <v>64</v>
      </c>
      <c r="I152" s="37" t="str">
        <f t="shared" si="15"/>
        <v>0-120 DAYS</v>
      </c>
      <c r="J152" s="37" t="str">
        <f t="shared" si="17"/>
        <v>0-180 DAYS</v>
      </c>
      <c r="K152" t="s">
        <v>1730</v>
      </c>
      <c r="M152" s="158" t="s">
        <v>4982</v>
      </c>
      <c r="N152" s="158">
        <v>394345.14</v>
      </c>
    </row>
    <row r="153" spans="1:14" x14ac:dyDescent="0.35">
      <c r="A153" s="2" t="s">
        <v>1085</v>
      </c>
      <c r="B153" s="2" t="s">
        <v>790</v>
      </c>
      <c r="C153" s="18" t="s">
        <v>1086</v>
      </c>
      <c r="D153" s="37" t="s">
        <v>507</v>
      </c>
      <c r="E153" s="18" t="s">
        <v>4940</v>
      </c>
      <c r="F153" s="19">
        <v>46142</v>
      </c>
      <c r="G153" s="179">
        <v>2394413.38</v>
      </c>
      <c r="H153" s="37">
        <f t="shared" si="16"/>
        <v>62</v>
      </c>
      <c r="I153" s="37" t="str">
        <f t="shared" si="15"/>
        <v>0-120 DAYS</v>
      </c>
      <c r="J153" s="37" t="str">
        <f t="shared" si="17"/>
        <v>0-180 DAYS</v>
      </c>
      <c r="K153" t="s">
        <v>1730</v>
      </c>
      <c r="M153" s="158" t="s">
        <v>4973</v>
      </c>
      <c r="N153" s="158">
        <v>2394413.38</v>
      </c>
    </row>
    <row r="154" spans="1:14" x14ac:dyDescent="0.35">
      <c r="A154" s="2" t="s">
        <v>1085</v>
      </c>
      <c r="B154" s="2" t="s">
        <v>790</v>
      </c>
      <c r="C154" s="18" t="s">
        <v>1086</v>
      </c>
      <c r="D154" s="37" t="s">
        <v>507</v>
      </c>
      <c r="E154" s="18" t="s">
        <v>4941</v>
      </c>
      <c r="F154" s="19">
        <v>46142</v>
      </c>
      <c r="G154" s="179">
        <v>112413.4</v>
      </c>
      <c r="H154" s="37">
        <f t="shared" si="16"/>
        <v>62</v>
      </c>
      <c r="I154" s="37" t="str">
        <f t="shared" si="15"/>
        <v>0-120 DAYS</v>
      </c>
      <c r="J154" s="37" t="str">
        <f t="shared" si="17"/>
        <v>0-180 DAYS</v>
      </c>
      <c r="K154" t="s">
        <v>1730</v>
      </c>
      <c r="M154" s="158" t="s">
        <v>4973</v>
      </c>
      <c r="N154" s="158">
        <v>112413.4</v>
      </c>
    </row>
    <row r="155" spans="1:14" x14ac:dyDescent="0.35">
      <c r="A155" s="2" t="s">
        <v>477</v>
      </c>
      <c r="B155" s="2" t="s">
        <v>790</v>
      </c>
      <c r="C155" s="18" t="s">
        <v>1196</v>
      </c>
      <c r="D155" s="18" t="s">
        <v>1208</v>
      </c>
      <c r="E155" s="18" t="s">
        <v>4945</v>
      </c>
      <c r="F155" s="19">
        <v>46129</v>
      </c>
      <c r="G155" s="179">
        <f>-1366028+2079750</f>
        <v>713722</v>
      </c>
      <c r="H155" s="37">
        <f t="shared" si="16"/>
        <v>75</v>
      </c>
      <c r="I155" s="37" t="str">
        <f t="shared" ref="I155:I162" si="18">IF(H155&lt;91,"1-90 DAYS",IF(H155&lt;121,"91-120DAYS",IF(H155&lt;181,"121-180 DAYS","More than 180 Days")))</f>
        <v>1-90 DAYS</v>
      </c>
      <c r="J155" s="37" t="str">
        <f t="shared" si="17"/>
        <v>0-180 DAYS</v>
      </c>
      <c r="K155" t="s">
        <v>1730</v>
      </c>
      <c r="M155" s="158" t="s">
        <v>4991</v>
      </c>
      <c r="N155" s="158">
        <v>713722</v>
      </c>
    </row>
    <row r="156" spans="1:14" x14ac:dyDescent="0.35">
      <c r="A156" s="2" t="s">
        <v>477</v>
      </c>
      <c r="B156" s="2" t="s">
        <v>790</v>
      </c>
      <c r="C156" s="18" t="s">
        <v>3409</v>
      </c>
      <c r="D156" s="18" t="s">
        <v>3060</v>
      </c>
      <c r="E156" s="18" t="s">
        <v>4946</v>
      </c>
      <c r="F156" s="19">
        <v>46129</v>
      </c>
      <c r="G156" s="179">
        <v>60793.599999999999</v>
      </c>
      <c r="H156" s="37">
        <f t="shared" si="16"/>
        <v>75</v>
      </c>
      <c r="I156" s="37" t="str">
        <f t="shared" si="18"/>
        <v>1-90 DAYS</v>
      </c>
      <c r="J156" s="37" t="str">
        <f t="shared" si="17"/>
        <v>0-180 DAYS</v>
      </c>
      <c r="K156" t="s">
        <v>1730</v>
      </c>
      <c r="M156" s="158" t="s">
        <v>4991</v>
      </c>
      <c r="N156" s="158">
        <v>60793.599999999999</v>
      </c>
    </row>
    <row r="157" spans="1:14" x14ac:dyDescent="0.35">
      <c r="A157" s="2" t="s">
        <v>477</v>
      </c>
      <c r="B157" s="2" t="s">
        <v>790</v>
      </c>
      <c r="C157" s="18" t="s">
        <v>263</v>
      </c>
      <c r="D157" s="18" t="s">
        <v>264</v>
      </c>
      <c r="E157" s="18" t="s">
        <v>4947</v>
      </c>
      <c r="F157" s="19">
        <v>46114</v>
      </c>
      <c r="G157" s="179">
        <v>1106497.8</v>
      </c>
      <c r="H157" s="37">
        <f t="shared" si="16"/>
        <v>90</v>
      </c>
      <c r="I157" s="37" t="str">
        <f t="shared" si="18"/>
        <v>1-90 DAYS</v>
      </c>
      <c r="J157" s="37" t="str">
        <f t="shared" si="17"/>
        <v>0-180 DAYS</v>
      </c>
      <c r="K157" t="s">
        <v>1730</v>
      </c>
      <c r="M157" s="158" t="s">
        <v>4988</v>
      </c>
      <c r="N157" s="158">
        <v>1106497.8</v>
      </c>
    </row>
    <row r="158" spans="1:14" x14ac:dyDescent="0.35">
      <c r="A158" s="2" t="s">
        <v>477</v>
      </c>
      <c r="B158" s="2" t="s">
        <v>790</v>
      </c>
      <c r="C158" s="18" t="s">
        <v>263</v>
      </c>
      <c r="D158" s="18" t="s">
        <v>264</v>
      </c>
      <c r="E158" s="18" t="s">
        <v>4948</v>
      </c>
      <c r="F158" s="19">
        <v>46114</v>
      </c>
      <c r="G158" s="179">
        <v>166103.88</v>
      </c>
      <c r="H158" s="37">
        <f t="shared" si="16"/>
        <v>90</v>
      </c>
      <c r="I158" s="37" t="str">
        <f t="shared" si="18"/>
        <v>1-90 DAYS</v>
      </c>
      <c r="J158" s="37" t="str">
        <f t="shared" si="17"/>
        <v>0-180 DAYS</v>
      </c>
      <c r="K158" t="s">
        <v>1730</v>
      </c>
      <c r="M158" s="158" t="s">
        <v>4988</v>
      </c>
      <c r="N158" s="158">
        <v>166103.88</v>
      </c>
    </row>
    <row r="159" spans="1:14" x14ac:dyDescent="0.35">
      <c r="A159" s="2" t="s">
        <v>477</v>
      </c>
      <c r="B159" s="2" t="s">
        <v>790</v>
      </c>
      <c r="C159" s="18" t="s">
        <v>4745</v>
      </c>
      <c r="D159" s="18" t="s">
        <v>4751</v>
      </c>
      <c r="E159" s="18" t="s">
        <v>4949</v>
      </c>
      <c r="F159" s="19">
        <v>46120</v>
      </c>
      <c r="G159" s="179">
        <v>95325.119999999995</v>
      </c>
      <c r="H159" s="37">
        <f t="shared" si="16"/>
        <v>84</v>
      </c>
      <c r="I159" s="37" t="str">
        <f t="shared" si="18"/>
        <v>1-90 DAYS</v>
      </c>
      <c r="J159" s="37" t="str">
        <f t="shared" si="17"/>
        <v>0-180 DAYS</v>
      </c>
      <c r="K159" t="s">
        <v>1730</v>
      </c>
      <c r="M159" s="158" t="s">
        <v>4985</v>
      </c>
      <c r="N159" s="158">
        <v>95325.119999999995</v>
      </c>
    </row>
    <row r="160" spans="1:14" x14ac:dyDescent="0.35">
      <c r="A160" s="2" t="s">
        <v>477</v>
      </c>
      <c r="B160" s="2" t="s">
        <v>790</v>
      </c>
      <c r="C160" s="18" t="s">
        <v>4745</v>
      </c>
      <c r="D160" s="18" t="s">
        <v>4751</v>
      </c>
      <c r="E160" s="18" t="s">
        <v>4950</v>
      </c>
      <c r="F160" s="19">
        <v>46129</v>
      </c>
      <c r="G160" s="179">
        <v>74502.84</v>
      </c>
      <c r="H160" s="37">
        <f t="shared" si="16"/>
        <v>75</v>
      </c>
      <c r="I160" s="37" t="str">
        <f t="shared" si="18"/>
        <v>1-90 DAYS</v>
      </c>
      <c r="J160" s="37" t="str">
        <f t="shared" si="17"/>
        <v>0-180 DAYS</v>
      </c>
      <c r="K160" t="s">
        <v>1730</v>
      </c>
      <c r="M160" s="158" t="s">
        <v>4991</v>
      </c>
      <c r="N160" s="158">
        <v>74502.84</v>
      </c>
    </row>
    <row r="161" spans="1:14" x14ac:dyDescent="0.35">
      <c r="A161" s="88" t="s">
        <v>477</v>
      </c>
      <c r="B161" s="88" t="s">
        <v>790</v>
      </c>
      <c r="C161" t="s">
        <v>1838</v>
      </c>
      <c r="D161" t="s">
        <v>2001</v>
      </c>
      <c r="E161" t="s">
        <v>1544</v>
      </c>
      <c r="F161" s="35">
        <v>46144</v>
      </c>
      <c r="G161" s="47">
        <v>884518.56</v>
      </c>
      <c r="H161" s="37">
        <f t="shared" si="16"/>
        <v>60</v>
      </c>
      <c r="I161" s="37" t="str">
        <f t="shared" si="18"/>
        <v>1-90 DAYS</v>
      </c>
      <c r="J161" s="37" t="str">
        <f t="shared" si="17"/>
        <v>0-180 DAYS</v>
      </c>
      <c r="K161" t="s">
        <v>1730</v>
      </c>
      <c r="M161" s="158" t="s">
        <v>5197</v>
      </c>
      <c r="N161" s="158">
        <v>884518.56</v>
      </c>
    </row>
    <row r="162" spans="1:14" x14ac:dyDescent="0.35">
      <c r="A162" s="88" t="s">
        <v>477</v>
      </c>
      <c r="B162" s="88" t="s">
        <v>790</v>
      </c>
      <c r="C162" t="s">
        <v>1196</v>
      </c>
      <c r="D162" t="s">
        <v>1208</v>
      </c>
      <c r="E162" t="s">
        <v>1565</v>
      </c>
      <c r="F162" s="35">
        <v>46146</v>
      </c>
      <c r="G162" s="47">
        <v>2350560</v>
      </c>
      <c r="H162" s="37">
        <f t="shared" si="16"/>
        <v>58</v>
      </c>
      <c r="I162" s="37" t="str">
        <f t="shared" si="18"/>
        <v>1-90 DAYS</v>
      </c>
      <c r="J162" s="37" t="str">
        <f t="shared" si="17"/>
        <v>0-180 DAYS</v>
      </c>
      <c r="K162" t="s">
        <v>1730</v>
      </c>
      <c r="M162" s="158" t="s">
        <v>5198</v>
      </c>
      <c r="N162" s="158">
        <v>2350560</v>
      </c>
    </row>
    <row r="163" spans="1:14" x14ac:dyDescent="0.35">
      <c r="A163" s="88" t="s">
        <v>1085</v>
      </c>
      <c r="B163" s="88" t="s">
        <v>790</v>
      </c>
      <c r="C163" t="s">
        <v>538</v>
      </c>
      <c r="D163" s="37" t="s">
        <v>507</v>
      </c>
      <c r="E163" t="s">
        <v>5016</v>
      </c>
      <c r="F163" s="35">
        <v>46148</v>
      </c>
      <c r="G163" s="47">
        <v>4528872</v>
      </c>
      <c r="H163" s="37">
        <f t="shared" si="16"/>
        <v>56</v>
      </c>
      <c r="I163" s="37" t="str">
        <f t="shared" ref="I163:I172" si="19">IF(H163&lt;121,"0-120 DAYS",IF(H163&lt;181,"121-180 DAYS","More than 180 Days"))</f>
        <v>0-120 DAYS</v>
      </c>
      <c r="J163" s="37" t="str">
        <f t="shared" si="17"/>
        <v>0-180 DAYS</v>
      </c>
      <c r="K163" t="s">
        <v>1730</v>
      </c>
      <c r="M163" s="158" t="s">
        <v>5199</v>
      </c>
      <c r="N163" s="158">
        <v>4528872</v>
      </c>
    </row>
    <row r="164" spans="1:14" x14ac:dyDescent="0.35">
      <c r="A164" s="88" t="s">
        <v>1085</v>
      </c>
      <c r="B164" s="88" t="s">
        <v>790</v>
      </c>
      <c r="C164" t="s">
        <v>536</v>
      </c>
      <c r="D164" s="37" t="s">
        <v>507</v>
      </c>
      <c r="E164" t="s">
        <v>5017</v>
      </c>
      <c r="F164" s="35">
        <v>46149</v>
      </c>
      <c r="G164" s="47">
        <v>4039064.64</v>
      </c>
      <c r="H164" s="37">
        <f t="shared" si="16"/>
        <v>55</v>
      </c>
      <c r="I164" s="37" t="str">
        <f t="shared" si="19"/>
        <v>0-120 DAYS</v>
      </c>
      <c r="J164" s="37" t="str">
        <f t="shared" si="17"/>
        <v>0-180 DAYS</v>
      </c>
      <c r="K164" t="s">
        <v>1730</v>
      </c>
      <c r="M164" s="158" t="s">
        <v>5200</v>
      </c>
      <c r="N164" s="158">
        <v>4039064.64</v>
      </c>
    </row>
    <row r="165" spans="1:14" x14ac:dyDescent="0.35">
      <c r="A165" s="88" t="s">
        <v>477</v>
      </c>
      <c r="B165" s="88" t="s">
        <v>790</v>
      </c>
      <c r="C165" t="s">
        <v>4780</v>
      </c>
      <c r="D165" t="s">
        <v>4783</v>
      </c>
      <c r="E165" t="s">
        <v>5018</v>
      </c>
      <c r="F165" s="35">
        <v>46150</v>
      </c>
      <c r="G165" s="47">
        <v>193911.66</v>
      </c>
      <c r="H165" s="37">
        <f t="shared" si="16"/>
        <v>54</v>
      </c>
      <c r="I165" s="37" t="str">
        <f t="shared" ref="I165" si="20">IF(H165&lt;91,"1-90 DAYS",IF(H165&lt;121,"91-120DAYS",IF(H165&lt;181,"121-180 DAYS","More than 180 Days")))</f>
        <v>1-90 DAYS</v>
      </c>
      <c r="J165" s="37" t="str">
        <f t="shared" si="17"/>
        <v>0-180 DAYS</v>
      </c>
      <c r="K165" t="s">
        <v>1730</v>
      </c>
      <c r="M165" s="158" t="s">
        <v>5201</v>
      </c>
      <c r="N165" s="158">
        <v>193911.66</v>
      </c>
    </row>
    <row r="166" spans="1:14" x14ac:dyDescent="0.35">
      <c r="A166" s="88" t="s">
        <v>1085</v>
      </c>
      <c r="B166" s="88" t="s">
        <v>790</v>
      </c>
      <c r="C166" t="s">
        <v>814</v>
      </c>
      <c r="D166" t="s">
        <v>5019</v>
      </c>
      <c r="E166" t="s">
        <v>5020</v>
      </c>
      <c r="F166" s="35">
        <v>46150</v>
      </c>
      <c r="G166" s="47">
        <v>5775</v>
      </c>
      <c r="H166" s="37">
        <f t="shared" si="16"/>
        <v>54</v>
      </c>
      <c r="I166" s="37" t="str">
        <f t="shared" si="19"/>
        <v>0-120 DAYS</v>
      </c>
      <c r="J166" s="37" t="str">
        <f t="shared" si="17"/>
        <v>0-180 DAYS</v>
      </c>
      <c r="K166" t="s">
        <v>1730</v>
      </c>
      <c r="M166" s="158" t="s">
        <v>5201</v>
      </c>
      <c r="N166" s="158">
        <v>5775</v>
      </c>
    </row>
    <row r="167" spans="1:14" x14ac:dyDescent="0.35">
      <c r="A167" s="88" t="s">
        <v>1085</v>
      </c>
      <c r="B167" s="88" t="s">
        <v>790</v>
      </c>
      <c r="C167" t="s">
        <v>1055</v>
      </c>
      <c r="D167" s="37" t="s">
        <v>507</v>
      </c>
      <c r="E167" t="s">
        <v>5021</v>
      </c>
      <c r="F167" s="35">
        <v>46152</v>
      </c>
      <c r="G167" s="47">
        <v>4741419.38</v>
      </c>
      <c r="H167" s="37">
        <f t="shared" si="16"/>
        <v>52</v>
      </c>
      <c r="I167" s="37" t="str">
        <f t="shared" si="19"/>
        <v>0-120 DAYS</v>
      </c>
      <c r="J167" s="37" t="str">
        <f t="shared" si="17"/>
        <v>0-180 DAYS</v>
      </c>
      <c r="K167" t="s">
        <v>1730</v>
      </c>
      <c r="M167" s="158" t="s">
        <v>5202</v>
      </c>
      <c r="N167" s="158">
        <v>4741419.38</v>
      </c>
    </row>
    <row r="168" spans="1:14" x14ac:dyDescent="0.35">
      <c r="A168" s="88" t="s">
        <v>1085</v>
      </c>
      <c r="B168" s="88" t="s">
        <v>790</v>
      </c>
      <c r="C168" t="s">
        <v>631</v>
      </c>
      <c r="D168" s="37" t="s">
        <v>507</v>
      </c>
      <c r="E168" t="s">
        <v>5022</v>
      </c>
      <c r="F168" s="35">
        <v>46153</v>
      </c>
      <c r="G168" s="47">
        <v>4522980</v>
      </c>
      <c r="H168" s="37">
        <f t="shared" si="16"/>
        <v>51</v>
      </c>
      <c r="I168" s="37" t="str">
        <f t="shared" si="19"/>
        <v>0-120 DAYS</v>
      </c>
      <c r="J168" s="37" t="str">
        <f t="shared" si="17"/>
        <v>0-180 DAYS</v>
      </c>
      <c r="K168" t="s">
        <v>1730</v>
      </c>
      <c r="M168" s="158" t="s">
        <v>5203</v>
      </c>
      <c r="N168" s="158">
        <v>4522980</v>
      </c>
    </row>
    <row r="169" spans="1:14" x14ac:dyDescent="0.35">
      <c r="A169" s="88" t="s">
        <v>477</v>
      </c>
      <c r="B169" s="88" t="s">
        <v>790</v>
      </c>
      <c r="C169" t="s">
        <v>4780</v>
      </c>
      <c r="D169" t="s">
        <v>4783</v>
      </c>
      <c r="E169" t="s">
        <v>1852</v>
      </c>
      <c r="F169" s="35">
        <v>46154</v>
      </c>
      <c r="G169" s="47">
        <v>158025.98000000001</v>
      </c>
      <c r="H169" s="37">
        <f t="shared" si="16"/>
        <v>50</v>
      </c>
      <c r="I169" s="37" t="str">
        <f t="shared" ref="I169" si="21">IF(H169&lt;91,"1-90 DAYS",IF(H169&lt;121,"91-120DAYS",IF(H169&lt;181,"121-180 DAYS","More than 180 Days")))</f>
        <v>1-90 DAYS</v>
      </c>
      <c r="J169" s="37" t="str">
        <f t="shared" si="17"/>
        <v>0-180 DAYS</v>
      </c>
      <c r="K169" t="s">
        <v>1730</v>
      </c>
      <c r="M169" s="158" t="s">
        <v>5204</v>
      </c>
      <c r="N169" s="158">
        <v>158025.98000000001</v>
      </c>
    </row>
    <row r="170" spans="1:14" x14ac:dyDescent="0.35">
      <c r="A170" s="88" t="s">
        <v>1085</v>
      </c>
      <c r="B170" s="88" t="s">
        <v>790</v>
      </c>
      <c r="C170" t="s">
        <v>1086</v>
      </c>
      <c r="D170" s="37" t="s">
        <v>507</v>
      </c>
      <c r="E170" t="s">
        <v>5023</v>
      </c>
      <c r="F170" s="35">
        <v>46155</v>
      </c>
      <c r="G170" s="47">
        <v>1116455.56</v>
      </c>
      <c r="H170" s="37">
        <f t="shared" si="16"/>
        <v>49</v>
      </c>
      <c r="I170" s="37" t="str">
        <f t="shared" si="19"/>
        <v>0-120 DAYS</v>
      </c>
      <c r="J170" s="37" t="str">
        <f t="shared" si="17"/>
        <v>0-180 DAYS</v>
      </c>
      <c r="K170" t="s">
        <v>1730</v>
      </c>
      <c r="M170" s="158" t="s">
        <v>5205</v>
      </c>
      <c r="N170" s="158">
        <v>1116455.56</v>
      </c>
    </row>
    <row r="171" spans="1:14" x14ac:dyDescent="0.35">
      <c r="A171" s="88" t="s">
        <v>1085</v>
      </c>
      <c r="B171" s="88" t="s">
        <v>790</v>
      </c>
      <c r="C171" t="s">
        <v>1086</v>
      </c>
      <c r="D171" s="37" t="s">
        <v>507</v>
      </c>
      <c r="E171" t="s">
        <v>5024</v>
      </c>
      <c r="F171" s="35">
        <v>46155</v>
      </c>
      <c r="G171" s="47">
        <v>856138.44</v>
      </c>
      <c r="H171" s="37">
        <f t="shared" si="16"/>
        <v>49</v>
      </c>
      <c r="I171" s="37" t="str">
        <f t="shared" si="19"/>
        <v>0-120 DAYS</v>
      </c>
      <c r="J171" s="37" t="str">
        <f t="shared" si="17"/>
        <v>0-180 DAYS</v>
      </c>
      <c r="K171" t="s">
        <v>1730</v>
      </c>
      <c r="M171" s="158" t="s">
        <v>5205</v>
      </c>
      <c r="N171" s="158">
        <v>856138.44</v>
      </c>
    </row>
    <row r="172" spans="1:14" x14ac:dyDescent="0.35">
      <c r="A172" s="88" t="s">
        <v>1085</v>
      </c>
      <c r="B172" s="88" t="s">
        <v>790</v>
      </c>
      <c r="C172" t="s">
        <v>1086</v>
      </c>
      <c r="D172" s="37" t="s">
        <v>507</v>
      </c>
      <c r="E172" t="s">
        <v>5025</v>
      </c>
      <c r="F172" s="35">
        <v>46155</v>
      </c>
      <c r="G172" s="47">
        <v>942012.45</v>
      </c>
      <c r="H172" s="37">
        <f t="shared" si="16"/>
        <v>49</v>
      </c>
      <c r="I172" s="37" t="str">
        <f t="shared" si="19"/>
        <v>0-120 DAYS</v>
      </c>
      <c r="J172" s="37" t="str">
        <f t="shared" si="17"/>
        <v>0-180 DAYS</v>
      </c>
      <c r="K172" t="s">
        <v>1730</v>
      </c>
      <c r="M172" s="158" t="s">
        <v>5205</v>
      </c>
      <c r="N172" s="158">
        <v>942012.45</v>
      </c>
    </row>
    <row r="173" spans="1:14" x14ac:dyDescent="0.35">
      <c r="A173" s="88" t="s">
        <v>477</v>
      </c>
      <c r="B173" s="88" t="s">
        <v>790</v>
      </c>
      <c r="C173" t="s">
        <v>4780</v>
      </c>
      <c r="D173" t="s">
        <v>4783</v>
      </c>
      <c r="E173" t="s">
        <v>1869</v>
      </c>
      <c r="F173" s="35">
        <v>46157</v>
      </c>
      <c r="G173" s="47">
        <v>218513.33</v>
      </c>
      <c r="H173" s="37">
        <f t="shared" si="16"/>
        <v>47</v>
      </c>
      <c r="I173" s="37" t="str">
        <f t="shared" ref="I173" si="22">IF(H173&lt;91,"1-90 DAYS",IF(H173&lt;121,"91-120DAYS",IF(H173&lt;181,"121-180 DAYS","More than 180 Days")))</f>
        <v>1-90 DAYS</v>
      </c>
      <c r="J173" s="37" t="str">
        <f t="shared" si="17"/>
        <v>0-180 DAYS</v>
      </c>
      <c r="K173" t="s">
        <v>1730</v>
      </c>
      <c r="M173" s="158" t="s">
        <v>5206</v>
      </c>
      <c r="N173" s="158">
        <v>218513.33</v>
      </c>
    </row>
    <row r="174" spans="1:14" x14ac:dyDescent="0.35">
      <c r="A174" s="88" t="s">
        <v>4333</v>
      </c>
      <c r="B174" s="88" t="s">
        <v>789</v>
      </c>
      <c r="C174" t="s">
        <v>125</v>
      </c>
      <c r="D174" t="s">
        <v>57</v>
      </c>
      <c r="E174" t="s">
        <v>1872</v>
      </c>
      <c r="F174" s="35">
        <v>46157</v>
      </c>
      <c r="G174" s="47">
        <f>-7779+853231.05</f>
        <v>845452.05</v>
      </c>
      <c r="H174" s="37">
        <f t="shared" si="16"/>
        <v>47</v>
      </c>
      <c r="I174" s="37" t="s">
        <v>481</v>
      </c>
      <c r="J174" s="37" t="str">
        <f t="shared" si="17"/>
        <v>0-180 DAYS</v>
      </c>
      <c r="M174" s="158" t="s">
        <v>5206</v>
      </c>
      <c r="N174" s="158">
        <v>845452.05</v>
      </c>
    </row>
    <row r="175" spans="1:14" x14ac:dyDescent="0.35">
      <c r="A175" s="88" t="s">
        <v>4333</v>
      </c>
      <c r="B175" s="88" t="s">
        <v>789</v>
      </c>
      <c r="C175" t="s">
        <v>125</v>
      </c>
      <c r="D175" t="s">
        <v>57</v>
      </c>
      <c r="E175" t="s">
        <v>5026</v>
      </c>
      <c r="F175" s="35">
        <v>46158</v>
      </c>
      <c r="G175" s="47">
        <v>1131.8</v>
      </c>
      <c r="H175" s="37">
        <f t="shared" si="16"/>
        <v>46</v>
      </c>
      <c r="I175" s="37" t="s">
        <v>481</v>
      </c>
      <c r="J175" s="37" t="str">
        <f t="shared" si="17"/>
        <v>0-180 DAYS</v>
      </c>
      <c r="M175" s="158" t="s">
        <v>5207</v>
      </c>
      <c r="N175" s="158">
        <v>1131.8</v>
      </c>
    </row>
    <row r="176" spans="1:14" x14ac:dyDescent="0.35">
      <c r="A176" s="88" t="s">
        <v>4333</v>
      </c>
      <c r="B176" s="88" t="s">
        <v>789</v>
      </c>
      <c r="C176" t="s">
        <v>125</v>
      </c>
      <c r="D176" t="s">
        <v>57</v>
      </c>
      <c r="E176" t="s">
        <v>5027</v>
      </c>
      <c r="F176" s="35">
        <v>46158</v>
      </c>
      <c r="G176" s="47">
        <v>224632.34</v>
      </c>
      <c r="H176" s="37">
        <f t="shared" si="16"/>
        <v>46</v>
      </c>
      <c r="I176" s="37" t="s">
        <v>481</v>
      </c>
      <c r="J176" s="37" t="str">
        <f t="shared" si="17"/>
        <v>0-180 DAYS</v>
      </c>
      <c r="M176" s="158" t="s">
        <v>5207</v>
      </c>
      <c r="N176" s="158">
        <v>224632.34</v>
      </c>
    </row>
    <row r="177" spans="1:14" x14ac:dyDescent="0.35">
      <c r="A177" s="88" t="s">
        <v>4333</v>
      </c>
      <c r="B177" s="88" t="s">
        <v>789</v>
      </c>
      <c r="C177" t="s">
        <v>125</v>
      </c>
      <c r="D177" t="s">
        <v>57</v>
      </c>
      <c r="E177" t="s">
        <v>1879</v>
      </c>
      <c r="F177" s="35">
        <v>46158</v>
      </c>
      <c r="G177" s="47">
        <v>31610</v>
      </c>
      <c r="H177" s="37">
        <f t="shared" si="16"/>
        <v>46</v>
      </c>
      <c r="I177" s="37" t="s">
        <v>481</v>
      </c>
      <c r="J177" s="37" t="str">
        <f t="shared" si="17"/>
        <v>0-180 DAYS</v>
      </c>
      <c r="M177" s="158" t="s">
        <v>5207</v>
      </c>
      <c r="N177" s="158">
        <v>31610</v>
      </c>
    </row>
    <row r="178" spans="1:14" x14ac:dyDescent="0.35">
      <c r="A178" s="88" t="s">
        <v>4333</v>
      </c>
      <c r="B178" s="88" t="s">
        <v>789</v>
      </c>
      <c r="C178" t="s">
        <v>125</v>
      </c>
      <c r="D178" t="s">
        <v>57</v>
      </c>
      <c r="E178" t="s">
        <v>1880</v>
      </c>
      <c r="F178" s="35">
        <v>46159</v>
      </c>
      <c r="G178" s="47">
        <v>256825.68</v>
      </c>
      <c r="H178" s="37">
        <f t="shared" si="16"/>
        <v>45</v>
      </c>
      <c r="I178" s="37" t="s">
        <v>481</v>
      </c>
      <c r="J178" s="37" t="str">
        <f t="shared" si="17"/>
        <v>0-180 DAYS</v>
      </c>
      <c r="M178" s="158" t="s">
        <v>5208</v>
      </c>
      <c r="N178" s="158">
        <v>256825.68</v>
      </c>
    </row>
    <row r="179" spans="1:14" x14ac:dyDescent="0.35">
      <c r="A179" s="88" t="s">
        <v>477</v>
      </c>
      <c r="B179" s="88" t="s">
        <v>790</v>
      </c>
      <c r="C179" t="s">
        <v>4780</v>
      </c>
      <c r="D179" t="s">
        <v>4783</v>
      </c>
      <c r="E179" t="s">
        <v>5028</v>
      </c>
      <c r="F179" s="35">
        <v>46160</v>
      </c>
      <c r="G179" s="47">
        <v>192335.07</v>
      </c>
      <c r="H179" s="37">
        <f t="shared" si="16"/>
        <v>44</v>
      </c>
      <c r="I179" s="37" t="str">
        <f t="shared" ref="I179" si="23">IF(H179&lt;91,"1-90 DAYS",IF(H179&lt;121,"91-120DAYS",IF(H179&lt;181,"121-180 DAYS","More than 180 Days")))</f>
        <v>1-90 DAYS</v>
      </c>
      <c r="J179" s="37" t="str">
        <f t="shared" si="17"/>
        <v>0-180 DAYS</v>
      </c>
      <c r="K179" t="s">
        <v>1730</v>
      </c>
      <c r="M179" s="158" t="s">
        <v>5209</v>
      </c>
      <c r="N179" s="158">
        <v>192335.07</v>
      </c>
    </row>
    <row r="180" spans="1:14" x14ac:dyDescent="0.35">
      <c r="A180" s="88" t="s">
        <v>4333</v>
      </c>
      <c r="B180" s="88" t="s">
        <v>789</v>
      </c>
      <c r="C180" t="s">
        <v>125</v>
      </c>
      <c r="D180" t="s">
        <v>57</v>
      </c>
      <c r="E180" t="s">
        <v>1885</v>
      </c>
      <c r="F180" s="35">
        <v>46160</v>
      </c>
      <c r="G180" s="47">
        <v>2263.6</v>
      </c>
      <c r="H180" s="37">
        <f t="shared" si="16"/>
        <v>44</v>
      </c>
      <c r="I180" s="37" t="s">
        <v>481</v>
      </c>
      <c r="J180" s="37" t="str">
        <f t="shared" si="17"/>
        <v>0-180 DAYS</v>
      </c>
      <c r="M180" s="158" t="s">
        <v>5209</v>
      </c>
      <c r="N180" s="158">
        <v>2263.6</v>
      </c>
    </row>
    <row r="181" spans="1:14" x14ac:dyDescent="0.35">
      <c r="A181" s="88" t="s">
        <v>4333</v>
      </c>
      <c r="B181" s="88" t="s">
        <v>789</v>
      </c>
      <c r="C181" t="s">
        <v>125</v>
      </c>
      <c r="D181" t="s">
        <v>57</v>
      </c>
      <c r="E181" t="s">
        <v>1886</v>
      </c>
      <c r="F181" s="35">
        <v>46160</v>
      </c>
      <c r="G181" s="47">
        <v>342387.41</v>
      </c>
      <c r="H181" s="37">
        <f t="shared" si="16"/>
        <v>44</v>
      </c>
      <c r="I181" s="37" t="s">
        <v>481</v>
      </c>
      <c r="J181" s="37" t="str">
        <f t="shared" si="17"/>
        <v>0-180 DAYS</v>
      </c>
      <c r="M181" s="158" t="s">
        <v>5209</v>
      </c>
      <c r="N181" s="158">
        <v>342387.41</v>
      </c>
    </row>
    <row r="182" spans="1:14" x14ac:dyDescent="0.35">
      <c r="A182" s="88" t="s">
        <v>4333</v>
      </c>
      <c r="B182" s="88" t="s">
        <v>789</v>
      </c>
      <c r="C182" t="s">
        <v>125</v>
      </c>
      <c r="D182" t="s">
        <v>57</v>
      </c>
      <c r="E182" t="s">
        <v>5029</v>
      </c>
      <c r="F182" s="35">
        <v>46161</v>
      </c>
      <c r="G182" s="47">
        <v>1906346.98</v>
      </c>
      <c r="H182" s="37">
        <f t="shared" si="16"/>
        <v>43</v>
      </c>
      <c r="I182" s="37" t="s">
        <v>481</v>
      </c>
      <c r="J182" s="37" t="str">
        <f t="shared" si="17"/>
        <v>0-180 DAYS</v>
      </c>
      <c r="M182" s="158" t="s">
        <v>5210</v>
      </c>
      <c r="N182" s="158">
        <v>1906346.98</v>
      </c>
    </row>
    <row r="183" spans="1:14" x14ac:dyDescent="0.35">
      <c r="A183" s="88" t="s">
        <v>4333</v>
      </c>
      <c r="B183" s="88" t="s">
        <v>789</v>
      </c>
      <c r="C183" t="s">
        <v>125</v>
      </c>
      <c r="D183" t="s">
        <v>57</v>
      </c>
      <c r="E183" t="s">
        <v>5030</v>
      </c>
      <c r="F183" s="35">
        <v>46161</v>
      </c>
      <c r="G183" s="47">
        <v>21750.02</v>
      </c>
      <c r="H183" s="37">
        <f t="shared" si="16"/>
        <v>43</v>
      </c>
      <c r="I183" s="37" t="s">
        <v>481</v>
      </c>
      <c r="J183" s="37" t="str">
        <f t="shared" si="17"/>
        <v>0-180 DAYS</v>
      </c>
      <c r="M183" s="158" t="s">
        <v>5210</v>
      </c>
      <c r="N183" s="158">
        <v>21750.02</v>
      </c>
    </row>
    <row r="184" spans="1:14" x14ac:dyDescent="0.35">
      <c r="A184" s="88" t="s">
        <v>4333</v>
      </c>
      <c r="B184" s="88" t="s">
        <v>789</v>
      </c>
      <c r="C184" t="s">
        <v>125</v>
      </c>
      <c r="D184" t="s">
        <v>57</v>
      </c>
      <c r="E184" t="s">
        <v>1890</v>
      </c>
      <c r="F184" s="35">
        <v>46161</v>
      </c>
      <c r="G184" s="47">
        <v>48140</v>
      </c>
      <c r="H184" s="37">
        <f t="shared" si="16"/>
        <v>43</v>
      </c>
      <c r="I184" s="37" t="s">
        <v>481</v>
      </c>
      <c r="J184" s="37" t="str">
        <f t="shared" si="17"/>
        <v>0-180 DAYS</v>
      </c>
      <c r="M184" s="158" t="s">
        <v>5210</v>
      </c>
      <c r="N184" s="158">
        <v>48140</v>
      </c>
    </row>
    <row r="185" spans="1:14" x14ac:dyDescent="0.35">
      <c r="A185" s="88" t="s">
        <v>477</v>
      </c>
      <c r="B185" s="88" t="s">
        <v>790</v>
      </c>
      <c r="C185" t="s">
        <v>4943</v>
      </c>
      <c r="D185" t="s">
        <v>4952</v>
      </c>
      <c r="E185" t="s">
        <v>1898</v>
      </c>
      <c r="F185" s="35">
        <v>46162</v>
      </c>
      <c r="G185" s="47">
        <v>2544450</v>
      </c>
      <c r="H185" s="37">
        <f t="shared" si="16"/>
        <v>42</v>
      </c>
      <c r="I185" s="37" t="str">
        <f t="shared" ref="I185" si="24">IF(H185&lt;91,"1-90 DAYS",IF(H185&lt;121,"91-120DAYS",IF(H185&lt;181,"121-180 DAYS","More than 180 Days")))</f>
        <v>1-90 DAYS</v>
      </c>
      <c r="J185" s="37" t="str">
        <f t="shared" si="17"/>
        <v>0-180 DAYS</v>
      </c>
      <c r="K185" t="s">
        <v>1730</v>
      </c>
      <c r="M185" s="158" t="s">
        <v>5211</v>
      </c>
      <c r="N185" s="158">
        <v>2544450</v>
      </c>
    </row>
    <row r="186" spans="1:14" x14ac:dyDescent="0.35">
      <c r="A186" s="88" t="s">
        <v>4333</v>
      </c>
      <c r="B186" s="88" t="s">
        <v>789</v>
      </c>
      <c r="C186" t="s">
        <v>125</v>
      </c>
      <c r="D186" t="s">
        <v>57</v>
      </c>
      <c r="E186" t="s">
        <v>5031</v>
      </c>
      <c r="F186" s="35">
        <v>46162</v>
      </c>
      <c r="G186" s="47">
        <v>66363.62</v>
      </c>
      <c r="H186" s="37">
        <f t="shared" si="16"/>
        <v>42</v>
      </c>
      <c r="I186" s="37" t="s">
        <v>481</v>
      </c>
      <c r="J186" s="37" t="str">
        <f t="shared" si="17"/>
        <v>0-180 DAYS</v>
      </c>
      <c r="M186" s="158" t="s">
        <v>5211</v>
      </c>
      <c r="N186" s="158">
        <v>66363.62</v>
      </c>
    </row>
    <row r="187" spans="1:14" x14ac:dyDescent="0.35">
      <c r="A187" s="88" t="s">
        <v>4333</v>
      </c>
      <c r="B187" s="88" t="s">
        <v>789</v>
      </c>
      <c r="C187" t="s">
        <v>125</v>
      </c>
      <c r="D187" t="s">
        <v>57</v>
      </c>
      <c r="E187" t="s">
        <v>1899</v>
      </c>
      <c r="F187" s="35">
        <v>46162</v>
      </c>
      <c r="G187" s="47">
        <v>2263.6</v>
      </c>
      <c r="H187" s="37">
        <f t="shared" si="16"/>
        <v>42</v>
      </c>
      <c r="I187" s="37" t="s">
        <v>481</v>
      </c>
      <c r="J187" s="37" t="str">
        <f t="shared" si="17"/>
        <v>0-180 DAYS</v>
      </c>
      <c r="M187" s="158" t="s">
        <v>5211</v>
      </c>
      <c r="N187" s="158">
        <v>2263.6</v>
      </c>
    </row>
    <row r="188" spans="1:14" x14ac:dyDescent="0.35">
      <c r="A188" s="88" t="s">
        <v>4333</v>
      </c>
      <c r="B188" s="88" t="s">
        <v>789</v>
      </c>
      <c r="C188" t="s">
        <v>125</v>
      </c>
      <c r="D188" t="s">
        <v>57</v>
      </c>
      <c r="E188" t="s">
        <v>1901</v>
      </c>
      <c r="F188" s="35">
        <v>46162</v>
      </c>
      <c r="G188" s="47">
        <v>509939.42</v>
      </c>
      <c r="H188" s="37">
        <f t="shared" si="16"/>
        <v>42</v>
      </c>
      <c r="I188" s="37" t="s">
        <v>481</v>
      </c>
      <c r="J188" s="37" t="str">
        <f t="shared" si="17"/>
        <v>0-180 DAYS</v>
      </c>
      <c r="M188" s="158" t="s">
        <v>5211</v>
      </c>
      <c r="N188" s="158">
        <v>509939.42</v>
      </c>
    </row>
    <row r="189" spans="1:14" x14ac:dyDescent="0.35">
      <c r="A189" s="88" t="s">
        <v>477</v>
      </c>
      <c r="B189" s="88" t="s">
        <v>790</v>
      </c>
      <c r="C189" t="s">
        <v>4942</v>
      </c>
      <c r="D189" t="s">
        <v>4951</v>
      </c>
      <c r="E189" t="s">
        <v>1904</v>
      </c>
      <c r="F189" s="35">
        <v>46163</v>
      </c>
      <c r="G189" s="47">
        <v>81682</v>
      </c>
      <c r="H189" s="37">
        <f t="shared" si="16"/>
        <v>41</v>
      </c>
      <c r="I189" s="37" t="str">
        <f t="shared" ref="I189" si="25">IF(H189&lt;91,"1-90 DAYS",IF(H189&lt;121,"91-120DAYS",IF(H189&lt;181,"121-180 DAYS","More than 180 Days")))</f>
        <v>1-90 DAYS</v>
      </c>
      <c r="J189" s="37" t="str">
        <f t="shared" si="17"/>
        <v>0-180 DAYS</v>
      </c>
      <c r="K189" t="s">
        <v>1730</v>
      </c>
      <c r="M189" s="158" t="s">
        <v>5212</v>
      </c>
      <c r="N189" s="158">
        <v>81682</v>
      </c>
    </row>
    <row r="190" spans="1:14" x14ac:dyDescent="0.35">
      <c r="A190" s="88" t="s">
        <v>1085</v>
      </c>
      <c r="B190" s="88" t="s">
        <v>790</v>
      </c>
      <c r="C190" t="s">
        <v>538</v>
      </c>
      <c r="D190" s="37" t="s">
        <v>507</v>
      </c>
      <c r="E190" t="s">
        <v>5032</v>
      </c>
      <c r="F190" s="35">
        <v>46163</v>
      </c>
      <c r="G190" s="47">
        <v>4520520</v>
      </c>
      <c r="H190" s="37">
        <f t="shared" si="16"/>
        <v>41</v>
      </c>
      <c r="I190" s="37" t="str">
        <f t="shared" ref="I190:I210" si="26">IF(H190&lt;121,"0-120 DAYS",IF(H190&lt;181,"121-180 DAYS","More than 180 Days"))</f>
        <v>0-120 DAYS</v>
      </c>
      <c r="J190" s="37" t="str">
        <f t="shared" si="17"/>
        <v>0-180 DAYS</v>
      </c>
      <c r="K190" t="s">
        <v>1730</v>
      </c>
      <c r="M190" s="158" t="s">
        <v>5212</v>
      </c>
      <c r="N190" s="158">
        <v>4520520</v>
      </c>
    </row>
    <row r="191" spans="1:14" x14ac:dyDescent="0.35">
      <c r="A191" s="88" t="s">
        <v>1085</v>
      </c>
      <c r="B191" s="88" t="s">
        <v>790</v>
      </c>
      <c r="C191" t="s">
        <v>797</v>
      </c>
      <c r="D191" s="37" t="s">
        <v>507</v>
      </c>
      <c r="E191" t="s">
        <v>5033</v>
      </c>
      <c r="F191" s="35">
        <v>46164</v>
      </c>
      <c r="G191" s="47">
        <v>249450.01</v>
      </c>
      <c r="H191" s="37">
        <f t="shared" si="16"/>
        <v>40</v>
      </c>
      <c r="I191" s="37" t="str">
        <f t="shared" si="26"/>
        <v>0-120 DAYS</v>
      </c>
      <c r="J191" s="37" t="str">
        <f t="shared" si="17"/>
        <v>0-180 DAYS</v>
      </c>
      <c r="K191" t="s">
        <v>1730</v>
      </c>
      <c r="M191" s="158" t="s">
        <v>5213</v>
      </c>
      <c r="N191" s="158">
        <v>249450.01</v>
      </c>
    </row>
    <row r="192" spans="1:14" x14ac:dyDescent="0.35">
      <c r="A192" s="88" t="s">
        <v>4333</v>
      </c>
      <c r="B192" s="88" t="s">
        <v>789</v>
      </c>
      <c r="C192" t="s">
        <v>125</v>
      </c>
      <c r="D192" t="s">
        <v>57</v>
      </c>
      <c r="E192" t="s">
        <v>5034</v>
      </c>
      <c r="F192" s="35">
        <v>46164</v>
      </c>
      <c r="G192" s="47">
        <v>1415</v>
      </c>
      <c r="H192" s="37">
        <f t="shared" si="16"/>
        <v>40</v>
      </c>
      <c r="I192" s="37" t="s">
        <v>481</v>
      </c>
      <c r="J192" s="37" t="str">
        <f t="shared" si="17"/>
        <v>0-180 DAYS</v>
      </c>
      <c r="M192" s="158" t="s">
        <v>5213</v>
      </c>
      <c r="N192" s="158">
        <v>1415</v>
      </c>
    </row>
    <row r="193" spans="1:14" x14ac:dyDescent="0.35">
      <c r="A193" s="88" t="s">
        <v>4333</v>
      </c>
      <c r="B193" s="88" t="s">
        <v>789</v>
      </c>
      <c r="C193" t="s">
        <v>125</v>
      </c>
      <c r="D193" t="s">
        <v>57</v>
      </c>
      <c r="E193" t="s">
        <v>5035</v>
      </c>
      <c r="F193" s="35">
        <v>46164</v>
      </c>
      <c r="G193" s="47">
        <v>608162.98</v>
      </c>
      <c r="H193" s="37">
        <f t="shared" si="16"/>
        <v>40</v>
      </c>
      <c r="I193" s="37" t="s">
        <v>481</v>
      </c>
      <c r="J193" s="37" t="str">
        <f t="shared" si="17"/>
        <v>0-180 DAYS</v>
      </c>
      <c r="M193" s="158" t="s">
        <v>5213</v>
      </c>
      <c r="N193" s="158">
        <v>608162.98</v>
      </c>
    </row>
    <row r="194" spans="1:14" x14ac:dyDescent="0.35">
      <c r="A194" s="88" t="s">
        <v>477</v>
      </c>
      <c r="B194" t="s">
        <v>790</v>
      </c>
      <c r="C194" t="s">
        <v>4780</v>
      </c>
      <c r="D194" t="s">
        <v>4783</v>
      </c>
      <c r="E194" t="s">
        <v>1910</v>
      </c>
      <c r="F194" s="35">
        <v>46165</v>
      </c>
      <c r="G194" s="47">
        <v>241942.79</v>
      </c>
      <c r="H194" s="37">
        <f t="shared" si="16"/>
        <v>39</v>
      </c>
      <c r="I194" s="37" t="str">
        <f t="shared" ref="I194" si="27">IF(H194&lt;91,"1-90 DAYS",IF(H194&lt;121,"91-120DAYS",IF(H194&lt;181,"121-180 DAYS","More than 180 Days")))</f>
        <v>1-90 DAYS</v>
      </c>
      <c r="J194" s="37" t="str">
        <f t="shared" si="17"/>
        <v>0-180 DAYS</v>
      </c>
      <c r="K194" t="s">
        <v>1730</v>
      </c>
      <c r="M194" s="158" t="s">
        <v>5214</v>
      </c>
      <c r="N194" s="158">
        <v>241942.79</v>
      </c>
    </row>
    <row r="195" spans="1:14" x14ac:dyDescent="0.35">
      <c r="A195" s="88" t="s">
        <v>4333</v>
      </c>
      <c r="B195" s="88" t="s">
        <v>789</v>
      </c>
      <c r="C195" t="s">
        <v>125</v>
      </c>
      <c r="D195" t="s">
        <v>57</v>
      </c>
      <c r="E195" t="s">
        <v>1913</v>
      </c>
      <c r="F195" s="35">
        <v>46165</v>
      </c>
      <c r="G195" s="47">
        <v>2886.64</v>
      </c>
      <c r="H195" s="37">
        <f t="shared" si="16"/>
        <v>39</v>
      </c>
      <c r="I195" s="37" t="s">
        <v>481</v>
      </c>
      <c r="J195" s="37" t="str">
        <f t="shared" si="17"/>
        <v>0-180 DAYS</v>
      </c>
      <c r="M195" s="158" t="s">
        <v>5214</v>
      </c>
      <c r="N195" s="158">
        <v>2886.64</v>
      </c>
    </row>
    <row r="196" spans="1:14" x14ac:dyDescent="0.35">
      <c r="A196" s="88" t="s">
        <v>4333</v>
      </c>
      <c r="B196" s="88" t="s">
        <v>789</v>
      </c>
      <c r="C196" t="s">
        <v>125</v>
      </c>
      <c r="D196" t="s">
        <v>57</v>
      </c>
      <c r="E196" t="s">
        <v>1914</v>
      </c>
      <c r="F196" s="35">
        <v>46165</v>
      </c>
      <c r="G196" s="47">
        <v>343353.22</v>
      </c>
      <c r="H196" s="37">
        <f t="shared" ref="H196:H267" si="28">$H$1-F196+1</f>
        <v>39</v>
      </c>
      <c r="I196" s="37" t="s">
        <v>481</v>
      </c>
      <c r="J196" s="37" t="str">
        <f t="shared" si="17"/>
        <v>0-180 DAYS</v>
      </c>
      <c r="M196" s="158" t="s">
        <v>5214</v>
      </c>
      <c r="N196" s="158">
        <v>343353.22</v>
      </c>
    </row>
    <row r="197" spans="1:14" x14ac:dyDescent="0.35">
      <c r="A197" s="88" t="s">
        <v>4333</v>
      </c>
      <c r="B197" s="88" t="s">
        <v>789</v>
      </c>
      <c r="C197" t="s">
        <v>125</v>
      </c>
      <c r="D197" t="s">
        <v>57</v>
      </c>
      <c r="E197" t="s">
        <v>1915</v>
      </c>
      <c r="F197" s="35">
        <v>46165</v>
      </c>
      <c r="G197" s="47">
        <v>27036.12</v>
      </c>
      <c r="H197" s="37">
        <f t="shared" si="28"/>
        <v>39</v>
      </c>
      <c r="I197" s="37" t="s">
        <v>481</v>
      </c>
      <c r="J197" s="37" t="str">
        <f t="shared" si="17"/>
        <v>0-180 DAYS</v>
      </c>
      <c r="M197" s="158" t="s">
        <v>5214</v>
      </c>
      <c r="N197" s="158">
        <v>27036.12</v>
      </c>
    </row>
    <row r="198" spans="1:14" x14ac:dyDescent="0.35">
      <c r="A198" s="88" t="s">
        <v>4333</v>
      </c>
      <c r="B198" s="88" t="s">
        <v>789</v>
      </c>
      <c r="C198" t="s">
        <v>125</v>
      </c>
      <c r="D198" t="s">
        <v>57</v>
      </c>
      <c r="E198" t="s">
        <v>1916</v>
      </c>
      <c r="F198" s="35">
        <v>46165</v>
      </c>
      <c r="G198" s="47">
        <v>30740</v>
      </c>
      <c r="H198" s="37">
        <f t="shared" si="28"/>
        <v>39</v>
      </c>
      <c r="I198" s="37" t="s">
        <v>481</v>
      </c>
      <c r="J198" s="37" t="str">
        <f t="shared" ref="J198:J268" si="29">IF(H198&lt;180,"0-180 DAYS","More than 180 Days")</f>
        <v>0-180 DAYS</v>
      </c>
      <c r="M198" s="158" t="s">
        <v>5214</v>
      </c>
      <c r="N198" s="158">
        <v>30740</v>
      </c>
    </row>
    <row r="199" spans="1:14" x14ac:dyDescent="0.35">
      <c r="A199" s="88" t="s">
        <v>4333</v>
      </c>
      <c r="B199" s="88" t="s">
        <v>789</v>
      </c>
      <c r="C199" t="s">
        <v>125</v>
      </c>
      <c r="D199" t="s">
        <v>57</v>
      </c>
      <c r="E199" t="s">
        <v>5036</v>
      </c>
      <c r="F199" s="35">
        <v>46166</v>
      </c>
      <c r="G199" s="47">
        <v>38520.870000000003</v>
      </c>
      <c r="H199" s="37">
        <f t="shared" si="28"/>
        <v>38</v>
      </c>
      <c r="I199" s="37" t="s">
        <v>481</v>
      </c>
      <c r="J199" s="37" t="str">
        <f t="shared" si="29"/>
        <v>0-180 DAYS</v>
      </c>
      <c r="M199" s="158" t="s">
        <v>5215</v>
      </c>
      <c r="N199" s="158">
        <v>38520.870000000003</v>
      </c>
    </row>
    <row r="200" spans="1:14" x14ac:dyDescent="0.35">
      <c r="A200" s="88" t="s">
        <v>4333</v>
      </c>
      <c r="B200" s="88" t="s">
        <v>789</v>
      </c>
      <c r="C200" t="s">
        <v>125</v>
      </c>
      <c r="D200" t="s">
        <v>57</v>
      </c>
      <c r="E200" t="s">
        <v>1917</v>
      </c>
      <c r="F200" s="35">
        <v>46166</v>
      </c>
      <c r="G200" s="47">
        <v>305345.94</v>
      </c>
      <c r="H200" s="37">
        <f t="shared" si="28"/>
        <v>38</v>
      </c>
      <c r="I200" s="37" t="s">
        <v>481</v>
      </c>
      <c r="J200" s="37" t="str">
        <f t="shared" si="29"/>
        <v>0-180 DAYS</v>
      </c>
      <c r="M200" s="158" t="s">
        <v>5215</v>
      </c>
      <c r="N200" s="158">
        <v>305345.94</v>
      </c>
    </row>
    <row r="201" spans="1:14" x14ac:dyDescent="0.35">
      <c r="A201" s="88" t="s">
        <v>1085</v>
      </c>
      <c r="B201" s="88" t="s">
        <v>790</v>
      </c>
      <c r="C201" t="s">
        <v>2066</v>
      </c>
      <c r="D201" s="37" t="s">
        <v>507</v>
      </c>
      <c r="E201" t="s">
        <v>5037</v>
      </c>
      <c r="F201" s="35">
        <v>46167</v>
      </c>
      <c r="G201" s="47">
        <v>3303022.52</v>
      </c>
      <c r="H201" s="37">
        <f t="shared" si="28"/>
        <v>37</v>
      </c>
      <c r="I201" s="37" t="str">
        <f t="shared" si="26"/>
        <v>0-120 DAYS</v>
      </c>
      <c r="J201" s="37" t="str">
        <f t="shared" si="29"/>
        <v>0-180 DAYS</v>
      </c>
      <c r="K201" t="s">
        <v>1730</v>
      </c>
      <c r="M201" s="158" t="s">
        <v>5216</v>
      </c>
      <c r="N201" s="158">
        <v>3303022.52</v>
      </c>
    </row>
    <row r="202" spans="1:14" x14ac:dyDescent="0.35">
      <c r="A202" s="88" t="s">
        <v>477</v>
      </c>
      <c r="B202" t="s">
        <v>790</v>
      </c>
      <c r="C202" t="s">
        <v>4942</v>
      </c>
      <c r="D202" t="s">
        <v>4951</v>
      </c>
      <c r="E202" t="s">
        <v>5038</v>
      </c>
      <c r="F202" s="35">
        <v>46167</v>
      </c>
      <c r="G202" s="47">
        <v>851002</v>
      </c>
      <c r="H202" s="37">
        <f t="shared" si="28"/>
        <v>37</v>
      </c>
      <c r="I202" s="37" t="str">
        <f t="shared" ref="I202" si="30">IF(H202&lt;91,"1-90 DAYS",IF(H202&lt;121,"91-120DAYS",IF(H202&lt;181,"121-180 DAYS","More than 180 Days")))</f>
        <v>1-90 DAYS</v>
      </c>
      <c r="J202" s="37" t="str">
        <f t="shared" si="29"/>
        <v>0-180 DAYS</v>
      </c>
      <c r="K202" t="s">
        <v>1730</v>
      </c>
      <c r="M202" s="158" t="s">
        <v>5216</v>
      </c>
      <c r="N202" s="158">
        <v>851002</v>
      </c>
    </row>
    <row r="203" spans="1:14" x14ac:dyDescent="0.35">
      <c r="A203" s="88" t="s">
        <v>4333</v>
      </c>
      <c r="B203" s="88" t="s">
        <v>789</v>
      </c>
      <c r="C203" t="s">
        <v>125</v>
      </c>
      <c r="D203" t="s">
        <v>57</v>
      </c>
      <c r="E203" t="s">
        <v>5039</v>
      </c>
      <c r="F203" s="35">
        <v>46167</v>
      </c>
      <c r="G203" s="47">
        <v>4527.2</v>
      </c>
      <c r="H203" s="37">
        <f t="shared" si="28"/>
        <v>37</v>
      </c>
      <c r="I203" s="37" t="s">
        <v>481</v>
      </c>
      <c r="J203" s="37" t="str">
        <f t="shared" si="29"/>
        <v>0-180 DAYS</v>
      </c>
      <c r="M203" s="158" t="s">
        <v>5216</v>
      </c>
      <c r="N203" s="158">
        <v>4527.2</v>
      </c>
    </row>
    <row r="204" spans="1:14" x14ac:dyDescent="0.35">
      <c r="A204" s="88" t="s">
        <v>4333</v>
      </c>
      <c r="B204" s="88" t="s">
        <v>789</v>
      </c>
      <c r="C204" t="s">
        <v>125</v>
      </c>
      <c r="D204" t="s">
        <v>57</v>
      </c>
      <c r="E204" t="s">
        <v>1923</v>
      </c>
      <c r="F204" s="35">
        <v>46167</v>
      </c>
      <c r="G204" s="47">
        <v>662098.46</v>
      </c>
      <c r="H204" s="37">
        <f t="shared" si="28"/>
        <v>37</v>
      </c>
      <c r="I204" s="37" t="s">
        <v>481</v>
      </c>
      <c r="J204" s="37" t="str">
        <f t="shared" si="29"/>
        <v>0-180 DAYS</v>
      </c>
      <c r="M204" s="158" t="s">
        <v>5216</v>
      </c>
      <c r="N204" s="158">
        <v>662098.46</v>
      </c>
    </row>
    <row r="205" spans="1:14" x14ac:dyDescent="0.35">
      <c r="A205" s="88" t="s">
        <v>4333</v>
      </c>
      <c r="B205" s="88" t="s">
        <v>789</v>
      </c>
      <c r="C205" t="s">
        <v>125</v>
      </c>
      <c r="D205" t="s">
        <v>57</v>
      </c>
      <c r="E205" t="s">
        <v>1929</v>
      </c>
      <c r="F205" s="35">
        <v>46168</v>
      </c>
      <c r="G205" s="47">
        <v>454888.28</v>
      </c>
      <c r="H205" s="37">
        <f t="shared" si="28"/>
        <v>36</v>
      </c>
      <c r="I205" s="37" t="s">
        <v>481</v>
      </c>
      <c r="J205" s="37" t="str">
        <f t="shared" si="29"/>
        <v>0-180 DAYS</v>
      </c>
      <c r="M205" s="158" t="s">
        <v>5217</v>
      </c>
      <c r="N205" s="158">
        <v>454888.28</v>
      </c>
    </row>
    <row r="206" spans="1:14" x14ac:dyDescent="0.35">
      <c r="A206" s="88" t="s">
        <v>4333</v>
      </c>
      <c r="B206" s="88" t="s">
        <v>789</v>
      </c>
      <c r="C206" t="s">
        <v>125</v>
      </c>
      <c r="D206" t="s">
        <v>57</v>
      </c>
      <c r="E206" t="s">
        <v>5040</v>
      </c>
      <c r="F206" s="35">
        <v>46168</v>
      </c>
      <c r="G206" s="47">
        <v>4527.2</v>
      </c>
      <c r="H206" s="37">
        <f t="shared" si="28"/>
        <v>36</v>
      </c>
      <c r="I206" s="37" t="s">
        <v>481</v>
      </c>
      <c r="J206" s="37" t="str">
        <f t="shared" si="29"/>
        <v>0-180 DAYS</v>
      </c>
      <c r="M206" s="158" t="s">
        <v>5217</v>
      </c>
      <c r="N206" s="158">
        <v>4527.2</v>
      </c>
    </row>
    <row r="207" spans="1:14" x14ac:dyDescent="0.35">
      <c r="A207" s="88" t="s">
        <v>4333</v>
      </c>
      <c r="B207" s="88" t="s">
        <v>789</v>
      </c>
      <c r="C207" t="s">
        <v>125</v>
      </c>
      <c r="D207" t="s">
        <v>57</v>
      </c>
      <c r="E207" t="s">
        <v>1931</v>
      </c>
      <c r="F207" s="35">
        <v>46168</v>
      </c>
      <c r="G207" s="47">
        <v>240196.7</v>
      </c>
      <c r="H207" s="37">
        <f t="shared" si="28"/>
        <v>36</v>
      </c>
      <c r="I207" s="37" t="s">
        <v>481</v>
      </c>
      <c r="J207" s="37" t="str">
        <f t="shared" si="29"/>
        <v>0-180 DAYS</v>
      </c>
      <c r="M207" s="158" t="s">
        <v>5217</v>
      </c>
      <c r="N207" s="158">
        <v>240196.7</v>
      </c>
    </row>
    <row r="208" spans="1:14" x14ac:dyDescent="0.35">
      <c r="A208" s="88" t="s">
        <v>4333</v>
      </c>
      <c r="B208" s="88" t="s">
        <v>789</v>
      </c>
      <c r="C208" t="s">
        <v>125</v>
      </c>
      <c r="D208" t="s">
        <v>57</v>
      </c>
      <c r="E208" t="s">
        <v>1928</v>
      </c>
      <c r="F208" s="35">
        <v>46168</v>
      </c>
      <c r="G208" s="47">
        <v>24650</v>
      </c>
      <c r="H208" s="37">
        <f t="shared" si="28"/>
        <v>36</v>
      </c>
      <c r="I208" s="37" t="s">
        <v>481</v>
      </c>
      <c r="J208" s="37" t="str">
        <f t="shared" si="29"/>
        <v>0-180 DAYS</v>
      </c>
      <c r="M208" s="158" t="s">
        <v>5217</v>
      </c>
      <c r="N208" s="158">
        <v>24650</v>
      </c>
    </row>
    <row r="209" spans="1:14" x14ac:dyDescent="0.35">
      <c r="A209" s="88" t="s">
        <v>477</v>
      </c>
      <c r="B209" t="s">
        <v>790</v>
      </c>
      <c r="C209" t="s">
        <v>4780</v>
      </c>
      <c r="D209" t="s">
        <v>4783</v>
      </c>
      <c r="E209" t="s">
        <v>1930</v>
      </c>
      <c r="F209" s="35">
        <v>46169</v>
      </c>
      <c r="G209" s="47">
        <v>259672.23</v>
      </c>
      <c r="H209" s="37">
        <f t="shared" si="28"/>
        <v>35</v>
      </c>
      <c r="I209" s="37" t="str">
        <f t="shared" ref="I209" si="31">IF(H209&lt;91,"1-90 DAYS",IF(H209&lt;121,"91-120DAYS",IF(H209&lt;181,"121-180 DAYS","More than 180 Days")))</f>
        <v>1-90 DAYS</v>
      </c>
      <c r="J209" s="37" t="str">
        <f t="shared" si="29"/>
        <v>0-180 DAYS</v>
      </c>
      <c r="K209" t="s">
        <v>1730</v>
      </c>
      <c r="M209" s="158" t="s">
        <v>5218</v>
      </c>
      <c r="N209" s="158">
        <v>259672.23</v>
      </c>
    </row>
    <row r="210" spans="1:14" x14ac:dyDescent="0.35">
      <c r="A210" s="88" t="s">
        <v>1085</v>
      </c>
      <c r="B210" s="88" t="s">
        <v>790</v>
      </c>
      <c r="C210" t="s">
        <v>600</v>
      </c>
      <c r="D210" s="37" t="s">
        <v>507</v>
      </c>
      <c r="E210" t="s">
        <v>5041</v>
      </c>
      <c r="F210" s="35">
        <v>46169</v>
      </c>
      <c r="G210" s="47">
        <v>2437908.7999999998</v>
      </c>
      <c r="H210" s="37">
        <f t="shared" si="28"/>
        <v>35</v>
      </c>
      <c r="I210" s="37" t="str">
        <f t="shared" si="26"/>
        <v>0-120 DAYS</v>
      </c>
      <c r="J210" s="37" t="str">
        <f t="shared" si="29"/>
        <v>0-180 DAYS</v>
      </c>
      <c r="K210" t="s">
        <v>1730</v>
      </c>
      <c r="M210" s="158" t="s">
        <v>5218</v>
      </c>
      <c r="N210" s="158">
        <v>2437908.7999999998</v>
      </c>
    </row>
    <row r="211" spans="1:14" x14ac:dyDescent="0.35">
      <c r="A211" s="88" t="s">
        <v>4333</v>
      </c>
      <c r="B211" s="88" t="s">
        <v>789</v>
      </c>
      <c r="C211" t="s">
        <v>125</v>
      </c>
      <c r="D211" t="s">
        <v>57</v>
      </c>
      <c r="E211" t="s">
        <v>5042</v>
      </c>
      <c r="F211" s="35">
        <v>46169</v>
      </c>
      <c r="G211" s="47">
        <v>200776.26</v>
      </c>
      <c r="H211" s="37">
        <f t="shared" si="28"/>
        <v>35</v>
      </c>
      <c r="I211" s="37" t="s">
        <v>481</v>
      </c>
      <c r="J211" s="37" t="str">
        <f t="shared" si="29"/>
        <v>0-180 DAYS</v>
      </c>
      <c r="M211" s="158" t="s">
        <v>5218</v>
      </c>
      <c r="N211" s="158">
        <v>200776.26</v>
      </c>
    </row>
    <row r="212" spans="1:14" x14ac:dyDescent="0.35">
      <c r="A212" s="88" t="s">
        <v>4333</v>
      </c>
      <c r="B212" s="88" t="s">
        <v>789</v>
      </c>
      <c r="C212" t="s">
        <v>125</v>
      </c>
      <c r="D212" t="s">
        <v>57</v>
      </c>
      <c r="E212" t="s">
        <v>5043</v>
      </c>
      <c r="F212" s="35">
        <v>46170</v>
      </c>
      <c r="G212" s="47">
        <v>346131.77</v>
      </c>
      <c r="H212" s="37">
        <f t="shared" si="28"/>
        <v>34</v>
      </c>
      <c r="I212" s="37" t="s">
        <v>481</v>
      </c>
      <c r="J212" s="37" t="str">
        <f t="shared" si="29"/>
        <v>0-180 DAYS</v>
      </c>
      <c r="M212" s="158" t="s">
        <v>5219</v>
      </c>
      <c r="N212" s="158">
        <v>346131.77</v>
      </c>
    </row>
    <row r="213" spans="1:14" x14ac:dyDescent="0.35">
      <c r="A213" s="88" t="s">
        <v>4333</v>
      </c>
      <c r="B213" s="88" t="s">
        <v>789</v>
      </c>
      <c r="C213" t="s">
        <v>125</v>
      </c>
      <c r="D213" t="s">
        <v>57</v>
      </c>
      <c r="E213" t="s">
        <v>1945</v>
      </c>
      <c r="F213" s="35">
        <v>46170</v>
      </c>
      <c r="G213" s="47">
        <v>3395.4</v>
      </c>
      <c r="H213" s="37">
        <f t="shared" si="28"/>
        <v>34</v>
      </c>
      <c r="I213" s="37" t="s">
        <v>481</v>
      </c>
      <c r="J213" s="37" t="str">
        <f t="shared" si="29"/>
        <v>0-180 DAYS</v>
      </c>
      <c r="M213" s="158" t="s">
        <v>5219</v>
      </c>
      <c r="N213" s="158">
        <v>3395.4</v>
      </c>
    </row>
    <row r="214" spans="1:14" x14ac:dyDescent="0.35">
      <c r="A214" s="88" t="s">
        <v>477</v>
      </c>
      <c r="B214" t="s">
        <v>790</v>
      </c>
      <c r="C214" t="s">
        <v>4885</v>
      </c>
      <c r="D214" t="s">
        <v>4893</v>
      </c>
      <c r="E214" t="s">
        <v>1939</v>
      </c>
      <c r="F214" s="35">
        <v>46170</v>
      </c>
      <c r="G214" s="47">
        <v>1884710.16</v>
      </c>
      <c r="H214" s="37">
        <f t="shared" si="28"/>
        <v>34</v>
      </c>
      <c r="I214" s="37" t="str">
        <f t="shared" ref="I214" si="32">IF(H214&lt;91,"1-90 DAYS",IF(H214&lt;121,"91-120DAYS",IF(H214&lt;181,"121-180 DAYS","More than 180 Days")))</f>
        <v>1-90 DAYS</v>
      </c>
      <c r="J214" s="37" t="str">
        <f t="shared" si="29"/>
        <v>0-180 DAYS</v>
      </c>
      <c r="K214" t="s">
        <v>1730</v>
      </c>
      <c r="M214" s="158" t="s">
        <v>5219</v>
      </c>
      <c r="N214" s="158">
        <v>1884710.16</v>
      </c>
    </row>
    <row r="215" spans="1:14" x14ac:dyDescent="0.35">
      <c r="A215" s="88" t="s">
        <v>1085</v>
      </c>
      <c r="B215" s="88" t="s">
        <v>790</v>
      </c>
      <c r="C215" t="s">
        <v>559</v>
      </c>
      <c r="D215" s="37" t="s">
        <v>507</v>
      </c>
      <c r="E215" t="s">
        <v>5044</v>
      </c>
      <c r="F215" s="35">
        <v>46171</v>
      </c>
      <c r="G215" s="47">
        <f>-3326322+3445799.3</f>
        <v>119477.29999999981</v>
      </c>
      <c r="H215" s="37">
        <f t="shared" si="28"/>
        <v>33</v>
      </c>
      <c r="I215" s="37" t="str">
        <f t="shared" ref="I215:I246" si="33">IF(H215&lt;121,"0-120 DAYS",IF(H215&lt;181,"121-180 DAYS","More than 180 Days"))</f>
        <v>0-120 DAYS</v>
      </c>
      <c r="J215" s="37" t="str">
        <f t="shared" si="29"/>
        <v>0-180 DAYS</v>
      </c>
      <c r="K215" t="s">
        <v>1730</v>
      </c>
      <c r="M215" s="158" t="s">
        <v>5220</v>
      </c>
      <c r="N215" s="158">
        <v>119477.3</v>
      </c>
    </row>
    <row r="216" spans="1:14" x14ac:dyDescent="0.35">
      <c r="A216" s="88" t="s">
        <v>4333</v>
      </c>
      <c r="B216" s="88" t="s">
        <v>789</v>
      </c>
      <c r="C216" t="s">
        <v>125</v>
      </c>
      <c r="D216" t="s">
        <v>57</v>
      </c>
      <c r="E216" t="s">
        <v>5045</v>
      </c>
      <c r="F216" s="35">
        <v>46171</v>
      </c>
      <c r="G216" s="47">
        <v>140419</v>
      </c>
      <c r="H216" s="37">
        <f t="shared" si="28"/>
        <v>33</v>
      </c>
      <c r="I216" s="37" t="s">
        <v>481</v>
      </c>
      <c r="J216" s="37" t="str">
        <f t="shared" si="29"/>
        <v>0-180 DAYS</v>
      </c>
      <c r="M216" s="158" t="s">
        <v>5220</v>
      </c>
      <c r="N216" s="158">
        <v>140419</v>
      </c>
    </row>
    <row r="217" spans="1:14" x14ac:dyDescent="0.35">
      <c r="A217" s="88" t="s">
        <v>4333</v>
      </c>
      <c r="B217" s="88" t="s">
        <v>789</v>
      </c>
      <c r="C217" t="s">
        <v>125</v>
      </c>
      <c r="D217" t="s">
        <v>57</v>
      </c>
      <c r="E217" t="s">
        <v>1949</v>
      </c>
      <c r="F217" s="35">
        <v>46171</v>
      </c>
      <c r="G217" s="47">
        <v>246563.84</v>
      </c>
      <c r="H217" s="37">
        <f t="shared" si="28"/>
        <v>33</v>
      </c>
      <c r="I217" s="37" t="s">
        <v>481</v>
      </c>
      <c r="J217" s="37" t="str">
        <f t="shared" si="29"/>
        <v>0-180 DAYS</v>
      </c>
      <c r="M217" s="158" t="s">
        <v>5220</v>
      </c>
      <c r="N217" s="158">
        <v>246563.84</v>
      </c>
    </row>
    <row r="218" spans="1:14" x14ac:dyDescent="0.35">
      <c r="A218" s="88" t="s">
        <v>4333</v>
      </c>
      <c r="B218" s="88" t="s">
        <v>789</v>
      </c>
      <c r="C218" t="s">
        <v>125</v>
      </c>
      <c r="D218" t="s">
        <v>57</v>
      </c>
      <c r="E218" t="s">
        <v>1956</v>
      </c>
      <c r="F218" s="35">
        <v>46172</v>
      </c>
      <c r="G218" s="47">
        <v>5150.24</v>
      </c>
      <c r="H218" s="37">
        <f t="shared" si="28"/>
        <v>32</v>
      </c>
      <c r="I218" s="37" t="s">
        <v>481</v>
      </c>
      <c r="J218" s="37" t="str">
        <f t="shared" si="29"/>
        <v>0-180 DAYS</v>
      </c>
      <c r="M218" s="158" t="s">
        <v>5221</v>
      </c>
      <c r="N218" s="158">
        <v>5150.24</v>
      </c>
    </row>
    <row r="219" spans="1:14" x14ac:dyDescent="0.35">
      <c r="A219" s="88" t="s">
        <v>4333</v>
      </c>
      <c r="B219" s="88" t="s">
        <v>789</v>
      </c>
      <c r="C219" t="s">
        <v>125</v>
      </c>
      <c r="D219" t="s">
        <v>57</v>
      </c>
      <c r="E219" t="s">
        <v>1954</v>
      </c>
      <c r="F219" s="35">
        <v>46172</v>
      </c>
      <c r="G219" s="47">
        <v>490772.68</v>
      </c>
      <c r="H219" s="37">
        <f t="shared" si="28"/>
        <v>32</v>
      </c>
      <c r="I219" s="37" t="s">
        <v>481</v>
      </c>
      <c r="J219" s="37" t="str">
        <f t="shared" si="29"/>
        <v>0-180 DAYS</v>
      </c>
      <c r="M219" s="158" t="s">
        <v>5221</v>
      </c>
      <c r="N219" s="158">
        <v>490772.68</v>
      </c>
    </row>
    <row r="220" spans="1:14" x14ac:dyDescent="0.35">
      <c r="A220" s="88" t="s">
        <v>4333</v>
      </c>
      <c r="B220" s="88" t="s">
        <v>789</v>
      </c>
      <c r="C220" t="s">
        <v>125</v>
      </c>
      <c r="D220" t="s">
        <v>57</v>
      </c>
      <c r="E220" t="s">
        <v>1953</v>
      </c>
      <c r="F220" s="35">
        <v>46172</v>
      </c>
      <c r="G220" s="47">
        <v>23200</v>
      </c>
      <c r="H220" s="37">
        <f t="shared" si="28"/>
        <v>32</v>
      </c>
      <c r="I220" s="37" t="s">
        <v>481</v>
      </c>
      <c r="J220" s="37" t="str">
        <f t="shared" si="29"/>
        <v>0-180 DAYS</v>
      </c>
      <c r="M220" s="158" t="s">
        <v>5221</v>
      </c>
      <c r="N220" s="158">
        <v>23200</v>
      </c>
    </row>
    <row r="221" spans="1:14" x14ac:dyDescent="0.35">
      <c r="A221" s="88" t="s">
        <v>4333</v>
      </c>
      <c r="B221" s="88" t="s">
        <v>789</v>
      </c>
      <c r="C221" t="s">
        <v>125</v>
      </c>
      <c r="D221" t="s">
        <v>57</v>
      </c>
      <c r="E221" t="s">
        <v>1962</v>
      </c>
      <c r="F221" s="35">
        <v>46173</v>
      </c>
      <c r="G221" s="47">
        <v>2998.92</v>
      </c>
      <c r="H221" s="37">
        <f t="shared" si="28"/>
        <v>31</v>
      </c>
      <c r="I221" s="37" t="s">
        <v>481</v>
      </c>
      <c r="J221" s="37" t="str">
        <f t="shared" si="29"/>
        <v>0-180 DAYS</v>
      </c>
      <c r="M221" s="158" t="s">
        <v>5222</v>
      </c>
      <c r="N221" s="158">
        <v>2998.92</v>
      </c>
    </row>
    <row r="222" spans="1:14" x14ac:dyDescent="0.35">
      <c r="A222" s="88" t="s">
        <v>4333</v>
      </c>
      <c r="B222" s="88" t="s">
        <v>789</v>
      </c>
      <c r="C222" t="s">
        <v>125</v>
      </c>
      <c r="D222" t="s">
        <v>57</v>
      </c>
      <c r="E222" t="s">
        <v>5046</v>
      </c>
      <c r="F222" s="35">
        <v>46173</v>
      </c>
      <c r="G222" s="47">
        <v>247105.58</v>
      </c>
      <c r="H222" s="37">
        <f t="shared" si="28"/>
        <v>31</v>
      </c>
      <c r="I222" s="37" t="s">
        <v>481</v>
      </c>
      <c r="J222" s="37" t="str">
        <f t="shared" si="29"/>
        <v>0-180 DAYS</v>
      </c>
      <c r="M222" s="158" t="s">
        <v>5222</v>
      </c>
      <c r="N222" s="158">
        <v>247105.58</v>
      </c>
    </row>
    <row r="223" spans="1:14" x14ac:dyDescent="0.35">
      <c r="A223" s="88" t="s">
        <v>4333</v>
      </c>
      <c r="B223" s="88" t="s">
        <v>789</v>
      </c>
      <c r="C223" t="s">
        <v>125</v>
      </c>
      <c r="D223" t="s">
        <v>57</v>
      </c>
      <c r="E223" t="s">
        <v>5047</v>
      </c>
      <c r="F223" s="35">
        <v>46173</v>
      </c>
      <c r="G223" s="47">
        <v>17110</v>
      </c>
      <c r="H223" s="37">
        <f t="shared" si="28"/>
        <v>31</v>
      </c>
      <c r="I223" s="37" t="s">
        <v>481</v>
      </c>
      <c r="J223" s="37" t="str">
        <f t="shared" si="29"/>
        <v>0-180 DAYS</v>
      </c>
      <c r="M223" s="158" t="s">
        <v>5222</v>
      </c>
      <c r="N223" s="158">
        <v>17110</v>
      </c>
    </row>
    <row r="224" spans="1:14" x14ac:dyDescent="0.35">
      <c r="A224" s="88" t="s">
        <v>1085</v>
      </c>
      <c r="B224" s="88" t="s">
        <v>790</v>
      </c>
      <c r="C224" t="s">
        <v>1086</v>
      </c>
      <c r="D224" s="37" t="s">
        <v>507</v>
      </c>
      <c r="E224" t="s">
        <v>5048</v>
      </c>
      <c r="F224" s="35">
        <v>46144</v>
      </c>
      <c r="G224" s="47">
        <v>1506292.2</v>
      </c>
      <c r="H224" s="37">
        <f t="shared" si="28"/>
        <v>60</v>
      </c>
      <c r="I224" s="37" t="str">
        <f t="shared" si="33"/>
        <v>0-120 DAYS</v>
      </c>
      <c r="J224" s="37" t="str">
        <f t="shared" si="29"/>
        <v>0-180 DAYS</v>
      </c>
      <c r="K224" t="s">
        <v>1730</v>
      </c>
      <c r="M224" s="158" t="s">
        <v>5197</v>
      </c>
      <c r="N224" s="158">
        <v>1506292.2</v>
      </c>
    </row>
    <row r="225" spans="1:14" x14ac:dyDescent="0.35">
      <c r="A225" s="88" t="s">
        <v>1085</v>
      </c>
      <c r="B225" s="88" t="s">
        <v>790</v>
      </c>
      <c r="C225" t="s">
        <v>1086</v>
      </c>
      <c r="D225" s="37" t="s">
        <v>507</v>
      </c>
      <c r="E225" t="s">
        <v>5049</v>
      </c>
      <c r="F225" s="35">
        <v>46144</v>
      </c>
      <c r="G225" s="47">
        <v>1348218.03</v>
      </c>
      <c r="H225" s="37">
        <f t="shared" si="28"/>
        <v>60</v>
      </c>
      <c r="I225" s="37" t="str">
        <f t="shared" si="33"/>
        <v>0-120 DAYS</v>
      </c>
      <c r="J225" s="37" t="str">
        <f t="shared" si="29"/>
        <v>0-180 DAYS</v>
      </c>
      <c r="K225" t="s">
        <v>1730</v>
      </c>
      <c r="M225" s="158" t="s">
        <v>5197</v>
      </c>
      <c r="N225" s="158">
        <v>1348218.03</v>
      </c>
    </row>
    <row r="226" spans="1:14" x14ac:dyDescent="0.35">
      <c r="A226" s="88" t="s">
        <v>1085</v>
      </c>
      <c r="B226" s="88" t="s">
        <v>790</v>
      </c>
      <c r="C226" t="s">
        <v>650</v>
      </c>
      <c r="D226" s="37" t="s">
        <v>507</v>
      </c>
      <c r="E226" t="s">
        <v>5050</v>
      </c>
      <c r="F226" s="35">
        <v>46149</v>
      </c>
      <c r="G226" s="47">
        <v>4045054.86</v>
      </c>
      <c r="H226" s="37">
        <f t="shared" si="28"/>
        <v>55</v>
      </c>
      <c r="I226" s="37" t="str">
        <f t="shared" si="33"/>
        <v>0-120 DAYS</v>
      </c>
      <c r="J226" s="37" t="str">
        <f t="shared" si="29"/>
        <v>0-180 DAYS</v>
      </c>
      <c r="K226" t="s">
        <v>1730</v>
      </c>
      <c r="M226" s="158" t="s">
        <v>5200</v>
      </c>
      <c r="N226" s="158">
        <v>4045054.86</v>
      </c>
    </row>
    <row r="227" spans="1:14" x14ac:dyDescent="0.35">
      <c r="A227" s="88" t="s">
        <v>1085</v>
      </c>
      <c r="B227" s="88" t="s">
        <v>790</v>
      </c>
      <c r="C227" t="s">
        <v>538</v>
      </c>
      <c r="D227" s="37" t="s">
        <v>507</v>
      </c>
      <c r="E227" t="s">
        <v>5051</v>
      </c>
      <c r="F227" s="35">
        <v>46156</v>
      </c>
      <c r="G227" s="47">
        <v>4663150.2</v>
      </c>
      <c r="H227" s="37">
        <f t="shared" si="28"/>
        <v>48</v>
      </c>
      <c r="I227" s="37" t="str">
        <f t="shared" si="33"/>
        <v>0-120 DAYS</v>
      </c>
      <c r="J227" s="37" t="str">
        <f t="shared" si="29"/>
        <v>0-180 DAYS</v>
      </c>
      <c r="K227" t="s">
        <v>1730</v>
      </c>
      <c r="M227" s="158" t="s">
        <v>5223</v>
      </c>
      <c r="N227" s="158">
        <v>4663150.2</v>
      </c>
    </row>
    <row r="228" spans="1:14" x14ac:dyDescent="0.35">
      <c r="A228" s="88" t="s">
        <v>477</v>
      </c>
      <c r="B228" t="s">
        <v>790</v>
      </c>
      <c r="C228" t="s">
        <v>2891</v>
      </c>
      <c r="D228" t="s">
        <v>2967</v>
      </c>
      <c r="E228" t="s">
        <v>5052</v>
      </c>
      <c r="F228" s="35">
        <v>46158</v>
      </c>
      <c r="G228" s="47">
        <v>849600</v>
      </c>
      <c r="H228" s="37">
        <f t="shared" si="28"/>
        <v>46</v>
      </c>
      <c r="I228" s="37" t="str">
        <f t="shared" ref="I228" si="34">IF(H228&lt;91,"1-90 DAYS",IF(H228&lt;121,"91-120DAYS",IF(H228&lt;181,"121-180 DAYS","More than 180 Days")))</f>
        <v>1-90 DAYS</v>
      </c>
      <c r="J228" s="37" t="str">
        <f t="shared" si="29"/>
        <v>0-180 DAYS</v>
      </c>
      <c r="K228" t="s">
        <v>1730</v>
      </c>
      <c r="M228" s="158" t="s">
        <v>5207</v>
      </c>
      <c r="N228" s="158">
        <v>849600</v>
      </c>
    </row>
    <row r="229" spans="1:14" x14ac:dyDescent="0.35">
      <c r="A229" t="s">
        <v>1085</v>
      </c>
      <c r="B229" t="s">
        <v>790</v>
      </c>
      <c r="C229" t="s">
        <v>814</v>
      </c>
      <c r="D229" t="s">
        <v>5019</v>
      </c>
      <c r="E229" t="s">
        <v>5053</v>
      </c>
      <c r="F229" s="35">
        <v>46160</v>
      </c>
      <c r="G229" s="47">
        <v>884826.39</v>
      </c>
      <c r="H229" s="37">
        <f t="shared" si="28"/>
        <v>44</v>
      </c>
      <c r="I229" s="37" t="str">
        <f t="shared" si="33"/>
        <v>0-120 DAYS</v>
      </c>
      <c r="J229" s="37" t="str">
        <f t="shared" si="29"/>
        <v>0-180 DAYS</v>
      </c>
      <c r="K229" t="s">
        <v>1730</v>
      </c>
      <c r="M229" s="158" t="s">
        <v>5209</v>
      </c>
      <c r="N229" s="158">
        <v>884826.39</v>
      </c>
    </row>
    <row r="230" spans="1:14" x14ac:dyDescent="0.35">
      <c r="A230" s="88" t="s">
        <v>477</v>
      </c>
      <c r="B230" t="s">
        <v>790</v>
      </c>
      <c r="C230" t="s">
        <v>5054</v>
      </c>
      <c r="D230" t="s">
        <v>5055</v>
      </c>
      <c r="E230" t="s">
        <v>5056</v>
      </c>
      <c r="F230" s="35">
        <v>46161</v>
      </c>
      <c r="G230" s="47">
        <v>206500</v>
      </c>
      <c r="H230" s="37">
        <f t="shared" si="28"/>
        <v>43</v>
      </c>
      <c r="I230" s="37" t="str">
        <f t="shared" ref="I230" si="35">IF(H230&lt;91,"1-90 DAYS",IF(H230&lt;121,"91-120DAYS",IF(H230&lt;181,"121-180 DAYS","More than 180 Days")))</f>
        <v>1-90 DAYS</v>
      </c>
      <c r="J230" s="37" t="str">
        <f t="shared" si="29"/>
        <v>0-180 DAYS</v>
      </c>
      <c r="K230" t="s">
        <v>1730</v>
      </c>
      <c r="M230" s="158" t="s">
        <v>5210</v>
      </c>
      <c r="N230" s="158">
        <v>206500</v>
      </c>
    </row>
    <row r="231" spans="1:14" x14ac:dyDescent="0.35">
      <c r="A231" s="88" t="s">
        <v>4333</v>
      </c>
      <c r="B231" s="88" t="s">
        <v>789</v>
      </c>
      <c r="C231" t="s">
        <v>125</v>
      </c>
      <c r="D231" t="s">
        <v>57</v>
      </c>
      <c r="E231" t="s">
        <v>1612</v>
      </c>
      <c r="F231" s="35">
        <v>46161</v>
      </c>
      <c r="G231" s="47">
        <v>1290786.95</v>
      </c>
      <c r="H231" s="37">
        <f t="shared" si="28"/>
        <v>43</v>
      </c>
      <c r="I231" s="37" t="s">
        <v>481</v>
      </c>
      <c r="J231" s="37" t="str">
        <f t="shared" si="29"/>
        <v>0-180 DAYS</v>
      </c>
      <c r="M231" s="158" t="s">
        <v>5210</v>
      </c>
      <c r="N231" s="158">
        <v>1290786.95</v>
      </c>
    </row>
    <row r="232" spans="1:14" x14ac:dyDescent="0.35">
      <c r="A232" s="88" t="s">
        <v>1085</v>
      </c>
      <c r="B232" s="88" t="s">
        <v>790</v>
      </c>
      <c r="C232" t="s">
        <v>1086</v>
      </c>
      <c r="D232" s="37" t="s">
        <v>507</v>
      </c>
      <c r="E232" t="s">
        <v>5057</v>
      </c>
      <c r="F232" s="35">
        <v>46162</v>
      </c>
      <c r="G232" s="47">
        <v>2256022.2400000002</v>
      </c>
      <c r="H232" s="37">
        <f t="shared" si="28"/>
        <v>42</v>
      </c>
      <c r="I232" s="37" t="str">
        <f t="shared" si="33"/>
        <v>0-120 DAYS</v>
      </c>
      <c r="J232" s="37" t="str">
        <f t="shared" si="29"/>
        <v>0-180 DAYS</v>
      </c>
      <c r="K232" t="s">
        <v>1730</v>
      </c>
      <c r="M232" s="158" t="s">
        <v>5211</v>
      </c>
      <c r="N232" s="158">
        <v>2256022.2400000002</v>
      </c>
    </row>
    <row r="233" spans="1:14" x14ac:dyDescent="0.35">
      <c r="A233" s="88" t="s">
        <v>1085</v>
      </c>
      <c r="B233" s="88" t="s">
        <v>790</v>
      </c>
      <c r="C233" t="s">
        <v>1086</v>
      </c>
      <c r="D233" s="37" t="s">
        <v>507</v>
      </c>
      <c r="E233" t="s">
        <v>5058</v>
      </c>
      <c r="F233" s="35">
        <v>46162</v>
      </c>
      <c r="G233" s="47">
        <v>712587.09</v>
      </c>
      <c r="H233" s="37">
        <f t="shared" si="28"/>
        <v>42</v>
      </c>
      <c r="I233" s="37" t="str">
        <f t="shared" si="33"/>
        <v>0-120 DAYS</v>
      </c>
      <c r="J233" s="37" t="str">
        <f t="shared" si="29"/>
        <v>0-180 DAYS</v>
      </c>
      <c r="K233" t="s">
        <v>1730</v>
      </c>
      <c r="M233" s="158" t="s">
        <v>5211</v>
      </c>
      <c r="N233" s="158">
        <v>712587.09</v>
      </c>
    </row>
    <row r="234" spans="1:14" x14ac:dyDescent="0.35">
      <c r="A234" s="88" t="s">
        <v>1085</v>
      </c>
      <c r="B234" s="88" t="s">
        <v>790</v>
      </c>
      <c r="C234" t="s">
        <v>1086</v>
      </c>
      <c r="D234" s="37" t="s">
        <v>507</v>
      </c>
      <c r="E234" t="s">
        <v>5059</v>
      </c>
      <c r="F234" s="35">
        <v>46162</v>
      </c>
      <c r="G234" s="47">
        <v>101104.49</v>
      </c>
      <c r="H234" s="37">
        <f t="shared" si="28"/>
        <v>42</v>
      </c>
      <c r="I234" s="37" t="str">
        <f t="shared" si="33"/>
        <v>0-120 DAYS</v>
      </c>
      <c r="J234" s="37" t="str">
        <f t="shared" si="29"/>
        <v>0-180 DAYS</v>
      </c>
      <c r="K234" t="s">
        <v>1730</v>
      </c>
      <c r="M234" s="158" t="s">
        <v>5211</v>
      </c>
      <c r="N234" s="158">
        <v>101104.49</v>
      </c>
    </row>
    <row r="235" spans="1:14" x14ac:dyDescent="0.35">
      <c r="A235" s="88" t="s">
        <v>1085</v>
      </c>
      <c r="B235" s="88" t="s">
        <v>790</v>
      </c>
      <c r="C235" t="s">
        <v>1086</v>
      </c>
      <c r="D235" s="37" t="s">
        <v>507</v>
      </c>
      <c r="E235" t="s">
        <v>5060</v>
      </c>
      <c r="F235" s="35">
        <v>46162</v>
      </c>
      <c r="G235" s="47">
        <v>3109048.79</v>
      </c>
      <c r="H235" s="37">
        <f t="shared" si="28"/>
        <v>42</v>
      </c>
      <c r="I235" s="37" t="str">
        <f t="shared" si="33"/>
        <v>0-120 DAYS</v>
      </c>
      <c r="J235" s="37" t="str">
        <f t="shared" si="29"/>
        <v>0-180 DAYS</v>
      </c>
      <c r="K235" t="s">
        <v>1730</v>
      </c>
      <c r="M235" s="158" t="s">
        <v>5211</v>
      </c>
      <c r="N235" s="158">
        <v>3109048.79</v>
      </c>
    </row>
    <row r="236" spans="1:14" x14ac:dyDescent="0.35">
      <c r="A236" s="88" t="s">
        <v>4333</v>
      </c>
      <c r="B236" s="88" t="s">
        <v>789</v>
      </c>
      <c r="C236" t="s">
        <v>125</v>
      </c>
      <c r="D236" t="s">
        <v>57</v>
      </c>
      <c r="E236" t="s">
        <v>5061</v>
      </c>
      <c r="F236" s="35">
        <v>46164</v>
      </c>
      <c r="G236" s="47">
        <v>496019.23</v>
      </c>
      <c r="H236" s="37">
        <f t="shared" si="28"/>
        <v>40</v>
      </c>
      <c r="I236" s="37" t="s">
        <v>481</v>
      </c>
      <c r="J236" s="37" t="str">
        <f t="shared" si="29"/>
        <v>0-180 DAYS</v>
      </c>
      <c r="M236" s="158" t="s">
        <v>5213</v>
      </c>
      <c r="N236" s="158">
        <v>496019.23</v>
      </c>
    </row>
    <row r="237" spans="1:14" x14ac:dyDescent="0.35">
      <c r="A237" s="88" t="s">
        <v>4333</v>
      </c>
      <c r="B237" s="88" t="s">
        <v>789</v>
      </c>
      <c r="C237" t="s">
        <v>125</v>
      </c>
      <c r="D237" t="s">
        <v>57</v>
      </c>
      <c r="E237" t="s">
        <v>15</v>
      </c>
      <c r="F237" s="35">
        <v>46164</v>
      </c>
      <c r="G237" s="47">
        <v>4866.91</v>
      </c>
      <c r="H237" s="37">
        <f t="shared" si="28"/>
        <v>40</v>
      </c>
      <c r="I237" s="37" t="s">
        <v>481</v>
      </c>
      <c r="J237" s="37" t="str">
        <f t="shared" si="29"/>
        <v>0-180 DAYS</v>
      </c>
      <c r="M237" s="158" t="s">
        <v>5213</v>
      </c>
      <c r="N237" s="158">
        <v>4866.91</v>
      </c>
    </row>
    <row r="238" spans="1:14" x14ac:dyDescent="0.35">
      <c r="A238" s="88" t="s">
        <v>1085</v>
      </c>
      <c r="B238" s="88" t="s">
        <v>790</v>
      </c>
      <c r="C238" t="s">
        <v>650</v>
      </c>
      <c r="D238" s="37" t="s">
        <v>507</v>
      </c>
      <c r="E238" t="s">
        <v>5062</v>
      </c>
      <c r="F238" s="35">
        <v>46164</v>
      </c>
      <c r="G238" s="47">
        <v>4407861.51</v>
      </c>
      <c r="H238" s="37">
        <f t="shared" si="28"/>
        <v>40</v>
      </c>
      <c r="I238" s="37" t="str">
        <f t="shared" si="33"/>
        <v>0-120 DAYS</v>
      </c>
      <c r="J238" s="37" t="str">
        <f t="shared" si="29"/>
        <v>0-180 DAYS</v>
      </c>
      <c r="K238" t="s">
        <v>1730</v>
      </c>
      <c r="M238" s="158" t="s">
        <v>5213</v>
      </c>
      <c r="N238" s="158">
        <v>4407861.51</v>
      </c>
    </row>
    <row r="239" spans="1:14" x14ac:dyDescent="0.35">
      <c r="A239" s="88" t="s">
        <v>4333</v>
      </c>
      <c r="B239" s="88" t="s">
        <v>789</v>
      </c>
      <c r="C239" t="s">
        <v>125</v>
      </c>
      <c r="D239" t="s">
        <v>57</v>
      </c>
      <c r="E239" t="s">
        <v>5063</v>
      </c>
      <c r="F239" s="35">
        <v>46165</v>
      </c>
      <c r="G239" s="47">
        <v>5939732.2999999998</v>
      </c>
      <c r="H239" s="37">
        <f t="shared" si="28"/>
        <v>39</v>
      </c>
      <c r="I239" s="37" t="s">
        <v>481</v>
      </c>
      <c r="J239" s="37" t="str">
        <f t="shared" si="29"/>
        <v>0-180 DAYS</v>
      </c>
      <c r="M239" s="158" t="s">
        <v>5214</v>
      </c>
      <c r="N239" s="158">
        <v>5939732.2999999998</v>
      </c>
    </row>
    <row r="240" spans="1:14" x14ac:dyDescent="0.35">
      <c r="A240" s="88" t="s">
        <v>4333</v>
      </c>
      <c r="B240" s="88" t="s">
        <v>789</v>
      </c>
      <c r="C240" t="s">
        <v>125</v>
      </c>
      <c r="D240" t="s">
        <v>57</v>
      </c>
      <c r="E240" t="s">
        <v>5064</v>
      </c>
      <c r="F240" s="35">
        <v>46166</v>
      </c>
      <c r="G240" s="47">
        <v>992208.78</v>
      </c>
      <c r="H240" s="37">
        <f t="shared" si="28"/>
        <v>38</v>
      </c>
      <c r="I240" s="37" t="s">
        <v>481</v>
      </c>
      <c r="J240" s="37" t="str">
        <f t="shared" si="29"/>
        <v>0-180 DAYS</v>
      </c>
      <c r="M240" s="158" t="s">
        <v>5215</v>
      </c>
      <c r="N240" s="158">
        <v>992208.78</v>
      </c>
    </row>
    <row r="241" spans="1:14" x14ac:dyDescent="0.35">
      <c r="A241" s="88" t="s">
        <v>1085</v>
      </c>
      <c r="B241" s="88" t="s">
        <v>790</v>
      </c>
      <c r="C241" t="s">
        <v>647</v>
      </c>
      <c r="D241" s="37" t="s">
        <v>507</v>
      </c>
      <c r="E241" t="s">
        <v>5065</v>
      </c>
      <c r="F241" s="35">
        <v>46169</v>
      </c>
      <c r="G241" s="47">
        <v>3244593.64</v>
      </c>
      <c r="H241" s="37">
        <f t="shared" si="28"/>
        <v>35</v>
      </c>
      <c r="I241" s="37" t="str">
        <f t="shared" si="33"/>
        <v>0-120 DAYS</v>
      </c>
      <c r="J241" s="37" t="str">
        <f t="shared" si="29"/>
        <v>0-180 DAYS</v>
      </c>
      <c r="K241" t="s">
        <v>1730</v>
      </c>
      <c r="M241" s="158" t="s">
        <v>5218</v>
      </c>
      <c r="N241" s="158">
        <v>3244593.64</v>
      </c>
    </row>
    <row r="242" spans="1:14" x14ac:dyDescent="0.35">
      <c r="A242" s="88" t="s">
        <v>4333</v>
      </c>
      <c r="B242" s="88" t="s">
        <v>789</v>
      </c>
      <c r="C242" t="s">
        <v>125</v>
      </c>
      <c r="D242" t="s">
        <v>57</v>
      </c>
      <c r="E242" t="s">
        <v>1620</v>
      </c>
      <c r="F242" s="35">
        <v>46169</v>
      </c>
      <c r="G242" s="47">
        <v>872271.84</v>
      </c>
      <c r="H242" s="37">
        <f t="shared" si="28"/>
        <v>35</v>
      </c>
      <c r="I242" s="37" t="s">
        <v>481</v>
      </c>
      <c r="J242" s="37" t="str">
        <f t="shared" si="29"/>
        <v>0-180 DAYS</v>
      </c>
      <c r="M242" s="158" t="s">
        <v>5218</v>
      </c>
      <c r="N242" s="158">
        <v>872271.84</v>
      </c>
    </row>
    <row r="243" spans="1:14" x14ac:dyDescent="0.35">
      <c r="A243" s="88" t="s">
        <v>4333</v>
      </c>
      <c r="B243" s="88" t="s">
        <v>789</v>
      </c>
      <c r="C243" t="s">
        <v>125</v>
      </c>
      <c r="D243" t="s">
        <v>57</v>
      </c>
      <c r="E243" t="s">
        <v>1619</v>
      </c>
      <c r="F243" s="35">
        <v>46169</v>
      </c>
      <c r="G243" s="47">
        <v>18675.36</v>
      </c>
      <c r="H243" s="37">
        <f t="shared" si="28"/>
        <v>35</v>
      </c>
      <c r="I243" s="37" t="s">
        <v>481</v>
      </c>
      <c r="J243" s="37" t="str">
        <f t="shared" si="29"/>
        <v>0-180 DAYS</v>
      </c>
      <c r="M243" s="158" t="s">
        <v>5218</v>
      </c>
      <c r="N243" s="158">
        <v>18675.36</v>
      </c>
    </row>
    <row r="244" spans="1:14" x14ac:dyDescent="0.35">
      <c r="A244" s="88" t="s">
        <v>1085</v>
      </c>
      <c r="B244" s="88" t="s">
        <v>790</v>
      </c>
      <c r="C244" t="s">
        <v>1086</v>
      </c>
      <c r="D244" s="37" t="s">
        <v>507</v>
      </c>
      <c r="E244" t="s">
        <v>5066</v>
      </c>
      <c r="F244" s="35">
        <v>46170</v>
      </c>
      <c r="G244" s="47">
        <v>108307.11</v>
      </c>
      <c r="H244" s="37">
        <f t="shared" si="28"/>
        <v>34</v>
      </c>
      <c r="I244" s="37" t="str">
        <f t="shared" si="33"/>
        <v>0-120 DAYS</v>
      </c>
      <c r="J244" s="37" t="str">
        <f t="shared" si="29"/>
        <v>0-180 DAYS</v>
      </c>
      <c r="K244" t="s">
        <v>1730</v>
      </c>
      <c r="M244" s="158" t="s">
        <v>5219</v>
      </c>
      <c r="N244" s="158">
        <v>108307.11</v>
      </c>
    </row>
    <row r="245" spans="1:14" x14ac:dyDescent="0.35">
      <c r="A245" s="88" t="s">
        <v>1085</v>
      </c>
      <c r="B245" s="88" t="s">
        <v>790</v>
      </c>
      <c r="C245" t="s">
        <v>1086</v>
      </c>
      <c r="D245" s="37" t="s">
        <v>507</v>
      </c>
      <c r="E245" t="s">
        <v>5067</v>
      </c>
      <c r="F245" s="35">
        <v>46170</v>
      </c>
      <c r="G245" s="47">
        <v>1664664.16</v>
      </c>
      <c r="H245" s="37">
        <f t="shared" si="28"/>
        <v>34</v>
      </c>
      <c r="I245" s="37" t="str">
        <f t="shared" si="33"/>
        <v>0-120 DAYS</v>
      </c>
      <c r="J245" s="37" t="str">
        <f t="shared" si="29"/>
        <v>0-180 DAYS</v>
      </c>
      <c r="K245" t="s">
        <v>1730</v>
      </c>
      <c r="M245" s="158" t="s">
        <v>5219</v>
      </c>
      <c r="N245" s="158">
        <v>1664664.16</v>
      </c>
    </row>
    <row r="246" spans="1:14" x14ac:dyDescent="0.35">
      <c r="A246" s="88" t="s">
        <v>1085</v>
      </c>
      <c r="B246" s="88" t="s">
        <v>790</v>
      </c>
      <c r="C246" t="s">
        <v>1086</v>
      </c>
      <c r="D246" s="37" t="s">
        <v>507</v>
      </c>
      <c r="E246" t="s">
        <v>5068</v>
      </c>
      <c r="F246" s="35">
        <v>46170</v>
      </c>
      <c r="G246" s="47">
        <v>1179699.76</v>
      </c>
      <c r="H246" s="37">
        <f t="shared" si="28"/>
        <v>34</v>
      </c>
      <c r="I246" s="37" t="str">
        <f t="shared" si="33"/>
        <v>0-120 DAYS</v>
      </c>
      <c r="J246" s="37" t="str">
        <f t="shared" si="29"/>
        <v>0-180 DAYS</v>
      </c>
      <c r="K246" t="s">
        <v>1730</v>
      </c>
      <c r="M246" s="158" t="s">
        <v>5219</v>
      </c>
      <c r="N246" s="158">
        <v>1179699.76</v>
      </c>
    </row>
    <row r="247" spans="1:14" x14ac:dyDescent="0.35">
      <c r="A247" s="88" t="s">
        <v>4333</v>
      </c>
      <c r="B247" s="88" t="s">
        <v>789</v>
      </c>
      <c r="C247" t="s">
        <v>125</v>
      </c>
      <c r="D247" t="s">
        <v>57</v>
      </c>
      <c r="E247" t="s">
        <v>5069</v>
      </c>
      <c r="F247" s="35">
        <v>46170</v>
      </c>
      <c r="G247" s="47">
        <v>5547079.8300000001</v>
      </c>
      <c r="H247" s="37">
        <f t="shared" si="28"/>
        <v>34</v>
      </c>
      <c r="I247" s="37" t="s">
        <v>481</v>
      </c>
      <c r="J247" s="37" t="str">
        <f t="shared" si="29"/>
        <v>0-180 DAYS</v>
      </c>
      <c r="M247" s="158" t="s">
        <v>5219</v>
      </c>
      <c r="N247" s="158">
        <v>5547079.8300000001</v>
      </c>
    </row>
    <row r="248" spans="1:14" x14ac:dyDescent="0.35">
      <c r="A248" s="88" t="s">
        <v>4333</v>
      </c>
      <c r="B248" s="88" t="s">
        <v>789</v>
      </c>
      <c r="C248" t="s">
        <v>125</v>
      </c>
      <c r="D248" t="s">
        <v>57</v>
      </c>
      <c r="E248" t="s">
        <v>5070</v>
      </c>
      <c r="F248" s="35">
        <v>46172</v>
      </c>
      <c r="G248" s="47">
        <v>326224.58</v>
      </c>
      <c r="H248" s="37">
        <f t="shared" si="28"/>
        <v>32</v>
      </c>
      <c r="I248" s="37" t="s">
        <v>481</v>
      </c>
      <c r="J248" s="37" t="str">
        <f t="shared" si="29"/>
        <v>0-180 DAYS</v>
      </c>
      <c r="M248" s="158" t="s">
        <v>5221</v>
      </c>
      <c r="N248" s="158">
        <v>326224.58</v>
      </c>
    </row>
    <row r="249" spans="1:14" x14ac:dyDescent="0.35">
      <c r="A249" s="88" t="s">
        <v>4333</v>
      </c>
      <c r="B249" s="88" t="s">
        <v>789</v>
      </c>
      <c r="C249" t="s">
        <v>125</v>
      </c>
      <c r="D249" t="s">
        <v>57</v>
      </c>
      <c r="E249" t="s">
        <v>5071</v>
      </c>
      <c r="F249" s="35">
        <v>46172</v>
      </c>
      <c r="G249" s="47">
        <v>3169.15</v>
      </c>
      <c r="H249" s="37">
        <f t="shared" si="28"/>
        <v>32</v>
      </c>
      <c r="I249" s="37" t="s">
        <v>481</v>
      </c>
      <c r="J249" s="37" t="str">
        <f t="shared" si="29"/>
        <v>0-180 DAYS</v>
      </c>
      <c r="M249" s="158" t="s">
        <v>5221</v>
      </c>
      <c r="N249" s="158">
        <v>3169.15</v>
      </c>
    </row>
    <row r="250" spans="1:14" x14ac:dyDescent="0.35">
      <c r="A250" t="s">
        <v>477</v>
      </c>
      <c r="B250" t="s">
        <v>790</v>
      </c>
      <c r="C250" t="s">
        <v>4780</v>
      </c>
      <c r="D250" t="s">
        <v>4783</v>
      </c>
      <c r="E250" t="s">
        <v>5077</v>
      </c>
      <c r="F250" s="35">
        <v>46175</v>
      </c>
      <c r="G250" s="47">
        <v>254936.21</v>
      </c>
      <c r="H250" s="37">
        <f t="shared" si="28"/>
        <v>29</v>
      </c>
      <c r="I250" s="37" t="str">
        <f t="shared" ref="I250" si="36">IF(H250&lt;91,"1-90 DAYS",IF(H250&lt;121,"91-120DAYS",IF(H250&lt;181,"121-180 DAYS","More than 180 Days")))</f>
        <v>1-90 DAYS</v>
      </c>
      <c r="J250" s="37" t="str">
        <f t="shared" si="29"/>
        <v>0-180 DAYS</v>
      </c>
      <c r="K250" t="s">
        <v>1730</v>
      </c>
      <c r="M250" s="158" t="s">
        <v>5224</v>
      </c>
      <c r="N250" s="158">
        <v>254936.21</v>
      </c>
    </row>
    <row r="251" spans="1:14" x14ac:dyDescent="0.35">
      <c r="A251" t="s">
        <v>4333</v>
      </c>
      <c r="B251" t="s">
        <v>789</v>
      </c>
      <c r="C251" t="s">
        <v>125</v>
      </c>
      <c r="D251" t="s">
        <v>57</v>
      </c>
      <c r="E251" t="s">
        <v>1966</v>
      </c>
      <c r="F251" s="35">
        <v>46175</v>
      </c>
      <c r="G251" s="47">
        <v>464859.78</v>
      </c>
      <c r="H251" s="37">
        <f t="shared" si="28"/>
        <v>29</v>
      </c>
      <c r="I251" s="37" t="s">
        <v>481</v>
      </c>
      <c r="J251" s="37" t="str">
        <f t="shared" si="29"/>
        <v>0-180 DAYS</v>
      </c>
      <c r="M251" s="158" t="s">
        <v>5224</v>
      </c>
      <c r="N251" s="158">
        <v>464859.78</v>
      </c>
    </row>
    <row r="252" spans="1:14" x14ac:dyDescent="0.35">
      <c r="A252" t="s">
        <v>4333</v>
      </c>
      <c r="B252" t="s">
        <v>789</v>
      </c>
      <c r="C252" t="s">
        <v>125</v>
      </c>
      <c r="D252" t="s">
        <v>57</v>
      </c>
      <c r="E252" t="s">
        <v>1966</v>
      </c>
      <c r="F252" s="35">
        <v>46175</v>
      </c>
      <c r="G252" s="47">
        <v>98724.12</v>
      </c>
      <c r="H252" s="37">
        <f t="shared" si="28"/>
        <v>29</v>
      </c>
      <c r="I252" s="37" t="s">
        <v>481</v>
      </c>
      <c r="J252" s="37" t="str">
        <f t="shared" si="29"/>
        <v>0-180 DAYS</v>
      </c>
      <c r="M252" s="158" t="s">
        <v>5224</v>
      </c>
      <c r="N252" s="158">
        <v>98724.12</v>
      </c>
    </row>
    <row r="253" spans="1:14" x14ac:dyDescent="0.35">
      <c r="A253" t="s">
        <v>4333</v>
      </c>
      <c r="B253" t="s">
        <v>789</v>
      </c>
      <c r="C253" t="s">
        <v>125</v>
      </c>
      <c r="D253" t="s">
        <v>57</v>
      </c>
      <c r="E253" t="s">
        <v>1966</v>
      </c>
      <c r="F253" s="35">
        <v>46175</v>
      </c>
      <c r="G253" s="47">
        <v>186785.68</v>
      </c>
      <c r="H253" s="37">
        <f t="shared" si="28"/>
        <v>29</v>
      </c>
      <c r="I253" s="37" t="s">
        <v>481</v>
      </c>
      <c r="J253" s="37" t="str">
        <f t="shared" si="29"/>
        <v>0-180 DAYS</v>
      </c>
      <c r="M253" s="158" t="s">
        <v>5224</v>
      </c>
      <c r="N253" s="158">
        <v>186785.68</v>
      </c>
    </row>
    <row r="254" spans="1:14" x14ac:dyDescent="0.35">
      <c r="A254" t="s">
        <v>4333</v>
      </c>
      <c r="B254" t="s">
        <v>789</v>
      </c>
      <c r="C254" t="s">
        <v>125</v>
      </c>
      <c r="D254" t="s">
        <v>57</v>
      </c>
      <c r="E254" t="s">
        <v>1966</v>
      </c>
      <c r="F254" s="35">
        <v>46175</v>
      </c>
      <c r="G254" s="47">
        <v>138434.82999999999</v>
      </c>
      <c r="H254" s="37">
        <f t="shared" si="28"/>
        <v>29</v>
      </c>
      <c r="I254" s="37" t="s">
        <v>481</v>
      </c>
      <c r="J254" s="37" t="str">
        <f t="shared" si="29"/>
        <v>0-180 DAYS</v>
      </c>
      <c r="M254" s="158" t="s">
        <v>5224</v>
      </c>
      <c r="N254" s="158">
        <v>138434.82999999999</v>
      </c>
    </row>
    <row r="255" spans="1:14" x14ac:dyDescent="0.35">
      <c r="A255" t="s">
        <v>4333</v>
      </c>
      <c r="B255" t="s">
        <v>789</v>
      </c>
      <c r="C255" t="s">
        <v>125</v>
      </c>
      <c r="D255" t="s">
        <v>57</v>
      </c>
      <c r="E255" t="s">
        <v>1966</v>
      </c>
      <c r="F255" s="35">
        <v>46175</v>
      </c>
      <c r="G255" s="47">
        <v>248785.41</v>
      </c>
      <c r="H255" s="37">
        <f t="shared" si="28"/>
        <v>29</v>
      </c>
      <c r="I255" s="37" t="s">
        <v>481</v>
      </c>
      <c r="J255" s="37" t="str">
        <f t="shared" si="29"/>
        <v>0-180 DAYS</v>
      </c>
      <c r="M255" s="158" t="s">
        <v>5224</v>
      </c>
      <c r="N255" s="158">
        <v>248785.41</v>
      </c>
    </row>
    <row r="256" spans="1:14" x14ac:dyDescent="0.35">
      <c r="A256" t="s">
        <v>4333</v>
      </c>
      <c r="B256" t="s">
        <v>789</v>
      </c>
      <c r="C256" t="s">
        <v>125</v>
      </c>
      <c r="D256" t="s">
        <v>57</v>
      </c>
      <c r="E256" t="s">
        <v>1966</v>
      </c>
      <c r="F256" s="35">
        <v>46175</v>
      </c>
      <c r="G256" s="47">
        <v>53741.1</v>
      </c>
      <c r="H256" s="37">
        <f t="shared" si="28"/>
        <v>29</v>
      </c>
      <c r="I256" s="37" t="s">
        <v>481</v>
      </c>
      <c r="J256" s="37" t="str">
        <f t="shared" si="29"/>
        <v>0-180 DAYS</v>
      </c>
      <c r="M256" s="158" t="s">
        <v>5224</v>
      </c>
      <c r="N256" s="158">
        <v>53741.1</v>
      </c>
    </row>
    <row r="257" spans="1:14" x14ac:dyDescent="0.35">
      <c r="A257" t="s">
        <v>4333</v>
      </c>
      <c r="B257" t="s">
        <v>789</v>
      </c>
      <c r="C257" t="s">
        <v>125</v>
      </c>
      <c r="D257" t="s">
        <v>57</v>
      </c>
      <c r="E257" t="s">
        <v>1966</v>
      </c>
      <c r="F257" s="35">
        <v>46175</v>
      </c>
      <c r="G257" s="47">
        <v>157023.6</v>
      </c>
      <c r="H257" s="37">
        <f t="shared" si="28"/>
        <v>29</v>
      </c>
      <c r="I257" s="37" t="s">
        <v>481</v>
      </c>
      <c r="J257" s="37" t="str">
        <f t="shared" si="29"/>
        <v>0-180 DAYS</v>
      </c>
      <c r="M257" s="158" t="s">
        <v>5224</v>
      </c>
      <c r="N257" s="158">
        <v>157023.6</v>
      </c>
    </row>
    <row r="258" spans="1:14" x14ac:dyDescent="0.35">
      <c r="A258" t="s">
        <v>4333</v>
      </c>
      <c r="B258" t="s">
        <v>789</v>
      </c>
      <c r="C258" t="s">
        <v>125</v>
      </c>
      <c r="D258" t="s">
        <v>57</v>
      </c>
      <c r="E258" t="s">
        <v>1967</v>
      </c>
      <c r="F258" s="35">
        <v>46175</v>
      </c>
      <c r="G258" s="47">
        <v>4800</v>
      </c>
      <c r="H258" s="37">
        <f t="shared" si="28"/>
        <v>29</v>
      </c>
      <c r="I258" s="37" t="s">
        <v>481</v>
      </c>
      <c r="J258" s="37" t="str">
        <f t="shared" si="29"/>
        <v>0-180 DAYS</v>
      </c>
      <c r="M258" s="158" t="s">
        <v>5224</v>
      </c>
      <c r="N258" s="158">
        <v>4800</v>
      </c>
    </row>
    <row r="259" spans="1:14" x14ac:dyDescent="0.35">
      <c r="A259" t="s">
        <v>4333</v>
      </c>
      <c r="B259" t="s">
        <v>789</v>
      </c>
      <c r="C259" t="s">
        <v>125</v>
      </c>
      <c r="D259" t="s">
        <v>57</v>
      </c>
      <c r="E259" t="s">
        <v>5078</v>
      </c>
      <c r="F259" s="35">
        <v>46175</v>
      </c>
      <c r="G259" s="47">
        <v>42553.36</v>
      </c>
      <c r="H259" s="37">
        <f t="shared" si="28"/>
        <v>29</v>
      </c>
      <c r="I259" s="37" t="s">
        <v>481</v>
      </c>
      <c r="J259" s="37" t="str">
        <f t="shared" si="29"/>
        <v>0-180 DAYS</v>
      </c>
      <c r="M259" s="158" t="s">
        <v>5224</v>
      </c>
      <c r="N259" s="158">
        <v>42553.36</v>
      </c>
    </row>
    <row r="260" spans="1:14" x14ac:dyDescent="0.35">
      <c r="A260" t="s">
        <v>4333</v>
      </c>
      <c r="B260" t="s">
        <v>789</v>
      </c>
      <c r="C260" t="s">
        <v>125</v>
      </c>
      <c r="D260" t="s">
        <v>57</v>
      </c>
      <c r="E260" t="s">
        <v>5078</v>
      </c>
      <c r="F260" s="35">
        <v>46175</v>
      </c>
      <c r="G260" s="47">
        <v>38992.300000000003</v>
      </c>
      <c r="H260" s="37">
        <f t="shared" si="28"/>
        <v>29</v>
      </c>
      <c r="I260" s="37" t="s">
        <v>481</v>
      </c>
      <c r="J260" s="37" t="str">
        <f t="shared" si="29"/>
        <v>0-180 DAYS</v>
      </c>
      <c r="M260" s="158" t="s">
        <v>5224</v>
      </c>
      <c r="N260" s="158">
        <v>38992.300000000003</v>
      </c>
    </row>
    <row r="261" spans="1:14" x14ac:dyDescent="0.35">
      <c r="A261" t="s">
        <v>4333</v>
      </c>
      <c r="B261" t="s">
        <v>789</v>
      </c>
      <c r="C261" t="s">
        <v>125</v>
      </c>
      <c r="D261" t="s">
        <v>57</v>
      </c>
      <c r="E261" t="s">
        <v>5078</v>
      </c>
      <c r="F261" s="35">
        <v>46175</v>
      </c>
      <c r="G261" s="47">
        <v>13152.9</v>
      </c>
      <c r="H261" s="37">
        <f t="shared" si="28"/>
        <v>29</v>
      </c>
      <c r="I261" s="37" t="s">
        <v>481</v>
      </c>
      <c r="J261" s="37" t="str">
        <f t="shared" si="29"/>
        <v>0-180 DAYS</v>
      </c>
      <c r="M261" s="158" t="s">
        <v>5224</v>
      </c>
      <c r="N261" s="158">
        <v>13152.9</v>
      </c>
    </row>
    <row r="262" spans="1:14" x14ac:dyDescent="0.35">
      <c r="A262" t="s">
        <v>4333</v>
      </c>
      <c r="B262" t="s">
        <v>789</v>
      </c>
      <c r="C262" t="s">
        <v>125</v>
      </c>
      <c r="D262" t="s">
        <v>57</v>
      </c>
      <c r="E262" t="s">
        <v>5079</v>
      </c>
      <c r="F262" s="35">
        <v>46175</v>
      </c>
      <c r="G262" s="47">
        <v>3312</v>
      </c>
      <c r="H262" s="37">
        <f t="shared" si="28"/>
        <v>29</v>
      </c>
      <c r="I262" s="37" t="s">
        <v>481</v>
      </c>
      <c r="J262" s="37" t="str">
        <f t="shared" si="29"/>
        <v>0-180 DAYS</v>
      </c>
      <c r="M262" s="158" t="s">
        <v>5224</v>
      </c>
      <c r="N262" s="158">
        <v>3312</v>
      </c>
    </row>
    <row r="263" spans="1:14" x14ac:dyDescent="0.35">
      <c r="A263" t="s">
        <v>4333</v>
      </c>
      <c r="B263" t="s">
        <v>789</v>
      </c>
      <c r="C263" t="s">
        <v>125</v>
      </c>
      <c r="D263" t="s">
        <v>57</v>
      </c>
      <c r="E263" t="s">
        <v>5080</v>
      </c>
      <c r="F263" s="35">
        <v>46175</v>
      </c>
      <c r="G263" s="47">
        <v>280583.38</v>
      </c>
      <c r="H263" s="37">
        <f t="shared" si="28"/>
        <v>29</v>
      </c>
      <c r="I263" s="37" t="s">
        <v>481</v>
      </c>
      <c r="J263" s="37" t="str">
        <f t="shared" si="29"/>
        <v>0-180 DAYS</v>
      </c>
      <c r="M263" s="158" t="s">
        <v>5224</v>
      </c>
      <c r="N263" s="158">
        <v>280583.38</v>
      </c>
    </row>
    <row r="264" spans="1:14" x14ac:dyDescent="0.35">
      <c r="A264" t="s">
        <v>477</v>
      </c>
      <c r="B264" t="s">
        <v>790</v>
      </c>
      <c r="C264" t="s">
        <v>3537</v>
      </c>
      <c r="D264" t="s">
        <v>3542</v>
      </c>
      <c r="E264" t="s">
        <v>5081</v>
      </c>
      <c r="F264" s="35">
        <v>46176</v>
      </c>
      <c r="G264" s="47">
        <v>440040.72</v>
      </c>
      <c r="H264" s="37">
        <f t="shared" si="28"/>
        <v>28</v>
      </c>
      <c r="I264" s="37" t="str">
        <f t="shared" ref="I264" si="37">IF(H264&lt;91,"1-90 DAYS",IF(H264&lt;121,"91-120DAYS",IF(H264&lt;181,"121-180 DAYS","More than 180 Days")))</f>
        <v>1-90 DAYS</v>
      </c>
      <c r="J264" s="37" t="str">
        <f t="shared" si="29"/>
        <v>0-180 DAYS</v>
      </c>
      <c r="K264" t="s">
        <v>1730</v>
      </c>
      <c r="M264" s="158" t="s">
        <v>5225</v>
      </c>
      <c r="N264" s="158">
        <v>440040.72</v>
      </c>
    </row>
    <row r="265" spans="1:14" x14ac:dyDescent="0.35">
      <c r="A265" t="s">
        <v>1085</v>
      </c>
      <c r="B265" t="s">
        <v>790</v>
      </c>
      <c r="C265" t="s">
        <v>559</v>
      </c>
      <c r="D265" t="s">
        <v>507</v>
      </c>
      <c r="E265" t="s">
        <v>5082</v>
      </c>
      <c r="F265" s="35">
        <v>46176</v>
      </c>
      <c r="G265" s="47">
        <v>1027955.001</v>
      </c>
      <c r="H265" s="37">
        <f t="shared" si="28"/>
        <v>28</v>
      </c>
      <c r="I265" s="37" t="str">
        <f t="shared" ref="I265:I268" si="38">IF(H265&lt;121,"0-120 DAYS",IF(H265&lt;181,"121-180 DAYS","More than 180 Days"))</f>
        <v>0-120 DAYS</v>
      </c>
      <c r="J265" s="37" t="str">
        <f t="shared" si="29"/>
        <v>0-180 DAYS</v>
      </c>
      <c r="K265" t="s">
        <v>1730</v>
      </c>
      <c r="M265" s="158" t="s">
        <v>5225</v>
      </c>
      <c r="N265" s="158">
        <v>1027955</v>
      </c>
    </row>
    <row r="266" spans="1:14" x14ac:dyDescent="0.35">
      <c r="A266" t="s">
        <v>1085</v>
      </c>
      <c r="B266" t="s">
        <v>790</v>
      </c>
      <c r="C266" t="s">
        <v>559</v>
      </c>
      <c r="D266" t="s">
        <v>507</v>
      </c>
      <c r="E266" t="s">
        <v>5082</v>
      </c>
      <c r="F266" s="35">
        <v>46176</v>
      </c>
      <c r="G266" s="47">
        <v>2680068.2415</v>
      </c>
      <c r="H266" s="37">
        <f t="shared" si="28"/>
        <v>28</v>
      </c>
      <c r="I266" s="37" t="str">
        <f t="shared" si="38"/>
        <v>0-120 DAYS</v>
      </c>
      <c r="J266" s="37" t="str">
        <f t="shared" si="29"/>
        <v>0-180 DAYS</v>
      </c>
      <c r="K266" t="s">
        <v>1730</v>
      </c>
      <c r="M266" s="158" t="s">
        <v>5225</v>
      </c>
      <c r="N266" s="158">
        <v>2680068.2400000002</v>
      </c>
    </row>
    <row r="267" spans="1:14" x14ac:dyDescent="0.35">
      <c r="A267" t="s">
        <v>1085</v>
      </c>
      <c r="B267" t="s">
        <v>790</v>
      </c>
      <c r="C267" t="s">
        <v>538</v>
      </c>
      <c r="D267" t="s">
        <v>507</v>
      </c>
      <c r="E267" t="s">
        <v>5083</v>
      </c>
      <c r="F267" s="35">
        <v>46176</v>
      </c>
      <c r="G267" s="47">
        <v>4372227.5310000004</v>
      </c>
      <c r="H267" s="37">
        <f t="shared" si="28"/>
        <v>28</v>
      </c>
      <c r="I267" s="37" t="str">
        <f t="shared" si="38"/>
        <v>0-120 DAYS</v>
      </c>
      <c r="J267" s="37" t="str">
        <f t="shared" si="29"/>
        <v>0-180 DAYS</v>
      </c>
      <c r="K267" t="s">
        <v>1730</v>
      </c>
      <c r="M267" s="158" t="s">
        <v>5225</v>
      </c>
      <c r="N267" s="158">
        <v>4372227.53</v>
      </c>
    </row>
    <row r="268" spans="1:14" x14ac:dyDescent="0.35">
      <c r="A268" t="s">
        <v>1085</v>
      </c>
      <c r="B268" t="s">
        <v>790</v>
      </c>
      <c r="C268" t="s">
        <v>538</v>
      </c>
      <c r="D268" t="s">
        <v>507</v>
      </c>
      <c r="E268" t="s">
        <v>5083</v>
      </c>
      <c r="F268" s="35">
        <v>46176</v>
      </c>
      <c r="G268" s="47">
        <v>251820.46400000001</v>
      </c>
      <c r="H268" s="37">
        <f t="shared" ref="H268:H331" si="39">$H$1-F268+1</f>
        <v>28</v>
      </c>
      <c r="I268" s="37" t="str">
        <f t="shared" si="38"/>
        <v>0-120 DAYS</v>
      </c>
      <c r="J268" s="37" t="str">
        <f t="shared" si="29"/>
        <v>0-180 DAYS</v>
      </c>
      <c r="K268" t="s">
        <v>1730</v>
      </c>
      <c r="M268" s="158" t="s">
        <v>5225</v>
      </c>
      <c r="N268" s="158">
        <v>251820.46</v>
      </c>
    </row>
    <row r="269" spans="1:14" x14ac:dyDescent="0.35">
      <c r="A269" t="s">
        <v>4333</v>
      </c>
      <c r="B269" t="s">
        <v>789</v>
      </c>
      <c r="C269" t="s">
        <v>125</v>
      </c>
      <c r="D269" t="s">
        <v>57</v>
      </c>
      <c r="E269" t="s">
        <v>5084</v>
      </c>
      <c r="F269" s="35">
        <v>46176</v>
      </c>
      <c r="G269" s="47">
        <v>6757</v>
      </c>
      <c r="H269" s="37">
        <f t="shared" si="39"/>
        <v>28</v>
      </c>
      <c r="I269" s="37" t="s">
        <v>481</v>
      </c>
      <c r="J269" s="37" t="str">
        <f t="shared" ref="J269:J332" si="40">IF(H269&lt;180,"0-180 DAYS","More than 180 Days")</f>
        <v>0-180 DAYS</v>
      </c>
      <c r="M269" s="158" t="s">
        <v>5225</v>
      </c>
      <c r="N269" s="158">
        <v>6757</v>
      </c>
    </row>
    <row r="270" spans="1:14" x14ac:dyDescent="0.35">
      <c r="A270" t="s">
        <v>4333</v>
      </c>
      <c r="B270" t="s">
        <v>789</v>
      </c>
      <c r="C270" t="s">
        <v>125</v>
      </c>
      <c r="D270" t="s">
        <v>57</v>
      </c>
      <c r="E270" t="s">
        <v>5085</v>
      </c>
      <c r="F270" s="35">
        <v>46176</v>
      </c>
      <c r="G270" s="47">
        <v>960</v>
      </c>
      <c r="H270" s="37">
        <f t="shared" si="39"/>
        <v>28</v>
      </c>
      <c r="I270" s="37" t="s">
        <v>481</v>
      </c>
      <c r="J270" s="37" t="str">
        <f t="shared" si="40"/>
        <v>0-180 DAYS</v>
      </c>
      <c r="M270" s="158" t="s">
        <v>5225</v>
      </c>
      <c r="N270" s="158">
        <v>960</v>
      </c>
    </row>
    <row r="271" spans="1:14" x14ac:dyDescent="0.35">
      <c r="A271" t="s">
        <v>4333</v>
      </c>
      <c r="B271" t="s">
        <v>789</v>
      </c>
      <c r="C271" t="s">
        <v>125</v>
      </c>
      <c r="D271" t="s">
        <v>57</v>
      </c>
      <c r="E271" t="s">
        <v>5086</v>
      </c>
      <c r="F271" s="35">
        <v>46176</v>
      </c>
      <c r="G271" s="47">
        <v>33144.58</v>
      </c>
      <c r="H271" s="37">
        <f t="shared" si="39"/>
        <v>28</v>
      </c>
      <c r="I271" s="37" t="s">
        <v>481</v>
      </c>
      <c r="J271" s="37" t="str">
        <f t="shared" si="40"/>
        <v>0-180 DAYS</v>
      </c>
      <c r="M271" s="158" t="s">
        <v>5225</v>
      </c>
      <c r="N271" s="158">
        <v>33144.58</v>
      </c>
    </row>
    <row r="272" spans="1:14" x14ac:dyDescent="0.35">
      <c r="A272" t="s">
        <v>4333</v>
      </c>
      <c r="B272" t="s">
        <v>789</v>
      </c>
      <c r="C272" t="s">
        <v>125</v>
      </c>
      <c r="D272" t="s">
        <v>57</v>
      </c>
      <c r="E272" t="s">
        <v>5086</v>
      </c>
      <c r="F272" s="35">
        <v>46176</v>
      </c>
      <c r="G272" s="47">
        <v>217180.95</v>
      </c>
      <c r="H272" s="37">
        <f t="shared" si="39"/>
        <v>28</v>
      </c>
      <c r="I272" s="37" t="s">
        <v>481</v>
      </c>
      <c r="J272" s="37" t="str">
        <f t="shared" si="40"/>
        <v>0-180 DAYS</v>
      </c>
      <c r="M272" s="158" t="s">
        <v>5225</v>
      </c>
      <c r="N272" s="158">
        <v>217180.95</v>
      </c>
    </row>
    <row r="273" spans="1:14" x14ac:dyDescent="0.35">
      <c r="A273" t="s">
        <v>4333</v>
      </c>
      <c r="B273" t="s">
        <v>789</v>
      </c>
      <c r="C273" t="s">
        <v>125</v>
      </c>
      <c r="D273" t="s">
        <v>57</v>
      </c>
      <c r="E273" t="s">
        <v>5086</v>
      </c>
      <c r="F273" s="35">
        <v>46176</v>
      </c>
      <c r="G273" s="47">
        <v>58149.15</v>
      </c>
      <c r="H273" s="37">
        <f t="shared" si="39"/>
        <v>28</v>
      </c>
      <c r="I273" s="37" t="s">
        <v>481</v>
      </c>
      <c r="J273" s="37" t="str">
        <f t="shared" si="40"/>
        <v>0-180 DAYS</v>
      </c>
      <c r="M273" s="158" t="s">
        <v>5225</v>
      </c>
      <c r="N273" s="158">
        <v>58149.15</v>
      </c>
    </row>
    <row r="274" spans="1:14" x14ac:dyDescent="0.35">
      <c r="A274" t="s">
        <v>4333</v>
      </c>
      <c r="B274" t="s">
        <v>789</v>
      </c>
      <c r="C274" t="s">
        <v>125</v>
      </c>
      <c r="D274" t="s">
        <v>57</v>
      </c>
      <c r="E274" t="s">
        <v>5086</v>
      </c>
      <c r="F274" s="35">
        <v>46176</v>
      </c>
      <c r="G274" s="47">
        <v>266900.15000000002</v>
      </c>
      <c r="H274" s="37">
        <f t="shared" si="39"/>
        <v>28</v>
      </c>
      <c r="I274" s="37" t="s">
        <v>481</v>
      </c>
      <c r="J274" s="37" t="str">
        <f t="shared" si="40"/>
        <v>0-180 DAYS</v>
      </c>
      <c r="M274" s="158" t="s">
        <v>5225</v>
      </c>
      <c r="N274" s="158">
        <v>266900.15000000002</v>
      </c>
    </row>
    <row r="275" spans="1:14" x14ac:dyDescent="0.35">
      <c r="A275" t="s">
        <v>4333</v>
      </c>
      <c r="B275" t="s">
        <v>789</v>
      </c>
      <c r="C275" t="s">
        <v>125</v>
      </c>
      <c r="D275" t="s">
        <v>57</v>
      </c>
      <c r="E275" t="s">
        <v>5086</v>
      </c>
      <c r="F275" s="35">
        <v>46176</v>
      </c>
      <c r="G275" s="47">
        <v>108318</v>
      </c>
      <c r="H275" s="37">
        <f t="shared" si="39"/>
        <v>28</v>
      </c>
      <c r="I275" s="37" t="s">
        <v>481</v>
      </c>
      <c r="J275" s="37" t="str">
        <f t="shared" si="40"/>
        <v>0-180 DAYS</v>
      </c>
      <c r="M275" s="158" t="s">
        <v>5225</v>
      </c>
      <c r="N275" s="158">
        <v>108318</v>
      </c>
    </row>
    <row r="276" spans="1:14" x14ac:dyDescent="0.35">
      <c r="A276" t="s">
        <v>4333</v>
      </c>
      <c r="B276" t="s">
        <v>789</v>
      </c>
      <c r="C276" t="s">
        <v>125</v>
      </c>
      <c r="D276" t="s">
        <v>57</v>
      </c>
      <c r="E276" t="s">
        <v>5086</v>
      </c>
      <c r="F276" s="35">
        <v>46176</v>
      </c>
      <c r="G276" s="47">
        <v>118624.03</v>
      </c>
      <c r="H276" s="37">
        <f t="shared" si="39"/>
        <v>28</v>
      </c>
      <c r="I276" s="37" t="s">
        <v>481</v>
      </c>
      <c r="J276" s="37" t="str">
        <f t="shared" si="40"/>
        <v>0-180 DAYS</v>
      </c>
      <c r="M276" s="158" t="s">
        <v>5225</v>
      </c>
      <c r="N276" s="158">
        <v>118624.03</v>
      </c>
    </row>
    <row r="277" spans="1:14" x14ac:dyDescent="0.35">
      <c r="A277" t="s">
        <v>4333</v>
      </c>
      <c r="B277" t="s">
        <v>789</v>
      </c>
      <c r="C277" t="s">
        <v>125</v>
      </c>
      <c r="D277" t="s">
        <v>57</v>
      </c>
      <c r="E277" t="s">
        <v>5087</v>
      </c>
      <c r="F277" s="35">
        <v>46176</v>
      </c>
      <c r="G277" s="47">
        <v>1367500</v>
      </c>
      <c r="H277" s="37">
        <f t="shared" si="39"/>
        <v>28</v>
      </c>
      <c r="I277" s="37" t="s">
        <v>481</v>
      </c>
      <c r="J277" s="37" t="str">
        <f t="shared" si="40"/>
        <v>0-180 DAYS</v>
      </c>
      <c r="M277" s="158" t="s">
        <v>5225</v>
      </c>
      <c r="N277" s="158">
        <v>1367500</v>
      </c>
    </row>
    <row r="278" spans="1:14" x14ac:dyDescent="0.35">
      <c r="A278" t="s">
        <v>4333</v>
      </c>
      <c r="B278" t="s">
        <v>789</v>
      </c>
      <c r="C278" t="s">
        <v>125</v>
      </c>
      <c r="D278" t="s">
        <v>57</v>
      </c>
      <c r="E278" t="s">
        <v>5088</v>
      </c>
      <c r="F278" s="35">
        <v>46176</v>
      </c>
      <c r="G278" s="47">
        <v>34500</v>
      </c>
      <c r="H278" s="37">
        <f t="shared" si="39"/>
        <v>28</v>
      </c>
      <c r="I278" s="37" t="s">
        <v>481</v>
      </c>
      <c r="J278" s="37" t="str">
        <f t="shared" si="40"/>
        <v>0-180 DAYS</v>
      </c>
      <c r="M278" s="158" t="s">
        <v>5225</v>
      </c>
      <c r="N278" s="158">
        <v>34500</v>
      </c>
    </row>
    <row r="279" spans="1:14" x14ac:dyDescent="0.35">
      <c r="A279" t="s">
        <v>477</v>
      </c>
      <c r="B279" t="s">
        <v>790</v>
      </c>
      <c r="C279" t="s">
        <v>4780</v>
      </c>
      <c r="D279" t="s">
        <v>4783</v>
      </c>
      <c r="E279" t="s">
        <v>5089</v>
      </c>
      <c r="F279" s="35">
        <v>46177</v>
      </c>
      <c r="G279" s="47">
        <v>196908.27</v>
      </c>
      <c r="H279" s="37">
        <f t="shared" si="39"/>
        <v>27</v>
      </c>
      <c r="I279" s="37" t="str">
        <f t="shared" ref="I279" si="41">IF(H279&lt;91,"1-90 DAYS",IF(H279&lt;121,"91-120DAYS",IF(H279&lt;181,"121-180 DAYS","More than 180 Days")))</f>
        <v>1-90 DAYS</v>
      </c>
      <c r="J279" s="37" t="str">
        <f t="shared" si="40"/>
        <v>0-180 DAYS</v>
      </c>
      <c r="K279" t="s">
        <v>1730</v>
      </c>
      <c r="M279" s="158" t="s">
        <v>5226</v>
      </c>
      <c r="N279" s="158">
        <v>196908.27</v>
      </c>
    </row>
    <row r="280" spans="1:14" x14ac:dyDescent="0.35">
      <c r="A280" t="s">
        <v>4333</v>
      </c>
      <c r="B280" t="s">
        <v>789</v>
      </c>
      <c r="C280" t="s">
        <v>125</v>
      </c>
      <c r="D280" t="s">
        <v>57</v>
      </c>
      <c r="E280" t="s">
        <v>5090</v>
      </c>
      <c r="F280" s="35">
        <v>46177</v>
      </c>
      <c r="G280" s="47">
        <v>6864</v>
      </c>
      <c r="H280" s="37">
        <f t="shared" si="39"/>
        <v>27</v>
      </c>
      <c r="I280" s="37" t="s">
        <v>481</v>
      </c>
      <c r="J280" s="37" t="str">
        <f t="shared" si="40"/>
        <v>0-180 DAYS</v>
      </c>
      <c r="M280" s="158" t="s">
        <v>5226</v>
      </c>
      <c r="N280" s="158">
        <v>6864</v>
      </c>
    </row>
    <row r="281" spans="1:14" x14ac:dyDescent="0.35">
      <c r="A281" t="s">
        <v>4333</v>
      </c>
      <c r="B281" t="s">
        <v>789</v>
      </c>
      <c r="C281" t="s">
        <v>125</v>
      </c>
      <c r="D281" t="s">
        <v>57</v>
      </c>
      <c r="E281" t="s">
        <v>2034</v>
      </c>
      <c r="F281" s="35">
        <v>46177</v>
      </c>
      <c r="G281" s="47">
        <v>161431.28</v>
      </c>
      <c r="H281" s="37">
        <f t="shared" si="39"/>
        <v>27</v>
      </c>
      <c r="I281" s="37" t="s">
        <v>481</v>
      </c>
      <c r="J281" s="37" t="str">
        <f t="shared" si="40"/>
        <v>0-180 DAYS</v>
      </c>
      <c r="M281" s="158" t="s">
        <v>5226</v>
      </c>
      <c r="N281" s="158">
        <v>161431.28</v>
      </c>
    </row>
    <row r="282" spans="1:14" x14ac:dyDescent="0.35">
      <c r="A282" t="s">
        <v>4333</v>
      </c>
      <c r="B282" t="s">
        <v>789</v>
      </c>
      <c r="C282" t="s">
        <v>125</v>
      </c>
      <c r="D282" t="s">
        <v>57</v>
      </c>
      <c r="E282" t="s">
        <v>2034</v>
      </c>
      <c r="F282" s="35">
        <v>46177</v>
      </c>
      <c r="G282" s="47">
        <v>605807.1</v>
      </c>
      <c r="H282" s="37">
        <f t="shared" si="39"/>
        <v>27</v>
      </c>
      <c r="I282" s="37" t="s">
        <v>481</v>
      </c>
      <c r="J282" s="37" t="str">
        <f t="shared" si="40"/>
        <v>0-180 DAYS</v>
      </c>
      <c r="M282" s="158" t="s">
        <v>5226</v>
      </c>
      <c r="N282" s="158">
        <v>605807.1</v>
      </c>
    </row>
    <row r="283" spans="1:14" x14ac:dyDescent="0.35">
      <c r="A283" t="s">
        <v>4333</v>
      </c>
      <c r="B283" t="s">
        <v>789</v>
      </c>
      <c r="C283" t="s">
        <v>125</v>
      </c>
      <c r="D283" t="s">
        <v>57</v>
      </c>
      <c r="E283" t="s">
        <v>2034</v>
      </c>
      <c r="F283" s="35">
        <v>46177</v>
      </c>
      <c r="G283" s="47">
        <v>66777.929999999993</v>
      </c>
      <c r="H283" s="37">
        <f t="shared" si="39"/>
        <v>27</v>
      </c>
      <c r="I283" s="37" t="s">
        <v>481</v>
      </c>
      <c r="J283" s="37" t="str">
        <f t="shared" si="40"/>
        <v>0-180 DAYS</v>
      </c>
      <c r="M283" s="158" t="s">
        <v>5226</v>
      </c>
      <c r="N283" s="158">
        <v>66777.929999999993</v>
      </c>
    </row>
    <row r="284" spans="1:14" x14ac:dyDescent="0.35">
      <c r="A284" t="s">
        <v>4333</v>
      </c>
      <c r="B284" t="s">
        <v>789</v>
      </c>
      <c r="C284" t="s">
        <v>125</v>
      </c>
      <c r="D284" t="s">
        <v>57</v>
      </c>
      <c r="E284" t="s">
        <v>2034</v>
      </c>
      <c r="F284" s="35">
        <v>46177</v>
      </c>
      <c r="G284" s="47">
        <v>7620.74</v>
      </c>
      <c r="H284" s="37">
        <f t="shared" si="39"/>
        <v>27</v>
      </c>
      <c r="I284" s="37" t="s">
        <v>481</v>
      </c>
      <c r="J284" s="37" t="str">
        <f t="shared" si="40"/>
        <v>0-180 DAYS</v>
      </c>
      <c r="M284" s="158" t="s">
        <v>5226</v>
      </c>
      <c r="N284" s="158">
        <v>7620.74</v>
      </c>
    </row>
    <row r="285" spans="1:14" x14ac:dyDescent="0.35">
      <c r="A285" t="s">
        <v>4333</v>
      </c>
      <c r="B285" t="s">
        <v>789</v>
      </c>
      <c r="C285" t="s">
        <v>125</v>
      </c>
      <c r="D285" t="s">
        <v>57</v>
      </c>
      <c r="E285" t="s">
        <v>2034</v>
      </c>
      <c r="F285" s="35">
        <v>46177</v>
      </c>
      <c r="G285" s="47">
        <v>112874.86</v>
      </c>
      <c r="H285" s="37">
        <f t="shared" si="39"/>
        <v>27</v>
      </c>
      <c r="I285" s="37" t="s">
        <v>481</v>
      </c>
      <c r="J285" s="37" t="str">
        <f t="shared" si="40"/>
        <v>0-180 DAYS</v>
      </c>
      <c r="M285" s="158" t="s">
        <v>5226</v>
      </c>
      <c r="N285" s="158">
        <v>112874.86</v>
      </c>
    </row>
    <row r="286" spans="1:14" x14ac:dyDescent="0.35">
      <c r="A286" t="s">
        <v>477</v>
      </c>
      <c r="B286" t="s">
        <v>790</v>
      </c>
      <c r="C286" t="s">
        <v>4942</v>
      </c>
      <c r="D286" t="s">
        <v>4951</v>
      </c>
      <c r="E286" t="s">
        <v>5091</v>
      </c>
      <c r="F286" s="35">
        <v>46178</v>
      </c>
      <c r="G286" s="47">
        <v>449775</v>
      </c>
      <c r="H286" s="37">
        <f t="shared" si="39"/>
        <v>26</v>
      </c>
      <c r="I286" s="37" t="str">
        <f t="shared" ref="I286" si="42">IF(H286&lt;91,"1-90 DAYS",IF(H286&lt;121,"91-120DAYS",IF(H286&lt;181,"121-180 DAYS","More than 180 Days")))</f>
        <v>1-90 DAYS</v>
      </c>
      <c r="J286" s="37" t="str">
        <f t="shared" si="40"/>
        <v>0-180 DAYS</v>
      </c>
      <c r="K286" t="s">
        <v>1730</v>
      </c>
      <c r="M286" s="158" t="s">
        <v>5227</v>
      </c>
      <c r="N286" s="158">
        <v>449775</v>
      </c>
    </row>
    <row r="287" spans="1:14" x14ac:dyDescent="0.35">
      <c r="A287" t="s">
        <v>1085</v>
      </c>
      <c r="B287" t="s">
        <v>790</v>
      </c>
      <c r="C287" t="s">
        <v>814</v>
      </c>
      <c r="D287" t="s">
        <v>5019</v>
      </c>
      <c r="E287" t="s">
        <v>5092</v>
      </c>
      <c r="F287" s="35">
        <v>46178</v>
      </c>
      <c r="G287" s="47">
        <v>4040</v>
      </c>
      <c r="H287" s="37">
        <f t="shared" si="39"/>
        <v>26</v>
      </c>
      <c r="I287" s="37" t="str">
        <f t="shared" ref="I287:I288" si="43">IF(H287&lt;121,"0-120 DAYS",IF(H287&lt;181,"121-180 DAYS","More than 180 Days"))</f>
        <v>0-120 DAYS</v>
      </c>
      <c r="J287" s="37" t="str">
        <f t="shared" si="40"/>
        <v>0-180 DAYS</v>
      </c>
      <c r="K287" t="s">
        <v>1730</v>
      </c>
      <c r="M287" s="158" t="s">
        <v>5227</v>
      </c>
      <c r="N287" s="158">
        <v>4040</v>
      </c>
    </row>
    <row r="288" spans="1:14" x14ac:dyDescent="0.35">
      <c r="A288" t="s">
        <v>1085</v>
      </c>
      <c r="B288" t="s">
        <v>790</v>
      </c>
      <c r="C288" t="s">
        <v>814</v>
      </c>
      <c r="D288" t="s">
        <v>5019</v>
      </c>
      <c r="E288" t="s">
        <v>5093</v>
      </c>
      <c r="F288" s="35">
        <v>46178</v>
      </c>
      <c r="G288" s="47">
        <v>1705</v>
      </c>
      <c r="H288" s="37">
        <f t="shared" si="39"/>
        <v>26</v>
      </c>
      <c r="I288" s="37" t="str">
        <f t="shared" si="43"/>
        <v>0-120 DAYS</v>
      </c>
      <c r="J288" s="37" t="str">
        <f t="shared" si="40"/>
        <v>0-180 DAYS</v>
      </c>
      <c r="K288" t="s">
        <v>1730</v>
      </c>
      <c r="M288" s="158" t="s">
        <v>5227</v>
      </c>
      <c r="N288" s="158">
        <v>1705</v>
      </c>
    </row>
    <row r="289" spans="1:14" x14ac:dyDescent="0.35">
      <c r="A289" t="s">
        <v>4333</v>
      </c>
      <c r="B289" t="s">
        <v>789</v>
      </c>
      <c r="C289" t="s">
        <v>125</v>
      </c>
      <c r="D289" t="s">
        <v>57</v>
      </c>
      <c r="E289" t="s">
        <v>5094</v>
      </c>
      <c r="F289" s="35">
        <v>46178</v>
      </c>
      <c r="G289" s="47">
        <v>2112</v>
      </c>
      <c r="H289" s="37">
        <f t="shared" si="39"/>
        <v>26</v>
      </c>
      <c r="I289" s="37" t="s">
        <v>481</v>
      </c>
      <c r="J289" s="37" t="str">
        <f t="shared" si="40"/>
        <v>0-180 DAYS</v>
      </c>
      <c r="M289" s="158" t="s">
        <v>5227</v>
      </c>
      <c r="N289" s="158">
        <v>2112</v>
      </c>
    </row>
    <row r="290" spans="1:14" x14ac:dyDescent="0.35">
      <c r="A290" t="s">
        <v>4333</v>
      </c>
      <c r="B290" t="s">
        <v>789</v>
      </c>
      <c r="C290" t="s">
        <v>125</v>
      </c>
      <c r="D290" t="s">
        <v>57</v>
      </c>
      <c r="E290" t="s">
        <v>5095</v>
      </c>
      <c r="F290" s="35">
        <v>46178</v>
      </c>
      <c r="G290" s="47">
        <v>112287.6</v>
      </c>
      <c r="H290" s="37">
        <f t="shared" si="39"/>
        <v>26</v>
      </c>
      <c r="I290" s="37" t="s">
        <v>481</v>
      </c>
      <c r="J290" s="37" t="str">
        <f t="shared" si="40"/>
        <v>0-180 DAYS</v>
      </c>
      <c r="M290" s="158" t="s">
        <v>5227</v>
      </c>
      <c r="N290" s="158">
        <v>112287.6</v>
      </c>
    </row>
    <row r="291" spans="1:14" x14ac:dyDescent="0.35">
      <c r="A291" t="s">
        <v>4333</v>
      </c>
      <c r="B291" t="s">
        <v>789</v>
      </c>
      <c r="C291" t="s">
        <v>125</v>
      </c>
      <c r="D291" t="s">
        <v>57</v>
      </c>
      <c r="E291" t="s">
        <v>5095</v>
      </c>
      <c r="F291" s="35">
        <v>46178</v>
      </c>
      <c r="G291" s="47">
        <v>121886.52</v>
      </c>
      <c r="H291" s="37">
        <f t="shared" si="39"/>
        <v>26</v>
      </c>
      <c r="I291" s="37" t="s">
        <v>481</v>
      </c>
      <c r="J291" s="37" t="str">
        <f t="shared" si="40"/>
        <v>0-180 DAYS</v>
      </c>
      <c r="M291" s="158" t="s">
        <v>5227</v>
      </c>
      <c r="N291" s="158">
        <v>121886.52</v>
      </c>
    </row>
    <row r="292" spans="1:14" x14ac:dyDescent="0.35">
      <c r="A292" t="s">
        <v>4333</v>
      </c>
      <c r="B292" t="s">
        <v>789</v>
      </c>
      <c r="C292" t="s">
        <v>125</v>
      </c>
      <c r="D292" t="s">
        <v>57</v>
      </c>
      <c r="E292" t="s">
        <v>5095</v>
      </c>
      <c r="F292" s="35">
        <v>46178</v>
      </c>
      <c r="G292" s="47">
        <v>157826.23999999999</v>
      </c>
      <c r="H292" s="37">
        <f t="shared" si="39"/>
        <v>26</v>
      </c>
      <c r="I292" s="37" t="s">
        <v>481</v>
      </c>
      <c r="J292" s="37" t="str">
        <f t="shared" si="40"/>
        <v>0-180 DAYS</v>
      </c>
      <c r="M292" s="158" t="s">
        <v>5227</v>
      </c>
      <c r="N292" s="158">
        <v>157826.23999999999</v>
      </c>
    </row>
    <row r="293" spans="1:14" x14ac:dyDescent="0.35">
      <c r="A293" t="s">
        <v>4333</v>
      </c>
      <c r="B293" t="s">
        <v>789</v>
      </c>
      <c r="C293" t="s">
        <v>125</v>
      </c>
      <c r="D293" t="s">
        <v>57</v>
      </c>
      <c r="E293" t="s">
        <v>5095</v>
      </c>
      <c r="F293" s="35">
        <v>46178</v>
      </c>
      <c r="G293" s="47">
        <v>136961.07999999999</v>
      </c>
      <c r="H293" s="37">
        <f t="shared" si="39"/>
        <v>26</v>
      </c>
      <c r="I293" s="37" t="s">
        <v>481</v>
      </c>
      <c r="J293" s="37" t="str">
        <f t="shared" si="40"/>
        <v>0-180 DAYS</v>
      </c>
      <c r="M293" s="158" t="s">
        <v>5227</v>
      </c>
      <c r="N293" s="158">
        <v>136961.07999999999</v>
      </c>
    </row>
    <row r="294" spans="1:14" x14ac:dyDescent="0.35">
      <c r="A294" t="s">
        <v>4333</v>
      </c>
      <c r="B294" t="s">
        <v>789</v>
      </c>
      <c r="C294" t="s">
        <v>125</v>
      </c>
      <c r="D294" t="s">
        <v>57</v>
      </c>
      <c r="E294" t="s">
        <v>5095</v>
      </c>
      <c r="F294" s="35">
        <v>46178</v>
      </c>
      <c r="G294" s="47">
        <v>135587.31</v>
      </c>
      <c r="H294" s="37">
        <f t="shared" si="39"/>
        <v>26</v>
      </c>
      <c r="I294" s="37" t="s">
        <v>481</v>
      </c>
      <c r="J294" s="37" t="str">
        <f t="shared" si="40"/>
        <v>0-180 DAYS</v>
      </c>
      <c r="M294" s="158" t="s">
        <v>5227</v>
      </c>
      <c r="N294" s="158">
        <v>135587.31</v>
      </c>
    </row>
    <row r="295" spans="1:14" x14ac:dyDescent="0.35">
      <c r="A295" t="s">
        <v>4333</v>
      </c>
      <c r="B295" t="s">
        <v>789</v>
      </c>
      <c r="C295" t="s">
        <v>125</v>
      </c>
      <c r="D295" t="s">
        <v>57</v>
      </c>
      <c r="E295" t="s">
        <v>5096</v>
      </c>
      <c r="F295" s="35">
        <v>46179</v>
      </c>
      <c r="G295" s="47">
        <v>1920</v>
      </c>
      <c r="H295" s="37">
        <f t="shared" si="39"/>
        <v>25</v>
      </c>
      <c r="I295" s="37" t="s">
        <v>481</v>
      </c>
      <c r="J295" s="37" t="str">
        <f t="shared" si="40"/>
        <v>0-180 DAYS</v>
      </c>
      <c r="M295" s="158" t="s">
        <v>5228</v>
      </c>
      <c r="N295" s="158">
        <v>1920</v>
      </c>
    </row>
    <row r="296" spans="1:14" x14ac:dyDescent="0.35">
      <c r="A296" t="s">
        <v>4333</v>
      </c>
      <c r="B296" t="s">
        <v>789</v>
      </c>
      <c r="C296" t="s">
        <v>125</v>
      </c>
      <c r="D296" t="s">
        <v>57</v>
      </c>
      <c r="E296" t="s">
        <v>5097</v>
      </c>
      <c r="F296" s="35">
        <v>46179</v>
      </c>
      <c r="G296" s="47">
        <v>191688.7</v>
      </c>
      <c r="H296" s="37">
        <f t="shared" si="39"/>
        <v>25</v>
      </c>
      <c r="I296" s="37" t="s">
        <v>481</v>
      </c>
      <c r="J296" s="37" t="str">
        <f t="shared" si="40"/>
        <v>0-180 DAYS</v>
      </c>
      <c r="M296" s="158" t="s">
        <v>5228</v>
      </c>
      <c r="N296" s="158">
        <v>191688.7</v>
      </c>
    </row>
    <row r="297" spans="1:14" x14ac:dyDescent="0.35">
      <c r="A297" t="s">
        <v>4333</v>
      </c>
      <c r="B297" t="s">
        <v>789</v>
      </c>
      <c r="C297" t="s">
        <v>125</v>
      </c>
      <c r="D297" t="s">
        <v>57</v>
      </c>
      <c r="E297" t="s">
        <v>5097</v>
      </c>
      <c r="F297" s="35">
        <v>46179</v>
      </c>
      <c r="G297" s="47">
        <v>204885.44</v>
      </c>
      <c r="H297" s="37">
        <f t="shared" si="39"/>
        <v>25</v>
      </c>
      <c r="I297" s="37" t="s">
        <v>481</v>
      </c>
      <c r="J297" s="37" t="str">
        <f t="shared" si="40"/>
        <v>0-180 DAYS</v>
      </c>
      <c r="M297" s="158" t="s">
        <v>5228</v>
      </c>
      <c r="N297" s="158">
        <v>204885.44</v>
      </c>
    </row>
    <row r="298" spans="1:14" x14ac:dyDescent="0.35">
      <c r="A298" t="s">
        <v>4333</v>
      </c>
      <c r="B298" t="s">
        <v>789</v>
      </c>
      <c r="C298" t="s">
        <v>125</v>
      </c>
      <c r="D298" t="s">
        <v>57</v>
      </c>
      <c r="E298" t="s">
        <v>5097</v>
      </c>
      <c r="F298" s="35">
        <v>46179</v>
      </c>
      <c r="G298" s="47">
        <v>60504.1</v>
      </c>
      <c r="H298" s="37">
        <f t="shared" si="39"/>
        <v>25</v>
      </c>
      <c r="I298" s="37" t="s">
        <v>481</v>
      </c>
      <c r="J298" s="37" t="str">
        <f t="shared" si="40"/>
        <v>0-180 DAYS</v>
      </c>
      <c r="M298" s="158" t="s">
        <v>5228</v>
      </c>
      <c r="N298" s="158">
        <v>60504.1</v>
      </c>
    </row>
    <row r="299" spans="1:14" x14ac:dyDescent="0.35">
      <c r="A299" t="s">
        <v>4333</v>
      </c>
      <c r="B299" t="s">
        <v>789</v>
      </c>
      <c r="C299" t="s">
        <v>125</v>
      </c>
      <c r="D299" t="s">
        <v>57</v>
      </c>
      <c r="E299" t="s">
        <v>5098</v>
      </c>
      <c r="F299" s="35">
        <v>46180</v>
      </c>
      <c r="G299" s="47">
        <v>185563.83</v>
      </c>
      <c r="H299" s="37">
        <f t="shared" si="39"/>
        <v>24</v>
      </c>
      <c r="I299" s="37" t="s">
        <v>481</v>
      </c>
      <c r="J299" s="37" t="str">
        <f t="shared" si="40"/>
        <v>0-180 DAYS</v>
      </c>
      <c r="M299" s="158" t="s">
        <v>5229</v>
      </c>
      <c r="N299" s="158">
        <v>185563.83</v>
      </c>
    </row>
    <row r="300" spans="1:14" x14ac:dyDescent="0.35">
      <c r="A300" t="s">
        <v>4333</v>
      </c>
      <c r="B300" t="s">
        <v>789</v>
      </c>
      <c r="C300" t="s">
        <v>125</v>
      </c>
      <c r="D300" t="s">
        <v>57</v>
      </c>
      <c r="E300" t="s">
        <v>5098</v>
      </c>
      <c r="F300" s="35">
        <v>46180</v>
      </c>
      <c r="G300" s="47">
        <v>180301.66</v>
      </c>
      <c r="H300" s="37">
        <f t="shared" si="39"/>
        <v>24</v>
      </c>
      <c r="I300" s="37" t="s">
        <v>481</v>
      </c>
      <c r="J300" s="37" t="str">
        <f t="shared" si="40"/>
        <v>0-180 DAYS</v>
      </c>
      <c r="M300" s="158" t="s">
        <v>5229</v>
      </c>
      <c r="N300" s="158">
        <v>180301.66</v>
      </c>
    </row>
    <row r="301" spans="1:14" x14ac:dyDescent="0.35">
      <c r="A301" t="s">
        <v>477</v>
      </c>
      <c r="B301" t="s">
        <v>790</v>
      </c>
      <c r="C301" t="s">
        <v>1196</v>
      </c>
      <c r="D301" t="s">
        <v>1208</v>
      </c>
      <c r="E301" t="s">
        <v>5099</v>
      </c>
      <c r="F301" s="35">
        <v>46180</v>
      </c>
      <c r="G301" s="47">
        <v>1984200</v>
      </c>
      <c r="H301" s="37">
        <f t="shared" si="39"/>
        <v>24</v>
      </c>
      <c r="I301" s="37" t="str">
        <f t="shared" ref="I301:I302" si="44">IF(H301&lt;91,"1-90 DAYS",IF(H301&lt;121,"91-120DAYS",IF(H301&lt;181,"121-180 DAYS","More than 180 Days")))</f>
        <v>1-90 DAYS</v>
      </c>
      <c r="J301" s="37" t="str">
        <f t="shared" si="40"/>
        <v>0-180 DAYS</v>
      </c>
      <c r="K301" t="s">
        <v>1730</v>
      </c>
      <c r="M301" s="158" t="s">
        <v>5229</v>
      </c>
      <c r="N301" s="158">
        <v>1984200</v>
      </c>
    </row>
    <row r="302" spans="1:14" x14ac:dyDescent="0.35">
      <c r="A302" t="s">
        <v>477</v>
      </c>
      <c r="B302" t="s">
        <v>790</v>
      </c>
      <c r="C302" t="s">
        <v>4780</v>
      </c>
      <c r="D302" t="s">
        <v>4783</v>
      </c>
      <c r="E302" t="s">
        <v>5100</v>
      </c>
      <c r="F302" s="35">
        <v>46181</v>
      </c>
      <c r="G302" s="47">
        <v>148211.88</v>
      </c>
      <c r="H302" s="37">
        <f t="shared" si="39"/>
        <v>23</v>
      </c>
      <c r="I302" s="37" t="str">
        <f t="shared" si="44"/>
        <v>1-90 DAYS</v>
      </c>
      <c r="J302" s="37" t="str">
        <f t="shared" si="40"/>
        <v>0-180 DAYS</v>
      </c>
      <c r="K302" t="s">
        <v>1730</v>
      </c>
      <c r="M302" s="158" t="s">
        <v>5230</v>
      </c>
      <c r="N302" s="158">
        <v>148211.88</v>
      </c>
    </row>
    <row r="303" spans="1:14" x14ac:dyDescent="0.35">
      <c r="A303" t="s">
        <v>1085</v>
      </c>
      <c r="B303" t="s">
        <v>790</v>
      </c>
      <c r="C303" t="s">
        <v>1086</v>
      </c>
      <c r="D303" t="s">
        <v>507</v>
      </c>
      <c r="E303" t="s">
        <v>5101</v>
      </c>
      <c r="F303" s="35">
        <v>46181</v>
      </c>
      <c r="G303" s="47">
        <v>719779.48899999994</v>
      </c>
      <c r="H303" s="37">
        <f t="shared" si="39"/>
        <v>23</v>
      </c>
      <c r="I303" s="37" t="str">
        <f t="shared" ref="I303:I308" si="45">IF(H303&lt;121,"0-120 DAYS",IF(H303&lt;181,"121-180 DAYS","More than 180 Days"))</f>
        <v>0-120 DAYS</v>
      </c>
      <c r="J303" s="37" t="str">
        <f t="shared" si="40"/>
        <v>0-180 DAYS</v>
      </c>
      <c r="K303" t="s">
        <v>1730</v>
      </c>
      <c r="M303" s="158" t="s">
        <v>5230</v>
      </c>
      <c r="N303" s="158">
        <v>719779.49</v>
      </c>
    </row>
    <row r="304" spans="1:14" x14ac:dyDescent="0.35">
      <c r="A304" t="s">
        <v>1085</v>
      </c>
      <c r="B304" t="s">
        <v>790</v>
      </c>
      <c r="C304" t="s">
        <v>1086</v>
      </c>
      <c r="D304" t="s">
        <v>507</v>
      </c>
      <c r="E304" t="s">
        <v>5102</v>
      </c>
      <c r="F304" s="35">
        <v>46181</v>
      </c>
      <c r="G304" s="47">
        <v>306081.91899999999</v>
      </c>
      <c r="H304" s="37">
        <f t="shared" si="39"/>
        <v>23</v>
      </c>
      <c r="I304" s="37" t="str">
        <f t="shared" si="45"/>
        <v>0-120 DAYS</v>
      </c>
      <c r="J304" s="37" t="str">
        <f t="shared" si="40"/>
        <v>0-180 DAYS</v>
      </c>
      <c r="K304" t="s">
        <v>1730</v>
      </c>
      <c r="M304" s="158" t="s">
        <v>5230</v>
      </c>
      <c r="N304" s="158">
        <v>306081.91999999998</v>
      </c>
    </row>
    <row r="305" spans="1:14" x14ac:dyDescent="0.35">
      <c r="A305" t="s">
        <v>1085</v>
      </c>
      <c r="B305" t="s">
        <v>790</v>
      </c>
      <c r="C305" t="s">
        <v>1086</v>
      </c>
      <c r="D305" t="s">
        <v>507</v>
      </c>
      <c r="E305" t="s">
        <v>5103</v>
      </c>
      <c r="F305" s="35">
        <v>46181</v>
      </c>
      <c r="G305" s="47">
        <v>717358.59</v>
      </c>
      <c r="H305" s="37">
        <f t="shared" si="39"/>
        <v>23</v>
      </c>
      <c r="I305" s="37" t="str">
        <f t="shared" si="45"/>
        <v>0-120 DAYS</v>
      </c>
      <c r="J305" s="37" t="str">
        <f t="shared" si="40"/>
        <v>0-180 DAYS</v>
      </c>
      <c r="K305" t="s">
        <v>1730</v>
      </c>
      <c r="M305" s="158" t="s">
        <v>5230</v>
      </c>
      <c r="N305" s="158">
        <v>717358.59</v>
      </c>
    </row>
    <row r="306" spans="1:14" x14ac:dyDescent="0.35">
      <c r="A306" t="s">
        <v>1085</v>
      </c>
      <c r="B306" t="s">
        <v>790</v>
      </c>
      <c r="C306" t="s">
        <v>1086</v>
      </c>
      <c r="D306" t="s">
        <v>507</v>
      </c>
      <c r="E306" t="s">
        <v>5104</v>
      </c>
      <c r="F306" s="35">
        <v>46181</v>
      </c>
      <c r="G306" s="47">
        <v>241662.85</v>
      </c>
      <c r="H306" s="37">
        <f t="shared" si="39"/>
        <v>23</v>
      </c>
      <c r="I306" s="37" t="str">
        <f t="shared" si="45"/>
        <v>0-120 DAYS</v>
      </c>
      <c r="J306" s="37" t="str">
        <f t="shared" si="40"/>
        <v>0-180 DAYS</v>
      </c>
      <c r="K306" t="s">
        <v>1730</v>
      </c>
      <c r="M306" s="158" t="s">
        <v>5230</v>
      </c>
      <c r="N306" s="158">
        <v>241662.85</v>
      </c>
    </row>
    <row r="307" spans="1:14" x14ac:dyDescent="0.35">
      <c r="A307" t="s">
        <v>1085</v>
      </c>
      <c r="B307" t="s">
        <v>790</v>
      </c>
      <c r="C307" t="s">
        <v>1086</v>
      </c>
      <c r="D307" t="s">
        <v>507</v>
      </c>
      <c r="E307" t="s">
        <v>5105</v>
      </c>
      <c r="F307" s="35">
        <v>46181</v>
      </c>
      <c r="G307" s="47">
        <v>35507.277942274901</v>
      </c>
      <c r="H307" s="37">
        <f t="shared" si="39"/>
        <v>23</v>
      </c>
      <c r="I307" s="37" t="str">
        <f t="shared" si="45"/>
        <v>0-120 DAYS</v>
      </c>
      <c r="J307" s="37" t="str">
        <f t="shared" si="40"/>
        <v>0-180 DAYS</v>
      </c>
      <c r="K307" t="s">
        <v>1730</v>
      </c>
      <c r="M307" s="158" t="s">
        <v>5230</v>
      </c>
      <c r="N307" s="158">
        <v>35507.279999999999</v>
      </c>
    </row>
    <row r="308" spans="1:14" x14ac:dyDescent="0.35">
      <c r="A308" t="s">
        <v>1085</v>
      </c>
      <c r="B308" t="s">
        <v>790</v>
      </c>
      <c r="C308" t="s">
        <v>1086</v>
      </c>
      <c r="D308" t="s">
        <v>507</v>
      </c>
      <c r="E308" t="s">
        <v>5105</v>
      </c>
      <c r="F308" s="35">
        <v>46181</v>
      </c>
      <c r="G308" s="47">
        <v>664668.718057725</v>
      </c>
      <c r="H308" s="37">
        <f t="shared" si="39"/>
        <v>23</v>
      </c>
      <c r="I308" s="37" t="str">
        <f t="shared" si="45"/>
        <v>0-120 DAYS</v>
      </c>
      <c r="J308" s="37" t="str">
        <f t="shared" si="40"/>
        <v>0-180 DAYS</v>
      </c>
      <c r="K308" t="s">
        <v>1730</v>
      </c>
      <c r="M308" s="158" t="s">
        <v>5230</v>
      </c>
      <c r="N308" s="158">
        <v>664668.72</v>
      </c>
    </row>
    <row r="309" spans="1:14" x14ac:dyDescent="0.35">
      <c r="A309" t="s">
        <v>4333</v>
      </c>
      <c r="B309" t="s">
        <v>789</v>
      </c>
      <c r="C309" t="s">
        <v>125</v>
      </c>
      <c r="D309" t="s">
        <v>57</v>
      </c>
      <c r="E309" t="s">
        <v>5106</v>
      </c>
      <c r="F309" s="35">
        <v>46181</v>
      </c>
      <c r="G309" s="47">
        <v>2544</v>
      </c>
      <c r="H309" s="37">
        <f t="shared" si="39"/>
        <v>23</v>
      </c>
      <c r="I309" s="37" t="s">
        <v>481</v>
      </c>
      <c r="J309" s="37" t="str">
        <f t="shared" si="40"/>
        <v>0-180 DAYS</v>
      </c>
      <c r="M309" s="158" t="s">
        <v>5230</v>
      </c>
      <c r="N309" s="158">
        <v>2544</v>
      </c>
    </row>
    <row r="310" spans="1:14" x14ac:dyDescent="0.35">
      <c r="A310" t="s">
        <v>4333</v>
      </c>
      <c r="B310" t="s">
        <v>789</v>
      </c>
      <c r="C310" t="s">
        <v>125</v>
      </c>
      <c r="D310" t="s">
        <v>57</v>
      </c>
      <c r="E310" t="s">
        <v>5107</v>
      </c>
      <c r="F310" s="35">
        <v>46181</v>
      </c>
      <c r="G310" s="47">
        <v>165524.34</v>
      </c>
      <c r="H310" s="37">
        <f t="shared" si="39"/>
        <v>23</v>
      </c>
      <c r="I310" s="37" t="s">
        <v>481</v>
      </c>
      <c r="J310" s="37" t="str">
        <f t="shared" si="40"/>
        <v>0-180 DAYS</v>
      </c>
      <c r="M310" s="158" t="s">
        <v>5230</v>
      </c>
      <c r="N310" s="158">
        <v>165524.34</v>
      </c>
    </row>
    <row r="311" spans="1:14" x14ac:dyDescent="0.35">
      <c r="A311" t="s">
        <v>4333</v>
      </c>
      <c r="B311" t="s">
        <v>789</v>
      </c>
      <c r="C311" t="s">
        <v>125</v>
      </c>
      <c r="D311" t="s">
        <v>57</v>
      </c>
      <c r="E311" t="s">
        <v>5107</v>
      </c>
      <c r="F311" s="35">
        <v>46181</v>
      </c>
      <c r="G311" s="47">
        <v>60544.05</v>
      </c>
      <c r="H311" s="37">
        <f t="shared" si="39"/>
        <v>23</v>
      </c>
      <c r="I311" s="37" t="s">
        <v>481</v>
      </c>
      <c r="J311" s="37" t="str">
        <f t="shared" si="40"/>
        <v>0-180 DAYS</v>
      </c>
      <c r="M311" s="158" t="s">
        <v>5230</v>
      </c>
      <c r="N311" s="158">
        <v>60544.05</v>
      </c>
    </row>
    <row r="312" spans="1:14" x14ac:dyDescent="0.35">
      <c r="A312" t="s">
        <v>4333</v>
      </c>
      <c r="B312" t="s">
        <v>789</v>
      </c>
      <c r="C312" t="s">
        <v>125</v>
      </c>
      <c r="D312" t="s">
        <v>57</v>
      </c>
      <c r="E312" t="s">
        <v>5107</v>
      </c>
      <c r="F312" s="35">
        <v>46181</v>
      </c>
      <c r="G312" s="47">
        <v>41664.5</v>
      </c>
      <c r="H312" s="37">
        <f t="shared" si="39"/>
        <v>23</v>
      </c>
      <c r="I312" s="37" t="s">
        <v>481</v>
      </c>
      <c r="J312" s="37" t="str">
        <f t="shared" si="40"/>
        <v>0-180 DAYS</v>
      </c>
      <c r="M312" s="158" t="s">
        <v>5230</v>
      </c>
      <c r="N312" s="158">
        <v>41664.5</v>
      </c>
    </row>
    <row r="313" spans="1:14" x14ac:dyDescent="0.35">
      <c r="A313" t="s">
        <v>4333</v>
      </c>
      <c r="B313" t="s">
        <v>789</v>
      </c>
      <c r="C313" t="s">
        <v>125</v>
      </c>
      <c r="D313" t="s">
        <v>57</v>
      </c>
      <c r="E313" t="s">
        <v>5107</v>
      </c>
      <c r="F313" s="35">
        <v>46181</v>
      </c>
      <c r="G313" s="47">
        <v>226218.91</v>
      </c>
      <c r="H313" s="37">
        <f t="shared" si="39"/>
        <v>23</v>
      </c>
      <c r="I313" s="37" t="s">
        <v>481</v>
      </c>
      <c r="J313" s="37" t="str">
        <f t="shared" si="40"/>
        <v>0-180 DAYS</v>
      </c>
      <c r="M313" s="158" t="s">
        <v>5230</v>
      </c>
      <c r="N313" s="158">
        <v>226218.91</v>
      </c>
    </row>
    <row r="314" spans="1:14" x14ac:dyDescent="0.35">
      <c r="A314" t="s">
        <v>4333</v>
      </c>
      <c r="B314" t="s">
        <v>789</v>
      </c>
      <c r="C314" t="s">
        <v>125</v>
      </c>
      <c r="D314" t="s">
        <v>57</v>
      </c>
      <c r="E314" t="s">
        <v>5107</v>
      </c>
      <c r="F314" s="35">
        <v>46181</v>
      </c>
      <c r="G314" s="47">
        <v>8889.4699999999993</v>
      </c>
      <c r="H314" s="37">
        <f t="shared" si="39"/>
        <v>23</v>
      </c>
      <c r="I314" s="37" t="s">
        <v>481</v>
      </c>
      <c r="J314" s="37" t="str">
        <f t="shared" si="40"/>
        <v>0-180 DAYS</v>
      </c>
      <c r="M314" s="158" t="s">
        <v>5230</v>
      </c>
      <c r="N314" s="158">
        <v>8889.4699999999993</v>
      </c>
    </row>
    <row r="315" spans="1:14" x14ac:dyDescent="0.35">
      <c r="A315" t="s">
        <v>4333</v>
      </c>
      <c r="B315" t="s">
        <v>789</v>
      </c>
      <c r="C315" t="s">
        <v>125</v>
      </c>
      <c r="D315" t="s">
        <v>57</v>
      </c>
      <c r="E315" t="s">
        <v>5107</v>
      </c>
      <c r="F315" s="35">
        <v>46181</v>
      </c>
      <c r="G315" s="47">
        <v>193425</v>
      </c>
      <c r="H315" s="37">
        <f t="shared" si="39"/>
        <v>23</v>
      </c>
      <c r="I315" s="37" t="s">
        <v>481</v>
      </c>
      <c r="J315" s="37" t="str">
        <f t="shared" si="40"/>
        <v>0-180 DAYS</v>
      </c>
      <c r="M315" s="158" t="s">
        <v>5230</v>
      </c>
      <c r="N315" s="158">
        <v>193425</v>
      </c>
    </row>
    <row r="316" spans="1:14" x14ac:dyDescent="0.35">
      <c r="A316" t="s">
        <v>4333</v>
      </c>
      <c r="B316" t="s">
        <v>789</v>
      </c>
      <c r="C316" t="s">
        <v>125</v>
      </c>
      <c r="D316" t="s">
        <v>57</v>
      </c>
      <c r="E316" t="s">
        <v>5107</v>
      </c>
      <c r="F316" s="35">
        <v>46181</v>
      </c>
      <c r="G316" s="47">
        <v>197472.87</v>
      </c>
      <c r="H316" s="37">
        <f t="shared" si="39"/>
        <v>23</v>
      </c>
      <c r="I316" s="37" t="s">
        <v>481</v>
      </c>
      <c r="J316" s="37" t="str">
        <f t="shared" si="40"/>
        <v>0-180 DAYS</v>
      </c>
      <c r="M316" s="158" t="s">
        <v>5230</v>
      </c>
      <c r="N316" s="158">
        <v>197472.87</v>
      </c>
    </row>
    <row r="317" spans="1:14" x14ac:dyDescent="0.35">
      <c r="A317" t="s">
        <v>4333</v>
      </c>
      <c r="B317" t="s">
        <v>789</v>
      </c>
      <c r="C317" t="s">
        <v>125</v>
      </c>
      <c r="D317" t="s">
        <v>57</v>
      </c>
      <c r="E317" t="s">
        <v>5108</v>
      </c>
      <c r="F317" s="35">
        <v>46182</v>
      </c>
      <c r="G317" s="47">
        <v>30242.2</v>
      </c>
      <c r="H317" s="37">
        <f t="shared" si="39"/>
        <v>22</v>
      </c>
      <c r="I317" s="37" t="s">
        <v>481</v>
      </c>
      <c r="J317" s="37" t="str">
        <f t="shared" si="40"/>
        <v>0-180 DAYS</v>
      </c>
      <c r="M317" s="158" t="s">
        <v>5231</v>
      </c>
      <c r="N317" s="158">
        <v>30242.2</v>
      </c>
    </row>
    <row r="318" spans="1:14" x14ac:dyDescent="0.35">
      <c r="A318" t="s">
        <v>4333</v>
      </c>
      <c r="B318" t="s">
        <v>789</v>
      </c>
      <c r="C318" t="s">
        <v>125</v>
      </c>
      <c r="D318" t="s">
        <v>57</v>
      </c>
      <c r="E318" t="s">
        <v>2143</v>
      </c>
      <c r="F318" s="35">
        <v>46182</v>
      </c>
      <c r="G318" s="47">
        <v>4800</v>
      </c>
      <c r="H318" s="37">
        <f t="shared" si="39"/>
        <v>22</v>
      </c>
      <c r="I318" s="37" t="s">
        <v>481</v>
      </c>
      <c r="J318" s="37" t="str">
        <f t="shared" si="40"/>
        <v>0-180 DAYS</v>
      </c>
      <c r="M318" s="158" t="s">
        <v>5231</v>
      </c>
      <c r="N318" s="158">
        <v>4800</v>
      </c>
    </row>
    <row r="319" spans="1:14" x14ac:dyDescent="0.35">
      <c r="A319" t="s">
        <v>4333</v>
      </c>
      <c r="B319" t="s">
        <v>789</v>
      </c>
      <c r="C319" t="s">
        <v>125</v>
      </c>
      <c r="D319" t="s">
        <v>57</v>
      </c>
      <c r="E319" t="s">
        <v>5109</v>
      </c>
      <c r="F319" s="35">
        <v>46182</v>
      </c>
      <c r="G319" s="47">
        <v>483946.32</v>
      </c>
      <c r="H319" s="37">
        <f t="shared" si="39"/>
        <v>22</v>
      </c>
      <c r="I319" s="37" t="s">
        <v>481</v>
      </c>
      <c r="J319" s="37" t="str">
        <f t="shared" si="40"/>
        <v>0-180 DAYS</v>
      </c>
      <c r="M319" s="158" t="s">
        <v>5231</v>
      </c>
      <c r="N319" s="158">
        <v>483946.32</v>
      </c>
    </row>
    <row r="320" spans="1:14" x14ac:dyDescent="0.35">
      <c r="A320" t="s">
        <v>4333</v>
      </c>
      <c r="B320" t="s">
        <v>789</v>
      </c>
      <c r="C320" t="s">
        <v>125</v>
      </c>
      <c r="D320" t="s">
        <v>57</v>
      </c>
      <c r="E320" t="s">
        <v>5109</v>
      </c>
      <c r="F320" s="35">
        <v>46182</v>
      </c>
      <c r="G320" s="47">
        <v>39101.440000000002</v>
      </c>
      <c r="H320" s="37">
        <f t="shared" si="39"/>
        <v>22</v>
      </c>
      <c r="I320" s="37" t="s">
        <v>481</v>
      </c>
      <c r="J320" s="37" t="str">
        <f t="shared" si="40"/>
        <v>0-180 DAYS</v>
      </c>
      <c r="M320" s="158" t="s">
        <v>5231</v>
      </c>
      <c r="N320" s="158">
        <v>39101.440000000002</v>
      </c>
    </row>
    <row r="321" spans="1:14" x14ac:dyDescent="0.35">
      <c r="A321" t="s">
        <v>4333</v>
      </c>
      <c r="B321" t="s">
        <v>789</v>
      </c>
      <c r="C321" t="s">
        <v>125</v>
      </c>
      <c r="D321" t="s">
        <v>57</v>
      </c>
      <c r="E321" t="s">
        <v>5109</v>
      </c>
      <c r="F321" s="35">
        <v>46182</v>
      </c>
      <c r="G321" s="47">
        <v>156879.25</v>
      </c>
      <c r="H321" s="37">
        <f t="shared" si="39"/>
        <v>22</v>
      </c>
      <c r="I321" s="37" t="s">
        <v>481</v>
      </c>
      <c r="J321" s="37" t="str">
        <f t="shared" si="40"/>
        <v>0-180 DAYS</v>
      </c>
      <c r="M321" s="158" t="s">
        <v>5231</v>
      </c>
      <c r="N321" s="158">
        <v>156879.25</v>
      </c>
    </row>
    <row r="322" spans="1:14" x14ac:dyDescent="0.35">
      <c r="A322" t="s">
        <v>4333</v>
      </c>
      <c r="B322" t="s">
        <v>789</v>
      </c>
      <c r="C322" t="s">
        <v>125</v>
      </c>
      <c r="D322" t="s">
        <v>57</v>
      </c>
      <c r="E322" t="s">
        <v>5110</v>
      </c>
      <c r="F322" s="35">
        <v>46182</v>
      </c>
      <c r="G322" s="47">
        <v>30250</v>
      </c>
      <c r="H322" s="37">
        <f t="shared" si="39"/>
        <v>22</v>
      </c>
      <c r="I322" s="37" t="s">
        <v>481</v>
      </c>
      <c r="J322" s="37" t="str">
        <f t="shared" si="40"/>
        <v>0-180 DAYS</v>
      </c>
      <c r="M322" s="158" t="s">
        <v>5231</v>
      </c>
      <c r="N322" s="158">
        <v>30250</v>
      </c>
    </row>
    <row r="323" spans="1:14" x14ac:dyDescent="0.35">
      <c r="A323" t="s">
        <v>4333</v>
      </c>
      <c r="B323" t="s">
        <v>789</v>
      </c>
      <c r="C323" t="s">
        <v>125</v>
      </c>
      <c r="D323" t="s">
        <v>57</v>
      </c>
      <c r="E323" t="s">
        <v>2148</v>
      </c>
      <c r="F323" s="35">
        <v>46183</v>
      </c>
      <c r="G323" s="47">
        <v>1152</v>
      </c>
      <c r="H323" s="37">
        <f t="shared" si="39"/>
        <v>21</v>
      </c>
      <c r="I323" s="37" t="s">
        <v>481</v>
      </c>
      <c r="J323" s="37" t="str">
        <f t="shared" si="40"/>
        <v>0-180 DAYS</v>
      </c>
      <c r="M323" s="158" t="s">
        <v>5232</v>
      </c>
      <c r="N323" s="158">
        <v>1152</v>
      </c>
    </row>
    <row r="324" spans="1:14" x14ac:dyDescent="0.35">
      <c r="A324" t="s">
        <v>4333</v>
      </c>
      <c r="B324" t="s">
        <v>789</v>
      </c>
      <c r="C324" t="s">
        <v>125</v>
      </c>
      <c r="D324" t="s">
        <v>57</v>
      </c>
      <c r="E324" t="s">
        <v>2146</v>
      </c>
      <c r="F324" s="35">
        <v>46183</v>
      </c>
      <c r="G324" s="47">
        <v>176215.06</v>
      </c>
      <c r="H324" s="37">
        <f t="shared" si="39"/>
        <v>21</v>
      </c>
      <c r="I324" s="37" t="s">
        <v>481</v>
      </c>
      <c r="J324" s="37" t="str">
        <f t="shared" si="40"/>
        <v>0-180 DAYS</v>
      </c>
      <c r="M324" s="158" t="s">
        <v>5232</v>
      </c>
      <c r="N324" s="158">
        <v>176215.06</v>
      </c>
    </row>
    <row r="325" spans="1:14" x14ac:dyDescent="0.35">
      <c r="A325" t="s">
        <v>4333</v>
      </c>
      <c r="B325" t="s">
        <v>789</v>
      </c>
      <c r="C325" t="s">
        <v>125</v>
      </c>
      <c r="D325" t="s">
        <v>57</v>
      </c>
      <c r="E325" t="s">
        <v>2146</v>
      </c>
      <c r="F325" s="35">
        <v>46183</v>
      </c>
      <c r="G325" s="47">
        <v>71653.899999999994</v>
      </c>
      <c r="H325" s="37">
        <f t="shared" si="39"/>
        <v>21</v>
      </c>
      <c r="I325" s="37" t="s">
        <v>481</v>
      </c>
      <c r="J325" s="37" t="str">
        <f t="shared" si="40"/>
        <v>0-180 DAYS</v>
      </c>
      <c r="M325" s="158" t="s">
        <v>5232</v>
      </c>
      <c r="N325" s="158">
        <v>71653.899999999994</v>
      </c>
    </row>
    <row r="326" spans="1:14" x14ac:dyDescent="0.35">
      <c r="A326" t="s">
        <v>4333</v>
      </c>
      <c r="B326" t="s">
        <v>789</v>
      </c>
      <c r="C326" t="s">
        <v>125</v>
      </c>
      <c r="D326" t="s">
        <v>57</v>
      </c>
      <c r="E326" t="s">
        <v>2146</v>
      </c>
      <c r="F326" s="35">
        <v>46183</v>
      </c>
      <c r="G326" s="47">
        <v>72709.05</v>
      </c>
      <c r="H326" s="37">
        <f t="shared" si="39"/>
        <v>21</v>
      </c>
      <c r="I326" s="37" t="s">
        <v>481</v>
      </c>
      <c r="J326" s="37" t="str">
        <f t="shared" si="40"/>
        <v>0-180 DAYS</v>
      </c>
      <c r="M326" s="158" t="s">
        <v>5232</v>
      </c>
      <c r="N326" s="158">
        <v>72709.05</v>
      </c>
    </row>
    <row r="327" spans="1:14" x14ac:dyDescent="0.35">
      <c r="A327" t="s">
        <v>4333</v>
      </c>
      <c r="B327" t="s">
        <v>789</v>
      </c>
      <c r="C327" t="s">
        <v>125</v>
      </c>
      <c r="D327" t="s">
        <v>57</v>
      </c>
      <c r="E327" t="s">
        <v>2146</v>
      </c>
      <c r="F327" s="35">
        <v>46183</v>
      </c>
      <c r="G327" s="47">
        <v>186739.92</v>
      </c>
      <c r="H327" s="37">
        <f t="shared" si="39"/>
        <v>21</v>
      </c>
      <c r="I327" s="37" t="s">
        <v>481</v>
      </c>
      <c r="J327" s="37" t="str">
        <f t="shared" si="40"/>
        <v>0-180 DAYS</v>
      </c>
      <c r="M327" s="158" t="s">
        <v>5232</v>
      </c>
      <c r="N327" s="158">
        <v>186739.92</v>
      </c>
    </row>
    <row r="328" spans="1:14" x14ac:dyDescent="0.35">
      <c r="A328" t="s">
        <v>4333</v>
      </c>
      <c r="B328" t="s">
        <v>789</v>
      </c>
      <c r="C328" t="s">
        <v>125</v>
      </c>
      <c r="D328" t="s">
        <v>57</v>
      </c>
      <c r="E328" t="s">
        <v>2150</v>
      </c>
      <c r="F328" s="35">
        <v>46184</v>
      </c>
      <c r="G328" s="47">
        <v>4608</v>
      </c>
      <c r="H328" s="37">
        <f t="shared" si="39"/>
        <v>20</v>
      </c>
      <c r="I328" s="37" t="s">
        <v>481</v>
      </c>
      <c r="J328" s="37" t="str">
        <f t="shared" si="40"/>
        <v>0-180 DAYS</v>
      </c>
      <c r="M328" s="158" t="s">
        <v>5233</v>
      </c>
      <c r="N328" s="158">
        <v>4608</v>
      </c>
    </row>
    <row r="329" spans="1:14" x14ac:dyDescent="0.35">
      <c r="A329" t="s">
        <v>4333</v>
      </c>
      <c r="B329" t="s">
        <v>789</v>
      </c>
      <c r="C329" t="s">
        <v>125</v>
      </c>
      <c r="D329" t="s">
        <v>57</v>
      </c>
      <c r="E329" t="s">
        <v>5111</v>
      </c>
      <c r="F329" s="35">
        <v>46184</v>
      </c>
      <c r="G329" s="47">
        <v>126743.65</v>
      </c>
      <c r="H329" s="37">
        <f t="shared" si="39"/>
        <v>20</v>
      </c>
      <c r="I329" s="37" t="s">
        <v>481</v>
      </c>
      <c r="J329" s="37" t="str">
        <f t="shared" si="40"/>
        <v>0-180 DAYS</v>
      </c>
      <c r="M329" s="158" t="s">
        <v>5233</v>
      </c>
      <c r="N329" s="158">
        <v>126743.65</v>
      </c>
    </row>
    <row r="330" spans="1:14" x14ac:dyDescent="0.35">
      <c r="A330" t="s">
        <v>4333</v>
      </c>
      <c r="B330" t="s">
        <v>789</v>
      </c>
      <c r="C330" t="s">
        <v>125</v>
      </c>
      <c r="D330" t="s">
        <v>57</v>
      </c>
      <c r="E330" t="s">
        <v>5111</v>
      </c>
      <c r="F330" s="35">
        <v>46184</v>
      </c>
      <c r="G330" s="47">
        <v>54959.28</v>
      </c>
      <c r="H330" s="37">
        <f t="shared" si="39"/>
        <v>20</v>
      </c>
      <c r="I330" s="37" t="s">
        <v>481</v>
      </c>
      <c r="J330" s="37" t="str">
        <f t="shared" si="40"/>
        <v>0-180 DAYS</v>
      </c>
      <c r="M330" s="158" t="s">
        <v>5233</v>
      </c>
      <c r="N330" s="158">
        <v>54959.28</v>
      </c>
    </row>
    <row r="331" spans="1:14" x14ac:dyDescent="0.35">
      <c r="A331" t="s">
        <v>4333</v>
      </c>
      <c r="B331" t="s">
        <v>789</v>
      </c>
      <c r="C331" t="s">
        <v>125</v>
      </c>
      <c r="D331" t="s">
        <v>57</v>
      </c>
      <c r="E331" t="s">
        <v>5111</v>
      </c>
      <c r="F331" s="35">
        <v>46184</v>
      </c>
      <c r="G331" s="47">
        <v>395749.34</v>
      </c>
      <c r="H331" s="37">
        <f t="shared" si="39"/>
        <v>20</v>
      </c>
      <c r="I331" s="37" t="s">
        <v>481</v>
      </c>
      <c r="J331" s="37" t="str">
        <f t="shared" si="40"/>
        <v>0-180 DAYS</v>
      </c>
      <c r="M331" s="158" t="s">
        <v>5233</v>
      </c>
      <c r="N331" s="158">
        <v>395749.34</v>
      </c>
    </row>
    <row r="332" spans="1:14" x14ac:dyDescent="0.35">
      <c r="A332" t="s">
        <v>4333</v>
      </c>
      <c r="B332" t="s">
        <v>789</v>
      </c>
      <c r="C332" t="s">
        <v>125</v>
      </c>
      <c r="D332" t="s">
        <v>57</v>
      </c>
      <c r="E332" t="s">
        <v>5111</v>
      </c>
      <c r="F332" s="35">
        <v>46184</v>
      </c>
      <c r="G332" s="47">
        <v>365413.18</v>
      </c>
      <c r="H332" s="37">
        <f t="shared" ref="H332:H395" si="46">$H$1-F332+1</f>
        <v>20</v>
      </c>
      <c r="I332" s="37" t="s">
        <v>481</v>
      </c>
      <c r="J332" s="37" t="str">
        <f t="shared" si="40"/>
        <v>0-180 DAYS</v>
      </c>
      <c r="M332" s="158" t="s">
        <v>5233</v>
      </c>
      <c r="N332" s="158">
        <v>365413.18</v>
      </c>
    </row>
    <row r="333" spans="1:14" x14ac:dyDescent="0.35">
      <c r="A333" t="s">
        <v>4333</v>
      </c>
      <c r="B333" t="s">
        <v>789</v>
      </c>
      <c r="C333" t="s">
        <v>125</v>
      </c>
      <c r="D333" t="s">
        <v>57</v>
      </c>
      <c r="E333" t="s">
        <v>5111</v>
      </c>
      <c r="F333" s="35">
        <v>46184</v>
      </c>
      <c r="G333" s="47">
        <v>161155.79999999999</v>
      </c>
      <c r="H333" s="37">
        <f t="shared" si="46"/>
        <v>20</v>
      </c>
      <c r="I333" s="37" t="s">
        <v>481</v>
      </c>
      <c r="J333" s="37" t="str">
        <f t="shared" ref="J333:J396" si="47">IF(H333&lt;180,"0-180 DAYS","More than 180 Days")</f>
        <v>0-180 DAYS</v>
      </c>
      <c r="M333" s="158" t="s">
        <v>5233</v>
      </c>
      <c r="N333" s="158">
        <v>161155.79999999999</v>
      </c>
    </row>
    <row r="334" spans="1:14" x14ac:dyDescent="0.35">
      <c r="A334" t="s">
        <v>4333</v>
      </c>
      <c r="B334" t="s">
        <v>789</v>
      </c>
      <c r="C334" t="s">
        <v>125</v>
      </c>
      <c r="D334" t="s">
        <v>57</v>
      </c>
      <c r="E334" t="s">
        <v>2151</v>
      </c>
      <c r="F334" s="35">
        <v>46185</v>
      </c>
      <c r="G334" s="47">
        <v>4032</v>
      </c>
      <c r="H334" s="37">
        <f t="shared" si="46"/>
        <v>19</v>
      </c>
      <c r="I334" s="37" t="s">
        <v>481</v>
      </c>
      <c r="J334" s="37" t="str">
        <f t="shared" si="47"/>
        <v>0-180 DAYS</v>
      </c>
      <c r="M334" s="158" t="s">
        <v>5234</v>
      </c>
      <c r="N334" s="158">
        <v>4032</v>
      </c>
    </row>
    <row r="335" spans="1:14" x14ac:dyDescent="0.35">
      <c r="A335" t="s">
        <v>4333</v>
      </c>
      <c r="B335" t="s">
        <v>789</v>
      </c>
      <c r="C335" t="s">
        <v>125</v>
      </c>
      <c r="D335" t="s">
        <v>57</v>
      </c>
      <c r="E335" t="s">
        <v>2153</v>
      </c>
      <c r="F335" s="35">
        <v>46185</v>
      </c>
      <c r="G335" s="47">
        <v>157230.56</v>
      </c>
      <c r="H335" s="37">
        <f t="shared" si="46"/>
        <v>19</v>
      </c>
      <c r="I335" s="37" t="s">
        <v>481</v>
      </c>
      <c r="J335" s="37" t="str">
        <f t="shared" si="47"/>
        <v>0-180 DAYS</v>
      </c>
      <c r="M335" s="158" t="s">
        <v>5234</v>
      </c>
      <c r="N335" s="158">
        <v>157230.56</v>
      </c>
    </row>
    <row r="336" spans="1:14" x14ac:dyDescent="0.35">
      <c r="A336" t="s">
        <v>4333</v>
      </c>
      <c r="B336" t="s">
        <v>789</v>
      </c>
      <c r="C336" t="s">
        <v>125</v>
      </c>
      <c r="D336" t="s">
        <v>57</v>
      </c>
      <c r="E336" t="s">
        <v>2153</v>
      </c>
      <c r="F336" s="35">
        <v>46185</v>
      </c>
      <c r="G336" s="47">
        <v>46736.7</v>
      </c>
      <c r="H336" s="37">
        <f t="shared" si="46"/>
        <v>19</v>
      </c>
      <c r="I336" s="37" t="s">
        <v>481</v>
      </c>
      <c r="J336" s="37" t="str">
        <f t="shared" si="47"/>
        <v>0-180 DAYS</v>
      </c>
      <c r="M336" s="158" t="s">
        <v>5234</v>
      </c>
      <c r="N336" s="158">
        <v>46736.7</v>
      </c>
    </row>
    <row r="337" spans="1:14" x14ac:dyDescent="0.35">
      <c r="A337" t="s">
        <v>4333</v>
      </c>
      <c r="B337" t="s">
        <v>789</v>
      </c>
      <c r="C337" t="s">
        <v>125</v>
      </c>
      <c r="D337" t="s">
        <v>57</v>
      </c>
      <c r="E337" t="s">
        <v>2153</v>
      </c>
      <c r="F337" s="35">
        <v>46185</v>
      </c>
      <c r="G337" s="47">
        <v>55431.9</v>
      </c>
      <c r="H337" s="37">
        <f t="shared" si="46"/>
        <v>19</v>
      </c>
      <c r="I337" s="37" t="s">
        <v>481</v>
      </c>
      <c r="J337" s="37" t="str">
        <f t="shared" si="47"/>
        <v>0-180 DAYS</v>
      </c>
      <c r="M337" s="158" t="s">
        <v>5234</v>
      </c>
      <c r="N337" s="158">
        <v>55431.9</v>
      </c>
    </row>
    <row r="338" spans="1:14" x14ac:dyDescent="0.35">
      <c r="A338" t="s">
        <v>4333</v>
      </c>
      <c r="B338" t="s">
        <v>789</v>
      </c>
      <c r="C338" t="s">
        <v>125</v>
      </c>
      <c r="D338" t="s">
        <v>57</v>
      </c>
      <c r="E338" t="s">
        <v>2153</v>
      </c>
      <c r="F338" s="35">
        <v>46185</v>
      </c>
      <c r="G338" s="47">
        <v>71801.64</v>
      </c>
      <c r="H338" s="37">
        <f t="shared" si="46"/>
        <v>19</v>
      </c>
      <c r="I338" s="37" t="s">
        <v>481</v>
      </c>
      <c r="J338" s="37" t="str">
        <f t="shared" si="47"/>
        <v>0-180 DAYS</v>
      </c>
      <c r="M338" s="158" t="s">
        <v>5234</v>
      </c>
      <c r="N338" s="158">
        <v>71801.64</v>
      </c>
    </row>
    <row r="339" spans="1:14" x14ac:dyDescent="0.35">
      <c r="A339" t="s">
        <v>4333</v>
      </c>
      <c r="B339" t="s">
        <v>789</v>
      </c>
      <c r="C339" t="s">
        <v>125</v>
      </c>
      <c r="D339" t="s">
        <v>57</v>
      </c>
      <c r="E339" t="s">
        <v>2153</v>
      </c>
      <c r="F339" s="35">
        <v>46185</v>
      </c>
      <c r="G339" s="47">
        <v>296791.32</v>
      </c>
      <c r="H339" s="37">
        <f t="shared" si="46"/>
        <v>19</v>
      </c>
      <c r="I339" s="37" t="s">
        <v>481</v>
      </c>
      <c r="J339" s="37" t="str">
        <f t="shared" si="47"/>
        <v>0-180 DAYS</v>
      </c>
      <c r="M339" s="158" t="s">
        <v>5234</v>
      </c>
      <c r="N339" s="158">
        <v>296791.32</v>
      </c>
    </row>
    <row r="340" spans="1:14" x14ac:dyDescent="0.35">
      <c r="A340" t="s">
        <v>4333</v>
      </c>
      <c r="B340" t="s">
        <v>789</v>
      </c>
      <c r="C340" t="s">
        <v>125</v>
      </c>
      <c r="D340" t="s">
        <v>57</v>
      </c>
      <c r="E340" t="s">
        <v>2153</v>
      </c>
      <c r="F340" s="35">
        <v>46185</v>
      </c>
      <c r="G340" s="47">
        <v>152200.26999999999</v>
      </c>
      <c r="H340" s="37">
        <f t="shared" si="46"/>
        <v>19</v>
      </c>
      <c r="I340" s="37" t="s">
        <v>481</v>
      </c>
      <c r="J340" s="37" t="str">
        <f t="shared" si="47"/>
        <v>0-180 DAYS</v>
      </c>
      <c r="M340" s="158" t="s">
        <v>5234</v>
      </c>
      <c r="N340" s="158">
        <v>152200.26999999999</v>
      </c>
    </row>
    <row r="341" spans="1:14" x14ac:dyDescent="0.35">
      <c r="A341" t="s">
        <v>4333</v>
      </c>
      <c r="B341" t="s">
        <v>789</v>
      </c>
      <c r="C341" t="s">
        <v>125</v>
      </c>
      <c r="D341" t="s">
        <v>57</v>
      </c>
      <c r="E341" t="s">
        <v>2153</v>
      </c>
      <c r="F341" s="35">
        <v>46185</v>
      </c>
      <c r="G341" s="47">
        <v>4762.96</v>
      </c>
      <c r="H341" s="37">
        <f t="shared" si="46"/>
        <v>19</v>
      </c>
      <c r="I341" s="37" t="s">
        <v>481</v>
      </c>
      <c r="J341" s="37" t="str">
        <f t="shared" si="47"/>
        <v>0-180 DAYS</v>
      </c>
      <c r="M341" s="158" t="s">
        <v>5234</v>
      </c>
      <c r="N341" s="158">
        <v>4762.96</v>
      </c>
    </row>
    <row r="342" spans="1:14" x14ac:dyDescent="0.35">
      <c r="A342" t="s">
        <v>4333</v>
      </c>
      <c r="B342" t="s">
        <v>789</v>
      </c>
      <c r="C342" t="s">
        <v>125</v>
      </c>
      <c r="D342" t="s">
        <v>57</v>
      </c>
      <c r="E342" t="s">
        <v>2153</v>
      </c>
      <c r="F342" s="35">
        <v>46185</v>
      </c>
      <c r="G342" s="47">
        <v>135219.91</v>
      </c>
      <c r="H342" s="37">
        <f t="shared" si="46"/>
        <v>19</v>
      </c>
      <c r="I342" s="37" t="s">
        <v>481</v>
      </c>
      <c r="J342" s="37" t="str">
        <f t="shared" si="47"/>
        <v>0-180 DAYS</v>
      </c>
      <c r="M342" s="158" t="s">
        <v>5234</v>
      </c>
      <c r="N342" s="158">
        <v>135219.91</v>
      </c>
    </row>
    <row r="343" spans="1:14" x14ac:dyDescent="0.35">
      <c r="A343" t="s">
        <v>4333</v>
      </c>
      <c r="B343" t="s">
        <v>789</v>
      </c>
      <c r="C343" t="s">
        <v>125</v>
      </c>
      <c r="D343" t="s">
        <v>57</v>
      </c>
      <c r="E343" t="s">
        <v>5112</v>
      </c>
      <c r="F343" s="35">
        <v>46185</v>
      </c>
      <c r="G343" s="47">
        <v>34250</v>
      </c>
      <c r="H343" s="37">
        <f t="shared" si="46"/>
        <v>19</v>
      </c>
      <c r="I343" s="37" t="s">
        <v>481</v>
      </c>
      <c r="J343" s="37" t="str">
        <f t="shared" si="47"/>
        <v>0-180 DAYS</v>
      </c>
      <c r="M343" s="158" t="s">
        <v>5234</v>
      </c>
      <c r="N343" s="158">
        <v>34250</v>
      </c>
    </row>
    <row r="344" spans="1:14" x14ac:dyDescent="0.35">
      <c r="A344" t="s">
        <v>1085</v>
      </c>
      <c r="B344" t="s">
        <v>790</v>
      </c>
      <c r="C344" t="s">
        <v>650</v>
      </c>
      <c r="D344" t="s">
        <v>507</v>
      </c>
      <c r="E344" t="s">
        <v>1340</v>
      </c>
      <c r="F344" s="35">
        <v>46185</v>
      </c>
      <c r="G344" s="47">
        <v>3984172.7987059602</v>
      </c>
      <c r="H344" s="37">
        <f t="shared" si="46"/>
        <v>19</v>
      </c>
      <c r="I344" s="37" t="str">
        <f t="shared" ref="I344:I345" si="48">IF(H344&lt;121,"0-120 DAYS",IF(H344&lt;181,"121-180 DAYS","More than 180 Days"))</f>
        <v>0-120 DAYS</v>
      </c>
      <c r="J344" s="37" t="str">
        <f t="shared" si="47"/>
        <v>0-180 DAYS</v>
      </c>
      <c r="K344" t="s">
        <v>1730</v>
      </c>
      <c r="M344" s="158" t="s">
        <v>5234</v>
      </c>
      <c r="N344" s="158">
        <v>3984172.8</v>
      </c>
    </row>
    <row r="345" spans="1:14" x14ac:dyDescent="0.35">
      <c r="A345" t="s">
        <v>1085</v>
      </c>
      <c r="B345" t="s">
        <v>790</v>
      </c>
      <c r="C345" t="s">
        <v>650</v>
      </c>
      <c r="D345" t="s">
        <v>507</v>
      </c>
      <c r="E345" t="s">
        <v>1344</v>
      </c>
      <c r="F345" s="35">
        <v>46185</v>
      </c>
      <c r="G345" s="47">
        <v>465484.50151839998</v>
      </c>
      <c r="H345" s="37">
        <f t="shared" si="46"/>
        <v>19</v>
      </c>
      <c r="I345" s="37" t="str">
        <f t="shared" si="48"/>
        <v>0-120 DAYS</v>
      </c>
      <c r="J345" s="37" t="str">
        <f t="shared" si="47"/>
        <v>0-180 DAYS</v>
      </c>
      <c r="K345" t="s">
        <v>1730</v>
      </c>
      <c r="M345" s="158" t="s">
        <v>5234</v>
      </c>
      <c r="N345" s="158">
        <v>465484.5</v>
      </c>
    </row>
    <row r="346" spans="1:14" x14ac:dyDescent="0.35">
      <c r="A346" t="s">
        <v>4333</v>
      </c>
      <c r="B346" t="s">
        <v>789</v>
      </c>
      <c r="C346" t="s">
        <v>125</v>
      </c>
      <c r="D346" t="s">
        <v>57</v>
      </c>
      <c r="E346" t="s">
        <v>2158</v>
      </c>
      <c r="F346" s="35">
        <v>46186</v>
      </c>
      <c r="G346" s="47">
        <v>15900</v>
      </c>
      <c r="H346" s="37">
        <f t="shared" si="46"/>
        <v>18</v>
      </c>
      <c r="I346" s="37" t="s">
        <v>481</v>
      </c>
      <c r="J346" s="37" t="str">
        <f t="shared" si="47"/>
        <v>0-180 DAYS</v>
      </c>
      <c r="M346" s="158" t="s">
        <v>5235</v>
      </c>
      <c r="N346" s="158">
        <v>15900</v>
      </c>
    </row>
    <row r="347" spans="1:14" x14ac:dyDescent="0.35">
      <c r="A347" t="s">
        <v>4333</v>
      </c>
      <c r="B347" t="s">
        <v>789</v>
      </c>
      <c r="C347" t="s">
        <v>125</v>
      </c>
      <c r="D347" t="s">
        <v>57</v>
      </c>
      <c r="E347" t="s">
        <v>2159</v>
      </c>
      <c r="F347" s="35">
        <v>46186</v>
      </c>
      <c r="G347" s="47">
        <v>2552</v>
      </c>
      <c r="H347" s="37">
        <f t="shared" si="46"/>
        <v>18</v>
      </c>
      <c r="I347" s="37" t="s">
        <v>481</v>
      </c>
      <c r="J347" s="37" t="str">
        <f t="shared" si="47"/>
        <v>0-180 DAYS</v>
      </c>
      <c r="M347" s="158" t="s">
        <v>5235</v>
      </c>
      <c r="N347" s="158">
        <v>2552</v>
      </c>
    </row>
    <row r="348" spans="1:14" x14ac:dyDescent="0.35">
      <c r="A348" t="s">
        <v>1085</v>
      </c>
      <c r="B348" t="s">
        <v>790</v>
      </c>
      <c r="C348" t="s">
        <v>1086</v>
      </c>
      <c r="D348" t="s">
        <v>507</v>
      </c>
      <c r="E348" t="s">
        <v>5113</v>
      </c>
      <c r="F348" s="35">
        <v>46187</v>
      </c>
      <c r="G348" s="47">
        <v>638573.55900000001</v>
      </c>
      <c r="H348" s="37">
        <f t="shared" si="46"/>
        <v>17</v>
      </c>
      <c r="I348" s="37" t="str">
        <f t="shared" ref="I348:I350" si="49">IF(H348&lt;121,"0-120 DAYS",IF(H348&lt;181,"121-180 DAYS","More than 180 Days"))</f>
        <v>0-120 DAYS</v>
      </c>
      <c r="J348" s="37" t="str">
        <f t="shared" si="47"/>
        <v>0-180 DAYS</v>
      </c>
      <c r="K348" t="s">
        <v>1730</v>
      </c>
      <c r="M348" s="158" t="s">
        <v>5236</v>
      </c>
      <c r="N348" s="158">
        <v>638573.56000000006</v>
      </c>
    </row>
    <row r="349" spans="1:14" x14ac:dyDescent="0.35">
      <c r="A349" t="s">
        <v>1085</v>
      </c>
      <c r="B349" t="s">
        <v>790</v>
      </c>
      <c r="C349" t="s">
        <v>1086</v>
      </c>
      <c r="D349" t="s">
        <v>507</v>
      </c>
      <c r="E349" t="s">
        <v>5114</v>
      </c>
      <c r="F349" s="35">
        <v>46187</v>
      </c>
      <c r="G349" s="47">
        <v>974290.85</v>
      </c>
      <c r="H349" s="37">
        <f t="shared" si="46"/>
        <v>17</v>
      </c>
      <c r="I349" s="37" t="str">
        <f t="shared" si="49"/>
        <v>0-120 DAYS</v>
      </c>
      <c r="J349" s="37" t="str">
        <f t="shared" si="47"/>
        <v>0-180 DAYS</v>
      </c>
      <c r="K349" t="s">
        <v>1730</v>
      </c>
      <c r="M349" s="158" t="s">
        <v>5236</v>
      </c>
      <c r="N349" s="158">
        <v>974290.85</v>
      </c>
    </row>
    <row r="350" spans="1:14" x14ac:dyDescent="0.35">
      <c r="A350" t="s">
        <v>1085</v>
      </c>
      <c r="B350" t="s">
        <v>790</v>
      </c>
      <c r="C350" t="s">
        <v>1086</v>
      </c>
      <c r="D350" t="s">
        <v>507</v>
      </c>
      <c r="E350" t="s">
        <v>5115</v>
      </c>
      <c r="F350" s="35">
        <v>46187</v>
      </c>
      <c r="G350" s="47">
        <v>1180139.389</v>
      </c>
      <c r="H350" s="37">
        <f t="shared" si="46"/>
        <v>17</v>
      </c>
      <c r="I350" s="37" t="str">
        <f t="shared" si="49"/>
        <v>0-120 DAYS</v>
      </c>
      <c r="J350" s="37" t="str">
        <f t="shared" si="47"/>
        <v>0-180 DAYS</v>
      </c>
      <c r="K350" t="s">
        <v>1730</v>
      </c>
      <c r="M350" s="158" t="s">
        <v>5236</v>
      </c>
      <c r="N350" s="158">
        <v>1180139.3899999999</v>
      </c>
    </row>
    <row r="351" spans="1:14" x14ac:dyDescent="0.35">
      <c r="A351" t="s">
        <v>4333</v>
      </c>
      <c r="B351" t="s">
        <v>789</v>
      </c>
      <c r="C351" t="s">
        <v>125</v>
      </c>
      <c r="D351" t="s">
        <v>57</v>
      </c>
      <c r="E351" t="s">
        <v>2162</v>
      </c>
      <c r="F351" s="35">
        <v>46187</v>
      </c>
      <c r="G351" s="47">
        <v>6912</v>
      </c>
      <c r="H351" s="37">
        <f t="shared" si="46"/>
        <v>17</v>
      </c>
      <c r="I351" s="37" t="s">
        <v>481</v>
      </c>
      <c r="J351" s="37" t="str">
        <f t="shared" si="47"/>
        <v>0-180 DAYS</v>
      </c>
      <c r="M351" s="158" t="s">
        <v>5236</v>
      </c>
      <c r="N351" s="158">
        <v>6912</v>
      </c>
    </row>
    <row r="352" spans="1:14" x14ac:dyDescent="0.35">
      <c r="A352" t="s">
        <v>4333</v>
      </c>
      <c r="B352" t="s">
        <v>789</v>
      </c>
      <c r="C352" t="s">
        <v>125</v>
      </c>
      <c r="D352" t="s">
        <v>57</v>
      </c>
      <c r="E352" t="s">
        <v>2163</v>
      </c>
      <c r="F352" s="35">
        <v>46187</v>
      </c>
      <c r="G352" s="47">
        <v>295554</v>
      </c>
      <c r="H352" s="37">
        <f t="shared" si="46"/>
        <v>17</v>
      </c>
      <c r="I352" s="37" t="s">
        <v>481</v>
      </c>
      <c r="J352" s="37" t="str">
        <f t="shared" si="47"/>
        <v>0-180 DAYS</v>
      </c>
      <c r="M352" s="158" t="s">
        <v>5236</v>
      </c>
      <c r="N352" s="158">
        <v>295554</v>
      </c>
    </row>
    <row r="353" spans="1:14" x14ac:dyDescent="0.35">
      <c r="A353" t="s">
        <v>4333</v>
      </c>
      <c r="B353" t="s">
        <v>789</v>
      </c>
      <c r="C353" t="s">
        <v>125</v>
      </c>
      <c r="D353" t="s">
        <v>57</v>
      </c>
      <c r="E353" t="s">
        <v>2163</v>
      </c>
      <c r="F353" s="35">
        <v>46187</v>
      </c>
      <c r="G353" s="47">
        <v>38490.480000000003</v>
      </c>
      <c r="H353" s="37">
        <f t="shared" si="46"/>
        <v>17</v>
      </c>
      <c r="I353" s="37" t="s">
        <v>481</v>
      </c>
      <c r="J353" s="37" t="str">
        <f t="shared" si="47"/>
        <v>0-180 DAYS</v>
      </c>
      <c r="M353" s="158" t="s">
        <v>5236</v>
      </c>
      <c r="N353" s="158">
        <v>38490.480000000003</v>
      </c>
    </row>
    <row r="354" spans="1:14" x14ac:dyDescent="0.35">
      <c r="A354" t="s">
        <v>4333</v>
      </c>
      <c r="B354" t="s">
        <v>789</v>
      </c>
      <c r="C354" t="s">
        <v>125</v>
      </c>
      <c r="D354" t="s">
        <v>57</v>
      </c>
      <c r="E354" t="s">
        <v>2163</v>
      </c>
      <c r="F354" s="35">
        <v>46187</v>
      </c>
      <c r="G354" s="47">
        <v>9441.92</v>
      </c>
      <c r="H354" s="37">
        <f t="shared" si="46"/>
        <v>17</v>
      </c>
      <c r="I354" s="37" t="s">
        <v>481</v>
      </c>
      <c r="J354" s="37" t="str">
        <f t="shared" si="47"/>
        <v>0-180 DAYS</v>
      </c>
      <c r="M354" s="158" t="s">
        <v>5236</v>
      </c>
      <c r="N354" s="158">
        <v>9441.92</v>
      </c>
    </row>
    <row r="355" spans="1:14" x14ac:dyDescent="0.35">
      <c r="A355" t="s">
        <v>4333</v>
      </c>
      <c r="B355" t="s">
        <v>789</v>
      </c>
      <c r="C355" t="s">
        <v>125</v>
      </c>
      <c r="D355" t="s">
        <v>57</v>
      </c>
      <c r="E355" t="s">
        <v>2163</v>
      </c>
      <c r="F355" s="35">
        <v>46187</v>
      </c>
      <c r="G355" s="47">
        <v>9852.89</v>
      </c>
      <c r="H355" s="37">
        <f t="shared" si="46"/>
        <v>17</v>
      </c>
      <c r="I355" s="37" t="s">
        <v>481</v>
      </c>
      <c r="J355" s="37" t="str">
        <f t="shared" si="47"/>
        <v>0-180 DAYS</v>
      </c>
      <c r="M355" s="158" t="s">
        <v>5236</v>
      </c>
      <c r="N355" s="158">
        <v>9852.89</v>
      </c>
    </row>
    <row r="356" spans="1:14" x14ac:dyDescent="0.35">
      <c r="A356" t="s">
        <v>4333</v>
      </c>
      <c r="B356" t="s">
        <v>789</v>
      </c>
      <c r="C356" t="s">
        <v>125</v>
      </c>
      <c r="D356" t="s">
        <v>57</v>
      </c>
      <c r="E356" t="s">
        <v>2163</v>
      </c>
      <c r="F356" s="35">
        <v>46187</v>
      </c>
      <c r="G356" s="47">
        <v>167922.36</v>
      </c>
      <c r="H356" s="37">
        <f t="shared" si="46"/>
        <v>17</v>
      </c>
      <c r="I356" s="37" t="s">
        <v>481</v>
      </c>
      <c r="J356" s="37" t="str">
        <f t="shared" si="47"/>
        <v>0-180 DAYS</v>
      </c>
      <c r="M356" s="158" t="s">
        <v>5236</v>
      </c>
      <c r="N356" s="158">
        <v>167922.36</v>
      </c>
    </row>
    <row r="357" spans="1:14" x14ac:dyDescent="0.35">
      <c r="A357" t="s">
        <v>4333</v>
      </c>
      <c r="B357" t="s">
        <v>789</v>
      </c>
      <c r="C357" t="s">
        <v>125</v>
      </c>
      <c r="D357" t="s">
        <v>57</v>
      </c>
      <c r="E357" t="s">
        <v>2163</v>
      </c>
      <c r="F357" s="35">
        <v>46187</v>
      </c>
      <c r="G357" s="47">
        <v>634743.48</v>
      </c>
      <c r="H357" s="37">
        <f t="shared" si="46"/>
        <v>17</v>
      </c>
      <c r="I357" s="37" t="s">
        <v>481</v>
      </c>
      <c r="J357" s="37" t="str">
        <f t="shared" si="47"/>
        <v>0-180 DAYS</v>
      </c>
      <c r="M357" s="158" t="s">
        <v>5236</v>
      </c>
      <c r="N357" s="158">
        <v>634743.48</v>
      </c>
    </row>
    <row r="358" spans="1:14" x14ac:dyDescent="0.35">
      <c r="A358" t="s">
        <v>4333</v>
      </c>
      <c r="B358" t="s">
        <v>789</v>
      </c>
      <c r="C358" t="s">
        <v>125</v>
      </c>
      <c r="D358" t="s">
        <v>57</v>
      </c>
      <c r="E358" t="s">
        <v>2163</v>
      </c>
      <c r="F358" s="35">
        <v>46187</v>
      </c>
      <c r="G358" s="47">
        <v>18263.490000000002</v>
      </c>
      <c r="H358" s="37">
        <f t="shared" si="46"/>
        <v>17</v>
      </c>
      <c r="I358" s="37" t="s">
        <v>481</v>
      </c>
      <c r="J358" s="37" t="str">
        <f t="shared" si="47"/>
        <v>0-180 DAYS</v>
      </c>
      <c r="M358" s="158" t="s">
        <v>5236</v>
      </c>
      <c r="N358" s="158">
        <v>18263.490000000002</v>
      </c>
    </row>
    <row r="359" spans="1:14" x14ac:dyDescent="0.35">
      <c r="A359" t="s">
        <v>4333</v>
      </c>
      <c r="B359" t="s">
        <v>789</v>
      </c>
      <c r="C359" t="s">
        <v>125</v>
      </c>
      <c r="D359" t="s">
        <v>57</v>
      </c>
      <c r="E359" t="s">
        <v>2164</v>
      </c>
      <c r="F359" s="35">
        <v>46187</v>
      </c>
      <c r="G359" s="47">
        <v>19000</v>
      </c>
      <c r="H359" s="37">
        <f t="shared" si="46"/>
        <v>17</v>
      </c>
      <c r="I359" s="37" t="s">
        <v>481</v>
      </c>
      <c r="J359" s="37" t="str">
        <f t="shared" si="47"/>
        <v>0-180 DAYS</v>
      </c>
      <c r="M359" s="158" t="s">
        <v>5236</v>
      </c>
      <c r="N359" s="158">
        <v>19000</v>
      </c>
    </row>
    <row r="360" spans="1:14" x14ac:dyDescent="0.35">
      <c r="A360" t="s">
        <v>1085</v>
      </c>
      <c r="B360" t="s">
        <v>790</v>
      </c>
      <c r="C360" t="s">
        <v>1055</v>
      </c>
      <c r="D360" t="s">
        <v>507</v>
      </c>
      <c r="E360" t="s">
        <v>5116</v>
      </c>
      <c r="F360" s="35">
        <v>46188</v>
      </c>
      <c r="G360" s="47">
        <v>5052855.5999999996</v>
      </c>
      <c r="H360" s="37">
        <f t="shared" si="46"/>
        <v>16</v>
      </c>
      <c r="I360" s="37" t="str">
        <f t="shared" ref="I360:I361" si="50">IF(H360&lt;121,"0-120 DAYS",IF(H360&lt;181,"121-180 DAYS","More than 180 Days"))</f>
        <v>0-120 DAYS</v>
      </c>
      <c r="J360" s="37" t="str">
        <f t="shared" si="47"/>
        <v>0-180 DAYS</v>
      </c>
      <c r="K360" t="s">
        <v>1730</v>
      </c>
      <c r="M360" s="158" t="s">
        <v>5237</v>
      </c>
      <c r="N360" s="158">
        <v>5052855.5999999996</v>
      </c>
    </row>
    <row r="361" spans="1:14" x14ac:dyDescent="0.35">
      <c r="A361" t="s">
        <v>1085</v>
      </c>
      <c r="B361" t="s">
        <v>790</v>
      </c>
      <c r="C361" t="s">
        <v>4752</v>
      </c>
      <c r="D361" t="s">
        <v>507</v>
      </c>
      <c r="E361" t="s">
        <v>5117</v>
      </c>
      <c r="F361" s="35">
        <v>46188</v>
      </c>
      <c r="G361" s="47">
        <f>-515846+1525737.18723084</f>
        <v>1009891.1872308401</v>
      </c>
      <c r="H361" s="37">
        <f t="shared" si="46"/>
        <v>16</v>
      </c>
      <c r="I361" s="37" t="str">
        <f t="shared" si="50"/>
        <v>0-120 DAYS</v>
      </c>
      <c r="J361" s="37" t="str">
        <f t="shared" si="47"/>
        <v>0-180 DAYS</v>
      </c>
      <c r="K361" t="s">
        <v>1730</v>
      </c>
      <c r="M361" s="158" t="s">
        <v>5237</v>
      </c>
      <c r="N361" s="158">
        <v>1009891.19</v>
      </c>
    </row>
    <row r="362" spans="1:14" x14ac:dyDescent="0.35">
      <c r="A362" t="s">
        <v>4333</v>
      </c>
      <c r="B362" t="s">
        <v>789</v>
      </c>
      <c r="C362" t="s">
        <v>125</v>
      </c>
      <c r="D362" t="s">
        <v>57</v>
      </c>
      <c r="E362" t="s">
        <v>2166</v>
      </c>
      <c r="F362" s="35">
        <v>46188</v>
      </c>
      <c r="G362" s="47">
        <v>2928</v>
      </c>
      <c r="H362" s="37">
        <f t="shared" si="46"/>
        <v>16</v>
      </c>
      <c r="I362" s="37" t="s">
        <v>481</v>
      </c>
      <c r="J362" s="37" t="str">
        <f t="shared" si="47"/>
        <v>0-180 DAYS</v>
      </c>
      <c r="M362" s="158" t="s">
        <v>5237</v>
      </c>
      <c r="N362" s="158">
        <v>2928</v>
      </c>
    </row>
    <row r="363" spans="1:14" x14ac:dyDescent="0.35">
      <c r="A363" t="s">
        <v>4333</v>
      </c>
      <c r="B363" t="s">
        <v>789</v>
      </c>
      <c r="C363" t="s">
        <v>125</v>
      </c>
      <c r="D363" t="s">
        <v>57</v>
      </c>
      <c r="E363" t="s">
        <v>2167</v>
      </c>
      <c r="F363" s="35">
        <v>46188</v>
      </c>
      <c r="G363" s="47">
        <v>8656.52</v>
      </c>
      <c r="H363" s="37">
        <f t="shared" si="46"/>
        <v>16</v>
      </c>
      <c r="I363" s="37" t="s">
        <v>481</v>
      </c>
      <c r="J363" s="37" t="str">
        <f t="shared" si="47"/>
        <v>0-180 DAYS</v>
      </c>
      <c r="M363" s="158" t="s">
        <v>5237</v>
      </c>
      <c r="N363" s="158">
        <v>8656.52</v>
      </c>
    </row>
    <row r="364" spans="1:14" x14ac:dyDescent="0.35">
      <c r="A364" t="s">
        <v>4333</v>
      </c>
      <c r="B364" t="s">
        <v>789</v>
      </c>
      <c r="C364" t="s">
        <v>125</v>
      </c>
      <c r="D364" t="s">
        <v>57</v>
      </c>
      <c r="E364" t="s">
        <v>2167</v>
      </c>
      <c r="F364" s="35">
        <v>46188</v>
      </c>
      <c r="G364" s="47">
        <v>60912.71</v>
      </c>
      <c r="H364" s="37">
        <f t="shared" si="46"/>
        <v>16</v>
      </c>
      <c r="I364" s="37" t="s">
        <v>481</v>
      </c>
      <c r="J364" s="37" t="str">
        <f t="shared" si="47"/>
        <v>0-180 DAYS</v>
      </c>
      <c r="M364" s="158" t="s">
        <v>5237</v>
      </c>
      <c r="N364" s="158">
        <v>60912.71</v>
      </c>
    </row>
    <row r="365" spans="1:14" x14ac:dyDescent="0.35">
      <c r="A365" t="s">
        <v>4333</v>
      </c>
      <c r="B365" t="s">
        <v>789</v>
      </c>
      <c r="C365" t="s">
        <v>125</v>
      </c>
      <c r="D365" t="s">
        <v>57</v>
      </c>
      <c r="E365" t="s">
        <v>2167</v>
      </c>
      <c r="F365" s="35">
        <v>46188</v>
      </c>
      <c r="G365" s="47">
        <v>35282.94</v>
      </c>
      <c r="H365" s="37">
        <f t="shared" si="46"/>
        <v>16</v>
      </c>
      <c r="I365" s="37" t="s">
        <v>481</v>
      </c>
      <c r="J365" s="37" t="str">
        <f t="shared" si="47"/>
        <v>0-180 DAYS</v>
      </c>
      <c r="M365" s="158" t="s">
        <v>5237</v>
      </c>
      <c r="N365" s="158">
        <v>35282.94</v>
      </c>
    </row>
    <row r="366" spans="1:14" x14ac:dyDescent="0.35">
      <c r="A366" t="s">
        <v>4333</v>
      </c>
      <c r="B366" t="s">
        <v>789</v>
      </c>
      <c r="C366" t="s">
        <v>125</v>
      </c>
      <c r="D366" t="s">
        <v>57</v>
      </c>
      <c r="E366" t="s">
        <v>2167</v>
      </c>
      <c r="F366" s="35">
        <v>46188</v>
      </c>
      <c r="G366" s="47">
        <v>108588.9</v>
      </c>
      <c r="H366" s="37">
        <f t="shared" si="46"/>
        <v>16</v>
      </c>
      <c r="I366" s="37" t="s">
        <v>481</v>
      </c>
      <c r="J366" s="37" t="str">
        <f t="shared" si="47"/>
        <v>0-180 DAYS</v>
      </c>
      <c r="M366" s="158" t="s">
        <v>5237</v>
      </c>
      <c r="N366" s="158">
        <v>108588.9</v>
      </c>
    </row>
    <row r="367" spans="1:14" x14ac:dyDescent="0.35">
      <c r="A367" t="s">
        <v>4333</v>
      </c>
      <c r="B367" t="s">
        <v>789</v>
      </c>
      <c r="C367" t="s">
        <v>125</v>
      </c>
      <c r="D367" t="s">
        <v>57</v>
      </c>
      <c r="E367" t="s">
        <v>2167</v>
      </c>
      <c r="F367" s="35">
        <v>46188</v>
      </c>
      <c r="G367" s="47">
        <v>4237.3900000000003</v>
      </c>
      <c r="H367" s="37">
        <f t="shared" si="46"/>
        <v>16</v>
      </c>
      <c r="I367" s="37" t="s">
        <v>481</v>
      </c>
      <c r="J367" s="37" t="str">
        <f t="shared" si="47"/>
        <v>0-180 DAYS</v>
      </c>
      <c r="M367" s="158" t="s">
        <v>5237</v>
      </c>
      <c r="N367" s="158">
        <v>4237.3900000000003</v>
      </c>
    </row>
    <row r="368" spans="1:14" x14ac:dyDescent="0.35">
      <c r="A368" t="s">
        <v>4333</v>
      </c>
      <c r="B368" t="s">
        <v>789</v>
      </c>
      <c r="C368" t="s">
        <v>125</v>
      </c>
      <c r="D368" t="s">
        <v>57</v>
      </c>
      <c r="E368" t="s">
        <v>2167</v>
      </c>
      <c r="F368" s="35">
        <v>46188</v>
      </c>
      <c r="G368" s="47">
        <v>221274.79</v>
      </c>
      <c r="H368" s="37">
        <f t="shared" si="46"/>
        <v>16</v>
      </c>
      <c r="I368" s="37" t="s">
        <v>481</v>
      </c>
      <c r="J368" s="37" t="str">
        <f t="shared" si="47"/>
        <v>0-180 DAYS</v>
      </c>
      <c r="M368" s="158" t="s">
        <v>5237</v>
      </c>
      <c r="N368" s="158">
        <v>221274.79</v>
      </c>
    </row>
    <row r="369" spans="1:14" x14ac:dyDescent="0.35">
      <c r="A369" t="s">
        <v>477</v>
      </c>
      <c r="B369" t="s">
        <v>790</v>
      </c>
      <c r="C369" t="s">
        <v>5072</v>
      </c>
      <c r="D369" t="s">
        <v>5075</v>
      </c>
      <c r="E369" t="s">
        <v>2169</v>
      </c>
      <c r="F369" s="35">
        <v>46189</v>
      </c>
      <c r="G369" s="47">
        <v>50000</v>
      </c>
      <c r="H369" s="37">
        <f t="shared" si="46"/>
        <v>15</v>
      </c>
      <c r="I369" s="37" t="str">
        <f t="shared" ref="I369" si="51">IF(H369&lt;91,"1-90 DAYS",IF(H369&lt;121,"91-120DAYS",IF(H369&lt;181,"121-180 DAYS","More than 180 Days")))</f>
        <v>1-90 DAYS</v>
      </c>
      <c r="J369" s="37" t="str">
        <f t="shared" si="47"/>
        <v>0-180 DAYS</v>
      </c>
      <c r="K369" t="s">
        <v>1730</v>
      </c>
      <c r="M369" s="158" t="s">
        <v>5238</v>
      </c>
      <c r="N369" s="158">
        <v>50000</v>
      </c>
    </row>
    <row r="370" spans="1:14" x14ac:dyDescent="0.35">
      <c r="A370" t="s">
        <v>4333</v>
      </c>
      <c r="B370" t="s">
        <v>789</v>
      </c>
      <c r="C370" t="s">
        <v>125</v>
      </c>
      <c r="D370" t="s">
        <v>57</v>
      </c>
      <c r="E370" t="s">
        <v>5118</v>
      </c>
      <c r="F370" s="35">
        <v>46189</v>
      </c>
      <c r="G370" s="47">
        <v>5904</v>
      </c>
      <c r="H370" s="37">
        <f t="shared" si="46"/>
        <v>15</v>
      </c>
      <c r="I370" s="37" t="s">
        <v>481</v>
      </c>
      <c r="J370" s="37" t="str">
        <f t="shared" si="47"/>
        <v>0-180 DAYS</v>
      </c>
      <c r="M370" s="158" t="s">
        <v>5238</v>
      </c>
      <c r="N370" s="158">
        <v>5904</v>
      </c>
    </row>
    <row r="371" spans="1:14" x14ac:dyDescent="0.35">
      <c r="A371" t="s">
        <v>4333</v>
      </c>
      <c r="B371" t="s">
        <v>789</v>
      </c>
      <c r="C371" t="s">
        <v>125</v>
      </c>
      <c r="D371" t="s">
        <v>57</v>
      </c>
      <c r="E371" t="s">
        <v>5119</v>
      </c>
      <c r="F371" s="35">
        <v>46189</v>
      </c>
      <c r="G371" s="47">
        <v>29866.99</v>
      </c>
      <c r="H371" s="37">
        <f t="shared" si="46"/>
        <v>15</v>
      </c>
      <c r="I371" s="37" t="s">
        <v>481</v>
      </c>
      <c r="J371" s="37" t="str">
        <f t="shared" si="47"/>
        <v>0-180 DAYS</v>
      </c>
      <c r="M371" s="158" t="s">
        <v>5238</v>
      </c>
      <c r="N371" s="158">
        <v>29866.99</v>
      </c>
    </row>
    <row r="372" spans="1:14" x14ac:dyDescent="0.35">
      <c r="A372" t="s">
        <v>4333</v>
      </c>
      <c r="B372" t="s">
        <v>789</v>
      </c>
      <c r="C372" t="s">
        <v>125</v>
      </c>
      <c r="D372" t="s">
        <v>57</v>
      </c>
      <c r="E372" t="s">
        <v>5119</v>
      </c>
      <c r="F372" s="35">
        <v>46189</v>
      </c>
      <c r="G372" s="47">
        <v>91155.58</v>
      </c>
      <c r="H372" s="37">
        <f t="shared" si="46"/>
        <v>15</v>
      </c>
      <c r="I372" s="37" t="s">
        <v>481</v>
      </c>
      <c r="J372" s="37" t="str">
        <f t="shared" si="47"/>
        <v>0-180 DAYS</v>
      </c>
      <c r="M372" s="158" t="s">
        <v>5238</v>
      </c>
      <c r="N372" s="158">
        <v>91155.58</v>
      </c>
    </row>
    <row r="373" spans="1:14" x14ac:dyDescent="0.35">
      <c r="A373" t="s">
        <v>4333</v>
      </c>
      <c r="B373" t="s">
        <v>789</v>
      </c>
      <c r="C373" t="s">
        <v>125</v>
      </c>
      <c r="D373" t="s">
        <v>57</v>
      </c>
      <c r="E373" t="s">
        <v>5119</v>
      </c>
      <c r="F373" s="35">
        <v>46189</v>
      </c>
      <c r="G373" s="47">
        <v>522866.46</v>
      </c>
      <c r="H373" s="37">
        <f t="shared" si="46"/>
        <v>15</v>
      </c>
      <c r="I373" s="37" t="s">
        <v>481</v>
      </c>
      <c r="J373" s="37" t="str">
        <f t="shared" si="47"/>
        <v>0-180 DAYS</v>
      </c>
      <c r="M373" s="158" t="s">
        <v>5238</v>
      </c>
      <c r="N373" s="158">
        <v>522866.46</v>
      </c>
    </row>
    <row r="374" spans="1:14" x14ac:dyDescent="0.35">
      <c r="A374" t="s">
        <v>4333</v>
      </c>
      <c r="B374" t="s">
        <v>789</v>
      </c>
      <c r="C374" t="s">
        <v>125</v>
      </c>
      <c r="D374" t="s">
        <v>57</v>
      </c>
      <c r="E374" t="s">
        <v>5119</v>
      </c>
      <c r="F374" s="35">
        <v>46189</v>
      </c>
      <c r="G374" s="47">
        <v>4063.61</v>
      </c>
      <c r="H374" s="37">
        <f t="shared" si="46"/>
        <v>15</v>
      </c>
      <c r="I374" s="37" t="s">
        <v>481</v>
      </c>
      <c r="J374" s="37" t="str">
        <f t="shared" si="47"/>
        <v>0-180 DAYS</v>
      </c>
      <c r="M374" s="158" t="s">
        <v>5238</v>
      </c>
      <c r="N374" s="158">
        <v>4063.61</v>
      </c>
    </row>
    <row r="375" spans="1:14" x14ac:dyDescent="0.35">
      <c r="A375" t="s">
        <v>4333</v>
      </c>
      <c r="B375" t="s">
        <v>789</v>
      </c>
      <c r="C375" t="s">
        <v>125</v>
      </c>
      <c r="D375" t="s">
        <v>57</v>
      </c>
      <c r="E375" t="s">
        <v>5119</v>
      </c>
      <c r="F375" s="35">
        <v>46189</v>
      </c>
      <c r="G375" s="47">
        <v>61543.14</v>
      </c>
      <c r="H375" s="37">
        <f t="shared" si="46"/>
        <v>15</v>
      </c>
      <c r="I375" s="37" t="s">
        <v>481</v>
      </c>
      <c r="J375" s="37" t="str">
        <f t="shared" si="47"/>
        <v>0-180 DAYS</v>
      </c>
      <c r="M375" s="158" t="s">
        <v>5238</v>
      </c>
      <c r="N375" s="158">
        <v>61543.14</v>
      </c>
    </row>
    <row r="376" spans="1:14" x14ac:dyDescent="0.35">
      <c r="A376" t="s">
        <v>4333</v>
      </c>
      <c r="B376" t="s">
        <v>789</v>
      </c>
      <c r="C376" t="s">
        <v>125</v>
      </c>
      <c r="D376" t="s">
        <v>57</v>
      </c>
      <c r="E376" t="s">
        <v>5119</v>
      </c>
      <c r="F376" s="35">
        <v>46189</v>
      </c>
      <c r="G376" s="47">
        <v>60164.29</v>
      </c>
      <c r="H376" s="37">
        <f t="shared" si="46"/>
        <v>15</v>
      </c>
      <c r="I376" s="37" t="s">
        <v>481</v>
      </c>
      <c r="J376" s="37" t="str">
        <f t="shared" si="47"/>
        <v>0-180 DAYS</v>
      </c>
      <c r="M376" s="158" t="s">
        <v>5238</v>
      </c>
      <c r="N376" s="158">
        <v>60164.29</v>
      </c>
    </row>
    <row r="377" spans="1:14" x14ac:dyDescent="0.35">
      <c r="A377" t="s">
        <v>4333</v>
      </c>
      <c r="B377" t="s">
        <v>789</v>
      </c>
      <c r="C377" t="s">
        <v>125</v>
      </c>
      <c r="D377" t="s">
        <v>57</v>
      </c>
      <c r="E377" t="s">
        <v>2172</v>
      </c>
      <c r="F377" s="35">
        <v>46189</v>
      </c>
      <c r="G377" s="47">
        <v>210000</v>
      </c>
      <c r="H377" s="37">
        <f t="shared" si="46"/>
        <v>15</v>
      </c>
      <c r="I377" s="37" t="s">
        <v>481</v>
      </c>
      <c r="J377" s="37" t="str">
        <f t="shared" si="47"/>
        <v>0-180 DAYS</v>
      </c>
      <c r="M377" s="158" t="s">
        <v>5238</v>
      </c>
      <c r="N377" s="158">
        <v>210000</v>
      </c>
    </row>
    <row r="378" spans="1:14" x14ac:dyDescent="0.35">
      <c r="A378" t="s">
        <v>4333</v>
      </c>
      <c r="B378" t="s">
        <v>789</v>
      </c>
      <c r="C378" t="s">
        <v>125</v>
      </c>
      <c r="D378" t="s">
        <v>57</v>
      </c>
      <c r="E378" t="s">
        <v>5120</v>
      </c>
      <c r="F378" s="35">
        <v>46190</v>
      </c>
      <c r="G378" s="47">
        <v>2064</v>
      </c>
      <c r="H378" s="37">
        <f t="shared" si="46"/>
        <v>14</v>
      </c>
      <c r="I378" s="37" t="s">
        <v>481</v>
      </c>
      <c r="J378" s="37" t="str">
        <f t="shared" si="47"/>
        <v>0-180 DAYS</v>
      </c>
      <c r="M378" s="158" t="s">
        <v>5239</v>
      </c>
      <c r="N378" s="158">
        <v>2064</v>
      </c>
    </row>
    <row r="379" spans="1:14" x14ac:dyDescent="0.35">
      <c r="A379" t="s">
        <v>4333</v>
      </c>
      <c r="B379" t="s">
        <v>789</v>
      </c>
      <c r="C379" t="s">
        <v>125</v>
      </c>
      <c r="D379" t="s">
        <v>57</v>
      </c>
      <c r="E379" t="s">
        <v>2177</v>
      </c>
      <c r="F379" s="35">
        <v>46190</v>
      </c>
      <c r="G379" s="47">
        <v>10278.549999999999</v>
      </c>
      <c r="H379" s="37">
        <f t="shared" si="46"/>
        <v>14</v>
      </c>
      <c r="I379" s="37" t="s">
        <v>481</v>
      </c>
      <c r="J379" s="37" t="str">
        <f t="shared" si="47"/>
        <v>0-180 DAYS</v>
      </c>
      <c r="M379" s="158" t="s">
        <v>5239</v>
      </c>
      <c r="N379" s="158">
        <v>10278.549999999999</v>
      </c>
    </row>
    <row r="380" spans="1:14" x14ac:dyDescent="0.35">
      <c r="A380" t="s">
        <v>4333</v>
      </c>
      <c r="B380" t="s">
        <v>789</v>
      </c>
      <c r="C380" t="s">
        <v>125</v>
      </c>
      <c r="D380" t="s">
        <v>57</v>
      </c>
      <c r="E380" t="s">
        <v>2177</v>
      </c>
      <c r="F380" s="35">
        <v>46190</v>
      </c>
      <c r="G380" s="47">
        <v>40444.769999999997</v>
      </c>
      <c r="H380" s="37">
        <f t="shared" si="46"/>
        <v>14</v>
      </c>
      <c r="I380" s="37" t="s">
        <v>481</v>
      </c>
      <c r="J380" s="37" t="str">
        <f t="shared" si="47"/>
        <v>0-180 DAYS</v>
      </c>
      <c r="M380" s="158" t="s">
        <v>5239</v>
      </c>
      <c r="N380" s="158">
        <v>40444.769999999997</v>
      </c>
    </row>
    <row r="381" spans="1:14" x14ac:dyDescent="0.35">
      <c r="A381" t="s">
        <v>4333</v>
      </c>
      <c r="B381" t="s">
        <v>789</v>
      </c>
      <c r="C381" t="s">
        <v>125</v>
      </c>
      <c r="D381" t="s">
        <v>57</v>
      </c>
      <c r="E381" t="s">
        <v>2177</v>
      </c>
      <c r="F381" s="35">
        <v>46190</v>
      </c>
      <c r="G381" s="47">
        <v>108750.88</v>
      </c>
      <c r="H381" s="37">
        <f t="shared" si="46"/>
        <v>14</v>
      </c>
      <c r="I381" s="37" t="s">
        <v>481</v>
      </c>
      <c r="J381" s="37" t="str">
        <f t="shared" si="47"/>
        <v>0-180 DAYS</v>
      </c>
      <c r="M381" s="158" t="s">
        <v>5239</v>
      </c>
      <c r="N381" s="158">
        <v>108750.88</v>
      </c>
    </row>
    <row r="382" spans="1:14" x14ac:dyDescent="0.35">
      <c r="A382" t="s">
        <v>4333</v>
      </c>
      <c r="B382" t="s">
        <v>789</v>
      </c>
      <c r="C382" t="s">
        <v>125</v>
      </c>
      <c r="D382" t="s">
        <v>57</v>
      </c>
      <c r="E382" t="s">
        <v>2177</v>
      </c>
      <c r="F382" s="35">
        <v>46190</v>
      </c>
      <c r="G382" s="47">
        <v>54222.7</v>
      </c>
      <c r="H382" s="37">
        <f t="shared" si="46"/>
        <v>14</v>
      </c>
      <c r="I382" s="37" t="s">
        <v>481</v>
      </c>
      <c r="J382" s="37" t="str">
        <f t="shared" si="47"/>
        <v>0-180 DAYS</v>
      </c>
      <c r="M382" s="158" t="s">
        <v>5239</v>
      </c>
      <c r="N382" s="158">
        <v>54222.7</v>
      </c>
    </row>
    <row r="383" spans="1:14" x14ac:dyDescent="0.35">
      <c r="A383" t="s">
        <v>4333</v>
      </c>
      <c r="B383" t="s">
        <v>789</v>
      </c>
      <c r="C383" t="s">
        <v>125</v>
      </c>
      <c r="D383" t="s">
        <v>57</v>
      </c>
      <c r="E383" t="s">
        <v>2177</v>
      </c>
      <c r="F383" s="35">
        <v>46190</v>
      </c>
      <c r="G383" s="47">
        <v>17330.88</v>
      </c>
      <c r="H383" s="37">
        <f t="shared" si="46"/>
        <v>14</v>
      </c>
      <c r="I383" s="37" t="s">
        <v>481</v>
      </c>
      <c r="J383" s="37" t="str">
        <f t="shared" si="47"/>
        <v>0-180 DAYS</v>
      </c>
      <c r="M383" s="158" t="s">
        <v>5239</v>
      </c>
      <c r="N383" s="158">
        <v>17330.88</v>
      </c>
    </row>
    <row r="384" spans="1:14" x14ac:dyDescent="0.35">
      <c r="A384" t="s">
        <v>4333</v>
      </c>
      <c r="B384" t="s">
        <v>789</v>
      </c>
      <c r="C384" t="s">
        <v>125</v>
      </c>
      <c r="D384" t="s">
        <v>57</v>
      </c>
      <c r="E384" t="s">
        <v>5121</v>
      </c>
      <c r="F384" s="35">
        <v>46190</v>
      </c>
      <c r="G384" s="47">
        <v>23500</v>
      </c>
      <c r="H384" s="37">
        <f t="shared" si="46"/>
        <v>14</v>
      </c>
      <c r="I384" s="37" t="s">
        <v>481</v>
      </c>
      <c r="J384" s="37" t="str">
        <f t="shared" si="47"/>
        <v>0-180 DAYS</v>
      </c>
      <c r="M384" s="158" t="s">
        <v>5239</v>
      </c>
      <c r="N384" s="158">
        <v>23500</v>
      </c>
    </row>
    <row r="385" spans="1:14" x14ac:dyDescent="0.35">
      <c r="A385" t="s">
        <v>4333</v>
      </c>
      <c r="B385" t="s">
        <v>789</v>
      </c>
      <c r="C385" t="s">
        <v>125</v>
      </c>
      <c r="D385" t="s">
        <v>57</v>
      </c>
      <c r="E385" t="s">
        <v>5122</v>
      </c>
      <c r="F385" s="35">
        <v>46191</v>
      </c>
      <c r="G385" s="47">
        <v>6120</v>
      </c>
      <c r="H385" s="37">
        <f t="shared" si="46"/>
        <v>13</v>
      </c>
      <c r="I385" s="37" t="s">
        <v>481</v>
      </c>
      <c r="J385" s="37" t="str">
        <f t="shared" si="47"/>
        <v>0-180 DAYS</v>
      </c>
      <c r="M385" s="158" t="s">
        <v>5240</v>
      </c>
      <c r="N385" s="158">
        <v>6120</v>
      </c>
    </row>
    <row r="386" spans="1:14" x14ac:dyDescent="0.35">
      <c r="A386" t="s">
        <v>4333</v>
      </c>
      <c r="B386" t="s">
        <v>789</v>
      </c>
      <c r="C386" t="s">
        <v>125</v>
      </c>
      <c r="D386" t="s">
        <v>57</v>
      </c>
      <c r="E386" t="s">
        <v>2183</v>
      </c>
      <c r="F386" s="35">
        <v>46191</v>
      </c>
      <c r="G386" s="47">
        <v>2352</v>
      </c>
      <c r="H386" s="37">
        <f t="shared" si="46"/>
        <v>13</v>
      </c>
      <c r="I386" s="37" t="s">
        <v>481</v>
      </c>
      <c r="J386" s="37" t="str">
        <f t="shared" si="47"/>
        <v>0-180 DAYS</v>
      </c>
      <c r="M386" s="158" t="s">
        <v>5240</v>
      </c>
      <c r="N386" s="158">
        <v>2352</v>
      </c>
    </row>
    <row r="387" spans="1:14" x14ac:dyDescent="0.35">
      <c r="A387" t="s">
        <v>4333</v>
      </c>
      <c r="B387" t="s">
        <v>789</v>
      </c>
      <c r="C387" t="s">
        <v>125</v>
      </c>
      <c r="D387" t="s">
        <v>57</v>
      </c>
      <c r="E387" t="s">
        <v>2184</v>
      </c>
      <c r="F387" s="35">
        <v>46191</v>
      </c>
      <c r="G387" s="47">
        <v>348351.45</v>
      </c>
      <c r="H387" s="37">
        <f t="shared" si="46"/>
        <v>13</v>
      </c>
      <c r="I387" s="37" t="s">
        <v>481</v>
      </c>
      <c r="J387" s="37" t="str">
        <f t="shared" si="47"/>
        <v>0-180 DAYS</v>
      </c>
      <c r="M387" s="158" t="s">
        <v>5240</v>
      </c>
      <c r="N387" s="158">
        <v>348351.45</v>
      </c>
    </row>
    <row r="388" spans="1:14" x14ac:dyDescent="0.35">
      <c r="A388" t="s">
        <v>4333</v>
      </c>
      <c r="B388" t="s">
        <v>789</v>
      </c>
      <c r="C388" t="s">
        <v>125</v>
      </c>
      <c r="D388" t="s">
        <v>57</v>
      </c>
      <c r="E388" t="s">
        <v>2184</v>
      </c>
      <c r="F388" s="35">
        <v>46191</v>
      </c>
      <c r="G388" s="47">
        <v>44996.87</v>
      </c>
      <c r="H388" s="37">
        <f t="shared" si="46"/>
        <v>13</v>
      </c>
      <c r="I388" s="37" t="s">
        <v>481</v>
      </c>
      <c r="J388" s="37" t="str">
        <f t="shared" si="47"/>
        <v>0-180 DAYS</v>
      </c>
      <c r="M388" s="158" t="s">
        <v>5240</v>
      </c>
      <c r="N388" s="158">
        <v>44996.87</v>
      </c>
    </row>
    <row r="389" spans="1:14" x14ac:dyDescent="0.35">
      <c r="A389" t="s">
        <v>4333</v>
      </c>
      <c r="B389" t="s">
        <v>789</v>
      </c>
      <c r="C389" t="s">
        <v>125</v>
      </c>
      <c r="D389" t="s">
        <v>57</v>
      </c>
      <c r="E389" t="s">
        <v>2184</v>
      </c>
      <c r="F389" s="35">
        <v>46191</v>
      </c>
      <c r="G389" s="47">
        <v>7444.26</v>
      </c>
      <c r="H389" s="37">
        <f t="shared" si="46"/>
        <v>13</v>
      </c>
      <c r="I389" s="37" t="s">
        <v>481</v>
      </c>
      <c r="J389" s="37" t="str">
        <f t="shared" si="47"/>
        <v>0-180 DAYS</v>
      </c>
      <c r="M389" s="158" t="s">
        <v>5240</v>
      </c>
      <c r="N389" s="158">
        <v>7444.26</v>
      </c>
    </row>
    <row r="390" spans="1:14" x14ac:dyDescent="0.35">
      <c r="A390" t="s">
        <v>4333</v>
      </c>
      <c r="B390" t="s">
        <v>789</v>
      </c>
      <c r="C390" t="s">
        <v>125</v>
      </c>
      <c r="D390" t="s">
        <v>57</v>
      </c>
      <c r="E390" t="s">
        <v>2184</v>
      </c>
      <c r="F390" s="35">
        <v>46191</v>
      </c>
      <c r="G390" s="47">
        <v>59156.2</v>
      </c>
      <c r="H390" s="37">
        <f t="shared" si="46"/>
        <v>13</v>
      </c>
      <c r="I390" s="37" t="s">
        <v>481</v>
      </c>
      <c r="J390" s="37" t="str">
        <f t="shared" si="47"/>
        <v>0-180 DAYS</v>
      </c>
      <c r="M390" s="158" t="s">
        <v>5240</v>
      </c>
      <c r="N390" s="158">
        <v>59156.2</v>
      </c>
    </row>
    <row r="391" spans="1:14" x14ac:dyDescent="0.35">
      <c r="A391" t="s">
        <v>4333</v>
      </c>
      <c r="B391" t="s">
        <v>789</v>
      </c>
      <c r="C391" t="s">
        <v>125</v>
      </c>
      <c r="D391" t="s">
        <v>57</v>
      </c>
      <c r="E391" t="s">
        <v>2184</v>
      </c>
      <c r="F391" s="35">
        <v>46191</v>
      </c>
      <c r="G391" s="47">
        <v>88053.04</v>
      </c>
      <c r="H391" s="37">
        <f t="shared" si="46"/>
        <v>13</v>
      </c>
      <c r="I391" s="37" t="s">
        <v>481</v>
      </c>
      <c r="J391" s="37" t="str">
        <f t="shared" si="47"/>
        <v>0-180 DAYS</v>
      </c>
      <c r="M391" s="158" t="s">
        <v>5240</v>
      </c>
      <c r="N391" s="158">
        <v>88053.04</v>
      </c>
    </row>
    <row r="392" spans="1:14" x14ac:dyDescent="0.35">
      <c r="A392" t="s">
        <v>4333</v>
      </c>
      <c r="B392" t="s">
        <v>789</v>
      </c>
      <c r="C392" t="s">
        <v>125</v>
      </c>
      <c r="D392" t="s">
        <v>57</v>
      </c>
      <c r="E392" t="s">
        <v>2184</v>
      </c>
      <c r="F392" s="35">
        <v>46191</v>
      </c>
      <c r="G392" s="47">
        <v>114402.26</v>
      </c>
      <c r="H392" s="37">
        <f t="shared" si="46"/>
        <v>13</v>
      </c>
      <c r="I392" s="37" t="s">
        <v>481</v>
      </c>
      <c r="J392" s="37" t="str">
        <f t="shared" si="47"/>
        <v>0-180 DAYS</v>
      </c>
      <c r="M392" s="158" t="s">
        <v>5240</v>
      </c>
      <c r="N392" s="158">
        <v>114402.26</v>
      </c>
    </row>
    <row r="393" spans="1:14" x14ac:dyDescent="0.35">
      <c r="A393" t="s">
        <v>4333</v>
      </c>
      <c r="B393" t="s">
        <v>789</v>
      </c>
      <c r="C393" t="s">
        <v>125</v>
      </c>
      <c r="D393" t="s">
        <v>57</v>
      </c>
      <c r="E393" t="s">
        <v>2184</v>
      </c>
      <c r="F393" s="35">
        <v>46191</v>
      </c>
      <c r="G393" s="47">
        <v>7620.74</v>
      </c>
      <c r="H393" s="37">
        <f t="shared" si="46"/>
        <v>13</v>
      </c>
      <c r="I393" s="37" t="s">
        <v>481</v>
      </c>
      <c r="J393" s="37" t="str">
        <f t="shared" si="47"/>
        <v>0-180 DAYS</v>
      </c>
      <c r="M393" s="158" t="s">
        <v>5240</v>
      </c>
      <c r="N393" s="158">
        <v>7620.74</v>
      </c>
    </row>
    <row r="394" spans="1:14" x14ac:dyDescent="0.35">
      <c r="A394" t="s">
        <v>4333</v>
      </c>
      <c r="B394" t="s">
        <v>789</v>
      </c>
      <c r="C394" t="s">
        <v>125</v>
      </c>
      <c r="D394" t="s">
        <v>57</v>
      </c>
      <c r="E394" t="s">
        <v>5123</v>
      </c>
      <c r="F394" s="35">
        <v>46192</v>
      </c>
      <c r="G394" s="47">
        <v>5952</v>
      </c>
      <c r="H394" s="37">
        <f t="shared" si="46"/>
        <v>12</v>
      </c>
      <c r="I394" s="37" t="s">
        <v>481</v>
      </c>
      <c r="J394" s="37" t="str">
        <f t="shared" si="47"/>
        <v>0-180 DAYS</v>
      </c>
      <c r="M394" s="158" t="s">
        <v>5241</v>
      </c>
      <c r="N394" s="158">
        <v>5952</v>
      </c>
    </row>
    <row r="395" spans="1:14" x14ac:dyDescent="0.35">
      <c r="A395" t="s">
        <v>4333</v>
      </c>
      <c r="B395" t="s">
        <v>789</v>
      </c>
      <c r="C395" t="s">
        <v>125</v>
      </c>
      <c r="D395" t="s">
        <v>57</v>
      </c>
      <c r="E395" t="s">
        <v>2191</v>
      </c>
      <c r="F395" s="35">
        <v>46192</v>
      </c>
      <c r="G395" s="47">
        <v>103878.47</v>
      </c>
      <c r="H395" s="37">
        <f t="shared" si="46"/>
        <v>12</v>
      </c>
      <c r="I395" s="37" t="s">
        <v>481</v>
      </c>
      <c r="J395" s="37" t="str">
        <f t="shared" si="47"/>
        <v>0-180 DAYS</v>
      </c>
      <c r="M395" s="158" t="s">
        <v>5241</v>
      </c>
      <c r="N395" s="158">
        <v>103878.47</v>
      </c>
    </row>
    <row r="396" spans="1:14" x14ac:dyDescent="0.35">
      <c r="A396" t="s">
        <v>4333</v>
      </c>
      <c r="B396" t="s">
        <v>789</v>
      </c>
      <c r="C396" t="s">
        <v>125</v>
      </c>
      <c r="D396" t="s">
        <v>57</v>
      </c>
      <c r="E396" t="s">
        <v>2191</v>
      </c>
      <c r="F396" s="35">
        <v>46192</v>
      </c>
      <c r="G396" s="47">
        <v>30651.78</v>
      </c>
      <c r="H396" s="37">
        <f t="shared" ref="H396:H459" si="52">$H$1-F396+1</f>
        <v>12</v>
      </c>
      <c r="I396" s="37" t="s">
        <v>481</v>
      </c>
      <c r="J396" s="37" t="str">
        <f t="shared" si="47"/>
        <v>0-180 DAYS</v>
      </c>
      <c r="M396" s="158" t="s">
        <v>5241</v>
      </c>
      <c r="N396" s="158">
        <v>30651.78</v>
      </c>
    </row>
    <row r="397" spans="1:14" x14ac:dyDescent="0.35">
      <c r="A397" t="s">
        <v>4333</v>
      </c>
      <c r="B397" t="s">
        <v>789</v>
      </c>
      <c r="C397" t="s">
        <v>125</v>
      </c>
      <c r="D397" t="s">
        <v>57</v>
      </c>
      <c r="E397" t="s">
        <v>2191</v>
      </c>
      <c r="F397" s="35">
        <v>46192</v>
      </c>
      <c r="G397" s="47">
        <v>463755.78</v>
      </c>
      <c r="H397" s="37">
        <f t="shared" si="52"/>
        <v>12</v>
      </c>
      <c r="I397" s="37" t="s">
        <v>481</v>
      </c>
      <c r="J397" s="37" t="str">
        <f t="shared" ref="J397:J460" si="53">IF(H397&lt;180,"0-180 DAYS","More than 180 Days")</f>
        <v>0-180 DAYS</v>
      </c>
      <c r="M397" s="158" t="s">
        <v>5241</v>
      </c>
      <c r="N397" s="158">
        <v>463755.78</v>
      </c>
    </row>
    <row r="398" spans="1:14" x14ac:dyDescent="0.35">
      <c r="A398" t="s">
        <v>4333</v>
      </c>
      <c r="B398" t="s">
        <v>789</v>
      </c>
      <c r="C398" t="s">
        <v>125</v>
      </c>
      <c r="D398" t="s">
        <v>57</v>
      </c>
      <c r="E398" t="s">
        <v>2191</v>
      </c>
      <c r="F398" s="35">
        <v>46192</v>
      </c>
      <c r="G398" s="47">
        <v>75051.92</v>
      </c>
      <c r="H398" s="37">
        <f t="shared" si="52"/>
        <v>12</v>
      </c>
      <c r="I398" s="37" t="s">
        <v>481</v>
      </c>
      <c r="J398" s="37" t="str">
        <f t="shared" si="53"/>
        <v>0-180 DAYS</v>
      </c>
      <c r="M398" s="158" t="s">
        <v>5241</v>
      </c>
      <c r="N398" s="158">
        <v>75051.92</v>
      </c>
    </row>
    <row r="399" spans="1:14" x14ac:dyDescent="0.35">
      <c r="A399" t="s">
        <v>4333</v>
      </c>
      <c r="B399" t="s">
        <v>789</v>
      </c>
      <c r="C399" t="s">
        <v>125</v>
      </c>
      <c r="D399" t="s">
        <v>57</v>
      </c>
      <c r="E399" t="s">
        <v>2191</v>
      </c>
      <c r="F399" s="35">
        <v>46192</v>
      </c>
      <c r="G399" s="47">
        <v>43143.05</v>
      </c>
      <c r="H399" s="37">
        <f t="shared" si="52"/>
        <v>12</v>
      </c>
      <c r="I399" s="37" t="s">
        <v>481</v>
      </c>
      <c r="J399" s="37" t="str">
        <f t="shared" si="53"/>
        <v>0-180 DAYS</v>
      </c>
      <c r="M399" s="158" t="s">
        <v>5241</v>
      </c>
      <c r="N399" s="158">
        <v>43143.05</v>
      </c>
    </row>
    <row r="400" spans="1:14" x14ac:dyDescent="0.35">
      <c r="A400" t="s">
        <v>4333</v>
      </c>
      <c r="B400" t="s">
        <v>789</v>
      </c>
      <c r="C400" t="s">
        <v>125</v>
      </c>
      <c r="D400" t="s">
        <v>57</v>
      </c>
      <c r="E400" t="s">
        <v>2191</v>
      </c>
      <c r="F400" s="35">
        <v>46192</v>
      </c>
      <c r="G400" s="47">
        <v>258682.96</v>
      </c>
      <c r="H400" s="37">
        <f t="shared" si="52"/>
        <v>12</v>
      </c>
      <c r="I400" s="37" t="s">
        <v>481</v>
      </c>
      <c r="J400" s="37" t="str">
        <f t="shared" si="53"/>
        <v>0-180 DAYS</v>
      </c>
      <c r="M400" s="158" t="s">
        <v>5241</v>
      </c>
      <c r="N400" s="158">
        <v>258682.96</v>
      </c>
    </row>
    <row r="401" spans="1:14" x14ac:dyDescent="0.35">
      <c r="A401" t="s">
        <v>4333</v>
      </c>
      <c r="B401" t="s">
        <v>789</v>
      </c>
      <c r="C401" t="s">
        <v>125</v>
      </c>
      <c r="D401" t="s">
        <v>57</v>
      </c>
      <c r="E401" t="s">
        <v>2191</v>
      </c>
      <c r="F401" s="35">
        <v>46192</v>
      </c>
      <c r="G401" s="47">
        <v>62506.26</v>
      </c>
      <c r="H401" s="37">
        <f t="shared" si="52"/>
        <v>12</v>
      </c>
      <c r="I401" s="37" t="s">
        <v>481</v>
      </c>
      <c r="J401" s="37" t="str">
        <f t="shared" si="53"/>
        <v>0-180 DAYS</v>
      </c>
      <c r="M401" s="158" t="s">
        <v>5241</v>
      </c>
      <c r="N401" s="158">
        <v>62506.26</v>
      </c>
    </row>
    <row r="402" spans="1:14" x14ac:dyDescent="0.35">
      <c r="A402" t="s">
        <v>4333</v>
      </c>
      <c r="B402" t="s">
        <v>789</v>
      </c>
      <c r="C402" t="s">
        <v>125</v>
      </c>
      <c r="D402" t="s">
        <v>57</v>
      </c>
      <c r="E402" t="s">
        <v>2191</v>
      </c>
      <c r="F402" s="35">
        <v>46192</v>
      </c>
      <c r="G402" s="47">
        <v>4861.5</v>
      </c>
      <c r="H402" s="37">
        <f t="shared" si="52"/>
        <v>12</v>
      </c>
      <c r="I402" s="37" t="s">
        <v>481</v>
      </c>
      <c r="J402" s="37" t="str">
        <f t="shared" si="53"/>
        <v>0-180 DAYS</v>
      </c>
      <c r="M402" s="158" t="s">
        <v>5241</v>
      </c>
      <c r="N402" s="158">
        <v>4861.5</v>
      </c>
    </row>
    <row r="403" spans="1:14" x14ac:dyDescent="0.35">
      <c r="A403" t="s">
        <v>4333</v>
      </c>
      <c r="B403" t="s">
        <v>789</v>
      </c>
      <c r="C403" t="s">
        <v>125</v>
      </c>
      <c r="D403" t="s">
        <v>57</v>
      </c>
      <c r="E403" t="s">
        <v>5124</v>
      </c>
      <c r="F403" s="35">
        <v>46193</v>
      </c>
      <c r="G403" s="47">
        <v>2352</v>
      </c>
      <c r="H403" s="37">
        <f t="shared" si="52"/>
        <v>11</v>
      </c>
      <c r="I403" s="37" t="s">
        <v>481</v>
      </c>
      <c r="J403" s="37" t="str">
        <f t="shared" si="53"/>
        <v>0-180 DAYS</v>
      </c>
      <c r="M403" s="158" t="s">
        <v>5242</v>
      </c>
      <c r="N403" s="158">
        <v>2352</v>
      </c>
    </row>
    <row r="404" spans="1:14" x14ac:dyDescent="0.35">
      <c r="A404" t="s">
        <v>4333</v>
      </c>
      <c r="B404" t="s">
        <v>789</v>
      </c>
      <c r="C404" t="s">
        <v>125</v>
      </c>
      <c r="D404" t="s">
        <v>57</v>
      </c>
      <c r="E404" t="s">
        <v>2052</v>
      </c>
      <c r="F404" s="35">
        <v>46193</v>
      </c>
      <c r="G404" s="47">
        <v>7670.01</v>
      </c>
      <c r="H404" s="37">
        <f t="shared" si="52"/>
        <v>11</v>
      </c>
      <c r="I404" s="37" t="s">
        <v>481</v>
      </c>
      <c r="J404" s="37" t="str">
        <f t="shared" si="53"/>
        <v>0-180 DAYS</v>
      </c>
      <c r="M404" s="158" t="s">
        <v>5242</v>
      </c>
      <c r="N404" s="158">
        <v>7670.01</v>
      </c>
    </row>
    <row r="405" spans="1:14" x14ac:dyDescent="0.35">
      <c r="A405" t="s">
        <v>4333</v>
      </c>
      <c r="B405" t="s">
        <v>789</v>
      </c>
      <c r="C405" t="s">
        <v>125</v>
      </c>
      <c r="D405" t="s">
        <v>57</v>
      </c>
      <c r="E405" t="s">
        <v>2052</v>
      </c>
      <c r="F405" s="35">
        <v>46193</v>
      </c>
      <c r="G405" s="47">
        <v>36207.129999999997</v>
      </c>
      <c r="H405" s="37">
        <f t="shared" si="52"/>
        <v>11</v>
      </c>
      <c r="I405" s="37" t="s">
        <v>481</v>
      </c>
      <c r="J405" s="37" t="str">
        <f t="shared" si="53"/>
        <v>0-180 DAYS</v>
      </c>
      <c r="M405" s="158" t="s">
        <v>5242</v>
      </c>
      <c r="N405" s="158">
        <v>36207.129999999997</v>
      </c>
    </row>
    <row r="406" spans="1:14" x14ac:dyDescent="0.35">
      <c r="A406" t="s">
        <v>4333</v>
      </c>
      <c r="B406" t="s">
        <v>789</v>
      </c>
      <c r="C406" t="s">
        <v>125</v>
      </c>
      <c r="D406" t="s">
        <v>57</v>
      </c>
      <c r="E406" t="s">
        <v>2052</v>
      </c>
      <c r="F406" s="35">
        <v>46193</v>
      </c>
      <c r="G406" s="47">
        <v>121764.33</v>
      </c>
      <c r="H406" s="37">
        <f t="shared" si="52"/>
        <v>11</v>
      </c>
      <c r="I406" s="37" t="s">
        <v>481</v>
      </c>
      <c r="J406" s="37" t="str">
        <f t="shared" si="53"/>
        <v>0-180 DAYS</v>
      </c>
      <c r="M406" s="158" t="s">
        <v>5242</v>
      </c>
      <c r="N406" s="158">
        <v>121764.33</v>
      </c>
    </row>
    <row r="407" spans="1:14" x14ac:dyDescent="0.35">
      <c r="A407" t="s">
        <v>4333</v>
      </c>
      <c r="B407" t="s">
        <v>789</v>
      </c>
      <c r="C407" t="s">
        <v>125</v>
      </c>
      <c r="D407" t="s">
        <v>57</v>
      </c>
      <c r="E407" t="s">
        <v>2052</v>
      </c>
      <c r="F407" s="35">
        <v>46193</v>
      </c>
      <c r="G407" s="47">
        <v>335035.44</v>
      </c>
      <c r="H407" s="37">
        <f t="shared" si="52"/>
        <v>11</v>
      </c>
      <c r="I407" s="37" t="s">
        <v>481</v>
      </c>
      <c r="J407" s="37" t="str">
        <f t="shared" si="53"/>
        <v>0-180 DAYS</v>
      </c>
      <c r="M407" s="158" t="s">
        <v>5242</v>
      </c>
      <c r="N407" s="158">
        <v>335035.44</v>
      </c>
    </row>
    <row r="408" spans="1:14" x14ac:dyDescent="0.35">
      <c r="A408" t="s">
        <v>4333</v>
      </c>
      <c r="B408" t="s">
        <v>789</v>
      </c>
      <c r="C408" t="s">
        <v>125</v>
      </c>
      <c r="D408" t="s">
        <v>57</v>
      </c>
      <c r="E408" t="s">
        <v>2052</v>
      </c>
      <c r="F408" s="35">
        <v>46193</v>
      </c>
      <c r="G408" s="47">
        <v>100031.14</v>
      </c>
      <c r="H408" s="37">
        <f t="shared" si="52"/>
        <v>11</v>
      </c>
      <c r="I408" s="37" t="s">
        <v>481</v>
      </c>
      <c r="J408" s="37" t="str">
        <f t="shared" si="53"/>
        <v>0-180 DAYS</v>
      </c>
      <c r="M408" s="158" t="s">
        <v>5242</v>
      </c>
      <c r="N408" s="158">
        <v>100031.14</v>
      </c>
    </row>
    <row r="409" spans="1:14" x14ac:dyDescent="0.35">
      <c r="A409" t="s">
        <v>4333</v>
      </c>
      <c r="B409" t="s">
        <v>789</v>
      </c>
      <c r="C409" t="s">
        <v>125</v>
      </c>
      <c r="D409" t="s">
        <v>57</v>
      </c>
      <c r="E409" t="s">
        <v>2052</v>
      </c>
      <c r="F409" s="35">
        <v>46193</v>
      </c>
      <c r="G409" s="47">
        <v>84950.5</v>
      </c>
      <c r="H409" s="37">
        <f t="shared" si="52"/>
        <v>11</v>
      </c>
      <c r="I409" s="37" t="s">
        <v>481</v>
      </c>
      <c r="J409" s="37" t="str">
        <f t="shared" si="53"/>
        <v>0-180 DAYS</v>
      </c>
      <c r="M409" s="158" t="s">
        <v>5242</v>
      </c>
      <c r="N409" s="158">
        <v>84950.5</v>
      </c>
    </row>
    <row r="410" spans="1:14" x14ac:dyDescent="0.35">
      <c r="A410" t="s">
        <v>4333</v>
      </c>
      <c r="B410" t="s">
        <v>789</v>
      </c>
      <c r="C410" t="s">
        <v>125</v>
      </c>
      <c r="D410" t="s">
        <v>57</v>
      </c>
      <c r="E410" t="s">
        <v>2052</v>
      </c>
      <c r="F410" s="35">
        <v>46193</v>
      </c>
      <c r="G410" s="47">
        <v>113027.6</v>
      </c>
      <c r="H410" s="37">
        <f t="shared" si="52"/>
        <v>11</v>
      </c>
      <c r="I410" s="37" t="s">
        <v>481</v>
      </c>
      <c r="J410" s="37" t="str">
        <f t="shared" si="53"/>
        <v>0-180 DAYS</v>
      </c>
      <c r="M410" s="158" t="s">
        <v>5242</v>
      </c>
      <c r="N410" s="158">
        <v>113027.6</v>
      </c>
    </row>
    <row r="411" spans="1:14" x14ac:dyDescent="0.35">
      <c r="A411" t="s">
        <v>4333</v>
      </c>
      <c r="B411" t="s">
        <v>789</v>
      </c>
      <c r="C411" t="s">
        <v>125</v>
      </c>
      <c r="D411" t="s">
        <v>57</v>
      </c>
      <c r="E411" t="s">
        <v>2052</v>
      </c>
      <c r="F411" s="35">
        <v>46193</v>
      </c>
      <c r="G411" s="47">
        <v>6931.58</v>
      </c>
      <c r="H411" s="37">
        <f t="shared" si="52"/>
        <v>11</v>
      </c>
      <c r="I411" s="37" t="s">
        <v>481</v>
      </c>
      <c r="J411" s="37" t="str">
        <f t="shared" si="53"/>
        <v>0-180 DAYS</v>
      </c>
      <c r="M411" s="158" t="s">
        <v>5242</v>
      </c>
      <c r="N411" s="158">
        <v>6931.58</v>
      </c>
    </row>
    <row r="412" spans="1:14" x14ac:dyDescent="0.35">
      <c r="A412" t="s">
        <v>4333</v>
      </c>
      <c r="B412" t="s">
        <v>789</v>
      </c>
      <c r="C412" t="s">
        <v>125</v>
      </c>
      <c r="D412" t="s">
        <v>57</v>
      </c>
      <c r="E412" t="s">
        <v>2197</v>
      </c>
      <c r="F412" s="35">
        <v>46193</v>
      </c>
      <c r="G412" s="47">
        <v>27250</v>
      </c>
      <c r="H412" s="37">
        <f t="shared" si="52"/>
        <v>11</v>
      </c>
      <c r="I412" s="37" t="s">
        <v>481</v>
      </c>
      <c r="J412" s="37" t="str">
        <f t="shared" si="53"/>
        <v>0-180 DAYS</v>
      </c>
      <c r="M412" s="158" t="s">
        <v>5242</v>
      </c>
      <c r="N412" s="158">
        <v>27250</v>
      </c>
    </row>
    <row r="413" spans="1:14" x14ac:dyDescent="0.35">
      <c r="A413" t="s">
        <v>1085</v>
      </c>
      <c r="B413" t="s">
        <v>790</v>
      </c>
      <c r="C413" t="s">
        <v>1243</v>
      </c>
      <c r="D413" t="s">
        <v>507</v>
      </c>
      <c r="E413" t="s">
        <v>5125</v>
      </c>
      <c r="F413" s="35">
        <v>46194</v>
      </c>
      <c r="G413" s="47">
        <v>4173448.9</v>
      </c>
      <c r="H413" s="37">
        <f t="shared" si="52"/>
        <v>10</v>
      </c>
      <c r="I413" s="37" t="str">
        <f t="shared" ref="I413" si="54">IF(H413&lt;121,"0-120 DAYS",IF(H413&lt;181,"121-180 DAYS","More than 180 Days"))</f>
        <v>0-120 DAYS</v>
      </c>
      <c r="J413" s="37" t="str">
        <f t="shared" si="53"/>
        <v>0-180 DAYS</v>
      </c>
      <c r="K413" t="s">
        <v>1730</v>
      </c>
      <c r="M413" s="158" t="s">
        <v>5243</v>
      </c>
      <c r="N413" s="158">
        <v>4173448.9</v>
      </c>
    </row>
    <row r="414" spans="1:14" x14ac:dyDescent="0.35">
      <c r="A414" t="s">
        <v>4333</v>
      </c>
      <c r="B414" t="s">
        <v>789</v>
      </c>
      <c r="C414" t="s">
        <v>125</v>
      </c>
      <c r="D414" t="s">
        <v>57</v>
      </c>
      <c r="E414" t="s">
        <v>5126</v>
      </c>
      <c r="F414" s="35">
        <v>46194</v>
      </c>
      <c r="G414" s="47">
        <v>3264</v>
      </c>
      <c r="H414" s="37">
        <f t="shared" si="52"/>
        <v>10</v>
      </c>
      <c r="I414" s="37" t="s">
        <v>481</v>
      </c>
      <c r="J414" s="37" t="str">
        <f t="shared" si="53"/>
        <v>0-180 DAYS</v>
      </c>
      <c r="M414" s="158" t="s">
        <v>5243</v>
      </c>
      <c r="N414" s="158">
        <v>3264</v>
      </c>
    </row>
    <row r="415" spans="1:14" x14ac:dyDescent="0.35">
      <c r="A415" t="s">
        <v>4333</v>
      </c>
      <c r="B415" t="s">
        <v>789</v>
      </c>
      <c r="C415" t="s">
        <v>125</v>
      </c>
      <c r="D415" t="s">
        <v>57</v>
      </c>
      <c r="E415" t="s">
        <v>2053</v>
      </c>
      <c r="F415" s="35">
        <v>46194</v>
      </c>
      <c r="G415" s="47">
        <v>71506.16</v>
      </c>
      <c r="H415" s="37">
        <f t="shared" si="52"/>
        <v>10</v>
      </c>
      <c r="I415" s="37" t="s">
        <v>481</v>
      </c>
      <c r="J415" s="37" t="str">
        <f t="shared" si="53"/>
        <v>0-180 DAYS</v>
      </c>
      <c r="M415" s="158" t="s">
        <v>5243</v>
      </c>
      <c r="N415" s="158">
        <v>71506.16</v>
      </c>
    </row>
    <row r="416" spans="1:14" x14ac:dyDescent="0.35">
      <c r="A416" t="s">
        <v>4333</v>
      </c>
      <c r="B416" t="s">
        <v>789</v>
      </c>
      <c r="C416" t="s">
        <v>125</v>
      </c>
      <c r="D416" t="s">
        <v>57</v>
      </c>
      <c r="E416" t="s">
        <v>2053</v>
      </c>
      <c r="F416" s="35">
        <v>46194</v>
      </c>
      <c r="G416" s="47">
        <v>219792.86</v>
      </c>
      <c r="H416" s="37">
        <f t="shared" si="52"/>
        <v>10</v>
      </c>
      <c r="I416" s="37" t="s">
        <v>481</v>
      </c>
      <c r="J416" s="37" t="str">
        <f t="shared" si="53"/>
        <v>0-180 DAYS</v>
      </c>
      <c r="M416" s="158" t="s">
        <v>5243</v>
      </c>
      <c r="N416" s="158">
        <v>219792.86</v>
      </c>
    </row>
    <row r="417" spans="1:14" x14ac:dyDescent="0.35">
      <c r="A417" t="s">
        <v>4333</v>
      </c>
      <c r="B417" t="s">
        <v>789</v>
      </c>
      <c r="C417" t="s">
        <v>125</v>
      </c>
      <c r="D417" t="s">
        <v>57</v>
      </c>
      <c r="E417" t="s">
        <v>2053</v>
      </c>
      <c r="F417" s="35">
        <v>46194</v>
      </c>
      <c r="G417" s="47">
        <v>3334.07</v>
      </c>
      <c r="H417" s="37">
        <f t="shared" si="52"/>
        <v>10</v>
      </c>
      <c r="I417" s="37" t="s">
        <v>481</v>
      </c>
      <c r="J417" s="37" t="str">
        <f t="shared" si="53"/>
        <v>0-180 DAYS</v>
      </c>
      <c r="M417" s="158" t="s">
        <v>5243</v>
      </c>
      <c r="N417" s="158">
        <v>3334.07</v>
      </c>
    </row>
    <row r="418" spans="1:14" x14ac:dyDescent="0.35">
      <c r="A418" t="s">
        <v>4333</v>
      </c>
      <c r="B418" t="s">
        <v>789</v>
      </c>
      <c r="C418" t="s">
        <v>125</v>
      </c>
      <c r="D418" t="s">
        <v>57</v>
      </c>
      <c r="E418" t="s">
        <v>2053</v>
      </c>
      <c r="F418" s="35">
        <v>46194</v>
      </c>
      <c r="G418" s="47">
        <v>38692.82</v>
      </c>
      <c r="H418" s="37">
        <f t="shared" si="52"/>
        <v>10</v>
      </c>
      <c r="I418" s="37" t="s">
        <v>481</v>
      </c>
      <c r="J418" s="37" t="str">
        <f t="shared" si="53"/>
        <v>0-180 DAYS</v>
      </c>
      <c r="M418" s="158" t="s">
        <v>5243</v>
      </c>
      <c r="N418" s="158">
        <v>38692.82</v>
      </c>
    </row>
    <row r="419" spans="1:14" x14ac:dyDescent="0.35">
      <c r="A419" t="s">
        <v>4333</v>
      </c>
      <c r="B419" t="s">
        <v>789</v>
      </c>
      <c r="C419" t="s">
        <v>125</v>
      </c>
      <c r="D419" t="s">
        <v>57</v>
      </c>
      <c r="E419" t="s">
        <v>2053</v>
      </c>
      <c r="F419" s="35">
        <v>46194</v>
      </c>
      <c r="G419" s="47">
        <v>168884.62</v>
      </c>
      <c r="H419" s="37">
        <f t="shared" si="52"/>
        <v>10</v>
      </c>
      <c r="I419" s="37" t="s">
        <v>481</v>
      </c>
      <c r="J419" s="37" t="str">
        <f t="shared" si="53"/>
        <v>0-180 DAYS</v>
      </c>
      <c r="M419" s="158" t="s">
        <v>5243</v>
      </c>
      <c r="N419" s="158">
        <v>168884.62</v>
      </c>
    </row>
    <row r="420" spans="1:14" x14ac:dyDescent="0.35">
      <c r="A420" t="s">
        <v>4333</v>
      </c>
      <c r="B420" t="s">
        <v>789</v>
      </c>
      <c r="C420" t="s">
        <v>125</v>
      </c>
      <c r="D420" t="s">
        <v>57</v>
      </c>
      <c r="E420" t="s">
        <v>2055</v>
      </c>
      <c r="F420" s="35">
        <v>46194</v>
      </c>
      <c r="G420" s="47">
        <v>57679.85</v>
      </c>
      <c r="H420" s="37">
        <f t="shared" si="52"/>
        <v>10</v>
      </c>
      <c r="I420" s="37" t="s">
        <v>481</v>
      </c>
      <c r="J420" s="37" t="str">
        <f t="shared" si="53"/>
        <v>0-180 DAYS</v>
      </c>
      <c r="M420" s="158" t="s">
        <v>5243</v>
      </c>
      <c r="N420" s="158">
        <v>57679.85</v>
      </c>
    </row>
    <row r="421" spans="1:14" x14ac:dyDescent="0.35">
      <c r="A421" t="s">
        <v>4333</v>
      </c>
      <c r="B421" t="s">
        <v>789</v>
      </c>
      <c r="C421" t="s">
        <v>125</v>
      </c>
      <c r="D421" t="s">
        <v>57</v>
      </c>
      <c r="E421" t="s">
        <v>2205</v>
      </c>
      <c r="F421" s="35">
        <v>46195</v>
      </c>
      <c r="G421" s="47">
        <v>210000</v>
      </c>
      <c r="H421" s="37">
        <f t="shared" si="52"/>
        <v>9</v>
      </c>
      <c r="I421" s="37" t="s">
        <v>481</v>
      </c>
      <c r="J421" s="37" t="str">
        <f t="shared" si="53"/>
        <v>0-180 DAYS</v>
      </c>
      <c r="M421" s="158" t="s">
        <v>5244</v>
      </c>
      <c r="N421" s="158">
        <v>210000</v>
      </c>
    </row>
    <row r="422" spans="1:14" x14ac:dyDescent="0.35">
      <c r="A422" t="s">
        <v>4333</v>
      </c>
      <c r="B422" t="s">
        <v>789</v>
      </c>
      <c r="C422" t="s">
        <v>125</v>
      </c>
      <c r="D422" t="s">
        <v>57</v>
      </c>
      <c r="E422" t="s">
        <v>5127</v>
      </c>
      <c r="F422" s="35">
        <v>46195</v>
      </c>
      <c r="G422" s="47">
        <v>299700</v>
      </c>
      <c r="H422" s="37">
        <f t="shared" si="52"/>
        <v>9</v>
      </c>
      <c r="I422" s="37" t="s">
        <v>481</v>
      </c>
      <c r="J422" s="37" t="str">
        <f t="shared" si="53"/>
        <v>0-180 DAYS</v>
      </c>
      <c r="M422" s="158" t="s">
        <v>5244</v>
      </c>
      <c r="N422" s="158">
        <v>299700</v>
      </c>
    </row>
    <row r="423" spans="1:14" x14ac:dyDescent="0.35">
      <c r="A423" t="s">
        <v>4333</v>
      </c>
      <c r="B423" t="s">
        <v>789</v>
      </c>
      <c r="C423" t="s">
        <v>125</v>
      </c>
      <c r="D423" t="s">
        <v>57</v>
      </c>
      <c r="E423" t="s">
        <v>5127</v>
      </c>
      <c r="F423" s="35">
        <v>46195</v>
      </c>
      <c r="G423" s="47">
        <v>341875</v>
      </c>
      <c r="H423" s="37">
        <f t="shared" si="52"/>
        <v>9</v>
      </c>
      <c r="I423" s="37" t="s">
        <v>481</v>
      </c>
      <c r="J423" s="37" t="str">
        <f t="shared" si="53"/>
        <v>0-180 DAYS</v>
      </c>
      <c r="M423" s="158" t="s">
        <v>5244</v>
      </c>
      <c r="N423" s="158">
        <v>341875</v>
      </c>
    </row>
    <row r="424" spans="1:14" x14ac:dyDescent="0.35">
      <c r="A424" t="s">
        <v>4333</v>
      </c>
      <c r="B424" t="s">
        <v>789</v>
      </c>
      <c r="C424" t="s">
        <v>125</v>
      </c>
      <c r="D424" t="s">
        <v>57</v>
      </c>
      <c r="E424" t="s">
        <v>2208</v>
      </c>
      <c r="F424" s="35">
        <v>46196</v>
      </c>
      <c r="G424" s="47">
        <v>115532.54</v>
      </c>
      <c r="H424" s="37">
        <f t="shared" si="52"/>
        <v>8</v>
      </c>
      <c r="I424" s="37" t="s">
        <v>481</v>
      </c>
      <c r="J424" s="37" t="str">
        <f t="shared" si="53"/>
        <v>0-180 DAYS</v>
      </c>
      <c r="M424" s="158" t="s">
        <v>5245</v>
      </c>
      <c r="N424" s="158">
        <v>115532.54</v>
      </c>
    </row>
    <row r="425" spans="1:14" x14ac:dyDescent="0.35">
      <c r="A425" t="s">
        <v>4333</v>
      </c>
      <c r="B425" t="s">
        <v>789</v>
      </c>
      <c r="C425" t="s">
        <v>125</v>
      </c>
      <c r="D425" t="s">
        <v>57</v>
      </c>
      <c r="E425" t="s">
        <v>2208</v>
      </c>
      <c r="F425" s="35">
        <v>46196</v>
      </c>
      <c r="G425" s="47">
        <v>115973.63</v>
      </c>
      <c r="H425" s="37">
        <f t="shared" si="52"/>
        <v>8</v>
      </c>
      <c r="I425" s="37" t="s">
        <v>481</v>
      </c>
      <c r="J425" s="37" t="str">
        <f t="shared" si="53"/>
        <v>0-180 DAYS</v>
      </c>
      <c r="M425" s="158" t="s">
        <v>5245</v>
      </c>
      <c r="N425" s="158">
        <v>115973.63</v>
      </c>
    </row>
    <row r="426" spans="1:14" x14ac:dyDescent="0.35">
      <c r="A426" t="s">
        <v>4333</v>
      </c>
      <c r="B426" t="s">
        <v>789</v>
      </c>
      <c r="C426" t="s">
        <v>125</v>
      </c>
      <c r="D426" t="s">
        <v>57</v>
      </c>
      <c r="E426" t="s">
        <v>2208</v>
      </c>
      <c r="F426" s="35">
        <v>46196</v>
      </c>
      <c r="G426" s="47">
        <v>302671.44</v>
      </c>
      <c r="H426" s="37">
        <f t="shared" si="52"/>
        <v>8</v>
      </c>
      <c r="I426" s="37" t="s">
        <v>481</v>
      </c>
      <c r="J426" s="37" t="str">
        <f t="shared" si="53"/>
        <v>0-180 DAYS</v>
      </c>
      <c r="M426" s="158" t="s">
        <v>5245</v>
      </c>
      <c r="N426" s="158">
        <v>302671.44</v>
      </c>
    </row>
    <row r="427" spans="1:14" x14ac:dyDescent="0.35">
      <c r="A427" t="s">
        <v>4333</v>
      </c>
      <c r="B427" t="s">
        <v>789</v>
      </c>
      <c r="C427" t="s">
        <v>125</v>
      </c>
      <c r="D427" t="s">
        <v>57</v>
      </c>
      <c r="E427" t="s">
        <v>2208</v>
      </c>
      <c r="F427" s="35">
        <v>46196</v>
      </c>
      <c r="G427" s="47">
        <v>301661.5</v>
      </c>
      <c r="H427" s="37">
        <f t="shared" si="52"/>
        <v>8</v>
      </c>
      <c r="I427" s="37" t="s">
        <v>481</v>
      </c>
      <c r="J427" s="37" t="str">
        <f t="shared" si="53"/>
        <v>0-180 DAYS</v>
      </c>
      <c r="M427" s="158" t="s">
        <v>5245</v>
      </c>
      <c r="N427" s="158">
        <v>301661.5</v>
      </c>
    </row>
    <row r="428" spans="1:14" x14ac:dyDescent="0.35">
      <c r="A428" t="s">
        <v>4333</v>
      </c>
      <c r="B428" t="s">
        <v>789</v>
      </c>
      <c r="C428" t="s">
        <v>125</v>
      </c>
      <c r="D428" t="s">
        <v>57</v>
      </c>
      <c r="E428" t="s">
        <v>2208</v>
      </c>
      <c r="F428" s="35">
        <v>46196</v>
      </c>
      <c r="G428" s="47">
        <v>55472.32</v>
      </c>
      <c r="H428" s="37">
        <f t="shared" si="52"/>
        <v>8</v>
      </c>
      <c r="I428" s="37" t="s">
        <v>481</v>
      </c>
      <c r="J428" s="37" t="str">
        <f t="shared" si="53"/>
        <v>0-180 DAYS</v>
      </c>
      <c r="M428" s="158" t="s">
        <v>5245</v>
      </c>
      <c r="N428" s="158">
        <v>55472.32</v>
      </c>
    </row>
    <row r="429" spans="1:14" x14ac:dyDescent="0.35">
      <c r="A429" t="s">
        <v>4333</v>
      </c>
      <c r="B429" t="s">
        <v>789</v>
      </c>
      <c r="C429" t="s">
        <v>125</v>
      </c>
      <c r="D429" t="s">
        <v>57</v>
      </c>
      <c r="E429" t="s">
        <v>5128</v>
      </c>
      <c r="F429" s="35">
        <v>46196</v>
      </c>
      <c r="G429" s="47">
        <v>9696</v>
      </c>
      <c r="H429" s="37">
        <f t="shared" si="52"/>
        <v>8</v>
      </c>
      <c r="I429" s="37" t="s">
        <v>481</v>
      </c>
      <c r="J429" s="37" t="str">
        <f t="shared" si="53"/>
        <v>0-180 DAYS</v>
      </c>
      <c r="M429" s="158" t="s">
        <v>5245</v>
      </c>
      <c r="N429" s="158">
        <v>9696</v>
      </c>
    </row>
    <row r="430" spans="1:14" x14ac:dyDescent="0.35">
      <c r="A430" t="s">
        <v>4333</v>
      </c>
      <c r="B430" t="s">
        <v>789</v>
      </c>
      <c r="C430" t="s">
        <v>125</v>
      </c>
      <c r="D430" t="s">
        <v>57</v>
      </c>
      <c r="E430" t="s">
        <v>5129</v>
      </c>
      <c r="F430" s="35">
        <v>46196</v>
      </c>
      <c r="G430" s="47">
        <v>47823.6</v>
      </c>
      <c r="H430" s="37">
        <f t="shared" si="52"/>
        <v>8</v>
      </c>
      <c r="I430" s="37" t="s">
        <v>481</v>
      </c>
      <c r="J430" s="37" t="str">
        <f t="shared" si="53"/>
        <v>0-180 DAYS</v>
      </c>
      <c r="M430" s="158" t="s">
        <v>5245</v>
      </c>
      <c r="N430" s="158">
        <v>47823.6</v>
      </c>
    </row>
    <row r="431" spans="1:14" x14ac:dyDescent="0.35">
      <c r="A431" t="s">
        <v>4333</v>
      </c>
      <c r="B431" t="s">
        <v>789</v>
      </c>
      <c r="C431" t="s">
        <v>125</v>
      </c>
      <c r="D431" t="s">
        <v>57</v>
      </c>
      <c r="E431" t="s">
        <v>5129</v>
      </c>
      <c r="F431" s="35">
        <v>46196</v>
      </c>
      <c r="G431" s="47">
        <v>100906.42</v>
      </c>
      <c r="H431" s="37">
        <f t="shared" si="52"/>
        <v>8</v>
      </c>
      <c r="I431" s="37" t="s">
        <v>481</v>
      </c>
      <c r="J431" s="37" t="str">
        <f t="shared" si="53"/>
        <v>0-180 DAYS</v>
      </c>
      <c r="M431" s="158" t="s">
        <v>5245</v>
      </c>
      <c r="N431" s="158">
        <v>100906.42</v>
      </c>
    </row>
    <row r="432" spans="1:14" x14ac:dyDescent="0.35">
      <c r="A432" t="s">
        <v>4333</v>
      </c>
      <c r="B432" t="s">
        <v>789</v>
      </c>
      <c r="C432" t="s">
        <v>125</v>
      </c>
      <c r="D432" t="s">
        <v>57</v>
      </c>
      <c r="E432" t="s">
        <v>5129</v>
      </c>
      <c r="F432" s="35">
        <v>46196</v>
      </c>
      <c r="G432" s="47">
        <v>103675.8</v>
      </c>
      <c r="H432" s="37">
        <f t="shared" si="52"/>
        <v>8</v>
      </c>
      <c r="I432" s="37" t="s">
        <v>481</v>
      </c>
      <c r="J432" s="37" t="str">
        <f t="shared" si="53"/>
        <v>0-180 DAYS</v>
      </c>
      <c r="M432" s="158" t="s">
        <v>5245</v>
      </c>
      <c r="N432" s="158">
        <v>103675.8</v>
      </c>
    </row>
    <row r="433" spans="1:14" x14ac:dyDescent="0.35">
      <c r="A433" t="s">
        <v>4333</v>
      </c>
      <c r="B433" t="s">
        <v>789</v>
      </c>
      <c r="C433" t="s">
        <v>125</v>
      </c>
      <c r="D433" t="s">
        <v>57</v>
      </c>
      <c r="E433" t="s">
        <v>5129</v>
      </c>
      <c r="F433" s="35">
        <v>46196</v>
      </c>
      <c r="G433" s="47">
        <v>87550.57</v>
      </c>
      <c r="H433" s="37">
        <f t="shared" si="52"/>
        <v>8</v>
      </c>
      <c r="I433" s="37" t="s">
        <v>481</v>
      </c>
      <c r="J433" s="37" t="str">
        <f t="shared" si="53"/>
        <v>0-180 DAYS</v>
      </c>
      <c r="M433" s="158" t="s">
        <v>5245</v>
      </c>
      <c r="N433" s="158">
        <v>87550.57</v>
      </c>
    </row>
    <row r="434" spans="1:14" x14ac:dyDescent="0.35">
      <c r="A434" t="s">
        <v>4333</v>
      </c>
      <c r="B434" t="s">
        <v>789</v>
      </c>
      <c r="C434" t="s">
        <v>125</v>
      </c>
      <c r="D434" t="s">
        <v>57</v>
      </c>
      <c r="E434" t="s">
        <v>5129</v>
      </c>
      <c r="F434" s="35">
        <v>46196</v>
      </c>
      <c r="G434" s="47">
        <v>104623.34</v>
      </c>
      <c r="H434" s="37">
        <f t="shared" si="52"/>
        <v>8</v>
      </c>
      <c r="I434" s="37" t="s">
        <v>481</v>
      </c>
      <c r="J434" s="37" t="str">
        <f t="shared" si="53"/>
        <v>0-180 DAYS</v>
      </c>
      <c r="M434" s="158" t="s">
        <v>5245</v>
      </c>
      <c r="N434" s="158">
        <v>104623.34</v>
      </c>
    </row>
    <row r="435" spans="1:14" x14ac:dyDescent="0.35">
      <c r="A435" t="s">
        <v>4333</v>
      </c>
      <c r="B435" t="s">
        <v>789</v>
      </c>
      <c r="C435" t="s">
        <v>125</v>
      </c>
      <c r="D435" t="s">
        <v>57</v>
      </c>
      <c r="E435" t="s">
        <v>5129</v>
      </c>
      <c r="F435" s="35">
        <v>46196</v>
      </c>
      <c r="G435" s="47">
        <v>36001.410000000003</v>
      </c>
      <c r="H435" s="37">
        <f t="shared" si="52"/>
        <v>8</v>
      </c>
      <c r="I435" s="37" t="s">
        <v>481</v>
      </c>
      <c r="J435" s="37" t="str">
        <f t="shared" si="53"/>
        <v>0-180 DAYS</v>
      </c>
      <c r="M435" s="158" t="s">
        <v>5245</v>
      </c>
      <c r="N435" s="158">
        <v>36001.410000000003</v>
      </c>
    </row>
    <row r="436" spans="1:14" x14ac:dyDescent="0.35">
      <c r="A436" t="s">
        <v>4333</v>
      </c>
      <c r="B436" t="s">
        <v>789</v>
      </c>
      <c r="C436" t="s">
        <v>125</v>
      </c>
      <c r="D436" t="s">
        <v>57</v>
      </c>
      <c r="E436" t="s">
        <v>5130</v>
      </c>
      <c r="F436" s="35">
        <v>46196</v>
      </c>
      <c r="G436" s="47">
        <v>341875</v>
      </c>
      <c r="H436" s="37">
        <f t="shared" si="52"/>
        <v>8</v>
      </c>
      <c r="I436" s="37" t="s">
        <v>481</v>
      </c>
      <c r="J436" s="37" t="str">
        <f t="shared" si="53"/>
        <v>0-180 DAYS</v>
      </c>
      <c r="M436" s="158" t="s">
        <v>5245</v>
      </c>
      <c r="N436" s="158">
        <v>341875</v>
      </c>
    </row>
    <row r="437" spans="1:14" x14ac:dyDescent="0.35">
      <c r="A437" t="s">
        <v>4333</v>
      </c>
      <c r="B437" t="s">
        <v>789</v>
      </c>
      <c r="C437" t="s">
        <v>125</v>
      </c>
      <c r="D437" t="s">
        <v>57</v>
      </c>
      <c r="E437" t="s">
        <v>2213</v>
      </c>
      <c r="F437" s="35">
        <v>46196</v>
      </c>
      <c r="G437" s="47">
        <v>29500</v>
      </c>
      <c r="H437" s="37">
        <f t="shared" si="52"/>
        <v>8</v>
      </c>
      <c r="I437" s="37" t="s">
        <v>481</v>
      </c>
      <c r="J437" s="37" t="str">
        <f t="shared" si="53"/>
        <v>0-180 DAYS</v>
      </c>
      <c r="M437" s="158" t="s">
        <v>5245</v>
      </c>
      <c r="N437" s="158">
        <v>29500</v>
      </c>
    </row>
    <row r="438" spans="1:14" x14ac:dyDescent="0.35">
      <c r="A438" t="s">
        <v>4333</v>
      </c>
      <c r="B438" t="s">
        <v>789</v>
      </c>
      <c r="C438" t="s">
        <v>125</v>
      </c>
      <c r="D438" t="s">
        <v>57</v>
      </c>
      <c r="E438" t="s">
        <v>5131</v>
      </c>
      <c r="F438" s="35">
        <v>46197</v>
      </c>
      <c r="G438" s="47">
        <v>6240</v>
      </c>
      <c r="H438" s="37">
        <f t="shared" si="52"/>
        <v>7</v>
      </c>
      <c r="I438" s="37" t="s">
        <v>481</v>
      </c>
      <c r="J438" s="37" t="str">
        <f t="shared" si="53"/>
        <v>0-180 DAYS</v>
      </c>
      <c r="M438" s="158" t="s">
        <v>5246</v>
      </c>
      <c r="N438" s="158">
        <v>6240</v>
      </c>
    </row>
    <row r="439" spans="1:14" x14ac:dyDescent="0.35">
      <c r="A439" t="s">
        <v>4333</v>
      </c>
      <c r="B439" t="s">
        <v>789</v>
      </c>
      <c r="C439" t="s">
        <v>125</v>
      </c>
      <c r="D439" t="s">
        <v>57</v>
      </c>
      <c r="E439" t="s">
        <v>5132</v>
      </c>
      <c r="F439" s="35">
        <v>46197</v>
      </c>
      <c r="G439" s="47">
        <v>26248.639999999999</v>
      </c>
      <c r="H439" s="37">
        <f t="shared" si="52"/>
        <v>7</v>
      </c>
      <c r="I439" s="37" t="s">
        <v>481</v>
      </c>
      <c r="J439" s="37" t="str">
        <f t="shared" si="53"/>
        <v>0-180 DAYS</v>
      </c>
      <c r="M439" s="158" t="s">
        <v>5246</v>
      </c>
      <c r="N439" s="158">
        <v>26248.639999999999</v>
      </c>
    </row>
    <row r="440" spans="1:14" x14ac:dyDescent="0.35">
      <c r="A440" t="s">
        <v>4333</v>
      </c>
      <c r="B440" t="s">
        <v>789</v>
      </c>
      <c r="C440" t="s">
        <v>125</v>
      </c>
      <c r="D440" t="s">
        <v>57</v>
      </c>
      <c r="E440" t="s">
        <v>5132</v>
      </c>
      <c r="F440" s="35">
        <v>46197</v>
      </c>
      <c r="G440" s="47">
        <v>69343.960000000006</v>
      </c>
      <c r="H440" s="37">
        <f t="shared" si="52"/>
        <v>7</v>
      </c>
      <c r="I440" s="37" t="s">
        <v>481</v>
      </c>
      <c r="J440" s="37" t="str">
        <f t="shared" si="53"/>
        <v>0-180 DAYS</v>
      </c>
      <c r="M440" s="158" t="s">
        <v>5246</v>
      </c>
      <c r="N440" s="158">
        <v>69343.960000000006</v>
      </c>
    </row>
    <row r="441" spans="1:14" x14ac:dyDescent="0.35">
      <c r="A441" t="s">
        <v>4333</v>
      </c>
      <c r="B441" t="s">
        <v>789</v>
      </c>
      <c r="C441" t="s">
        <v>125</v>
      </c>
      <c r="D441" t="s">
        <v>57</v>
      </c>
      <c r="E441" t="s">
        <v>5132</v>
      </c>
      <c r="F441" s="35">
        <v>46197</v>
      </c>
      <c r="G441" s="47">
        <v>355019.22</v>
      </c>
      <c r="H441" s="37">
        <f t="shared" si="52"/>
        <v>7</v>
      </c>
      <c r="I441" s="37" t="s">
        <v>481</v>
      </c>
      <c r="J441" s="37" t="str">
        <f t="shared" si="53"/>
        <v>0-180 DAYS</v>
      </c>
      <c r="M441" s="158" t="s">
        <v>5246</v>
      </c>
      <c r="N441" s="158">
        <v>355019.22</v>
      </c>
    </row>
    <row r="442" spans="1:14" x14ac:dyDescent="0.35">
      <c r="A442" t="s">
        <v>4333</v>
      </c>
      <c r="B442" t="s">
        <v>789</v>
      </c>
      <c r="C442" t="s">
        <v>125</v>
      </c>
      <c r="D442" t="s">
        <v>57</v>
      </c>
      <c r="E442" t="s">
        <v>5132</v>
      </c>
      <c r="F442" s="35">
        <v>46197</v>
      </c>
      <c r="G442" s="47">
        <v>64960.32</v>
      </c>
      <c r="H442" s="37">
        <f t="shared" si="52"/>
        <v>7</v>
      </c>
      <c r="I442" s="37" t="s">
        <v>481</v>
      </c>
      <c r="J442" s="37" t="str">
        <f t="shared" si="53"/>
        <v>0-180 DAYS</v>
      </c>
      <c r="M442" s="158" t="s">
        <v>5246</v>
      </c>
      <c r="N442" s="158">
        <v>64960.32</v>
      </c>
    </row>
    <row r="443" spans="1:14" x14ac:dyDescent="0.35">
      <c r="A443" t="s">
        <v>4333</v>
      </c>
      <c r="B443" t="s">
        <v>789</v>
      </c>
      <c r="C443" t="s">
        <v>125</v>
      </c>
      <c r="D443" t="s">
        <v>57</v>
      </c>
      <c r="E443" t="s">
        <v>5132</v>
      </c>
      <c r="F443" s="35">
        <v>46197</v>
      </c>
      <c r="G443" s="47">
        <v>44577.599999999999</v>
      </c>
      <c r="H443" s="37">
        <f t="shared" si="52"/>
        <v>7</v>
      </c>
      <c r="I443" s="37" t="s">
        <v>481</v>
      </c>
      <c r="J443" s="37" t="str">
        <f t="shared" si="53"/>
        <v>0-180 DAYS</v>
      </c>
      <c r="M443" s="158" t="s">
        <v>5246</v>
      </c>
      <c r="N443" s="158">
        <v>44577.599999999999</v>
      </c>
    </row>
    <row r="444" spans="1:14" x14ac:dyDescent="0.35">
      <c r="A444" t="s">
        <v>4333</v>
      </c>
      <c r="B444" t="s">
        <v>789</v>
      </c>
      <c r="C444" t="s">
        <v>125</v>
      </c>
      <c r="D444" t="s">
        <v>57</v>
      </c>
      <c r="E444" t="s">
        <v>5132</v>
      </c>
      <c r="F444" s="35">
        <v>46197</v>
      </c>
      <c r="G444" s="47">
        <v>4533.0200000000004</v>
      </c>
      <c r="H444" s="37">
        <f t="shared" si="52"/>
        <v>7</v>
      </c>
      <c r="I444" s="37" t="s">
        <v>481</v>
      </c>
      <c r="J444" s="37" t="str">
        <f t="shared" si="53"/>
        <v>0-180 DAYS</v>
      </c>
      <c r="M444" s="158" t="s">
        <v>5246</v>
      </c>
      <c r="N444" s="158">
        <v>4533.0200000000004</v>
      </c>
    </row>
    <row r="445" spans="1:14" x14ac:dyDescent="0.35">
      <c r="A445" t="s">
        <v>4333</v>
      </c>
      <c r="B445" t="s">
        <v>789</v>
      </c>
      <c r="C445" t="s">
        <v>125</v>
      </c>
      <c r="D445" t="s">
        <v>57</v>
      </c>
      <c r="E445" t="s">
        <v>5133</v>
      </c>
      <c r="F445" s="35">
        <v>46197</v>
      </c>
      <c r="G445" s="47">
        <v>94894.24</v>
      </c>
      <c r="H445" s="37">
        <f t="shared" si="52"/>
        <v>7</v>
      </c>
      <c r="I445" s="37" t="s">
        <v>481</v>
      </c>
      <c r="J445" s="37" t="str">
        <f t="shared" si="53"/>
        <v>0-180 DAYS</v>
      </c>
      <c r="M445" s="158" t="s">
        <v>5246</v>
      </c>
      <c r="N445" s="158">
        <v>94894.24</v>
      </c>
    </row>
    <row r="446" spans="1:14" x14ac:dyDescent="0.35">
      <c r="A446" t="s">
        <v>477</v>
      </c>
      <c r="B446" t="s">
        <v>790</v>
      </c>
      <c r="C446" t="s">
        <v>4780</v>
      </c>
      <c r="D446" t="s">
        <v>4783</v>
      </c>
      <c r="E446" t="s">
        <v>5134</v>
      </c>
      <c r="F446" s="35">
        <v>46198</v>
      </c>
      <c r="G446" s="47">
        <v>10400</v>
      </c>
      <c r="H446" s="37">
        <f t="shared" si="52"/>
        <v>6</v>
      </c>
      <c r="I446" s="37" t="str">
        <f t="shared" ref="I446" si="55">IF(H446&lt;91,"1-90 DAYS",IF(H446&lt;121,"91-120DAYS",IF(H446&lt;181,"121-180 DAYS","More than 180 Days")))</f>
        <v>1-90 DAYS</v>
      </c>
      <c r="J446" s="37" t="str">
        <f t="shared" si="53"/>
        <v>0-180 DAYS</v>
      </c>
      <c r="K446" t="s">
        <v>1730</v>
      </c>
      <c r="M446" s="158" t="s">
        <v>5247</v>
      </c>
      <c r="N446" s="158">
        <v>10400</v>
      </c>
    </row>
    <row r="447" spans="1:14" x14ac:dyDescent="0.35">
      <c r="A447" t="s">
        <v>1085</v>
      </c>
      <c r="B447" t="s">
        <v>790</v>
      </c>
      <c r="C447" t="s">
        <v>536</v>
      </c>
      <c r="D447" t="s">
        <v>507</v>
      </c>
      <c r="E447" t="s">
        <v>5135</v>
      </c>
      <c r="F447" s="35">
        <v>46198</v>
      </c>
      <c r="G447" s="47">
        <v>3969285.6</v>
      </c>
      <c r="H447" s="37">
        <f t="shared" si="52"/>
        <v>6</v>
      </c>
      <c r="I447" s="37" t="str">
        <f t="shared" ref="I447" si="56">IF(H447&lt;121,"0-120 DAYS",IF(H447&lt;181,"121-180 DAYS","More than 180 Days"))</f>
        <v>0-120 DAYS</v>
      </c>
      <c r="J447" s="37" t="str">
        <f t="shared" si="53"/>
        <v>0-180 DAYS</v>
      </c>
      <c r="K447" t="s">
        <v>1730</v>
      </c>
      <c r="M447" s="158" t="s">
        <v>5247</v>
      </c>
      <c r="N447" s="158">
        <v>3969285.6</v>
      </c>
    </row>
    <row r="448" spans="1:14" x14ac:dyDescent="0.35">
      <c r="A448" t="s">
        <v>4333</v>
      </c>
      <c r="B448" t="s">
        <v>789</v>
      </c>
      <c r="C448" t="s">
        <v>125</v>
      </c>
      <c r="D448" t="s">
        <v>57</v>
      </c>
      <c r="E448" t="s">
        <v>5136</v>
      </c>
      <c r="F448" s="35">
        <v>46198</v>
      </c>
      <c r="G448" s="47">
        <v>78302.2</v>
      </c>
      <c r="H448" s="37">
        <f t="shared" si="52"/>
        <v>6</v>
      </c>
      <c r="I448" s="37" t="s">
        <v>481</v>
      </c>
      <c r="J448" s="37" t="str">
        <f t="shared" si="53"/>
        <v>0-180 DAYS</v>
      </c>
      <c r="M448" s="158" t="s">
        <v>5247</v>
      </c>
      <c r="N448" s="158">
        <v>78302.2</v>
      </c>
    </row>
    <row r="449" spans="1:14" x14ac:dyDescent="0.35">
      <c r="A449" t="s">
        <v>477</v>
      </c>
      <c r="B449" t="s">
        <v>790</v>
      </c>
      <c r="C449" t="s">
        <v>4780</v>
      </c>
      <c r="D449" t="s">
        <v>4783</v>
      </c>
      <c r="E449" t="s">
        <v>5137</v>
      </c>
      <c r="F449" s="35">
        <v>46199</v>
      </c>
      <c r="G449" s="47">
        <v>13000</v>
      </c>
      <c r="H449" s="37">
        <f t="shared" si="52"/>
        <v>5</v>
      </c>
      <c r="I449" s="37" t="str">
        <f t="shared" ref="I449:I450" si="57">IF(H449&lt;91,"1-90 DAYS",IF(H449&lt;121,"91-120DAYS",IF(H449&lt;181,"121-180 DAYS","More than 180 Days")))</f>
        <v>1-90 DAYS</v>
      </c>
      <c r="J449" s="37" t="str">
        <f t="shared" si="53"/>
        <v>0-180 DAYS</v>
      </c>
      <c r="K449" t="s">
        <v>1730</v>
      </c>
      <c r="M449" s="158" t="s">
        <v>5248</v>
      </c>
      <c r="N449" s="158">
        <v>13000</v>
      </c>
    </row>
    <row r="450" spans="1:14" x14ac:dyDescent="0.35">
      <c r="A450" t="s">
        <v>477</v>
      </c>
      <c r="B450" t="s">
        <v>790</v>
      </c>
      <c r="C450" t="s">
        <v>4780</v>
      </c>
      <c r="D450" t="s">
        <v>4783</v>
      </c>
      <c r="E450" t="s">
        <v>5138</v>
      </c>
      <c r="F450" s="35">
        <v>46199</v>
      </c>
      <c r="G450" s="47">
        <v>221713.7</v>
      </c>
      <c r="H450" s="37">
        <f t="shared" si="52"/>
        <v>5</v>
      </c>
      <c r="I450" s="37" t="str">
        <f t="shared" si="57"/>
        <v>1-90 DAYS</v>
      </c>
      <c r="J450" s="37" t="str">
        <f t="shared" si="53"/>
        <v>0-180 DAYS</v>
      </c>
      <c r="K450" t="s">
        <v>1730</v>
      </c>
      <c r="M450" s="158" t="s">
        <v>5248</v>
      </c>
      <c r="N450" s="158">
        <v>221713.7</v>
      </c>
    </row>
    <row r="451" spans="1:14" x14ac:dyDescent="0.35">
      <c r="A451" t="s">
        <v>4333</v>
      </c>
      <c r="B451" t="s">
        <v>789</v>
      </c>
      <c r="C451" t="s">
        <v>125</v>
      </c>
      <c r="D451" t="s">
        <v>57</v>
      </c>
      <c r="E451" t="s">
        <v>5139</v>
      </c>
      <c r="F451" s="35">
        <v>46199</v>
      </c>
      <c r="G451" s="47">
        <v>2640</v>
      </c>
      <c r="H451" s="37">
        <f t="shared" si="52"/>
        <v>5</v>
      </c>
      <c r="I451" s="37" t="s">
        <v>481</v>
      </c>
      <c r="J451" s="37" t="str">
        <f t="shared" si="53"/>
        <v>0-180 DAYS</v>
      </c>
      <c r="M451" s="158" t="s">
        <v>5248</v>
      </c>
      <c r="N451" s="158">
        <v>2640</v>
      </c>
    </row>
    <row r="452" spans="1:14" x14ac:dyDescent="0.35">
      <c r="A452" t="s">
        <v>4333</v>
      </c>
      <c r="B452" t="s">
        <v>789</v>
      </c>
      <c r="C452" t="s">
        <v>125</v>
      </c>
      <c r="D452" t="s">
        <v>57</v>
      </c>
      <c r="E452" t="s">
        <v>5140</v>
      </c>
      <c r="F452" s="35">
        <v>46199</v>
      </c>
      <c r="G452" s="47">
        <v>56676.59</v>
      </c>
      <c r="H452" s="37">
        <f t="shared" si="52"/>
        <v>5</v>
      </c>
      <c r="I452" s="37" t="s">
        <v>481</v>
      </c>
      <c r="J452" s="37" t="str">
        <f t="shared" si="53"/>
        <v>0-180 DAYS</v>
      </c>
      <c r="M452" s="158" t="s">
        <v>5248</v>
      </c>
      <c r="N452" s="158">
        <v>56676.59</v>
      </c>
    </row>
    <row r="453" spans="1:14" x14ac:dyDescent="0.35">
      <c r="A453" t="s">
        <v>4333</v>
      </c>
      <c r="B453" t="s">
        <v>789</v>
      </c>
      <c r="C453" t="s">
        <v>125</v>
      </c>
      <c r="D453" t="s">
        <v>57</v>
      </c>
      <c r="E453" t="s">
        <v>5140</v>
      </c>
      <c r="F453" s="35">
        <v>46199</v>
      </c>
      <c r="G453" s="47">
        <v>163462.35</v>
      </c>
      <c r="H453" s="37">
        <f t="shared" si="52"/>
        <v>5</v>
      </c>
      <c r="I453" s="37" t="s">
        <v>481</v>
      </c>
      <c r="J453" s="37" t="str">
        <f t="shared" si="53"/>
        <v>0-180 DAYS</v>
      </c>
      <c r="M453" s="158" t="s">
        <v>5248</v>
      </c>
      <c r="N453" s="158">
        <v>163462.35</v>
      </c>
    </row>
    <row r="454" spans="1:14" x14ac:dyDescent="0.35">
      <c r="A454" t="s">
        <v>4333</v>
      </c>
      <c r="B454" t="s">
        <v>789</v>
      </c>
      <c r="C454" t="s">
        <v>125</v>
      </c>
      <c r="D454" t="s">
        <v>57</v>
      </c>
      <c r="E454" t="s">
        <v>5140</v>
      </c>
      <c r="F454" s="35">
        <v>46199</v>
      </c>
      <c r="G454" s="47">
        <v>171017.64</v>
      </c>
      <c r="H454" s="37">
        <f t="shared" si="52"/>
        <v>5</v>
      </c>
      <c r="I454" s="37" t="s">
        <v>481</v>
      </c>
      <c r="J454" s="37" t="str">
        <f t="shared" si="53"/>
        <v>0-180 DAYS</v>
      </c>
      <c r="M454" s="158" t="s">
        <v>5248</v>
      </c>
      <c r="N454" s="158">
        <v>171017.64</v>
      </c>
    </row>
    <row r="455" spans="1:14" x14ac:dyDescent="0.35">
      <c r="A455" t="s">
        <v>4333</v>
      </c>
      <c r="B455" t="s">
        <v>789</v>
      </c>
      <c r="C455" t="s">
        <v>125</v>
      </c>
      <c r="D455" t="s">
        <v>57</v>
      </c>
      <c r="E455" t="s">
        <v>5140</v>
      </c>
      <c r="F455" s="35">
        <v>46199</v>
      </c>
      <c r="G455" s="47">
        <v>67423.179999999993</v>
      </c>
      <c r="H455" s="37">
        <f t="shared" si="52"/>
        <v>5</v>
      </c>
      <c r="I455" s="37" t="s">
        <v>481</v>
      </c>
      <c r="J455" s="37" t="str">
        <f t="shared" si="53"/>
        <v>0-180 DAYS</v>
      </c>
      <c r="M455" s="158" t="s">
        <v>5248</v>
      </c>
      <c r="N455" s="158">
        <v>67423.179999999993</v>
      </c>
    </row>
    <row r="456" spans="1:14" x14ac:dyDescent="0.35">
      <c r="A456" t="s">
        <v>4333</v>
      </c>
      <c r="B456" t="s">
        <v>789</v>
      </c>
      <c r="C456" t="s">
        <v>125</v>
      </c>
      <c r="D456" t="s">
        <v>57</v>
      </c>
      <c r="E456" t="s">
        <v>5140</v>
      </c>
      <c r="F456" s="35">
        <v>46199</v>
      </c>
      <c r="G456" s="47">
        <v>9805.1299999999992</v>
      </c>
      <c r="H456" s="37">
        <f t="shared" si="52"/>
        <v>5</v>
      </c>
      <c r="I456" s="37" t="s">
        <v>481</v>
      </c>
      <c r="J456" s="37" t="str">
        <f t="shared" si="53"/>
        <v>0-180 DAYS</v>
      </c>
      <c r="M456" s="158" t="s">
        <v>5248</v>
      </c>
      <c r="N456" s="158">
        <v>9805.1299999999992</v>
      </c>
    </row>
    <row r="457" spans="1:14" x14ac:dyDescent="0.35">
      <c r="A457" t="s">
        <v>4333</v>
      </c>
      <c r="B457" t="s">
        <v>789</v>
      </c>
      <c r="C457" t="s">
        <v>125</v>
      </c>
      <c r="D457" t="s">
        <v>57</v>
      </c>
      <c r="E457" t="s">
        <v>5140</v>
      </c>
      <c r="F457" s="35">
        <v>46199</v>
      </c>
      <c r="G457" s="47">
        <v>170491.96</v>
      </c>
      <c r="H457" s="37">
        <f t="shared" si="52"/>
        <v>5</v>
      </c>
      <c r="I457" s="37" t="s">
        <v>481</v>
      </c>
      <c r="J457" s="37" t="str">
        <f t="shared" si="53"/>
        <v>0-180 DAYS</v>
      </c>
      <c r="M457" s="158" t="s">
        <v>5248</v>
      </c>
      <c r="N457" s="158">
        <v>170491.96</v>
      </c>
    </row>
    <row r="458" spans="1:14" x14ac:dyDescent="0.35">
      <c r="A458" t="s">
        <v>4333</v>
      </c>
      <c r="B458" t="s">
        <v>789</v>
      </c>
      <c r="C458" t="s">
        <v>125</v>
      </c>
      <c r="D458" t="s">
        <v>57</v>
      </c>
      <c r="E458" t="s">
        <v>5140</v>
      </c>
      <c r="F458" s="35">
        <v>46199</v>
      </c>
      <c r="G458" s="47">
        <v>452.88</v>
      </c>
      <c r="H458" s="37">
        <f t="shared" si="52"/>
        <v>5</v>
      </c>
      <c r="I458" s="37" t="s">
        <v>481</v>
      </c>
      <c r="J458" s="37" t="str">
        <f t="shared" si="53"/>
        <v>0-180 DAYS</v>
      </c>
      <c r="M458" s="158" t="s">
        <v>5248</v>
      </c>
      <c r="N458" s="158">
        <v>452.88</v>
      </c>
    </row>
    <row r="459" spans="1:14" x14ac:dyDescent="0.35">
      <c r="A459" t="s">
        <v>4333</v>
      </c>
      <c r="B459" t="s">
        <v>789</v>
      </c>
      <c r="C459" t="s">
        <v>125</v>
      </c>
      <c r="D459" t="s">
        <v>57</v>
      </c>
      <c r="E459" t="s">
        <v>5141</v>
      </c>
      <c r="F459" s="35">
        <v>46199</v>
      </c>
      <c r="G459" s="47">
        <v>17000</v>
      </c>
      <c r="H459" s="37">
        <f t="shared" si="52"/>
        <v>5</v>
      </c>
      <c r="I459" s="37" t="s">
        <v>481</v>
      </c>
      <c r="J459" s="37" t="str">
        <f t="shared" si="53"/>
        <v>0-180 DAYS</v>
      </c>
      <c r="M459" s="158" t="s">
        <v>5248</v>
      </c>
      <c r="N459" s="158">
        <v>17000</v>
      </c>
    </row>
    <row r="460" spans="1:14" x14ac:dyDescent="0.35">
      <c r="A460" t="s">
        <v>1085</v>
      </c>
      <c r="B460" t="s">
        <v>790</v>
      </c>
      <c r="C460" t="s">
        <v>1086</v>
      </c>
      <c r="D460" t="s">
        <v>507</v>
      </c>
      <c r="E460" t="s">
        <v>5142</v>
      </c>
      <c r="F460" s="35">
        <v>46200</v>
      </c>
      <c r="G460" s="47">
        <v>1413668.88</v>
      </c>
      <c r="H460" s="37">
        <f t="shared" ref="H460:H523" si="58">$H$1-F460+1</f>
        <v>4</v>
      </c>
      <c r="I460" s="37" t="str">
        <f t="shared" ref="I460:I462" si="59">IF(H460&lt;121,"0-120 DAYS",IF(H460&lt;181,"121-180 DAYS","More than 180 Days"))</f>
        <v>0-120 DAYS</v>
      </c>
      <c r="J460" s="37" t="str">
        <f t="shared" si="53"/>
        <v>0-180 DAYS</v>
      </c>
      <c r="K460" t="s">
        <v>1730</v>
      </c>
      <c r="M460" s="158" t="s">
        <v>5249</v>
      </c>
      <c r="N460" s="158">
        <v>1413668.88</v>
      </c>
    </row>
    <row r="461" spans="1:14" x14ac:dyDescent="0.35">
      <c r="A461" t="s">
        <v>1085</v>
      </c>
      <c r="B461" t="s">
        <v>790</v>
      </c>
      <c r="C461" t="s">
        <v>1086</v>
      </c>
      <c r="D461" t="s">
        <v>507</v>
      </c>
      <c r="E461" t="s">
        <v>5143</v>
      </c>
      <c r="F461" s="35">
        <v>46200</v>
      </c>
      <c r="G461" s="47">
        <v>1333719.504</v>
      </c>
      <c r="H461" s="37">
        <f t="shared" si="58"/>
        <v>4</v>
      </c>
      <c r="I461" s="37" t="str">
        <f t="shared" si="59"/>
        <v>0-120 DAYS</v>
      </c>
      <c r="J461" s="37" t="str">
        <f t="shared" ref="J461:J524" si="60">IF(H461&lt;180,"0-180 DAYS","More than 180 Days")</f>
        <v>0-180 DAYS</v>
      </c>
      <c r="K461" t="s">
        <v>1730</v>
      </c>
      <c r="M461" s="158" t="s">
        <v>5249</v>
      </c>
      <c r="N461" s="158">
        <v>1333719.5</v>
      </c>
    </row>
    <row r="462" spans="1:14" x14ac:dyDescent="0.35">
      <c r="A462" t="s">
        <v>1085</v>
      </c>
      <c r="B462" t="s">
        <v>790</v>
      </c>
      <c r="C462" t="s">
        <v>1086</v>
      </c>
      <c r="D462" t="s">
        <v>507</v>
      </c>
      <c r="E462" t="s">
        <v>5144</v>
      </c>
      <c r="F462" s="35">
        <v>46200</v>
      </c>
      <c r="G462" s="47">
        <v>812211.19200000004</v>
      </c>
      <c r="H462" s="37">
        <f t="shared" si="58"/>
        <v>4</v>
      </c>
      <c r="I462" s="37" t="str">
        <f t="shared" si="59"/>
        <v>0-120 DAYS</v>
      </c>
      <c r="J462" s="37" t="str">
        <f t="shared" si="60"/>
        <v>0-180 DAYS</v>
      </c>
      <c r="K462" t="s">
        <v>1730</v>
      </c>
      <c r="M462" s="158" t="s">
        <v>5249</v>
      </c>
      <c r="N462" s="158">
        <v>812211.19</v>
      </c>
    </row>
    <row r="463" spans="1:14" x14ac:dyDescent="0.35">
      <c r="A463" t="s">
        <v>4333</v>
      </c>
      <c r="B463" t="s">
        <v>789</v>
      </c>
      <c r="C463" t="s">
        <v>125</v>
      </c>
      <c r="D463" t="s">
        <v>57</v>
      </c>
      <c r="E463" t="s">
        <v>5145</v>
      </c>
      <c r="F463" s="35">
        <v>46200</v>
      </c>
      <c r="G463" s="47">
        <v>624</v>
      </c>
      <c r="H463" s="37">
        <f t="shared" si="58"/>
        <v>4</v>
      </c>
      <c r="I463" s="37" t="s">
        <v>481</v>
      </c>
      <c r="J463" s="37" t="str">
        <f t="shared" si="60"/>
        <v>0-180 DAYS</v>
      </c>
      <c r="M463" s="158" t="s">
        <v>5249</v>
      </c>
      <c r="N463" s="158">
        <v>624</v>
      </c>
    </row>
    <row r="464" spans="1:14" x14ac:dyDescent="0.35">
      <c r="A464" t="s">
        <v>4333</v>
      </c>
      <c r="B464" t="s">
        <v>789</v>
      </c>
      <c r="C464" t="s">
        <v>125</v>
      </c>
      <c r="D464" t="s">
        <v>57</v>
      </c>
      <c r="E464" t="s">
        <v>5146</v>
      </c>
      <c r="F464" s="35">
        <v>46200</v>
      </c>
      <c r="G464" s="47">
        <v>53439.25</v>
      </c>
      <c r="H464" s="37">
        <f t="shared" si="58"/>
        <v>4</v>
      </c>
      <c r="I464" s="37" t="s">
        <v>481</v>
      </c>
      <c r="J464" s="37" t="str">
        <f t="shared" si="60"/>
        <v>0-180 DAYS</v>
      </c>
      <c r="M464" s="158" t="s">
        <v>5249</v>
      </c>
      <c r="N464" s="158">
        <v>53439.25</v>
      </c>
    </row>
    <row r="465" spans="1:14" x14ac:dyDescent="0.35">
      <c r="A465" t="s">
        <v>4333</v>
      </c>
      <c r="B465" t="s">
        <v>789</v>
      </c>
      <c r="C465" t="s">
        <v>125</v>
      </c>
      <c r="D465" t="s">
        <v>57</v>
      </c>
      <c r="E465" t="s">
        <v>5146</v>
      </c>
      <c r="F465" s="35">
        <v>46200</v>
      </c>
      <c r="G465" s="47">
        <v>40776.239999999998</v>
      </c>
      <c r="H465" s="37">
        <f t="shared" si="58"/>
        <v>4</v>
      </c>
      <c r="I465" s="37" t="s">
        <v>481</v>
      </c>
      <c r="J465" s="37" t="str">
        <f t="shared" si="60"/>
        <v>0-180 DAYS</v>
      </c>
      <c r="M465" s="158" t="s">
        <v>5249</v>
      </c>
      <c r="N465" s="158">
        <v>40776.239999999998</v>
      </c>
    </row>
    <row r="466" spans="1:14" x14ac:dyDescent="0.35">
      <c r="A466" t="s">
        <v>4333</v>
      </c>
      <c r="B466" t="s">
        <v>789</v>
      </c>
      <c r="C466" t="s">
        <v>125</v>
      </c>
      <c r="D466" t="s">
        <v>57</v>
      </c>
      <c r="E466" t="s">
        <v>5146</v>
      </c>
      <c r="F466" s="35">
        <v>46200</v>
      </c>
      <c r="G466" s="47">
        <v>4549.45</v>
      </c>
      <c r="H466" s="37">
        <f t="shared" si="58"/>
        <v>4</v>
      </c>
      <c r="I466" s="37" t="s">
        <v>481</v>
      </c>
      <c r="J466" s="37" t="str">
        <f t="shared" si="60"/>
        <v>0-180 DAYS</v>
      </c>
      <c r="M466" s="158" t="s">
        <v>5249</v>
      </c>
      <c r="N466" s="158">
        <v>4549.45</v>
      </c>
    </row>
    <row r="467" spans="1:14" x14ac:dyDescent="0.35">
      <c r="A467" t="s">
        <v>4333</v>
      </c>
      <c r="B467" t="s">
        <v>789</v>
      </c>
      <c r="C467" t="s">
        <v>125</v>
      </c>
      <c r="D467" t="s">
        <v>57</v>
      </c>
      <c r="E467" t="s">
        <v>5146</v>
      </c>
      <c r="F467" s="35">
        <v>46200</v>
      </c>
      <c r="G467" s="47">
        <v>46898.57</v>
      </c>
      <c r="H467" s="37">
        <f t="shared" si="58"/>
        <v>4</v>
      </c>
      <c r="I467" s="37" t="s">
        <v>481</v>
      </c>
      <c r="J467" s="37" t="str">
        <f t="shared" si="60"/>
        <v>0-180 DAYS</v>
      </c>
      <c r="M467" s="158" t="s">
        <v>5249</v>
      </c>
      <c r="N467" s="158">
        <v>46898.57</v>
      </c>
    </row>
    <row r="468" spans="1:14" x14ac:dyDescent="0.35">
      <c r="A468" t="s">
        <v>4333</v>
      </c>
      <c r="B468" t="s">
        <v>789</v>
      </c>
      <c r="C468" t="s">
        <v>125</v>
      </c>
      <c r="D468" t="s">
        <v>57</v>
      </c>
      <c r="E468" t="s">
        <v>5146</v>
      </c>
      <c r="F468" s="35">
        <v>46200</v>
      </c>
      <c r="G468" s="47">
        <v>64654.84</v>
      </c>
      <c r="H468" s="37">
        <f t="shared" si="58"/>
        <v>4</v>
      </c>
      <c r="I468" s="37" t="s">
        <v>481</v>
      </c>
      <c r="J468" s="37" t="str">
        <f t="shared" si="60"/>
        <v>0-180 DAYS</v>
      </c>
      <c r="M468" s="158" t="s">
        <v>5249</v>
      </c>
      <c r="N468" s="158">
        <v>64654.84</v>
      </c>
    </row>
    <row r="469" spans="1:14" x14ac:dyDescent="0.35">
      <c r="A469" t="s">
        <v>4333</v>
      </c>
      <c r="B469" t="s">
        <v>789</v>
      </c>
      <c r="C469" t="s">
        <v>125</v>
      </c>
      <c r="D469" t="s">
        <v>57</v>
      </c>
      <c r="E469" t="s">
        <v>5147</v>
      </c>
      <c r="F469" s="35">
        <v>46201</v>
      </c>
      <c r="G469" s="47">
        <v>400818.62</v>
      </c>
      <c r="H469" s="37">
        <f t="shared" si="58"/>
        <v>3</v>
      </c>
      <c r="I469" s="37" t="s">
        <v>481</v>
      </c>
      <c r="J469" s="37" t="str">
        <f t="shared" si="60"/>
        <v>0-180 DAYS</v>
      </c>
      <c r="M469" s="158" t="s">
        <v>5250</v>
      </c>
      <c r="N469" s="158">
        <v>400818.62</v>
      </c>
    </row>
    <row r="470" spans="1:14" x14ac:dyDescent="0.35">
      <c r="A470" t="s">
        <v>4333</v>
      </c>
      <c r="B470" t="s">
        <v>789</v>
      </c>
      <c r="C470" t="s">
        <v>125</v>
      </c>
      <c r="D470" t="s">
        <v>57</v>
      </c>
      <c r="E470" t="s">
        <v>5147</v>
      </c>
      <c r="F470" s="35">
        <v>46201</v>
      </c>
      <c r="G470" s="47">
        <v>39830.839999999997</v>
      </c>
      <c r="H470" s="37">
        <f t="shared" si="58"/>
        <v>3</v>
      </c>
      <c r="I470" s="37" t="s">
        <v>481</v>
      </c>
      <c r="J470" s="37" t="str">
        <f t="shared" si="60"/>
        <v>0-180 DAYS</v>
      </c>
      <c r="M470" s="158" t="s">
        <v>5250</v>
      </c>
      <c r="N470" s="158">
        <v>39830.839999999997</v>
      </c>
    </row>
    <row r="471" spans="1:14" x14ac:dyDescent="0.35">
      <c r="A471" t="s">
        <v>4333</v>
      </c>
      <c r="B471" t="s">
        <v>789</v>
      </c>
      <c r="C471" t="s">
        <v>125</v>
      </c>
      <c r="D471" t="s">
        <v>57</v>
      </c>
      <c r="E471" t="s">
        <v>5148</v>
      </c>
      <c r="F471" s="35">
        <v>46201</v>
      </c>
      <c r="G471" s="47">
        <v>3840</v>
      </c>
      <c r="H471" s="37">
        <f t="shared" si="58"/>
        <v>3</v>
      </c>
      <c r="I471" s="37" t="s">
        <v>481</v>
      </c>
      <c r="J471" s="37" t="str">
        <f t="shared" si="60"/>
        <v>0-180 DAYS</v>
      </c>
      <c r="M471" s="158" t="s">
        <v>5250</v>
      </c>
      <c r="N471" s="158">
        <v>3840</v>
      </c>
    </row>
    <row r="472" spans="1:14" x14ac:dyDescent="0.35">
      <c r="A472" t="s">
        <v>4333</v>
      </c>
      <c r="B472" t="s">
        <v>789</v>
      </c>
      <c r="C472" t="s">
        <v>125</v>
      </c>
      <c r="D472" t="s">
        <v>57</v>
      </c>
      <c r="E472" t="s">
        <v>5149</v>
      </c>
      <c r="F472" s="35">
        <v>46201</v>
      </c>
      <c r="G472" s="47">
        <v>4303.09</v>
      </c>
      <c r="H472" s="37">
        <f t="shared" si="58"/>
        <v>3</v>
      </c>
      <c r="I472" s="37" t="s">
        <v>481</v>
      </c>
      <c r="J472" s="37" t="str">
        <f t="shared" si="60"/>
        <v>0-180 DAYS</v>
      </c>
      <c r="M472" s="158" t="s">
        <v>5250</v>
      </c>
      <c r="N472" s="158">
        <v>4303.09</v>
      </c>
    </row>
    <row r="473" spans="1:14" x14ac:dyDescent="0.35">
      <c r="A473" t="s">
        <v>4333</v>
      </c>
      <c r="B473" t="s">
        <v>789</v>
      </c>
      <c r="C473" t="s">
        <v>125</v>
      </c>
      <c r="D473" t="s">
        <v>57</v>
      </c>
      <c r="E473" t="s">
        <v>5149</v>
      </c>
      <c r="F473" s="35">
        <v>46201</v>
      </c>
      <c r="G473" s="47">
        <v>80005.210000000006</v>
      </c>
      <c r="H473" s="37">
        <f t="shared" si="58"/>
        <v>3</v>
      </c>
      <c r="I473" s="37" t="s">
        <v>481</v>
      </c>
      <c r="J473" s="37" t="str">
        <f t="shared" si="60"/>
        <v>0-180 DAYS</v>
      </c>
      <c r="M473" s="158" t="s">
        <v>5250</v>
      </c>
      <c r="N473" s="158">
        <v>80005.210000000006</v>
      </c>
    </row>
    <row r="474" spans="1:14" x14ac:dyDescent="0.35">
      <c r="A474" t="s">
        <v>4333</v>
      </c>
      <c r="B474" t="s">
        <v>789</v>
      </c>
      <c r="C474" t="s">
        <v>125</v>
      </c>
      <c r="D474" t="s">
        <v>57</v>
      </c>
      <c r="E474" t="s">
        <v>5149</v>
      </c>
      <c r="F474" s="35">
        <v>46201</v>
      </c>
      <c r="G474" s="47">
        <v>45910.28</v>
      </c>
      <c r="H474" s="37">
        <f t="shared" si="58"/>
        <v>3</v>
      </c>
      <c r="I474" s="37" t="s">
        <v>481</v>
      </c>
      <c r="J474" s="37" t="str">
        <f t="shared" si="60"/>
        <v>0-180 DAYS</v>
      </c>
      <c r="M474" s="158" t="s">
        <v>5250</v>
      </c>
      <c r="N474" s="158">
        <v>45910.28</v>
      </c>
    </row>
    <row r="475" spans="1:14" x14ac:dyDescent="0.35">
      <c r="A475" t="s">
        <v>4333</v>
      </c>
      <c r="B475" t="s">
        <v>789</v>
      </c>
      <c r="C475" t="s">
        <v>125</v>
      </c>
      <c r="D475" t="s">
        <v>57</v>
      </c>
      <c r="E475" t="s">
        <v>5149</v>
      </c>
      <c r="F475" s="35">
        <v>46201</v>
      </c>
      <c r="G475" s="47">
        <v>399262.36</v>
      </c>
      <c r="H475" s="37">
        <f t="shared" si="58"/>
        <v>3</v>
      </c>
      <c r="I475" s="37" t="s">
        <v>481</v>
      </c>
      <c r="J475" s="37" t="str">
        <f t="shared" si="60"/>
        <v>0-180 DAYS</v>
      </c>
      <c r="M475" s="158" t="s">
        <v>5250</v>
      </c>
      <c r="N475" s="158">
        <v>399262.36</v>
      </c>
    </row>
    <row r="476" spans="1:14" x14ac:dyDescent="0.35">
      <c r="A476" t="s">
        <v>4333</v>
      </c>
      <c r="B476" t="s">
        <v>789</v>
      </c>
      <c r="C476" t="s">
        <v>125</v>
      </c>
      <c r="D476" t="s">
        <v>57</v>
      </c>
      <c r="E476" t="s">
        <v>5150</v>
      </c>
      <c r="F476" s="35">
        <v>46201</v>
      </c>
      <c r="G476" s="47">
        <v>36000</v>
      </c>
      <c r="H476" s="37">
        <f t="shared" si="58"/>
        <v>3</v>
      </c>
      <c r="I476" s="37" t="s">
        <v>481</v>
      </c>
      <c r="J476" s="37" t="str">
        <f t="shared" si="60"/>
        <v>0-180 DAYS</v>
      </c>
      <c r="M476" s="158" t="s">
        <v>5250</v>
      </c>
      <c r="N476" s="158">
        <v>36000</v>
      </c>
    </row>
    <row r="477" spans="1:14" x14ac:dyDescent="0.35">
      <c r="A477" t="s">
        <v>477</v>
      </c>
      <c r="B477" t="s">
        <v>790</v>
      </c>
      <c r="C477" t="s">
        <v>1196</v>
      </c>
      <c r="D477" t="s">
        <v>1208</v>
      </c>
      <c r="E477" t="s">
        <v>5151</v>
      </c>
      <c r="F477" s="35">
        <v>46201</v>
      </c>
      <c r="G477" s="47">
        <v>1999800</v>
      </c>
      <c r="H477" s="37">
        <f t="shared" si="58"/>
        <v>3</v>
      </c>
      <c r="I477" s="37" t="str">
        <f t="shared" ref="I477:I478" si="61">IF(H477&lt;91,"1-90 DAYS",IF(H477&lt;121,"91-120DAYS",IF(H477&lt;181,"121-180 DAYS","More than 180 Days")))</f>
        <v>1-90 DAYS</v>
      </c>
      <c r="J477" s="37" t="str">
        <f t="shared" si="60"/>
        <v>0-180 DAYS</v>
      </c>
      <c r="K477" t="s">
        <v>1730</v>
      </c>
      <c r="M477" s="158" t="s">
        <v>5250</v>
      </c>
      <c r="N477" s="158">
        <v>1999800</v>
      </c>
    </row>
    <row r="478" spans="1:14" x14ac:dyDescent="0.35">
      <c r="A478" t="s">
        <v>477</v>
      </c>
      <c r="B478" t="s">
        <v>790</v>
      </c>
      <c r="C478" t="s">
        <v>5073</v>
      </c>
      <c r="D478" t="s">
        <v>5076</v>
      </c>
      <c r="E478" t="s">
        <v>5152</v>
      </c>
      <c r="F478" s="35">
        <v>46202</v>
      </c>
      <c r="G478" s="47">
        <v>2613.64</v>
      </c>
      <c r="H478" s="37">
        <f t="shared" si="58"/>
        <v>2</v>
      </c>
      <c r="I478" s="37" t="str">
        <f t="shared" si="61"/>
        <v>1-90 DAYS</v>
      </c>
      <c r="J478" s="37" t="str">
        <f t="shared" si="60"/>
        <v>0-180 DAYS</v>
      </c>
      <c r="K478" t="s">
        <v>1730</v>
      </c>
      <c r="M478" s="158" t="s">
        <v>5251</v>
      </c>
      <c r="N478" s="158">
        <v>2613.64</v>
      </c>
    </row>
    <row r="479" spans="1:14" x14ac:dyDescent="0.35">
      <c r="A479" t="s">
        <v>4333</v>
      </c>
      <c r="B479" t="s">
        <v>789</v>
      </c>
      <c r="C479" t="s">
        <v>125</v>
      </c>
      <c r="D479" t="s">
        <v>57</v>
      </c>
      <c r="E479" t="s">
        <v>5153</v>
      </c>
      <c r="F479" s="35">
        <v>46202</v>
      </c>
      <c r="G479" s="47">
        <v>1104</v>
      </c>
      <c r="H479" s="37">
        <f t="shared" si="58"/>
        <v>2</v>
      </c>
      <c r="I479" s="37" t="s">
        <v>481</v>
      </c>
      <c r="J479" s="37" t="str">
        <f t="shared" si="60"/>
        <v>0-180 DAYS</v>
      </c>
      <c r="M479" s="158" t="s">
        <v>5251</v>
      </c>
      <c r="N479" s="158">
        <v>1104</v>
      </c>
    </row>
    <row r="480" spans="1:14" x14ac:dyDescent="0.35">
      <c r="A480" t="s">
        <v>4333</v>
      </c>
      <c r="B480" t="s">
        <v>789</v>
      </c>
      <c r="C480" t="s">
        <v>125</v>
      </c>
      <c r="D480" t="s">
        <v>57</v>
      </c>
      <c r="E480" t="s">
        <v>5154</v>
      </c>
      <c r="F480" s="35">
        <v>46202</v>
      </c>
      <c r="G480" s="47">
        <v>565369.15</v>
      </c>
      <c r="H480" s="37">
        <f t="shared" si="58"/>
        <v>2</v>
      </c>
      <c r="I480" s="37" t="s">
        <v>481</v>
      </c>
      <c r="J480" s="37" t="str">
        <f t="shared" si="60"/>
        <v>0-180 DAYS</v>
      </c>
      <c r="M480" s="158" t="s">
        <v>5251</v>
      </c>
      <c r="N480" s="158">
        <v>565369.15</v>
      </c>
    </row>
    <row r="481" spans="1:14" x14ac:dyDescent="0.35">
      <c r="A481" t="s">
        <v>4333</v>
      </c>
      <c r="B481" t="s">
        <v>789</v>
      </c>
      <c r="C481" t="s">
        <v>125</v>
      </c>
      <c r="D481" t="s">
        <v>57</v>
      </c>
      <c r="E481" t="s">
        <v>5154</v>
      </c>
      <c r="F481" s="35">
        <v>46202</v>
      </c>
      <c r="G481" s="47">
        <v>80188.5</v>
      </c>
      <c r="H481" s="37">
        <f t="shared" si="58"/>
        <v>2</v>
      </c>
      <c r="I481" s="37" t="s">
        <v>481</v>
      </c>
      <c r="J481" s="37" t="str">
        <f t="shared" si="60"/>
        <v>0-180 DAYS</v>
      </c>
      <c r="M481" s="158" t="s">
        <v>5251</v>
      </c>
      <c r="N481" s="158">
        <v>80188.5</v>
      </c>
    </row>
    <row r="482" spans="1:14" x14ac:dyDescent="0.35">
      <c r="A482" t="s">
        <v>4333</v>
      </c>
      <c r="B482" t="s">
        <v>789</v>
      </c>
      <c r="C482" t="s">
        <v>125</v>
      </c>
      <c r="D482" t="s">
        <v>57</v>
      </c>
      <c r="E482" t="s">
        <v>5154</v>
      </c>
      <c r="F482" s="35">
        <v>46202</v>
      </c>
      <c r="G482" s="47">
        <v>4319.51</v>
      </c>
      <c r="H482" s="37">
        <f t="shared" si="58"/>
        <v>2</v>
      </c>
      <c r="I482" s="37" t="s">
        <v>481</v>
      </c>
      <c r="J482" s="37" t="str">
        <f t="shared" si="60"/>
        <v>0-180 DAYS</v>
      </c>
      <c r="M482" s="158" t="s">
        <v>5251</v>
      </c>
      <c r="N482" s="158">
        <v>4319.51</v>
      </c>
    </row>
    <row r="483" spans="1:14" x14ac:dyDescent="0.35">
      <c r="A483" t="s">
        <v>4333</v>
      </c>
      <c r="B483" t="s">
        <v>789</v>
      </c>
      <c r="C483" t="s">
        <v>125</v>
      </c>
      <c r="D483" t="s">
        <v>57</v>
      </c>
      <c r="E483" t="s">
        <v>5154</v>
      </c>
      <c r="F483" s="35">
        <v>46202</v>
      </c>
      <c r="G483" s="47">
        <v>78598.53</v>
      </c>
      <c r="H483" s="37">
        <f t="shared" si="58"/>
        <v>2</v>
      </c>
      <c r="I483" s="37" t="s">
        <v>481</v>
      </c>
      <c r="J483" s="37" t="str">
        <f t="shared" si="60"/>
        <v>0-180 DAYS</v>
      </c>
      <c r="M483" s="158" t="s">
        <v>5251</v>
      </c>
      <c r="N483" s="158">
        <v>78598.53</v>
      </c>
    </row>
    <row r="484" spans="1:14" x14ac:dyDescent="0.35">
      <c r="A484" t="s">
        <v>4333</v>
      </c>
      <c r="B484" t="s">
        <v>789</v>
      </c>
      <c r="C484" t="s">
        <v>125</v>
      </c>
      <c r="D484" t="s">
        <v>57</v>
      </c>
      <c r="E484" t="s">
        <v>5154</v>
      </c>
      <c r="F484" s="35">
        <v>46202</v>
      </c>
      <c r="G484" s="47">
        <v>36229.93</v>
      </c>
      <c r="H484" s="37">
        <f t="shared" si="58"/>
        <v>2</v>
      </c>
      <c r="I484" s="37" t="s">
        <v>481</v>
      </c>
      <c r="J484" s="37" t="str">
        <f t="shared" si="60"/>
        <v>0-180 DAYS</v>
      </c>
      <c r="M484" s="158" t="s">
        <v>5251</v>
      </c>
      <c r="N484" s="158">
        <v>36229.93</v>
      </c>
    </row>
    <row r="485" spans="1:14" x14ac:dyDescent="0.35">
      <c r="A485" t="s">
        <v>477</v>
      </c>
      <c r="B485" t="s">
        <v>790</v>
      </c>
      <c r="C485" t="s">
        <v>4460</v>
      </c>
      <c r="D485" t="s">
        <v>4538</v>
      </c>
      <c r="E485" t="s">
        <v>5155</v>
      </c>
      <c r="F485" s="35">
        <v>46203</v>
      </c>
      <c r="G485" s="47">
        <v>2190000</v>
      </c>
      <c r="H485" s="37">
        <f t="shared" si="58"/>
        <v>1</v>
      </c>
      <c r="I485" s="37" t="str">
        <f t="shared" ref="I485" si="62">IF(H485&lt;91,"1-90 DAYS",IF(H485&lt;121,"91-120DAYS",IF(H485&lt;181,"121-180 DAYS","More than 180 Days")))</f>
        <v>1-90 DAYS</v>
      </c>
      <c r="J485" s="37" t="str">
        <f t="shared" si="60"/>
        <v>0-180 DAYS</v>
      </c>
      <c r="K485" t="s">
        <v>1730</v>
      </c>
      <c r="M485" s="158" t="s">
        <v>5195</v>
      </c>
      <c r="N485" s="158">
        <v>2190000</v>
      </c>
    </row>
    <row r="486" spans="1:14" x14ac:dyDescent="0.35">
      <c r="A486" t="s">
        <v>4333</v>
      </c>
      <c r="B486" t="s">
        <v>789</v>
      </c>
      <c r="C486" t="s">
        <v>125</v>
      </c>
      <c r="D486" t="s">
        <v>57</v>
      </c>
      <c r="E486" t="s">
        <v>5156</v>
      </c>
      <c r="F486" s="35">
        <v>46203</v>
      </c>
      <c r="G486" s="47">
        <v>57396.5</v>
      </c>
      <c r="H486" s="37">
        <f t="shared" si="58"/>
        <v>1</v>
      </c>
      <c r="I486" s="37" t="s">
        <v>481</v>
      </c>
      <c r="J486" s="37" t="str">
        <f t="shared" si="60"/>
        <v>0-180 DAYS</v>
      </c>
      <c r="M486" s="158" t="s">
        <v>5195</v>
      </c>
      <c r="N486" s="158">
        <v>57396.5</v>
      </c>
    </row>
    <row r="487" spans="1:14" x14ac:dyDescent="0.35">
      <c r="A487" t="s">
        <v>4333</v>
      </c>
      <c r="B487" t="s">
        <v>789</v>
      </c>
      <c r="C487" t="s">
        <v>125</v>
      </c>
      <c r="D487" t="s">
        <v>57</v>
      </c>
      <c r="E487" t="s">
        <v>2324</v>
      </c>
      <c r="F487" s="35">
        <v>46203</v>
      </c>
      <c r="G487" s="47">
        <v>105781.84</v>
      </c>
      <c r="H487" s="37">
        <f t="shared" si="58"/>
        <v>1</v>
      </c>
      <c r="I487" s="37" t="s">
        <v>481</v>
      </c>
      <c r="J487" s="37" t="str">
        <f t="shared" si="60"/>
        <v>0-180 DAYS</v>
      </c>
      <c r="M487" s="158" t="s">
        <v>5195</v>
      </c>
      <c r="N487" s="158">
        <v>105781.84</v>
      </c>
    </row>
    <row r="488" spans="1:14" x14ac:dyDescent="0.35">
      <c r="A488" t="s">
        <v>4333</v>
      </c>
      <c r="B488" t="s">
        <v>789</v>
      </c>
      <c r="C488" t="s">
        <v>125</v>
      </c>
      <c r="D488" t="s">
        <v>57</v>
      </c>
      <c r="E488" t="s">
        <v>2324</v>
      </c>
      <c r="F488" s="35">
        <v>46203</v>
      </c>
      <c r="G488" s="47">
        <v>149230.88</v>
      </c>
      <c r="H488" s="37">
        <f t="shared" si="58"/>
        <v>1</v>
      </c>
      <c r="I488" s="37" t="s">
        <v>481</v>
      </c>
      <c r="J488" s="37" t="str">
        <f t="shared" si="60"/>
        <v>0-180 DAYS</v>
      </c>
      <c r="M488" s="158" t="s">
        <v>5195</v>
      </c>
      <c r="N488" s="158">
        <v>149230.88</v>
      </c>
    </row>
    <row r="489" spans="1:14" x14ac:dyDescent="0.35">
      <c r="A489" t="s">
        <v>4333</v>
      </c>
      <c r="B489" t="s">
        <v>789</v>
      </c>
      <c r="C489" t="s">
        <v>125</v>
      </c>
      <c r="D489" t="s">
        <v>57</v>
      </c>
      <c r="E489" t="s">
        <v>5157</v>
      </c>
      <c r="F489" s="35">
        <v>46203</v>
      </c>
      <c r="G489" s="47">
        <v>4800</v>
      </c>
      <c r="H489" s="37">
        <f t="shared" si="58"/>
        <v>1</v>
      </c>
      <c r="I489" s="37" t="s">
        <v>481</v>
      </c>
      <c r="J489" s="37" t="str">
        <f t="shared" si="60"/>
        <v>0-180 DAYS</v>
      </c>
      <c r="M489" s="158" t="s">
        <v>5195</v>
      </c>
      <c r="N489" s="158">
        <v>4800</v>
      </c>
    </row>
    <row r="490" spans="1:14" x14ac:dyDescent="0.35">
      <c r="A490" t="s">
        <v>4333</v>
      </c>
      <c r="B490" t="s">
        <v>789</v>
      </c>
      <c r="C490" t="s">
        <v>125</v>
      </c>
      <c r="D490" t="s">
        <v>57</v>
      </c>
      <c r="E490" t="s">
        <v>5158</v>
      </c>
      <c r="F490" s="35">
        <v>46203</v>
      </c>
      <c r="G490" s="47">
        <v>3547.58</v>
      </c>
      <c r="H490" s="37">
        <f t="shared" si="58"/>
        <v>1</v>
      </c>
      <c r="I490" s="37" t="s">
        <v>481</v>
      </c>
      <c r="J490" s="37" t="str">
        <f t="shared" si="60"/>
        <v>0-180 DAYS</v>
      </c>
      <c r="M490" s="158" t="s">
        <v>5195</v>
      </c>
      <c r="N490" s="158">
        <v>3547.58</v>
      </c>
    </row>
    <row r="491" spans="1:14" x14ac:dyDescent="0.35">
      <c r="A491" t="s">
        <v>4333</v>
      </c>
      <c r="B491" t="s">
        <v>789</v>
      </c>
      <c r="C491" t="s">
        <v>125</v>
      </c>
      <c r="D491" t="s">
        <v>57</v>
      </c>
      <c r="E491" t="s">
        <v>5158</v>
      </c>
      <c r="F491" s="35">
        <v>46203</v>
      </c>
      <c r="G491" s="47">
        <v>43798.95</v>
      </c>
      <c r="H491" s="37">
        <f t="shared" si="58"/>
        <v>1</v>
      </c>
      <c r="I491" s="37" t="s">
        <v>481</v>
      </c>
      <c r="J491" s="37" t="str">
        <f t="shared" si="60"/>
        <v>0-180 DAYS</v>
      </c>
      <c r="M491" s="158" t="s">
        <v>5195</v>
      </c>
      <c r="N491" s="158">
        <v>43798.95</v>
      </c>
    </row>
    <row r="492" spans="1:14" x14ac:dyDescent="0.35">
      <c r="A492" t="s">
        <v>4333</v>
      </c>
      <c r="B492" t="s">
        <v>789</v>
      </c>
      <c r="C492" t="s">
        <v>125</v>
      </c>
      <c r="D492" t="s">
        <v>57</v>
      </c>
      <c r="E492" t="s">
        <v>5158</v>
      </c>
      <c r="F492" s="35">
        <v>46203</v>
      </c>
      <c r="G492" s="47">
        <v>9805.91</v>
      </c>
      <c r="H492" s="37">
        <f t="shared" si="58"/>
        <v>1</v>
      </c>
      <c r="I492" s="37" t="s">
        <v>481</v>
      </c>
      <c r="J492" s="37" t="str">
        <f t="shared" si="60"/>
        <v>0-180 DAYS</v>
      </c>
      <c r="M492" s="158" t="s">
        <v>5195</v>
      </c>
      <c r="N492" s="158">
        <v>9805.91</v>
      </c>
    </row>
    <row r="493" spans="1:14" x14ac:dyDescent="0.35">
      <c r="A493" t="s">
        <v>4333</v>
      </c>
      <c r="B493" t="s">
        <v>789</v>
      </c>
      <c r="C493" t="s">
        <v>125</v>
      </c>
      <c r="D493" t="s">
        <v>57</v>
      </c>
      <c r="E493" t="s">
        <v>5158</v>
      </c>
      <c r="F493" s="35">
        <v>46203</v>
      </c>
      <c r="G493" s="47">
        <v>597361.38</v>
      </c>
      <c r="H493" s="37">
        <f t="shared" si="58"/>
        <v>1</v>
      </c>
      <c r="I493" s="37" t="s">
        <v>481</v>
      </c>
      <c r="J493" s="37" t="str">
        <f t="shared" si="60"/>
        <v>0-180 DAYS</v>
      </c>
      <c r="M493" s="158" t="s">
        <v>5195</v>
      </c>
      <c r="N493" s="158">
        <v>597361.38</v>
      </c>
    </row>
    <row r="494" spans="1:14" x14ac:dyDescent="0.35">
      <c r="A494" t="s">
        <v>4333</v>
      </c>
      <c r="B494" t="s">
        <v>789</v>
      </c>
      <c r="C494" t="s">
        <v>125</v>
      </c>
      <c r="D494" t="s">
        <v>57</v>
      </c>
      <c r="E494" t="s">
        <v>5159</v>
      </c>
      <c r="F494" s="35">
        <v>46203</v>
      </c>
      <c r="G494" s="47">
        <v>210000</v>
      </c>
      <c r="H494" s="37">
        <f t="shared" si="58"/>
        <v>1</v>
      </c>
      <c r="I494" s="37" t="s">
        <v>481</v>
      </c>
      <c r="J494" s="37" t="str">
        <f t="shared" si="60"/>
        <v>0-180 DAYS</v>
      </c>
      <c r="M494" s="158" t="s">
        <v>5195</v>
      </c>
      <c r="N494" s="158">
        <v>210000</v>
      </c>
    </row>
    <row r="495" spans="1:14" x14ac:dyDescent="0.35">
      <c r="A495" t="s">
        <v>4333</v>
      </c>
      <c r="B495" t="s">
        <v>789</v>
      </c>
      <c r="C495" t="s">
        <v>125</v>
      </c>
      <c r="D495" t="s">
        <v>57</v>
      </c>
      <c r="E495" t="s">
        <v>5159</v>
      </c>
      <c r="F495" s="35">
        <v>46203</v>
      </c>
      <c r="G495" s="47">
        <v>618750</v>
      </c>
      <c r="H495" s="37">
        <f t="shared" si="58"/>
        <v>1</v>
      </c>
      <c r="I495" s="37" t="s">
        <v>481</v>
      </c>
      <c r="J495" s="37" t="str">
        <f t="shared" si="60"/>
        <v>0-180 DAYS</v>
      </c>
      <c r="M495" s="158" t="s">
        <v>5195</v>
      </c>
      <c r="N495" s="158">
        <v>618750</v>
      </c>
    </row>
    <row r="496" spans="1:14" x14ac:dyDescent="0.35">
      <c r="A496" t="s">
        <v>1085</v>
      </c>
      <c r="B496" t="s">
        <v>790</v>
      </c>
      <c r="C496" t="s">
        <v>814</v>
      </c>
      <c r="D496" t="s">
        <v>5019</v>
      </c>
      <c r="E496" t="s">
        <v>5160</v>
      </c>
      <c r="F496" s="35">
        <v>46175</v>
      </c>
      <c r="G496" s="47">
        <v>518345.59499999997</v>
      </c>
      <c r="H496" s="37">
        <f t="shared" si="58"/>
        <v>29</v>
      </c>
      <c r="I496" s="37" t="str">
        <f t="shared" ref="I496:I497" si="63">IF(H496&lt;121,"0-120 DAYS",IF(H496&lt;181,"121-180 DAYS","More than 180 Days"))</f>
        <v>0-120 DAYS</v>
      </c>
      <c r="J496" s="37" t="str">
        <f t="shared" si="60"/>
        <v>0-180 DAYS</v>
      </c>
      <c r="K496" t="s">
        <v>1730</v>
      </c>
      <c r="M496" s="158" t="s">
        <v>5224</v>
      </c>
      <c r="N496" s="158">
        <v>518345.6</v>
      </c>
    </row>
    <row r="497" spans="1:14" x14ac:dyDescent="0.35">
      <c r="A497" t="s">
        <v>1085</v>
      </c>
      <c r="B497" t="s">
        <v>790</v>
      </c>
      <c r="C497" t="s">
        <v>4752</v>
      </c>
      <c r="D497" t="s">
        <v>507</v>
      </c>
      <c r="E497" t="s">
        <v>5161</v>
      </c>
      <c r="F497" s="35">
        <v>46175</v>
      </c>
      <c r="G497" s="47">
        <v>6158496.3119999999</v>
      </c>
      <c r="H497" s="37">
        <f t="shared" si="58"/>
        <v>29</v>
      </c>
      <c r="I497" s="37" t="str">
        <f t="shared" si="63"/>
        <v>0-120 DAYS</v>
      </c>
      <c r="J497" s="37" t="str">
        <f t="shared" si="60"/>
        <v>0-180 DAYS</v>
      </c>
      <c r="K497" t="s">
        <v>1730</v>
      </c>
      <c r="M497" s="158" t="s">
        <v>5224</v>
      </c>
      <c r="N497" s="158">
        <v>6158496.3099999996</v>
      </c>
    </row>
    <row r="498" spans="1:14" x14ac:dyDescent="0.35">
      <c r="A498" t="s">
        <v>4333</v>
      </c>
      <c r="B498" t="s">
        <v>789</v>
      </c>
      <c r="C498" t="s">
        <v>125</v>
      </c>
      <c r="D498" t="s">
        <v>57</v>
      </c>
      <c r="E498" t="s">
        <v>5162</v>
      </c>
      <c r="F498" s="35">
        <v>46175</v>
      </c>
      <c r="G498" s="47">
        <v>745786.14</v>
      </c>
      <c r="H498" s="37">
        <f t="shared" si="58"/>
        <v>29</v>
      </c>
      <c r="I498" s="37" t="s">
        <v>481</v>
      </c>
      <c r="J498" s="37" t="str">
        <f t="shared" si="60"/>
        <v>0-180 DAYS</v>
      </c>
      <c r="M498" s="158" t="s">
        <v>5224</v>
      </c>
      <c r="N498" s="158">
        <v>745786.14</v>
      </c>
    </row>
    <row r="499" spans="1:14" x14ac:dyDescent="0.35">
      <c r="A499" t="s">
        <v>4333</v>
      </c>
      <c r="B499" t="s">
        <v>789</v>
      </c>
      <c r="C499" t="s">
        <v>125</v>
      </c>
      <c r="D499" t="s">
        <v>57</v>
      </c>
      <c r="E499" t="s">
        <v>5162</v>
      </c>
      <c r="F499" s="35">
        <v>46175</v>
      </c>
      <c r="G499" s="47">
        <v>659634.88</v>
      </c>
      <c r="H499" s="37">
        <f t="shared" si="58"/>
        <v>29</v>
      </c>
      <c r="I499" s="37" t="s">
        <v>481</v>
      </c>
      <c r="J499" s="37" t="str">
        <f t="shared" si="60"/>
        <v>0-180 DAYS</v>
      </c>
      <c r="M499" s="158" t="s">
        <v>5224</v>
      </c>
      <c r="N499" s="158">
        <v>659634.88</v>
      </c>
    </row>
    <row r="500" spans="1:14" x14ac:dyDescent="0.35">
      <c r="A500" t="s">
        <v>4333</v>
      </c>
      <c r="B500" t="s">
        <v>789</v>
      </c>
      <c r="C500" t="s">
        <v>125</v>
      </c>
      <c r="D500" t="s">
        <v>57</v>
      </c>
      <c r="E500" t="s">
        <v>5162</v>
      </c>
      <c r="F500" s="35">
        <v>46175</v>
      </c>
      <c r="G500" s="47">
        <v>1254741.8400000001</v>
      </c>
      <c r="H500" s="37">
        <f t="shared" si="58"/>
        <v>29</v>
      </c>
      <c r="I500" s="37" t="s">
        <v>481</v>
      </c>
      <c r="J500" s="37" t="str">
        <f t="shared" si="60"/>
        <v>0-180 DAYS</v>
      </c>
      <c r="M500" s="158" t="s">
        <v>5224</v>
      </c>
      <c r="N500" s="158">
        <v>1254741.8400000001</v>
      </c>
    </row>
    <row r="501" spans="1:14" x14ac:dyDescent="0.35">
      <c r="A501" t="s">
        <v>4333</v>
      </c>
      <c r="B501" t="s">
        <v>789</v>
      </c>
      <c r="C501" t="s">
        <v>125</v>
      </c>
      <c r="D501" t="s">
        <v>57</v>
      </c>
      <c r="E501" t="s">
        <v>5162</v>
      </c>
      <c r="F501" s="35">
        <v>46175</v>
      </c>
      <c r="G501" s="47">
        <v>825231.88</v>
      </c>
      <c r="H501" s="37">
        <f t="shared" si="58"/>
        <v>29</v>
      </c>
      <c r="I501" s="37" t="s">
        <v>481</v>
      </c>
      <c r="J501" s="37" t="str">
        <f t="shared" si="60"/>
        <v>0-180 DAYS</v>
      </c>
      <c r="M501" s="158" t="s">
        <v>5224</v>
      </c>
      <c r="N501" s="158">
        <v>825231.88</v>
      </c>
    </row>
    <row r="502" spans="1:14" x14ac:dyDescent="0.35">
      <c r="A502" t="s">
        <v>4333</v>
      </c>
      <c r="B502" t="s">
        <v>789</v>
      </c>
      <c r="C502" t="s">
        <v>125</v>
      </c>
      <c r="D502" t="s">
        <v>57</v>
      </c>
      <c r="E502" t="s">
        <v>5162</v>
      </c>
      <c r="F502" s="35">
        <v>46175</v>
      </c>
      <c r="G502" s="47">
        <v>624636.13</v>
      </c>
      <c r="H502" s="37">
        <f t="shared" si="58"/>
        <v>29</v>
      </c>
      <c r="I502" s="37" t="s">
        <v>481</v>
      </c>
      <c r="J502" s="37" t="str">
        <f t="shared" si="60"/>
        <v>0-180 DAYS</v>
      </c>
      <c r="M502" s="158" t="s">
        <v>5224</v>
      </c>
      <c r="N502" s="158">
        <v>624636.13</v>
      </c>
    </row>
    <row r="503" spans="1:14" x14ac:dyDescent="0.35">
      <c r="A503" t="s">
        <v>4333</v>
      </c>
      <c r="B503" t="s">
        <v>789</v>
      </c>
      <c r="C503" t="s">
        <v>125</v>
      </c>
      <c r="D503" t="s">
        <v>57</v>
      </c>
      <c r="E503" t="s">
        <v>5163</v>
      </c>
      <c r="F503" s="35">
        <v>46175</v>
      </c>
      <c r="G503" s="47">
        <v>777.6</v>
      </c>
      <c r="H503" s="37">
        <f t="shared" si="58"/>
        <v>29</v>
      </c>
      <c r="I503" s="37" t="s">
        <v>481</v>
      </c>
      <c r="J503" s="37" t="str">
        <f t="shared" si="60"/>
        <v>0-180 DAYS</v>
      </c>
      <c r="M503" s="158" t="s">
        <v>5224</v>
      </c>
      <c r="N503" s="158">
        <v>777.6</v>
      </c>
    </row>
    <row r="504" spans="1:14" x14ac:dyDescent="0.35">
      <c r="A504" t="s">
        <v>4333</v>
      </c>
      <c r="B504" t="s">
        <v>789</v>
      </c>
      <c r="C504" t="s">
        <v>125</v>
      </c>
      <c r="D504" t="s">
        <v>57</v>
      </c>
      <c r="E504" t="s">
        <v>5163</v>
      </c>
      <c r="F504" s="35">
        <v>46175</v>
      </c>
      <c r="G504" s="47">
        <v>4235.3999999999996</v>
      </c>
      <c r="H504" s="37">
        <f t="shared" si="58"/>
        <v>29</v>
      </c>
      <c r="I504" s="37" t="s">
        <v>481</v>
      </c>
      <c r="J504" s="37" t="str">
        <f t="shared" si="60"/>
        <v>0-180 DAYS</v>
      </c>
      <c r="M504" s="158" t="s">
        <v>5224</v>
      </c>
      <c r="N504" s="158">
        <v>4235.3999999999996</v>
      </c>
    </row>
    <row r="505" spans="1:14" x14ac:dyDescent="0.35">
      <c r="A505" t="s">
        <v>1085</v>
      </c>
      <c r="B505" t="s">
        <v>790</v>
      </c>
      <c r="C505" t="s">
        <v>650</v>
      </c>
      <c r="D505" t="s">
        <v>507</v>
      </c>
      <c r="E505" t="s">
        <v>5164</v>
      </c>
      <c r="F505" s="35">
        <v>46177</v>
      </c>
      <c r="G505" s="47">
        <v>2424877.56</v>
      </c>
      <c r="H505" s="37">
        <f t="shared" si="58"/>
        <v>27</v>
      </c>
      <c r="I505" s="37" t="str">
        <f t="shared" ref="I505:I507" si="64">IF(H505&lt;121,"0-120 DAYS",IF(H505&lt;181,"121-180 DAYS","More than 180 Days"))</f>
        <v>0-120 DAYS</v>
      </c>
      <c r="J505" s="37" t="str">
        <f t="shared" si="60"/>
        <v>0-180 DAYS</v>
      </c>
      <c r="K505" t="s">
        <v>1730</v>
      </c>
      <c r="M505" s="158" t="s">
        <v>5226</v>
      </c>
      <c r="N505" s="158">
        <v>2424877.56</v>
      </c>
    </row>
    <row r="506" spans="1:14" x14ac:dyDescent="0.35">
      <c r="A506" t="s">
        <v>1085</v>
      </c>
      <c r="B506" t="s">
        <v>790</v>
      </c>
      <c r="C506" t="s">
        <v>650</v>
      </c>
      <c r="D506" t="s">
        <v>507</v>
      </c>
      <c r="E506" t="s">
        <v>5164</v>
      </c>
      <c r="F506" s="35">
        <v>46177</v>
      </c>
      <c r="G506" s="47">
        <v>980720.125</v>
      </c>
      <c r="H506" s="37">
        <f t="shared" si="58"/>
        <v>27</v>
      </c>
      <c r="I506" s="37" t="str">
        <f t="shared" si="64"/>
        <v>0-120 DAYS</v>
      </c>
      <c r="J506" s="37" t="str">
        <f t="shared" si="60"/>
        <v>0-180 DAYS</v>
      </c>
      <c r="K506" t="s">
        <v>1730</v>
      </c>
      <c r="M506" s="158" t="s">
        <v>5226</v>
      </c>
      <c r="N506" s="158">
        <v>980720.13</v>
      </c>
    </row>
    <row r="507" spans="1:14" x14ac:dyDescent="0.35">
      <c r="A507" t="s">
        <v>1085</v>
      </c>
      <c r="B507" t="s">
        <v>790</v>
      </c>
      <c r="C507" t="s">
        <v>650</v>
      </c>
      <c r="D507" t="s">
        <v>507</v>
      </c>
      <c r="E507" t="s">
        <v>5164</v>
      </c>
      <c r="F507" s="35">
        <v>46177</v>
      </c>
      <c r="G507" s="47">
        <v>1063282.5</v>
      </c>
      <c r="H507" s="37">
        <f t="shared" si="58"/>
        <v>27</v>
      </c>
      <c r="I507" s="37" t="str">
        <f t="shared" si="64"/>
        <v>0-120 DAYS</v>
      </c>
      <c r="J507" s="37" t="str">
        <f t="shared" si="60"/>
        <v>0-180 DAYS</v>
      </c>
      <c r="K507" t="s">
        <v>1730</v>
      </c>
      <c r="M507" s="158" t="s">
        <v>5226</v>
      </c>
      <c r="N507" s="158">
        <v>1063282.5</v>
      </c>
    </row>
    <row r="508" spans="1:14" x14ac:dyDescent="0.35">
      <c r="A508" t="s">
        <v>477</v>
      </c>
      <c r="B508" t="s">
        <v>790</v>
      </c>
      <c r="C508" t="s">
        <v>3</v>
      </c>
      <c r="D508" t="s">
        <v>4</v>
      </c>
      <c r="E508" t="s">
        <v>5165</v>
      </c>
      <c r="F508" s="35">
        <v>46178</v>
      </c>
      <c r="G508" s="47">
        <v>1224416</v>
      </c>
      <c r="H508" s="37">
        <f t="shared" si="58"/>
        <v>26</v>
      </c>
      <c r="I508" s="37" t="str">
        <f t="shared" ref="I508:I509" si="65">IF(H508&lt;91,"1-90 DAYS",IF(H508&lt;121,"91-120DAYS",IF(H508&lt;181,"121-180 DAYS","More than 180 Days")))</f>
        <v>1-90 DAYS</v>
      </c>
      <c r="J508" s="37" t="str">
        <f t="shared" si="60"/>
        <v>0-180 DAYS</v>
      </c>
      <c r="K508" t="s">
        <v>1730</v>
      </c>
      <c r="M508" s="158" t="s">
        <v>5227</v>
      </c>
      <c r="N508" s="158">
        <v>1224416</v>
      </c>
    </row>
    <row r="509" spans="1:14" x14ac:dyDescent="0.35">
      <c r="A509" t="s">
        <v>477</v>
      </c>
      <c r="B509" t="s">
        <v>790</v>
      </c>
      <c r="C509" t="s">
        <v>3</v>
      </c>
      <c r="D509" t="s">
        <v>4</v>
      </c>
      <c r="E509" t="s">
        <v>5165</v>
      </c>
      <c r="F509" s="35">
        <v>46178</v>
      </c>
      <c r="G509" s="47">
        <v>226420</v>
      </c>
      <c r="H509" s="37">
        <f t="shared" si="58"/>
        <v>26</v>
      </c>
      <c r="I509" s="37" t="str">
        <f t="shared" si="65"/>
        <v>1-90 DAYS</v>
      </c>
      <c r="J509" s="37" t="str">
        <f t="shared" si="60"/>
        <v>0-180 DAYS</v>
      </c>
      <c r="K509" t="s">
        <v>1730</v>
      </c>
      <c r="M509" s="158" t="s">
        <v>5227</v>
      </c>
      <c r="N509" s="158">
        <v>226420</v>
      </c>
    </row>
    <row r="510" spans="1:14" x14ac:dyDescent="0.35">
      <c r="A510" t="s">
        <v>1085</v>
      </c>
      <c r="B510" t="s">
        <v>790</v>
      </c>
      <c r="C510" t="s">
        <v>1086</v>
      </c>
      <c r="D510" t="s">
        <v>507</v>
      </c>
      <c r="E510" t="s">
        <v>5166</v>
      </c>
      <c r="F510" s="35">
        <v>46178</v>
      </c>
      <c r="G510" s="47">
        <v>2538764.7999999998</v>
      </c>
      <c r="H510" s="37">
        <f t="shared" si="58"/>
        <v>26</v>
      </c>
      <c r="I510" s="37" t="str">
        <f t="shared" ref="I510:I513" si="66">IF(H510&lt;121,"0-120 DAYS",IF(H510&lt;181,"121-180 DAYS","More than 180 Days"))</f>
        <v>0-120 DAYS</v>
      </c>
      <c r="J510" s="37" t="str">
        <f t="shared" si="60"/>
        <v>0-180 DAYS</v>
      </c>
      <c r="K510" t="s">
        <v>1730</v>
      </c>
      <c r="M510" s="158" t="s">
        <v>5227</v>
      </c>
      <c r="N510" s="158">
        <v>2538764.7999999998</v>
      </c>
    </row>
    <row r="511" spans="1:14" x14ac:dyDescent="0.35">
      <c r="A511" t="s">
        <v>1085</v>
      </c>
      <c r="B511" t="s">
        <v>790</v>
      </c>
      <c r="C511" t="s">
        <v>1086</v>
      </c>
      <c r="D511" t="s">
        <v>507</v>
      </c>
      <c r="E511" t="s">
        <v>5167</v>
      </c>
      <c r="F511" s="35">
        <v>46178</v>
      </c>
      <c r="G511" s="47">
        <v>562446.94464823103</v>
      </c>
      <c r="H511" s="37">
        <f t="shared" si="58"/>
        <v>26</v>
      </c>
      <c r="I511" s="37" t="str">
        <f t="shared" si="66"/>
        <v>0-120 DAYS</v>
      </c>
      <c r="J511" s="37" t="str">
        <f t="shared" si="60"/>
        <v>0-180 DAYS</v>
      </c>
      <c r="K511" t="s">
        <v>1730</v>
      </c>
      <c r="M511" s="158" t="s">
        <v>5227</v>
      </c>
      <c r="N511" s="158">
        <v>562446.93999999994</v>
      </c>
    </row>
    <row r="512" spans="1:14" x14ac:dyDescent="0.35">
      <c r="A512" t="s">
        <v>1085</v>
      </c>
      <c r="B512" t="s">
        <v>790</v>
      </c>
      <c r="C512" t="s">
        <v>1086</v>
      </c>
      <c r="D512" t="s">
        <v>507</v>
      </c>
      <c r="E512" t="s">
        <v>5167</v>
      </c>
      <c r="F512" s="35">
        <v>46178</v>
      </c>
      <c r="G512" s="47">
        <v>227805.28435176899</v>
      </c>
      <c r="H512" s="37">
        <f t="shared" si="58"/>
        <v>26</v>
      </c>
      <c r="I512" s="37" t="str">
        <f t="shared" si="66"/>
        <v>0-120 DAYS</v>
      </c>
      <c r="J512" s="37" t="str">
        <f t="shared" si="60"/>
        <v>0-180 DAYS</v>
      </c>
      <c r="K512" t="s">
        <v>1730</v>
      </c>
      <c r="M512" s="158" t="s">
        <v>5227</v>
      </c>
      <c r="N512" s="158">
        <v>227805.28</v>
      </c>
    </row>
    <row r="513" spans="1:14" x14ac:dyDescent="0.35">
      <c r="A513" t="s">
        <v>1085</v>
      </c>
      <c r="B513" t="s">
        <v>790</v>
      </c>
      <c r="C513" t="s">
        <v>635</v>
      </c>
      <c r="D513" t="s">
        <v>507</v>
      </c>
      <c r="E513" t="s">
        <v>5168</v>
      </c>
      <c r="F513" s="35">
        <v>46179</v>
      </c>
      <c r="G513" s="47">
        <v>49035</v>
      </c>
      <c r="H513" s="37">
        <f t="shared" si="58"/>
        <v>25</v>
      </c>
      <c r="I513" s="37" t="str">
        <f t="shared" si="66"/>
        <v>0-120 DAYS</v>
      </c>
      <c r="J513" s="37" t="str">
        <f t="shared" si="60"/>
        <v>0-180 DAYS</v>
      </c>
      <c r="K513" t="s">
        <v>1730</v>
      </c>
      <c r="M513" s="158" t="s">
        <v>5228</v>
      </c>
      <c r="N513" s="158">
        <v>49035</v>
      </c>
    </row>
    <row r="514" spans="1:14" x14ac:dyDescent="0.35">
      <c r="A514" t="s">
        <v>4333</v>
      </c>
      <c r="B514" t="s">
        <v>789</v>
      </c>
      <c r="C514" t="s">
        <v>125</v>
      </c>
      <c r="D514" t="s">
        <v>57</v>
      </c>
      <c r="E514" t="s">
        <v>1633</v>
      </c>
      <c r="F514" s="35">
        <v>46179</v>
      </c>
      <c r="G514" s="47">
        <v>130662</v>
      </c>
      <c r="H514" s="37">
        <f t="shared" si="58"/>
        <v>25</v>
      </c>
      <c r="I514" s="37" t="s">
        <v>481</v>
      </c>
      <c r="J514" s="37" t="str">
        <f t="shared" si="60"/>
        <v>0-180 DAYS</v>
      </c>
      <c r="M514" s="158" t="s">
        <v>5228</v>
      </c>
      <c r="N514" s="158">
        <v>130662</v>
      </c>
    </row>
    <row r="515" spans="1:14" x14ac:dyDescent="0.35">
      <c r="A515" t="s">
        <v>4333</v>
      </c>
      <c r="B515" t="s">
        <v>789</v>
      </c>
      <c r="C515" t="s">
        <v>125</v>
      </c>
      <c r="D515" t="s">
        <v>57</v>
      </c>
      <c r="E515" t="s">
        <v>1633</v>
      </c>
      <c r="F515" s="35">
        <v>46179</v>
      </c>
      <c r="G515" s="47">
        <v>629259.80000000005</v>
      </c>
      <c r="H515" s="37">
        <f t="shared" si="58"/>
        <v>25</v>
      </c>
      <c r="I515" s="37" t="s">
        <v>481</v>
      </c>
      <c r="J515" s="37" t="str">
        <f t="shared" si="60"/>
        <v>0-180 DAYS</v>
      </c>
      <c r="M515" s="158" t="s">
        <v>5228</v>
      </c>
      <c r="N515" s="158">
        <v>629259.80000000005</v>
      </c>
    </row>
    <row r="516" spans="1:14" x14ac:dyDescent="0.35">
      <c r="A516" t="s">
        <v>4333</v>
      </c>
      <c r="B516" t="s">
        <v>789</v>
      </c>
      <c r="C516" t="s">
        <v>125</v>
      </c>
      <c r="D516" t="s">
        <v>57</v>
      </c>
      <c r="E516" t="s">
        <v>1633</v>
      </c>
      <c r="F516" s="35">
        <v>46179</v>
      </c>
      <c r="G516" s="47">
        <v>32580</v>
      </c>
      <c r="H516" s="37">
        <f t="shared" si="58"/>
        <v>25</v>
      </c>
      <c r="I516" s="37" t="s">
        <v>481</v>
      </c>
      <c r="J516" s="37" t="str">
        <f t="shared" si="60"/>
        <v>0-180 DAYS</v>
      </c>
      <c r="M516" s="158" t="s">
        <v>5228</v>
      </c>
      <c r="N516" s="158">
        <v>32580</v>
      </c>
    </row>
    <row r="517" spans="1:14" x14ac:dyDescent="0.35">
      <c r="A517" t="s">
        <v>477</v>
      </c>
      <c r="B517" t="s">
        <v>790</v>
      </c>
      <c r="C517" t="s">
        <v>5074</v>
      </c>
      <c r="D517" t="s">
        <v>260</v>
      </c>
      <c r="E517" t="s">
        <v>5169</v>
      </c>
      <c r="F517" s="35">
        <v>46181</v>
      </c>
      <c r="G517" s="47">
        <v>337500</v>
      </c>
      <c r="H517" s="37">
        <f t="shared" si="58"/>
        <v>23</v>
      </c>
      <c r="I517" s="37" t="str">
        <f t="shared" ref="I517:I518" si="67">IF(H517&lt;91,"1-90 DAYS",IF(H517&lt;121,"91-120DAYS",IF(H517&lt;181,"121-180 DAYS","More than 180 Days")))</f>
        <v>1-90 DAYS</v>
      </c>
      <c r="J517" s="37" t="str">
        <f t="shared" si="60"/>
        <v>0-180 DAYS</v>
      </c>
      <c r="K517" t="s">
        <v>1730</v>
      </c>
      <c r="M517" s="158" t="s">
        <v>5230</v>
      </c>
      <c r="N517" s="158">
        <v>337500</v>
      </c>
    </row>
    <row r="518" spans="1:14" x14ac:dyDescent="0.35">
      <c r="A518" t="s">
        <v>477</v>
      </c>
      <c r="B518" t="s">
        <v>790</v>
      </c>
      <c r="C518" t="s">
        <v>259</v>
      </c>
      <c r="D518" t="s">
        <v>260</v>
      </c>
      <c r="E518" t="s">
        <v>5170</v>
      </c>
      <c r="F518" s="35">
        <v>46183</v>
      </c>
      <c r="G518" s="47">
        <v>1719000</v>
      </c>
      <c r="H518" s="37">
        <f t="shared" si="58"/>
        <v>21</v>
      </c>
      <c r="I518" s="37" t="str">
        <f t="shared" si="67"/>
        <v>1-90 DAYS</v>
      </c>
      <c r="J518" s="37" t="str">
        <f t="shared" si="60"/>
        <v>0-180 DAYS</v>
      </c>
      <c r="K518" t="s">
        <v>1730</v>
      </c>
      <c r="M518" s="158" t="s">
        <v>5232</v>
      </c>
      <c r="N518" s="158">
        <v>1719000</v>
      </c>
    </row>
    <row r="519" spans="1:14" x14ac:dyDescent="0.35">
      <c r="A519" t="s">
        <v>4333</v>
      </c>
      <c r="B519" t="s">
        <v>789</v>
      </c>
      <c r="C519" t="s">
        <v>125</v>
      </c>
      <c r="D519" t="s">
        <v>57</v>
      </c>
      <c r="E519" t="s">
        <v>5171</v>
      </c>
      <c r="F519" s="35">
        <v>46185</v>
      </c>
      <c r="G519" s="47">
        <v>112482.48</v>
      </c>
      <c r="H519" s="37">
        <f t="shared" si="58"/>
        <v>19</v>
      </c>
      <c r="I519" s="37" t="s">
        <v>481</v>
      </c>
      <c r="J519" s="37" t="str">
        <f t="shared" si="60"/>
        <v>0-180 DAYS</v>
      </c>
      <c r="M519" s="158" t="s">
        <v>5234</v>
      </c>
      <c r="N519" s="158">
        <v>112482.48</v>
      </c>
    </row>
    <row r="520" spans="1:14" x14ac:dyDescent="0.35">
      <c r="A520" t="s">
        <v>4333</v>
      </c>
      <c r="B520" t="s">
        <v>789</v>
      </c>
      <c r="C520" t="s">
        <v>125</v>
      </c>
      <c r="D520" t="s">
        <v>57</v>
      </c>
      <c r="E520" t="s">
        <v>5171</v>
      </c>
      <c r="F520" s="35">
        <v>46185</v>
      </c>
      <c r="G520" s="47">
        <v>654131.86</v>
      </c>
      <c r="H520" s="37">
        <f t="shared" si="58"/>
        <v>19</v>
      </c>
      <c r="I520" s="37" t="s">
        <v>481</v>
      </c>
      <c r="J520" s="37" t="str">
        <f t="shared" si="60"/>
        <v>0-180 DAYS</v>
      </c>
      <c r="M520" s="158" t="s">
        <v>5234</v>
      </c>
      <c r="N520" s="158">
        <v>654131.86</v>
      </c>
    </row>
    <row r="521" spans="1:14" x14ac:dyDescent="0.35">
      <c r="A521" t="s">
        <v>477</v>
      </c>
      <c r="B521" t="s">
        <v>790</v>
      </c>
      <c r="C521" t="s">
        <v>263</v>
      </c>
      <c r="D521" t="s">
        <v>264</v>
      </c>
      <c r="E521" t="s">
        <v>5172</v>
      </c>
      <c r="F521" s="35">
        <v>46186</v>
      </c>
      <c r="G521" s="47">
        <v>990216</v>
      </c>
      <c r="H521" s="37">
        <f t="shared" si="58"/>
        <v>18</v>
      </c>
      <c r="I521" s="37" t="str">
        <f t="shared" ref="I521:I522" si="68">IF(H521&lt;91,"1-90 DAYS",IF(H521&lt;121,"91-120DAYS",IF(H521&lt;181,"121-180 DAYS","More than 180 Days")))</f>
        <v>1-90 DAYS</v>
      </c>
      <c r="J521" s="37" t="str">
        <f t="shared" si="60"/>
        <v>0-180 DAYS</v>
      </c>
      <c r="K521" t="s">
        <v>1730</v>
      </c>
      <c r="M521" s="158" t="s">
        <v>5235</v>
      </c>
      <c r="N521" s="158">
        <v>990216</v>
      </c>
    </row>
    <row r="522" spans="1:14" x14ac:dyDescent="0.35">
      <c r="A522" t="s">
        <v>477</v>
      </c>
      <c r="B522" t="s">
        <v>790</v>
      </c>
      <c r="C522" t="s">
        <v>263</v>
      </c>
      <c r="D522" t="s">
        <v>264</v>
      </c>
      <c r="E522" t="s">
        <v>5172</v>
      </c>
      <c r="F522" s="35">
        <v>46186</v>
      </c>
      <c r="G522" s="47">
        <v>221580</v>
      </c>
      <c r="H522" s="37">
        <f t="shared" si="58"/>
        <v>18</v>
      </c>
      <c r="I522" s="37" t="str">
        <f t="shared" si="68"/>
        <v>1-90 DAYS</v>
      </c>
      <c r="J522" s="37" t="str">
        <f t="shared" si="60"/>
        <v>0-180 DAYS</v>
      </c>
      <c r="K522" t="s">
        <v>1730</v>
      </c>
      <c r="M522" s="158" t="s">
        <v>5235</v>
      </c>
      <c r="N522" s="158">
        <v>221580</v>
      </c>
    </row>
    <row r="523" spans="1:14" x14ac:dyDescent="0.35">
      <c r="A523" t="s">
        <v>4333</v>
      </c>
      <c r="B523" t="s">
        <v>789</v>
      </c>
      <c r="C523" t="s">
        <v>125</v>
      </c>
      <c r="D523" t="s">
        <v>57</v>
      </c>
      <c r="E523" t="s">
        <v>5173</v>
      </c>
      <c r="F523" s="35">
        <v>46188</v>
      </c>
      <c r="G523" s="47">
        <v>770359.08</v>
      </c>
      <c r="H523" s="37">
        <f t="shared" si="58"/>
        <v>16</v>
      </c>
      <c r="I523" s="37" t="s">
        <v>481</v>
      </c>
      <c r="J523" s="37" t="str">
        <f t="shared" si="60"/>
        <v>0-180 DAYS</v>
      </c>
      <c r="M523" s="158" t="s">
        <v>5237</v>
      </c>
      <c r="N523" s="158">
        <v>770359.08</v>
      </c>
    </row>
    <row r="524" spans="1:14" x14ac:dyDescent="0.35">
      <c r="A524" t="s">
        <v>4333</v>
      </c>
      <c r="B524" t="s">
        <v>789</v>
      </c>
      <c r="C524" t="s">
        <v>125</v>
      </c>
      <c r="D524" t="s">
        <v>57</v>
      </c>
      <c r="E524" t="s">
        <v>5173</v>
      </c>
      <c r="F524" s="35">
        <v>46188</v>
      </c>
      <c r="G524" s="47">
        <v>2140106.46</v>
      </c>
      <c r="H524" s="37">
        <f t="shared" ref="H524:H556" si="69">$H$1-F524+1</f>
        <v>16</v>
      </c>
      <c r="I524" s="37" t="s">
        <v>481</v>
      </c>
      <c r="J524" s="37" t="str">
        <f t="shared" si="60"/>
        <v>0-180 DAYS</v>
      </c>
      <c r="M524" s="158" t="s">
        <v>5237</v>
      </c>
      <c r="N524" s="158">
        <v>2140106.46</v>
      </c>
    </row>
    <row r="525" spans="1:14" x14ac:dyDescent="0.35">
      <c r="A525" t="s">
        <v>4333</v>
      </c>
      <c r="B525" t="s">
        <v>789</v>
      </c>
      <c r="C525" t="s">
        <v>125</v>
      </c>
      <c r="D525" t="s">
        <v>57</v>
      </c>
      <c r="E525" t="s">
        <v>5173</v>
      </c>
      <c r="F525" s="35">
        <v>46188</v>
      </c>
      <c r="G525" s="47">
        <v>776681.02</v>
      </c>
      <c r="H525" s="37">
        <f t="shared" si="69"/>
        <v>16</v>
      </c>
      <c r="I525" s="37" t="s">
        <v>481</v>
      </c>
      <c r="J525" s="37" t="str">
        <f t="shared" ref="J525:J556" si="70">IF(H525&lt;180,"0-180 DAYS","More than 180 Days")</f>
        <v>0-180 DAYS</v>
      </c>
      <c r="M525" s="158" t="s">
        <v>5237</v>
      </c>
      <c r="N525" s="158">
        <v>776681.02</v>
      </c>
    </row>
    <row r="526" spans="1:14" x14ac:dyDescent="0.35">
      <c r="A526" t="s">
        <v>4333</v>
      </c>
      <c r="B526" t="s">
        <v>789</v>
      </c>
      <c r="C526" t="s">
        <v>125</v>
      </c>
      <c r="D526" t="s">
        <v>57</v>
      </c>
      <c r="E526" t="s">
        <v>5173</v>
      </c>
      <c r="F526" s="35">
        <v>46188</v>
      </c>
      <c r="G526" s="47">
        <v>1504055.74</v>
      </c>
      <c r="H526" s="37">
        <f t="shared" si="69"/>
        <v>16</v>
      </c>
      <c r="I526" s="37" t="s">
        <v>481</v>
      </c>
      <c r="J526" s="37" t="str">
        <f t="shared" si="70"/>
        <v>0-180 DAYS</v>
      </c>
      <c r="M526" s="158" t="s">
        <v>5237</v>
      </c>
      <c r="N526" s="158">
        <v>1504055.74</v>
      </c>
    </row>
    <row r="527" spans="1:14" x14ac:dyDescent="0.35">
      <c r="A527" t="s">
        <v>4333</v>
      </c>
      <c r="B527" t="s">
        <v>789</v>
      </c>
      <c r="C527" t="s">
        <v>125</v>
      </c>
      <c r="D527" t="s">
        <v>57</v>
      </c>
      <c r="E527" t="s">
        <v>5174</v>
      </c>
      <c r="F527" s="35">
        <v>46188</v>
      </c>
      <c r="G527" s="47">
        <v>363682</v>
      </c>
      <c r="H527" s="37">
        <f t="shared" si="69"/>
        <v>16</v>
      </c>
      <c r="I527" s="37" t="s">
        <v>481</v>
      </c>
      <c r="J527" s="37" t="str">
        <f t="shared" si="70"/>
        <v>0-180 DAYS</v>
      </c>
      <c r="M527" s="158" t="s">
        <v>5237</v>
      </c>
      <c r="N527" s="158">
        <v>363682</v>
      </c>
    </row>
    <row r="528" spans="1:14" x14ac:dyDescent="0.35">
      <c r="A528" t="s">
        <v>4333</v>
      </c>
      <c r="B528" t="s">
        <v>789</v>
      </c>
      <c r="C528" t="s">
        <v>125</v>
      </c>
      <c r="D528" t="s">
        <v>57</v>
      </c>
      <c r="E528" t="s">
        <v>5175</v>
      </c>
      <c r="F528" s="35">
        <v>46188</v>
      </c>
      <c r="G528" s="47">
        <v>3504</v>
      </c>
      <c r="H528" s="37">
        <f t="shared" si="69"/>
        <v>16</v>
      </c>
      <c r="I528" s="37" t="s">
        <v>481</v>
      </c>
      <c r="J528" s="37" t="str">
        <f t="shared" si="70"/>
        <v>0-180 DAYS</v>
      </c>
      <c r="M528" s="158" t="s">
        <v>5237</v>
      </c>
      <c r="N528" s="158">
        <v>3504</v>
      </c>
    </row>
    <row r="529" spans="1:14" x14ac:dyDescent="0.35">
      <c r="A529" t="s">
        <v>4333</v>
      </c>
      <c r="B529" t="s">
        <v>789</v>
      </c>
      <c r="C529" t="s">
        <v>125</v>
      </c>
      <c r="D529" t="s">
        <v>57</v>
      </c>
      <c r="E529" t="s">
        <v>3952</v>
      </c>
      <c r="F529" s="35">
        <v>46189</v>
      </c>
      <c r="G529" s="47">
        <v>1867091.2</v>
      </c>
      <c r="H529" s="37">
        <f t="shared" si="69"/>
        <v>15</v>
      </c>
      <c r="I529" s="37" t="s">
        <v>481</v>
      </c>
      <c r="J529" s="37" t="str">
        <f t="shared" si="70"/>
        <v>0-180 DAYS</v>
      </c>
      <c r="M529" s="158" t="s">
        <v>5238</v>
      </c>
      <c r="N529" s="158">
        <v>1867091.2</v>
      </c>
    </row>
    <row r="530" spans="1:14" x14ac:dyDescent="0.35">
      <c r="A530" t="s">
        <v>4333</v>
      </c>
      <c r="B530" t="s">
        <v>789</v>
      </c>
      <c r="C530" t="s">
        <v>125</v>
      </c>
      <c r="D530" t="s">
        <v>57</v>
      </c>
      <c r="E530" t="s">
        <v>3952</v>
      </c>
      <c r="F530" s="35">
        <v>46189</v>
      </c>
      <c r="G530" s="47">
        <v>691634.7</v>
      </c>
      <c r="H530" s="37">
        <f t="shared" si="69"/>
        <v>15</v>
      </c>
      <c r="I530" s="37" t="s">
        <v>481</v>
      </c>
      <c r="J530" s="37" t="str">
        <f t="shared" si="70"/>
        <v>0-180 DAYS</v>
      </c>
      <c r="M530" s="158" t="s">
        <v>5238</v>
      </c>
      <c r="N530" s="158">
        <v>691634.7</v>
      </c>
    </row>
    <row r="531" spans="1:14" x14ac:dyDescent="0.35">
      <c r="A531" t="s">
        <v>4333</v>
      </c>
      <c r="B531" t="s">
        <v>789</v>
      </c>
      <c r="C531" t="s">
        <v>125</v>
      </c>
      <c r="D531" t="s">
        <v>57</v>
      </c>
      <c r="E531" t="s">
        <v>3952</v>
      </c>
      <c r="F531" s="35">
        <v>46189</v>
      </c>
      <c r="G531" s="47">
        <v>1001163.03</v>
      </c>
      <c r="H531" s="37">
        <f t="shared" si="69"/>
        <v>15</v>
      </c>
      <c r="I531" s="37" t="s">
        <v>481</v>
      </c>
      <c r="J531" s="37" t="str">
        <f t="shared" si="70"/>
        <v>0-180 DAYS</v>
      </c>
      <c r="M531" s="158" t="s">
        <v>5238</v>
      </c>
      <c r="N531" s="158">
        <v>1001163.03</v>
      </c>
    </row>
    <row r="532" spans="1:14" x14ac:dyDescent="0.35">
      <c r="A532" t="s">
        <v>4333</v>
      </c>
      <c r="B532" t="s">
        <v>789</v>
      </c>
      <c r="C532" t="s">
        <v>125</v>
      </c>
      <c r="D532" t="s">
        <v>57</v>
      </c>
      <c r="E532" t="s">
        <v>3952</v>
      </c>
      <c r="F532" s="35">
        <v>46189</v>
      </c>
      <c r="G532" s="47">
        <v>525135.6</v>
      </c>
      <c r="H532" s="37">
        <f t="shared" si="69"/>
        <v>15</v>
      </c>
      <c r="I532" s="37" t="s">
        <v>481</v>
      </c>
      <c r="J532" s="37" t="str">
        <f t="shared" si="70"/>
        <v>0-180 DAYS</v>
      </c>
      <c r="M532" s="158" t="s">
        <v>5238</v>
      </c>
      <c r="N532" s="158">
        <v>525135.6</v>
      </c>
    </row>
    <row r="533" spans="1:14" x14ac:dyDescent="0.35">
      <c r="A533" t="s">
        <v>4333</v>
      </c>
      <c r="B533" t="s">
        <v>789</v>
      </c>
      <c r="C533" t="s">
        <v>125</v>
      </c>
      <c r="D533" t="s">
        <v>57</v>
      </c>
      <c r="E533" t="s">
        <v>3952</v>
      </c>
      <c r="F533" s="35">
        <v>46189</v>
      </c>
      <c r="G533" s="47">
        <v>587569.5</v>
      </c>
      <c r="H533" s="37">
        <f t="shared" si="69"/>
        <v>15</v>
      </c>
      <c r="I533" s="37" t="s">
        <v>481</v>
      </c>
      <c r="J533" s="37" t="str">
        <f t="shared" si="70"/>
        <v>0-180 DAYS</v>
      </c>
      <c r="M533" s="158" t="s">
        <v>5238</v>
      </c>
      <c r="N533" s="158">
        <v>587569.5</v>
      </c>
    </row>
    <row r="534" spans="1:14" x14ac:dyDescent="0.35">
      <c r="A534" t="s">
        <v>1085</v>
      </c>
      <c r="B534" t="s">
        <v>790</v>
      </c>
      <c r="C534" t="s">
        <v>1764</v>
      </c>
      <c r="D534" t="s">
        <v>507</v>
      </c>
      <c r="E534" t="s">
        <v>5176</v>
      </c>
      <c r="F534" s="35">
        <v>46192</v>
      </c>
      <c r="G534" s="47">
        <v>5209153.6179999998</v>
      </c>
      <c r="H534" s="37">
        <f t="shared" si="69"/>
        <v>12</v>
      </c>
      <c r="I534" s="37" t="str">
        <f t="shared" ref="I534:I542" si="71">IF(H534&lt;121,"0-120 DAYS",IF(H534&lt;181,"121-180 DAYS","More than 180 Days"))</f>
        <v>0-120 DAYS</v>
      </c>
      <c r="J534" s="37" t="str">
        <f t="shared" si="70"/>
        <v>0-180 DAYS</v>
      </c>
      <c r="K534" t="s">
        <v>1730</v>
      </c>
      <c r="M534" s="158" t="s">
        <v>5241</v>
      </c>
      <c r="N534" s="158">
        <v>5209153.62</v>
      </c>
    </row>
    <row r="535" spans="1:14" x14ac:dyDescent="0.35">
      <c r="A535" t="s">
        <v>1085</v>
      </c>
      <c r="B535" t="s">
        <v>790</v>
      </c>
      <c r="C535" t="s">
        <v>1086</v>
      </c>
      <c r="D535" t="s">
        <v>507</v>
      </c>
      <c r="E535" t="s">
        <v>5177</v>
      </c>
      <c r="F535" s="35">
        <v>46192</v>
      </c>
      <c r="G535" s="47">
        <v>516154.39199999999</v>
      </c>
      <c r="H535" s="37">
        <f t="shared" si="69"/>
        <v>12</v>
      </c>
      <c r="I535" s="37" t="str">
        <f t="shared" si="71"/>
        <v>0-120 DAYS</v>
      </c>
      <c r="J535" s="37" t="str">
        <f t="shared" si="70"/>
        <v>0-180 DAYS</v>
      </c>
      <c r="K535" t="s">
        <v>1730</v>
      </c>
      <c r="M535" s="158" t="s">
        <v>5241</v>
      </c>
      <c r="N535" s="158">
        <v>516154.39</v>
      </c>
    </row>
    <row r="536" spans="1:14" x14ac:dyDescent="0.35">
      <c r="A536" t="s">
        <v>1085</v>
      </c>
      <c r="B536" t="s">
        <v>790</v>
      </c>
      <c r="C536" t="s">
        <v>1086</v>
      </c>
      <c r="D536" t="s">
        <v>507</v>
      </c>
      <c r="E536" t="s">
        <v>5178</v>
      </c>
      <c r="F536" s="35">
        <v>46192</v>
      </c>
      <c r="G536" s="47">
        <v>3174069.6</v>
      </c>
      <c r="H536" s="37">
        <f t="shared" si="69"/>
        <v>12</v>
      </c>
      <c r="I536" s="37" t="str">
        <f t="shared" si="71"/>
        <v>0-120 DAYS</v>
      </c>
      <c r="J536" s="37" t="str">
        <f t="shared" si="70"/>
        <v>0-180 DAYS</v>
      </c>
      <c r="K536" t="s">
        <v>1730</v>
      </c>
      <c r="M536" s="158" t="s">
        <v>5241</v>
      </c>
      <c r="N536" s="158">
        <v>3174069.6</v>
      </c>
    </row>
    <row r="537" spans="1:14" x14ac:dyDescent="0.35">
      <c r="A537" t="s">
        <v>1085</v>
      </c>
      <c r="B537" t="s">
        <v>790</v>
      </c>
      <c r="C537" t="s">
        <v>1086</v>
      </c>
      <c r="D537" t="s">
        <v>507</v>
      </c>
      <c r="E537" t="s">
        <v>5179</v>
      </c>
      <c r="F537" s="35">
        <v>46192</v>
      </c>
      <c r="G537" s="47">
        <v>168293.736</v>
      </c>
      <c r="H537" s="37">
        <f t="shared" si="69"/>
        <v>12</v>
      </c>
      <c r="I537" s="37" t="str">
        <f t="shared" si="71"/>
        <v>0-120 DAYS</v>
      </c>
      <c r="J537" s="37" t="str">
        <f t="shared" si="70"/>
        <v>0-180 DAYS</v>
      </c>
      <c r="K537" t="s">
        <v>1730</v>
      </c>
      <c r="M537" s="158" t="s">
        <v>5241</v>
      </c>
      <c r="N537" s="158">
        <v>168293.74</v>
      </c>
    </row>
    <row r="538" spans="1:14" x14ac:dyDescent="0.35">
      <c r="A538" t="s">
        <v>1085</v>
      </c>
      <c r="B538" t="s">
        <v>790</v>
      </c>
      <c r="C538" t="s">
        <v>1086</v>
      </c>
      <c r="D538" t="s">
        <v>507</v>
      </c>
      <c r="E538" t="s">
        <v>5180</v>
      </c>
      <c r="F538" s="35">
        <v>46192</v>
      </c>
      <c r="G538" s="47">
        <v>49101.624000000003</v>
      </c>
      <c r="H538" s="37">
        <f t="shared" si="69"/>
        <v>12</v>
      </c>
      <c r="I538" s="37" t="str">
        <f t="shared" si="71"/>
        <v>0-120 DAYS</v>
      </c>
      <c r="J538" s="37" t="str">
        <f t="shared" si="70"/>
        <v>0-180 DAYS</v>
      </c>
      <c r="K538" t="s">
        <v>1730</v>
      </c>
      <c r="M538" s="158" t="s">
        <v>5241</v>
      </c>
      <c r="N538" s="158">
        <v>49101.62</v>
      </c>
    </row>
    <row r="539" spans="1:14" x14ac:dyDescent="0.35">
      <c r="A539" t="s">
        <v>1085</v>
      </c>
      <c r="B539" t="s">
        <v>790</v>
      </c>
      <c r="C539" t="s">
        <v>1086</v>
      </c>
      <c r="D539" t="s">
        <v>507</v>
      </c>
      <c r="E539" t="s">
        <v>5181</v>
      </c>
      <c r="F539" s="35">
        <v>46192</v>
      </c>
      <c r="G539" s="47">
        <v>1626300</v>
      </c>
      <c r="H539" s="37">
        <f t="shared" si="69"/>
        <v>12</v>
      </c>
      <c r="I539" s="37" t="str">
        <f t="shared" si="71"/>
        <v>0-120 DAYS</v>
      </c>
      <c r="J539" s="37" t="str">
        <f t="shared" si="70"/>
        <v>0-180 DAYS</v>
      </c>
      <c r="K539" t="s">
        <v>1730</v>
      </c>
      <c r="M539" s="158" t="s">
        <v>5241</v>
      </c>
      <c r="N539" s="158">
        <v>1626300</v>
      </c>
    </row>
    <row r="540" spans="1:14" x14ac:dyDescent="0.35">
      <c r="A540" t="s">
        <v>1085</v>
      </c>
      <c r="B540" t="s">
        <v>790</v>
      </c>
      <c r="C540" t="s">
        <v>1086</v>
      </c>
      <c r="D540" t="s">
        <v>507</v>
      </c>
      <c r="E540" t="s">
        <v>5182</v>
      </c>
      <c r="F540" s="35">
        <v>46192</v>
      </c>
      <c r="G540" s="47">
        <v>1329316.7092919</v>
      </c>
      <c r="H540" s="37">
        <f t="shared" si="69"/>
        <v>12</v>
      </c>
      <c r="I540" s="37" t="str">
        <f t="shared" si="71"/>
        <v>0-120 DAYS</v>
      </c>
      <c r="J540" s="37" t="str">
        <f t="shared" si="70"/>
        <v>0-180 DAYS</v>
      </c>
      <c r="K540" t="s">
        <v>1730</v>
      </c>
      <c r="M540" s="158" t="s">
        <v>5241</v>
      </c>
      <c r="N540" s="158">
        <v>1329316.71</v>
      </c>
    </row>
    <row r="541" spans="1:14" x14ac:dyDescent="0.35">
      <c r="A541" t="s">
        <v>1085</v>
      </c>
      <c r="B541" t="s">
        <v>790</v>
      </c>
      <c r="C541" t="s">
        <v>1086</v>
      </c>
      <c r="D541" t="s">
        <v>507</v>
      </c>
      <c r="E541" t="s">
        <v>5182</v>
      </c>
      <c r="F541" s="35">
        <v>46192</v>
      </c>
      <c r="G541" s="47">
        <v>43623.066708103601</v>
      </c>
      <c r="H541" s="37">
        <f t="shared" si="69"/>
        <v>12</v>
      </c>
      <c r="I541" s="37" t="str">
        <f t="shared" si="71"/>
        <v>0-120 DAYS</v>
      </c>
      <c r="J541" s="37" t="str">
        <f t="shared" si="70"/>
        <v>0-180 DAYS</v>
      </c>
      <c r="K541" t="s">
        <v>1730</v>
      </c>
      <c r="M541" s="158" t="s">
        <v>5241</v>
      </c>
      <c r="N541" s="158">
        <v>43623.07</v>
      </c>
    </row>
    <row r="542" spans="1:14" x14ac:dyDescent="0.35">
      <c r="A542" t="s">
        <v>1085</v>
      </c>
      <c r="B542" t="s">
        <v>790</v>
      </c>
      <c r="C542" t="s">
        <v>814</v>
      </c>
      <c r="D542" t="s">
        <v>5019</v>
      </c>
      <c r="E542" t="s">
        <v>5183</v>
      </c>
      <c r="F542" s="35">
        <v>46195</v>
      </c>
      <c r="G542" s="47">
        <v>365714.8</v>
      </c>
      <c r="H542" s="37">
        <f t="shared" si="69"/>
        <v>9</v>
      </c>
      <c r="I542" s="37" t="str">
        <f t="shared" si="71"/>
        <v>0-120 DAYS</v>
      </c>
      <c r="J542" s="37" t="str">
        <f t="shared" si="70"/>
        <v>0-180 DAYS</v>
      </c>
      <c r="K542" t="s">
        <v>1730</v>
      </c>
      <c r="M542" s="158" t="s">
        <v>5244</v>
      </c>
      <c r="N542" s="158">
        <v>365714.8</v>
      </c>
    </row>
    <row r="543" spans="1:14" x14ac:dyDescent="0.35">
      <c r="A543" t="s">
        <v>4333</v>
      </c>
      <c r="B543" t="s">
        <v>789</v>
      </c>
      <c r="C543" t="s">
        <v>125</v>
      </c>
      <c r="D543" t="s">
        <v>57</v>
      </c>
      <c r="E543" t="s">
        <v>5184</v>
      </c>
      <c r="F543" s="35">
        <v>46195</v>
      </c>
      <c r="G543" s="47">
        <v>26986.400000000001</v>
      </c>
      <c r="H543" s="37">
        <f t="shared" si="69"/>
        <v>9</v>
      </c>
      <c r="I543" s="37" t="s">
        <v>481</v>
      </c>
      <c r="J543" s="37" t="str">
        <f t="shared" si="70"/>
        <v>0-180 DAYS</v>
      </c>
      <c r="M543" s="158" t="s">
        <v>5244</v>
      </c>
      <c r="N543" s="158">
        <v>26986.400000000001</v>
      </c>
    </row>
    <row r="544" spans="1:14" x14ac:dyDescent="0.35">
      <c r="A544" t="s">
        <v>4333</v>
      </c>
      <c r="B544" t="s">
        <v>789</v>
      </c>
      <c r="C544" t="s">
        <v>125</v>
      </c>
      <c r="D544" t="s">
        <v>57</v>
      </c>
      <c r="E544" t="s">
        <v>5184</v>
      </c>
      <c r="F544" s="35">
        <v>46195</v>
      </c>
      <c r="G544" s="47">
        <v>1080000</v>
      </c>
      <c r="H544" s="37">
        <f t="shared" si="69"/>
        <v>9</v>
      </c>
      <c r="I544" s="37" t="s">
        <v>481</v>
      </c>
      <c r="J544" s="37" t="str">
        <f t="shared" si="70"/>
        <v>0-180 DAYS</v>
      </c>
      <c r="M544" s="158" t="s">
        <v>5244</v>
      </c>
      <c r="N544" s="158">
        <v>1080000</v>
      </c>
    </row>
    <row r="545" spans="1:14" x14ac:dyDescent="0.35">
      <c r="A545" t="s">
        <v>4333</v>
      </c>
      <c r="B545" t="s">
        <v>789</v>
      </c>
      <c r="C545" t="s">
        <v>125</v>
      </c>
      <c r="D545" t="s">
        <v>57</v>
      </c>
      <c r="E545" t="s">
        <v>5184</v>
      </c>
      <c r="F545" s="35">
        <v>46195</v>
      </c>
      <c r="G545" s="47">
        <v>261324</v>
      </c>
      <c r="H545" s="37">
        <f t="shared" si="69"/>
        <v>9</v>
      </c>
      <c r="I545" s="37" t="s">
        <v>481</v>
      </c>
      <c r="J545" s="37" t="str">
        <f t="shared" si="70"/>
        <v>0-180 DAYS</v>
      </c>
      <c r="M545" s="158" t="s">
        <v>5244</v>
      </c>
      <c r="N545" s="158">
        <v>261324</v>
      </c>
    </row>
    <row r="546" spans="1:14" x14ac:dyDescent="0.35">
      <c r="A546" t="s">
        <v>4333</v>
      </c>
      <c r="B546" t="s">
        <v>789</v>
      </c>
      <c r="C546" t="s">
        <v>125</v>
      </c>
      <c r="D546" t="s">
        <v>57</v>
      </c>
      <c r="E546" t="s">
        <v>5185</v>
      </c>
      <c r="F546" s="35">
        <v>46195</v>
      </c>
      <c r="G546" s="47">
        <v>3552</v>
      </c>
      <c r="H546" s="37">
        <f t="shared" si="69"/>
        <v>9</v>
      </c>
      <c r="I546" s="37" t="s">
        <v>481</v>
      </c>
      <c r="J546" s="37" t="str">
        <f t="shared" si="70"/>
        <v>0-180 DAYS</v>
      </c>
      <c r="M546" s="158" t="s">
        <v>5244</v>
      </c>
      <c r="N546" s="158">
        <v>3552</v>
      </c>
    </row>
    <row r="547" spans="1:14" x14ac:dyDescent="0.35">
      <c r="A547" t="s">
        <v>4333</v>
      </c>
      <c r="B547" t="s">
        <v>789</v>
      </c>
      <c r="C547" t="s">
        <v>125</v>
      </c>
      <c r="D547" t="s">
        <v>57</v>
      </c>
      <c r="E547" t="s">
        <v>5186</v>
      </c>
      <c r="F547" s="35">
        <v>46195</v>
      </c>
      <c r="G547" s="47">
        <v>182388.29</v>
      </c>
      <c r="H547" s="37">
        <f t="shared" si="69"/>
        <v>9</v>
      </c>
      <c r="I547" s="37" t="s">
        <v>481</v>
      </c>
      <c r="J547" s="37" t="str">
        <f t="shared" si="70"/>
        <v>0-180 DAYS</v>
      </c>
      <c r="M547" s="158" t="s">
        <v>5244</v>
      </c>
      <c r="N547" s="158">
        <v>182388.29</v>
      </c>
    </row>
    <row r="548" spans="1:14" x14ac:dyDescent="0.35">
      <c r="A548" t="s">
        <v>1085</v>
      </c>
      <c r="B548" t="s">
        <v>790</v>
      </c>
      <c r="C548" t="s">
        <v>653</v>
      </c>
      <c r="D548" t="s">
        <v>507</v>
      </c>
      <c r="E548" t="s">
        <v>5187</v>
      </c>
      <c r="F548" s="35">
        <v>46196</v>
      </c>
      <c r="G548" s="47">
        <v>4502628</v>
      </c>
      <c r="H548" s="37">
        <f t="shared" si="69"/>
        <v>8</v>
      </c>
      <c r="I548" s="37" t="str">
        <f t="shared" ref="I548" si="72">IF(H548&lt;121,"0-120 DAYS",IF(H548&lt;181,"121-180 DAYS","More than 180 Days"))</f>
        <v>0-120 DAYS</v>
      </c>
      <c r="J548" s="37" t="str">
        <f t="shared" si="70"/>
        <v>0-180 DAYS</v>
      </c>
      <c r="K548" t="s">
        <v>1730</v>
      </c>
      <c r="M548" s="158" t="s">
        <v>5245</v>
      </c>
      <c r="N548" s="158">
        <v>4502628</v>
      </c>
    </row>
    <row r="549" spans="1:14" x14ac:dyDescent="0.35">
      <c r="A549" t="s">
        <v>4333</v>
      </c>
      <c r="B549" t="s">
        <v>789</v>
      </c>
      <c r="C549" t="s">
        <v>125</v>
      </c>
      <c r="D549" t="s">
        <v>57</v>
      </c>
      <c r="E549" t="s">
        <v>5188</v>
      </c>
      <c r="F549" s="35">
        <v>46198</v>
      </c>
      <c r="G549" s="47">
        <v>4681832.75</v>
      </c>
      <c r="H549" s="37">
        <f t="shared" si="69"/>
        <v>6</v>
      </c>
      <c r="I549" s="37" t="s">
        <v>481</v>
      </c>
      <c r="J549" s="37" t="str">
        <f t="shared" si="70"/>
        <v>0-180 DAYS</v>
      </c>
      <c r="M549" s="158" t="s">
        <v>5247</v>
      </c>
      <c r="N549" s="158">
        <v>4681832.75</v>
      </c>
    </row>
    <row r="550" spans="1:14" x14ac:dyDescent="0.35">
      <c r="A550" t="s">
        <v>4333</v>
      </c>
      <c r="B550" t="s">
        <v>789</v>
      </c>
      <c r="C550" t="s">
        <v>125</v>
      </c>
      <c r="D550" t="s">
        <v>57</v>
      </c>
      <c r="E550" t="s">
        <v>1990</v>
      </c>
      <c r="F550" s="35">
        <v>46199</v>
      </c>
      <c r="G550" s="47">
        <v>256200</v>
      </c>
      <c r="H550" s="37">
        <f t="shared" si="69"/>
        <v>5</v>
      </c>
      <c r="I550" s="37" t="s">
        <v>481</v>
      </c>
      <c r="J550" s="37" t="str">
        <f t="shared" si="70"/>
        <v>0-180 DAYS</v>
      </c>
      <c r="M550" s="158" t="s">
        <v>5248</v>
      </c>
      <c r="N550" s="158">
        <v>256200</v>
      </c>
    </row>
    <row r="551" spans="1:14" x14ac:dyDescent="0.35">
      <c r="A551" t="s">
        <v>4333</v>
      </c>
      <c r="B551" t="s">
        <v>789</v>
      </c>
      <c r="C551" t="s">
        <v>125</v>
      </c>
      <c r="D551" t="s">
        <v>57</v>
      </c>
      <c r="E551" t="s">
        <v>1991</v>
      </c>
      <c r="F551" s="35">
        <v>46199</v>
      </c>
      <c r="G551" s="47">
        <v>2688</v>
      </c>
      <c r="H551" s="37">
        <f t="shared" si="69"/>
        <v>5</v>
      </c>
      <c r="I551" s="37" t="s">
        <v>481</v>
      </c>
      <c r="J551" s="37" t="str">
        <f t="shared" si="70"/>
        <v>0-180 DAYS</v>
      </c>
      <c r="M551" s="158" t="s">
        <v>5248</v>
      </c>
      <c r="N551" s="158">
        <v>2688</v>
      </c>
    </row>
    <row r="552" spans="1:14" x14ac:dyDescent="0.35">
      <c r="A552" t="s">
        <v>1085</v>
      </c>
      <c r="B552" t="s">
        <v>790</v>
      </c>
      <c r="C552" t="s">
        <v>650</v>
      </c>
      <c r="D552" t="s">
        <v>507</v>
      </c>
      <c r="E552" t="s">
        <v>5189</v>
      </c>
      <c r="F552" s="35">
        <v>46199</v>
      </c>
      <c r="G552" s="47">
        <v>4384411.2</v>
      </c>
      <c r="H552" s="37">
        <f t="shared" si="69"/>
        <v>5</v>
      </c>
      <c r="I552" s="37" t="str">
        <f t="shared" ref="I552:I553" si="73">IF(H552&lt;121,"0-120 DAYS",IF(H552&lt;181,"121-180 DAYS","More than 180 Days"))</f>
        <v>0-120 DAYS</v>
      </c>
      <c r="J552" s="37" t="str">
        <f t="shared" si="70"/>
        <v>0-180 DAYS</v>
      </c>
      <c r="K552" t="s">
        <v>1730</v>
      </c>
      <c r="M552" s="158" t="s">
        <v>5248</v>
      </c>
      <c r="N552" s="158">
        <v>4384411.2</v>
      </c>
    </row>
    <row r="553" spans="1:14" x14ac:dyDescent="0.35">
      <c r="A553" t="s">
        <v>1085</v>
      </c>
      <c r="B553" t="s">
        <v>790</v>
      </c>
      <c r="C553" t="s">
        <v>650</v>
      </c>
      <c r="D553" t="s">
        <v>507</v>
      </c>
      <c r="E553" t="s">
        <v>5189</v>
      </c>
      <c r="F553" s="35">
        <v>46199</v>
      </c>
      <c r="G553" s="47">
        <v>1152513.648</v>
      </c>
      <c r="H553" s="37">
        <f t="shared" si="69"/>
        <v>5</v>
      </c>
      <c r="I553" s="37" t="str">
        <f t="shared" si="73"/>
        <v>0-120 DAYS</v>
      </c>
      <c r="J553" s="37" t="str">
        <f t="shared" si="70"/>
        <v>0-180 DAYS</v>
      </c>
      <c r="K553" t="s">
        <v>1730</v>
      </c>
      <c r="M553" s="158" t="s">
        <v>5248</v>
      </c>
      <c r="N553" s="158">
        <v>1152513.6499999999</v>
      </c>
    </row>
    <row r="554" spans="1:14" x14ac:dyDescent="0.35">
      <c r="A554" t="s">
        <v>4333</v>
      </c>
      <c r="B554" t="s">
        <v>789</v>
      </c>
      <c r="C554" t="s">
        <v>125</v>
      </c>
      <c r="D554" t="s">
        <v>57</v>
      </c>
      <c r="E554" t="s">
        <v>5190</v>
      </c>
      <c r="F554" s="35">
        <v>46203</v>
      </c>
      <c r="G554" s="47">
        <v>132004</v>
      </c>
      <c r="H554" s="37">
        <f t="shared" si="69"/>
        <v>1</v>
      </c>
      <c r="I554" s="37" t="s">
        <v>481</v>
      </c>
      <c r="J554" s="37" t="str">
        <f t="shared" si="70"/>
        <v>0-180 DAYS</v>
      </c>
      <c r="M554" s="158" t="s">
        <v>5195</v>
      </c>
      <c r="N554" s="158">
        <v>132004</v>
      </c>
    </row>
    <row r="555" spans="1:14" x14ac:dyDescent="0.35">
      <c r="A555" t="s">
        <v>4333</v>
      </c>
      <c r="B555" t="s">
        <v>789</v>
      </c>
      <c r="C555" t="s">
        <v>125</v>
      </c>
      <c r="D555" t="s">
        <v>57</v>
      </c>
      <c r="E555" t="s">
        <v>5190</v>
      </c>
      <c r="F555" s="35">
        <v>46203</v>
      </c>
      <c r="G555" s="47">
        <v>52011.6</v>
      </c>
      <c r="H555" s="37">
        <f t="shared" si="69"/>
        <v>1</v>
      </c>
      <c r="I555" s="37" t="s">
        <v>481</v>
      </c>
      <c r="J555" s="37" t="str">
        <f t="shared" si="70"/>
        <v>0-180 DAYS</v>
      </c>
      <c r="M555" s="158" t="s">
        <v>5195</v>
      </c>
      <c r="N555" s="158">
        <v>52011.6</v>
      </c>
    </row>
    <row r="556" spans="1:14" x14ac:dyDescent="0.35">
      <c r="A556" t="s">
        <v>4333</v>
      </c>
      <c r="B556" t="s">
        <v>789</v>
      </c>
      <c r="C556" t="s">
        <v>125</v>
      </c>
      <c r="D556" t="s">
        <v>57</v>
      </c>
      <c r="E556" t="s">
        <v>5191</v>
      </c>
      <c r="F556" s="35">
        <v>46203</v>
      </c>
      <c r="G556" s="47">
        <v>2448</v>
      </c>
      <c r="H556" s="37">
        <f t="shared" si="69"/>
        <v>1</v>
      </c>
      <c r="I556" s="37" t="s">
        <v>481</v>
      </c>
      <c r="J556" s="37" t="str">
        <f t="shared" si="70"/>
        <v>0-180 DAYS</v>
      </c>
      <c r="M556" s="158" t="s">
        <v>5195</v>
      </c>
      <c r="N556" s="158">
        <v>2448</v>
      </c>
    </row>
  </sheetData>
  <autoFilter ref="A3:N3" xr:uid="{406AC08E-0AB2-4596-88E1-ABCD5FD1F466}"/>
  <conditionalFormatting sqref="E3">
    <cfRule type="duplicateValues" dxfId="24" priority="1"/>
    <cfRule type="duplicateValues" dxfId="23" priority="2"/>
  </conditionalFormatting>
  <conditionalFormatting sqref="E4">
    <cfRule type="duplicateValues" dxfId="22" priority="3"/>
  </conditionalFormatting>
  <conditionalFormatting sqref="E4:E5">
    <cfRule type="duplicateValues" dxfId="21" priority="4"/>
    <cfRule type="duplicateValues" dxfId="20" priority="5"/>
  </conditionalFormatting>
  <conditionalFormatting sqref="E8:E9">
    <cfRule type="duplicateValues" dxfId="19" priority="6"/>
  </conditionalFormatting>
  <conditionalFormatting sqref="E8:E12">
    <cfRule type="duplicateValues" dxfId="18" priority="7"/>
    <cfRule type="duplicateValues" dxfId="17" priority="8"/>
  </conditionalFormatting>
  <dataValidations count="2">
    <dataValidation type="textLength" allowBlank="1" showInputMessage="1" showErrorMessage="1" error="GST Number, please update 15 characters" sqref="D4 D8:D9 D23:D28 D167:D168 D190:D191 D201 D210 D215 D224:D227 D238 D241 D244:D246 D232:D235 D58:D91 D170:D172 D163:D164 D130:D154 D94:D122" xr:uid="{861F8684-497B-4637-A9C1-A165A41BF95F}">
      <formula1>15</formula1>
      <formula2>15</formula2>
    </dataValidation>
    <dataValidation type="textLength" operator="lessThanOrEqual" allowBlank="1" showInputMessage="1" showErrorMessage="1" error="Invoice number cannot be greater 18 characters" sqref="E4 E8:E9" xr:uid="{B7546E45-F77D-42C1-AA74-42D9B0670394}">
      <formula1>18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22EE-B2DC-49B7-882A-354A7BF90AD4}">
  <sheetPr codeName="Sheet16">
    <tabColor theme="7"/>
  </sheetPr>
  <dimension ref="A3:F18"/>
  <sheetViews>
    <sheetView topLeftCell="A4" workbookViewId="0">
      <selection activeCell="B10" sqref="B10"/>
    </sheetView>
  </sheetViews>
  <sheetFormatPr defaultRowHeight="14.5" x14ac:dyDescent="0.35"/>
  <cols>
    <col min="1" max="1" width="32.1796875" bestFit="1" customWidth="1"/>
    <col min="2" max="2" width="15.26953125" bestFit="1" customWidth="1"/>
    <col min="3" max="3" width="17.81640625" bestFit="1" customWidth="1"/>
    <col min="4" max="4" width="12.1796875" bestFit="1" customWidth="1"/>
    <col min="5" max="6" width="12" bestFit="1" customWidth="1"/>
  </cols>
  <sheetData>
    <row r="3" spans="1:6" x14ac:dyDescent="0.35">
      <c r="A3" s="58" t="s">
        <v>1049</v>
      </c>
      <c r="B3" s="58" t="s">
        <v>1053</v>
      </c>
    </row>
    <row r="4" spans="1:6" x14ac:dyDescent="0.35">
      <c r="A4" s="58" t="s">
        <v>1050</v>
      </c>
      <c r="B4" t="s">
        <v>3062</v>
      </c>
      <c r="C4" t="s">
        <v>782</v>
      </c>
      <c r="D4" t="s">
        <v>1048</v>
      </c>
    </row>
    <row r="5" spans="1:6" x14ac:dyDescent="0.35">
      <c r="A5" s="59" t="s">
        <v>788</v>
      </c>
      <c r="B5" s="184">
        <v>85415466.298192501</v>
      </c>
      <c r="C5" s="184"/>
      <c r="D5" s="184">
        <v>85415466.298192501</v>
      </c>
      <c r="E5" s="184">
        <v>85415466.299999997</v>
      </c>
      <c r="F5" s="184">
        <v>0</v>
      </c>
    </row>
    <row r="6" spans="1:6" x14ac:dyDescent="0.35">
      <c r="A6" s="59" t="s">
        <v>790</v>
      </c>
      <c r="B6" s="184">
        <v>342933551.9309119</v>
      </c>
      <c r="C6" s="184">
        <v>54303238.319999993</v>
      </c>
      <c r="D6" s="184">
        <v>397236790.25091189</v>
      </c>
      <c r="E6" s="184">
        <v>342933551.93000001</v>
      </c>
      <c r="F6" s="184">
        <v>54303238.32</v>
      </c>
    </row>
    <row r="7" spans="1:6" x14ac:dyDescent="0.35">
      <c r="A7" s="59" t="s">
        <v>789</v>
      </c>
      <c r="B7" s="184">
        <v>80119672.399999976</v>
      </c>
      <c r="C7" s="184">
        <v>9692676.7899999972</v>
      </c>
      <c r="D7" s="184">
        <v>89812349.189999968</v>
      </c>
      <c r="E7" s="184">
        <v>80119672.400000006</v>
      </c>
      <c r="F7" s="184">
        <v>9692676.7899999991</v>
      </c>
    </row>
    <row r="8" spans="1:6" x14ac:dyDescent="0.35">
      <c r="A8" s="59" t="s">
        <v>1048</v>
      </c>
      <c r="B8" s="184">
        <v>508468690.62910438</v>
      </c>
      <c r="C8" s="184">
        <v>63995915.109999992</v>
      </c>
      <c r="D8" s="184">
        <v>572464605.73910439</v>
      </c>
    </row>
    <row r="13" spans="1:6" x14ac:dyDescent="0.35">
      <c r="A13" s="58" t="s">
        <v>3063</v>
      </c>
      <c r="B13" s="58" t="s">
        <v>1053</v>
      </c>
    </row>
    <row r="14" spans="1:6" x14ac:dyDescent="0.35">
      <c r="A14" s="58" t="s">
        <v>1050</v>
      </c>
      <c r="B14" t="s">
        <v>3062</v>
      </c>
      <c r="C14" t="s">
        <v>782</v>
      </c>
      <c r="D14" t="s">
        <v>1048</v>
      </c>
    </row>
    <row r="15" spans="1:6" x14ac:dyDescent="0.35">
      <c r="A15" s="59" t="s">
        <v>788</v>
      </c>
      <c r="B15">
        <v>2</v>
      </c>
      <c r="D15">
        <v>2</v>
      </c>
    </row>
    <row r="16" spans="1:6" x14ac:dyDescent="0.35">
      <c r="A16" s="59" t="s">
        <v>790</v>
      </c>
      <c r="B16">
        <v>238</v>
      </c>
      <c r="C16">
        <v>27</v>
      </c>
      <c r="D16">
        <v>265</v>
      </c>
    </row>
    <row r="17" spans="1:4" x14ac:dyDescent="0.35">
      <c r="A17" s="59" t="s">
        <v>789</v>
      </c>
      <c r="B17">
        <v>248</v>
      </c>
      <c r="C17">
        <v>11</v>
      </c>
      <c r="D17">
        <v>259</v>
      </c>
    </row>
    <row r="18" spans="1:4" x14ac:dyDescent="0.35">
      <c r="A18" s="59" t="s">
        <v>1048</v>
      </c>
      <c r="B18">
        <v>488</v>
      </c>
      <c r="C18">
        <v>38</v>
      </c>
      <c r="D18">
        <v>526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9989-FB05-42D0-A183-675FB42A7E38}">
  <sheetPr codeName="Sheet18"/>
  <dimension ref="A1:B38"/>
  <sheetViews>
    <sheetView workbookViewId="0">
      <selection activeCell="A3" sqref="A3:B8"/>
    </sheetView>
  </sheetViews>
  <sheetFormatPr defaultRowHeight="14.5" x14ac:dyDescent="0.35"/>
  <cols>
    <col min="1" max="1" width="48.54296875" bestFit="1" customWidth="1"/>
    <col min="2" max="2" width="18.26953125" bestFit="1" customWidth="1"/>
  </cols>
  <sheetData>
    <row r="1" spans="1:2" x14ac:dyDescent="0.35">
      <c r="A1" s="193" t="s">
        <v>1050</v>
      </c>
      <c r="B1" s="194" t="s">
        <v>2499</v>
      </c>
    </row>
    <row r="2" spans="1:2" x14ac:dyDescent="0.35">
      <c r="A2" s="59" t="s">
        <v>4794</v>
      </c>
      <c r="B2" s="66">
        <v>66817634.399999999</v>
      </c>
    </row>
    <row r="3" spans="1:2" x14ac:dyDescent="0.35">
      <c r="A3" s="59" t="s">
        <v>4755</v>
      </c>
      <c r="B3" s="66">
        <v>18071983</v>
      </c>
    </row>
    <row r="4" spans="1:2" x14ac:dyDescent="0.35">
      <c r="A4" s="59" t="s">
        <v>1095</v>
      </c>
      <c r="B4" s="184">
        <v>11091982.4</v>
      </c>
    </row>
    <row r="5" spans="1:2" x14ac:dyDescent="0.35">
      <c r="A5" s="59" t="s">
        <v>3910</v>
      </c>
      <c r="B5" s="184">
        <v>8645542</v>
      </c>
    </row>
    <row r="6" spans="1:2" x14ac:dyDescent="0.35">
      <c r="A6" s="59" t="s">
        <v>4842</v>
      </c>
      <c r="B6" s="66">
        <v>5339577.6000000006</v>
      </c>
    </row>
    <row r="7" spans="1:2" x14ac:dyDescent="0.35">
      <c r="A7" s="59" t="s">
        <v>2250</v>
      </c>
      <c r="B7" s="66">
        <v>4211991.0999999996</v>
      </c>
    </row>
    <row r="8" spans="1:2" x14ac:dyDescent="0.35">
      <c r="A8" s="59" t="s">
        <v>1403</v>
      </c>
      <c r="B8" s="184">
        <v>3212382.83</v>
      </c>
    </row>
    <row r="9" spans="1:2" x14ac:dyDescent="0.35">
      <c r="A9" s="59" t="s">
        <v>1078</v>
      </c>
      <c r="B9" s="66">
        <v>2812164</v>
      </c>
    </row>
    <row r="10" spans="1:2" x14ac:dyDescent="0.35">
      <c r="A10" s="59" t="s">
        <v>4790</v>
      </c>
      <c r="B10" s="66">
        <v>2298522</v>
      </c>
    </row>
    <row r="11" spans="1:2" x14ac:dyDescent="0.35">
      <c r="A11" s="59" t="s">
        <v>2859</v>
      </c>
      <c r="B11" s="66">
        <v>2244710.0003999998</v>
      </c>
    </row>
    <row r="12" spans="1:2" x14ac:dyDescent="0.35">
      <c r="A12" s="59" t="s">
        <v>3059</v>
      </c>
      <c r="B12" s="66">
        <v>2069133</v>
      </c>
    </row>
    <row r="13" spans="1:2" x14ac:dyDescent="0.35">
      <c r="A13" s="59" t="s">
        <v>1194</v>
      </c>
      <c r="B13" s="66">
        <v>1600416.4</v>
      </c>
    </row>
    <row r="14" spans="1:2" x14ac:dyDescent="0.35">
      <c r="A14" s="59" t="s">
        <v>1724</v>
      </c>
      <c r="B14" s="184">
        <v>1473678.8</v>
      </c>
    </row>
    <row r="15" spans="1:2" x14ac:dyDescent="0.35">
      <c r="A15" s="59" t="s">
        <v>4334</v>
      </c>
      <c r="B15" s="66">
        <v>1176259</v>
      </c>
    </row>
    <row r="16" spans="1:2" x14ac:dyDescent="0.35">
      <c r="A16" s="59" t="s">
        <v>1079</v>
      </c>
      <c r="B16" s="66">
        <v>613943.67000000004</v>
      </c>
    </row>
    <row r="17" spans="1:2" x14ac:dyDescent="0.35">
      <c r="A17" s="59" t="s">
        <v>4200</v>
      </c>
      <c r="B17" s="66">
        <v>448704.00000000006</v>
      </c>
    </row>
    <row r="18" spans="1:2" x14ac:dyDescent="0.35">
      <c r="A18" s="59" t="s">
        <v>1405</v>
      </c>
      <c r="B18" s="66">
        <v>315368</v>
      </c>
    </row>
    <row r="19" spans="1:2" x14ac:dyDescent="0.35">
      <c r="A19" s="59" t="s">
        <v>3782</v>
      </c>
      <c r="B19" s="66">
        <v>268976.27</v>
      </c>
    </row>
    <row r="20" spans="1:2" x14ac:dyDescent="0.35">
      <c r="A20" s="59" t="s">
        <v>4788</v>
      </c>
      <c r="B20" s="184">
        <v>263000.89</v>
      </c>
    </row>
    <row r="21" spans="1:2" x14ac:dyDescent="0.35">
      <c r="A21" s="59" t="s">
        <v>1096</v>
      </c>
      <c r="B21" s="66">
        <v>218237.98</v>
      </c>
    </row>
    <row r="22" spans="1:2" x14ac:dyDescent="0.35">
      <c r="A22" s="59" t="s">
        <v>1076</v>
      </c>
      <c r="B22" s="66">
        <v>201520.59999999998</v>
      </c>
    </row>
    <row r="23" spans="1:2" x14ac:dyDescent="0.35">
      <c r="A23" s="59" t="s">
        <v>4155</v>
      </c>
      <c r="B23" s="66">
        <v>136044</v>
      </c>
    </row>
    <row r="24" spans="1:2" x14ac:dyDescent="0.35">
      <c r="A24" s="59" t="s">
        <v>4839</v>
      </c>
      <c r="B24" s="66">
        <v>131393</v>
      </c>
    </row>
    <row r="25" spans="1:2" x14ac:dyDescent="0.35">
      <c r="A25" s="59" t="s">
        <v>3833</v>
      </c>
      <c r="B25" s="66">
        <v>109797.12</v>
      </c>
    </row>
    <row r="26" spans="1:2" x14ac:dyDescent="0.35">
      <c r="A26" s="59" t="s">
        <v>4154</v>
      </c>
      <c r="B26" s="66">
        <v>98975.25</v>
      </c>
    </row>
    <row r="27" spans="1:2" x14ac:dyDescent="0.35">
      <c r="A27" s="59" t="s">
        <v>4544</v>
      </c>
      <c r="B27" s="66">
        <v>62160</v>
      </c>
    </row>
    <row r="28" spans="1:2" x14ac:dyDescent="0.35">
      <c r="A28" s="59" t="s">
        <v>4789</v>
      </c>
      <c r="B28" s="184">
        <v>49605.599999999999</v>
      </c>
    </row>
    <row r="29" spans="1:2" x14ac:dyDescent="0.35">
      <c r="A29" s="59" t="s">
        <v>2858</v>
      </c>
      <c r="B29" s="66">
        <v>41654</v>
      </c>
    </row>
    <row r="30" spans="1:2" x14ac:dyDescent="0.35">
      <c r="A30" s="59" t="s">
        <v>3913</v>
      </c>
      <c r="B30" s="66">
        <v>29680</v>
      </c>
    </row>
    <row r="31" spans="1:2" x14ac:dyDescent="0.35">
      <c r="A31" s="59" t="s">
        <v>4545</v>
      </c>
      <c r="B31" s="66">
        <v>29395.58</v>
      </c>
    </row>
    <row r="32" spans="1:2" x14ac:dyDescent="0.35">
      <c r="A32" s="59" t="s">
        <v>3245</v>
      </c>
      <c r="B32" s="66">
        <v>14256</v>
      </c>
    </row>
    <row r="33" spans="1:2" x14ac:dyDescent="0.35">
      <c r="A33" s="59" t="s">
        <v>4336</v>
      </c>
      <c r="B33" s="66">
        <v>12980</v>
      </c>
    </row>
    <row r="34" spans="1:2" x14ac:dyDescent="0.35">
      <c r="A34" s="59" t="s">
        <v>4335</v>
      </c>
      <c r="B34" s="66">
        <v>12951</v>
      </c>
    </row>
    <row r="35" spans="1:2" x14ac:dyDescent="0.35">
      <c r="A35" s="59" t="s">
        <v>4753</v>
      </c>
      <c r="B35" s="66">
        <v>9784.32</v>
      </c>
    </row>
    <row r="36" spans="1:2" x14ac:dyDescent="0.35">
      <c r="A36" s="59" t="s">
        <v>3775</v>
      </c>
      <c r="B36" s="66">
        <v>2992.51</v>
      </c>
    </row>
    <row r="37" spans="1:2" x14ac:dyDescent="0.35">
      <c r="A37" s="59" t="s">
        <v>4754</v>
      </c>
      <c r="B37" s="66">
        <v>1534</v>
      </c>
    </row>
    <row r="38" spans="1:2" x14ac:dyDescent="0.35">
      <c r="A38" s="59" t="s">
        <v>1326</v>
      </c>
      <c r="B38" s="66">
        <v>484</v>
      </c>
    </row>
  </sheetData>
  <sortState xmlns:xlrd2="http://schemas.microsoft.com/office/spreadsheetml/2017/richdata2" ref="A2:B38">
    <sortCondition descending="1" ref="B2:B38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F907-BE6C-4E10-A5EF-C65C0C2EEC12}">
  <sheetPr codeName="Sheet19"/>
  <dimension ref="A1:L894"/>
  <sheetViews>
    <sheetView topLeftCell="A307" workbookViewId="0">
      <selection activeCell="B307" sqref="B307"/>
    </sheetView>
  </sheetViews>
  <sheetFormatPr defaultRowHeight="14.5" x14ac:dyDescent="0.35"/>
  <cols>
    <col min="1" max="1" width="16.453125" bestFit="1" customWidth="1"/>
    <col min="2" max="2" width="15.08984375" bestFit="1" customWidth="1"/>
    <col min="4" max="4" width="16.453125" bestFit="1" customWidth="1"/>
  </cols>
  <sheetData>
    <row r="1" spans="1:12" x14ac:dyDescent="0.35">
      <c r="A1" t="s">
        <v>5562</v>
      </c>
      <c r="B1" t="s">
        <v>5194</v>
      </c>
    </row>
    <row r="2" spans="1:12" x14ac:dyDescent="0.35">
      <c r="A2" s="37" t="s">
        <v>519</v>
      </c>
      <c r="B2" s="37" t="s">
        <v>519</v>
      </c>
      <c r="D2" t="str">
        <f t="shared" ref="D2:D65" si="0">_xlfn.XLOOKUP(A2,B:B,B:B)</f>
        <v>PIL1/TP/118/19-20</v>
      </c>
      <c r="E2" t="b">
        <f>A2=D2</f>
        <v>1</v>
      </c>
      <c r="L2" s="149"/>
    </row>
    <row r="3" spans="1:12" x14ac:dyDescent="0.35">
      <c r="A3" s="37" t="s">
        <v>521</v>
      </c>
      <c r="B3" s="37" t="s">
        <v>521</v>
      </c>
      <c r="D3" t="str">
        <f t="shared" si="0"/>
        <v>PIL2/E/225/19-20</v>
      </c>
      <c r="E3" t="b">
        <f t="shared" ref="E3:E66" si="1">A3=D3</f>
        <v>1</v>
      </c>
      <c r="L3" s="149"/>
    </row>
    <row r="4" spans="1:12" x14ac:dyDescent="0.35">
      <c r="A4" s="3" t="s">
        <v>1058</v>
      </c>
      <c r="B4" s="192">
        <v>46174</v>
      </c>
      <c r="D4" t="str">
        <f t="shared" si="0"/>
        <v>4/22-23</v>
      </c>
      <c r="E4" t="b">
        <f t="shared" si="1"/>
        <v>1</v>
      </c>
      <c r="L4" s="149"/>
    </row>
    <row r="5" spans="1:12" x14ac:dyDescent="0.35">
      <c r="A5" s="44" t="s">
        <v>1059</v>
      </c>
      <c r="B5" s="192">
        <v>46174</v>
      </c>
      <c r="D5" t="str">
        <f t="shared" si="0"/>
        <v>PIL2/D/6</v>
      </c>
      <c r="E5" t="b">
        <f t="shared" si="1"/>
        <v>1</v>
      </c>
      <c r="L5" s="149"/>
    </row>
    <row r="6" spans="1:12" x14ac:dyDescent="0.35">
      <c r="A6" s="44" t="s">
        <v>1192</v>
      </c>
      <c r="B6" s="3" t="s">
        <v>1058</v>
      </c>
      <c r="D6" t="str">
        <f t="shared" si="0"/>
        <v>PIL2/D/943</v>
      </c>
      <c r="E6" t="b">
        <f t="shared" si="1"/>
        <v>1</v>
      </c>
      <c r="L6" s="149"/>
    </row>
    <row r="7" spans="1:12" x14ac:dyDescent="0.35">
      <c r="A7" s="2" t="s">
        <v>40</v>
      </c>
      <c r="B7" s="44" t="s">
        <v>1059</v>
      </c>
      <c r="D7" t="str">
        <f t="shared" si="0"/>
        <v>PIL1/D/3487</v>
      </c>
      <c r="E7" t="b">
        <f t="shared" si="1"/>
        <v>1</v>
      </c>
      <c r="L7" s="149"/>
    </row>
    <row r="8" spans="1:12" x14ac:dyDescent="0.35">
      <c r="A8" s="2" t="s">
        <v>41</v>
      </c>
      <c r="B8" s="44" t="s">
        <v>1192</v>
      </c>
      <c r="D8" t="str">
        <f t="shared" si="0"/>
        <v>PIL1/D/3694</v>
      </c>
      <c r="E8" t="b">
        <f t="shared" si="1"/>
        <v>1</v>
      </c>
    </row>
    <row r="9" spans="1:12" x14ac:dyDescent="0.35">
      <c r="A9" s="44" t="s">
        <v>1610</v>
      </c>
      <c r="B9" s="2" t="s">
        <v>40</v>
      </c>
      <c r="D9" t="str">
        <f t="shared" si="0"/>
        <v>PIL2/D/146</v>
      </c>
      <c r="E9" t="b">
        <f t="shared" si="1"/>
        <v>1</v>
      </c>
    </row>
    <row r="10" spans="1:12" x14ac:dyDescent="0.35">
      <c r="A10" s="18" t="s">
        <v>315</v>
      </c>
      <c r="B10" s="2" t="s">
        <v>41</v>
      </c>
      <c r="D10" t="str">
        <f t="shared" si="0"/>
        <v>PIL1/D/1517</v>
      </c>
      <c r="E10" t="b">
        <f t="shared" si="1"/>
        <v>1</v>
      </c>
    </row>
    <row r="11" spans="1:12" x14ac:dyDescent="0.35">
      <c r="A11" s="18" t="s">
        <v>3882</v>
      </c>
      <c r="B11" s="44" t="s">
        <v>1610</v>
      </c>
      <c r="D11" t="str">
        <f t="shared" si="0"/>
        <v>PIL2/E/89/25-26</v>
      </c>
      <c r="E11" t="b">
        <f t="shared" si="1"/>
        <v>1</v>
      </c>
    </row>
    <row r="12" spans="1:12" x14ac:dyDescent="0.35">
      <c r="A12" s="18" t="s">
        <v>5192</v>
      </c>
      <c r="B12" s="18" t="s">
        <v>315</v>
      </c>
      <c r="D12" t="str">
        <f t="shared" si="0"/>
        <v>PIL1/HSS/2/26-27</v>
      </c>
      <c r="E12" t="b">
        <f t="shared" si="1"/>
        <v>1</v>
      </c>
    </row>
    <row r="13" spans="1:12" x14ac:dyDescent="0.35">
      <c r="A13" s="18" t="s">
        <v>3954</v>
      </c>
      <c r="B13" s="18" t="s">
        <v>3865</v>
      </c>
      <c r="D13" t="str">
        <f t="shared" si="0"/>
        <v>PIL2/D/311</v>
      </c>
      <c r="E13" t="b">
        <f t="shared" si="1"/>
        <v>1</v>
      </c>
    </row>
    <row r="14" spans="1:12" x14ac:dyDescent="0.35">
      <c r="A14" s="18" t="s">
        <v>4031</v>
      </c>
      <c r="B14" s="18" t="s">
        <v>3866</v>
      </c>
      <c r="D14" t="str">
        <f t="shared" si="0"/>
        <v>PIL2/E/184/25-26</v>
      </c>
      <c r="E14" t="b">
        <f t="shared" si="1"/>
        <v>1</v>
      </c>
    </row>
    <row r="15" spans="1:12" x14ac:dyDescent="0.35">
      <c r="A15" s="18" t="s">
        <v>4099</v>
      </c>
      <c r="B15" s="18" t="s">
        <v>3867</v>
      </c>
      <c r="D15" t="str">
        <f t="shared" si="0"/>
        <v>PIL1/E/660/25-26</v>
      </c>
      <c r="E15" t="b">
        <f t="shared" si="1"/>
        <v>1</v>
      </c>
    </row>
    <row r="16" spans="1:12" x14ac:dyDescent="0.35">
      <c r="A16" s="18" t="s">
        <v>4100</v>
      </c>
      <c r="B16" s="18" t="s">
        <v>3880</v>
      </c>
      <c r="D16" t="str">
        <f t="shared" si="0"/>
        <v>PIL1/E/661/25-26</v>
      </c>
      <c r="E16" t="b">
        <f t="shared" si="1"/>
        <v>1</v>
      </c>
    </row>
    <row r="17" spans="1:5" x14ac:dyDescent="0.35">
      <c r="A17" s="18" t="s">
        <v>4101</v>
      </c>
      <c r="B17" s="18" t="s">
        <v>3881</v>
      </c>
      <c r="D17" t="str">
        <f t="shared" si="0"/>
        <v>PIL1/E/662/25-26</v>
      </c>
      <c r="E17" t="b">
        <f t="shared" si="1"/>
        <v>1</v>
      </c>
    </row>
    <row r="18" spans="1:5" x14ac:dyDescent="0.35">
      <c r="A18" s="18" t="s">
        <v>4102</v>
      </c>
      <c r="B18" s="18" t="s">
        <v>3882</v>
      </c>
      <c r="D18" t="str">
        <f t="shared" si="0"/>
        <v>PIL1/E/663/25-26</v>
      </c>
      <c r="E18" t="b">
        <f t="shared" si="1"/>
        <v>1</v>
      </c>
    </row>
    <row r="19" spans="1:5" x14ac:dyDescent="0.35">
      <c r="A19" s="18" t="s">
        <v>4103</v>
      </c>
      <c r="B19" s="18" t="s">
        <v>5192</v>
      </c>
      <c r="D19" t="str">
        <f t="shared" si="0"/>
        <v>PIL1/E/664/25-26</v>
      </c>
      <c r="E19" t="b">
        <f t="shared" si="1"/>
        <v>1</v>
      </c>
    </row>
    <row r="20" spans="1:5" x14ac:dyDescent="0.35">
      <c r="A20" s="18" t="s">
        <v>4239</v>
      </c>
      <c r="B20" s="18" t="s">
        <v>3954</v>
      </c>
      <c r="D20" t="str">
        <f t="shared" si="0"/>
        <v>PIL1/E/741/25-26</v>
      </c>
      <c r="E20" t="b">
        <f t="shared" si="1"/>
        <v>1</v>
      </c>
    </row>
    <row r="21" spans="1:5" x14ac:dyDescent="0.35">
      <c r="A21" s="18" t="s">
        <v>4240</v>
      </c>
      <c r="B21" s="18" t="s">
        <v>4031</v>
      </c>
      <c r="D21" t="str">
        <f t="shared" si="0"/>
        <v>PIL1/E/742/25-26</v>
      </c>
      <c r="E21" t="b">
        <f t="shared" si="1"/>
        <v>1</v>
      </c>
    </row>
    <row r="22" spans="1:5" x14ac:dyDescent="0.35">
      <c r="A22" s="18" t="s">
        <v>4241</v>
      </c>
      <c r="B22" s="18" t="s">
        <v>4099</v>
      </c>
      <c r="D22" t="str">
        <f t="shared" si="0"/>
        <v>PIL1/E/743/25-26</v>
      </c>
      <c r="E22" t="b">
        <f t="shared" si="1"/>
        <v>1</v>
      </c>
    </row>
    <row r="23" spans="1:5" x14ac:dyDescent="0.35">
      <c r="A23" t="s">
        <v>4746</v>
      </c>
      <c r="B23" s="18" t="s">
        <v>4100</v>
      </c>
      <c r="D23" t="str">
        <f t="shared" si="0"/>
        <v>PIL1/HSS/20/25-26</v>
      </c>
      <c r="E23" t="b">
        <f t="shared" si="1"/>
        <v>1</v>
      </c>
    </row>
    <row r="24" spans="1:5" x14ac:dyDescent="0.35">
      <c r="A24" t="s">
        <v>4747</v>
      </c>
      <c r="B24" s="18" t="s">
        <v>4101</v>
      </c>
      <c r="D24" t="str">
        <f t="shared" si="0"/>
        <v>PIL1/HSS/21/25-26</v>
      </c>
      <c r="E24" t="b">
        <f t="shared" si="1"/>
        <v>1</v>
      </c>
    </row>
    <row r="25" spans="1:5" x14ac:dyDescent="0.35">
      <c r="A25" t="s">
        <v>4748</v>
      </c>
      <c r="B25" s="18" t="s">
        <v>4102</v>
      </c>
      <c r="D25" t="str">
        <f t="shared" si="0"/>
        <v>PIL2/D/719</v>
      </c>
      <c r="E25" t="b">
        <f t="shared" si="1"/>
        <v>1</v>
      </c>
    </row>
    <row r="26" spans="1:5" x14ac:dyDescent="0.35">
      <c r="A26" t="s">
        <v>4749</v>
      </c>
      <c r="B26" s="18" t="s">
        <v>4103</v>
      </c>
      <c r="D26" t="str">
        <f t="shared" si="0"/>
        <v>PIL2/D/744</v>
      </c>
      <c r="E26" t="b">
        <f t="shared" si="1"/>
        <v>1</v>
      </c>
    </row>
    <row r="27" spans="1:5" x14ac:dyDescent="0.35">
      <c r="A27" t="s">
        <v>4743</v>
      </c>
      <c r="B27" s="18" t="s">
        <v>4239</v>
      </c>
      <c r="D27" t="str">
        <f t="shared" si="0"/>
        <v>PIL1/E/1186/25-26</v>
      </c>
      <c r="E27" t="b">
        <f t="shared" si="1"/>
        <v>1</v>
      </c>
    </row>
    <row r="28" spans="1:5" x14ac:dyDescent="0.35">
      <c r="A28" s="18" t="s">
        <v>4767</v>
      </c>
      <c r="B28" s="18" t="s">
        <v>4240</v>
      </c>
      <c r="D28" t="str">
        <f t="shared" si="0"/>
        <v>PIL2/E/401/25-26</v>
      </c>
      <c r="E28" t="b">
        <f t="shared" si="1"/>
        <v>1</v>
      </c>
    </row>
    <row r="29" spans="1:5" x14ac:dyDescent="0.35">
      <c r="A29" s="18" t="s">
        <v>4768</v>
      </c>
      <c r="B29" s="18" t="s">
        <v>4241</v>
      </c>
      <c r="D29" t="str">
        <f t="shared" si="0"/>
        <v>PIL2/E/407/25-26</v>
      </c>
      <c r="E29" t="b">
        <f t="shared" si="1"/>
        <v>1</v>
      </c>
    </row>
    <row r="30" spans="1:5" x14ac:dyDescent="0.35">
      <c r="A30" s="18" t="s">
        <v>4769</v>
      </c>
      <c r="B30" t="s">
        <v>4746</v>
      </c>
      <c r="D30" t="str">
        <f t="shared" si="0"/>
        <v>PIL2/E/408/25-26</v>
      </c>
      <c r="E30" t="b">
        <f t="shared" si="1"/>
        <v>1</v>
      </c>
    </row>
    <row r="31" spans="1:5" x14ac:dyDescent="0.35">
      <c r="A31" s="18" t="s">
        <v>4770</v>
      </c>
      <c r="B31" t="s">
        <v>4747</v>
      </c>
      <c r="D31" t="str">
        <f t="shared" si="0"/>
        <v>PIL2/E/409/25-26</v>
      </c>
      <c r="E31" t="b">
        <f t="shared" si="1"/>
        <v>1</v>
      </c>
    </row>
    <row r="32" spans="1:5" x14ac:dyDescent="0.35">
      <c r="A32" s="18" t="s">
        <v>4771</v>
      </c>
      <c r="B32" t="s">
        <v>4748</v>
      </c>
      <c r="D32" t="str">
        <f t="shared" si="0"/>
        <v>PIL2/E/410/25-26</v>
      </c>
      <c r="E32" t="b">
        <f t="shared" si="1"/>
        <v>1</v>
      </c>
    </row>
    <row r="33" spans="1:5" x14ac:dyDescent="0.35">
      <c r="A33" s="18" t="s">
        <v>4772</v>
      </c>
      <c r="B33" t="s">
        <v>4749</v>
      </c>
      <c r="D33" t="str">
        <f t="shared" si="0"/>
        <v>PIL2/E/411/25-26</v>
      </c>
      <c r="E33" t="b">
        <f t="shared" si="1"/>
        <v>1</v>
      </c>
    </row>
    <row r="34" spans="1:5" x14ac:dyDescent="0.35">
      <c r="A34" s="18" t="s">
        <v>4774</v>
      </c>
      <c r="B34" t="s">
        <v>4743</v>
      </c>
      <c r="D34" t="str">
        <f t="shared" si="0"/>
        <v>PIL2/E/416/25-26</v>
      </c>
      <c r="E34" t="b">
        <f t="shared" si="1"/>
        <v>1</v>
      </c>
    </row>
    <row r="35" spans="1:5" x14ac:dyDescent="0.35">
      <c r="A35" s="18" t="s">
        <v>4775</v>
      </c>
      <c r="B35" s="18" t="s">
        <v>4764</v>
      </c>
      <c r="D35" t="str">
        <f t="shared" si="0"/>
        <v>PIL2/E/424/25-26</v>
      </c>
      <c r="E35" t="b">
        <f t="shared" si="1"/>
        <v>1</v>
      </c>
    </row>
    <row r="36" spans="1:5" x14ac:dyDescent="0.35">
      <c r="A36" s="18" t="s">
        <v>4776</v>
      </c>
      <c r="B36" s="18" t="s">
        <v>1218</v>
      </c>
      <c r="D36" t="str">
        <f t="shared" si="0"/>
        <v>PIL2/E/425/25-26</v>
      </c>
      <c r="E36" t="b">
        <f t="shared" si="1"/>
        <v>1</v>
      </c>
    </row>
    <row r="37" spans="1:5" x14ac:dyDescent="0.35">
      <c r="A37" s="18" t="s">
        <v>4777</v>
      </c>
      <c r="B37" s="18" t="s">
        <v>1273</v>
      </c>
      <c r="D37" t="str">
        <f t="shared" si="0"/>
        <v>PIL2/E/426/25-26</v>
      </c>
      <c r="E37" t="b">
        <f t="shared" si="1"/>
        <v>1</v>
      </c>
    </row>
    <row r="38" spans="1:5" x14ac:dyDescent="0.35">
      <c r="A38" s="18" t="s">
        <v>4785</v>
      </c>
      <c r="B38" s="18" t="s">
        <v>4765</v>
      </c>
      <c r="D38" t="str">
        <f t="shared" si="0"/>
        <v>PIL/25-26/HSS/23</v>
      </c>
      <c r="E38" t="b">
        <f t="shared" si="1"/>
        <v>1</v>
      </c>
    </row>
    <row r="39" spans="1:5" x14ac:dyDescent="0.35">
      <c r="A39" s="18" t="s">
        <v>4786</v>
      </c>
      <c r="B39" s="18" t="s">
        <v>4766</v>
      </c>
      <c r="D39" t="str">
        <f t="shared" si="0"/>
        <v>PIL2/D/802</v>
      </c>
      <c r="E39" t="b">
        <f t="shared" si="1"/>
        <v>1</v>
      </c>
    </row>
    <row r="40" spans="1:5" x14ac:dyDescent="0.35">
      <c r="A40" s="18" t="s">
        <v>2962</v>
      </c>
      <c r="B40" s="18" t="s">
        <v>4767</v>
      </c>
      <c r="D40" t="str">
        <f t="shared" si="0"/>
        <v>PIL2/D/867</v>
      </c>
      <c r="E40" t="b">
        <f t="shared" si="1"/>
        <v>1</v>
      </c>
    </row>
    <row r="41" spans="1:5" x14ac:dyDescent="0.35">
      <c r="A41" s="18" t="s">
        <v>4811</v>
      </c>
      <c r="B41" s="18" t="s">
        <v>4768</v>
      </c>
      <c r="D41" t="str">
        <f t="shared" si="0"/>
        <v>PIL1/E/1438/25-26</v>
      </c>
      <c r="E41" t="b">
        <f t="shared" si="1"/>
        <v>1</v>
      </c>
    </row>
    <row r="42" spans="1:5" x14ac:dyDescent="0.35">
      <c r="A42" s="18" t="s">
        <v>4812</v>
      </c>
      <c r="B42" s="18" t="s">
        <v>4769</v>
      </c>
      <c r="D42" t="str">
        <f t="shared" si="0"/>
        <v>PIL1/E/1439/25-26</v>
      </c>
      <c r="E42" t="b">
        <f t="shared" si="1"/>
        <v>1</v>
      </c>
    </row>
    <row r="43" spans="1:5" x14ac:dyDescent="0.35">
      <c r="A43" s="18" t="s">
        <v>4813</v>
      </c>
      <c r="B43" s="18" t="s">
        <v>4770</v>
      </c>
      <c r="D43" t="str">
        <f t="shared" si="0"/>
        <v>PIL1/E/1440/25-26</v>
      </c>
      <c r="E43" t="b">
        <f t="shared" si="1"/>
        <v>1</v>
      </c>
    </row>
    <row r="44" spans="1:5" x14ac:dyDescent="0.35">
      <c r="A44" s="18" t="s">
        <v>4814</v>
      </c>
      <c r="B44" s="18" t="s">
        <v>4771</v>
      </c>
      <c r="D44" t="str">
        <f t="shared" si="0"/>
        <v>PIL1/E/1441/25-26</v>
      </c>
      <c r="E44" t="b">
        <f t="shared" si="1"/>
        <v>1</v>
      </c>
    </row>
    <row r="45" spans="1:5" x14ac:dyDescent="0.35">
      <c r="A45" s="18" t="s">
        <v>4816</v>
      </c>
      <c r="B45" s="18" t="s">
        <v>4772</v>
      </c>
      <c r="D45" t="str">
        <f t="shared" si="0"/>
        <v>PIL1/E/1476/25-26</v>
      </c>
      <c r="E45" t="b">
        <f t="shared" si="1"/>
        <v>1</v>
      </c>
    </row>
    <row r="46" spans="1:5" x14ac:dyDescent="0.35">
      <c r="A46" s="18" t="s">
        <v>4817</v>
      </c>
      <c r="B46" s="18" t="s">
        <v>4773</v>
      </c>
      <c r="D46" t="str">
        <f t="shared" si="0"/>
        <v>PIL1/E/1477/25-26</v>
      </c>
      <c r="E46" t="b">
        <f t="shared" si="1"/>
        <v>1</v>
      </c>
    </row>
    <row r="47" spans="1:5" x14ac:dyDescent="0.35">
      <c r="A47" s="18" t="s">
        <v>4818</v>
      </c>
      <c r="B47" s="18" t="s">
        <v>4774</v>
      </c>
      <c r="D47" t="str">
        <f t="shared" si="0"/>
        <v>PIL1/E/1478/25-26</v>
      </c>
      <c r="E47" t="b">
        <f t="shared" si="1"/>
        <v>1</v>
      </c>
    </row>
    <row r="48" spans="1:5" x14ac:dyDescent="0.35">
      <c r="A48" s="18" t="s">
        <v>4819</v>
      </c>
      <c r="B48" s="18" t="s">
        <v>4775</v>
      </c>
      <c r="D48" t="str">
        <f t="shared" si="0"/>
        <v>PIL1/E/1479/25-26</v>
      </c>
      <c r="E48" t="b">
        <f t="shared" si="1"/>
        <v>1</v>
      </c>
    </row>
    <row r="49" spans="1:5" x14ac:dyDescent="0.35">
      <c r="A49" s="18" t="s">
        <v>4820</v>
      </c>
      <c r="B49" s="18" t="s">
        <v>4776</v>
      </c>
      <c r="D49" t="str">
        <f t="shared" si="0"/>
        <v>PIL1/E/1480/25-26</v>
      </c>
      <c r="E49" t="b">
        <f t="shared" si="1"/>
        <v>1</v>
      </c>
    </row>
    <row r="50" spans="1:5" x14ac:dyDescent="0.35">
      <c r="A50" s="18" t="s">
        <v>4822</v>
      </c>
      <c r="B50" s="18" t="s">
        <v>4777</v>
      </c>
      <c r="D50" t="str">
        <f t="shared" si="0"/>
        <v>PIL2/E/429/25-26</v>
      </c>
      <c r="E50" t="b">
        <f t="shared" si="1"/>
        <v>1</v>
      </c>
    </row>
    <row r="51" spans="1:5" x14ac:dyDescent="0.35">
      <c r="A51" s="18" t="s">
        <v>4823</v>
      </c>
      <c r="B51" s="18" t="s">
        <v>4785</v>
      </c>
      <c r="D51" t="str">
        <f t="shared" si="0"/>
        <v>PIL2/E/430/25-26</v>
      </c>
      <c r="E51" t="b">
        <f t="shared" si="1"/>
        <v>1</v>
      </c>
    </row>
    <row r="52" spans="1:5" x14ac:dyDescent="0.35">
      <c r="A52" s="18" t="s">
        <v>4824</v>
      </c>
      <c r="B52" s="18" t="s">
        <v>4786</v>
      </c>
      <c r="D52" t="str">
        <f t="shared" si="0"/>
        <v>PIL2/E/432/25-26</v>
      </c>
      <c r="E52" t="b">
        <f t="shared" si="1"/>
        <v>1</v>
      </c>
    </row>
    <row r="53" spans="1:5" x14ac:dyDescent="0.35">
      <c r="A53" s="18" t="s">
        <v>4825</v>
      </c>
      <c r="B53" s="18" t="s">
        <v>4787</v>
      </c>
      <c r="D53" t="str">
        <f t="shared" si="0"/>
        <v>PIL2/E/433/25-26</v>
      </c>
      <c r="E53" t="b">
        <f t="shared" si="1"/>
        <v>1</v>
      </c>
    </row>
    <row r="54" spans="1:5" x14ac:dyDescent="0.35">
      <c r="A54" s="18" t="s">
        <v>4826</v>
      </c>
      <c r="B54" s="18" t="s">
        <v>55</v>
      </c>
      <c r="D54" t="str">
        <f t="shared" si="0"/>
        <v>PIL2/E/434/25-26</v>
      </c>
      <c r="E54" t="b">
        <f t="shared" si="1"/>
        <v>1</v>
      </c>
    </row>
    <row r="55" spans="1:5" x14ac:dyDescent="0.35">
      <c r="A55" s="18" t="s">
        <v>4827</v>
      </c>
      <c r="B55" s="18" t="s">
        <v>2962</v>
      </c>
      <c r="D55" t="str">
        <f t="shared" si="0"/>
        <v>PIL2/E/435/25-26</v>
      </c>
      <c r="E55" t="b">
        <f t="shared" si="1"/>
        <v>1</v>
      </c>
    </row>
    <row r="56" spans="1:5" x14ac:dyDescent="0.35">
      <c r="A56" s="18" t="s">
        <v>4830</v>
      </c>
      <c r="B56" s="18" t="s">
        <v>4806</v>
      </c>
      <c r="D56" t="str">
        <f t="shared" si="0"/>
        <v>PIL2/E/440/25-26</v>
      </c>
      <c r="E56" t="b">
        <f t="shared" si="1"/>
        <v>1</v>
      </c>
    </row>
    <row r="57" spans="1:5" x14ac:dyDescent="0.35">
      <c r="A57" s="18" t="s">
        <v>4831</v>
      </c>
      <c r="B57" s="18" t="s">
        <v>4807</v>
      </c>
      <c r="D57" t="str">
        <f t="shared" si="0"/>
        <v>PIL2/E/441/25-26</v>
      </c>
      <c r="E57" t="b">
        <f t="shared" si="1"/>
        <v>1</v>
      </c>
    </row>
    <row r="58" spans="1:5" x14ac:dyDescent="0.35">
      <c r="A58" s="18" t="s">
        <v>4833</v>
      </c>
      <c r="B58" s="18" t="s">
        <v>4808</v>
      </c>
      <c r="D58" t="str">
        <f t="shared" si="0"/>
        <v>PIL2/E/446/25-26</v>
      </c>
      <c r="E58" t="b">
        <f t="shared" si="1"/>
        <v>1</v>
      </c>
    </row>
    <row r="59" spans="1:5" x14ac:dyDescent="0.35">
      <c r="A59" s="18" t="s">
        <v>4834</v>
      </c>
      <c r="B59" s="18" t="s">
        <v>4809</v>
      </c>
      <c r="D59" t="str">
        <f t="shared" si="0"/>
        <v>PIL2/E/447/25-26</v>
      </c>
      <c r="E59" t="b">
        <f t="shared" si="1"/>
        <v>1</v>
      </c>
    </row>
    <row r="60" spans="1:5" x14ac:dyDescent="0.35">
      <c r="A60" s="18" t="s">
        <v>4835</v>
      </c>
      <c r="B60" s="18" t="s">
        <v>4810</v>
      </c>
      <c r="D60" t="str">
        <f t="shared" si="0"/>
        <v>PIL2/E/448/25-26</v>
      </c>
      <c r="E60" t="b">
        <f t="shared" si="1"/>
        <v>1</v>
      </c>
    </row>
    <row r="61" spans="1:5" x14ac:dyDescent="0.35">
      <c r="A61" s="18" t="s">
        <v>4837</v>
      </c>
      <c r="B61" s="18" t="s">
        <v>4811</v>
      </c>
      <c r="D61" t="str">
        <f t="shared" si="0"/>
        <v>PIL2/D/937</v>
      </c>
      <c r="E61" t="b">
        <f t="shared" si="1"/>
        <v>1</v>
      </c>
    </row>
    <row r="62" spans="1:5" x14ac:dyDescent="0.35">
      <c r="A62" s="18" t="s">
        <v>3370</v>
      </c>
      <c r="B62" s="18" t="s">
        <v>4812</v>
      </c>
      <c r="D62" t="str">
        <f t="shared" si="0"/>
        <v>PIL2/D/945</v>
      </c>
      <c r="E62" t="b">
        <f t="shared" si="1"/>
        <v>1</v>
      </c>
    </row>
    <row r="63" spans="1:5" x14ac:dyDescent="0.35">
      <c r="A63" s="18" t="s">
        <v>4861</v>
      </c>
      <c r="B63" s="18" t="s">
        <v>4813</v>
      </c>
      <c r="D63" t="str">
        <f t="shared" si="0"/>
        <v>PIL1/E/1560/25-26</v>
      </c>
      <c r="E63" t="b">
        <f t="shared" si="1"/>
        <v>1</v>
      </c>
    </row>
    <row r="64" spans="1:5" x14ac:dyDescent="0.35">
      <c r="A64" s="18" t="s">
        <v>4862</v>
      </c>
      <c r="B64" s="18" t="s">
        <v>4814</v>
      </c>
      <c r="D64" t="str">
        <f t="shared" si="0"/>
        <v>PIL1/E/1561/25-26</v>
      </c>
      <c r="E64" t="b">
        <f t="shared" si="1"/>
        <v>1</v>
      </c>
    </row>
    <row r="65" spans="1:5" x14ac:dyDescent="0.35">
      <c r="A65" s="18" t="s">
        <v>4863</v>
      </c>
      <c r="B65" s="18" t="s">
        <v>2292</v>
      </c>
      <c r="D65" t="str">
        <f t="shared" si="0"/>
        <v>PIL1/E/1562/25-26</v>
      </c>
      <c r="E65" t="b">
        <f t="shared" si="1"/>
        <v>1</v>
      </c>
    </row>
    <row r="66" spans="1:5" x14ac:dyDescent="0.35">
      <c r="A66" s="18" t="s">
        <v>4864</v>
      </c>
      <c r="B66" s="18" t="s">
        <v>4815</v>
      </c>
      <c r="D66" t="str">
        <f t="shared" ref="D66:D129" si="2">_xlfn.XLOOKUP(A66,B:B,B:B)</f>
        <v>PIL1/E/1563/25-26</v>
      </c>
      <c r="E66" t="b">
        <f t="shared" si="1"/>
        <v>1</v>
      </c>
    </row>
    <row r="67" spans="1:5" x14ac:dyDescent="0.35">
      <c r="A67" s="18" t="s">
        <v>4866</v>
      </c>
      <c r="B67" s="18" t="s">
        <v>2437</v>
      </c>
      <c r="D67" t="str">
        <f t="shared" si="2"/>
        <v>PIL1/E/1590/25-26</v>
      </c>
      <c r="E67" t="b">
        <f t="shared" ref="E67:E130" si="3">A67=D67</f>
        <v>1</v>
      </c>
    </row>
    <row r="68" spans="1:5" x14ac:dyDescent="0.35">
      <c r="A68" s="18" t="s">
        <v>4867</v>
      </c>
      <c r="B68" s="18" t="s">
        <v>2442</v>
      </c>
      <c r="D68" t="str">
        <f t="shared" si="2"/>
        <v>PIL1/E/1593/25-26</v>
      </c>
      <c r="E68" t="b">
        <f t="shared" si="3"/>
        <v>1</v>
      </c>
    </row>
    <row r="69" spans="1:5" x14ac:dyDescent="0.35">
      <c r="A69" s="18" t="s">
        <v>629</v>
      </c>
      <c r="B69" s="18" t="s">
        <v>4816</v>
      </c>
      <c r="D69" t="str">
        <f t="shared" si="2"/>
        <v>PIL1/TP/010</v>
      </c>
      <c r="E69" t="b">
        <f t="shared" si="3"/>
        <v>1</v>
      </c>
    </row>
    <row r="70" spans="1:5" x14ac:dyDescent="0.35">
      <c r="A70" s="18" t="s">
        <v>4869</v>
      </c>
      <c r="B70" s="18" t="s">
        <v>4817</v>
      </c>
      <c r="D70" t="str">
        <f t="shared" si="2"/>
        <v>PIL1/E/1628/25-26</v>
      </c>
      <c r="E70" t="b">
        <f t="shared" si="3"/>
        <v>1</v>
      </c>
    </row>
    <row r="71" spans="1:5" x14ac:dyDescent="0.35">
      <c r="A71" s="18" t="s">
        <v>4870</v>
      </c>
      <c r="B71" s="18" t="s">
        <v>4818</v>
      </c>
      <c r="D71" t="str">
        <f t="shared" si="2"/>
        <v>PIL1/E/1640/25-26</v>
      </c>
      <c r="E71" t="b">
        <f t="shared" si="3"/>
        <v>1</v>
      </c>
    </row>
    <row r="72" spans="1:5" x14ac:dyDescent="0.35">
      <c r="A72" s="18" t="s">
        <v>4871</v>
      </c>
      <c r="B72" s="18" t="s">
        <v>4819</v>
      </c>
      <c r="D72" t="str">
        <f t="shared" si="2"/>
        <v>PIL1/E/1645/25-26</v>
      </c>
      <c r="E72" t="b">
        <f t="shared" si="3"/>
        <v>1</v>
      </c>
    </row>
    <row r="73" spans="1:5" x14ac:dyDescent="0.35">
      <c r="A73" s="18" t="s">
        <v>4876</v>
      </c>
      <c r="B73" s="18" t="s">
        <v>4820</v>
      </c>
      <c r="D73" t="str">
        <f t="shared" si="2"/>
        <v>PIL2/E/468/25-26</v>
      </c>
      <c r="E73" t="b">
        <f t="shared" si="3"/>
        <v>1</v>
      </c>
    </row>
    <row r="74" spans="1:5" x14ac:dyDescent="0.35">
      <c r="A74" s="18" t="s">
        <v>4877</v>
      </c>
      <c r="B74" s="18" t="s">
        <v>4821</v>
      </c>
      <c r="D74" t="str">
        <f t="shared" si="2"/>
        <v>PIL2/E/470/25-26</v>
      </c>
      <c r="E74" t="b">
        <f t="shared" si="3"/>
        <v>1</v>
      </c>
    </row>
    <row r="75" spans="1:5" x14ac:dyDescent="0.35">
      <c r="A75" s="18" t="s">
        <v>4878</v>
      </c>
      <c r="B75" s="18" t="s">
        <v>4822</v>
      </c>
      <c r="D75" t="str">
        <f t="shared" si="2"/>
        <v>PIL2/E/471/25-26</v>
      </c>
      <c r="E75" t="b">
        <f t="shared" si="3"/>
        <v>1</v>
      </c>
    </row>
    <row r="76" spans="1:5" x14ac:dyDescent="0.35">
      <c r="A76" s="18" t="s">
        <v>4879</v>
      </c>
      <c r="B76" s="18" t="s">
        <v>4823</v>
      </c>
      <c r="D76" t="str">
        <f t="shared" si="2"/>
        <v>PIL2/E/472/25-26</v>
      </c>
      <c r="E76" t="b">
        <f t="shared" si="3"/>
        <v>1</v>
      </c>
    </row>
    <row r="77" spans="1:5" x14ac:dyDescent="0.35">
      <c r="A77" s="18" t="s">
        <v>4880</v>
      </c>
      <c r="B77" s="18" t="s">
        <v>4824</v>
      </c>
      <c r="D77" t="str">
        <f t="shared" si="2"/>
        <v>PIL2/E/476/25-26</v>
      </c>
      <c r="E77" t="b">
        <f t="shared" si="3"/>
        <v>1</v>
      </c>
    </row>
    <row r="78" spans="1:5" x14ac:dyDescent="0.35">
      <c r="A78" s="18" t="s">
        <v>4888</v>
      </c>
      <c r="B78" s="18" t="s">
        <v>4825</v>
      </c>
      <c r="D78" t="str">
        <f t="shared" si="2"/>
        <v>PIL1/D/3734</v>
      </c>
      <c r="E78" t="b">
        <f t="shared" si="3"/>
        <v>1</v>
      </c>
    </row>
    <row r="79" spans="1:5" x14ac:dyDescent="0.35">
      <c r="A79" s="18" t="s">
        <v>4889</v>
      </c>
      <c r="B79" s="18" t="s">
        <v>4826</v>
      </c>
      <c r="D79" t="str">
        <f t="shared" si="2"/>
        <v>PIL1/D/3742</v>
      </c>
      <c r="E79" t="b">
        <f t="shared" si="3"/>
        <v>1</v>
      </c>
    </row>
    <row r="80" spans="1:5" x14ac:dyDescent="0.35">
      <c r="A80" s="18" t="s">
        <v>4890</v>
      </c>
      <c r="B80" s="18" t="s">
        <v>4827</v>
      </c>
      <c r="D80" t="str">
        <f t="shared" si="2"/>
        <v>PIL1/D/3791</v>
      </c>
      <c r="E80" t="b">
        <f t="shared" si="3"/>
        <v>1</v>
      </c>
    </row>
    <row r="81" spans="1:5" x14ac:dyDescent="0.35">
      <c r="A81" s="18" t="s">
        <v>4891</v>
      </c>
      <c r="B81" s="18" t="s">
        <v>4828</v>
      </c>
      <c r="D81" t="str">
        <f t="shared" si="2"/>
        <v>PIL2/D/999</v>
      </c>
      <c r="E81" t="b">
        <f t="shared" si="3"/>
        <v>1</v>
      </c>
    </row>
    <row r="82" spans="1:5" x14ac:dyDescent="0.35">
      <c r="A82" s="18" t="s">
        <v>4892</v>
      </c>
      <c r="B82" s="18" t="s">
        <v>4829</v>
      </c>
      <c r="D82" t="str">
        <f t="shared" si="2"/>
        <v>PIL2/D/1019</v>
      </c>
      <c r="E82" t="b">
        <f t="shared" si="3"/>
        <v>1</v>
      </c>
    </row>
    <row r="83" spans="1:5" x14ac:dyDescent="0.35">
      <c r="A83" s="18" t="s">
        <v>4923</v>
      </c>
      <c r="B83" s="18" t="s">
        <v>4830</v>
      </c>
      <c r="D83" t="str">
        <f t="shared" si="2"/>
        <v>PIL1/E/91/26-27</v>
      </c>
      <c r="E83" t="b">
        <f t="shared" si="3"/>
        <v>1</v>
      </c>
    </row>
    <row r="84" spans="1:5" x14ac:dyDescent="0.35">
      <c r="A84" s="18" t="s">
        <v>4926</v>
      </c>
      <c r="B84" s="18" t="s">
        <v>4831</v>
      </c>
      <c r="D84" t="str">
        <f t="shared" si="2"/>
        <v>PIL1/E/109/26-27</v>
      </c>
      <c r="E84" t="b">
        <f t="shared" si="3"/>
        <v>1</v>
      </c>
    </row>
    <row r="85" spans="1:5" x14ac:dyDescent="0.35">
      <c r="A85" s="18" t="s">
        <v>4927</v>
      </c>
      <c r="B85" s="18" t="s">
        <v>4832</v>
      </c>
      <c r="D85" t="str">
        <f t="shared" si="2"/>
        <v>PIL1/E/114/26-27</v>
      </c>
      <c r="E85" t="b">
        <f t="shared" si="3"/>
        <v>1</v>
      </c>
    </row>
    <row r="86" spans="1:5" x14ac:dyDescent="0.35">
      <c r="A86" s="18" t="s">
        <v>4934</v>
      </c>
      <c r="B86" s="18" t="s">
        <v>4833</v>
      </c>
      <c r="D86" t="str">
        <f t="shared" si="2"/>
        <v>PIL2/E/12/26-27</v>
      </c>
      <c r="E86" t="b">
        <f t="shared" si="3"/>
        <v>1</v>
      </c>
    </row>
    <row r="87" spans="1:5" x14ac:dyDescent="0.35">
      <c r="A87" s="18" t="s">
        <v>4939</v>
      </c>
      <c r="B87" s="18" t="s">
        <v>4834</v>
      </c>
      <c r="D87" t="str">
        <f t="shared" si="2"/>
        <v>PIL2/E/16/26-27</v>
      </c>
      <c r="E87" t="b">
        <f t="shared" si="3"/>
        <v>1</v>
      </c>
    </row>
    <row r="88" spans="1:5" x14ac:dyDescent="0.35">
      <c r="A88" s="18" t="s">
        <v>4940</v>
      </c>
      <c r="B88" s="18" t="s">
        <v>4835</v>
      </c>
      <c r="D88" t="str">
        <f t="shared" si="2"/>
        <v>PIL2/E/17/26-27</v>
      </c>
      <c r="E88" t="b">
        <f t="shared" si="3"/>
        <v>1</v>
      </c>
    </row>
    <row r="89" spans="1:5" x14ac:dyDescent="0.35">
      <c r="A89" s="18" t="s">
        <v>4941</v>
      </c>
      <c r="B89" s="18" t="s">
        <v>4836</v>
      </c>
      <c r="D89" t="str">
        <f t="shared" si="2"/>
        <v>PIL2/E/18/26-27</v>
      </c>
      <c r="E89" t="b">
        <f t="shared" si="3"/>
        <v>1</v>
      </c>
    </row>
    <row r="90" spans="1:5" x14ac:dyDescent="0.35">
      <c r="A90" s="18" t="s">
        <v>4946</v>
      </c>
      <c r="B90" s="18" t="s">
        <v>4837</v>
      </c>
      <c r="D90" t="str">
        <f t="shared" si="2"/>
        <v>PIL1/D/171</v>
      </c>
      <c r="E90" t="b">
        <f t="shared" si="3"/>
        <v>1</v>
      </c>
    </row>
    <row r="91" spans="1:5" x14ac:dyDescent="0.35">
      <c r="A91" s="18" t="s">
        <v>4947</v>
      </c>
      <c r="B91" s="18" t="s">
        <v>3370</v>
      </c>
      <c r="D91" t="str">
        <f t="shared" si="2"/>
        <v>PIL2/D/2</v>
      </c>
      <c r="E91" t="b">
        <f t="shared" si="3"/>
        <v>1</v>
      </c>
    </row>
    <row r="92" spans="1:5" x14ac:dyDescent="0.35">
      <c r="A92" s="18" t="s">
        <v>4948</v>
      </c>
      <c r="B92" s="18" t="s">
        <v>4860</v>
      </c>
      <c r="D92" t="str">
        <f t="shared" si="2"/>
        <v>PIL2/D/3</v>
      </c>
      <c r="E92" t="b">
        <f t="shared" si="3"/>
        <v>1</v>
      </c>
    </row>
    <row r="93" spans="1:5" x14ac:dyDescent="0.35">
      <c r="A93" s="18" t="s">
        <v>4949</v>
      </c>
      <c r="B93" s="18" t="s">
        <v>4861</v>
      </c>
      <c r="D93" t="str">
        <f t="shared" si="2"/>
        <v>PIL2/D/25</v>
      </c>
      <c r="E93" t="b">
        <f t="shared" si="3"/>
        <v>1</v>
      </c>
    </row>
    <row r="94" spans="1:5" x14ac:dyDescent="0.35">
      <c r="A94" s="18" t="s">
        <v>4950</v>
      </c>
      <c r="B94" s="18" t="s">
        <v>4862</v>
      </c>
      <c r="D94" t="str">
        <f t="shared" si="2"/>
        <v>PIL2/D/58</v>
      </c>
      <c r="E94" t="b">
        <f t="shared" si="3"/>
        <v>1</v>
      </c>
    </row>
    <row r="95" spans="1:5" x14ac:dyDescent="0.35">
      <c r="A95" t="s">
        <v>1544</v>
      </c>
      <c r="B95" s="18" t="s">
        <v>4863</v>
      </c>
      <c r="D95" t="str">
        <f t="shared" si="2"/>
        <v>PIL1/D/307</v>
      </c>
      <c r="E95" t="b">
        <f t="shared" si="3"/>
        <v>1</v>
      </c>
    </row>
    <row r="96" spans="1:5" x14ac:dyDescent="0.35">
      <c r="A96" t="s">
        <v>5016</v>
      </c>
      <c r="B96" s="18" t="s">
        <v>4864</v>
      </c>
      <c r="D96" t="str">
        <f t="shared" si="2"/>
        <v>PIL1/E/135/26-27</v>
      </c>
      <c r="E96" t="b">
        <f t="shared" si="3"/>
        <v>1</v>
      </c>
    </row>
    <row r="97" spans="1:5" x14ac:dyDescent="0.35">
      <c r="A97" t="s">
        <v>5017</v>
      </c>
      <c r="B97" s="18" t="s">
        <v>550</v>
      </c>
      <c r="D97" t="str">
        <f t="shared" si="2"/>
        <v>PIL1/E/139/26-27</v>
      </c>
      <c r="E97" t="b">
        <f t="shared" si="3"/>
        <v>1</v>
      </c>
    </row>
    <row r="98" spans="1:5" x14ac:dyDescent="0.35">
      <c r="A98" t="s">
        <v>5018</v>
      </c>
      <c r="B98" s="18" t="s">
        <v>4865</v>
      </c>
      <c r="D98" t="str">
        <f t="shared" si="2"/>
        <v>PIL1/D/364</v>
      </c>
      <c r="E98" t="b">
        <f t="shared" si="3"/>
        <v>1</v>
      </c>
    </row>
    <row r="99" spans="1:5" x14ac:dyDescent="0.35">
      <c r="A99" t="s">
        <v>5020</v>
      </c>
      <c r="B99" s="18" t="s">
        <v>4866</v>
      </c>
      <c r="D99" t="str">
        <f t="shared" si="2"/>
        <v>PIL1/E/145/26-27</v>
      </c>
      <c r="E99" t="b">
        <f t="shared" si="3"/>
        <v>1</v>
      </c>
    </row>
    <row r="100" spans="1:5" x14ac:dyDescent="0.35">
      <c r="A100" t="s">
        <v>5021</v>
      </c>
      <c r="B100" s="18" t="s">
        <v>4867</v>
      </c>
      <c r="D100" t="str">
        <f t="shared" si="2"/>
        <v>PIL1/E/152/26-27</v>
      </c>
      <c r="E100" t="b">
        <f t="shared" si="3"/>
        <v>1</v>
      </c>
    </row>
    <row r="101" spans="1:5" x14ac:dyDescent="0.35">
      <c r="A101" t="s">
        <v>1852</v>
      </c>
      <c r="B101" s="18" t="s">
        <v>4868</v>
      </c>
      <c r="D101" t="str">
        <f t="shared" si="2"/>
        <v>PIL1/D/397</v>
      </c>
      <c r="E101" t="b">
        <f t="shared" si="3"/>
        <v>1</v>
      </c>
    </row>
    <row r="102" spans="1:5" x14ac:dyDescent="0.35">
      <c r="A102" t="s">
        <v>5023</v>
      </c>
      <c r="B102" s="18" t="s">
        <v>629</v>
      </c>
      <c r="D102" t="str">
        <f t="shared" si="2"/>
        <v>PIL1/E/173/26-27</v>
      </c>
      <c r="E102" t="b">
        <f t="shared" si="3"/>
        <v>1</v>
      </c>
    </row>
    <row r="103" spans="1:5" x14ac:dyDescent="0.35">
      <c r="A103" t="s">
        <v>5024</v>
      </c>
      <c r="B103" s="18" t="s">
        <v>589</v>
      </c>
      <c r="D103" t="str">
        <f t="shared" si="2"/>
        <v>PIL1/E/174/26-27</v>
      </c>
      <c r="E103" t="b">
        <f t="shared" si="3"/>
        <v>1</v>
      </c>
    </row>
    <row r="104" spans="1:5" x14ac:dyDescent="0.35">
      <c r="A104" t="s">
        <v>5025</v>
      </c>
      <c r="B104" s="18" t="s">
        <v>4869</v>
      </c>
      <c r="D104" t="str">
        <f t="shared" si="2"/>
        <v>PIL1/E/175/26-27</v>
      </c>
      <c r="E104" t="b">
        <f t="shared" si="3"/>
        <v>1</v>
      </c>
    </row>
    <row r="105" spans="1:5" x14ac:dyDescent="0.35">
      <c r="A105" t="s">
        <v>1869</v>
      </c>
      <c r="B105" s="18" t="s">
        <v>4870</v>
      </c>
      <c r="D105" t="str">
        <f t="shared" si="2"/>
        <v>PIL1/D/424</v>
      </c>
      <c r="E105" t="b">
        <f t="shared" si="3"/>
        <v>1</v>
      </c>
    </row>
    <row r="106" spans="1:5" x14ac:dyDescent="0.35">
      <c r="A106" t="s">
        <v>5028</v>
      </c>
      <c r="B106" s="18" t="s">
        <v>599</v>
      </c>
      <c r="D106" t="str">
        <f t="shared" si="2"/>
        <v>PIL1/D/452</v>
      </c>
      <c r="E106" t="b">
        <f t="shared" si="3"/>
        <v>1</v>
      </c>
    </row>
    <row r="107" spans="1:5" x14ac:dyDescent="0.35">
      <c r="A107" t="s">
        <v>5032</v>
      </c>
      <c r="B107" s="18" t="s">
        <v>4871</v>
      </c>
      <c r="D107" t="str">
        <f t="shared" si="2"/>
        <v>PIL1/E/212/26-27</v>
      </c>
      <c r="E107" t="b">
        <f t="shared" si="3"/>
        <v>1</v>
      </c>
    </row>
    <row r="108" spans="1:5" x14ac:dyDescent="0.35">
      <c r="A108" t="s">
        <v>5033</v>
      </c>
      <c r="B108" s="18" t="s">
        <v>4872</v>
      </c>
      <c r="D108" t="str">
        <f t="shared" si="2"/>
        <v>PIL1/E/215/26-27</v>
      </c>
      <c r="E108" t="b">
        <f t="shared" si="3"/>
        <v>1</v>
      </c>
    </row>
    <row r="109" spans="1:5" x14ac:dyDescent="0.35">
      <c r="A109" t="s">
        <v>1910</v>
      </c>
      <c r="B109" s="18" t="s">
        <v>4873</v>
      </c>
      <c r="D109" t="str">
        <f t="shared" si="2"/>
        <v>PIL1/D/493</v>
      </c>
      <c r="E109" t="b">
        <f t="shared" si="3"/>
        <v>1</v>
      </c>
    </row>
    <row r="110" spans="1:5" x14ac:dyDescent="0.35">
      <c r="A110" t="s">
        <v>5037</v>
      </c>
      <c r="B110" s="18" t="s">
        <v>4874</v>
      </c>
      <c r="D110" t="str">
        <f t="shared" si="2"/>
        <v>PIL1/E/226/26-27</v>
      </c>
      <c r="E110" t="b">
        <f t="shared" si="3"/>
        <v>1</v>
      </c>
    </row>
    <row r="111" spans="1:5" x14ac:dyDescent="0.35">
      <c r="A111" t="s">
        <v>5038</v>
      </c>
      <c r="B111" s="18" t="s">
        <v>4875</v>
      </c>
      <c r="D111" t="str">
        <f t="shared" si="2"/>
        <v>PIL1/D/508</v>
      </c>
      <c r="E111" t="b">
        <f t="shared" si="3"/>
        <v>1</v>
      </c>
    </row>
    <row r="112" spans="1:5" x14ac:dyDescent="0.35">
      <c r="A112" t="s">
        <v>1930</v>
      </c>
      <c r="B112" s="18" t="s">
        <v>4876</v>
      </c>
      <c r="D112" t="str">
        <f t="shared" si="2"/>
        <v>PIL1/D/526</v>
      </c>
      <c r="E112" t="b">
        <f t="shared" si="3"/>
        <v>1</v>
      </c>
    </row>
    <row r="113" spans="1:5" x14ac:dyDescent="0.35">
      <c r="A113" t="s">
        <v>5041</v>
      </c>
      <c r="B113" s="18" t="s">
        <v>4877</v>
      </c>
      <c r="D113" t="str">
        <f t="shared" si="2"/>
        <v>PIL1/E/229/26-27</v>
      </c>
      <c r="E113" t="b">
        <f t="shared" si="3"/>
        <v>1</v>
      </c>
    </row>
    <row r="114" spans="1:5" x14ac:dyDescent="0.35">
      <c r="A114" t="s">
        <v>5048</v>
      </c>
      <c r="B114" s="18" t="s">
        <v>4878</v>
      </c>
      <c r="D114" t="str">
        <f t="shared" si="2"/>
        <v>PIL2/E/19/26-27</v>
      </c>
      <c r="E114" t="b">
        <f t="shared" si="3"/>
        <v>1</v>
      </c>
    </row>
    <row r="115" spans="1:5" x14ac:dyDescent="0.35">
      <c r="A115" t="s">
        <v>5049</v>
      </c>
      <c r="B115" s="18" t="s">
        <v>4879</v>
      </c>
      <c r="D115" t="str">
        <f t="shared" si="2"/>
        <v>PIL2/E/20/26-27</v>
      </c>
      <c r="E115" t="b">
        <f t="shared" si="3"/>
        <v>1</v>
      </c>
    </row>
    <row r="116" spans="1:5" x14ac:dyDescent="0.35">
      <c r="A116" t="s">
        <v>5050</v>
      </c>
      <c r="B116" s="18" t="s">
        <v>4880</v>
      </c>
      <c r="D116" t="str">
        <f t="shared" si="2"/>
        <v>PIL2/E/21/26-27</v>
      </c>
      <c r="E116" t="b">
        <f t="shared" si="3"/>
        <v>1</v>
      </c>
    </row>
    <row r="117" spans="1:5" x14ac:dyDescent="0.35">
      <c r="A117" t="s">
        <v>5051</v>
      </c>
      <c r="B117" s="18" t="s">
        <v>4881</v>
      </c>
      <c r="D117" t="str">
        <f t="shared" si="2"/>
        <v>PIL2/E/22/26-27</v>
      </c>
      <c r="E117" t="b">
        <f t="shared" si="3"/>
        <v>1</v>
      </c>
    </row>
    <row r="118" spans="1:5" x14ac:dyDescent="0.35">
      <c r="A118" t="s">
        <v>5052</v>
      </c>
      <c r="B118" s="18" t="s">
        <v>4882</v>
      </c>
      <c r="D118" t="str">
        <f t="shared" si="2"/>
        <v>PIL2/D/147</v>
      </c>
      <c r="E118" t="b">
        <f t="shared" si="3"/>
        <v>1</v>
      </c>
    </row>
    <row r="119" spans="1:5" x14ac:dyDescent="0.35">
      <c r="A119" t="s">
        <v>5053</v>
      </c>
      <c r="B119" s="18" t="s">
        <v>4883</v>
      </c>
      <c r="D119" t="str">
        <f t="shared" si="2"/>
        <v>PIL2/E/25/26-27</v>
      </c>
      <c r="E119" t="b">
        <f t="shared" si="3"/>
        <v>1</v>
      </c>
    </row>
    <row r="120" spans="1:5" x14ac:dyDescent="0.35">
      <c r="A120" t="s">
        <v>5056</v>
      </c>
      <c r="B120" s="18" t="s">
        <v>4884</v>
      </c>
      <c r="D120" t="str">
        <f t="shared" si="2"/>
        <v>PIL2/D/151</v>
      </c>
      <c r="E120" t="b">
        <f t="shared" si="3"/>
        <v>1</v>
      </c>
    </row>
    <row r="121" spans="1:5" x14ac:dyDescent="0.35">
      <c r="A121" t="s">
        <v>5057</v>
      </c>
      <c r="B121" s="18" t="s">
        <v>4886</v>
      </c>
      <c r="D121" t="str">
        <f t="shared" si="2"/>
        <v>PIL2/E/27/26-27</v>
      </c>
      <c r="E121" t="b">
        <f t="shared" si="3"/>
        <v>1</v>
      </c>
    </row>
    <row r="122" spans="1:5" x14ac:dyDescent="0.35">
      <c r="A122" t="s">
        <v>5058</v>
      </c>
      <c r="B122" s="18" t="s">
        <v>4887</v>
      </c>
      <c r="D122" t="str">
        <f t="shared" si="2"/>
        <v>PIL2/E/28/26-27</v>
      </c>
      <c r="E122" t="b">
        <f t="shared" si="3"/>
        <v>1</v>
      </c>
    </row>
    <row r="123" spans="1:5" x14ac:dyDescent="0.35">
      <c r="A123" t="s">
        <v>5059</v>
      </c>
      <c r="B123" s="18" t="s">
        <v>4888</v>
      </c>
      <c r="D123" t="str">
        <f t="shared" si="2"/>
        <v>PIL2/E/29/26-27</v>
      </c>
      <c r="E123" t="b">
        <f t="shared" si="3"/>
        <v>1</v>
      </c>
    </row>
    <row r="124" spans="1:5" x14ac:dyDescent="0.35">
      <c r="A124" t="s">
        <v>5060</v>
      </c>
      <c r="B124" s="18" t="s">
        <v>4889</v>
      </c>
      <c r="D124" t="str">
        <f t="shared" si="2"/>
        <v>PIL2/E/30/26-27</v>
      </c>
      <c r="E124" t="b">
        <f t="shared" si="3"/>
        <v>1</v>
      </c>
    </row>
    <row r="125" spans="1:5" x14ac:dyDescent="0.35">
      <c r="A125" t="s">
        <v>5062</v>
      </c>
      <c r="B125" s="18" t="s">
        <v>4890</v>
      </c>
      <c r="D125" t="str">
        <f t="shared" si="2"/>
        <v>PIL2/E/32/26-27</v>
      </c>
      <c r="E125" t="b">
        <f t="shared" si="3"/>
        <v>1</v>
      </c>
    </row>
    <row r="126" spans="1:5" x14ac:dyDescent="0.35">
      <c r="A126" t="s">
        <v>5065</v>
      </c>
      <c r="B126" s="18" t="s">
        <v>4891</v>
      </c>
      <c r="D126" t="str">
        <f t="shared" si="2"/>
        <v>PIL2/E/33/26-27</v>
      </c>
      <c r="E126" t="b">
        <f t="shared" si="3"/>
        <v>1</v>
      </c>
    </row>
    <row r="127" spans="1:5" x14ac:dyDescent="0.35">
      <c r="A127" t="s">
        <v>5066</v>
      </c>
      <c r="B127" s="18" t="s">
        <v>4892</v>
      </c>
      <c r="D127" t="str">
        <f t="shared" si="2"/>
        <v>PIL2/E/35/26-27</v>
      </c>
      <c r="E127" t="b">
        <f t="shared" si="3"/>
        <v>1</v>
      </c>
    </row>
    <row r="128" spans="1:5" x14ac:dyDescent="0.35">
      <c r="A128" t="s">
        <v>5067</v>
      </c>
      <c r="B128" s="18" t="s">
        <v>4919</v>
      </c>
      <c r="D128" t="str">
        <f t="shared" si="2"/>
        <v>PIL2/E/36/26-27</v>
      </c>
      <c r="E128" t="b">
        <f t="shared" si="3"/>
        <v>1</v>
      </c>
    </row>
    <row r="129" spans="1:5" x14ac:dyDescent="0.35">
      <c r="A129" t="s">
        <v>5068</v>
      </c>
      <c r="B129" s="18" t="s">
        <v>4920</v>
      </c>
      <c r="D129" t="str">
        <f t="shared" si="2"/>
        <v>PIL2/E/37/26-27</v>
      </c>
      <c r="E129" t="b">
        <f t="shared" si="3"/>
        <v>1</v>
      </c>
    </row>
    <row r="130" spans="1:5" x14ac:dyDescent="0.35">
      <c r="A130" t="s">
        <v>5077</v>
      </c>
      <c r="B130" s="18" t="s">
        <v>4921</v>
      </c>
      <c r="D130" t="str">
        <f t="shared" ref="D130:D193" si="4">_xlfn.XLOOKUP(A130,B:B,B:B)</f>
        <v>PIL1/D/587</v>
      </c>
      <c r="E130" t="b">
        <f t="shared" si="3"/>
        <v>1</v>
      </c>
    </row>
    <row r="131" spans="1:5" x14ac:dyDescent="0.35">
      <c r="A131" t="s">
        <v>5081</v>
      </c>
      <c r="B131" s="18" t="s">
        <v>4922</v>
      </c>
      <c r="D131" t="str">
        <f t="shared" si="4"/>
        <v>PIL1/D/605</v>
      </c>
      <c r="E131" t="b">
        <f t="shared" ref="E131:E194" si="5">A131=D131</f>
        <v>1</v>
      </c>
    </row>
    <row r="132" spans="1:5" x14ac:dyDescent="0.35">
      <c r="A132" t="s">
        <v>5082</v>
      </c>
      <c r="B132" s="18" t="s">
        <v>4923</v>
      </c>
      <c r="D132" t="str">
        <f t="shared" si="4"/>
        <v>PIL1/E/250/26-27</v>
      </c>
      <c r="E132" t="b">
        <f t="shared" si="5"/>
        <v>1</v>
      </c>
    </row>
    <row r="133" spans="1:5" x14ac:dyDescent="0.35">
      <c r="A133" t="s">
        <v>5083</v>
      </c>
      <c r="B133" s="18" t="s">
        <v>1334</v>
      </c>
      <c r="D133" t="str">
        <f t="shared" si="4"/>
        <v>PIL1/E/249/26-27</v>
      </c>
      <c r="E133" t="b">
        <f t="shared" si="5"/>
        <v>1</v>
      </c>
    </row>
    <row r="134" spans="1:5" x14ac:dyDescent="0.35">
      <c r="A134" t="s">
        <v>5083</v>
      </c>
      <c r="B134" s="18" t="s">
        <v>1335</v>
      </c>
      <c r="D134" t="str">
        <f t="shared" si="4"/>
        <v>PIL1/E/249/26-27</v>
      </c>
      <c r="E134" t="b">
        <f t="shared" si="5"/>
        <v>1</v>
      </c>
    </row>
    <row r="135" spans="1:5" x14ac:dyDescent="0.35">
      <c r="A135" t="s">
        <v>5089</v>
      </c>
      <c r="B135" s="18" t="s">
        <v>4924</v>
      </c>
      <c r="D135" t="str">
        <f t="shared" si="4"/>
        <v>PIL1/D/612</v>
      </c>
      <c r="E135" t="b">
        <f t="shared" si="5"/>
        <v>1</v>
      </c>
    </row>
    <row r="136" spans="1:5" x14ac:dyDescent="0.35">
      <c r="A136" t="s">
        <v>5091</v>
      </c>
      <c r="B136" s="18" t="s">
        <v>4925</v>
      </c>
      <c r="D136" t="str">
        <f t="shared" si="4"/>
        <v>PIL1/D/624</v>
      </c>
      <c r="E136" t="b">
        <f t="shared" si="5"/>
        <v>1</v>
      </c>
    </row>
    <row r="137" spans="1:5" x14ac:dyDescent="0.35">
      <c r="A137" t="s">
        <v>5092</v>
      </c>
      <c r="B137" s="18" t="s">
        <v>4926</v>
      </c>
      <c r="D137" t="str">
        <f t="shared" si="4"/>
        <v>PIL1/E/253/26-27</v>
      </c>
      <c r="E137" t="b">
        <f t="shared" si="5"/>
        <v>1</v>
      </c>
    </row>
    <row r="138" spans="1:5" x14ac:dyDescent="0.35">
      <c r="A138" t="s">
        <v>5093</v>
      </c>
      <c r="B138" s="18" t="s">
        <v>4927</v>
      </c>
      <c r="D138" t="str">
        <f t="shared" si="4"/>
        <v>PIL1/E/254/26-27</v>
      </c>
      <c r="E138" t="b">
        <f t="shared" si="5"/>
        <v>1</v>
      </c>
    </row>
    <row r="139" spans="1:5" x14ac:dyDescent="0.35">
      <c r="A139" t="s">
        <v>5099</v>
      </c>
      <c r="B139" s="18" t="s">
        <v>4928</v>
      </c>
      <c r="D139" t="str">
        <f t="shared" si="4"/>
        <v>PIL1/D/642</v>
      </c>
      <c r="E139" t="b">
        <f t="shared" si="5"/>
        <v>1</v>
      </c>
    </row>
    <row r="140" spans="1:5" x14ac:dyDescent="0.35">
      <c r="A140" t="s">
        <v>5100</v>
      </c>
      <c r="B140" s="18" t="s">
        <v>4929</v>
      </c>
      <c r="D140" t="str">
        <f t="shared" si="4"/>
        <v>PIL1/D/654</v>
      </c>
      <c r="E140" t="b">
        <f t="shared" si="5"/>
        <v>1</v>
      </c>
    </row>
    <row r="141" spans="1:5" x14ac:dyDescent="0.35">
      <c r="A141" t="s">
        <v>5101</v>
      </c>
      <c r="B141" s="18" t="s">
        <v>4930</v>
      </c>
      <c r="D141" t="str">
        <f t="shared" si="4"/>
        <v>PIL1/E/264/26-27</v>
      </c>
      <c r="E141" t="b">
        <f t="shared" si="5"/>
        <v>1</v>
      </c>
    </row>
    <row r="142" spans="1:5" x14ac:dyDescent="0.35">
      <c r="A142" t="s">
        <v>5102</v>
      </c>
      <c r="B142" s="18" t="s">
        <v>4931</v>
      </c>
      <c r="D142" t="str">
        <f t="shared" si="4"/>
        <v>PIL1/E/265/26-27</v>
      </c>
      <c r="E142" t="b">
        <f t="shared" si="5"/>
        <v>1</v>
      </c>
    </row>
    <row r="143" spans="1:5" x14ac:dyDescent="0.35">
      <c r="A143" t="s">
        <v>5103</v>
      </c>
      <c r="B143" s="18" t="s">
        <v>4932</v>
      </c>
      <c r="D143" t="str">
        <f t="shared" si="4"/>
        <v>PIL1/E/266/26-27</v>
      </c>
      <c r="E143" t="b">
        <f t="shared" si="5"/>
        <v>1</v>
      </c>
    </row>
    <row r="144" spans="1:5" x14ac:dyDescent="0.35">
      <c r="A144" t="s">
        <v>5104</v>
      </c>
      <c r="B144" s="18" t="s">
        <v>4933</v>
      </c>
      <c r="D144" t="str">
        <f t="shared" si="4"/>
        <v>PIL1/E/267/26-27</v>
      </c>
      <c r="E144" t="b">
        <f t="shared" si="5"/>
        <v>1</v>
      </c>
    </row>
    <row r="145" spans="1:5" x14ac:dyDescent="0.35">
      <c r="A145" t="s">
        <v>5105</v>
      </c>
      <c r="B145" s="18" t="s">
        <v>4934</v>
      </c>
      <c r="D145" t="str">
        <f t="shared" si="4"/>
        <v>PIL1/E/268/26-27</v>
      </c>
      <c r="E145" t="b">
        <f t="shared" si="5"/>
        <v>1</v>
      </c>
    </row>
    <row r="146" spans="1:5" x14ac:dyDescent="0.35">
      <c r="A146" t="s">
        <v>5105</v>
      </c>
      <c r="B146" s="18" t="s">
        <v>4935</v>
      </c>
      <c r="D146" t="str">
        <f t="shared" si="4"/>
        <v>PIL1/E/268/26-27</v>
      </c>
      <c r="E146" t="b">
        <f t="shared" si="5"/>
        <v>1</v>
      </c>
    </row>
    <row r="147" spans="1:5" x14ac:dyDescent="0.35">
      <c r="A147" t="s">
        <v>1340</v>
      </c>
      <c r="B147" s="18" t="s">
        <v>4936</v>
      </c>
      <c r="D147" t="str">
        <f t="shared" si="4"/>
        <v>PIL1/JW/004</v>
      </c>
      <c r="E147" t="b">
        <f t="shared" si="5"/>
        <v>1</v>
      </c>
    </row>
    <row r="148" spans="1:5" x14ac:dyDescent="0.35">
      <c r="A148" t="s">
        <v>1344</v>
      </c>
      <c r="B148" s="18" t="s">
        <v>4937</v>
      </c>
      <c r="D148" t="str">
        <f t="shared" si="4"/>
        <v>PIL1/JW/005</v>
      </c>
      <c r="E148" t="b">
        <f t="shared" si="5"/>
        <v>1</v>
      </c>
    </row>
    <row r="149" spans="1:5" x14ac:dyDescent="0.35">
      <c r="A149" t="s">
        <v>5113</v>
      </c>
      <c r="B149" s="18" t="s">
        <v>4938</v>
      </c>
      <c r="D149" t="str">
        <f t="shared" si="4"/>
        <v>PIL1/E/280/26-27</v>
      </c>
      <c r="E149" t="b">
        <f t="shared" si="5"/>
        <v>1</v>
      </c>
    </row>
    <row r="150" spans="1:5" x14ac:dyDescent="0.35">
      <c r="A150" t="s">
        <v>5114</v>
      </c>
      <c r="B150" s="18" t="s">
        <v>4939</v>
      </c>
      <c r="D150" t="str">
        <f t="shared" si="4"/>
        <v>PIL1/E/281/26-27</v>
      </c>
      <c r="E150" t="b">
        <f t="shared" si="5"/>
        <v>1</v>
      </c>
    </row>
    <row r="151" spans="1:5" x14ac:dyDescent="0.35">
      <c r="A151" t="s">
        <v>5115</v>
      </c>
      <c r="B151" s="18" t="s">
        <v>4940</v>
      </c>
      <c r="D151" t="str">
        <f t="shared" si="4"/>
        <v>PIL1/E/282/26-27</v>
      </c>
      <c r="E151" t="b">
        <f t="shared" si="5"/>
        <v>1</v>
      </c>
    </row>
    <row r="152" spans="1:5" x14ac:dyDescent="0.35">
      <c r="A152" t="s">
        <v>5116</v>
      </c>
      <c r="B152" s="18" t="s">
        <v>4941</v>
      </c>
      <c r="D152" t="str">
        <f t="shared" si="4"/>
        <v>PIL1/E/289/26-27</v>
      </c>
      <c r="E152" t="b">
        <f t="shared" si="5"/>
        <v>1</v>
      </c>
    </row>
    <row r="153" spans="1:5" x14ac:dyDescent="0.35">
      <c r="A153" t="s">
        <v>2169</v>
      </c>
      <c r="B153" s="18" t="s">
        <v>4945</v>
      </c>
      <c r="D153" t="str">
        <f t="shared" si="4"/>
        <v>PIL1/D/721</v>
      </c>
      <c r="E153" t="b">
        <f t="shared" si="5"/>
        <v>1</v>
      </c>
    </row>
    <row r="154" spans="1:5" x14ac:dyDescent="0.35">
      <c r="A154" t="s">
        <v>2184</v>
      </c>
      <c r="B154" s="18" t="s">
        <v>4946</v>
      </c>
      <c r="D154" t="str">
        <f t="shared" si="4"/>
        <v>PIL1/D/747</v>
      </c>
      <c r="E154" t="b">
        <f t="shared" si="5"/>
        <v>1</v>
      </c>
    </row>
    <row r="155" spans="1:5" x14ac:dyDescent="0.35">
      <c r="A155" t="s">
        <v>2184</v>
      </c>
      <c r="B155" s="18" t="s">
        <v>4947</v>
      </c>
      <c r="D155" t="str">
        <f t="shared" si="4"/>
        <v>PIL1/D/747</v>
      </c>
      <c r="E155" t="b">
        <f t="shared" si="5"/>
        <v>1</v>
      </c>
    </row>
    <row r="156" spans="1:5" x14ac:dyDescent="0.35">
      <c r="A156" t="s">
        <v>2184</v>
      </c>
      <c r="B156" s="18" t="s">
        <v>4948</v>
      </c>
      <c r="D156" t="str">
        <f t="shared" si="4"/>
        <v>PIL1/D/747</v>
      </c>
      <c r="E156" t="b">
        <f t="shared" si="5"/>
        <v>1</v>
      </c>
    </row>
    <row r="157" spans="1:5" x14ac:dyDescent="0.35">
      <c r="A157" t="s">
        <v>2184</v>
      </c>
      <c r="B157" s="18" t="s">
        <v>4949</v>
      </c>
      <c r="D157" t="str">
        <f t="shared" si="4"/>
        <v>PIL1/D/747</v>
      </c>
      <c r="E157" t="b">
        <f t="shared" si="5"/>
        <v>1</v>
      </c>
    </row>
    <row r="158" spans="1:5" x14ac:dyDescent="0.35">
      <c r="A158" t="s">
        <v>5123</v>
      </c>
      <c r="B158" s="18" t="s">
        <v>4950</v>
      </c>
      <c r="D158" t="str">
        <f t="shared" si="4"/>
        <v>PIL1/D/756</v>
      </c>
      <c r="E158" t="b">
        <f t="shared" si="5"/>
        <v>1</v>
      </c>
    </row>
    <row r="159" spans="1:5" x14ac:dyDescent="0.35">
      <c r="A159" t="s">
        <v>2191</v>
      </c>
      <c r="B159" t="s">
        <v>1544</v>
      </c>
      <c r="D159" t="str">
        <f t="shared" si="4"/>
        <v>PIL1/D/757</v>
      </c>
      <c r="E159" t="b">
        <f t="shared" si="5"/>
        <v>1</v>
      </c>
    </row>
    <row r="160" spans="1:5" x14ac:dyDescent="0.35">
      <c r="A160" t="s">
        <v>2191</v>
      </c>
      <c r="B160" t="s">
        <v>1565</v>
      </c>
      <c r="D160" t="str">
        <f t="shared" si="4"/>
        <v>PIL1/D/757</v>
      </c>
      <c r="E160" t="b">
        <f t="shared" si="5"/>
        <v>1</v>
      </c>
    </row>
    <row r="161" spans="1:5" x14ac:dyDescent="0.35">
      <c r="A161" t="s">
        <v>2191</v>
      </c>
      <c r="B161" t="s">
        <v>5016</v>
      </c>
      <c r="D161" t="str">
        <f t="shared" si="4"/>
        <v>PIL1/D/757</v>
      </c>
      <c r="E161" t="b">
        <f t="shared" si="5"/>
        <v>1</v>
      </c>
    </row>
    <row r="162" spans="1:5" x14ac:dyDescent="0.35">
      <c r="A162" t="s">
        <v>2191</v>
      </c>
      <c r="B162" t="s">
        <v>5017</v>
      </c>
      <c r="D162" t="str">
        <f t="shared" si="4"/>
        <v>PIL1/D/757</v>
      </c>
      <c r="E162" t="b">
        <f t="shared" si="5"/>
        <v>1</v>
      </c>
    </row>
    <row r="163" spans="1:5" x14ac:dyDescent="0.35">
      <c r="A163" t="s">
        <v>2191</v>
      </c>
      <c r="B163" t="s">
        <v>5018</v>
      </c>
      <c r="D163" t="str">
        <f t="shared" si="4"/>
        <v>PIL1/D/757</v>
      </c>
      <c r="E163" t="b">
        <f t="shared" si="5"/>
        <v>1</v>
      </c>
    </row>
    <row r="164" spans="1:5" x14ac:dyDescent="0.35">
      <c r="A164" t="s">
        <v>2191</v>
      </c>
      <c r="B164" t="s">
        <v>5020</v>
      </c>
      <c r="D164" t="str">
        <f t="shared" si="4"/>
        <v>PIL1/D/757</v>
      </c>
      <c r="E164" t="b">
        <f t="shared" si="5"/>
        <v>1</v>
      </c>
    </row>
    <row r="165" spans="1:5" x14ac:dyDescent="0.35">
      <c r="A165" t="s">
        <v>2191</v>
      </c>
      <c r="B165" t="s">
        <v>5021</v>
      </c>
      <c r="D165" t="str">
        <f t="shared" si="4"/>
        <v>PIL1/D/757</v>
      </c>
      <c r="E165" t="b">
        <f t="shared" si="5"/>
        <v>1</v>
      </c>
    </row>
    <row r="166" spans="1:5" x14ac:dyDescent="0.35">
      <c r="A166" t="s">
        <v>2191</v>
      </c>
      <c r="B166" t="s">
        <v>5022</v>
      </c>
      <c r="D166" t="str">
        <f t="shared" si="4"/>
        <v>PIL1/D/757</v>
      </c>
      <c r="E166" t="b">
        <f t="shared" si="5"/>
        <v>1</v>
      </c>
    </row>
    <row r="167" spans="1:5" x14ac:dyDescent="0.35">
      <c r="A167" t="s">
        <v>5124</v>
      </c>
      <c r="B167" t="s">
        <v>1852</v>
      </c>
      <c r="D167" t="str">
        <f t="shared" si="4"/>
        <v>PIL1/D/765</v>
      </c>
      <c r="E167" t="b">
        <f t="shared" si="5"/>
        <v>1</v>
      </c>
    </row>
    <row r="168" spans="1:5" x14ac:dyDescent="0.35">
      <c r="A168" t="s">
        <v>2052</v>
      </c>
      <c r="B168" t="s">
        <v>5023</v>
      </c>
      <c r="D168" t="str">
        <f t="shared" si="4"/>
        <v>PIL1/D/768</v>
      </c>
      <c r="E168" t="b">
        <f t="shared" si="5"/>
        <v>1</v>
      </c>
    </row>
    <row r="169" spans="1:5" x14ac:dyDescent="0.35">
      <c r="A169" t="s">
        <v>2052</v>
      </c>
      <c r="B169" t="s">
        <v>5024</v>
      </c>
      <c r="D169" t="str">
        <f t="shared" si="4"/>
        <v>PIL1/D/768</v>
      </c>
      <c r="E169" t="b">
        <f t="shared" si="5"/>
        <v>1</v>
      </c>
    </row>
    <row r="170" spans="1:5" x14ac:dyDescent="0.35">
      <c r="A170" t="s">
        <v>2052</v>
      </c>
      <c r="B170" t="s">
        <v>5025</v>
      </c>
      <c r="D170" t="str">
        <f t="shared" si="4"/>
        <v>PIL1/D/768</v>
      </c>
      <c r="E170" t="b">
        <f t="shared" si="5"/>
        <v>1</v>
      </c>
    </row>
    <row r="171" spans="1:5" x14ac:dyDescent="0.35">
      <c r="A171" t="s">
        <v>2052</v>
      </c>
      <c r="B171" t="s">
        <v>1869</v>
      </c>
      <c r="D171" t="str">
        <f t="shared" si="4"/>
        <v>PIL1/D/768</v>
      </c>
      <c r="E171" t="b">
        <f t="shared" si="5"/>
        <v>1</v>
      </c>
    </row>
    <row r="172" spans="1:5" x14ac:dyDescent="0.35">
      <c r="A172" t="s">
        <v>2052</v>
      </c>
      <c r="B172" t="s">
        <v>1872</v>
      </c>
      <c r="D172" t="str">
        <f t="shared" si="4"/>
        <v>PIL1/D/768</v>
      </c>
      <c r="E172" t="b">
        <f t="shared" si="5"/>
        <v>1</v>
      </c>
    </row>
    <row r="173" spans="1:5" x14ac:dyDescent="0.35">
      <c r="A173" t="s">
        <v>2052</v>
      </c>
      <c r="B173" t="s">
        <v>5026</v>
      </c>
      <c r="D173" t="str">
        <f t="shared" si="4"/>
        <v>PIL1/D/768</v>
      </c>
      <c r="E173" t="b">
        <f t="shared" si="5"/>
        <v>1</v>
      </c>
    </row>
    <row r="174" spans="1:5" x14ac:dyDescent="0.35">
      <c r="A174" t="s">
        <v>2052</v>
      </c>
      <c r="B174" t="s">
        <v>5027</v>
      </c>
      <c r="D174" t="str">
        <f t="shared" si="4"/>
        <v>PIL1/D/768</v>
      </c>
      <c r="E174" t="b">
        <f t="shared" si="5"/>
        <v>1</v>
      </c>
    </row>
    <row r="175" spans="1:5" x14ac:dyDescent="0.35">
      <c r="A175" t="s">
        <v>2052</v>
      </c>
      <c r="B175" t="s">
        <v>1879</v>
      </c>
      <c r="D175" t="str">
        <f t="shared" si="4"/>
        <v>PIL1/D/768</v>
      </c>
      <c r="E175" t="b">
        <f t="shared" si="5"/>
        <v>1</v>
      </c>
    </row>
    <row r="176" spans="1:5" x14ac:dyDescent="0.35">
      <c r="A176" t="s">
        <v>2197</v>
      </c>
      <c r="B176" t="s">
        <v>1880</v>
      </c>
      <c r="D176" t="str">
        <f t="shared" si="4"/>
        <v>PIL1/D/766</v>
      </c>
      <c r="E176" t="b">
        <f t="shared" si="5"/>
        <v>1</v>
      </c>
    </row>
    <row r="177" spans="1:5" x14ac:dyDescent="0.35">
      <c r="A177" t="s">
        <v>5125</v>
      </c>
      <c r="B177" t="s">
        <v>5028</v>
      </c>
      <c r="D177" t="str">
        <f t="shared" si="4"/>
        <v>PIL1/E/299/26-27</v>
      </c>
      <c r="E177" t="b">
        <f t="shared" si="5"/>
        <v>1</v>
      </c>
    </row>
    <row r="178" spans="1:5" x14ac:dyDescent="0.35">
      <c r="A178" t="s">
        <v>5126</v>
      </c>
      <c r="B178" t="s">
        <v>1885</v>
      </c>
      <c r="D178" t="str">
        <f t="shared" si="4"/>
        <v>PIL1/D/774</v>
      </c>
      <c r="E178" t="b">
        <f t="shared" si="5"/>
        <v>1</v>
      </c>
    </row>
    <row r="179" spans="1:5" x14ac:dyDescent="0.35">
      <c r="A179" t="s">
        <v>2053</v>
      </c>
      <c r="B179" t="s">
        <v>1886</v>
      </c>
      <c r="D179" t="str">
        <f t="shared" si="4"/>
        <v>PIL1/D/775</v>
      </c>
      <c r="E179" t="b">
        <f t="shared" si="5"/>
        <v>1</v>
      </c>
    </row>
    <row r="180" spans="1:5" x14ac:dyDescent="0.35">
      <c r="A180" t="s">
        <v>2053</v>
      </c>
      <c r="B180" t="s">
        <v>5029</v>
      </c>
      <c r="D180" t="str">
        <f t="shared" si="4"/>
        <v>PIL1/D/775</v>
      </c>
      <c r="E180" t="b">
        <f t="shared" si="5"/>
        <v>1</v>
      </c>
    </row>
    <row r="181" spans="1:5" x14ac:dyDescent="0.35">
      <c r="A181" t="s">
        <v>2053</v>
      </c>
      <c r="B181" t="s">
        <v>5030</v>
      </c>
      <c r="D181" t="str">
        <f t="shared" si="4"/>
        <v>PIL1/D/775</v>
      </c>
      <c r="E181" t="b">
        <f t="shared" si="5"/>
        <v>1</v>
      </c>
    </row>
    <row r="182" spans="1:5" x14ac:dyDescent="0.35">
      <c r="A182" t="s">
        <v>2053</v>
      </c>
      <c r="B182" t="s">
        <v>1890</v>
      </c>
      <c r="D182" t="str">
        <f t="shared" si="4"/>
        <v>PIL1/D/775</v>
      </c>
      <c r="E182" t="b">
        <f t="shared" si="5"/>
        <v>1</v>
      </c>
    </row>
    <row r="183" spans="1:5" x14ac:dyDescent="0.35">
      <c r="A183" t="s">
        <v>2053</v>
      </c>
      <c r="B183" t="s">
        <v>1898</v>
      </c>
      <c r="D183" t="str">
        <f t="shared" si="4"/>
        <v>PIL1/D/775</v>
      </c>
      <c r="E183" t="b">
        <f t="shared" si="5"/>
        <v>1</v>
      </c>
    </row>
    <row r="184" spans="1:5" x14ac:dyDescent="0.35">
      <c r="A184" t="s">
        <v>2055</v>
      </c>
      <c r="B184" t="s">
        <v>5031</v>
      </c>
      <c r="D184" t="str">
        <f t="shared" si="4"/>
        <v>PIL1/D/777</v>
      </c>
      <c r="E184" t="b">
        <f t="shared" si="5"/>
        <v>1</v>
      </c>
    </row>
    <row r="185" spans="1:5" x14ac:dyDescent="0.35">
      <c r="A185" t="s">
        <v>2205</v>
      </c>
      <c r="B185" t="s">
        <v>1899</v>
      </c>
      <c r="D185" t="str">
        <f t="shared" si="4"/>
        <v>PIL1/D/781</v>
      </c>
      <c r="E185" t="b">
        <f t="shared" si="5"/>
        <v>1</v>
      </c>
    </row>
    <row r="186" spans="1:5" x14ac:dyDescent="0.35">
      <c r="A186" t="s">
        <v>5127</v>
      </c>
      <c r="B186" t="s">
        <v>1901</v>
      </c>
      <c r="D186" t="str">
        <f t="shared" si="4"/>
        <v>PIL1/D/783</v>
      </c>
      <c r="E186" t="b">
        <f t="shared" si="5"/>
        <v>1</v>
      </c>
    </row>
    <row r="187" spans="1:5" x14ac:dyDescent="0.35">
      <c r="A187" t="s">
        <v>5127</v>
      </c>
      <c r="B187" t="s">
        <v>1904</v>
      </c>
      <c r="D187" t="str">
        <f t="shared" si="4"/>
        <v>PIL1/D/783</v>
      </c>
      <c r="E187" t="b">
        <f t="shared" si="5"/>
        <v>1</v>
      </c>
    </row>
    <row r="188" spans="1:5" x14ac:dyDescent="0.35">
      <c r="A188" t="s">
        <v>2208</v>
      </c>
      <c r="B188" t="s">
        <v>5032</v>
      </c>
      <c r="D188" t="str">
        <f t="shared" si="4"/>
        <v>PIL1/D/787</v>
      </c>
      <c r="E188" t="b">
        <f t="shared" si="5"/>
        <v>1</v>
      </c>
    </row>
    <row r="189" spans="1:5" x14ac:dyDescent="0.35">
      <c r="A189" t="s">
        <v>2208</v>
      </c>
      <c r="B189" t="s">
        <v>5033</v>
      </c>
      <c r="D189" t="str">
        <f t="shared" si="4"/>
        <v>PIL1/D/787</v>
      </c>
      <c r="E189" t="b">
        <f t="shared" si="5"/>
        <v>1</v>
      </c>
    </row>
    <row r="190" spans="1:5" x14ac:dyDescent="0.35">
      <c r="A190" t="s">
        <v>2208</v>
      </c>
      <c r="B190" t="s">
        <v>5034</v>
      </c>
      <c r="D190" t="str">
        <f t="shared" si="4"/>
        <v>PIL1/D/787</v>
      </c>
      <c r="E190" t="b">
        <f t="shared" si="5"/>
        <v>1</v>
      </c>
    </row>
    <row r="191" spans="1:5" x14ac:dyDescent="0.35">
      <c r="A191" t="s">
        <v>2208</v>
      </c>
      <c r="B191" t="s">
        <v>5035</v>
      </c>
      <c r="D191" t="str">
        <f t="shared" si="4"/>
        <v>PIL1/D/787</v>
      </c>
      <c r="E191" t="b">
        <f t="shared" si="5"/>
        <v>1</v>
      </c>
    </row>
    <row r="192" spans="1:5" x14ac:dyDescent="0.35">
      <c r="A192" t="s">
        <v>2208</v>
      </c>
      <c r="B192" t="s">
        <v>1910</v>
      </c>
      <c r="D192" t="str">
        <f t="shared" si="4"/>
        <v>PIL1/D/787</v>
      </c>
      <c r="E192" t="b">
        <f t="shared" si="5"/>
        <v>1</v>
      </c>
    </row>
    <row r="193" spans="1:5" x14ac:dyDescent="0.35">
      <c r="A193" t="s">
        <v>5128</v>
      </c>
      <c r="B193" t="s">
        <v>1913</v>
      </c>
      <c r="D193" t="str">
        <f t="shared" si="4"/>
        <v>PIL1/D/795</v>
      </c>
      <c r="E193" t="b">
        <f t="shared" si="5"/>
        <v>1</v>
      </c>
    </row>
    <row r="194" spans="1:5" x14ac:dyDescent="0.35">
      <c r="A194" t="s">
        <v>5129</v>
      </c>
      <c r="B194" t="s">
        <v>1914</v>
      </c>
      <c r="D194" t="str">
        <f t="shared" ref="D194:D257" si="6">_xlfn.XLOOKUP(A194,B:B,B:B)</f>
        <v>PIL1/D/796</v>
      </c>
      <c r="E194" t="b">
        <f t="shared" si="5"/>
        <v>1</v>
      </c>
    </row>
    <row r="195" spans="1:5" x14ac:dyDescent="0.35">
      <c r="A195" t="s">
        <v>5129</v>
      </c>
      <c r="B195" t="s">
        <v>1915</v>
      </c>
      <c r="D195" t="str">
        <f t="shared" si="6"/>
        <v>PIL1/D/796</v>
      </c>
      <c r="E195" t="b">
        <f t="shared" ref="E195:E258" si="7">A195=D195</f>
        <v>1</v>
      </c>
    </row>
    <row r="196" spans="1:5" x14ac:dyDescent="0.35">
      <c r="A196" t="s">
        <v>5129</v>
      </c>
      <c r="B196" t="s">
        <v>1916</v>
      </c>
      <c r="D196" t="str">
        <f t="shared" si="6"/>
        <v>PIL1/D/796</v>
      </c>
      <c r="E196" t="b">
        <f t="shared" si="7"/>
        <v>1</v>
      </c>
    </row>
    <row r="197" spans="1:5" x14ac:dyDescent="0.35">
      <c r="A197" t="s">
        <v>5129</v>
      </c>
      <c r="B197" t="s">
        <v>5036</v>
      </c>
      <c r="D197" t="str">
        <f t="shared" si="6"/>
        <v>PIL1/D/796</v>
      </c>
      <c r="E197" t="b">
        <f t="shared" si="7"/>
        <v>1</v>
      </c>
    </row>
    <row r="198" spans="1:5" x14ac:dyDescent="0.35">
      <c r="A198" t="s">
        <v>5129</v>
      </c>
      <c r="B198" t="s">
        <v>1917</v>
      </c>
      <c r="D198" t="str">
        <f t="shared" si="6"/>
        <v>PIL1/D/796</v>
      </c>
      <c r="E198" t="b">
        <f t="shared" si="7"/>
        <v>1</v>
      </c>
    </row>
    <row r="199" spans="1:5" x14ac:dyDescent="0.35">
      <c r="A199" t="s">
        <v>5129</v>
      </c>
      <c r="B199" t="s">
        <v>5037</v>
      </c>
      <c r="D199" t="str">
        <f t="shared" si="6"/>
        <v>PIL1/D/796</v>
      </c>
      <c r="E199" t="b">
        <f t="shared" si="7"/>
        <v>1</v>
      </c>
    </row>
    <row r="200" spans="1:5" x14ac:dyDescent="0.35">
      <c r="A200" t="s">
        <v>5130</v>
      </c>
      <c r="B200" t="s">
        <v>5038</v>
      </c>
      <c r="D200" t="str">
        <f t="shared" si="6"/>
        <v>PIL1/D/797</v>
      </c>
      <c r="E200" t="b">
        <f t="shared" si="7"/>
        <v>1</v>
      </c>
    </row>
    <row r="201" spans="1:5" x14ac:dyDescent="0.35">
      <c r="A201" t="s">
        <v>2213</v>
      </c>
      <c r="B201" t="s">
        <v>5039</v>
      </c>
      <c r="D201" t="str">
        <f t="shared" si="6"/>
        <v>PIL1/D/794</v>
      </c>
      <c r="E201" t="b">
        <f t="shared" si="7"/>
        <v>1</v>
      </c>
    </row>
    <row r="202" spans="1:5" x14ac:dyDescent="0.35">
      <c r="A202" t="s">
        <v>5131</v>
      </c>
      <c r="B202" t="s">
        <v>1923</v>
      </c>
      <c r="D202" t="str">
        <f t="shared" si="6"/>
        <v>PIL1/D/805</v>
      </c>
      <c r="E202" t="b">
        <f t="shared" si="7"/>
        <v>1</v>
      </c>
    </row>
    <row r="203" spans="1:5" x14ac:dyDescent="0.35">
      <c r="A203" t="s">
        <v>5132</v>
      </c>
      <c r="B203" t="s">
        <v>1929</v>
      </c>
      <c r="D203" t="str">
        <f t="shared" si="6"/>
        <v>PIL1/D/806</v>
      </c>
      <c r="E203" t="b">
        <f t="shared" si="7"/>
        <v>1</v>
      </c>
    </row>
    <row r="204" spans="1:5" x14ac:dyDescent="0.35">
      <c r="A204" t="s">
        <v>5132</v>
      </c>
      <c r="B204" t="s">
        <v>5040</v>
      </c>
      <c r="D204" t="str">
        <f t="shared" si="6"/>
        <v>PIL1/D/806</v>
      </c>
      <c r="E204" t="b">
        <f t="shared" si="7"/>
        <v>1</v>
      </c>
    </row>
    <row r="205" spans="1:5" x14ac:dyDescent="0.35">
      <c r="A205" t="s">
        <v>5132</v>
      </c>
      <c r="B205" t="s">
        <v>1931</v>
      </c>
      <c r="D205" t="str">
        <f t="shared" si="6"/>
        <v>PIL1/D/806</v>
      </c>
      <c r="E205" t="b">
        <f t="shared" si="7"/>
        <v>1</v>
      </c>
    </row>
    <row r="206" spans="1:5" x14ac:dyDescent="0.35">
      <c r="A206" t="s">
        <v>5132</v>
      </c>
      <c r="B206" t="s">
        <v>1928</v>
      </c>
      <c r="D206" t="str">
        <f t="shared" si="6"/>
        <v>PIL1/D/806</v>
      </c>
      <c r="E206" t="b">
        <f t="shared" si="7"/>
        <v>1</v>
      </c>
    </row>
    <row r="207" spans="1:5" x14ac:dyDescent="0.35">
      <c r="A207" t="s">
        <v>5132</v>
      </c>
      <c r="B207" t="s">
        <v>1930</v>
      </c>
      <c r="D207" t="str">
        <f t="shared" si="6"/>
        <v>PIL1/D/806</v>
      </c>
      <c r="E207" t="b">
        <f t="shared" si="7"/>
        <v>1</v>
      </c>
    </row>
    <row r="208" spans="1:5" x14ac:dyDescent="0.35">
      <c r="A208" t="s">
        <v>5132</v>
      </c>
      <c r="B208" t="s">
        <v>5041</v>
      </c>
      <c r="D208" t="str">
        <f t="shared" si="6"/>
        <v>PIL1/D/806</v>
      </c>
      <c r="E208" t="b">
        <f t="shared" si="7"/>
        <v>1</v>
      </c>
    </row>
    <row r="209" spans="1:5" x14ac:dyDescent="0.35">
      <c r="A209" t="s">
        <v>5133</v>
      </c>
      <c r="B209" t="s">
        <v>5042</v>
      </c>
      <c r="D209" t="str">
        <f t="shared" si="6"/>
        <v>PIL1/D/807</v>
      </c>
      <c r="E209" t="b">
        <f t="shared" si="7"/>
        <v>1</v>
      </c>
    </row>
    <row r="210" spans="1:5" x14ac:dyDescent="0.35">
      <c r="A210" t="s">
        <v>5134</v>
      </c>
      <c r="B210" t="s">
        <v>5043</v>
      </c>
      <c r="D210" t="str">
        <f t="shared" si="6"/>
        <v>PIL1/D/808</v>
      </c>
      <c r="E210" t="b">
        <f t="shared" si="7"/>
        <v>1</v>
      </c>
    </row>
    <row r="211" spans="1:5" x14ac:dyDescent="0.35">
      <c r="A211" t="s">
        <v>5135</v>
      </c>
      <c r="B211" t="s">
        <v>1945</v>
      </c>
      <c r="D211" t="str">
        <f t="shared" si="6"/>
        <v>PIL1/E/312/26-27</v>
      </c>
      <c r="E211" t="b">
        <f t="shared" si="7"/>
        <v>1</v>
      </c>
    </row>
    <row r="212" spans="1:5" x14ac:dyDescent="0.35">
      <c r="A212" t="s">
        <v>5136</v>
      </c>
      <c r="B212" t="s">
        <v>1939</v>
      </c>
      <c r="D212" t="str">
        <f t="shared" si="6"/>
        <v>PIL1/D/812</v>
      </c>
      <c r="E212" t="b">
        <f t="shared" si="7"/>
        <v>1</v>
      </c>
    </row>
    <row r="213" spans="1:5" x14ac:dyDescent="0.35">
      <c r="A213" t="s">
        <v>5137</v>
      </c>
      <c r="B213" t="s">
        <v>5044</v>
      </c>
      <c r="D213" t="str">
        <f t="shared" si="6"/>
        <v>PIL1/D/826</v>
      </c>
      <c r="E213" t="b">
        <f t="shared" si="7"/>
        <v>1</v>
      </c>
    </row>
    <row r="214" spans="1:5" x14ac:dyDescent="0.35">
      <c r="A214" t="s">
        <v>5138</v>
      </c>
      <c r="B214" t="s">
        <v>5045</v>
      </c>
      <c r="D214" t="str">
        <f t="shared" si="6"/>
        <v>PIL1/D/827</v>
      </c>
      <c r="E214" t="b">
        <f t="shared" si="7"/>
        <v>1</v>
      </c>
    </row>
    <row r="215" spans="1:5" x14ac:dyDescent="0.35">
      <c r="A215" t="s">
        <v>5139</v>
      </c>
      <c r="B215" t="s">
        <v>1949</v>
      </c>
      <c r="D215" t="str">
        <f t="shared" si="6"/>
        <v>PIL1/D/823</v>
      </c>
      <c r="E215" t="b">
        <f t="shared" si="7"/>
        <v>1</v>
      </c>
    </row>
    <row r="216" spans="1:5" x14ac:dyDescent="0.35">
      <c r="A216" t="s">
        <v>5140</v>
      </c>
      <c r="B216" t="s">
        <v>1956</v>
      </c>
      <c r="D216" t="str">
        <f t="shared" si="6"/>
        <v>PIL1/D/824</v>
      </c>
      <c r="E216" t="b">
        <f t="shared" si="7"/>
        <v>1</v>
      </c>
    </row>
    <row r="217" spans="1:5" x14ac:dyDescent="0.35">
      <c r="A217" t="s">
        <v>5140</v>
      </c>
      <c r="B217" t="s">
        <v>1954</v>
      </c>
      <c r="D217" t="str">
        <f t="shared" si="6"/>
        <v>PIL1/D/824</v>
      </c>
      <c r="E217" t="b">
        <f t="shared" si="7"/>
        <v>1</v>
      </c>
    </row>
    <row r="218" spans="1:5" x14ac:dyDescent="0.35">
      <c r="A218" t="s">
        <v>5140</v>
      </c>
      <c r="B218" t="s">
        <v>1953</v>
      </c>
      <c r="D218" t="str">
        <f t="shared" si="6"/>
        <v>PIL1/D/824</v>
      </c>
      <c r="E218" t="b">
        <f t="shared" si="7"/>
        <v>1</v>
      </c>
    </row>
    <row r="219" spans="1:5" x14ac:dyDescent="0.35">
      <c r="A219" t="s">
        <v>5140</v>
      </c>
      <c r="B219" t="s">
        <v>1962</v>
      </c>
      <c r="D219" t="str">
        <f t="shared" si="6"/>
        <v>PIL1/D/824</v>
      </c>
      <c r="E219" t="b">
        <f t="shared" si="7"/>
        <v>1</v>
      </c>
    </row>
    <row r="220" spans="1:5" x14ac:dyDescent="0.35">
      <c r="A220" t="s">
        <v>5140</v>
      </c>
      <c r="B220" t="s">
        <v>5046</v>
      </c>
      <c r="D220" t="str">
        <f t="shared" si="6"/>
        <v>PIL1/D/824</v>
      </c>
      <c r="E220" t="b">
        <f t="shared" si="7"/>
        <v>1</v>
      </c>
    </row>
    <row r="221" spans="1:5" x14ac:dyDescent="0.35">
      <c r="A221" t="s">
        <v>5140</v>
      </c>
      <c r="B221" t="s">
        <v>5047</v>
      </c>
      <c r="D221" t="str">
        <f t="shared" si="6"/>
        <v>PIL1/D/824</v>
      </c>
      <c r="E221" t="b">
        <f t="shared" si="7"/>
        <v>1</v>
      </c>
    </row>
    <row r="222" spans="1:5" x14ac:dyDescent="0.35">
      <c r="A222" t="s">
        <v>5140</v>
      </c>
      <c r="B222" t="s">
        <v>5048</v>
      </c>
      <c r="D222" t="str">
        <f t="shared" si="6"/>
        <v>PIL1/D/824</v>
      </c>
      <c r="E222" t="b">
        <f t="shared" si="7"/>
        <v>1</v>
      </c>
    </row>
    <row r="223" spans="1:5" x14ac:dyDescent="0.35">
      <c r="A223" t="s">
        <v>5141</v>
      </c>
      <c r="B223" t="s">
        <v>5049</v>
      </c>
      <c r="D223" t="str">
        <f t="shared" si="6"/>
        <v>PIL1/D/819</v>
      </c>
      <c r="E223" t="b">
        <f t="shared" si="7"/>
        <v>1</v>
      </c>
    </row>
    <row r="224" spans="1:5" x14ac:dyDescent="0.35">
      <c r="A224" t="s">
        <v>5142</v>
      </c>
      <c r="B224" t="s">
        <v>5050</v>
      </c>
      <c r="D224" t="str">
        <f t="shared" si="6"/>
        <v>PIL1/E/316/26-27</v>
      </c>
      <c r="E224" t="b">
        <f t="shared" si="7"/>
        <v>1</v>
      </c>
    </row>
    <row r="225" spans="1:5" x14ac:dyDescent="0.35">
      <c r="A225" t="s">
        <v>5143</v>
      </c>
      <c r="B225" t="s">
        <v>5051</v>
      </c>
      <c r="D225" t="str">
        <f t="shared" si="6"/>
        <v>PIL1/E/317/26-27</v>
      </c>
      <c r="E225" t="b">
        <f t="shared" si="7"/>
        <v>1</v>
      </c>
    </row>
    <row r="226" spans="1:5" x14ac:dyDescent="0.35">
      <c r="A226" t="s">
        <v>5144</v>
      </c>
      <c r="B226" t="s">
        <v>5052</v>
      </c>
      <c r="D226" t="str">
        <f t="shared" si="6"/>
        <v>PIL1/E/318/26-27</v>
      </c>
      <c r="E226" t="b">
        <f t="shared" si="7"/>
        <v>1</v>
      </c>
    </row>
    <row r="227" spans="1:5" x14ac:dyDescent="0.35">
      <c r="A227" t="s">
        <v>5145</v>
      </c>
      <c r="B227" t="s">
        <v>5053</v>
      </c>
      <c r="D227" t="str">
        <f t="shared" si="6"/>
        <v>PIL1/D/837</v>
      </c>
      <c r="E227" t="b">
        <f t="shared" si="7"/>
        <v>1</v>
      </c>
    </row>
    <row r="228" spans="1:5" x14ac:dyDescent="0.35">
      <c r="A228" t="s">
        <v>5146</v>
      </c>
      <c r="B228" t="s">
        <v>5056</v>
      </c>
      <c r="D228" t="str">
        <f t="shared" si="6"/>
        <v>PIL1/D/838</v>
      </c>
      <c r="E228" t="b">
        <f t="shared" si="7"/>
        <v>1</v>
      </c>
    </row>
    <row r="229" spans="1:5" x14ac:dyDescent="0.35">
      <c r="A229" t="s">
        <v>5146</v>
      </c>
      <c r="B229" t="s">
        <v>1612</v>
      </c>
      <c r="D229" t="str">
        <f t="shared" si="6"/>
        <v>PIL1/D/838</v>
      </c>
      <c r="E229" t="b">
        <f t="shared" si="7"/>
        <v>1</v>
      </c>
    </row>
    <row r="230" spans="1:5" x14ac:dyDescent="0.35">
      <c r="A230" t="s">
        <v>5146</v>
      </c>
      <c r="B230" t="s">
        <v>5057</v>
      </c>
      <c r="D230" t="str">
        <f t="shared" si="6"/>
        <v>PIL1/D/838</v>
      </c>
      <c r="E230" t="b">
        <f t="shared" si="7"/>
        <v>1</v>
      </c>
    </row>
    <row r="231" spans="1:5" x14ac:dyDescent="0.35">
      <c r="A231" t="s">
        <v>5146</v>
      </c>
      <c r="B231" t="s">
        <v>5058</v>
      </c>
      <c r="D231" t="str">
        <f t="shared" si="6"/>
        <v>PIL1/D/838</v>
      </c>
      <c r="E231" t="b">
        <f t="shared" si="7"/>
        <v>1</v>
      </c>
    </row>
    <row r="232" spans="1:5" x14ac:dyDescent="0.35">
      <c r="A232" t="s">
        <v>5146</v>
      </c>
      <c r="B232" t="s">
        <v>5059</v>
      </c>
      <c r="D232" t="str">
        <f t="shared" si="6"/>
        <v>PIL1/D/838</v>
      </c>
      <c r="E232" t="b">
        <f t="shared" si="7"/>
        <v>1</v>
      </c>
    </row>
    <row r="233" spans="1:5" x14ac:dyDescent="0.35">
      <c r="A233" t="s">
        <v>5147</v>
      </c>
      <c r="B233" t="s">
        <v>5060</v>
      </c>
      <c r="D233" t="str">
        <f t="shared" si="6"/>
        <v>PIL1/D/841</v>
      </c>
      <c r="E233" t="b">
        <f t="shared" si="7"/>
        <v>1</v>
      </c>
    </row>
    <row r="234" spans="1:5" x14ac:dyDescent="0.35">
      <c r="A234" t="s">
        <v>5147</v>
      </c>
      <c r="B234" t="s">
        <v>5061</v>
      </c>
      <c r="D234" t="str">
        <f t="shared" si="6"/>
        <v>PIL1/D/841</v>
      </c>
      <c r="E234" t="b">
        <f t="shared" si="7"/>
        <v>1</v>
      </c>
    </row>
    <row r="235" spans="1:5" x14ac:dyDescent="0.35">
      <c r="A235" t="s">
        <v>5148</v>
      </c>
      <c r="B235" t="s">
        <v>15</v>
      </c>
      <c r="D235" t="str">
        <f t="shared" si="6"/>
        <v>PIL1/D/843</v>
      </c>
      <c r="E235" t="b">
        <f t="shared" si="7"/>
        <v>1</v>
      </c>
    </row>
    <row r="236" spans="1:5" x14ac:dyDescent="0.35">
      <c r="A236" t="s">
        <v>5149</v>
      </c>
      <c r="B236" t="s">
        <v>5062</v>
      </c>
      <c r="D236" t="str">
        <f t="shared" si="6"/>
        <v>PIL1/D/844</v>
      </c>
      <c r="E236" t="b">
        <f t="shared" si="7"/>
        <v>1</v>
      </c>
    </row>
    <row r="237" spans="1:5" x14ac:dyDescent="0.35">
      <c r="A237" t="s">
        <v>5149</v>
      </c>
      <c r="B237" t="s">
        <v>5063</v>
      </c>
      <c r="D237" t="str">
        <f t="shared" si="6"/>
        <v>PIL1/D/844</v>
      </c>
      <c r="E237" t="b">
        <f t="shared" si="7"/>
        <v>1</v>
      </c>
    </row>
    <row r="238" spans="1:5" x14ac:dyDescent="0.35">
      <c r="A238" t="s">
        <v>5149</v>
      </c>
      <c r="B238" t="s">
        <v>5064</v>
      </c>
      <c r="D238" t="str">
        <f t="shared" si="6"/>
        <v>PIL1/D/844</v>
      </c>
      <c r="E238" t="b">
        <f t="shared" si="7"/>
        <v>1</v>
      </c>
    </row>
    <row r="239" spans="1:5" x14ac:dyDescent="0.35">
      <c r="A239" t="s">
        <v>5149</v>
      </c>
      <c r="B239" t="s">
        <v>5065</v>
      </c>
      <c r="D239" t="str">
        <f t="shared" si="6"/>
        <v>PIL1/D/844</v>
      </c>
      <c r="E239" t="b">
        <f t="shared" si="7"/>
        <v>1</v>
      </c>
    </row>
    <row r="240" spans="1:5" x14ac:dyDescent="0.35">
      <c r="A240" t="s">
        <v>5150</v>
      </c>
      <c r="B240" t="s">
        <v>1620</v>
      </c>
      <c r="D240" t="str">
        <f t="shared" si="6"/>
        <v>PIL1/D/847</v>
      </c>
      <c r="E240" t="b">
        <f t="shared" si="7"/>
        <v>1</v>
      </c>
    </row>
    <row r="241" spans="1:5" x14ac:dyDescent="0.35">
      <c r="A241" t="s">
        <v>5151</v>
      </c>
      <c r="B241" t="s">
        <v>1619</v>
      </c>
      <c r="D241" t="str">
        <f t="shared" si="6"/>
        <v>PIL1/D/848</v>
      </c>
      <c r="E241" t="b">
        <f t="shared" si="7"/>
        <v>1</v>
      </c>
    </row>
    <row r="242" spans="1:5" x14ac:dyDescent="0.35">
      <c r="A242" t="s">
        <v>5153</v>
      </c>
      <c r="B242" t="s">
        <v>5066</v>
      </c>
      <c r="D242" t="str">
        <f t="shared" si="6"/>
        <v>PIL1/D/858</v>
      </c>
      <c r="E242" t="b">
        <f t="shared" si="7"/>
        <v>1</v>
      </c>
    </row>
    <row r="243" spans="1:5" x14ac:dyDescent="0.35">
      <c r="A243" t="s">
        <v>5154</v>
      </c>
      <c r="B243" t="s">
        <v>5067</v>
      </c>
      <c r="D243" t="str">
        <f t="shared" si="6"/>
        <v>PIL1/D/859</v>
      </c>
      <c r="E243" t="b">
        <f t="shared" si="7"/>
        <v>1</v>
      </c>
    </row>
    <row r="244" spans="1:5" x14ac:dyDescent="0.35">
      <c r="A244" t="s">
        <v>5154</v>
      </c>
      <c r="B244" t="s">
        <v>5068</v>
      </c>
      <c r="D244" t="str">
        <f t="shared" si="6"/>
        <v>PIL1/D/859</v>
      </c>
      <c r="E244" t="b">
        <f t="shared" si="7"/>
        <v>1</v>
      </c>
    </row>
    <row r="245" spans="1:5" x14ac:dyDescent="0.35">
      <c r="A245" t="s">
        <v>5154</v>
      </c>
      <c r="B245" t="s">
        <v>5069</v>
      </c>
      <c r="D245" t="str">
        <f t="shared" si="6"/>
        <v>PIL1/D/859</v>
      </c>
      <c r="E245" t="b">
        <f t="shared" si="7"/>
        <v>1</v>
      </c>
    </row>
    <row r="246" spans="1:5" x14ac:dyDescent="0.35">
      <c r="A246" t="s">
        <v>5154</v>
      </c>
      <c r="B246" t="s">
        <v>5070</v>
      </c>
      <c r="D246" t="str">
        <f t="shared" si="6"/>
        <v>PIL1/D/859</v>
      </c>
      <c r="E246" t="b">
        <f t="shared" si="7"/>
        <v>1</v>
      </c>
    </row>
    <row r="247" spans="1:5" x14ac:dyDescent="0.35">
      <c r="A247" t="s">
        <v>5154</v>
      </c>
      <c r="B247" t="s">
        <v>5071</v>
      </c>
      <c r="D247" t="str">
        <f t="shared" si="6"/>
        <v>PIL1/D/859</v>
      </c>
      <c r="E247" t="b">
        <f t="shared" si="7"/>
        <v>1</v>
      </c>
    </row>
    <row r="248" spans="1:5" x14ac:dyDescent="0.35">
      <c r="A248" t="s">
        <v>5155</v>
      </c>
      <c r="B248" t="s">
        <v>5077</v>
      </c>
      <c r="D248" t="str">
        <f t="shared" si="6"/>
        <v>PIL1/D/870</v>
      </c>
      <c r="E248" t="b">
        <f t="shared" si="7"/>
        <v>1</v>
      </c>
    </row>
    <row r="249" spans="1:5" x14ac:dyDescent="0.35">
      <c r="A249" t="s">
        <v>5156</v>
      </c>
      <c r="B249" t="s">
        <v>1966</v>
      </c>
      <c r="D249" t="str">
        <f t="shared" si="6"/>
        <v>PIL1/D/860</v>
      </c>
      <c r="E249" t="b">
        <f t="shared" si="7"/>
        <v>1</v>
      </c>
    </row>
    <row r="250" spans="1:5" x14ac:dyDescent="0.35">
      <c r="A250" t="s">
        <v>2324</v>
      </c>
      <c r="B250" t="s">
        <v>1966</v>
      </c>
      <c r="D250" t="str">
        <f t="shared" si="6"/>
        <v>PIL1/D/861</v>
      </c>
      <c r="E250" t="b">
        <f t="shared" si="7"/>
        <v>1</v>
      </c>
    </row>
    <row r="251" spans="1:5" x14ac:dyDescent="0.35">
      <c r="A251" t="s">
        <v>2324</v>
      </c>
      <c r="B251" t="s">
        <v>1966</v>
      </c>
      <c r="D251" t="str">
        <f t="shared" si="6"/>
        <v>PIL1/D/861</v>
      </c>
      <c r="E251" t="b">
        <f t="shared" si="7"/>
        <v>1</v>
      </c>
    </row>
    <row r="252" spans="1:5" x14ac:dyDescent="0.35">
      <c r="A252" t="s">
        <v>5157</v>
      </c>
      <c r="B252" t="s">
        <v>1966</v>
      </c>
      <c r="D252" t="str">
        <f t="shared" si="6"/>
        <v>PIL1/D/871</v>
      </c>
      <c r="E252" t="b">
        <f t="shared" si="7"/>
        <v>1</v>
      </c>
    </row>
    <row r="253" spans="1:5" x14ac:dyDescent="0.35">
      <c r="A253" t="s">
        <v>5158</v>
      </c>
      <c r="B253" t="s">
        <v>1966</v>
      </c>
      <c r="D253" t="str">
        <f t="shared" si="6"/>
        <v>PIL1/D/872</v>
      </c>
      <c r="E253" t="b">
        <f t="shared" si="7"/>
        <v>1</v>
      </c>
    </row>
    <row r="254" spans="1:5" x14ac:dyDescent="0.35">
      <c r="A254" t="s">
        <v>5158</v>
      </c>
      <c r="B254" t="s">
        <v>1966</v>
      </c>
      <c r="D254" t="str">
        <f t="shared" si="6"/>
        <v>PIL1/D/872</v>
      </c>
      <c r="E254" t="b">
        <f t="shared" si="7"/>
        <v>1</v>
      </c>
    </row>
    <row r="255" spans="1:5" x14ac:dyDescent="0.35">
      <c r="A255" t="s">
        <v>5158</v>
      </c>
      <c r="B255" t="s">
        <v>1966</v>
      </c>
      <c r="D255" t="str">
        <f t="shared" si="6"/>
        <v>PIL1/D/872</v>
      </c>
      <c r="E255" t="b">
        <f t="shared" si="7"/>
        <v>1</v>
      </c>
    </row>
    <row r="256" spans="1:5" x14ac:dyDescent="0.35">
      <c r="A256" t="s">
        <v>5158</v>
      </c>
      <c r="B256" t="s">
        <v>1967</v>
      </c>
      <c r="D256" t="str">
        <f t="shared" si="6"/>
        <v>PIL1/D/872</v>
      </c>
      <c r="E256" t="b">
        <f t="shared" si="7"/>
        <v>1</v>
      </c>
    </row>
    <row r="257" spans="1:5" x14ac:dyDescent="0.35">
      <c r="A257" t="s">
        <v>5159</v>
      </c>
      <c r="B257" t="s">
        <v>5078</v>
      </c>
      <c r="D257" t="str">
        <f t="shared" si="6"/>
        <v>PIL1/D/873</v>
      </c>
      <c r="E257" t="b">
        <f t="shared" si="7"/>
        <v>1</v>
      </c>
    </row>
    <row r="258" spans="1:5" x14ac:dyDescent="0.35">
      <c r="A258" t="s">
        <v>5159</v>
      </c>
      <c r="B258" t="s">
        <v>5078</v>
      </c>
      <c r="D258" t="str">
        <f t="shared" ref="D258:D321" si="8">_xlfn.XLOOKUP(A258,B:B,B:B)</f>
        <v>PIL1/D/873</v>
      </c>
      <c r="E258" t="b">
        <f t="shared" si="7"/>
        <v>1</v>
      </c>
    </row>
    <row r="259" spans="1:5" x14ac:dyDescent="0.35">
      <c r="A259" t="s">
        <v>5160</v>
      </c>
      <c r="B259" t="s">
        <v>5078</v>
      </c>
      <c r="D259" t="str">
        <f t="shared" si="8"/>
        <v>PIL2/E/43/26-27</v>
      </c>
      <c r="E259" t="b">
        <f t="shared" ref="E259:E322" si="9">A259=D259</f>
        <v>1</v>
      </c>
    </row>
    <row r="260" spans="1:5" x14ac:dyDescent="0.35">
      <c r="A260" t="s">
        <v>5162</v>
      </c>
      <c r="B260" t="s">
        <v>5079</v>
      </c>
      <c r="D260" t="str">
        <f t="shared" si="8"/>
        <v>PIL2/D/198</v>
      </c>
      <c r="E260" t="b">
        <f t="shared" si="9"/>
        <v>1</v>
      </c>
    </row>
    <row r="261" spans="1:5" x14ac:dyDescent="0.35">
      <c r="A261" t="s">
        <v>5162</v>
      </c>
      <c r="B261" t="s">
        <v>5080</v>
      </c>
      <c r="D261" t="str">
        <f t="shared" si="8"/>
        <v>PIL2/D/198</v>
      </c>
      <c r="E261" t="b">
        <f t="shared" si="9"/>
        <v>1</v>
      </c>
    </row>
    <row r="262" spans="1:5" x14ac:dyDescent="0.35">
      <c r="A262" t="s">
        <v>5162</v>
      </c>
      <c r="B262" t="s">
        <v>5081</v>
      </c>
      <c r="D262" t="str">
        <f t="shared" si="8"/>
        <v>PIL2/D/198</v>
      </c>
      <c r="E262" t="b">
        <f t="shared" si="9"/>
        <v>1</v>
      </c>
    </row>
    <row r="263" spans="1:5" x14ac:dyDescent="0.35">
      <c r="A263" t="s">
        <v>5162</v>
      </c>
      <c r="B263" t="s">
        <v>5082</v>
      </c>
      <c r="D263" t="str">
        <f t="shared" si="8"/>
        <v>PIL2/D/198</v>
      </c>
      <c r="E263" t="b">
        <f t="shared" si="9"/>
        <v>1</v>
      </c>
    </row>
    <row r="264" spans="1:5" x14ac:dyDescent="0.35">
      <c r="A264" t="s">
        <v>5162</v>
      </c>
      <c r="B264" t="s">
        <v>5082</v>
      </c>
      <c r="D264" t="str">
        <f t="shared" si="8"/>
        <v>PIL2/D/198</v>
      </c>
      <c r="E264" t="b">
        <f t="shared" si="9"/>
        <v>1</v>
      </c>
    </row>
    <row r="265" spans="1:5" x14ac:dyDescent="0.35">
      <c r="A265" t="s">
        <v>5163</v>
      </c>
      <c r="B265" t="s">
        <v>5083</v>
      </c>
      <c r="D265" t="str">
        <f t="shared" si="8"/>
        <v>PIL2/D/201</v>
      </c>
      <c r="E265" t="b">
        <f t="shared" si="9"/>
        <v>1</v>
      </c>
    </row>
    <row r="266" spans="1:5" x14ac:dyDescent="0.35">
      <c r="A266" t="s">
        <v>5163</v>
      </c>
      <c r="B266" t="s">
        <v>5083</v>
      </c>
      <c r="D266" t="str">
        <f t="shared" si="8"/>
        <v>PIL2/D/201</v>
      </c>
      <c r="E266" t="b">
        <f t="shared" si="9"/>
        <v>1</v>
      </c>
    </row>
    <row r="267" spans="1:5" x14ac:dyDescent="0.35">
      <c r="A267" t="s">
        <v>5164</v>
      </c>
      <c r="B267" t="s">
        <v>5084</v>
      </c>
      <c r="D267" t="str">
        <f t="shared" si="8"/>
        <v>PIL2/E/44/26-27</v>
      </c>
      <c r="E267" t="b">
        <f t="shared" si="9"/>
        <v>1</v>
      </c>
    </row>
    <row r="268" spans="1:5" x14ac:dyDescent="0.35">
      <c r="A268" t="s">
        <v>5164</v>
      </c>
      <c r="B268" t="s">
        <v>5085</v>
      </c>
      <c r="D268" t="str">
        <f t="shared" si="8"/>
        <v>PIL2/E/44/26-27</v>
      </c>
      <c r="E268" t="b">
        <f t="shared" si="9"/>
        <v>1</v>
      </c>
    </row>
    <row r="269" spans="1:5" x14ac:dyDescent="0.35">
      <c r="A269" t="s">
        <v>5164</v>
      </c>
      <c r="B269" t="s">
        <v>5086</v>
      </c>
      <c r="D269" t="str">
        <f t="shared" si="8"/>
        <v>PIL2/E/44/26-27</v>
      </c>
      <c r="E269" t="b">
        <f t="shared" si="9"/>
        <v>1</v>
      </c>
    </row>
    <row r="270" spans="1:5" x14ac:dyDescent="0.35">
      <c r="A270" t="s">
        <v>5165</v>
      </c>
      <c r="B270" t="s">
        <v>5086</v>
      </c>
      <c r="D270" t="str">
        <f t="shared" si="8"/>
        <v>PIL2/D/213</v>
      </c>
      <c r="E270" t="b">
        <f t="shared" si="9"/>
        <v>1</v>
      </c>
    </row>
    <row r="271" spans="1:5" x14ac:dyDescent="0.35">
      <c r="A271" t="s">
        <v>5165</v>
      </c>
      <c r="B271" t="s">
        <v>5086</v>
      </c>
      <c r="D271" t="str">
        <f t="shared" si="8"/>
        <v>PIL2/D/213</v>
      </c>
      <c r="E271" t="b">
        <f t="shared" si="9"/>
        <v>1</v>
      </c>
    </row>
    <row r="272" spans="1:5" x14ac:dyDescent="0.35">
      <c r="A272" t="s">
        <v>5166</v>
      </c>
      <c r="B272" t="s">
        <v>5086</v>
      </c>
      <c r="D272" t="str">
        <f t="shared" si="8"/>
        <v>PIL2/E/45/26-27</v>
      </c>
      <c r="E272" t="b">
        <f t="shared" si="9"/>
        <v>1</v>
      </c>
    </row>
    <row r="273" spans="1:5" x14ac:dyDescent="0.35">
      <c r="A273" t="s">
        <v>5167</v>
      </c>
      <c r="B273" t="s">
        <v>5086</v>
      </c>
      <c r="D273" t="str">
        <f t="shared" si="8"/>
        <v>PIL2/E/46/26-27</v>
      </c>
      <c r="E273" t="b">
        <f t="shared" si="9"/>
        <v>1</v>
      </c>
    </row>
    <row r="274" spans="1:5" x14ac:dyDescent="0.35">
      <c r="A274" t="s">
        <v>5167</v>
      </c>
      <c r="B274" t="s">
        <v>5086</v>
      </c>
      <c r="D274" t="str">
        <f t="shared" si="8"/>
        <v>PIL2/E/46/26-27</v>
      </c>
      <c r="E274" t="b">
        <f t="shared" si="9"/>
        <v>1</v>
      </c>
    </row>
    <row r="275" spans="1:5" x14ac:dyDescent="0.35">
      <c r="A275" t="s">
        <v>5168</v>
      </c>
      <c r="B275" t="s">
        <v>5087</v>
      </c>
      <c r="D275" t="str">
        <f t="shared" si="8"/>
        <v>PIL2/E/49/26-27</v>
      </c>
      <c r="E275" t="b">
        <f t="shared" si="9"/>
        <v>1</v>
      </c>
    </row>
    <row r="276" spans="1:5" x14ac:dyDescent="0.35">
      <c r="A276" t="s">
        <v>1633</v>
      </c>
      <c r="B276" t="s">
        <v>5088</v>
      </c>
      <c r="D276" t="str">
        <f t="shared" si="8"/>
        <v>PIL2/D/221</v>
      </c>
      <c r="E276" t="b">
        <f t="shared" si="9"/>
        <v>1</v>
      </c>
    </row>
    <row r="277" spans="1:5" x14ac:dyDescent="0.35">
      <c r="A277" t="s">
        <v>1633</v>
      </c>
      <c r="B277" t="s">
        <v>5089</v>
      </c>
      <c r="D277" t="str">
        <f t="shared" si="8"/>
        <v>PIL2/D/221</v>
      </c>
      <c r="E277" t="b">
        <f t="shared" si="9"/>
        <v>1</v>
      </c>
    </row>
    <row r="278" spans="1:5" x14ac:dyDescent="0.35">
      <c r="A278" t="s">
        <v>1633</v>
      </c>
      <c r="B278" t="s">
        <v>5090</v>
      </c>
      <c r="D278" t="str">
        <f t="shared" si="8"/>
        <v>PIL2/D/221</v>
      </c>
      <c r="E278" t="b">
        <f t="shared" si="9"/>
        <v>1</v>
      </c>
    </row>
    <row r="279" spans="1:5" x14ac:dyDescent="0.35">
      <c r="A279" t="s">
        <v>5170</v>
      </c>
      <c r="B279" t="s">
        <v>2034</v>
      </c>
      <c r="D279" t="str">
        <f t="shared" si="8"/>
        <v>PIL2/D/240</v>
      </c>
      <c r="E279" t="b">
        <f t="shared" si="9"/>
        <v>1</v>
      </c>
    </row>
    <row r="280" spans="1:5" x14ac:dyDescent="0.35">
      <c r="A280" t="s">
        <v>5171</v>
      </c>
      <c r="B280" t="s">
        <v>2034</v>
      </c>
      <c r="D280" t="str">
        <f t="shared" si="8"/>
        <v>PIL2/D/246</v>
      </c>
      <c r="E280" t="b">
        <f t="shared" si="9"/>
        <v>1</v>
      </c>
    </row>
    <row r="281" spans="1:5" x14ac:dyDescent="0.35">
      <c r="A281" t="s">
        <v>5171</v>
      </c>
      <c r="B281" t="s">
        <v>2034</v>
      </c>
      <c r="D281" t="str">
        <f t="shared" si="8"/>
        <v>PIL2/D/246</v>
      </c>
      <c r="E281" t="b">
        <f t="shared" si="9"/>
        <v>1</v>
      </c>
    </row>
    <row r="282" spans="1:5" x14ac:dyDescent="0.35">
      <c r="A282" t="s">
        <v>5172</v>
      </c>
      <c r="B282" t="s">
        <v>2034</v>
      </c>
      <c r="D282" t="str">
        <f t="shared" si="8"/>
        <v>PIL2/D/251</v>
      </c>
      <c r="E282" t="b">
        <f t="shared" si="9"/>
        <v>1</v>
      </c>
    </row>
    <row r="283" spans="1:5" x14ac:dyDescent="0.35">
      <c r="A283" t="s">
        <v>5172</v>
      </c>
      <c r="B283" t="s">
        <v>2034</v>
      </c>
      <c r="D283" t="str">
        <f t="shared" si="8"/>
        <v>PIL2/D/251</v>
      </c>
      <c r="E283" t="b">
        <f t="shared" si="9"/>
        <v>1</v>
      </c>
    </row>
    <row r="284" spans="1:5" x14ac:dyDescent="0.35">
      <c r="A284" t="s">
        <v>5173</v>
      </c>
      <c r="B284" t="s">
        <v>5091</v>
      </c>
      <c r="D284" t="str">
        <f t="shared" si="8"/>
        <v>PIL2/D/257</v>
      </c>
      <c r="E284" t="b">
        <f t="shared" si="9"/>
        <v>1</v>
      </c>
    </row>
    <row r="285" spans="1:5" x14ac:dyDescent="0.35">
      <c r="A285" t="s">
        <v>5173</v>
      </c>
      <c r="B285" t="s">
        <v>5092</v>
      </c>
      <c r="D285" t="str">
        <f t="shared" si="8"/>
        <v>PIL2/D/257</v>
      </c>
      <c r="E285" t="b">
        <f t="shared" si="9"/>
        <v>1</v>
      </c>
    </row>
    <row r="286" spans="1:5" x14ac:dyDescent="0.35">
      <c r="A286" t="s">
        <v>5173</v>
      </c>
      <c r="B286" t="s">
        <v>5093</v>
      </c>
      <c r="D286" t="str">
        <f t="shared" si="8"/>
        <v>PIL2/D/257</v>
      </c>
      <c r="E286" t="b">
        <f t="shared" si="9"/>
        <v>1</v>
      </c>
    </row>
    <row r="287" spans="1:5" x14ac:dyDescent="0.35">
      <c r="A287" t="s">
        <v>5173</v>
      </c>
      <c r="B287" t="s">
        <v>5094</v>
      </c>
      <c r="D287" t="str">
        <f t="shared" si="8"/>
        <v>PIL2/D/257</v>
      </c>
      <c r="E287" t="b">
        <f t="shared" si="9"/>
        <v>1</v>
      </c>
    </row>
    <row r="288" spans="1:5" x14ac:dyDescent="0.35">
      <c r="A288" t="s">
        <v>5174</v>
      </c>
      <c r="B288" t="s">
        <v>5095</v>
      </c>
      <c r="D288" t="str">
        <f t="shared" si="8"/>
        <v>PIL2/D/259</v>
      </c>
      <c r="E288" t="b">
        <f t="shared" si="9"/>
        <v>1</v>
      </c>
    </row>
    <row r="289" spans="1:5" x14ac:dyDescent="0.35">
      <c r="A289" t="s">
        <v>5175</v>
      </c>
      <c r="B289" t="s">
        <v>5095</v>
      </c>
      <c r="D289" t="str">
        <f t="shared" si="8"/>
        <v>PIL2/D/260</v>
      </c>
      <c r="E289" t="b">
        <f t="shared" si="9"/>
        <v>1</v>
      </c>
    </row>
    <row r="290" spans="1:5" x14ac:dyDescent="0.35">
      <c r="A290" t="s">
        <v>3952</v>
      </c>
      <c r="B290" t="s">
        <v>5095</v>
      </c>
      <c r="D290" t="str">
        <f t="shared" si="8"/>
        <v>PIL2/D/263</v>
      </c>
      <c r="E290" t="b">
        <f t="shared" si="9"/>
        <v>1</v>
      </c>
    </row>
    <row r="291" spans="1:5" x14ac:dyDescent="0.35">
      <c r="A291" t="s">
        <v>3952</v>
      </c>
      <c r="B291" t="s">
        <v>5095</v>
      </c>
      <c r="D291" t="str">
        <f t="shared" si="8"/>
        <v>PIL2/D/263</v>
      </c>
      <c r="E291" t="b">
        <f t="shared" si="9"/>
        <v>1</v>
      </c>
    </row>
    <row r="292" spans="1:5" x14ac:dyDescent="0.35">
      <c r="A292" t="s">
        <v>3952</v>
      </c>
      <c r="B292" t="s">
        <v>5095</v>
      </c>
      <c r="D292" t="str">
        <f t="shared" si="8"/>
        <v>PIL2/D/263</v>
      </c>
      <c r="E292" t="b">
        <f t="shared" si="9"/>
        <v>1</v>
      </c>
    </row>
    <row r="293" spans="1:5" x14ac:dyDescent="0.35">
      <c r="A293" t="s">
        <v>3952</v>
      </c>
      <c r="B293" t="s">
        <v>5096</v>
      </c>
      <c r="D293" t="str">
        <f t="shared" si="8"/>
        <v>PIL2/D/263</v>
      </c>
      <c r="E293" t="b">
        <f t="shared" si="9"/>
        <v>1</v>
      </c>
    </row>
    <row r="294" spans="1:5" x14ac:dyDescent="0.35">
      <c r="A294" t="s">
        <v>3952</v>
      </c>
      <c r="B294" t="s">
        <v>5097</v>
      </c>
      <c r="D294" t="str">
        <f t="shared" si="8"/>
        <v>PIL2/D/263</v>
      </c>
      <c r="E294" t="b">
        <f t="shared" si="9"/>
        <v>1</v>
      </c>
    </row>
    <row r="295" spans="1:5" x14ac:dyDescent="0.35">
      <c r="A295" t="s">
        <v>5176</v>
      </c>
      <c r="B295" t="s">
        <v>5097</v>
      </c>
      <c r="D295" t="str">
        <f t="shared" si="8"/>
        <v>PIL2/E/65/26-27</v>
      </c>
      <c r="E295" t="b">
        <f t="shared" si="9"/>
        <v>1</v>
      </c>
    </row>
    <row r="296" spans="1:5" x14ac:dyDescent="0.35">
      <c r="A296" t="s">
        <v>5177</v>
      </c>
      <c r="B296" t="s">
        <v>5097</v>
      </c>
      <c r="D296" t="str">
        <f t="shared" si="8"/>
        <v>PIL2/E/66/26-27</v>
      </c>
      <c r="E296" t="b">
        <f t="shared" si="9"/>
        <v>1</v>
      </c>
    </row>
    <row r="297" spans="1:5" x14ac:dyDescent="0.35">
      <c r="A297" t="s">
        <v>5178</v>
      </c>
      <c r="B297" t="s">
        <v>5098</v>
      </c>
      <c r="D297" t="str">
        <f t="shared" si="8"/>
        <v>PIL2/E/67/26-27</v>
      </c>
      <c r="E297" t="b">
        <f t="shared" si="9"/>
        <v>1</v>
      </c>
    </row>
    <row r="298" spans="1:5" x14ac:dyDescent="0.35">
      <c r="A298" t="s">
        <v>5179</v>
      </c>
      <c r="B298" t="s">
        <v>5098</v>
      </c>
      <c r="D298" t="str">
        <f t="shared" si="8"/>
        <v>PIL2/E/68/26-27</v>
      </c>
      <c r="E298" t="b">
        <f t="shared" si="9"/>
        <v>1</v>
      </c>
    </row>
    <row r="299" spans="1:5" x14ac:dyDescent="0.35">
      <c r="A299" t="s">
        <v>5180</v>
      </c>
      <c r="B299" t="s">
        <v>5099</v>
      </c>
      <c r="D299" t="str">
        <f t="shared" si="8"/>
        <v>PIL2/E/69/26-27</v>
      </c>
      <c r="E299" t="b">
        <f t="shared" si="9"/>
        <v>1</v>
      </c>
    </row>
    <row r="300" spans="1:5" x14ac:dyDescent="0.35">
      <c r="A300" t="s">
        <v>5181</v>
      </c>
      <c r="B300" t="s">
        <v>5100</v>
      </c>
      <c r="D300" t="str">
        <f t="shared" si="8"/>
        <v>PIL2/E/70/26-27</v>
      </c>
      <c r="E300" t="b">
        <f t="shared" si="9"/>
        <v>1</v>
      </c>
    </row>
    <row r="301" spans="1:5" x14ac:dyDescent="0.35">
      <c r="A301" t="s">
        <v>5182</v>
      </c>
      <c r="B301" t="s">
        <v>5101</v>
      </c>
      <c r="D301" t="str">
        <f t="shared" si="8"/>
        <v>PIL2/E/71/26-27</v>
      </c>
      <c r="E301" t="b">
        <f t="shared" si="9"/>
        <v>1</v>
      </c>
    </row>
    <row r="302" spans="1:5" x14ac:dyDescent="0.35">
      <c r="A302" t="s">
        <v>5182</v>
      </c>
      <c r="B302" t="s">
        <v>5102</v>
      </c>
      <c r="D302" t="str">
        <f t="shared" si="8"/>
        <v>PIL2/E/71/26-27</v>
      </c>
      <c r="E302" t="b">
        <f t="shared" si="9"/>
        <v>1</v>
      </c>
    </row>
    <row r="303" spans="1:5" x14ac:dyDescent="0.35">
      <c r="A303" t="s">
        <v>5183</v>
      </c>
      <c r="B303" t="s">
        <v>5103</v>
      </c>
      <c r="D303" t="str">
        <f t="shared" si="8"/>
        <v>PIL2/E/72/26-27</v>
      </c>
      <c r="E303" t="b">
        <f t="shared" si="9"/>
        <v>1</v>
      </c>
    </row>
    <row r="304" spans="1:5" x14ac:dyDescent="0.35">
      <c r="A304" t="s">
        <v>5184</v>
      </c>
      <c r="B304" t="s">
        <v>5104</v>
      </c>
      <c r="D304" t="str">
        <f t="shared" si="8"/>
        <v>PIL2/D/286</v>
      </c>
      <c r="E304" t="b">
        <f t="shared" si="9"/>
        <v>1</v>
      </c>
    </row>
    <row r="305" spans="1:5" x14ac:dyDescent="0.35">
      <c r="A305" t="s">
        <v>5184</v>
      </c>
      <c r="B305" t="s">
        <v>5105</v>
      </c>
      <c r="D305" t="str">
        <f t="shared" si="8"/>
        <v>PIL2/D/286</v>
      </c>
      <c r="E305" t="b">
        <f t="shared" si="9"/>
        <v>1</v>
      </c>
    </row>
    <row r="306" spans="1:5" x14ac:dyDescent="0.35">
      <c r="A306" t="s">
        <v>5184</v>
      </c>
      <c r="B306" t="s">
        <v>5105</v>
      </c>
      <c r="D306" t="str">
        <f t="shared" si="8"/>
        <v>PIL2/D/286</v>
      </c>
      <c r="E306" t="b">
        <f t="shared" si="9"/>
        <v>1</v>
      </c>
    </row>
    <row r="307" spans="1:5" x14ac:dyDescent="0.35">
      <c r="A307" t="s">
        <v>5185</v>
      </c>
      <c r="B307" t="s">
        <v>5106</v>
      </c>
      <c r="D307" t="str">
        <f t="shared" si="8"/>
        <v>PIL2/D/287</v>
      </c>
      <c r="E307" t="b">
        <f t="shared" si="9"/>
        <v>1</v>
      </c>
    </row>
    <row r="308" spans="1:5" x14ac:dyDescent="0.35">
      <c r="A308" t="s">
        <v>5186</v>
      </c>
      <c r="B308" t="s">
        <v>5107</v>
      </c>
      <c r="D308" t="str">
        <f t="shared" si="8"/>
        <v>PIL2/D/288</v>
      </c>
      <c r="E308" t="b">
        <f t="shared" si="9"/>
        <v>1</v>
      </c>
    </row>
    <row r="309" spans="1:5" x14ac:dyDescent="0.35">
      <c r="A309" t="s">
        <v>5187</v>
      </c>
      <c r="B309" t="s">
        <v>5107</v>
      </c>
      <c r="D309" t="str">
        <f t="shared" si="8"/>
        <v>PIL2/E/73/26-27</v>
      </c>
      <c r="E309" t="b">
        <f t="shared" si="9"/>
        <v>1</v>
      </c>
    </row>
    <row r="310" spans="1:5" x14ac:dyDescent="0.35">
      <c r="A310" t="s">
        <v>5188</v>
      </c>
      <c r="B310" t="s">
        <v>5107</v>
      </c>
      <c r="D310" t="str">
        <f t="shared" si="8"/>
        <v>PIL2/D/302</v>
      </c>
      <c r="E310" t="b">
        <f t="shared" si="9"/>
        <v>1</v>
      </c>
    </row>
    <row r="311" spans="1:5" x14ac:dyDescent="0.35">
      <c r="A311" t="s">
        <v>1990</v>
      </c>
      <c r="B311" t="s">
        <v>5107</v>
      </c>
      <c r="D311" t="str">
        <f t="shared" si="8"/>
        <v>PIL2/D/308</v>
      </c>
      <c r="E311" t="b">
        <f t="shared" si="9"/>
        <v>1</v>
      </c>
    </row>
    <row r="312" spans="1:5" x14ac:dyDescent="0.35">
      <c r="A312" t="s">
        <v>1991</v>
      </c>
      <c r="B312" t="s">
        <v>5107</v>
      </c>
      <c r="D312" t="str">
        <f t="shared" si="8"/>
        <v>PIL2/D/309</v>
      </c>
      <c r="E312" t="b">
        <f t="shared" si="9"/>
        <v>1</v>
      </c>
    </row>
    <row r="313" spans="1:5" x14ac:dyDescent="0.35">
      <c r="A313" t="s">
        <v>5189</v>
      </c>
      <c r="B313" t="s">
        <v>5107</v>
      </c>
      <c r="D313" t="str">
        <f t="shared" si="8"/>
        <v>PIL2/E/77/26-27</v>
      </c>
      <c r="E313" t="b">
        <f t="shared" si="9"/>
        <v>1</v>
      </c>
    </row>
    <row r="314" spans="1:5" x14ac:dyDescent="0.35">
      <c r="A314" t="s">
        <v>5189</v>
      </c>
      <c r="B314" t="s">
        <v>5107</v>
      </c>
      <c r="D314" t="str">
        <f t="shared" si="8"/>
        <v>PIL2/E/77/26-27</v>
      </c>
      <c r="E314" t="b">
        <f t="shared" si="9"/>
        <v>1</v>
      </c>
    </row>
    <row r="315" spans="1:5" x14ac:dyDescent="0.35">
      <c r="A315" t="s">
        <v>5190</v>
      </c>
      <c r="B315" t="s">
        <v>5108</v>
      </c>
      <c r="D315" t="str">
        <f t="shared" si="8"/>
        <v>PIL2/D/327</v>
      </c>
      <c r="E315" t="b">
        <f t="shared" si="9"/>
        <v>1</v>
      </c>
    </row>
    <row r="316" spans="1:5" x14ac:dyDescent="0.35">
      <c r="A316" t="s">
        <v>5190</v>
      </c>
      <c r="B316" t="s">
        <v>2143</v>
      </c>
      <c r="D316" t="str">
        <f t="shared" si="8"/>
        <v>PIL2/D/327</v>
      </c>
      <c r="E316" t="b">
        <f t="shared" si="9"/>
        <v>1</v>
      </c>
    </row>
    <row r="317" spans="1:5" x14ac:dyDescent="0.35">
      <c r="A317" t="s">
        <v>5191</v>
      </c>
      <c r="B317" t="s">
        <v>5109</v>
      </c>
      <c r="D317" t="str">
        <f t="shared" si="8"/>
        <v>PIL2/D/328</v>
      </c>
      <c r="E317" t="b">
        <f t="shared" si="9"/>
        <v>1</v>
      </c>
    </row>
    <row r="318" spans="1:5" x14ac:dyDescent="0.35">
      <c r="B318" t="s">
        <v>5109</v>
      </c>
      <c r="D318">
        <f t="shared" si="8"/>
        <v>0</v>
      </c>
      <c r="E318" t="b">
        <f t="shared" si="9"/>
        <v>1</v>
      </c>
    </row>
    <row r="319" spans="1:5" x14ac:dyDescent="0.35">
      <c r="B319" t="s">
        <v>5109</v>
      </c>
      <c r="D319">
        <f t="shared" si="8"/>
        <v>0</v>
      </c>
      <c r="E319" t="b">
        <f t="shared" si="9"/>
        <v>1</v>
      </c>
    </row>
    <row r="320" spans="1:5" x14ac:dyDescent="0.35">
      <c r="B320" t="s">
        <v>5110</v>
      </c>
      <c r="D320">
        <f t="shared" si="8"/>
        <v>0</v>
      </c>
      <c r="E320" t="b">
        <f t="shared" si="9"/>
        <v>1</v>
      </c>
    </row>
    <row r="321" spans="2:5" x14ac:dyDescent="0.35">
      <c r="B321" t="s">
        <v>2148</v>
      </c>
      <c r="D321">
        <f t="shared" si="8"/>
        <v>0</v>
      </c>
      <c r="E321" t="b">
        <f t="shared" si="9"/>
        <v>1</v>
      </c>
    </row>
    <row r="322" spans="2:5" x14ac:dyDescent="0.35">
      <c r="B322" t="s">
        <v>2146</v>
      </c>
      <c r="D322">
        <f t="shared" ref="D322:D385" si="10">_xlfn.XLOOKUP(A322,B:B,B:B)</f>
        <v>0</v>
      </c>
      <c r="E322" t="b">
        <f t="shared" si="9"/>
        <v>1</v>
      </c>
    </row>
    <row r="323" spans="2:5" x14ac:dyDescent="0.35">
      <c r="B323" t="s">
        <v>2146</v>
      </c>
      <c r="D323">
        <f t="shared" si="10"/>
        <v>0</v>
      </c>
      <c r="E323" t="b">
        <f t="shared" ref="E323:E386" si="11">A323=D323</f>
        <v>1</v>
      </c>
    </row>
    <row r="324" spans="2:5" x14ac:dyDescent="0.35">
      <c r="B324" t="s">
        <v>2146</v>
      </c>
      <c r="D324">
        <f t="shared" si="10"/>
        <v>0</v>
      </c>
      <c r="E324" t="b">
        <f t="shared" si="11"/>
        <v>1</v>
      </c>
    </row>
    <row r="325" spans="2:5" x14ac:dyDescent="0.35">
      <c r="B325" t="s">
        <v>2146</v>
      </c>
      <c r="D325">
        <f t="shared" si="10"/>
        <v>0</v>
      </c>
      <c r="E325" t="b">
        <f t="shared" si="11"/>
        <v>1</v>
      </c>
    </row>
    <row r="326" spans="2:5" x14ac:dyDescent="0.35">
      <c r="B326" t="s">
        <v>2150</v>
      </c>
      <c r="D326">
        <f t="shared" si="10"/>
        <v>0</v>
      </c>
      <c r="E326" t="b">
        <f t="shared" si="11"/>
        <v>1</v>
      </c>
    </row>
    <row r="327" spans="2:5" x14ac:dyDescent="0.35">
      <c r="B327" t="s">
        <v>5111</v>
      </c>
      <c r="D327">
        <f t="shared" si="10"/>
        <v>0</v>
      </c>
      <c r="E327" t="b">
        <f t="shared" si="11"/>
        <v>1</v>
      </c>
    </row>
    <row r="328" spans="2:5" x14ac:dyDescent="0.35">
      <c r="B328" t="s">
        <v>5111</v>
      </c>
      <c r="D328">
        <f t="shared" si="10"/>
        <v>0</v>
      </c>
      <c r="E328" t="b">
        <f t="shared" si="11"/>
        <v>1</v>
      </c>
    </row>
    <row r="329" spans="2:5" x14ac:dyDescent="0.35">
      <c r="B329" t="s">
        <v>5111</v>
      </c>
      <c r="D329">
        <f t="shared" si="10"/>
        <v>0</v>
      </c>
      <c r="E329" t="b">
        <f t="shared" si="11"/>
        <v>1</v>
      </c>
    </row>
    <row r="330" spans="2:5" x14ac:dyDescent="0.35">
      <c r="B330" t="s">
        <v>5111</v>
      </c>
      <c r="D330">
        <f t="shared" si="10"/>
        <v>0</v>
      </c>
      <c r="E330" t="b">
        <f t="shared" si="11"/>
        <v>1</v>
      </c>
    </row>
    <row r="331" spans="2:5" x14ac:dyDescent="0.35">
      <c r="B331" t="s">
        <v>5111</v>
      </c>
      <c r="D331">
        <f t="shared" si="10"/>
        <v>0</v>
      </c>
      <c r="E331" t="b">
        <f t="shared" si="11"/>
        <v>1</v>
      </c>
    </row>
    <row r="332" spans="2:5" x14ac:dyDescent="0.35">
      <c r="B332" t="s">
        <v>2151</v>
      </c>
      <c r="D332">
        <f t="shared" si="10"/>
        <v>0</v>
      </c>
      <c r="E332" t="b">
        <f t="shared" si="11"/>
        <v>1</v>
      </c>
    </row>
    <row r="333" spans="2:5" x14ac:dyDescent="0.35">
      <c r="B333" t="s">
        <v>2153</v>
      </c>
      <c r="D333">
        <f t="shared" si="10"/>
        <v>0</v>
      </c>
      <c r="E333" t="b">
        <f t="shared" si="11"/>
        <v>1</v>
      </c>
    </row>
    <row r="334" spans="2:5" x14ac:dyDescent="0.35">
      <c r="B334" t="s">
        <v>2153</v>
      </c>
      <c r="D334">
        <f t="shared" si="10"/>
        <v>0</v>
      </c>
      <c r="E334" t="b">
        <f t="shared" si="11"/>
        <v>1</v>
      </c>
    </row>
    <row r="335" spans="2:5" x14ac:dyDescent="0.35">
      <c r="B335" t="s">
        <v>2153</v>
      </c>
      <c r="D335">
        <f t="shared" si="10"/>
        <v>0</v>
      </c>
      <c r="E335" t="b">
        <f t="shared" si="11"/>
        <v>1</v>
      </c>
    </row>
    <row r="336" spans="2:5" x14ac:dyDescent="0.35">
      <c r="B336" t="s">
        <v>2153</v>
      </c>
      <c r="D336">
        <f t="shared" si="10"/>
        <v>0</v>
      </c>
      <c r="E336" t="b">
        <f t="shared" si="11"/>
        <v>1</v>
      </c>
    </row>
    <row r="337" spans="2:5" x14ac:dyDescent="0.35">
      <c r="B337" t="s">
        <v>2153</v>
      </c>
      <c r="D337">
        <f t="shared" si="10"/>
        <v>0</v>
      </c>
      <c r="E337" t="b">
        <f t="shared" si="11"/>
        <v>1</v>
      </c>
    </row>
    <row r="338" spans="2:5" x14ac:dyDescent="0.35">
      <c r="B338" t="s">
        <v>2153</v>
      </c>
      <c r="D338">
        <f t="shared" si="10"/>
        <v>0</v>
      </c>
      <c r="E338" t="b">
        <f t="shared" si="11"/>
        <v>1</v>
      </c>
    </row>
    <row r="339" spans="2:5" x14ac:dyDescent="0.35">
      <c r="B339" t="s">
        <v>2153</v>
      </c>
      <c r="D339">
        <f t="shared" si="10"/>
        <v>0</v>
      </c>
      <c r="E339" t="b">
        <f t="shared" si="11"/>
        <v>1</v>
      </c>
    </row>
    <row r="340" spans="2:5" x14ac:dyDescent="0.35">
      <c r="B340" t="s">
        <v>2153</v>
      </c>
      <c r="D340">
        <f t="shared" si="10"/>
        <v>0</v>
      </c>
      <c r="E340" t="b">
        <f t="shared" si="11"/>
        <v>1</v>
      </c>
    </row>
    <row r="341" spans="2:5" x14ac:dyDescent="0.35">
      <c r="B341" t="s">
        <v>5112</v>
      </c>
      <c r="D341">
        <f t="shared" si="10"/>
        <v>0</v>
      </c>
      <c r="E341" t="b">
        <f t="shared" si="11"/>
        <v>1</v>
      </c>
    </row>
    <row r="342" spans="2:5" x14ac:dyDescent="0.35">
      <c r="B342" t="s">
        <v>1340</v>
      </c>
      <c r="D342">
        <f t="shared" si="10"/>
        <v>0</v>
      </c>
      <c r="E342" t="b">
        <f t="shared" si="11"/>
        <v>1</v>
      </c>
    </row>
    <row r="343" spans="2:5" x14ac:dyDescent="0.35">
      <c r="B343" t="s">
        <v>1344</v>
      </c>
      <c r="D343">
        <f t="shared" si="10"/>
        <v>0</v>
      </c>
      <c r="E343" t="b">
        <f t="shared" si="11"/>
        <v>1</v>
      </c>
    </row>
    <row r="344" spans="2:5" x14ac:dyDescent="0.35">
      <c r="B344" t="s">
        <v>2158</v>
      </c>
      <c r="D344">
        <f t="shared" si="10"/>
        <v>0</v>
      </c>
      <c r="E344" t="b">
        <f t="shared" si="11"/>
        <v>1</v>
      </c>
    </row>
    <row r="345" spans="2:5" x14ac:dyDescent="0.35">
      <c r="B345" t="s">
        <v>2159</v>
      </c>
      <c r="D345">
        <f t="shared" si="10"/>
        <v>0</v>
      </c>
      <c r="E345" t="b">
        <f t="shared" si="11"/>
        <v>1</v>
      </c>
    </row>
    <row r="346" spans="2:5" x14ac:dyDescent="0.35">
      <c r="B346" t="s">
        <v>5113</v>
      </c>
      <c r="D346">
        <f t="shared" si="10"/>
        <v>0</v>
      </c>
      <c r="E346" t="b">
        <f t="shared" si="11"/>
        <v>1</v>
      </c>
    </row>
    <row r="347" spans="2:5" x14ac:dyDescent="0.35">
      <c r="B347" t="s">
        <v>5114</v>
      </c>
      <c r="D347">
        <f t="shared" si="10"/>
        <v>0</v>
      </c>
      <c r="E347" t="b">
        <f t="shared" si="11"/>
        <v>1</v>
      </c>
    </row>
    <row r="348" spans="2:5" x14ac:dyDescent="0.35">
      <c r="B348" t="s">
        <v>5115</v>
      </c>
      <c r="D348">
        <f t="shared" si="10"/>
        <v>0</v>
      </c>
      <c r="E348" t="b">
        <f t="shared" si="11"/>
        <v>1</v>
      </c>
    </row>
    <row r="349" spans="2:5" x14ac:dyDescent="0.35">
      <c r="B349" t="s">
        <v>2162</v>
      </c>
      <c r="D349">
        <f t="shared" si="10"/>
        <v>0</v>
      </c>
      <c r="E349" t="b">
        <f t="shared" si="11"/>
        <v>1</v>
      </c>
    </row>
    <row r="350" spans="2:5" x14ac:dyDescent="0.35">
      <c r="B350" t="s">
        <v>2163</v>
      </c>
      <c r="D350">
        <f t="shared" si="10"/>
        <v>0</v>
      </c>
      <c r="E350" t="b">
        <f t="shared" si="11"/>
        <v>1</v>
      </c>
    </row>
    <row r="351" spans="2:5" x14ac:dyDescent="0.35">
      <c r="B351" t="s">
        <v>2163</v>
      </c>
      <c r="D351">
        <f t="shared" si="10"/>
        <v>0</v>
      </c>
      <c r="E351" t="b">
        <f t="shared" si="11"/>
        <v>1</v>
      </c>
    </row>
    <row r="352" spans="2:5" x14ac:dyDescent="0.35">
      <c r="B352" t="s">
        <v>2163</v>
      </c>
      <c r="D352">
        <f t="shared" si="10"/>
        <v>0</v>
      </c>
      <c r="E352" t="b">
        <f t="shared" si="11"/>
        <v>1</v>
      </c>
    </row>
    <row r="353" spans="2:5" x14ac:dyDescent="0.35">
      <c r="B353" t="s">
        <v>2163</v>
      </c>
      <c r="D353">
        <f t="shared" si="10"/>
        <v>0</v>
      </c>
      <c r="E353" t="b">
        <f t="shared" si="11"/>
        <v>1</v>
      </c>
    </row>
    <row r="354" spans="2:5" x14ac:dyDescent="0.35">
      <c r="B354" t="s">
        <v>2163</v>
      </c>
      <c r="D354">
        <f t="shared" si="10"/>
        <v>0</v>
      </c>
      <c r="E354" t="b">
        <f t="shared" si="11"/>
        <v>1</v>
      </c>
    </row>
    <row r="355" spans="2:5" x14ac:dyDescent="0.35">
      <c r="B355" t="s">
        <v>2163</v>
      </c>
      <c r="D355">
        <f t="shared" si="10"/>
        <v>0</v>
      </c>
      <c r="E355" t="b">
        <f t="shared" si="11"/>
        <v>1</v>
      </c>
    </row>
    <row r="356" spans="2:5" x14ac:dyDescent="0.35">
      <c r="B356" t="s">
        <v>2163</v>
      </c>
      <c r="D356">
        <f t="shared" si="10"/>
        <v>0</v>
      </c>
      <c r="E356" t="b">
        <f t="shared" si="11"/>
        <v>1</v>
      </c>
    </row>
    <row r="357" spans="2:5" x14ac:dyDescent="0.35">
      <c r="B357" t="s">
        <v>2164</v>
      </c>
      <c r="D357">
        <f t="shared" si="10"/>
        <v>0</v>
      </c>
      <c r="E357" t="b">
        <f t="shared" si="11"/>
        <v>1</v>
      </c>
    </row>
    <row r="358" spans="2:5" x14ac:dyDescent="0.35">
      <c r="B358" t="s">
        <v>5116</v>
      </c>
      <c r="D358">
        <f t="shared" si="10"/>
        <v>0</v>
      </c>
      <c r="E358" t="b">
        <f t="shared" si="11"/>
        <v>1</v>
      </c>
    </row>
    <row r="359" spans="2:5" x14ac:dyDescent="0.35">
      <c r="B359" t="s">
        <v>5117</v>
      </c>
      <c r="D359">
        <f t="shared" si="10"/>
        <v>0</v>
      </c>
      <c r="E359" t="b">
        <f t="shared" si="11"/>
        <v>1</v>
      </c>
    </row>
    <row r="360" spans="2:5" x14ac:dyDescent="0.35">
      <c r="B360" t="s">
        <v>2166</v>
      </c>
      <c r="D360">
        <f t="shared" si="10"/>
        <v>0</v>
      </c>
      <c r="E360" t="b">
        <f t="shared" si="11"/>
        <v>1</v>
      </c>
    </row>
    <row r="361" spans="2:5" x14ac:dyDescent="0.35">
      <c r="B361" t="s">
        <v>2167</v>
      </c>
      <c r="D361">
        <f t="shared" si="10"/>
        <v>0</v>
      </c>
      <c r="E361" t="b">
        <f t="shared" si="11"/>
        <v>1</v>
      </c>
    </row>
    <row r="362" spans="2:5" x14ac:dyDescent="0.35">
      <c r="B362" t="s">
        <v>2167</v>
      </c>
      <c r="D362">
        <f t="shared" si="10"/>
        <v>0</v>
      </c>
      <c r="E362" t="b">
        <f t="shared" si="11"/>
        <v>1</v>
      </c>
    </row>
    <row r="363" spans="2:5" x14ac:dyDescent="0.35">
      <c r="B363" t="s">
        <v>2167</v>
      </c>
      <c r="D363">
        <f t="shared" si="10"/>
        <v>0</v>
      </c>
      <c r="E363" t="b">
        <f t="shared" si="11"/>
        <v>1</v>
      </c>
    </row>
    <row r="364" spans="2:5" x14ac:dyDescent="0.35">
      <c r="B364" t="s">
        <v>2167</v>
      </c>
      <c r="D364">
        <f t="shared" si="10"/>
        <v>0</v>
      </c>
      <c r="E364" t="b">
        <f t="shared" si="11"/>
        <v>1</v>
      </c>
    </row>
    <row r="365" spans="2:5" x14ac:dyDescent="0.35">
      <c r="B365" t="s">
        <v>2167</v>
      </c>
      <c r="D365">
        <f t="shared" si="10"/>
        <v>0</v>
      </c>
      <c r="E365" t="b">
        <f t="shared" si="11"/>
        <v>1</v>
      </c>
    </row>
    <row r="366" spans="2:5" x14ac:dyDescent="0.35">
      <c r="B366" t="s">
        <v>2167</v>
      </c>
      <c r="D366">
        <f t="shared" si="10"/>
        <v>0</v>
      </c>
      <c r="E366" t="b">
        <f t="shared" si="11"/>
        <v>1</v>
      </c>
    </row>
    <row r="367" spans="2:5" x14ac:dyDescent="0.35">
      <c r="B367" t="s">
        <v>2169</v>
      </c>
      <c r="D367">
        <f t="shared" si="10"/>
        <v>0</v>
      </c>
      <c r="E367" t="b">
        <f t="shared" si="11"/>
        <v>1</v>
      </c>
    </row>
    <row r="368" spans="2:5" x14ac:dyDescent="0.35">
      <c r="B368" t="s">
        <v>5118</v>
      </c>
      <c r="D368">
        <f t="shared" si="10"/>
        <v>0</v>
      </c>
      <c r="E368" t="b">
        <f t="shared" si="11"/>
        <v>1</v>
      </c>
    </row>
    <row r="369" spans="2:5" x14ac:dyDescent="0.35">
      <c r="B369" t="s">
        <v>5119</v>
      </c>
      <c r="D369">
        <f t="shared" si="10"/>
        <v>0</v>
      </c>
      <c r="E369" t="b">
        <f t="shared" si="11"/>
        <v>1</v>
      </c>
    </row>
    <row r="370" spans="2:5" x14ac:dyDescent="0.35">
      <c r="B370" t="s">
        <v>5119</v>
      </c>
      <c r="D370">
        <f t="shared" si="10"/>
        <v>0</v>
      </c>
      <c r="E370" t="b">
        <f t="shared" si="11"/>
        <v>1</v>
      </c>
    </row>
    <row r="371" spans="2:5" x14ac:dyDescent="0.35">
      <c r="B371" t="s">
        <v>5119</v>
      </c>
      <c r="D371">
        <f t="shared" si="10"/>
        <v>0</v>
      </c>
      <c r="E371" t="b">
        <f t="shared" si="11"/>
        <v>1</v>
      </c>
    </row>
    <row r="372" spans="2:5" x14ac:dyDescent="0.35">
      <c r="B372" t="s">
        <v>5119</v>
      </c>
      <c r="D372">
        <f t="shared" si="10"/>
        <v>0</v>
      </c>
      <c r="E372" t="b">
        <f t="shared" si="11"/>
        <v>1</v>
      </c>
    </row>
    <row r="373" spans="2:5" x14ac:dyDescent="0.35">
      <c r="B373" t="s">
        <v>5119</v>
      </c>
      <c r="D373">
        <f t="shared" si="10"/>
        <v>0</v>
      </c>
      <c r="E373" t="b">
        <f t="shared" si="11"/>
        <v>1</v>
      </c>
    </row>
    <row r="374" spans="2:5" x14ac:dyDescent="0.35">
      <c r="B374" t="s">
        <v>5119</v>
      </c>
      <c r="D374">
        <f t="shared" si="10"/>
        <v>0</v>
      </c>
      <c r="E374" t="b">
        <f t="shared" si="11"/>
        <v>1</v>
      </c>
    </row>
    <row r="375" spans="2:5" x14ac:dyDescent="0.35">
      <c r="B375" t="s">
        <v>2172</v>
      </c>
      <c r="D375">
        <f t="shared" si="10"/>
        <v>0</v>
      </c>
      <c r="E375" t="b">
        <f t="shared" si="11"/>
        <v>1</v>
      </c>
    </row>
    <row r="376" spans="2:5" x14ac:dyDescent="0.35">
      <c r="B376" t="s">
        <v>5120</v>
      </c>
      <c r="D376">
        <f t="shared" si="10"/>
        <v>0</v>
      </c>
      <c r="E376" t="b">
        <f t="shared" si="11"/>
        <v>1</v>
      </c>
    </row>
    <row r="377" spans="2:5" x14ac:dyDescent="0.35">
      <c r="B377" t="s">
        <v>2177</v>
      </c>
      <c r="D377">
        <f t="shared" si="10"/>
        <v>0</v>
      </c>
      <c r="E377" t="b">
        <f t="shared" si="11"/>
        <v>1</v>
      </c>
    </row>
    <row r="378" spans="2:5" x14ac:dyDescent="0.35">
      <c r="B378" t="s">
        <v>2177</v>
      </c>
      <c r="D378">
        <f t="shared" si="10"/>
        <v>0</v>
      </c>
      <c r="E378" t="b">
        <f t="shared" si="11"/>
        <v>1</v>
      </c>
    </row>
    <row r="379" spans="2:5" x14ac:dyDescent="0.35">
      <c r="B379" t="s">
        <v>2177</v>
      </c>
      <c r="D379">
        <f t="shared" si="10"/>
        <v>0</v>
      </c>
      <c r="E379" t="b">
        <f t="shared" si="11"/>
        <v>1</v>
      </c>
    </row>
    <row r="380" spans="2:5" x14ac:dyDescent="0.35">
      <c r="B380" t="s">
        <v>2177</v>
      </c>
      <c r="D380">
        <f t="shared" si="10"/>
        <v>0</v>
      </c>
      <c r="E380" t="b">
        <f t="shared" si="11"/>
        <v>1</v>
      </c>
    </row>
    <row r="381" spans="2:5" x14ac:dyDescent="0.35">
      <c r="B381" t="s">
        <v>2177</v>
      </c>
      <c r="D381">
        <f t="shared" si="10"/>
        <v>0</v>
      </c>
      <c r="E381" t="b">
        <f t="shared" si="11"/>
        <v>1</v>
      </c>
    </row>
    <row r="382" spans="2:5" x14ac:dyDescent="0.35">
      <c r="B382" t="s">
        <v>5121</v>
      </c>
      <c r="D382">
        <f t="shared" si="10"/>
        <v>0</v>
      </c>
      <c r="E382" t="b">
        <f t="shared" si="11"/>
        <v>1</v>
      </c>
    </row>
    <row r="383" spans="2:5" x14ac:dyDescent="0.35">
      <c r="B383" t="s">
        <v>5122</v>
      </c>
      <c r="D383">
        <f t="shared" si="10"/>
        <v>0</v>
      </c>
      <c r="E383" t="b">
        <f t="shared" si="11"/>
        <v>1</v>
      </c>
    </row>
    <row r="384" spans="2:5" x14ac:dyDescent="0.35">
      <c r="B384" t="s">
        <v>2183</v>
      </c>
      <c r="D384">
        <f t="shared" si="10"/>
        <v>0</v>
      </c>
      <c r="E384" t="b">
        <f t="shared" si="11"/>
        <v>1</v>
      </c>
    </row>
    <row r="385" spans="2:5" x14ac:dyDescent="0.35">
      <c r="B385" t="s">
        <v>2184</v>
      </c>
      <c r="D385">
        <f t="shared" si="10"/>
        <v>0</v>
      </c>
      <c r="E385" t="b">
        <f t="shared" si="11"/>
        <v>1</v>
      </c>
    </row>
    <row r="386" spans="2:5" x14ac:dyDescent="0.35">
      <c r="B386" t="s">
        <v>2184</v>
      </c>
      <c r="D386">
        <f t="shared" ref="D386:D449" si="12">_xlfn.XLOOKUP(A386,B:B,B:B)</f>
        <v>0</v>
      </c>
      <c r="E386" t="b">
        <f t="shared" si="11"/>
        <v>1</v>
      </c>
    </row>
    <row r="387" spans="2:5" x14ac:dyDescent="0.35">
      <c r="B387" t="s">
        <v>2184</v>
      </c>
      <c r="D387">
        <f t="shared" si="12"/>
        <v>0</v>
      </c>
      <c r="E387" t="b">
        <f t="shared" ref="E387:E450" si="13">A387=D387</f>
        <v>1</v>
      </c>
    </row>
    <row r="388" spans="2:5" x14ac:dyDescent="0.35">
      <c r="B388" t="s">
        <v>2184</v>
      </c>
      <c r="D388">
        <f t="shared" si="12"/>
        <v>0</v>
      </c>
      <c r="E388" t="b">
        <f t="shared" si="13"/>
        <v>1</v>
      </c>
    </row>
    <row r="389" spans="2:5" x14ac:dyDescent="0.35">
      <c r="B389" t="s">
        <v>2184</v>
      </c>
      <c r="D389">
        <f t="shared" si="12"/>
        <v>0</v>
      </c>
      <c r="E389" t="b">
        <f t="shared" si="13"/>
        <v>1</v>
      </c>
    </row>
    <row r="390" spans="2:5" x14ac:dyDescent="0.35">
      <c r="B390" t="s">
        <v>2184</v>
      </c>
      <c r="D390">
        <f t="shared" si="12"/>
        <v>0</v>
      </c>
      <c r="E390" t="b">
        <f t="shared" si="13"/>
        <v>1</v>
      </c>
    </row>
    <row r="391" spans="2:5" x14ac:dyDescent="0.35">
      <c r="B391" t="s">
        <v>2184</v>
      </c>
      <c r="D391">
        <f t="shared" si="12"/>
        <v>0</v>
      </c>
      <c r="E391" t="b">
        <f t="shared" si="13"/>
        <v>1</v>
      </c>
    </row>
    <row r="392" spans="2:5" x14ac:dyDescent="0.35">
      <c r="B392" t="s">
        <v>5123</v>
      </c>
      <c r="D392">
        <f t="shared" si="12"/>
        <v>0</v>
      </c>
      <c r="E392" t="b">
        <f t="shared" si="13"/>
        <v>1</v>
      </c>
    </row>
    <row r="393" spans="2:5" x14ac:dyDescent="0.35">
      <c r="B393" t="s">
        <v>2191</v>
      </c>
      <c r="D393">
        <f t="shared" si="12"/>
        <v>0</v>
      </c>
      <c r="E393" t="b">
        <f t="shared" si="13"/>
        <v>1</v>
      </c>
    </row>
    <row r="394" spans="2:5" x14ac:dyDescent="0.35">
      <c r="B394" t="s">
        <v>2191</v>
      </c>
      <c r="D394">
        <f t="shared" si="12"/>
        <v>0</v>
      </c>
      <c r="E394" t="b">
        <f t="shared" si="13"/>
        <v>1</v>
      </c>
    </row>
    <row r="395" spans="2:5" x14ac:dyDescent="0.35">
      <c r="B395" t="s">
        <v>2191</v>
      </c>
      <c r="D395">
        <f t="shared" si="12"/>
        <v>0</v>
      </c>
      <c r="E395" t="b">
        <f t="shared" si="13"/>
        <v>1</v>
      </c>
    </row>
    <row r="396" spans="2:5" x14ac:dyDescent="0.35">
      <c r="B396" t="s">
        <v>2191</v>
      </c>
      <c r="D396">
        <f t="shared" si="12"/>
        <v>0</v>
      </c>
      <c r="E396" t="b">
        <f t="shared" si="13"/>
        <v>1</v>
      </c>
    </row>
    <row r="397" spans="2:5" x14ac:dyDescent="0.35">
      <c r="B397" t="s">
        <v>2191</v>
      </c>
      <c r="D397">
        <f t="shared" si="12"/>
        <v>0</v>
      </c>
      <c r="E397" t="b">
        <f t="shared" si="13"/>
        <v>1</v>
      </c>
    </row>
    <row r="398" spans="2:5" x14ac:dyDescent="0.35">
      <c r="B398" t="s">
        <v>2191</v>
      </c>
      <c r="D398">
        <f t="shared" si="12"/>
        <v>0</v>
      </c>
      <c r="E398" t="b">
        <f t="shared" si="13"/>
        <v>1</v>
      </c>
    </row>
    <row r="399" spans="2:5" x14ac:dyDescent="0.35">
      <c r="B399" t="s">
        <v>2191</v>
      </c>
      <c r="D399">
        <f t="shared" si="12"/>
        <v>0</v>
      </c>
      <c r="E399" t="b">
        <f t="shared" si="13"/>
        <v>1</v>
      </c>
    </row>
    <row r="400" spans="2:5" x14ac:dyDescent="0.35">
      <c r="B400" t="s">
        <v>2191</v>
      </c>
      <c r="D400">
        <f t="shared" si="12"/>
        <v>0</v>
      </c>
      <c r="E400" t="b">
        <f t="shared" si="13"/>
        <v>1</v>
      </c>
    </row>
    <row r="401" spans="2:5" x14ac:dyDescent="0.35">
      <c r="B401" t="s">
        <v>5124</v>
      </c>
      <c r="D401">
        <f t="shared" si="12"/>
        <v>0</v>
      </c>
      <c r="E401" t="b">
        <f t="shared" si="13"/>
        <v>1</v>
      </c>
    </row>
    <row r="402" spans="2:5" x14ac:dyDescent="0.35">
      <c r="B402" t="s">
        <v>2052</v>
      </c>
      <c r="D402">
        <f t="shared" si="12"/>
        <v>0</v>
      </c>
      <c r="E402" t="b">
        <f t="shared" si="13"/>
        <v>1</v>
      </c>
    </row>
    <row r="403" spans="2:5" x14ac:dyDescent="0.35">
      <c r="B403" t="s">
        <v>2052</v>
      </c>
      <c r="D403">
        <f t="shared" si="12"/>
        <v>0</v>
      </c>
      <c r="E403" t="b">
        <f t="shared" si="13"/>
        <v>1</v>
      </c>
    </row>
    <row r="404" spans="2:5" x14ac:dyDescent="0.35">
      <c r="B404" t="s">
        <v>2052</v>
      </c>
      <c r="D404">
        <f t="shared" si="12"/>
        <v>0</v>
      </c>
      <c r="E404" t="b">
        <f t="shared" si="13"/>
        <v>1</v>
      </c>
    </row>
    <row r="405" spans="2:5" x14ac:dyDescent="0.35">
      <c r="B405" t="s">
        <v>2052</v>
      </c>
      <c r="D405">
        <f t="shared" si="12"/>
        <v>0</v>
      </c>
      <c r="E405" t="b">
        <f t="shared" si="13"/>
        <v>1</v>
      </c>
    </row>
    <row r="406" spans="2:5" x14ac:dyDescent="0.35">
      <c r="B406" t="s">
        <v>2052</v>
      </c>
      <c r="D406">
        <f t="shared" si="12"/>
        <v>0</v>
      </c>
      <c r="E406" t="b">
        <f t="shared" si="13"/>
        <v>1</v>
      </c>
    </row>
    <row r="407" spans="2:5" x14ac:dyDescent="0.35">
      <c r="B407" t="s">
        <v>2052</v>
      </c>
      <c r="D407">
        <f t="shared" si="12"/>
        <v>0</v>
      </c>
      <c r="E407" t="b">
        <f t="shared" si="13"/>
        <v>1</v>
      </c>
    </row>
    <row r="408" spans="2:5" x14ac:dyDescent="0.35">
      <c r="B408" t="s">
        <v>2052</v>
      </c>
      <c r="D408">
        <f t="shared" si="12"/>
        <v>0</v>
      </c>
      <c r="E408" t="b">
        <f t="shared" si="13"/>
        <v>1</v>
      </c>
    </row>
    <row r="409" spans="2:5" x14ac:dyDescent="0.35">
      <c r="B409" t="s">
        <v>2052</v>
      </c>
      <c r="D409">
        <f t="shared" si="12"/>
        <v>0</v>
      </c>
      <c r="E409" t="b">
        <f t="shared" si="13"/>
        <v>1</v>
      </c>
    </row>
    <row r="410" spans="2:5" x14ac:dyDescent="0.35">
      <c r="B410" t="s">
        <v>2197</v>
      </c>
      <c r="D410">
        <f t="shared" si="12"/>
        <v>0</v>
      </c>
      <c r="E410" t="b">
        <f t="shared" si="13"/>
        <v>1</v>
      </c>
    </row>
    <row r="411" spans="2:5" x14ac:dyDescent="0.35">
      <c r="B411" t="s">
        <v>5125</v>
      </c>
      <c r="D411">
        <f t="shared" si="12"/>
        <v>0</v>
      </c>
      <c r="E411" t="b">
        <f t="shared" si="13"/>
        <v>1</v>
      </c>
    </row>
    <row r="412" spans="2:5" x14ac:dyDescent="0.35">
      <c r="B412" t="s">
        <v>5126</v>
      </c>
      <c r="D412">
        <f t="shared" si="12"/>
        <v>0</v>
      </c>
      <c r="E412" t="b">
        <f t="shared" si="13"/>
        <v>1</v>
      </c>
    </row>
    <row r="413" spans="2:5" x14ac:dyDescent="0.35">
      <c r="B413" t="s">
        <v>2053</v>
      </c>
      <c r="D413">
        <f t="shared" si="12"/>
        <v>0</v>
      </c>
      <c r="E413" t="b">
        <f t="shared" si="13"/>
        <v>1</v>
      </c>
    </row>
    <row r="414" spans="2:5" x14ac:dyDescent="0.35">
      <c r="B414" t="s">
        <v>2053</v>
      </c>
      <c r="D414">
        <f t="shared" si="12"/>
        <v>0</v>
      </c>
      <c r="E414" t="b">
        <f t="shared" si="13"/>
        <v>1</v>
      </c>
    </row>
    <row r="415" spans="2:5" x14ac:dyDescent="0.35">
      <c r="B415" t="s">
        <v>2053</v>
      </c>
      <c r="D415">
        <f t="shared" si="12"/>
        <v>0</v>
      </c>
      <c r="E415" t="b">
        <f t="shared" si="13"/>
        <v>1</v>
      </c>
    </row>
    <row r="416" spans="2:5" x14ac:dyDescent="0.35">
      <c r="B416" t="s">
        <v>2053</v>
      </c>
      <c r="D416">
        <f t="shared" si="12"/>
        <v>0</v>
      </c>
      <c r="E416" t="b">
        <f t="shared" si="13"/>
        <v>1</v>
      </c>
    </row>
    <row r="417" spans="2:5" x14ac:dyDescent="0.35">
      <c r="B417" t="s">
        <v>2053</v>
      </c>
      <c r="D417">
        <f t="shared" si="12"/>
        <v>0</v>
      </c>
      <c r="E417" t="b">
        <f t="shared" si="13"/>
        <v>1</v>
      </c>
    </row>
    <row r="418" spans="2:5" x14ac:dyDescent="0.35">
      <c r="B418" t="s">
        <v>2055</v>
      </c>
      <c r="D418">
        <f t="shared" si="12"/>
        <v>0</v>
      </c>
      <c r="E418" t="b">
        <f t="shared" si="13"/>
        <v>1</v>
      </c>
    </row>
    <row r="419" spans="2:5" x14ac:dyDescent="0.35">
      <c r="B419" t="s">
        <v>2205</v>
      </c>
      <c r="D419">
        <f t="shared" si="12"/>
        <v>0</v>
      </c>
      <c r="E419" t="b">
        <f t="shared" si="13"/>
        <v>1</v>
      </c>
    </row>
    <row r="420" spans="2:5" x14ac:dyDescent="0.35">
      <c r="B420" t="s">
        <v>5127</v>
      </c>
      <c r="D420">
        <f t="shared" si="12"/>
        <v>0</v>
      </c>
      <c r="E420" t="b">
        <f t="shared" si="13"/>
        <v>1</v>
      </c>
    </row>
    <row r="421" spans="2:5" x14ac:dyDescent="0.35">
      <c r="B421" t="s">
        <v>5127</v>
      </c>
      <c r="D421">
        <f t="shared" si="12"/>
        <v>0</v>
      </c>
      <c r="E421" t="b">
        <f t="shared" si="13"/>
        <v>1</v>
      </c>
    </row>
    <row r="422" spans="2:5" x14ac:dyDescent="0.35">
      <c r="B422" t="s">
        <v>2208</v>
      </c>
      <c r="D422">
        <f t="shared" si="12"/>
        <v>0</v>
      </c>
      <c r="E422" t="b">
        <f t="shared" si="13"/>
        <v>1</v>
      </c>
    </row>
    <row r="423" spans="2:5" x14ac:dyDescent="0.35">
      <c r="B423" t="s">
        <v>2208</v>
      </c>
      <c r="D423">
        <f t="shared" si="12"/>
        <v>0</v>
      </c>
      <c r="E423" t="b">
        <f t="shared" si="13"/>
        <v>1</v>
      </c>
    </row>
    <row r="424" spans="2:5" x14ac:dyDescent="0.35">
      <c r="B424" t="s">
        <v>2208</v>
      </c>
      <c r="D424">
        <f t="shared" si="12"/>
        <v>0</v>
      </c>
      <c r="E424" t="b">
        <f t="shared" si="13"/>
        <v>1</v>
      </c>
    </row>
    <row r="425" spans="2:5" x14ac:dyDescent="0.35">
      <c r="B425" t="s">
        <v>2208</v>
      </c>
      <c r="D425">
        <f t="shared" si="12"/>
        <v>0</v>
      </c>
      <c r="E425" t="b">
        <f t="shared" si="13"/>
        <v>1</v>
      </c>
    </row>
    <row r="426" spans="2:5" x14ac:dyDescent="0.35">
      <c r="B426" t="s">
        <v>2208</v>
      </c>
      <c r="D426">
        <f t="shared" si="12"/>
        <v>0</v>
      </c>
      <c r="E426" t="b">
        <f t="shared" si="13"/>
        <v>1</v>
      </c>
    </row>
    <row r="427" spans="2:5" x14ac:dyDescent="0.35">
      <c r="B427" t="s">
        <v>5128</v>
      </c>
      <c r="D427">
        <f t="shared" si="12"/>
        <v>0</v>
      </c>
      <c r="E427" t="b">
        <f t="shared" si="13"/>
        <v>1</v>
      </c>
    </row>
    <row r="428" spans="2:5" x14ac:dyDescent="0.35">
      <c r="B428" t="s">
        <v>5129</v>
      </c>
      <c r="D428">
        <f t="shared" si="12"/>
        <v>0</v>
      </c>
      <c r="E428" t="b">
        <f t="shared" si="13"/>
        <v>1</v>
      </c>
    </row>
    <row r="429" spans="2:5" x14ac:dyDescent="0.35">
      <c r="B429" t="s">
        <v>5129</v>
      </c>
      <c r="D429">
        <f t="shared" si="12"/>
        <v>0</v>
      </c>
      <c r="E429" t="b">
        <f t="shared" si="13"/>
        <v>1</v>
      </c>
    </row>
    <row r="430" spans="2:5" x14ac:dyDescent="0.35">
      <c r="B430" t="s">
        <v>5129</v>
      </c>
      <c r="D430">
        <f t="shared" si="12"/>
        <v>0</v>
      </c>
      <c r="E430" t="b">
        <f t="shared" si="13"/>
        <v>1</v>
      </c>
    </row>
    <row r="431" spans="2:5" x14ac:dyDescent="0.35">
      <c r="B431" t="s">
        <v>5129</v>
      </c>
      <c r="D431">
        <f t="shared" si="12"/>
        <v>0</v>
      </c>
      <c r="E431" t="b">
        <f t="shared" si="13"/>
        <v>1</v>
      </c>
    </row>
    <row r="432" spans="2:5" x14ac:dyDescent="0.35">
      <c r="B432" t="s">
        <v>5129</v>
      </c>
      <c r="D432">
        <f t="shared" si="12"/>
        <v>0</v>
      </c>
      <c r="E432" t="b">
        <f t="shared" si="13"/>
        <v>1</v>
      </c>
    </row>
    <row r="433" spans="2:5" x14ac:dyDescent="0.35">
      <c r="B433" t="s">
        <v>5129</v>
      </c>
      <c r="D433">
        <f t="shared" si="12"/>
        <v>0</v>
      </c>
      <c r="E433" t="b">
        <f t="shared" si="13"/>
        <v>1</v>
      </c>
    </row>
    <row r="434" spans="2:5" x14ac:dyDescent="0.35">
      <c r="B434" t="s">
        <v>5130</v>
      </c>
      <c r="D434">
        <f t="shared" si="12"/>
        <v>0</v>
      </c>
      <c r="E434" t="b">
        <f t="shared" si="13"/>
        <v>1</v>
      </c>
    </row>
    <row r="435" spans="2:5" x14ac:dyDescent="0.35">
      <c r="B435" t="s">
        <v>2213</v>
      </c>
      <c r="D435">
        <f t="shared" si="12"/>
        <v>0</v>
      </c>
      <c r="E435" t="b">
        <f t="shared" si="13"/>
        <v>1</v>
      </c>
    </row>
    <row r="436" spans="2:5" x14ac:dyDescent="0.35">
      <c r="B436" t="s">
        <v>5131</v>
      </c>
      <c r="D436">
        <f t="shared" si="12"/>
        <v>0</v>
      </c>
      <c r="E436" t="b">
        <f t="shared" si="13"/>
        <v>1</v>
      </c>
    </row>
    <row r="437" spans="2:5" x14ac:dyDescent="0.35">
      <c r="B437" t="s">
        <v>5132</v>
      </c>
      <c r="D437">
        <f t="shared" si="12"/>
        <v>0</v>
      </c>
      <c r="E437" t="b">
        <f t="shared" si="13"/>
        <v>1</v>
      </c>
    </row>
    <row r="438" spans="2:5" x14ac:dyDescent="0.35">
      <c r="B438" t="s">
        <v>5132</v>
      </c>
      <c r="D438">
        <f t="shared" si="12"/>
        <v>0</v>
      </c>
      <c r="E438" t="b">
        <f t="shared" si="13"/>
        <v>1</v>
      </c>
    </row>
    <row r="439" spans="2:5" x14ac:dyDescent="0.35">
      <c r="B439" t="s">
        <v>5132</v>
      </c>
      <c r="D439">
        <f t="shared" si="12"/>
        <v>0</v>
      </c>
      <c r="E439" t="b">
        <f t="shared" si="13"/>
        <v>1</v>
      </c>
    </row>
    <row r="440" spans="2:5" x14ac:dyDescent="0.35">
      <c r="B440" t="s">
        <v>5132</v>
      </c>
      <c r="D440">
        <f t="shared" si="12"/>
        <v>0</v>
      </c>
      <c r="E440" t="b">
        <f t="shared" si="13"/>
        <v>1</v>
      </c>
    </row>
    <row r="441" spans="2:5" x14ac:dyDescent="0.35">
      <c r="B441" t="s">
        <v>5132</v>
      </c>
      <c r="D441">
        <f t="shared" si="12"/>
        <v>0</v>
      </c>
      <c r="E441" t="b">
        <f t="shared" si="13"/>
        <v>1</v>
      </c>
    </row>
    <row r="442" spans="2:5" x14ac:dyDescent="0.35">
      <c r="B442" t="s">
        <v>5132</v>
      </c>
      <c r="D442">
        <f t="shared" si="12"/>
        <v>0</v>
      </c>
      <c r="E442" t="b">
        <f t="shared" si="13"/>
        <v>1</v>
      </c>
    </row>
    <row r="443" spans="2:5" x14ac:dyDescent="0.35">
      <c r="B443" t="s">
        <v>5133</v>
      </c>
      <c r="D443">
        <f t="shared" si="12"/>
        <v>0</v>
      </c>
      <c r="E443" t="b">
        <f t="shared" si="13"/>
        <v>1</v>
      </c>
    </row>
    <row r="444" spans="2:5" x14ac:dyDescent="0.35">
      <c r="B444" t="s">
        <v>5134</v>
      </c>
      <c r="D444">
        <f t="shared" si="12"/>
        <v>0</v>
      </c>
      <c r="E444" t="b">
        <f t="shared" si="13"/>
        <v>1</v>
      </c>
    </row>
    <row r="445" spans="2:5" x14ac:dyDescent="0.35">
      <c r="B445" t="s">
        <v>5135</v>
      </c>
      <c r="D445">
        <f t="shared" si="12"/>
        <v>0</v>
      </c>
      <c r="E445" t="b">
        <f t="shared" si="13"/>
        <v>1</v>
      </c>
    </row>
    <row r="446" spans="2:5" x14ac:dyDescent="0.35">
      <c r="B446" t="s">
        <v>5136</v>
      </c>
      <c r="D446">
        <f t="shared" si="12"/>
        <v>0</v>
      </c>
      <c r="E446" t="b">
        <f t="shared" si="13"/>
        <v>1</v>
      </c>
    </row>
    <row r="447" spans="2:5" x14ac:dyDescent="0.35">
      <c r="B447" t="s">
        <v>5137</v>
      </c>
      <c r="D447">
        <f t="shared" si="12"/>
        <v>0</v>
      </c>
      <c r="E447" t="b">
        <f t="shared" si="13"/>
        <v>1</v>
      </c>
    </row>
    <row r="448" spans="2:5" x14ac:dyDescent="0.35">
      <c r="B448" t="s">
        <v>5138</v>
      </c>
      <c r="D448">
        <f t="shared" si="12"/>
        <v>0</v>
      </c>
      <c r="E448" t="b">
        <f t="shared" si="13"/>
        <v>1</v>
      </c>
    </row>
    <row r="449" spans="2:5" x14ac:dyDescent="0.35">
      <c r="B449" t="s">
        <v>5139</v>
      </c>
      <c r="D449">
        <f t="shared" si="12"/>
        <v>0</v>
      </c>
      <c r="E449" t="b">
        <f t="shared" si="13"/>
        <v>1</v>
      </c>
    </row>
    <row r="450" spans="2:5" x14ac:dyDescent="0.35">
      <c r="B450" t="s">
        <v>5140</v>
      </c>
      <c r="D450">
        <f t="shared" ref="D450:D513" si="14">_xlfn.XLOOKUP(A450,B:B,B:B)</f>
        <v>0</v>
      </c>
      <c r="E450" t="b">
        <f t="shared" si="13"/>
        <v>1</v>
      </c>
    </row>
    <row r="451" spans="2:5" x14ac:dyDescent="0.35">
      <c r="B451" t="s">
        <v>5140</v>
      </c>
      <c r="D451">
        <f t="shared" si="14"/>
        <v>0</v>
      </c>
      <c r="E451" t="b">
        <f t="shared" ref="E451:E514" si="15">A451=D451</f>
        <v>1</v>
      </c>
    </row>
    <row r="452" spans="2:5" x14ac:dyDescent="0.35">
      <c r="B452" t="s">
        <v>5140</v>
      </c>
      <c r="D452">
        <f t="shared" si="14"/>
        <v>0</v>
      </c>
      <c r="E452" t="b">
        <f t="shared" si="15"/>
        <v>1</v>
      </c>
    </row>
    <row r="453" spans="2:5" x14ac:dyDescent="0.35">
      <c r="B453" t="s">
        <v>5140</v>
      </c>
      <c r="D453">
        <f t="shared" si="14"/>
        <v>0</v>
      </c>
      <c r="E453" t="b">
        <f t="shared" si="15"/>
        <v>1</v>
      </c>
    </row>
    <row r="454" spans="2:5" x14ac:dyDescent="0.35">
      <c r="B454" t="s">
        <v>5140</v>
      </c>
      <c r="D454">
        <f t="shared" si="14"/>
        <v>0</v>
      </c>
      <c r="E454" t="b">
        <f t="shared" si="15"/>
        <v>1</v>
      </c>
    </row>
    <row r="455" spans="2:5" x14ac:dyDescent="0.35">
      <c r="B455" t="s">
        <v>5140</v>
      </c>
      <c r="D455">
        <f t="shared" si="14"/>
        <v>0</v>
      </c>
      <c r="E455" t="b">
        <f t="shared" si="15"/>
        <v>1</v>
      </c>
    </row>
    <row r="456" spans="2:5" x14ac:dyDescent="0.35">
      <c r="B456" t="s">
        <v>5140</v>
      </c>
      <c r="D456">
        <f t="shared" si="14"/>
        <v>0</v>
      </c>
      <c r="E456" t="b">
        <f t="shared" si="15"/>
        <v>1</v>
      </c>
    </row>
    <row r="457" spans="2:5" x14ac:dyDescent="0.35">
      <c r="B457" t="s">
        <v>5141</v>
      </c>
      <c r="D457">
        <f t="shared" si="14"/>
        <v>0</v>
      </c>
      <c r="E457" t="b">
        <f t="shared" si="15"/>
        <v>1</v>
      </c>
    </row>
    <row r="458" spans="2:5" x14ac:dyDescent="0.35">
      <c r="B458" t="s">
        <v>5142</v>
      </c>
      <c r="D458">
        <f t="shared" si="14"/>
        <v>0</v>
      </c>
      <c r="E458" t="b">
        <f t="shared" si="15"/>
        <v>1</v>
      </c>
    </row>
    <row r="459" spans="2:5" x14ac:dyDescent="0.35">
      <c r="B459" t="s">
        <v>5143</v>
      </c>
      <c r="D459">
        <f t="shared" si="14"/>
        <v>0</v>
      </c>
      <c r="E459" t="b">
        <f t="shared" si="15"/>
        <v>1</v>
      </c>
    </row>
    <row r="460" spans="2:5" x14ac:dyDescent="0.35">
      <c r="B460" t="s">
        <v>5144</v>
      </c>
      <c r="D460">
        <f t="shared" si="14"/>
        <v>0</v>
      </c>
      <c r="E460" t="b">
        <f t="shared" si="15"/>
        <v>1</v>
      </c>
    </row>
    <row r="461" spans="2:5" x14ac:dyDescent="0.35">
      <c r="B461" t="s">
        <v>5145</v>
      </c>
      <c r="D461">
        <f t="shared" si="14"/>
        <v>0</v>
      </c>
      <c r="E461" t="b">
        <f t="shared" si="15"/>
        <v>1</v>
      </c>
    </row>
    <row r="462" spans="2:5" x14ac:dyDescent="0.35">
      <c r="B462" t="s">
        <v>5146</v>
      </c>
      <c r="D462">
        <f t="shared" si="14"/>
        <v>0</v>
      </c>
      <c r="E462" t="b">
        <f t="shared" si="15"/>
        <v>1</v>
      </c>
    </row>
    <row r="463" spans="2:5" x14ac:dyDescent="0.35">
      <c r="B463" t="s">
        <v>5146</v>
      </c>
      <c r="D463">
        <f t="shared" si="14"/>
        <v>0</v>
      </c>
      <c r="E463" t="b">
        <f t="shared" si="15"/>
        <v>1</v>
      </c>
    </row>
    <row r="464" spans="2:5" x14ac:dyDescent="0.35">
      <c r="B464" t="s">
        <v>5146</v>
      </c>
      <c r="D464">
        <f t="shared" si="14"/>
        <v>0</v>
      </c>
      <c r="E464" t="b">
        <f t="shared" si="15"/>
        <v>1</v>
      </c>
    </row>
    <row r="465" spans="2:5" x14ac:dyDescent="0.35">
      <c r="B465" t="s">
        <v>5146</v>
      </c>
      <c r="D465">
        <f t="shared" si="14"/>
        <v>0</v>
      </c>
      <c r="E465" t="b">
        <f t="shared" si="15"/>
        <v>1</v>
      </c>
    </row>
    <row r="466" spans="2:5" x14ac:dyDescent="0.35">
      <c r="B466" t="s">
        <v>5146</v>
      </c>
      <c r="D466">
        <f t="shared" si="14"/>
        <v>0</v>
      </c>
      <c r="E466" t="b">
        <f t="shared" si="15"/>
        <v>1</v>
      </c>
    </row>
    <row r="467" spans="2:5" x14ac:dyDescent="0.35">
      <c r="B467" t="s">
        <v>5147</v>
      </c>
      <c r="D467">
        <f t="shared" si="14"/>
        <v>0</v>
      </c>
      <c r="E467" t="b">
        <f t="shared" si="15"/>
        <v>1</v>
      </c>
    </row>
    <row r="468" spans="2:5" x14ac:dyDescent="0.35">
      <c r="B468" t="s">
        <v>5147</v>
      </c>
      <c r="D468">
        <f t="shared" si="14"/>
        <v>0</v>
      </c>
      <c r="E468" t="b">
        <f t="shared" si="15"/>
        <v>1</v>
      </c>
    </row>
    <row r="469" spans="2:5" x14ac:dyDescent="0.35">
      <c r="B469" t="s">
        <v>5148</v>
      </c>
      <c r="D469">
        <f t="shared" si="14"/>
        <v>0</v>
      </c>
      <c r="E469" t="b">
        <f t="shared" si="15"/>
        <v>1</v>
      </c>
    </row>
    <row r="470" spans="2:5" x14ac:dyDescent="0.35">
      <c r="B470" t="s">
        <v>5149</v>
      </c>
      <c r="D470">
        <f t="shared" si="14"/>
        <v>0</v>
      </c>
      <c r="E470" t="b">
        <f t="shared" si="15"/>
        <v>1</v>
      </c>
    </row>
    <row r="471" spans="2:5" x14ac:dyDescent="0.35">
      <c r="B471" t="s">
        <v>5149</v>
      </c>
      <c r="D471">
        <f t="shared" si="14"/>
        <v>0</v>
      </c>
      <c r="E471" t="b">
        <f t="shared" si="15"/>
        <v>1</v>
      </c>
    </row>
    <row r="472" spans="2:5" x14ac:dyDescent="0.35">
      <c r="B472" t="s">
        <v>5149</v>
      </c>
      <c r="D472">
        <f t="shared" si="14"/>
        <v>0</v>
      </c>
      <c r="E472" t="b">
        <f t="shared" si="15"/>
        <v>1</v>
      </c>
    </row>
    <row r="473" spans="2:5" x14ac:dyDescent="0.35">
      <c r="B473" t="s">
        <v>5149</v>
      </c>
      <c r="D473">
        <f t="shared" si="14"/>
        <v>0</v>
      </c>
      <c r="E473" t="b">
        <f t="shared" si="15"/>
        <v>1</v>
      </c>
    </row>
    <row r="474" spans="2:5" x14ac:dyDescent="0.35">
      <c r="B474" t="s">
        <v>5150</v>
      </c>
      <c r="D474">
        <f t="shared" si="14"/>
        <v>0</v>
      </c>
      <c r="E474" t="b">
        <f t="shared" si="15"/>
        <v>1</v>
      </c>
    </row>
    <row r="475" spans="2:5" x14ac:dyDescent="0.35">
      <c r="B475" t="s">
        <v>5151</v>
      </c>
      <c r="D475">
        <f t="shared" si="14"/>
        <v>0</v>
      </c>
      <c r="E475" t="b">
        <f t="shared" si="15"/>
        <v>1</v>
      </c>
    </row>
    <row r="476" spans="2:5" x14ac:dyDescent="0.35">
      <c r="B476" t="s">
        <v>5152</v>
      </c>
      <c r="D476">
        <f t="shared" si="14"/>
        <v>0</v>
      </c>
      <c r="E476" t="b">
        <f t="shared" si="15"/>
        <v>1</v>
      </c>
    </row>
    <row r="477" spans="2:5" x14ac:dyDescent="0.35">
      <c r="B477" t="s">
        <v>5153</v>
      </c>
      <c r="D477">
        <f t="shared" si="14"/>
        <v>0</v>
      </c>
      <c r="E477" t="b">
        <f t="shared" si="15"/>
        <v>1</v>
      </c>
    </row>
    <row r="478" spans="2:5" x14ac:dyDescent="0.35">
      <c r="B478" t="s">
        <v>5154</v>
      </c>
      <c r="D478">
        <f t="shared" si="14"/>
        <v>0</v>
      </c>
      <c r="E478" t="b">
        <f t="shared" si="15"/>
        <v>1</v>
      </c>
    </row>
    <row r="479" spans="2:5" x14ac:dyDescent="0.35">
      <c r="B479" t="s">
        <v>5154</v>
      </c>
      <c r="D479">
        <f t="shared" si="14"/>
        <v>0</v>
      </c>
      <c r="E479" t="b">
        <f t="shared" si="15"/>
        <v>1</v>
      </c>
    </row>
    <row r="480" spans="2:5" x14ac:dyDescent="0.35">
      <c r="B480" t="s">
        <v>5154</v>
      </c>
      <c r="D480">
        <f t="shared" si="14"/>
        <v>0</v>
      </c>
      <c r="E480" t="b">
        <f t="shared" si="15"/>
        <v>1</v>
      </c>
    </row>
    <row r="481" spans="2:5" x14ac:dyDescent="0.35">
      <c r="B481" t="s">
        <v>5154</v>
      </c>
      <c r="D481">
        <f t="shared" si="14"/>
        <v>0</v>
      </c>
      <c r="E481" t="b">
        <f t="shared" si="15"/>
        <v>1</v>
      </c>
    </row>
    <row r="482" spans="2:5" x14ac:dyDescent="0.35">
      <c r="B482" t="s">
        <v>5154</v>
      </c>
      <c r="D482">
        <f t="shared" si="14"/>
        <v>0</v>
      </c>
      <c r="E482" t="b">
        <f t="shared" si="15"/>
        <v>1</v>
      </c>
    </row>
    <row r="483" spans="2:5" x14ac:dyDescent="0.35">
      <c r="B483" t="s">
        <v>5155</v>
      </c>
      <c r="D483">
        <f t="shared" si="14"/>
        <v>0</v>
      </c>
      <c r="E483" t="b">
        <f t="shared" si="15"/>
        <v>1</v>
      </c>
    </row>
    <row r="484" spans="2:5" x14ac:dyDescent="0.35">
      <c r="B484" t="s">
        <v>5156</v>
      </c>
      <c r="D484">
        <f t="shared" si="14"/>
        <v>0</v>
      </c>
      <c r="E484" t="b">
        <f t="shared" si="15"/>
        <v>1</v>
      </c>
    </row>
    <row r="485" spans="2:5" x14ac:dyDescent="0.35">
      <c r="B485" t="s">
        <v>2324</v>
      </c>
      <c r="D485">
        <f t="shared" si="14"/>
        <v>0</v>
      </c>
      <c r="E485" t="b">
        <f t="shared" si="15"/>
        <v>1</v>
      </c>
    </row>
    <row r="486" spans="2:5" x14ac:dyDescent="0.35">
      <c r="B486" t="s">
        <v>2324</v>
      </c>
      <c r="D486">
        <f t="shared" si="14"/>
        <v>0</v>
      </c>
      <c r="E486" t="b">
        <f t="shared" si="15"/>
        <v>1</v>
      </c>
    </row>
    <row r="487" spans="2:5" x14ac:dyDescent="0.35">
      <c r="B487" t="s">
        <v>5157</v>
      </c>
      <c r="D487">
        <f t="shared" si="14"/>
        <v>0</v>
      </c>
      <c r="E487" t="b">
        <f t="shared" si="15"/>
        <v>1</v>
      </c>
    </row>
    <row r="488" spans="2:5" x14ac:dyDescent="0.35">
      <c r="B488" t="s">
        <v>5158</v>
      </c>
      <c r="D488">
        <f t="shared" si="14"/>
        <v>0</v>
      </c>
      <c r="E488" t="b">
        <f t="shared" si="15"/>
        <v>1</v>
      </c>
    </row>
    <row r="489" spans="2:5" x14ac:dyDescent="0.35">
      <c r="B489" t="s">
        <v>5158</v>
      </c>
      <c r="D489">
        <f t="shared" si="14"/>
        <v>0</v>
      </c>
      <c r="E489" t="b">
        <f t="shared" si="15"/>
        <v>1</v>
      </c>
    </row>
    <row r="490" spans="2:5" x14ac:dyDescent="0.35">
      <c r="B490" t="s">
        <v>5158</v>
      </c>
      <c r="D490">
        <f t="shared" si="14"/>
        <v>0</v>
      </c>
      <c r="E490" t="b">
        <f t="shared" si="15"/>
        <v>1</v>
      </c>
    </row>
    <row r="491" spans="2:5" x14ac:dyDescent="0.35">
      <c r="B491" t="s">
        <v>5158</v>
      </c>
      <c r="D491">
        <f t="shared" si="14"/>
        <v>0</v>
      </c>
      <c r="E491" t="b">
        <f t="shared" si="15"/>
        <v>1</v>
      </c>
    </row>
    <row r="492" spans="2:5" x14ac:dyDescent="0.35">
      <c r="B492" t="s">
        <v>5159</v>
      </c>
      <c r="D492">
        <f t="shared" si="14"/>
        <v>0</v>
      </c>
      <c r="E492" t="b">
        <f t="shared" si="15"/>
        <v>1</v>
      </c>
    </row>
    <row r="493" spans="2:5" x14ac:dyDescent="0.35">
      <c r="B493" t="s">
        <v>5159</v>
      </c>
      <c r="D493">
        <f t="shared" si="14"/>
        <v>0</v>
      </c>
      <c r="E493" t="b">
        <f t="shared" si="15"/>
        <v>1</v>
      </c>
    </row>
    <row r="494" spans="2:5" x14ac:dyDescent="0.35">
      <c r="B494" t="s">
        <v>5160</v>
      </c>
      <c r="D494">
        <f t="shared" si="14"/>
        <v>0</v>
      </c>
      <c r="E494" t="b">
        <f t="shared" si="15"/>
        <v>1</v>
      </c>
    </row>
    <row r="495" spans="2:5" x14ac:dyDescent="0.35">
      <c r="B495" t="s">
        <v>5161</v>
      </c>
      <c r="D495">
        <f t="shared" si="14"/>
        <v>0</v>
      </c>
      <c r="E495" t="b">
        <f t="shared" si="15"/>
        <v>1</v>
      </c>
    </row>
    <row r="496" spans="2:5" x14ac:dyDescent="0.35">
      <c r="B496" t="s">
        <v>5162</v>
      </c>
      <c r="D496">
        <f t="shared" si="14"/>
        <v>0</v>
      </c>
      <c r="E496" t="b">
        <f t="shared" si="15"/>
        <v>1</v>
      </c>
    </row>
    <row r="497" spans="2:5" x14ac:dyDescent="0.35">
      <c r="B497" t="s">
        <v>5162</v>
      </c>
      <c r="D497">
        <f t="shared" si="14"/>
        <v>0</v>
      </c>
      <c r="E497" t="b">
        <f t="shared" si="15"/>
        <v>1</v>
      </c>
    </row>
    <row r="498" spans="2:5" x14ac:dyDescent="0.35">
      <c r="B498" t="s">
        <v>5162</v>
      </c>
      <c r="D498">
        <f t="shared" si="14"/>
        <v>0</v>
      </c>
      <c r="E498" t="b">
        <f t="shared" si="15"/>
        <v>1</v>
      </c>
    </row>
    <row r="499" spans="2:5" x14ac:dyDescent="0.35">
      <c r="B499" t="s">
        <v>5162</v>
      </c>
      <c r="D499">
        <f t="shared" si="14"/>
        <v>0</v>
      </c>
      <c r="E499" t="b">
        <f t="shared" si="15"/>
        <v>1</v>
      </c>
    </row>
    <row r="500" spans="2:5" x14ac:dyDescent="0.35">
      <c r="B500" t="s">
        <v>5162</v>
      </c>
      <c r="D500">
        <f t="shared" si="14"/>
        <v>0</v>
      </c>
      <c r="E500" t="b">
        <f t="shared" si="15"/>
        <v>1</v>
      </c>
    </row>
    <row r="501" spans="2:5" x14ac:dyDescent="0.35">
      <c r="B501" t="s">
        <v>5163</v>
      </c>
      <c r="D501">
        <f t="shared" si="14"/>
        <v>0</v>
      </c>
      <c r="E501" t="b">
        <f t="shared" si="15"/>
        <v>1</v>
      </c>
    </row>
    <row r="502" spans="2:5" x14ac:dyDescent="0.35">
      <c r="B502" t="s">
        <v>5163</v>
      </c>
      <c r="D502">
        <f t="shared" si="14"/>
        <v>0</v>
      </c>
      <c r="E502" t="b">
        <f t="shared" si="15"/>
        <v>1</v>
      </c>
    </row>
    <row r="503" spans="2:5" x14ac:dyDescent="0.35">
      <c r="B503" t="s">
        <v>5164</v>
      </c>
      <c r="D503">
        <f t="shared" si="14"/>
        <v>0</v>
      </c>
      <c r="E503" t="b">
        <f t="shared" si="15"/>
        <v>1</v>
      </c>
    </row>
    <row r="504" spans="2:5" x14ac:dyDescent="0.35">
      <c r="B504" t="s">
        <v>5164</v>
      </c>
      <c r="D504">
        <f t="shared" si="14"/>
        <v>0</v>
      </c>
      <c r="E504" t="b">
        <f t="shared" si="15"/>
        <v>1</v>
      </c>
    </row>
    <row r="505" spans="2:5" x14ac:dyDescent="0.35">
      <c r="B505" t="s">
        <v>5164</v>
      </c>
      <c r="D505">
        <f t="shared" si="14"/>
        <v>0</v>
      </c>
      <c r="E505" t="b">
        <f t="shared" si="15"/>
        <v>1</v>
      </c>
    </row>
    <row r="506" spans="2:5" x14ac:dyDescent="0.35">
      <c r="B506" t="s">
        <v>5165</v>
      </c>
      <c r="D506">
        <f t="shared" si="14"/>
        <v>0</v>
      </c>
      <c r="E506" t="b">
        <f t="shared" si="15"/>
        <v>1</v>
      </c>
    </row>
    <row r="507" spans="2:5" x14ac:dyDescent="0.35">
      <c r="B507" t="s">
        <v>5165</v>
      </c>
      <c r="D507">
        <f t="shared" si="14"/>
        <v>0</v>
      </c>
      <c r="E507" t="b">
        <f t="shared" si="15"/>
        <v>1</v>
      </c>
    </row>
    <row r="508" spans="2:5" x14ac:dyDescent="0.35">
      <c r="B508" t="s">
        <v>5166</v>
      </c>
      <c r="D508">
        <f t="shared" si="14"/>
        <v>0</v>
      </c>
      <c r="E508" t="b">
        <f t="shared" si="15"/>
        <v>1</v>
      </c>
    </row>
    <row r="509" spans="2:5" x14ac:dyDescent="0.35">
      <c r="B509" t="s">
        <v>5167</v>
      </c>
      <c r="D509">
        <f t="shared" si="14"/>
        <v>0</v>
      </c>
      <c r="E509" t="b">
        <f t="shared" si="15"/>
        <v>1</v>
      </c>
    </row>
    <row r="510" spans="2:5" x14ac:dyDescent="0.35">
      <c r="B510" t="s">
        <v>5167</v>
      </c>
      <c r="D510">
        <f t="shared" si="14"/>
        <v>0</v>
      </c>
      <c r="E510" t="b">
        <f t="shared" si="15"/>
        <v>1</v>
      </c>
    </row>
    <row r="511" spans="2:5" x14ac:dyDescent="0.35">
      <c r="B511" t="s">
        <v>5168</v>
      </c>
      <c r="D511">
        <f t="shared" si="14"/>
        <v>0</v>
      </c>
      <c r="E511" t="b">
        <f t="shared" si="15"/>
        <v>1</v>
      </c>
    </row>
    <row r="512" spans="2:5" x14ac:dyDescent="0.35">
      <c r="B512" t="s">
        <v>1633</v>
      </c>
      <c r="D512">
        <f t="shared" si="14"/>
        <v>0</v>
      </c>
      <c r="E512" t="b">
        <f t="shared" si="15"/>
        <v>1</v>
      </c>
    </row>
    <row r="513" spans="1:5" x14ac:dyDescent="0.35">
      <c r="B513" t="s">
        <v>1633</v>
      </c>
      <c r="D513">
        <f t="shared" si="14"/>
        <v>0</v>
      </c>
      <c r="E513" t="b">
        <f t="shared" si="15"/>
        <v>1</v>
      </c>
    </row>
    <row r="514" spans="1:5" x14ac:dyDescent="0.35">
      <c r="B514" t="s">
        <v>1633</v>
      </c>
      <c r="D514">
        <f t="shared" ref="D514:D577" si="16">_xlfn.XLOOKUP(A514,B:B,B:B)</f>
        <v>0</v>
      </c>
      <c r="E514" t="b">
        <f t="shared" si="15"/>
        <v>1</v>
      </c>
    </row>
    <row r="515" spans="1:5" x14ac:dyDescent="0.35">
      <c r="B515" t="s">
        <v>5169</v>
      </c>
      <c r="D515">
        <f t="shared" si="16"/>
        <v>0</v>
      </c>
      <c r="E515" t="b">
        <f t="shared" ref="E515:E578" si="17">A515=D515</f>
        <v>1</v>
      </c>
    </row>
    <row r="516" spans="1:5" x14ac:dyDescent="0.35">
      <c r="B516" t="s">
        <v>5170</v>
      </c>
      <c r="D516">
        <f t="shared" si="16"/>
        <v>0</v>
      </c>
      <c r="E516" t="b">
        <f t="shared" si="17"/>
        <v>1</v>
      </c>
    </row>
    <row r="517" spans="1:5" x14ac:dyDescent="0.35">
      <c r="B517" t="s">
        <v>5171</v>
      </c>
      <c r="D517">
        <f t="shared" si="16"/>
        <v>0</v>
      </c>
      <c r="E517" t="b">
        <f t="shared" si="17"/>
        <v>1</v>
      </c>
    </row>
    <row r="518" spans="1:5" x14ac:dyDescent="0.35">
      <c r="B518" t="s">
        <v>5171</v>
      </c>
      <c r="D518">
        <f t="shared" si="16"/>
        <v>0</v>
      </c>
      <c r="E518" t="b">
        <f t="shared" si="17"/>
        <v>1</v>
      </c>
    </row>
    <row r="519" spans="1:5" x14ac:dyDescent="0.35">
      <c r="B519" t="s">
        <v>5172</v>
      </c>
      <c r="D519">
        <f t="shared" si="16"/>
        <v>0</v>
      </c>
      <c r="E519" t="b">
        <f t="shared" si="17"/>
        <v>1</v>
      </c>
    </row>
    <row r="520" spans="1:5" x14ac:dyDescent="0.35">
      <c r="B520" t="s">
        <v>5172</v>
      </c>
      <c r="D520">
        <f t="shared" si="16"/>
        <v>0</v>
      </c>
      <c r="E520" t="b">
        <f t="shared" si="17"/>
        <v>1</v>
      </c>
    </row>
    <row r="521" spans="1:5" x14ac:dyDescent="0.35">
      <c r="B521" t="s">
        <v>5173</v>
      </c>
      <c r="D521">
        <f t="shared" si="16"/>
        <v>0</v>
      </c>
      <c r="E521" t="b">
        <f t="shared" si="17"/>
        <v>1</v>
      </c>
    </row>
    <row r="522" spans="1:5" x14ac:dyDescent="0.35">
      <c r="B522" t="s">
        <v>5173</v>
      </c>
      <c r="D522">
        <f t="shared" si="16"/>
        <v>0</v>
      </c>
      <c r="E522" t="b">
        <f t="shared" si="17"/>
        <v>1</v>
      </c>
    </row>
    <row r="523" spans="1:5" x14ac:dyDescent="0.35">
      <c r="B523" t="s">
        <v>5173</v>
      </c>
      <c r="D523">
        <f t="shared" si="16"/>
        <v>0</v>
      </c>
      <c r="E523" t="b">
        <f t="shared" si="17"/>
        <v>1</v>
      </c>
    </row>
    <row r="524" spans="1:5" x14ac:dyDescent="0.35">
      <c r="B524" t="s">
        <v>5173</v>
      </c>
      <c r="D524">
        <f t="shared" si="16"/>
        <v>0</v>
      </c>
      <c r="E524" t="b">
        <f t="shared" si="17"/>
        <v>1</v>
      </c>
    </row>
    <row r="525" spans="1:5" x14ac:dyDescent="0.35">
      <c r="B525" t="s">
        <v>5174</v>
      </c>
      <c r="D525">
        <f t="shared" si="16"/>
        <v>0</v>
      </c>
      <c r="E525" t="b">
        <f t="shared" si="17"/>
        <v>1</v>
      </c>
    </row>
    <row r="526" spans="1:5" x14ac:dyDescent="0.35">
      <c r="B526" t="s">
        <v>5175</v>
      </c>
      <c r="D526">
        <f t="shared" si="16"/>
        <v>0</v>
      </c>
      <c r="E526" t="b">
        <f t="shared" si="17"/>
        <v>1</v>
      </c>
    </row>
    <row r="527" spans="1:5" x14ac:dyDescent="0.35">
      <c r="B527" t="s">
        <v>3952</v>
      </c>
      <c r="D527">
        <f t="shared" si="16"/>
        <v>0</v>
      </c>
      <c r="E527" t="b">
        <f t="shared" si="17"/>
        <v>1</v>
      </c>
    </row>
    <row r="528" spans="1:5" x14ac:dyDescent="0.35">
      <c r="A528" s="18"/>
      <c r="B528" t="s">
        <v>3952</v>
      </c>
      <c r="D528">
        <f t="shared" si="16"/>
        <v>0</v>
      </c>
      <c r="E528" t="b">
        <f t="shared" si="17"/>
        <v>1</v>
      </c>
    </row>
    <row r="529" spans="1:5" x14ac:dyDescent="0.35">
      <c r="A529" s="18"/>
      <c r="B529" t="s">
        <v>3952</v>
      </c>
      <c r="D529">
        <f t="shared" si="16"/>
        <v>0</v>
      </c>
      <c r="E529" t="b">
        <f t="shared" si="17"/>
        <v>1</v>
      </c>
    </row>
    <row r="530" spans="1:5" x14ac:dyDescent="0.35">
      <c r="A530" s="18"/>
      <c r="B530" t="s">
        <v>3952</v>
      </c>
      <c r="D530">
        <f t="shared" si="16"/>
        <v>0</v>
      </c>
      <c r="E530" t="b">
        <f t="shared" si="17"/>
        <v>1</v>
      </c>
    </row>
    <row r="531" spans="1:5" x14ac:dyDescent="0.35">
      <c r="A531" s="18"/>
      <c r="B531" t="s">
        <v>3952</v>
      </c>
      <c r="D531">
        <f t="shared" si="16"/>
        <v>0</v>
      </c>
      <c r="E531" t="b">
        <f t="shared" si="17"/>
        <v>1</v>
      </c>
    </row>
    <row r="532" spans="1:5" x14ac:dyDescent="0.35">
      <c r="A532" s="18"/>
      <c r="B532" t="s">
        <v>5176</v>
      </c>
      <c r="D532">
        <f t="shared" si="16"/>
        <v>0</v>
      </c>
      <c r="E532" t="b">
        <f t="shared" si="17"/>
        <v>1</v>
      </c>
    </row>
    <row r="533" spans="1:5" x14ac:dyDescent="0.35">
      <c r="A533" s="18"/>
      <c r="B533" t="s">
        <v>5177</v>
      </c>
      <c r="D533">
        <f t="shared" si="16"/>
        <v>0</v>
      </c>
      <c r="E533" t="b">
        <f t="shared" si="17"/>
        <v>1</v>
      </c>
    </row>
    <row r="534" spans="1:5" x14ac:dyDescent="0.35">
      <c r="A534" s="18"/>
      <c r="B534" t="s">
        <v>5178</v>
      </c>
      <c r="D534">
        <f t="shared" si="16"/>
        <v>0</v>
      </c>
      <c r="E534" t="b">
        <f t="shared" si="17"/>
        <v>1</v>
      </c>
    </row>
    <row r="535" spans="1:5" x14ac:dyDescent="0.35">
      <c r="A535" s="18"/>
      <c r="B535" t="s">
        <v>5179</v>
      </c>
      <c r="D535">
        <f t="shared" si="16"/>
        <v>0</v>
      </c>
      <c r="E535" t="b">
        <f t="shared" si="17"/>
        <v>1</v>
      </c>
    </row>
    <row r="536" spans="1:5" x14ac:dyDescent="0.35">
      <c r="A536" s="18"/>
      <c r="B536" t="s">
        <v>5180</v>
      </c>
      <c r="D536">
        <f t="shared" si="16"/>
        <v>0</v>
      </c>
      <c r="E536" t="b">
        <f t="shared" si="17"/>
        <v>1</v>
      </c>
    </row>
    <row r="537" spans="1:5" x14ac:dyDescent="0.35">
      <c r="A537" s="18"/>
      <c r="B537" t="s">
        <v>5181</v>
      </c>
      <c r="D537">
        <f t="shared" si="16"/>
        <v>0</v>
      </c>
      <c r="E537" t="b">
        <f t="shared" si="17"/>
        <v>1</v>
      </c>
    </row>
    <row r="538" spans="1:5" x14ac:dyDescent="0.35">
      <c r="A538" s="18"/>
      <c r="B538" t="s">
        <v>5182</v>
      </c>
      <c r="D538">
        <f t="shared" si="16"/>
        <v>0</v>
      </c>
      <c r="E538" t="b">
        <f t="shared" si="17"/>
        <v>1</v>
      </c>
    </row>
    <row r="539" spans="1:5" x14ac:dyDescent="0.35">
      <c r="A539" s="18"/>
      <c r="B539" t="s">
        <v>5182</v>
      </c>
      <c r="D539">
        <f t="shared" si="16"/>
        <v>0</v>
      </c>
      <c r="E539" t="b">
        <f t="shared" si="17"/>
        <v>1</v>
      </c>
    </row>
    <row r="540" spans="1:5" x14ac:dyDescent="0.35">
      <c r="A540" s="18"/>
      <c r="B540" t="s">
        <v>5183</v>
      </c>
      <c r="D540">
        <f t="shared" si="16"/>
        <v>0</v>
      </c>
      <c r="E540" t="b">
        <f t="shared" si="17"/>
        <v>1</v>
      </c>
    </row>
    <row r="541" spans="1:5" x14ac:dyDescent="0.35">
      <c r="A541" s="18"/>
      <c r="B541" t="s">
        <v>5184</v>
      </c>
      <c r="D541">
        <f t="shared" si="16"/>
        <v>0</v>
      </c>
      <c r="E541" t="b">
        <f t="shared" si="17"/>
        <v>1</v>
      </c>
    </row>
    <row r="542" spans="1:5" x14ac:dyDescent="0.35">
      <c r="A542" s="18"/>
      <c r="B542" t="s">
        <v>5184</v>
      </c>
      <c r="D542">
        <f t="shared" si="16"/>
        <v>0</v>
      </c>
      <c r="E542" t="b">
        <f t="shared" si="17"/>
        <v>1</v>
      </c>
    </row>
    <row r="543" spans="1:5" x14ac:dyDescent="0.35">
      <c r="A543" s="18"/>
      <c r="B543" t="s">
        <v>5184</v>
      </c>
      <c r="D543">
        <f t="shared" si="16"/>
        <v>0</v>
      </c>
      <c r="E543" t="b">
        <f t="shared" si="17"/>
        <v>1</v>
      </c>
    </row>
    <row r="544" spans="1:5" x14ac:dyDescent="0.35">
      <c r="A544" s="18"/>
      <c r="B544" t="s">
        <v>5185</v>
      </c>
      <c r="D544">
        <f t="shared" si="16"/>
        <v>0</v>
      </c>
      <c r="E544" t="b">
        <f t="shared" si="17"/>
        <v>1</v>
      </c>
    </row>
    <row r="545" spans="1:5" x14ac:dyDescent="0.35">
      <c r="A545" s="18"/>
      <c r="B545" t="s">
        <v>5186</v>
      </c>
      <c r="D545">
        <f t="shared" si="16"/>
        <v>0</v>
      </c>
      <c r="E545" t="b">
        <f t="shared" si="17"/>
        <v>1</v>
      </c>
    </row>
    <row r="546" spans="1:5" x14ac:dyDescent="0.35">
      <c r="A546" s="18"/>
      <c r="B546" t="s">
        <v>5187</v>
      </c>
      <c r="D546">
        <f t="shared" si="16"/>
        <v>0</v>
      </c>
      <c r="E546" t="b">
        <f t="shared" si="17"/>
        <v>1</v>
      </c>
    </row>
    <row r="547" spans="1:5" x14ac:dyDescent="0.35">
      <c r="A547" s="18"/>
      <c r="B547" t="s">
        <v>5188</v>
      </c>
      <c r="D547">
        <f t="shared" si="16"/>
        <v>0</v>
      </c>
      <c r="E547" t="b">
        <f t="shared" si="17"/>
        <v>1</v>
      </c>
    </row>
    <row r="548" spans="1:5" x14ac:dyDescent="0.35">
      <c r="A548" s="18"/>
      <c r="B548" t="s">
        <v>1990</v>
      </c>
      <c r="D548">
        <f t="shared" si="16"/>
        <v>0</v>
      </c>
      <c r="E548" t="b">
        <f t="shared" si="17"/>
        <v>1</v>
      </c>
    </row>
    <row r="549" spans="1:5" x14ac:dyDescent="0.35">
      <c r="A549" s="18"/>
      <c r="B549" t="s">
        <v>1991</v>
      </c>
      <c r="D549">
        <f t="shared" si="16"/>
        <v>0</v>
      </c>
      <c r="E549" t="b">
        <f t="shared" si="17"/>
        <v>1</v>
      </c>
    </row>
    <row r="550" spans="1:5" x14ac:dyDescent="0.35">
      <c r="A550" s="18"/>
      <c r="B550" t="s">
        <v>5189</v>
      </c>
      <c r="D550">
        <f t="shared" si="16"/>
        <v>0</v>
      </c>
      <c r="E550" t="b">
        <f t="shared" si="17"/>
        <v>1</v>
      </c>
    </row>
    <row r="551" spans="1:5" x14ac:dyDescent="0.35">
      <c r="A551" s="18"/>
      <c r="B551" t="s">
        <v>5189</v>
      </c>
      <c r="D551">
        <f t="shared" si="16"/>
        <v>0</v>
      </c>
      <c r="E551" t="b">
        <f t="shared" si="17"/>
        <v>1</v>
      </c>
    </row>
    <row r="552" spans="1:5" x14ac:dyDescent="0.35">
      <c r="A552" s="18"/>
      <c r="B552" t="s">
        <v>5190</v>
      </c>
      <c r="D552">
        <f t="shared" si="16"/>
        <v>0</v>
      </c>
      <c r="E552" t="b">
        <f t="shared" si="17"/>
        <v>1</v>
      </c>
    </row>
    <row r="553" spans="1:5" x14ac:dyDescent="0.35">
      <c r="A553" s="18"/>
      <c r="B553" t="s">
        <v>5190</v>
      </c>
      <c r="D553">
        <f t="shared" si="16"/>
        <v>0</v>
      </c>
      <c r="E553" t="b">
        <f t="shared" si="17"/>
        <v>1</v>
      </c>
    </row>
    <row r="554" spans="1:5" x14ac:dyDescent="0.35">
      <c r="A554" s="18"/>
      <c r="B554" t="s">
        <v>5191</v>
      </c>
      <c r="D554">
        <f t="shared" si="16"/>
        <v>0</v>
      </c>
      <c r="E554" t="b">
        <f t="shared" si="17"/>
        <v>1</v>
      </c>
    </row>
    <row r="555" spans="1:5" x14ac:dyDescent="0.35">
      <c r="A555" s="18"/>
      <c r="B555" s="18"/>
      <c r="D555">
        <f t="shared" si="16"/>
        <v>0</v>
      </c>
      <c r="E555" t="b">
        <f t="shared" si="17"/>
        <v>1</v>
      </c>
    </row>
    <row r="556" spans="1:5" x14ac:dyDescent="0.35">
      <c r="A556" s="18"/>
      <c r="B556" s="18"/>
      <c r="D556">
        <f t="shared" si="16"/>
        <v>0</v>
      </c>
      <c r="E556" t="b">
        <f t="shared" si="17"/>
        <v>1</v>
      </c>
    </row>
    <row r="557" spans="1:5" x14ac:dyDescent="0.35">
      <c r="A557" s="18"/>
      <c r="B557" s="18"/>
      <c r="D557">
        <f t="shared" si="16"/>
        <v>0</v>
      </c>
      <c r="E557" t="b">
        <f t="shared" si="17"/>
        <v>1</v>
      </c>
    </row>
    <row r="558" spans="1:5" x14ac:dyDescent="0.35">
      <c r="A558" s="18"/>
      <c r="B558" s="18"/>
      <c r="D558">
        <f t="shared" si="16"/>
        <v>0</v>
      </c>
      <c r="E558" t="b">
        <f t="shared" si="17"/>
        <v>1</v>
      </c>
    </row>
    <row r="559" spans="1:5" x14ac:dyDescent="0.35">
      <c r="A559" s="18"/>
      <c r="B559" s="18"/>
      <c r="D559">
        <f t="shared" si="16"/>
        <v>0</v>
      </c>
      <c r="E559" t="b">
        <f t="shared" si="17"/>
        <v>1</v>
      </c>
    </row>
    <row r="560" spans="1:5" x14ac:dyDescent="0.35">
      <c r="A560" s="18"/>
      <c r="B560" s="18"/>
      <c r="D560">
        <f t="shared" si="16"/>
        <v>0</v>
      </c>
      <c r="E560" t="b">
        <f t="shared" si="17"/>
        <v>1</v>
      </c>
    </row>
    <row r="561" spans="1:5" x14ac:dyDescent="0.35">
      <c r="A561" s="18"/>
      <c r="B561" s="18"/>
      <c r="D561">
        <f t="shared" si="16"/>
        <v>0</v>
      </c>
      <c r="E561" t="b">
        <f t="shared" si="17"/>
        <v>1</v>
      </c>
    </row>
    <row r="562" spans="1:5" x14ac:dyDescent="0.35">
      <c r="A562" s="18"/>
      <c r="B562" s="18"/>
      <c r="D562">
        <f t="shared" si="16"/>
        <v>0</v>
      </c>
      <c r="E562" t="b">
        <f t="shared" si="17"/>
        <v>1</v>
      </c>
    </row>
    <row r="563" spans="1:5" x14ac:dyDescent="0.35">
      <c r="A563" s="18"/>
      <c r="B563" s="18"/>
      <c r="D563">
        <f t="shared" si="16"/>
        <v>0</v>
      </c>
      <c r="E563" t="b">
        <f t="shared" si="17"/>
        <v>1</v>
      </c>
    </row>
    <row r="564" spans="1:5" x14ac:dyDescent="0.35">
      <c r="A564" s="18"/>
      <c r="B564" s="18"/>
      <c r="D564">
        <f t="shared" si="16"/>
        <v>0</v>
      </c>
      <c r="E564" t="b">
        <f t="shared" si="17"/>
        <v>1</v>
      </c>
    </row>
    <row r="565" spans="1:5" x14ac:dyDescent="0.35">
      <c r="A565" s="18"/>
      <c r="B565" s="18"/>
      <c r="D565">
        <f t="shared" si="16"/>
        <v>0</v>
      </c>
      <c r="E565" t="b">
        <f t="shared" si="17"/>
        <v>1</v>
      </c>
    </row>
    <row r="566" spans="1:5" x14ac:dyDescent="0.35">
      <c r="A566" s="18"/>
      <c r="B566" s="18"/>
      <c r="D566">
        <f t="shared" si="16"/>
        <v>0</v>
      </c>
      <c r="E566" t="b">
        <f t="shared" si="17"/>
        <v>1</v>
      </c>
    </row>
    <row r="567" spans="1:5" x14ac:dyDescent="0.35">
      <c r="A567" s="18"/>
      <c r="B567" s="18"/>
      <c r="D567">
        <f t="shared" si="16"/>
        <v>0</v>
      </c>
      <c r="E567" t="b">
        <f t="shared" si="17"/>
        <v>1</v>
      </c>
    </row>
    <row r="568" spans="1:5" x14ac:dyDescent="0.35">
      <c r="A568" s="18"/>
      <c r="B568" s="18"/>
      <c r="D568">
        <f t="shared" si="16"/>
        <v>0</v>
      </c>
      <c r="E568" t="b">
        <f t="shared" si="17"/>
        <v>1</v>
      </c>
    </row>
    <row r="569" spans="1:5" x14ac:dyDescent="0.35">
      <c r="A569" s="18"/>
      <c r="B569" s="18"/>
      <c r="D569">
        <f t="shared" si="16"/>
        <v>0</v>
      </c>
      <c r="E569" t="b">
        <f t="shared" si="17"/>
        <v>1</v>
      </c>
    </row>
    <row r="570" spans="1:5" x14ac:dyDescent="0.35">
      <c r="A570" s="18"/>
      <c r="B570" s="18"/>
      <c r="D570">
        <f t="shared" si="16"/>
        <v>0</v>
      </c>
      <c r="E570" t="b">
        <f t="shared" si="17"/>
        <v>1</v>
      </c>
    </row>
    <row r="571" spans="1:5" x14ac:dyDescent="0.35">
      <c r="A571" s="18"/>
      <c r="B571" s="18"/>
      <c r="D571">
        <f t="shared" si="16"/>
        <v>0</v>
      </c>
      <c r="E571" t="b">
        <f t="shared" si="17"/>
        <v>1</v>
      </c>
    </row>
    <row r="572" spans="1:5" x14ac:dyDescent="0.35">
      <c r="A572" s="18"/>
      <c r="B572" s="18"/>
      <c r="D572">
        <f t="shared" si="16"/>
        <v>0</v>
      </c>
      <c r="E572" t="b">
        <f t="shared" si="17"/>
        <v>1</v>
      </c>
    </row>
    <row r="573" spans="1:5" x14ac:dyDescent="0.35">
      <c r="A573" s="18"/>
      <c r="B573" s="18"/>
      <c r="D573">
        <f t="shared" si="16"/>
        <v>0</v>
      </c>
      <c r="E573" t="b">
        <f t="shared" si="17"/>
        <v>1</v>
      </c>
    </row>
    <row r="574" spans="1:5" x14ac:dyDescent="0.35">
      <c r="A574" s="18"/>
      <c r="B574" s="18"/>
      <c r="D574">
        <f t="shared" si="16"/>
        <v>0</v>
      </c>
      <c r="E574" t="b">
        <f t="shared" si="17"/>
        <v>1</v>
      </c>
    </row>
    <row r="575" spans="1:5" x14ac:dyDescent="0.35">
      <c r="A575" s="18"/>
      <c r="B575" s="18"/>
      <c r="D575">
        <f t="shared" si="16"/>
        <v>0</v>
      </c>
      <c r="E575" t="b">
        <f t="shared" si="17"/>
        <v>1</v>
      </c>
    </row>
    <row r="576" spans="1:5" x14ac:dyDescent="0.35">
      <c r="A576" s="18"/>
      <c r="B576" s="18"/>
      <c r="D576">
        <f t="shared" si="16"/>
        <v>0</v>
      </c>
      <c r="E576" t="b">
        <f t="shared" si="17"/>
        <v>1</v>
      </c>
    </row>
    <row r="577" spans="1:5" x14ac:dyDescent="0.35">
      <c r="A577" s="18"/>
      <c r="B577" s="18"/>
      <c r="D577">
        <f t="shared" si="16"/>
        <v>0</v>
      </c>
      <c r="E577" t="b">
        <f t="shared" si="17"/>
        <v>1</v>
      </c>
    </row>
    <row r="578" spans="1:5" x14ac:dyDescent="0.35">
      <c r="A578" s="18"/>
      <c r="B578" s="18"/>
      <c r="D578">
        <f t="shared" ref="D578:D591" si="18">_xlfn.XLOOKUP(A578,B:B,B:B)</f>
        <v>0</v>
      </c>
      <c r="E578" t="b">
        <f t="shared" si="17"/>
        <v>1</v>
      </c>
    </row>
    <row r="579" spans="1:5" x14ac:dyDescent="0.35">
      <c r="A579" s="18"/>
      <c r="B579" s="18"/>
      <c r="D579">
        <f t="shared" si="18"/>
        <v>0</v>
      </c>
      <c r="E579" t="b">
        <f t="shared" ref="E579:E642" si="19">A579=D579</f>
        <v>1</v>
      </c>
    </row>
    <row r="580" spans="1:5" x14ac:dyDescent="0.35">
      <c r="A580" s="18"/>
      <c r="B580" s="18"/>
      <c r="D580">
        <f t="shared" si="18"/>
        <v>0</v>
      </c>
      <c r="E580" t="b">
        <f t="shared" si="19"/>
        <v>1</v>
      </c>
    </row>
    <row r="581" spans="1:5" x14ac:dyDescent="0.35">
      <c r="A581" s="18"/>
      <c r="B581" s="18"/>
      <c r="D581">
        <f t="shared" si="18"/>
        <v>0</v>
      </c>
      <c r="E581" t="b">
        <f t="shared" si="19"/>
        <v>1</v>
      </c>
    </row>
    <row r="582" spans="1:5" x14ac:dyDescent="0.35">
      <c r="A582" s="18"/>
      <c r="B582" s="18"/>
      <c r="D582">
        <f t="shared" si="18"/>
        <v>0</v>
      </c>
      <c r="E582" t="b">
        <f t="shared" si="19"/>
        <v>1</v>
      </c>
    </row>
    <row r="583" spans="1:5" x14ac:dyDescent="0.35">
      <c r="A583" s="18"/>
      <c r="B583" s="18"/>
      <c r="D583">
        <f t="shared" si="18"/>
        <v>0</v>
      </c>
      <c r="E583" t="b">
        <f t="shared" si="19"/>
        <v>1</v>
      </c>
    </row>
    <row r="584" spans="1:5" x14ac:dyDescent="0.35">
      <c r="A584" s="18"/>
      <c r="B584" s="18"/>
      <c r="D584">
        <f t="shared" si="18"/>
        <v>0</v>
      </c>
      <c r="E584" t="b">
        <f t="shared" si="19"/>
        <v>1</v>
      </c>
    </row>
    <row r="585" spans="1:5" x14ac:dyDescent="0.35">
      <c r="A585" s="18"/>
      <c r="B585" s="18"/>
      <c r="D585">
        <f t="shared" si="18"/>
        <v>0</v>
      </c>
      <c r="E585" t="b">
        <f t="shared" si="19"/>
        <v>1</v>
      </c>
    </row>
    <row r="586" spans="1:5" x14ac:dyDescent="0.35">
      <c r="A586" s="18"/>
      <c r="B586" s="18"/>
      <c r="D586">
        <f t="shared" si="18"/>
        <v>0</v>
      </c>
      <c r="E586" t="b">
        <f t="shared" si="19"/>
        <v>1</v>
      </c>
    </row>
    <row r="587" spans="1:5" x14ac:dyDescent="0.35">
      <c r="A587" s="18"/>
      <c r="B587" s="18"/>
      <c r="D587">
        <f t="shared" si="18"/>
        <v>0</v>
      </c>
      <c r="E587" t="b">
        <f t="shared" si="19"/>
        <v>1</v>
      </c>
    </row>
    <row r="588" spans="1:5" x14ac:dyDescent="0.35">
      <c r="A588" s="18"/>
      <c r="B588" s="18"/>
      <c r="D588">
        <f t="shared" si="18"/>
        <v>0</v>
      </c>
      <c r="E588" t="b">
        <f t="shared" si="19"/>
        <v>1</v>
      </c>
    </row>
    <row r="589" spans="1:5" x14ac:dyDescent="0.35">
      <c r="A589" s="18"/>
      <c r="B589" s="18"/>
      <c r="D589">
        <f t="shared" si="18"/>
        <v>0</v>
      </c>
      <c r="E589" t="b">
        <f t="shared" si="19"/>
        <v>1</v>
      </c>
    </row>
    <row r="590" spans="1:5" x14ac:dyDescent="0.35">
      <c r="A590" s="18"/>
      <c r="B590" s="18"/>
      <c r="D590">
        <f t="shared" si="18"/>
        <v>0</v>
      </c>
      <c r="E590" t="b">
        <f t="shared" si="19"/>
        <v>1</v>
      </c>
    </row>
    <row r="591" spans="1:5" x14ac:dyDescent="0.35">
      <c r="A591" s="18"/>
      <c r="B591" s="18"/>
      <c r="D591">
        <f t="shared" si="18"/>
        <v>0</v>
      </c>
      <c r="E591" t="b">
        <f t="shared" si="19"/>
        <v>1</v>
      </c>
    </row>
    <row r="592" spans="1:5" x14ac:dyDescent="0.35">
      <c r="A592" s="18"/>
      <c r="B592" s="18"/>
      <c r="E592" t="b">
        <f t="shared" si="19"/>
        <v>1</v>
      </c>
    </row>
    <row r="593" spans="1:5" x14ac:dyDescent="0.35">
      <c r="A593" s="18"/>
      <c r="B593" s="18"/>
      <c r="E593" t="b">
        <f t="shared" si="19"/>
        <v>1</v>
      </c>
    </row>
    <row r="594" spans="1:5" x14ac:dyDescent="0.35">
      <c r="A594" s="18"/>
      <c r="B594" s="18"/>
      <c r="E594" t="b">
        <f t="shared" si="19"/>
        <v>1</v>
      </c>
    </row>
    <row r="595" spans="1:5" x14ac:dyDescent="0.35">
      <c r="A595" s="18"/>
      <c r="B595" s="18"/>
      <c r="E595" t="b">
        <f t="shared" si="19"/>
        <v>1</v>
      </c>
    </row>
    <row r="596" spans="1:5" x14ac:dyDescent="0.35">
      <c r="A596" s="18"/>
      <c r="B596" s="18"/>
      <c r="E596" t="b">
        <f t="shared" si="19"/>
        <v>1</v>
      </c>
    </row>
    <row r="597" spans="1:5" x14ac:dyDescent="0.35">
      <c r="A597" s="18"/>
      <c r="B597" s="18"/>
      <c r="E597" t="b">
        <f t="shared" si="19"/>
        <v>1</v>
      </c>
    </row>
    <row r="598" spans="1:5" x14ac:dyDescent="0.35">
      <c r="A598" s="18"/>
      <c r="B598" s="18"/>
      <c r="E598" t="b">
        <f t="shared" si="19"/>
        <v>1</v>
      </c>
    </row>
    <row r="599" spans="1:5" x14ac:dyDescent="0.35">
      <c r="A599" s="18"/>
      <c r="B599" s="18"/>
      <c r="E599" t="b">
        <f t="shared" si="19"/>
        <v>1</v>
      </c>
    </row>
    <row r="600" spans="1:5" x14ac:dyDescent="0.35">
      <c r="A600" s="18"/>
      <c r="B600" s="18"/>
      <c r="E600" t="b">
        <f t="shared" si="19"/>
        <v>1</v>
      </c>
    </row>
    <row r="601" spans="1:5" x14ac:dyDescent="0.35">
      <c r="A601" s="18"/>
      <c r="B601" s="18"/>
      <c r="E601" t="b">
        <f t="shared" si="19"/>
        <v>1</v>
      </c>
    </row>
    <row r="602" spans="1:5" x14ac:dyDescent="0.35">
      <c r="A602" s="18"/>
      <c r="B602" s="18"/>
      <c r="E602" t="b">
        <f t="shared" si="19"/>
        <v>1</v>
      </c>
    </row>
    <row r="603" spans="1:5" x14ac:dyDescent="0.35">
      <c r="A603" s="18"/>
      <c r="B603" s="18"/>
      <c r="E603" t="b">
        <f t="shared" si="19"/>
        <v>1</v>
      </c>
    </row>
    <row r="604" spans="1:5" x14ac:dyDescent="0.35">
      <c r="A604" s="18"/>
      <c r="B604" s="18"/>
      <c r="E604" t="b">
        <f t="shared" si="19"/>
        <v>1</v>
      </c>
    </row>
    <row r="605" spans="1:5" x14ac:dyDescent="0.35">
      <c r="A605" s="18"/>
      <c r="B605" s="18"/>
      <c r="E605" t="b">
        <f t="shared" si="19"/>
        <v>1</v>
      </c>
    </row>
    <row r="606" spans="1:5" x14ac:dyDescent="0.35">
      <c r="A606" s="18"/>
      <c r="B606" s="18"/>
      <c r="E606" t="b">
        <f t="shared" si="19"/>
        <v>1</v>
      </c>
    </row>
    <row r="607" spans="1:5" x14ac:dyDescent="0.35">
      <c r="A607" s="18"/>
      <c r="B607" s="18"/>
      <c r="E607" t="b">
        <f t="shared" si="19"/>
        <v>1</v>
      </c>
    </row>
    <row r="608" spans="1:5" x14ac:dyDescent="0.35">
      <c r="A608" s="18"/>
      <c r="B608" s="18"/>
      <c r="E608" t="b">
        <f t="shared" si="19"/>
        <v>1</v>
      </c>
    </row>
    <row r="609" spans="1:5" x14ac:dyDescent="0.35">
      <c r="A609" s="18"/>
      <c r="B609" s="18"/>
      <c r="E609" t="b">
        <f t="shared" si="19"/>
        <v>1</v>
      </c>
    </row>
    <row r="610" spans="1:5" x14ac:dyDescent="0.35">
      <c r="A610" s="18"/>
      <c r="B610" s="18"/>
      <c r="E610" t="b">
        <f t="shared" si="19"/>
        <v>1</v>
      </c>
    </row>
    <row r="611" spans="1:5" x14ac:dyDescent="0.35">
      <c r="A611" s="18"/>
      <c r="B611" s="18"/>
      <c r="E611" t="b">
        <f t="shared" si="19"/>
        <v>1</v>
      </c>
    </row>
    <row r="612" spans="1:5" x14ac:dyDescent="0.35">
      <c r="A612" s="18"/>
      <c r="B612" s="18"/>
      <c r="E612" t="b">
        <f t="shared" si="19"/>
        <v>1</v>
      </c>
    </row>
    <row r="613" spans="1:5" x14ac:dyDescent="0.35">
      <c r="A613" s="18"/>
      <c r="B613" s="18"/>
      <c r="E613" t="b">
        <f t="shared" si="19"/>
        <v>1</v>
      </c>
    </row>
    <row r="614" spans="1:5" x14ac:dyDescent="0.35">
      <c r="A614" s="18"/>
      <c r="B614" s="18"/>
      <c r="E614" t="b">
        <f t="shared" si="19"/>
        <v>1</v>
      </c>
    </row>
    <row r="615" spans="1:5" x14ac:dyDescent="0.35">
      <c r="A615" s="18"/>
      <c r="B615" s="18"/>
      <c r="E615" t="b">
        <f t="shared" si="19"/>
        <v>1</v>
      </c>
    </row>
    <row r="616" spans="1:5" x14ac:dyDescent="0.35">
      <c r="A616" s="18"/>
      <c r="B616" s="18"/>
      <c r="E616" t="b">
        <f t="shared" si="19"/>
        <v>1</v>
      </c>
    </row>
    <row r="617" spans="1:5" x14ac:dyDescent="0.35">
      <c r="A617" s="18"/>
      <c r="B617" s="18"/>
      <c r="E617" t="b">
        <f t="shared" si="19"/>
        <v>1</v>
      </c>
    </row>
    <row r="618" spans="1:5" x14ac:dyDescent="0.35">
      <c r="A618" s="18"/>
      <c r="B618" s="18"/>
      <c r="E618" t="b">
        <f t="shared" si="19"/>
        <v>1</v>
      </c>
    </row>
    <row r="619" spans="1:5" x14ac:dyDescent="0.35">
      <c r="A619" s="18"/>
      <c r="B619" s="18"/>
      <c r="E619" t="b">
        <f t="shared" si="19"/>
        <v>1</v>
      </c>
    </row>
    <row r="620" spans="1:5" x14ac:dyDescent="0.35">
      <c r="A620" s="18"/>
      <c r="B620" s="18"/>
      <c r="E620" t="b">
        <f t="shared" si="19"/>
        <v>1</v>
      </c>
    </row>
    <row r="621" spans="1:5" x14ac:dyDescent="0.35">
      <c r="A621" s="18"/>
      <c r="B621" s="18"/>
      <c r="E621" t="b">
        <f t="shared" si="19"/>
        <v>1</v>
      </c>
    </row>
    <row r="622" spans="1:5" x14ac:dyDescent="0.35">
      <c r="A622" s="18"/>
      <c r="B622" s="18"/>
      <c r="E622" t="b">
        <f t="shared" si="19"/>
        <v>1</v>
      </c>
    </row>
    <row r="623" spans="1:5" x14ac:dyDescent="0.35">
      <c r="A623" s="18"/>
      <c r="B623" s="18"/>
      <c r="E623" t="b">
        <f t="shared" si="19"/>
        <v>1</v>
      </c>
    </row>
    <row r="624" spans="1:5" x14ac:dyDescent="0.35">
      <c r="A624" s="18"/>
      <c r="B624" s="18"/>
      <c r="E624" t="b">
        <f t="shared" si="19"/>
        <v>1</v>
      </c>
    </row>
    <row r="625" spans="1:5" x14ac:dyDescent="0.35">
      <c r="A625" s="18"/>
      <c r="B625" s="18"/>
      <c r="E625" t="b">
        <f t="shared" si="19"/>
        <v>1</v>
      </c>
    </row>
    <row r="626" spans="1:5" x14ac:dyDescent="0.35">
      <c r="A626" s="18"/>
      <c r="B626" s="167"/>
      <c r="E626" t="b">
        <f t="shared" si="19"/>
        <v>1</v>
      </c>
    </row>
    <row r="627" spans="1:5" x14ac:dyDescent="0.35">
      <c r="A627" s="18"/>
      <c r="B627" s="167"/>
      <c r="E627" t="b">
        <f t="shared" si="19"/>
        <v>1</v>
      </c>
    </row>
    <row r="628" spans="1:5" x14ac:dyDescent="0.35">
      <c r="A628" s="18"/>
      <c r="B628" s="18"/>
      <c r="E628" t="b">
        <f t="shared" si="19"/>
        <v>1</v>
      </c>
    </row>
    <row r="629" spans="1:5" x14ac:dyDescent="0.35">
      <c r="A629" s="18"/>
      <c r="B629" s="18"/>
      <c r="E629" t="b">
        <f t="shared" si="19"/>
        <v>1</v>
      </c>
    </row>
    <row r="630" spans="1:5" x14ac:dyDescent="0.35">
      <c r="A630" s="18"/>
      <c r="B630" s="18"/>
      <c r="E630" t="b">
        <f t="shared" si="19"/>
        <v>1</v>
      </c>
    </row>
    <row r="631" spans="1:5" x14ac:dyDescent="0.35">
      <c r="A631" s="18"/>
      <c r="B631" s="18"/>
      <c r="E631" t="b">
        <f t="shared" si="19"/>
        <v>1</v>
      </c>
    </row>
    <row r="632" spans="1:5" x14ac:dyDescent="0.35">
      <c r="A632" s="18"/>
      <c r="B632" s="18"/>
      <c r="E632" t="b">
        <f t="shared" si="19"/>
        <v>1</v>
      </c>
    </row>
    <row r="633" spans="1:5" x14ac:dyDescent="0.35">
      <c r="A633" s="18"/>
      <c r="B633" s="18"/>
      <c r="E633" t="b">
        <f t="shared" si="19"/>
        <v>1</v>
      </c>
    </row>
    <row r="634" spans="1:5" x14ac:dyDescent="0.35">
      <c r="A634" s="18"/>
      <c r="B634" s="18"/>
      <c r="E634" t="b">
        <f t="shared" si="19"/>
        <v>1</v>
      </c>
    </row>
    <row r="635" spans="1:5" x14ac:dyDescent="0.35">
      <c r="A635" s="18"/>
      <c r="B635" s="18"/>
      <c r="E635" t="b">
        <f t="shared" si="19"/>
        <v>1</v>
      </c>
    </row>
    <row r="636" spans="1:5" x14ac:dyDescent="0.35">
      <c r="A636" s="18"/>
      <c r="B636" s="18"/>
      <c r="E636" t="b">
        <f t="shared" si="19"/>
        <v>1</v>
      </c>
    </row>
    <row r="637" spans="1:5" x14ac:dyDescent="0.35">
      <c r="A637" s="18"/>
      <c r="B637" s="18"/>
      <c r="E637" t="b">
        <f t="shared" si="19"/>
        <v>1</v>
      </c>
    </row>
    <row r="638" spans="1:5" x14ac:dyDescent="0.35">
      <c r="A638" s="18"/>
      <c r="B638" s="18"/>
      <c r="E638" t="b">
        <f t="shared" si="19"/>
        <v>1</v>
      </c>
    </row>
    <row r="639" spans="1:5" x14ac:dyDescent="0.35">
      <c r="A639" s="18"/>
      <c r="B639" s="18"/>
      <c r="E639" t="b">
        <f t="shared" si="19"/>
        <v>1</v>
      </c>
    </row>
    <row r="640" spans="1:5" x14ac:dyDescent="0.35">
      <c r="A640" s="18"/>
      <c r="B640" s="18"/>
      <c r="E640" t="b">
        <f t="shared" si="19"/>
        <v>1</v>
      </c>
    </row>
    <row r="641" spans="1:5" x14ac:dyDescent="0.35">
      <c r="A641" s="18"/>
      <c r="B641" s="18"/>
      <c r="E641" t="b">
        <f t="shared" si="19"/>
        <v>1</v>
      </c>
    </row>
    <row r="642" spans="1:5" x14ac:dyDescent="0.35">
      <c r="A642" s="18"/>
      <c r="B642" s="18"/>
      <c r="E642" t="b">
        <f t="shared" si="19"/>
        <v>1</v>
      </c>
    </row>
    <row r="643" spans="1:5" x14ac:dyDescent="0.35">
      <c r="A643" s="18"/>
      <c r="B643" s="18"/>
      <c r="E643" t="b">
        <f t="shared" ref="E643:E658" si="20">A643=D643</f>
        <v>1</v>
      </c>
    </row>
    <row r="644" spans="1:5" x14ac:dyDescent="0.35">
      <c r="A644" s="18"/>
      <c r="B644" s="18"/>
      <c r="E644" t="b">
        <f t="shared" si="20"/>
        <v>1</v>
      </c>
    </row>
    <row r="645" spans="1:5" x14ac:dyDescent="0.35">
      <c r="A645" s="18"/>
      <c r="B645" s="18"/>
      <c r="E645" t="b">
        <f t="shared" si="20"/>
        <v>1</v>
      </c>
    </row>
    <row r="646" spans="1:5" x14ac:dyDescent="0.35">
      <c r="A646" s="18"/>
      <c r="B646" s="18"/>
      <c r="E646" t="b">
        <f t="shared" si="20"/>
        <v>1</v>
      </c>
    </row>
    <row r="647" spans="1:5" x14ac:dyDescent="0.35">
      <c r="A647" s="18"/>
      <c r="B647" s="18"/>
      <c r="E647" t="b">
        <f t="shared" si="20"/>
        <v>1</v>
      </c>
    </row>
    <row r="648" spans="1:5" x14ac:dyDescent="0.35">
      <c r="A648" s="18"/>
      <c r="B648" s="18"/>
      <c r="E648" t="b">
        <f t="shared" si="20"/>
        <v>1</v>
      </c>
    </row>
    <row r="649" spans="1:5" x14ac:dyDescent="0.35">
      <c r="A649" s="18"/>
      <c r="B649" s="18"/>
      <c r="E649" t="b">
        <f t="shared" si="20"/>
        <v>1</v>
      </c>
    </row>
    <row r="650" spans="1:5" x14ac:dyDescent="0.35">
      <c r="A650" s="18"/>
      <c r="B650" s="18"/>
      <c r="E650" t="b">
        <f t="shared" si="20"/>
        <v>1</v>
      </c>
    </row>
    <row r="651" spans="1:5" x14ac:dyDescent="0.35">
      <c r="A651" s="18"/>
      <c r="B651" s="18"/>
      <c r="E651" t="b">
        <f t="shared" si="20"/>
        <v>1</v>
      </c>
    </row>
    <row r="652" spans="1:5" x14ac:dyDescent="0.35">
      <c r="A652" s="18"/>
      <c r="B652" s="18"/>
      <c r="E652" t="b">
        <f t="shared" si="20"/>
        <v>1</v>
      </c>
    </row>
    <row r="653" spans="1:5" x14ac:dyDescent="0.35">
      <c r="A653" s="18"/>
      <c r="B653" s="18"/>
      <c r="E653" t="b">
        <f t="shared" si="20"/>
        <v>1</v>
      </c>
    </row>
    <row r="654" spans="1:5" x14ac:dyDescent="0.35">
      <c r="A654" s="18"/>
      <c r="B654" s="18"/>
      <c r="E654" t="b">
        <f t="shared" si="20"/>
        <v>1</v>
      </c>
    </row>
    <row r="655" spans="1:5" x14ac:dyDescent="0.35">
      <c r="A655" s="18"/>
      <c r="B655" s="18"/>
      <c r="E655" t="b">
        <f t="shared" si="20"/>
        <v>1</v>
      </c>
    </row>
    <row r="656" spans="1:5" x14ac:dyDescent="0.35">
      <c r="A656" s="18"/>
      <c r="B656" s="18"/>
      <c r="E656" t="b">
        <f t="shared" si="20"/>
        <v>1</v>
      </c>
    </row>
    <row r="657" spans="1:5" x14ac:dyDescent="0.35">
      <c r="A657" s="18"/>
      <c r="B657" s="18"/>
      <c r="E657" t="b">
        <f t="shared" si="20"/>
        <v>1</v>
      </c>
    </row>
    <row r="658" spans="1:5" x14ac:dyDescent="0.35">
      <c r="A658" s="18"/>
      <c r="B658" s="18"/>
      <c r="E658" t="b">
        <f t="shared" si="20"/>
        <v>1</v>
      </c>
    </row>
    <row r="659" spans="1:5" x14ac:dyDescent="0.35">
      <c r="A659" s="18"/>
      <c r="B659" s="18"/>
    </row>
    <row r="660" spans="1:5" x14ac:dyDescent="0.35">
      <c r="A660" s="18"/>
      <c r="B660" s="18"/>
    </row>
    <row r="661" spans="1:5" x14ac:dyDescent="0.35">
      <c r="A661" s="18"/>
      <c r="B661" s="18"/>
    </row>
    <row r="662" spans="1:5" x14ac:dyDescent="0.35">
      <c r="A662" s="18"/>
      <c r="B662" s="18"/>
    </row>
    <row r="663" spans="1:5" x14ac:dyDescent="0.35">
      <c r="A663" s="18"/>
      <c r="B663" s="18"/>
    </row>
    <row r="664" spans="1:5" x14ac:dyDescent="0.35">
      <c r="A664" s="18"/>
      <c r="B664" s="18"/>
    </row>
    <row r="665" spans="1:5" x14ac:dyDescent="0.35">
      <c r="A665" s="18"/>
      <c r="B665" s="18"/>
    </row>
    <row r="666" spans="1:5" x14ac:dyDescent="0.35">
      <c r="A666" s="18"/>
      <c r="B666" s="18"/>
    </row>
    <row r="667" spans="1:5" x14ac:dyDescent="0.35">
      <c r="A667" s="18"/>
      <c r="B667" s="18"/>
    </row>
    <row r="668" spans="1:5" x14ac:dyDescent="0.35">
      <c r="A668" s="18"/>
      <c r="B668" s="18"/>
    </row>
    <row r="669" spans="1:5" x14ac:dyDescent="0.35">
      <c r="A669" s="18"/>
      <c r="B669" s="18"/>
    </row>
    <row r="670" spans="1:5" x14ac:dyDescent="0.35">
      <c r="A670" s="18"/>
      <c r="B670" s="18"/>
    </row>
    <row r="671" spans="1:5" x14ac:dyDescent="0.35">
      <c r="A671" s="18"/>
      <c r="B671" s="18"/>
    </row>
    <row r="672" spans="1:5" x14ac:dyDescent="0.35">
      <c r="A672" s="18"/>
      <c r="B672" s="18"/>
    </row>
    <row r="673" spans="1:2" x14ac:dyDescent="0.35">
      <c r="A673" s="18"/>
      <c r="B673" s="18"/>
    </row>
    <row r="674" spans="1:2" x14ac:dyDescent="0.35">
      <c r="A674" s="18"/>
      <c r="B674" s="18"/>
    </row>
    <row r="675" spans="1:2" x14ac:dyDescent="0.35">
      <c r="A675" s="18"/>
      <c r="B675" s="18"/>
    </row>
    <row r="676" spans="1:2" x14ac:dyDescent="0.35">
      <c r="A676" s="18"/>
      <c r="B676" s="18"/>
    </row>
    <row r="677" spans="1:2" x14ac:dyDescent="0.35">
      <c r="A677" s="18"/>
      <c r="B677" s="18"/>
    </row>
    <row r="678" spans="1:2" x14ac:dyDescent="0.35">
      <c r="A678" s="18"/>
      <c r="B678" s="18"/>
    </row>
    <row r="679" spans="1:2" x14ac:dyDescent="0.35">
      <c r="A679" s="18"/>
      <c r="B679" s="18"/>
    </row>
    <row r="680" spans="1:2" x14ac:dyDescent="0.35">
      <c r="A680" s="18"/>
      <c r="B680" s="18"/>
    </row>
    <row r="681" spans="1:2" x14ac:dyDescent="0.35">
      <c r="A681" s="18"/>
      <c r="B681" s="18"/>
    </row>
    <row r="682" spans="1:2" x14ac:dyDescent="0.35">
      <c r="A682" s="18"/>
      <c r="B682" s="18"/>
    </row>
    <row r="683" spans="1:2" x14ac:dyDescent="0.35">
      <c r="A683" s="18"/>
      <c r="B683" s="18"/>
    </row>
    <row r="684" spans="1:2" x14ac:dyDescent="0.35">
      <c r="A684" s="18"/>
      <c r="B684" s="18"/>
    </row>
    <row r="685" spans="1:2" x14ac:dyDescent="0.35">
      <c r="A685" s="18"/>
      <c r="B685" s="18"/>
    </row>
    <row r="686" spans="1:2" x14ac:dyDescent="0.35">
      <c r="A686" s="18"/>
      <c r="B686" s="18"/>
    </row>
    <row r="687" spans="1:2" x14ac:dyDescent="0.35">
      <c r="A687" s="18"/>
      <c r="B687" s="18"/>
    </row>
    <row r="688" spans="1:2" x14ac:dyDescent="0.35">
      <c r="A688" s="18"/>
      <c r="B688" s="18"/>
    </row>
    <row r="689" spans="1:1" x14ac:dyDescent="0.35">
      <c r="A689" s="18"/>
    </row>
    <row r="690" spans="1:1" x14ac:dyDescent="0.35">
      <c r="A690" s="18"/>
    </row>
    <row r="691" spans="1:1" x14ac:dyDescent="0.35">
      <c r="A691" s="18"/>
    </row>
    <row r="692" spans="1:1" x14ac:dyDescent="0.35">
      <c r="A692" s="18"/>
    </row>
    <row r="693" spans="1:1" x14ac:dyDescent="0.35">
      <c r="A693" s="18"/>
    </row>
    <row r="694" spans="1:1" x14ac:dyDescent="0.35">
      <c r="A694" s="18"/>
    </row>
    <row r="695" spans="1:1" x14ac:dyDescent="0.35">
      <c r="A695" s="18"/>
    </row>
    <row r="696" spans="1:1" x14ac:dyDescent="0.35">
      <c r="A696" s="18"/>
    </row>
    <row r="697" spans="1:1" x14ac:dyDescent="0.35">
      <c r="A697" s="18"/>
    </row>
    <row r="698" spans="1:1" x14ac:dyDescent="0.35">
      <c r="A698" s="18"/>
    </row>
    <row r="699" spans="1:1" x14ac:dyDescent="0.35">
      <c r="A699" s="18"/>
    </row>
    <row r="700" spans="1:1" x14ac:dyDescent="0.35">
      <c r="A700" s="18"/>
    </row>
    <row r="701" spans="1:1" x14ac:dyDescent="0.35">
      <c r="A701" s="18"/>
    </row>
    <row r="702" spans="1:1" x14ac:dyDescent="0.35">
      <c r="A702" s="18"/>
    </row>
    <row r="703" spans="1:1" x14ac:dyDescent="0.35">
      <c r="A703" s="18"/>
    </row>
    <row r="704" spans="1:1" x14ac:dyDescent="0.35">
      <c r="A704" s="18"/>
    </row>
    <row r="705" spans="1:1" x14ac:dyDescent="0.35">
      <c r="A705" s="18"/>
    </row>
    <row r="706" spans="1:1" x14ac:dyDescent="0.35">
      <c r="A706" s="18"/>
    </row>
    <row r="707" spans="1:1" x14ac:dyDescent="0.35">
      <c r="A707" s="56"/>
    </row>
    <row r="708" spans="1:1" x14ac:dyDescent="0.35">
      <c r="A708" s="56"/>
    </row>
    <row r="709" spans="1:1" x14ac:dyDescent="0.35">
      <c r="A709" s="18"/>
    </row>
    <row r="710" spans="1:1" x14ac:dyDescent="0.35">
      <c r="A710" s="18"/>
    </row>
    <row r="711" spans="1:1" x14ac:dyDescent="0.35">
      <c r="A711" s="18"/>
    </row>
    <row r="712" spans="1:1" x14ac:dyDescent="0.35">
      <c r="A712" s="18"/>
    </row>
    <row r="713" spans="1:1" x14ac:dyDescent="0.35">
      <c r="A713" s="18"/>
    </row>
    <row r="714" spans="1:1" x14ac:dyDescent="0.35">
      <c r="A714" s="18"/>
    </row>
    <row r="715" spans="1:1" x14ac:dyDescent="0.35">
      <c r="A715" s="18"/>
    </row>
    <row r="716" spans="1:1" x14ac:dyDescent="0.35">
      <c r="A716" s="18"/>
    </row>
    <row r="717" spans="1:1" x14ac:dyDescent="0.35">
      <c r="A717" s="18"/>
    </row>
    <row r="718" spans="1:1" x14ac:dyDescent="0.35">
      <c r="A718" s="18"/>
    </row>
    <row r="719" spans="1:1" x14ac:dyDescent="0.35">
      <c r="A719" s="18"/>
    </row>
    <row r="720" spans="1:1" x14ac:dyDescent="0.35">
      <c r="A720" s="18"/>
    </row>
    <row r="721" spans="1:1" x14ac:dyDescent="0.35">
      <c r="A721" s="18"/>
    </row>
    <row r="722" spans="1:1" x14ac:dyDescent="0.35">
      <c r="A722" s="18"/>
    </row>
    <row r="723" spans="1:1" x14ac:dyDescent="0.35">
      <c r="A723" s="18"/>
    </row>
    <row r="724" spans="1:1" x14ac:dyDescent="0.35">
      <c r="A724" s="18"/>
    </row>
    <row r="725" spans="1:1" x14ac:dyDescent="0.35">
      <c r="A725" s="18"/>
    </row>
    <row r="726" spans="1:1" x14ac:dyDescent="0.35">
      <c r="A726" s="18"/>
    </row>
    <row r="727" spans="1:1" x14ac:dyDescent="0.35">
      <c r="A727" s="18"/>
    </row>
    <row r="728" spans="1:1" x14ac:dyDescent="0.35">
      <c r="A728" s="18"/>
    </row>
    <row r="729" spans="1:1" x14ac:dyDescent="0.35">
      <c r="A729" s="18"/>
    </row>
    <row r="730" spans="1:1" x14ac:dyDescent="0.35">
      <c r="A730" s="18"/>
    </row>
    <row r="731" spans="1:1" x14ac:dyDescent="0.35">
      <c r="A731" s="18"/>
    </row>
    <row r="732" spans="1:1" x14ac:dyDescent="0.35">
      <c r="A732" s="18"/>
    </row>
    <row r="733" spans="1:1" x14ac:dyDescent="0.35">
      <c r="A733" s="18"/>
    </row>
    <row r="734" spans="1:1" x14ac:dyDescent="0.35">
      <c r="A734" s="18"/>
    </row>
    <row r="735" spans="1:1" x14ac:dyDescent="0.35">
      <c r="A735" s="18"/>
    </row>
    <row r="736" spans="1:1" x14ac:dyDescent="0.35">
      <c r="A736" s="18"/>
    </row>
    <row r="737" spans="1:1" x14ac:dyDescent="0.35">
      <c r="A737" s="18"/>
    </row>
    <row r="738" spans="1:1" x14ac:dyDescent="0.35">
      <c r="A738" s="18"/>
    </row>
    <row r="739" spans="1:1" x14ac:dyDescent="0.35">
      <c r="A739" s="18"/>
    </row>
    <row r="740" spans="1:1" x14ac:dyDescent="0.35">
      <c r="A740" s="18"/>
    </row>
    <row r="741" spans="1:1" x14ac:dyDescent="0.35">
      <c r="A741" s="18"/>
    </row>
    <row r="742" spans="1:1" x14ac:dyDescent="0.35">
      <c r="A742" s="18"/>
    </row>
    <row r="743" spans="1:1" x14ac:dyDescent="0.35">
      <c r="A743" s="18"/>
    </row>
    <row r="744" spans="1:1" x14ac:dyDescent="0.35">
      <c r="A744" s="18"/>
    </row>
    <row r="745" spans="1:1" x14ac:dyDescent="0.35">
      <c r="A745" s="18"/>
    </row>
    <row r="746" spans="1:1" x14ac:dyDescent="0.35">
      <c r="A746" s="18"/>
    </row>
    <row r="747" spans="1:1" x14ac:dyDescent="0.35">
      <c r="A747" s="18"/>
    </row>
    <row r="748" spans="1:1" x14ac:dyDescent="0.35">
      <c r="A748" s="18"/>
    </row>
    <row r="749" spans="1:1" x14ac:dyDescent="0.35">
      <c r="A749" s="18"/>
    </row>
    <row r="750" spans="1:1" x14ac:dyDescent="0.35">
      <c r="A750" s="18"/>
    </row>
    <row r="751" spans="1:1" x14ac:dyDescent="0.35">
      <c r="A751" s="18"/>
    </row>
    <row r="752" spans="1:1" x14ac:dyDescent="0.35">
      <c r="A752" s="18"/>
    </row>
    <row r="753" spans="1:1" x14ac:dyDescent="0.35">
      <c r="A753" s="18"/>
    </row>
    <row r="754" spans="1:1" x14ac:dyDescent="0.35">
      <c r="A754" s="18"/>
    </row>
    <row r="755" spans="1:1" x14ac:dyDescent="0.35">
      <c r="A755" s="18"/>
    </row>
    <row r="756" spans="1:1" x14ac:dyDescent="0.35">
      <c r="A756" s="18"/>
    </row>
    <row r="757" spans="1:1" x14ac:dyDescent="0.35">
      <c r="A757" s="18"/>
    </row>
    <row r="758" spans="1:1" x14ac:dyDescent="0.35">
      <c r="A758" s="18"/>
    </row>
    <row r="759" spans="1:1" x14ac:dyDescent="0.35">
      <c r="A759" s="18"/>
    </row>
    <row r="760" spans="1:1" x14ac:dyDescent="0.35">
      <c r="A760" s="18"/>
    </row>
    <row r="761" spans="1:1" x14ac:dyDescent="0.35">
      <c r="A761" s="18"/>
    </row>
    <row r="762" spans="1:1" x14ac:dyDescent="0.35">
      <c r="A762" s="18"/>
    </row>
    <row r="763" spans="1:1" x14ac:dyDescent="0.35">
      <c r="A763" s="18"/>
    </row>
    <row r="764" spans="1:1" x14ac:dyDescent="0.35">
      <c r="A764" s="18"/>
    </row>
    <row r="765" spans="1:1" x14ac:dyDescent="0.35">
      <c r="A765" s="18"/>
    </row>
    <row r="766" spans="1:1" x14ac:dyDescent="0.35">
      <c r="A766" s="18"/>
    </row>
    <row r="767" spans="1:1" x14ac:dyDescent="0.35">
      <c r="A767" s="18"/>
    </row>
    <row r="768" spans="1:1" x14ac:dyDescent="0.35">
      <c r="A768" s="18"/>
    </row>
    <row r="769" spans="1:1" x14ac:dyDescent="0.35">
      <c r="A769" s="18"/>
    </row>
    <row r="770" spans="1:1" x14ac:dyDescent="0.35">
      <c r="A770" s="18"/>
    </row>
    <row r="771" spans="1:1" x14ac:dyDescent="0.35">
      <c r="A771" s="18"/>
    </row>
    <row r="772" spans="1:1" x14ac:dyDescent="0.35">
      <c r="A772" s="18"/>
    </row>
    <row r="773" spans="1:1" x14ac:dyDescent="0.35">
      <c r="A773" s="18"/>
    </row>
    <row r="774" spans="1:1" x14ac:dyDescent="0.35">
      <c r="A774" s="18"/>
    </row>
    <row r="775" spans="1:1" x14ac:dyDescent="0.35">
      <c r="A775" s="18"/>
    </row>
    <row r="776" spans="1:1" x14ac:dyDescent="0.35">
      <c r="A776" s="18"/>
    </row>
    <row r="777" spans="1:1" x14ac:dyDescent="0.35">
      <c r="A777" s="18"/>
    </row>
    <row r="778" spans="1:1" x14ac:dyDescent="0.35">
      <c r="A778" s="18"/>
    </row>
    <row r="779" spans="1:1" x14ac:dyDescent="0.35">
      <c r="A779" s="18"/>
    </row>
    <row r="780" spans="1:1" x14ac:dyDescent="0.35">
      <c r="A780" s="18"/>
    </row>
    <row r="781" spans="1:1" x14ac:dyDescent="0.35">
      <c r="A781" s="18"/>
    </row>
    <row r="782" spans="1:1" x14ac:dyDescent="0.35">
      <c r="A782" s="18"/>
    </row>
    <row r="783" spans="1:1" x14ac:dyDescent="0.35">
      <c r="A783" s="18"/>
    </row>
    <row r="784" spans="1:1" x14ac:dyDescent="0.35">
      <c r="A784" s="18"/>
    </row>
    <row r="785" spans="1:1" x14ac:dyDescent="0.35">
      <c r="A785" s="18"/>
    </row>
    <row r="786" spans="1:1" x14ac:dyDescent="0.35">
      <c r="A786" s="18"/>
    </row>
    <row r="787" spans="1:1" x14ac:dyDescent="0.35">
      <c r="A787" s="18"/>
    </row>
    <row r="788" spans="1:1" x14ac:dyDescent="0.35">
      <c r="A788" s="18"/>
    </row>
    <row r="789" spans="1:1" x14ac:dyDescent="0.35">
      <c r="A789" s="18"/>
    </row>
    <row r="790" spans="1:1" x14ac:dyDescent="0.35">
      <c r="A790" s="18"/>
    </row>
    <row r="791" spans="1:1" x14ac:dyDescent="0.35">
      <c r="A791" s="18"/>
    </row>
    <row r="792" spans="1:1" x14ac:dyDescent="0.35">
      <c r="A792" s="18"/>
    </row>
    <row r="793" spans="1:1" x14ac:dyDescent="0.35">
      <c r="A793" s="18"/>
    </row>
    <row r="794" spans="1:1" x14ac:dyDescent="0.35">
      <c r="A794" s="18"/>
    </row>
    <row r="795" spans="1:1" x14ac:dyDescent="0.35">
      <c r="A795" s="18"/>
    </row>
    <row r="796" spans="1:1" x14ac:dyDescent="0.35">
      <c r="A796" s="18"/>
    </row>
    <row r="797" spans="1:1" x14ac:dyDescent="0.35">
      <c r="A797" s="18"/>
    </row>
    <row r="798" spans="1:1" x14ac:dyDescent="0.35">
      <c r="A798" s="18"/>
    </row>
    <row r="799" spans="1:1" x14ac:dyDescent="0.35">
      <c r="A799" s="18"/>
    </row>
    <row r="800" spans="1:1" x14ac:dyDescent="0.35">
      <c r="A800" s="18"/>
    </row>
    <row r="801" spans="1:1" x14ac:dyDescent="0.35">
      <c r="A801" s="18"/>
    </row>
    <row r="802" spans="1:1" x14ac:dyDescent="0.35">
      <c r="A802" s="18"/>
    </row>
    <row r="803" spans="1:1" x14ac:dyDescent="0.35">
      <c r="A803" s="18"/>
    </row>
    <row r="804" spans="1:1" x14ac:dyDescent="0.35">
      <c r="A804" s="18"/>
    </row>
    <row r="805" spans="1:1" x14ac:dyDescent="0.35">
      <c r="A805" s="18"/>
    </row>
    <row r="806" spans="1:1" x14ac:dyDescent="0.35">
      <c r="A806" s="18"/>
    </row>
    <row r="807" spans="1:1" x14ac:dyDescent="0.35">
      <c r="A807" s="18"/>
    </row>
    <row r="808" spans="1:1" x14ac:dyDescent="0.35">
      <c r="A808" s="18"/>
    </row>
    <row r="809" spans="1:1" x14ac:dyDescent="0.35">
      <c r="A809" s="18"/>
    </row>
    <row r="810" spans="1:1" x14ac:dyDescent="0.35">
      <c r="A810" s="18"/>
    </row>
    <row r="811" spans="1:1" x14ac:dyDescent="0.35">
      <c r="A811" s="18"/>
    </row>
    <row r="812" spans="1:1" x14ac:dyDescent="0.35">
      <c r="A812" s="18"/>
    </row>
    <row r="813" spans="1:1" x14ac:dyDescent="0.35">
      <c r="A813" s="18"/>
    </row>
    <row r="814" spans="1:1" x14ac:dyDescent="0.35">
      <c r="A814" s="18"/>
    </row>
    <row r="815" spans="1:1" x14ac:dyDescent="0.35">
      <c r="A815" s="18"/>
    </row>
    <row r="816" spans="1:1" x14ac:dyDescent="0.35">
      <c r="A816" s="18"/>
    </row>
    <row r="817" spans="1:1" x14ac:dyDescent="0.35">
      <c r="A817" s="18"/>
    </row>
    <row r="818" spans="1:1" x14ac:dyDescent="0.35">
      <c r="A818" s="18"/>
    </row>
    <row r="819" spans="1:1" x14ac:dyDescent="0.35">
      <c r="A819" s="18"/>
    </row>
    <row r="820" spans="1:1" x14ac:dyDescent="0.35">
      <c r="A820" s="18"/>
    </row>
    <row r="821" spans="1:1" x14ac:dyDescent="0.35">
      <c r="A821" s="18"/>
    </row>
    <row r="822" spans="1:1" x14ac:dyDescent="0.35">
      <c r="A822" s="18"/>
    </row>
    <row r="823" spans="1:1" x14ac:dyDescent="0.35">
      <c r="A823" s="18"/>
    </row>
    <row r="824" spans="1:1" x14ac:dyDescent="0.35">
      <c r="A824" s="18"/>
    </row>
    <row r="825" spans="1:1" x14ac:dyDescent="0.35">
      <c r="A825" s="18"/>
    </row>
    <row r="826" spans="1:1" x14ac:dyDescent="0.35">
      <c r="A826" s="18"/>
    </row>
    <row r="827" spans="1:1" x14ac:dyDescent="0.35">
      <c r="A827" s="18"/>
    </row>
    <row r="828" spans="1:1" x14ac:dyDescent="0.35">
      <c r="A828" s="18"/>
    </row>
    <row r="829" spans="1:1" x14ac:dyDescent="0.35">
      <c r="A829" s="18"/>
    </row>
    <row r="830" spans="1:1" x14ac:dyDescent="0.35">
      <c r="A830" s="18"/>
    </row>
    <row r="831" spans="1:1" x14ac:dyDescent="0.35">
      <c r="A831" s="18"/>
    </row>
    <row r="832" spans="1:1" x14ac:dyDescent="0.35">
      <c r="A832" s="18"/>
    </row>
    <row r="833" spans="1:1" x14ac:dyDescent="0.35">
      <c r="A833" s="18"/>
    </row>
    <row r="834" spans="1:1" x14ac:dyDescent="0.35">
      <c r="A834" s="18"/>
    </row>
    <row r="835" spans="1:1" x14ac:dyDescent="0.35">
      <c r="A835" s="18"/>
    </row>
    <row r="836" spans="1:1" x14ac:dyDescent="0.35">
      <c r="A836" s="18"/>
    </row>
    <row r="837" spans="1:1" x14ac:dyDescent="0.35">
      <c r="A837" s="18"/>
    </row>
    <row r="838" spans="1:1" x14ac:dyDescent="0.35">
      <c r="A838" s="18"/>
    </row>
    <row r="839" spans="1:1" x14ac:dyDescent="0.35">
      <c r="A839" s="18"/>
    </row>
    <row r="840" spans="1:1" x14ac:dyDescent="0.35">
      <c r="A840" s="18"/>
    </row>
    <row r="841" spans="1:1" x14ac:dyDescent="0.35">
      <c r="A841" s="18"/>
    </row>
    <row r="842" spans="1:1" x14ac:dyDescent="0.35">
      <c r="A842" s="18"/>
    </row>
    <row r="843" spans="1:1" x14ac:dyDescent="0.35">
      <c r="A843" s="18"/>
    </row>
    <row r="844" spans="1:1" x14ac:dyDescent="0.35">
      <c r="A844" s="18"/>
    </row>
    <row r="845" spans="1:1" x14ac:dyDescent="0.35">
      <c r="A845" s="18"/>
    </row>
    <row r="846" spans="1:1" x14ac:dyDescent="0.35">
      <c r="A846" s="18"/>
    </row>
    <row r="847" spans="1:1" x14ac:dyDescent="0.35">
      <c r="A847" s="18"/>
    </row>
    <row r="848" spans="1:1" x14ac:dyDescent="0.35">
      <c r="A848" s="18"/>
    </row>
    <row r="849" spans="1:1" x14ac:dyDescent="0.35">
      <c r="A849" s="18"/>
    </row>
    <row r="850" spans="1:1" x14ac:dyDescent="0.35">
      <c r="A850" s="18"/>
    </row>
    <row r="851" spans="1:1" x14ac:dyDescent="0.35">
      <c r="A851" s="18"/>
    </row>
    <row r="852" spans="1:1" x14ac:dyDescent="0.35">
      <c r="A852" s="18"/>
    </row>
    <row r="853" spans="1:1" x14ac:dyDescent="0.35">
      <c r="A853" s="18"/>
    </row>
    <row r="854" spans="1:1" x14ac:dyDescent="0.35">
      <c r="A854" s="18"/>
    </row>
    <row r="855" spans="1:1" x14ac:dyDescent="0.35">
      <c r="A855" s="18"/>
    </row>
    <row r="856" spans="1:1" x14ac:dyDescent="0.35">
      <c r="A856" s="18"/>
    </row>
    <row r="857" spans="1:1" x14ac:dyDescent="0.35">
      <c r="A857" s="18"/>
    </row>
    <row r="858" spans="1:1" x14ac:dyDescent="0.35">
      <c r="A858" s="18"/>
    </row>
    <row r="859" spans="1:1" x14ac:dyDescent="0.35">
      <c r="A859" s="18"/>
    </row>
    <row r="860" spans="1:1" x14ac:dyDescent="0.35">
      <c r="A860" s="18"/>
    </row>
    <row r="861" spans="1:1" x14ac:dyDescent="0.35">
      <c r="A861" s="18"/>
    </row>
    <row r="862" spans="1:1" x14ac:dyDescent="0.35">
      <c r="A862" s="18"/>
    </row>
    <row r="863" spans="1:1" x14ac:dyDescent="0.35">
      <c r="A863" s="18"/>
    </row>
    <row r="864" spans="1:1" x14ac:dyDescent="0.35">
      <c r="A864" s="18"/>
    </row>
    <row r="865" spans="1:1" x14ac:dyDescent="0.35">
      <c r="A865" s="18"/>
    </row>
    <row r="866" spans="1:1" x14ac:dyDescent="0.35">
      <c r="A866" s="18"/>
    </row>
    <row r="867" spans="1:1" x14ac:dyDescent="0.35">
      <c r="A867" s="18"/>
    </row>
    <row r="868" spans="1:1" x14ac:dyDescent="0.35">
      <c r="A868" s="18"/>
    </row>
    <row r="869" spans="1:1" x14ac:dyDescent="0.35">
      <c r="A869" s="18"/>
    </row>
    <row r="870" spans="1:1" x14ac:dyDescent="0.35">
      <c r="A870" s="18"/>
    </row>
    <row r="871" spans="1:1" x14ac:dyDescent="0.35">
      <c r="A871" s="18"/>
    </row>
    <row r="872" spans="1:1" x14ac:dyDescent="0.35">
      <c r="A872" s="18"/>
    </row>
    <row r="873" spans="1:1" x14ac:dyDescent="0.35">
      <c r="A873" s="18"/>
    </row>
    <row r="874" spans="1:1" x14ac:dyDescent="0.35">
      <c r="A874" s="18"/>
    </row>
    <row r="875" spans="1:1" x14ac:dyDescent="0.35">
      <c r="A875" s="18"/>
    </row>
    <row r="876" spans="1:1" x14ac:dyDescent="0.35">
      <c r="A876" s="18"/>
    </row>
    <row r="877" spans="1:1" x14ac:dyDescent="0.35">
      <c r="A877" s="75"/>
    </row>
    <row r="878" spans="1:1" x14ac:dyDescent="0.35">
      <c r="A878" s="75"/>
    </row>
    <row r="879" spans="1:1" x14ac:dyDescent="0.35">
      <c r="A879" s="75"/>
    </row>
    <row r="880" spans="1:1" x14ac:dyDescent="0.35">
      <c r="A880" s="75"/>
    </row>
    <row r="881" spans="1:1" x14ac:dyDescent="0.35">
      <c r="A881" s="18"/>
    </row>
    <row r="882" spans="1:1" x14ac:dyDescent="0.35">
      <c r="A882" s="18"/>
    </row>
    <row r="883" spans="1:1" x14ac:dyDescent="0.35">
      <c r="A883" s="18"/>
    </row>
    <row r="884" spans="1:1" x14ac:dyDescent="0.35">
      <c r="A884" s="18"/>
    </row>
    <row r="885" spans="1:1" x14ac:dyDescent="0.35">
      <c r="A885" s="18"/>
    </row>
    <row r="886" spans="1:1" x14ac:dyDescent="0.35">
      <c r="A886" s="75"/>
    </row>
    <row r="887" spans="1:1" x14ac:dyDescent="0.35">
      <c r="A887" s="75"/>
    </row>
    <row r="888" spans="1:1" x14ac:dyDescent="0.35">
      <c r="A888" s="75"/>
    </row>
    <row r="889" spans="1:1" x14ac:dyDescent="0.35">
      <c r="A889" s="75"/>
    </row>
    <row r="890" spans="1:1" x14ac:dyDescent="0.35">
      <c r="A890" s="75"/>
    </row>
    <row r="891" spans="1:1" x14ac:dyDescent="0.35">
      <c r="A891" s="75"/>
    </row>
    <row r="892" spans="1:1" x14ac:dyDescent="0.35">
      <c r="A892" s="18"/>
    </row>
    <row r="893" spans="1:1" x14ac:dyDescent="0.35">
      <c r="A893" s="84"/>
    </row>
    <row r="894" spans="1:1" x14ac:dyDescent="0.35">
      <c r="A894" s="84"/>
    </row>
  </sheetData>
  <autoFilter ref="A1:E835" xr:uid="{3C5EF907-BE6C-4E10-A5EF-C65C0C2EEC12}"/>
  <conditionalFormatting sqref="A2">
    <cfRule type="duplicateValues" dxfId="16" priority="10"/>
  </conditionalFormatting>
  <conditionalFormatting sqref="A2:A3">
    <cfRule type="duplicateValues" dxfId="15" priority="11"/>
    <cfRule type="duplicateValues" dxfId="14" priority="12"/>
  </conditionalFormatting>
  <conditionalFormatting sqref="A4:A5">
    <cfRule type="duplicateValues" dxfId="13" priority="7"/>
  </conditionalFormatting>
  <conditionalFormatting sqref="A4:A8">
    <cfRule type="duplicateValues" dxfId="12" priority="8"/>
    <cfRule type="duplicateValues" dxfId="11" priority="9"/>
  </conditionalFormatting>
  <conditionalFormatting sqref="A893:A894">
    <cfRule type="duplicateValues" dxfId="10" priority="432"/>
    <cfRule type="duplicateValues" dxfId="9" priority="433"/>
  </conditionalFormatting>
  <conditionalFormatting sqref="B2">
    <cfRule type="duplicateValues" dxfId="8" priority="1"/>
  </conditionalFormatting>
  <conditionalFormatting sqref="B2:B3">
    <cfRule type="duplicateValues" dxfId="7" priority="2"/>
    <cfRule type="duplicateValues" dxfId="6" priority="3"/>
  </conditionalFormatting>
  <conditionalFormatting sqref="B6:B7">
    <cfRule type="duplicateValues" dxfId="5" priority="4"/>
  </conditionalFormatting>
  <conditionalFormatting sqref="B6:B10">
    <cfRule type="duplicateValues" dxfId="4" priority="5"/>
    <cfRule type="duplicateValues" dxfId="3" priority="6"/>
  </conditionalFormatting>
  <dataValidations count="1">
    <dataValidation type="textLength" operator="lessThanOrEqual" allowBlank="1" showInputMessage="1" showErrorMessage="1" error="Invoice number cannot be greater 18 characters" sqref="B626:B627 A4:A5 A2:B2 B6:B7" xr:uid="{871ECCD4-0A71-4B4D-807D-E33DB162D52C}">
      <formula1>18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78E60-E703-4562-9AB7-13652514CC44}">
  <sheetPr codeName="Sheet20"/>
  <dimension ref="A1:F13"/>
  <sheetViews>
    <sheetView workbookViewId="0">
      <selection activeCell="E10" sqref="E10:E13"/>
    </sheetView>
  </sheetViews>
  <sheetFormatPr defaultRowHeight="14.5" x14ac:dyDescent="0.35"/>
  <cols>
    <col min="1" max="1" width="53" bestFit="1" customWidth="1"/>
    <col min="2" max="2" width="26.36328125" customWidth="1"/>
    <col min="3" max="3" width="21.1796875" customWidth="1"/>
    <col min="4" max="4" width="23.453125" customWidth="1"/>
    <col min="5" max="5" width="16.1796875" bestFit="1" customWidth="1"/>
    <col min="6" max="6" width="15.26953125" bestFit="1" customWidth="1"/>
  </cols>
  <sheetData>
    <row r="1" spans="1:6" ht="15.5" x14ac:dyDescent="0.35">
      <c r="A1" s="76">
        <v>46082</v>
      </c>
      <c r="B1" s="95"/>
    </row>
    <row r="2" spans="1:6" s="48" customFormat="1" ht="40.5" x14ac:dyDescent="0.35">
      <c r="A2" s="68" t="s">
        <v>1060</v>
      </c>
      <c r="B2" s="69" t="s">
        <v>1061</v>
      </c>
      <c r="C2" s="70" t="s">
        <v>1062</v>
      </c>
      <c r="D2" s="69" t="s">
        <v>1063</v>
      </c>
    </row>
    <row r="3" spans="1:6" ht="15" x14ac:dyDescent="0.35">
      <c r="A3" s="71" t="s">
        <v>1064</v>
      </c>
      <c r="B3" s="164">
        <v>6240161980</v>
      </c>
      <c r="C3" s="191">
        <v>1119371675.3400002</v>
      </c>
      <c r="D3" s="47"/>
      <c r="E3" s="73"/>
      <c r="F3" s="146"/>
    </row>
    <row r="4" spans="1:6" ht="15" x14ac:dyDescent="0.35">
      <c r="A4" s="72" t="s">
        <v>1065</v>
      </c>
      <c r="B4" s="165">
        <v>29938594</v>
      </c>
      <c r="C4" s="191">
        <v>5575029.9699999997</v>
      </c>
      <c r="D4" s="47"/>
      <c r="E4" s="73"/>
      <c r="F4" s="146"/>
    </row>
    <row r="5" spans="1:6" ht="15" x14ac:dyDescent="0.35">
      <c r="A5" s="71" t="s">
        <v>1066</v>
      </c>
      <c r="B5" s="165">
        <v>4844875706</v>
      </c>
      <c r="C5" s="191">
        <v>960163469.58999991</v>
      </c>
      <c r="D5" s="47"/>
      <c r="E5" s="73"/>
      <c r="F5" s="146"/>
    </row>
    <row r="6" spans="1:6" ht="15" x14ac:dyDescent="0.35">
      <c r="A6" s="72" t="s">
        <v>1067</v>
      </c>
      <c r="B6" s="165">
        <v>238284000</v>
      </c>
      <c r="C6" s="191">
        <v>52235776.200000003</v>
      </c>
      <c r="D6" s="182"/>
      <c r="E6" s="73"/>
      <c r="F6" s="146"/>
    </row>
    <row r="7" spans="1:6" ht="15" x14ac:dyDescent="0.35">
      <c r="A7" s="71" t="s">
        <v>1068</v>
      </c>
      <c r="B7" s="164">
        <v>125000000</v>
      </c>
      <c r="C7" s="146">
        <v>191940385.42000002</v>
      </c>
      <c r="D7" s="182"/>
      <c r="E7" s="73"/>
      <c r="F7" s="146"/>
    </row>
    <row r="8" spans="1:6" x14ac:dyDescent="0.35">
      <c r="B8" s="66"/>
      <c r="D8" s="66"/>
    </row>
    <row r="10" spans="1:6" x14ac:dyDescent="0.35">
      <c r="C10">
        <v>748161883.16000009</v>
      </c>
      <c r="D10">
        <v>371209792.18000001</v>
      </c>
      <c r="E10">
        <f>C10+D10</f>
        <v>1119371675.3400002</v>
      </c>
    </row>
    <row r="11" spans="1:6" x14ac:dyDescent="0.35">
      <c r="C11">
        <v>3594185.44</v>
      </c>
      <c r="D11">
        <v>1980844.53</v>
      </c>
      <c r="E11">
        <f t="shared" ref="E11:E13" si="0">C11+D11</f>
        <v>5575029.9699999997</v>
      </c>
    </row>
    <row r="12" spans="1:6" x14ac:dyDescent="0.35">
      <c r="C12">
        <v>660529738.52999997</v>
      </c>
      <c r="D12">
        <v>299633731.06</v>
      </c>
      <c r="E12">
        <f t="shared" si="0"/>
        <v>960163469.58999991</v>
      </c>
    </row>
    <row r="13" spans="1:6" x14ac:dyDescent="0.35">
      <c r="C13">
        <v>35362816.340000004</v>
      </c>
      <c r="D13">
        <v>16872959.859999999</v>
      </c>
      <c r="E13">
        <f t="shared" si="0"/>
        <v>52235776.200000003</v>
      </c>
    </row>
  </sheetData>
  <dataValidations count="1">
    <dataValidation type="decimal" allowBlank="1" showInputMessage="1" showErrorMessage="1" sqref="B3:B7 D6:D7" xr:uid="{77293848-3552-4CDB-AF3A-4CDF29FC4E8D}">
      <formula1>0.01</formula1>
      <formula2>999999999999</formula2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9FE3A-4B87-4B3F-A04A-1ADE523E770F}">
  <sheetPr codeName="Sheet21"/>
  <dimension ref="A1:AM1616"/>
  <sheetViews>
    <sheetView workbookViewId="0">
      <selection activeCell="C11" sqref="C11"/>
    </sheetView>
  </sheetViews>
  <sheetFormatPr defaultRowHeight="14.5" x14ac:dyDescent="0.35"/>
  <cols>
    <col min="2" max="2" width="14.81640625" bestFit="1" customWidth="1"/>
    <col min="3" max="3" width="14.6328125" bestFit="1" customWidth="1"/>
    <col min="4" max="5" width="16.08984375" bestFit="1" customWidth="1"/>
    <col min="6" max="6" width="19" customWidth="1"/>
    <col min="7" max="7" width="10.453125" bestFit="1" customWidth="1"/>
    <col min="8" max="8" width="24.08984375" bestFit="1" customWidth="1"/>
    <col min="13" max="13" width="13.6328125" bestFit="1" customWidth="1"/>
    <col min="20" max="20" width="14.6328125" bestFit="1" customWidth="1"/>
    <col min="21" max="21" width="11.81640625" bestFit="1" customWidth="1"/>
  </cols>
  <sheetData>
    <row r="1" spans="1:39" x14ac:dyDescent="0.35">
      <c r="A1">
        <v>224.06460859934305</v>
      </c>
      <c r="R1" s="191">
        <f>T1/S1</f>
        <v>166.01554849411662</v>
      </c>
      <c r="S1">
        <f>SUBTOTAL(9,S2:S1275)</f>
        <v>2785927.4899999993</v>
      </c>
      <c r="T1" s="182">
        <f>SUBTOTAL(9,T2:T1275)</f>
        <v>462507280.31718749</v>
      </c>
    </row>
    <row r="2" spans="1:39" x14ac:dyDescent="0.35">
      <c r="B2" t="s">
        <v>1183</v>
      </c>
      <c r="F2" s="77" t="s">
        <v>1098</v>
      </c>
      <c r="G2" s="77" t="s">
        <v>1072</v>
      </c>
      <c r="H2" s="77" t="s">
        <v>1069</v>
      </c>
      <c r="I2" s="77" t="s">
        <v>1099</v>
      </c>
      <c r="J2" s="77" t="s">
        <v>1100</v>
      </c>
      <c r="K2" s="77" t="s">
        <v>478</v>
      </c>
      <c r="L2" s="77" t="s">
        <v>1071</v>
      </c>
      <c r="M2" s="77" t="s">
        <v>1101</v>
      </c>
      <c r="N2" s="77" t="s">
        <v>1102</v>
      </c>
      <c r="O2" s="77" t="s">
        <v>1103</v>
      </c>
      <c r="P2" s="77" t="s">
        <v>1104</v>
      </c>
      <c r="Q2" s="77" t="s">
        <v>1105</v>
      </c>
      <c r="R2" s="77" t="s">
        <v>1106</v>
      </c>
      <c r="S2" s="77" t="s">
        <v>1107</v>
      </c>
      <c r="T2" s="85" t="s">
        <v>1108</v>
      </c>
      <c r="U2" s="18"/>
    </row>
    <row r="3" spans="1:39" x14ac:dyDescent="0.35">
      <c r="A3" t="s">
        <v>1181</v>
      </c>
      <c r="B3" s="182">
        <v>89196115.331999987</v>
      </c>
      <c r="C3" s="67"/>
      <c r="F3" s="18" t="s">
        <v>1109</v>
      </c>
      <c r="G3" s="19">
        <v>46204</v>
      </c>
      <c r="H3" s="18" t="s">
        <v>3790</v>
      </c>
      <c r="I3" s="18" t="s">
        <v>1110</v>
      </c>
      <c r="J3" s="18">
        <v>874</v>
      </c>
      <c r="K3" s="18" t="s">
        <v>1111</v>
      </c>
      <c r="L3" s="18" t="s">
        <v>5594</v>
      </c>
      <c r="M3" s="19">
        <v>46204</v>
      </c>
      <c r="N3" s="18" t="s">
        <v>1112</v>
      </c>
      <c r="O3" s="18" t="s">
        <v>1117</v>
      </c>
      <c r="P3" s="18" t="s">
        <v>1138</v>
      </c>
      <c r="Q3" s="18" t="s">
        <v>1139</v>
      </c>
      <c r="R3" s="18" t="s">
        <v>1140</v>
      </c>
      <c r="S3" s="18">
        <v>289</v>
      </c>
      <c r="T3" s="18">
        <v>44719.86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</row>
    <row r="4" spans="1:39" x14ac:dyDescent="0.35">
      <c r="A4" t="s">
        <v>1182</v>
      </c>
      <c r="B4" s="182">
        <f>B6-B3</f>
        <v>373311164.98518753</v>
      </c>
      <c r="C4" s="67">
        <v>373311164.99000001</v>
      </c>
      <c r="F4" s="18" t="s">
        <v>1109</v>
      </c>
      <c r="G4" s="19">
        <v>46204</v>
      </c>
      <c r="H4" s="18" t="s">
        <v>3790</v>
      </c>
      <c r="I4" s="18" t="s">
        <v>1110</v>
      </c>
      <c r="J4" s="18">
        <v>874</v>
      </c>
      <c r="K4" s="18" t="s">
        <v>1111</v>
      </c>
      <c r="L4" s="18" t="s">
        <v>5594</v>
      </c>
      <c r="M4" s="19">
        <v>46204</v>
      </c>
      <c r="N4" s="18" t="s">
        <v>1112</v>
      </c>
      <c r="O4" s="18" t="s">
        <v>1117</v>
      </c>
      <c r="P4" s="18" t="s">
        <v>1118</v>
      </c>
      <c r="Q4" s="18" t="s">
        <v>1119</v>
      </c>
      <c r="R4" s="18" t="s">
        <v>1120</v>
      </c>
      <c r="S4" s="18">
        <v>2836</v>
      </c>
      <c r="T4" s="18">
        <v>424662.64</v>
      </c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</row>
    <row r="5" spans="1:39" x14ac:dyDescent="0.35">
      <c r="B5" s="67"/>
      <c r="F5" s="18" t="s">
        <v>1109</v>
      </c>
      <c r="G5" s="19">
        <v>46204</v>
      </c>
      <c r="H5" s="18" t="s">
        <v>3790</v>
      </c>
      <c r="I5" s="18" t="s">
        <v>1110</v>
      </c>
      <c r="J5" s="18">
        <v>874</v>
      </c>
      <c r="K5" s="18" t="s">
        <v>1111</v>
      </c>
      <c r="L5" s="18" t="s">
        <v>5594</v>
      </c>
      <c r="M5" s="19">
        <v>46204</v>
      </c>
      <c r="N5" s="18" t="s">
        <v>1112</v>
      </c>
      <c r="O5" s="18" t="s">
        <v>1117</v>
      </c>
      <c r="P5" s="18" t="s">
        <v>1118</v>
      </c>
      <c r="Q5" s="18" t="s">
        <v>1119</v>
      </c>
      <c r="R5" s="18" t="s">
        <v>1120</v>
      </c>
      <c r="S5" s="18">
        <v>697</v>
      </c>
      <c r="T5" s="18">
        <v>105065.78</v>
      </c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</row>
    <row r="6" spans="1:39" x14ac:dyDescent="0.35">
      <c r="A6" s="78" t="s">
        <v>1187</v>
      </c>
      <c r="B6" s="184">
        <v>462507280.31718749</v>
      </c>
      <c r="C6" s="47">
        <v>462507280.31999999</v>
      </c>
      <c r="F6" s="18" t="s">
        <v>1109</v>
      </c>
      <c r="G6" s="19">
        <v>46204</v>
      </c>
      <c r="H6" s="18" t="s">
        <v>3790</v>
      </c>
      <c r="I6" s="18" t="s">
        <v>1110</v>
      </c>
      <c r="J6" s="18">
        <v>874</v>
      </c>
      <c r="K6" s="18" t="s">
        <v>1111</v>
      </c>
      <c r="L6" s="18" t="s">
        <v>5594</v>
      </c>
      <c r="M6" s="19">
        <v>46204</v>
      </c>
      <c r="N6" s="18" t="s">
        <v>1112</v>
      </c>
      <c r="O6" s="18" t="s">
        <v>1117</v>
      </c>
      <c r="P6" s="18" t="s">
        <v>1118</v>
      </c>
      <c r="Q6" s="18" t="s">
        <v>1119</v>
      </c>
      <c r="R6" s="18" t="s">
        <v>1120</v>
      </c>
      <c r="S6" s="18">
        <v>6027</v>
      </c>
      <c r="T6" s="18">
        <v>890428.98</v>
      </c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</row>
    <row r="7" spans="1:39" x14ac:dyDescent="0.35">
      <c r="F7" s="18" t="s">
        <v>1109</v>
      </c>
      <c r="G7" s="19">
        <v>46204</v>
      </c>
      <c r="H7" s="18" t="s">
        <v>3790</v>
      </c>
      <c r="I7" s="18" t="s">
        <v>1110</v>
      </c>
      <c r="J7" s="18">
        <v>875</v>
      </c>
      <c r="K7" s="18" t="s">
        <v>1121</v>
      </c>
      <c r="L7" s="18" t="s">
        <v>5595</v>
      </c>
      <c r="M7" s="19">
        <v>46204</v>
      </c>
      <c r="N7" s="18" t="s">
        <v>1122</v>
      </c>
      <c r="O7" s="18" t="s">
        <v>1123</v>
      </c>
      <c r="P7" s="18" t="s">
        <v>1124</v>
      </c>
      <c r="Q7" s="18" t="s">
        <v>1125</v>
      </c>
      <c r="R7" s="18" t="s">
        <v>1126</v>
      </c>
      <c r="S7" s="18">
        <v>354</v>
      </c>
      <c r="T7" s="18">
        <v>16992</v>
      </c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8" spans="1:39" x14ac:dyDescent="0.35">
      <c r="A8" t="s">
        <v>1184</v>
      </c>
      <c r="B8">
        <f>A1</f>
        <v>224.06460859934305</v>
      </c>
      <c r="F8" s="18" t="s">
        <v>1109</v>
      </c>
      <c r="G8" s="19">
        <v>46204</v>
      </c>
      <c r="H8" s="18" t="s">
        <v>3790</v>
      </c>
      <c r="I8" s="18" t="s">
        <v>1110</v>
      </c>
      <c r="J8" s="18">
        <v>876</v>
      </c>
      <c r="K8" s="18" t="s">
        <v>1111</v>
      </c>
      <c r="L8" s="18" t="s">
        <v>5596</v>
      </c>
      <c r="M8" s="19">
        <v>46204</v>
      </c>
      <c r="N8" s="18" t="s">
        <v>1112</v>
      </c>
      <c r="O8" s="18" t="s">
        <v>1117</v>
      </c>
      <c r="P8" s="18" t="s">
        <v>1118</v>
      </c>
      <c r="Q8" s="18" t="s">
        <v>1119</v>
      </c>
      <c r="R8" s="18" t="s">
        <v>1120</v>
      </c>
      <c r="S8" s="18">
        <v>392</v>
      </c>
      <c r="T8" s="18">
        <v>57914.080000000002</v>
      </c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</row>
    <row r="9" spans="1:39" x14ac:dyDescent="0.35">
      <c r="A9" t="s">
        <v>1185</v>
      </c>
      <c r="B9" s="47">
        <f>B8*93%</f>
        <v>208.38008599738905</v>
      </c>
      <c r="F9" s="18" t="s">
        <v>1109</v>
      </c>
      <c r="G9" s="19">
        <v>46204</v>
      </c>
      <c r="H9" s="18" t="s">
        <v>3790</v>
      </c>
      <c r="I9" s="18" t="s">
        <v>1110</v>
      </c>
      <c r="J9" s="18">
        <v>876</v>
      </c>
      <c r="K9" s="18" t="s">
        <v>1111</v>
      </c>
      <c r="L9" s="18" t="s">
        <v>5596</v>
      </c>
      <c r="M9" s="19">
        <v>46204</v>
      </c>
      <c r="N9" s="18" t="s">
        <v>1112</v>
      </c>
      <c r="O9" s="18" t="s">
        <v>1127</v>
      </c>
      <c r="P9" s="18" t="s">
        <v>1128</v>
      </c>
      <c r="Q9" s="18" t="s">
        <v>1129</v>
      </c>
      <c r="R9" s="18" t="s">
        <v>1130</v>
      </c>
      <c r="S9" s="18">
        <v>3917</v>
      </c>
      <c r="T9" s="18">
        <v>709564.55</v>
      </c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</row>
    <row r="10" spans="1:39" x14ac:dyDescent="0.35">
      <c r="F10" s="18" t="s">
        <v>1109</v>
      </c>
      <c r="G10" s="19">
        <v>46204</v>
      </c>
      <c r="H10" s="18" t="s">
        <v>3790</v>
      </c>
      <c r="I10" s="18" t="s">
        <v>1110</v>
      </c>
      <c r="J10" s="18">
        <v>876</v>
      </c>
      <c r="K10" s="18" t="s">
        <v>1111</v>
      </c>
      <c r="L10" s="18" t="s">
        <v>5596</v>
      </c>
      <c r="M10" s="19">
        <v>46204</v>
      </c>
      <c r="N10" s="18" t="s">
        <v>1112</v>
      </c>
      <c r="O10" s="18" t="s">
        <v>1131</v>
      </c>
      <c r="P10" s="18" t="s">
        <v>1132</v>
      </c>
      <c r="Q10" s="18" t="s">
        <v>1132</v>
      </c>
      <c r="R10" s="18" t="s">
        <v>1131</v>
      </c>
      <c r="S10" s="18">
        <v>1091.9000000000001</v>
      </c>
      <c r="T10" s="18">
        <v>166776.81</v>
      </c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x14ac:dyDescent="0.35">
      <c r="A11" s="78" t="s">
        <v>1186</v>
      </c>
      <c r="B11" s="100">
        <f>B4*93%</f>
        <v>347179383.4362244</v>
      </c>
      <c r="C11" s="67">
        <v>347179383.44</v>
      </c>
      <c r="D11" s="73"/>
      <c r="E11" s="73"/>
      <c r="F11" s="18" t="s">
        <v>1109</v>
      </c>
      <c r="G11" s="19">
        <v>46204</v>
      </c>
      <c r="H11" s="18" t="s">
        <v>3790</v>
      </c>
      <c r="I11" s="18" t="s">
        <v>1110</v>
      </c>
      <c r="J11" s="18">
        <v>876</v>
      </c>
      <c r="K11" s="18" t="s">
        <v>1111</v>
      </c>
      <c r="L11" s="18" t="s">
        <v>5596</v>
      </c>
      <c r="M11" s="19">
        <v>46204</v>
      </c>
      <c r="N11" s="18" t="s">
        <v>1112</v>
      </c>
      <c r="O11" s="18" t="s">
        <v>1131</v>
      </c>
      <c r="P11" s="18" t="s">
        <v>1132</v>
      </c>
      <c r="Q11" s="18" t="s">
        <v>1132</v>
      </c>
      <c r="R11" s="18" t="s">
        <v>1131</v>
      </c>
      <c r="S11" s="18">
        <v>236.8</v>
      </c>
      <c r="T11" s="18">
        <v>35458.43</v>
      </c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x14ac:dyDescent="0.35">
      <c r="A12" t="s">
        <v>1188</v>
      </c>
      <c r="B12" s="73">
        <f>B4/B9</f>
        <v>1791491.5583145744</v>
      </c>
      <c r="C12" s="67">
        <v>1791491.56</v>
      </c>
      <c r="D12" s="73"/>
      <c r="F12" s="18" t="s">
        <v>1109</v>
      </c>
      <c r="G12" s="19">
        <v>46204</v>
      </c>
      <c r="H12" s="18" t="s">
        <v>3790</v>
      </c>
      <c r="I12" s="18" t="s">
        <v>1110</v>
      </c>
      <c r="J12" s="18">
        <v>876</v>
      </c>
      <c r="K12" s="18" t="s">
        <v>1111</v>
      </c>
      <c r="L12" s="18" t="s">
        <v>5596</v>
      </c>
      <c r="M12" s="19">
        <v>46204</v>
      </c>
      <c r="N12" s="18" t="s">
        <v>1112</v>
      </c>
      <c r="O12" s="18" t="s">
        <v>1117</v>
      </c>
      <c r="P12" s="18" t="s">
        <v>1138</v>
      </c>
      <c r="Q12" s="18" t="s">
        <v>1139</v>
      </c>
      <c r="R12" s="18" t="s">
        <v>1140</v>
      </c>
      <c r="S12" s="18">
        <v>571</v>
      </c>
      <c r="T12" s="18">
        <v>88356.54</v>
      </c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x14ac:dyDescent="0.35">
      <c r="D13" s="73"/>
      <c r="F13" s="18" t="s">
        <v>1109</v>
      </c>
      <c r="G13" s="19">
        <v>46204</v>
      </c>
      <c r="H13" s="18" t="s">
        <v>3790</v>
      </c>
      <c r="I13" s="18" t="s">
        <v>1110</v>
      </c>
      <c r="J13" s="18">
        <v>876</v>
      </c>
      <c r="K13" s="18" t="s">
        <v>1111</v>
      </c>
      <c r="L13" s="18" t="s">
        <v>5596</v>
      </c>
      <c r="M13" s="19">
        <v>46204</v>
      </c>
      <c r="N13" s="18" t="s">
        <v>1112</v>
      </c>
      <c r="O13" s="18" t="s">
        <v>1117</v>
      </c>
      <c r="P13" s="18" t="s">
        <v>1138</v>
      </c>
      <c r="Q13" s="18" t="s">
        <v>1139</v>
      </c>
      <c r="R13" s="18" t="s">
        <v>1140</v>
      </c>
      <c r="S13" s="18">
        <v>400</v>
      </c>
      <c r="T13" s="18">
        <v>61896</v>
      </c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x14ac:dyDescent="0.35">
      <c r="B14" s="67">
        <f>B12*B9</f>
        <v>373311164.98518753</v>
      </c>
      <c r="F14" s="18" t="s">
        <v>1109</v>
      </c>
      <c r="G14" s="19">
        <v>46204</v>
      </c>
      <c r="H14" s="18" t="s">
        <v>3790</v>
      </c>
      <c r="I14" s="18" t="s">
        <v>1110</v>
      </c>
      <c r="J14" s="18">
        <v>876</v>
      </c>
      <c r="K14" s="18" t="s">
        <v>1111</v>
      </c>
      <c r="L14" s="18" t="s">
        <v>5596</v>
      </c>
      <c r="M14" s="19">
        <v>46204</v>
      </c>
      <c r="N14" s="18" t="s">
        <v>1112</v>
      </c>
      <c r="O14" s="18" t="s">
        <v>1131</v>
      </c>
      <c r="P14" s="18" t="s">
        <v>1132</v>
      </c>
      <c r="Q14" s="18" t="s">
        <v>1132</v>
      </c>
      <c r="R14" s="18" t="s">
        <v>1131</v>
      </c>
      <c r="S14" s="18">
        <v>9.8000000000000007</v>
      </c>
      <c r="T14" s="18">
        <v>1702.65</v>
      </c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x14ac:dyDescent="0.35">
      <c r="F15" s="18" t="s">
        <v>1109</v>
      </c>
      <c r="G15" s="19">
        <v>46204</v>
      </c>
      <c r="H15" s="18" t="s">
        <v>3790</v>
      </c>
      <c r="I15" s="18" t="s">
        <v>1110</v>
      </c>
      <c r="J15" s="18">
        <v>877</v>
      </c>
      <c r="K15" s="18" t="s">
        <v>1111</v>
      </c>
      <c r="L15" s="18" t="s">
        <v>5597</v>
      </c>
      <c r="M15" s="19">
        <v>46204</v>
      </c>
      <c r="N15" s="18" t="s">
        <v>1146</v>
      </c>
      <c r="O15" s="18" t="s">
        <v>1179</v>
      </c>
      <c r="P15" s="18" t="s">
        <v>1179</v>
      </c>
      <c r="Q15" s="18" t="s">
        <v>1139</v>
      </c>
      <c r="R15" s="18" t="s">
        <v>1179</v>
      </c>
      <c r="S15" s="18">
        <v>594</v>
      </c>
      <c r="T15" s="18">
        <v>94885.56</v>
      </c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x14ac:dyDescent="0.35">
      <c r="F16" s="18" t="s">
        <v>1109</v>
      </c>
      <c r="G16" s="19">
        <v>46204</v>
      </c>
      <c r="H16" s="18" t="s">
        <v>3790</v>
      </c>
      <c r="I16" s="18" t="s">
        <v>1110</v>
      </c>
      <c r="J16" s="18">
        <v>877</v>
      </c>
      <c r="K16" s="18" t="s">
        <v>1111</v>
      </c>
      <c r="L16" s="18" t="s">
        <v>5597</v>
      </c>
      <c r="M16" s="19">
        <v>46204</v>
      </c>
      <c r="N16" s="18" t="s">
        <v>1146</v>
      </c>
      <c r="O16" s="18" t="s">
        <v>1179</v>
      </c>
      <c r="P16" s="18" t="s">
        <v>1179</v>
      </c>
      <c r="Q16" s="18" t="s">
        <v>1119</v>
      </c>
      <c r="R16" s="18" t="s">
        <v>1179</v>
      </c>
      <c r="S16" s="18">
        <v>500</v>
      </c>
      <c r="T16" s="18">
        <v>78870</v>
      </c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2:39" ht="15" x14ac:dyDescent="0.35">
      <c r="B17" s="99"/>
      <c r="F17" s="18" t="s">
        <v>1109</v>
      </c>
      <c r="G17" s="19">
        <v>46204</v>
      </c>
      <c r="H17" s="18" t="s">
        <v>3790</v>
      </c>
      <c r="I17" s="18" t="s">
        <v>1110</v>
      </c>
      <c r="J17" s="18">
        <v>877</v>
      </c>
      <c r="K17" s="18" t="s">
        <v>1111</v>
      </c>
      <c r="L17" s="18" t="s">
        <v>5597</v>
      </c>
      <c r="M17" s="19">
        <v>46204</v>
      </c>
      <c r="N17" s="18" t="s">
        <v>1112</v>
      </c>
      <c r="O17" s="18" t="s">
        <v>1117</v>
      </c>
      <c r="P17" s="18" t="s">
        <v>1118</v>
      </c>
      <c r="Q17" s="18" t="s">
        <v>1119</v>
      </c>
      <c r="R17" s="18" t="s">
        <v>1120</v>
      </c>
      <c r="S17" s="18">
        <v>491</v>
      </c>
      <c r="T17" s="18">
        <v>73522.34</v>
      </c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2:39" x14ac:dyDescent="0.35">
      <c r="F18" s="18" t="s">
        <v>1109</v>
      </c>
      <c r="G18" s="19">
        <v>46204</v>
      </c>
      <c r="H18" s="18" t="s">
        <v>3790</v>
      </c>
      <c r="I18" s="18" t="s">
        <v>1110</v>
      </c>
      <c r="J18" s="18">
        <v>877</v>
      </c>
      <c r="K18" s="18" t="s">
        <v>1111</v>
      </c>
      <c r="L18" s="18" t="s">
        <v>5597</v>
      </c>
      <c r="M18" s="19">
        <v>46204</v>
      </c>
      <c r="N18" s="18" t="s">
        <v>1112</v>
      </c>
      <c r="O18" s="18" t="s">
        <v>1117</v>
      </c>
      <c r="P18" s="18" t="s">
        <v>1138</v>
      </c>
      <c r="Q18" s="18" t="s">
        <v>1139</v>
      </c>
      <c r="R18" s="18" t="s">
        <v>1140</v>
      </c>
      <c r="S18" s="18">
        <v>362</v>
      </c>
      <c r="T18" s="18">
        <v>54205.88</v>
      </c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2:39" x14ac:dyDescent="0.35">
      <c r="F19" s="18" t="s">
        <v>1109</v>
      </c>
      <c r="G19" s="19">
        <v>46204</v>
      </c>
      <c r="H19" s="18" t="s">
        <v>1135</v>
      </c>
      <c r="I19" s="18" t="s">
        <v>1150</v>
      </c>
      <c r="J19" s="18" t="s">
        <v>5598</v>
      </c>
      <c r="K19" s="18" t="s">
        <v>1137</v>
      </c>
      <c r="L19" s="18" t="s">
        <v>5598</v>
      </c>
      <c r="M19" s="19">
        <v>46204</v>
      </c>
      <c r="N19" s="18" t="s">
        <v>1112</v>
      </c>
      <c r="O19" s="18" t="s">
        <v>1131</v>
      </c>
      <c r="P19" s="18" t="s">
        <v>1132</v>
      </c>
      <c r="Q19" s="18" t="s">
        <v>1132</v>
      </c>
      <c r="R19" s="18" t="s">
        <v>1762</v>
      </c>
      <c r="S19" s="18">
        <v>100</v>
      </c>
      <c r="T19" s="18">
        <v>15840</v>
      </c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2:39" x14ac:dyDescent="0.35">
      <c r="F20" s="18" t="s">
        <v>1109</v>
      </c>
      <c r="G20" s="19">
        <v>46204</v>
      </c>
      <c r="H20" s="18" t="s">
        <v>1135</v>
      </c>
      <c r="I20" s="18" t="s">
        <v>1150</v>
      </c>
      <c r="J20" s="18" t="s">
        <v>5598</v>
      </c>
      <c r="K20" s="18" t="s">
        <v>1137</v>
      </c>
      <c r="L20" s="18" t="s">
        <v>5598</v>
      </c>
      <c r="M20" s="19">
        <v>46204</v>
      </c>
      <c r="N20" s="18" t="s">
        <v>1112</v>
      </c>
      <c r="O20" s="18" t="s">
        <v>1113</v>
      </c>
      <c r="P20" s="18" t="s">
        <v>1114</v>
      </c>
      <c r="Q20" s="18" t="s">
        <v>1115</v>
      </c>
      <c r="R20" s="18" t="s">
        <v>1144</v>
      </c>
      <c r="S20" s="18">
        <v>29.7</v>
      </c>
      <c r="T20" s="18">
        <v>5135.13</v>
      </c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2:39" x14ac:dyDescent="0.35">
      <c r="F21" s="18" t="s">
        <v>1109</v>
      </c>
      <c r="G21" s="19">
        <v>46204</v>
      </c>
      <c r="H21" s="18" t="s">
        <v>1135</v>
      </c>
      <c r="I21" s="18" t="s">
        <v>1136</v>
      </c>
      <c r="J21" s="18" t="s">
        <v>5599</v>
      </c>
      <c r="K21" s="18" t="s">
        <v>1137</v>
      </c>
      <c r="L21" s="18" t="s">
        <v>5599</v>
      </c>
      <c r="M21" s="19">
        <v>46204</v>
      </c>
      <c r="N21" s="18" t="s">
        <v>1146</v>
      </c>
      <c r="O21" s="18" t="s">
        <v>1147</v>
      </c>
      <c r="P21" s="18" t="s">
        <v>1147</v>
      </c>
      <c r="Q21" s="18" t="s">
        <v>1148</v>
      </c>
      <c r="R21" s="18" t="s">
        <v>1149</v>
      </c>
      <c r="S21" s="18">
        <v>413.4</v>
      </c>
      <c r="T21" s="18">
        <v>103352.7255</v>
      </c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2:39" x14ac:dyDescent="0.35">
      <c r="F22" s="18" t="s">
        <v>1109</v>
      </c>
      <c r="G22" s="19">
        <v>46204</v>
      </c>
      <c r="H22" s="18" t="s">
        <v>1135</v>
      </c>
      <c r="I22" s="18" t="s">
        <v>1136</v>
      </c>
      <c r="J22" s="18" t="s">
        <v>5599</v>
      </c>
      <c r="K22" s="18" t="s">
        <v>1137</v>
      </c>
      <c r="L22" s="18" t="s">
        <v>5599</v>
      </c>
      <c r="M22" s="19">
        <v>46204</v>
      </c>
      <c r="N22" s="18" t="s">
        <v>1146</v>
      </c>
      <c r="O22" s="18" t="s">
        <v>1147</v>
      </c>
      <c r="P22" s="18" t="s">
        <v>1147</v>
      </c>
      <c r="Q22" s="18" t="s">
        <v>1148</v>
      </c>
      <c r="R22" s="18" t="s">
        <v>1149</v>
      </c>
      <c r="S22" s="18">
        <v>5000</v>
      </c>
      <c r="T22" s="18">
        <v>1250038.5</v>
      </c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2:39" x14ac:dyDescent="0.35">
      <c r="F23" s="18" t="s">
        <v>1109</v>
      </c>
      <c r="G23" s="19">
        <v>46204</v>
      </c>
      <c r="H23" s="18" t="s">
        <v>1135</v>
      </c>
      <c r="I23" s="18" t="s">
        <v>1136</v>
      </c>
      <c r="J23" s="18" t="s">
        <v>5600</v>
      </c>
      <c r="K23" s="18" t="s">
        <v>1137</v>
      </c>
      <c r="L23" s="18" t="s">
        <v>5600</v>
      </c>
      <c r="M23" s="19">
        <v>46204</v>
      </c>
      <c r="N23" s="18" t="s">
        <v>1146</v>
      </c>
      <c r="O23" s="18" t="s">
        <v>1147</v>
      </c>
      <c r="P23" s="18" t="s">
        <v>1147</v>
      </c>
      <c r="Q23" s="18" t="s">
        <v>1148</v>
      </c>
      <c r="R23" s="18" t="s">
        <v>1149</v>
      </c>
      <c r="S23" s="18">
        <v>751.7</v>
      </c>
      <c r="T23" s="18">
        <v>187922.592</v>
      </c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2:39" x14ac:dyDescent="0.35">
      <c r="F24" s="18" t="s">
        <v>1109</v>
      </c>
      <c r="G24" s="19">
        <v>46204</v>
      </c>
      <c r="H24" s="18" t="s">
        <v>1135</v>
      </c>
      <c r="I24" s="18" t="s">
        <v>1136</v>
      </c>
      <c r="J24" s="18" t="s">
        <v>5601</v>
      </c>
      <c r="K24" s="18" t="s">
        <v>1137</v>
      </c>
      <c r="L24" s="18" t="s">
        <v>5601</v>
      </c>
      <c r="M24" s="19">
        <v>46204</v>
      </c>
      <c r="N24" s="18" t="s">
        <v>1112</v>
      </c>
      <c r="O24" s="18" t="s">
        <v>1113</v>
      </c>
      <c r="P24" s="18" t="s">
        <v>1114</v>
      </c>
      <c r="Q24" s="18" t="s">
        <v>1115</v>
      </c>
      <c r="R24" s="18" t="s">
        <v>3793</v>
      </c>
      <c r="S24" s="18">
        <v>256.3</v>
      </c>
      <c r="T24" s="18">
        <v>39213.719999999994</v>
      </c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2:39" x14ac:dyDescent="0.35">
      <c r="F25" s="18" t="s">
        <v>1109</v>
      </c>
      <c r="G25" s="19">
        <v>46204</v>
      </c>
      <c r="H25" s="18" t="s">
        <v>1135</v>
      </c>
      <c r="I25" s="18" t="s">
        <v>1136</v>
      </c>
      <c r="J25" s="18" t="s">
        <v>5602</v>
      </c>
      <c r="K25" s="18" t="s">
        <v>1137</v>
      </c>
      <c r="L25" s="18" t="s">
        <v>5602</v>
      </c>
      <c r="M25" s="19">
        <v>46204</v>
      </c>
      <c r="N25" s="18" t="s">
        <v>1112</v>
      </c>
      <c r="O25" s="18" t="s">
        <v>1127</v>
      </c>
      <c r="P25" s="18" t="s">
        <v>1128</v>
      </c>
      <c r="Q25" s="18" t="s">
        <v>1129</v>
      </c>
      <c r="R25" s="18" t="s">
        <v>1130</v>
      </c>
      <c r="S25" s="18">
        <v>227</v>
      </c>
      <c r="T25" s="18">
        <v>39496.392</v>
      </c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2:39" x14ac:dyDescent="0.35">
      <c r="F26" s="18" t="s">
        <v>1109</v>
      </c>
      <c r="G26" s="19">
        <v>46204</v>
      </c>
      <c r="H26" s="18" t="s">
        <v>1135</v>
      </c>
      <c r="I26" s="18" t="s">
        <v>1136</v>
      </c>
      <c r="J26" s="18" t="s">
        <v>5603</v>
      </c>
      <c r="K26" s="18" t="s">
        <v>1137</v>
      </c>
      <c r="L26" s="18" t="s">
        <v>5603</v>
      </c>
      <c r="M26" s="19">
        <v>46204</v>
      </c>
      <c r="N26" s="18" t="s">
        <v>1112</v>
      </c>
      <c r="O26" s="18" t="s">
        <v>1117</v>
      </c>
      <c r="P26" s="18" t="s">
        <v>1138</v>
      </c>
      <c r="Q26" s="18" t="s">
        <v>1139</v>
      </c>
      <c r="R26" s="18" t="s">
        <v>1140</v>
      </c>
      <c r="S26" s="18">
        <v>595</v>
      </c>
      <c r="T26" s="18">
        <v>105927.894</v>
      </c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2:39" x14ac:dyDescent="0.35">
      <c r="F27" s="18" t="s">
        <v>1109</v>
      </c>
      <c r="G27" s="19">
        <v>46204</v>
      </c>
      <c r="H27" s="18" t="s">
        <v>485</v>
      </c>
      <c r="I27" s="18" t="s">
        <v>1110</v>
      </c>
      <c r="J27" s="18">
        <v>879</v>
      </c>
      <c r="K27" s="18" t="s">
        <v>1121</v>
      </c>
      <c r="L27" s="18" t="s">
        <v>5604</v>
      </c>
      <c r="M27" s="19">
        <v>46204</v>
      </c>
      <c r="N27" s="18" t="s">
        <v>1133</v>
      </c>
      <c r="O27" s="18" t="s">
        <v>1134</v>
      </c>
      <c r="P27" s="18" t="s">
        <v>1141</v>
      </c>
      <c r="Q27" s="18" t="s">
        <v>1142</v>
      </c>
      <c r="R27" s="18" t="s">
        <v>5605</v>
      </c>
      <c r="S27" s="18">
        <v>2000</v>
      </c>
      <c r="T27" s="18">
        <v>300000</v>
      </c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2:39" x14ac:dyDescent="0.35">
      <c r="F28" s="18" t="s">
        <v>1109</v>
      </c>
      <c r="G28" s="19">
        <v>46204</v>
      </c>
      <c r="H28" s="18" t="s">
        <v>485</v>
      </c>
      <c r="I28" s="18" t="s">
        <v>1110</v>
      </c>
      <c r="J28" s="18">
        <v>880</v>
      </c>
      <c r="K28" s="18" t="s">
        <v>1121</v>
      </c>
      <c r="L28" s="18" t="s">
        <v>5606</v>
      </c>
      <c r="M28" s="19">
        <v>46204</v>
      </c>
      <c r="N28" s="18" t="s">
        <v>1122</v>
      </c>
      <c r="O28" s="18" t="s">
        <v>1123</v>
      </c>
      <c r="P28" s="18" t="s">
        <v>1124</v>
      </c>
      <c r="Q28" s="18" t="s">
        <v>1125</v>
      </c>
      <c r="R28" s="18" t="s">
        <v>1126</v>
      </c>
      <c r="S28" s="18">
        <v>255</v>
      </c>
      <c r="T28" s="18">
        <v>12240</v>
      </c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2:39" x14ac:dyDescent="0.35">
      <c r="F29" s="18" t="s">
        <v>1109</v>
      </c>
      <c r="G29" s="19">
        <v>46204</v>
      </c>
      <c r="H29" s="18" t="s">
        <v>485</v>
      </c>
      <c r="I29" s="18" t="s">
        <v>1110</v>
      </c>
      <c r="J29" s="18">
        <v>881</v>
      </c>
      <c r="K29" s="18" t="s">
        <v>1111</v>
      </c>
      <c r="L29" s="18" t="s">
        <v>5607</v>
      </c>
      <c r="M29" s="19">
        <v>46204</v>
      </c>
      <c r="N29" s="18" t="s">
        <v>1112</v>
      </c>
      <c r="O29" s="18" t="s">
        <v>1127</v>
      </c>
      <c r="P29" s="18" t="s">
        <v>1128</v>
      </c>
      <c r="Q29" s="18" t="s">
        <v>1129</v>
      </c>
      <c r="R29" s="18" t="s">
        <v>1130</v>
      </c>
      <c r="S29" s="18">
        <v>949</v>
      </c>
      <c r="T29" s="18">
        <v>175707.35</v>
      </c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</row>
    <row r="30" spans="2:39" x14ac:dyDescent="0.35">
      <c r="F30" s="18" t="s">
        <v>1109</v>
      </c>
      <c r="G30" s="19">
        <v>46204</v>
      </c>
      <c r="H30" s="18" t="s">
        <v>485</v>
      </c>
      <c r="I30" s="18" t="s">
        <v>1110</v>
      </c>
      <c r="J30" s="18">
        <v>881</v>
      </c>
      <c r="K30" s="18" t="s">
        <v>1111</v>
      </c>
      <c r="L30" s="18" t="s">
        <v>5607</v>
      </c>
      <c r="M30" s="19">
        <v>46204</v>
      </c>
      <c r="N30" s="18" t="s">
        <v>1112</v>
      </c>
      <c r="O30" s="18" t="s">
        <v>1127</v>
      </c>
      <c r="P30" s="18" t="s">
        <v>1128</v>
      </c>
      <c r="Q30" s="18" t="s">
        <v>1129</v>
      </c>
      <c r="R30" s="18" t="s">
        <v>1130</v>
      </c>
      <c r="S30" s="18">
        <v>27</v>
      </c>
      <c r="T30" s="18">
        <v>4891.05</v>
      </c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</row>
    <row r="31" spans="2:39" x14ac:dyDescent="0.35">
      <c r="F31" s="18" t="s">
        <v>1109</v>
      </c>
      <c r="G31" s="19">
        <v>46204</v>
      </c>
      <c r="H31" s="18" t="s">
        <v>125</v>
      </c>
      <c r="I31" s="18" t="s">
        <v>1110</v>
      </c>
      <c r="J31" s="18">
        <v>878</v>
      </c>
      <c r="K31" s="18" t="s">
        <v>1111</v>
      </c>
      <c r="L31" s="18" t="s">
        <v>5457</v>
      </c>
      <c r="M31" s="19">
        <v>46204</v>
      </c>
      <c r="N31" s="18" t="s">
        <v>1112</v>
      </c>
      <c r="O31" s="18" t="s">
        <v>1117</v>
      </c>
      <c r="P31" s="18" t="s">
        <v>1118</v>
      </c>
      <c r="Q31" s="18" t="s">
        <v>1119</v>
      </c>
      <c r="R31" s="18" t="s">
        <v>1120</v>
      </c>
      <c r="S31" s="18">
        <v>1321</v>
      </c>
      <c r="T31" s="18">
        <v>195164.54</v>
      </c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</row>
    <row r="32" spans="2:39" x14ac:dyDescent="0.35">
      <c r="F32" s="18" t="s">
        <v>1109</v>
      </c>
      <c r="G32" s="19">
        <v>46205</v>
      </c>
      <c r="H32" s="18" t="s">
        <v>3790</v>
      </c>
      <c r="I32" s="18" t="s">
        <v>1110</v>
      </c>
      <c r="J32" s="18">
        <v>884</v>
      </c>
      <c r="K32" s="18" t="s">
        <v>1111</v>
      </c>
      <c r="L32" s="18" t="s">
        <v>5608</v>
      </c>
      <c r="M32" s="19">
        <v>46205</v>
      </c>
      <c r="N32" s="18" t="s">
        <v>1112</v>
      </c>
      <c r="O32" s="18" t="s">
        <v>1127</v>
      </c>
      <c r="P32" s="18" t="s">
        <v>1128</v>
      </c>
      <c r="Q32" s="18" t="s">
        <v>1129</v>
      </c>
      <c r="R32" s="18" t="s">
        <v>1130</v>
      </c>
      <c r="S32" s="18">
        <v>435</v>
      </c>
      <c r="T32" s="18">
        <v>78800.25</v>
      </c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</row>
    <row r="33" spans="6:39" x14ac:dyDescent="0.35">
      <c r="F33" s="18" t="s">
        <v>1109</v>
      </c>
      <c r="G33" s="19">
        <v>46205</v>
      </c>
      <c r="H33" s="18" t="s">
        <v>3790</v>
      </c>
      <c r="I33" s="18" t="s">
        <v>1110</v>
      </c>
      <c r="J33" s="18">
        <v>884</v>
      </c>
      <c r="K33" s="18" t="s">
        <v>1111</v>
      </c>
      <c r="L33" s="18" t="s">
        <v>5608</v>
      </c>
      <c r="M33" s="19">
        <v>46205</v>
      </c>
      <c r="N33" s="18" t="s">
        <v>1112</v>
      </c>
      <c r="O33" s="18" t="s">
        <v>1117</v>
      </c>
      <c r="P33" s="18" t="s">
        <v>1118</v>
      </c>
      <c r="Q33" s="18" t="s">
        <v>1119</v>
      </c>
      <c r="R33" s="18" t="s">
        <v>1120</v>
      </c>
      <c r="S33" s="18">
        <v>3266</v>
      </c>
      <c r="T33" s="18">
        <v>489050.84</v>
      </c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</row>
    <row r="34" spans="6:39" x14ac:dyDescent="0.35">
      <c r="F34" s="18" t="s">
        <v>1109</v>
      </c>
      <c r="G34" s="19">
        <v>46205</v>
      </c>
      <c r="H34" s="18" t="s">
        <v>3790</v>
      </c>
      <c r="I34" s="18" t="s">
        <v>1110</v>
      </c>
      <c r="J34" s="18">
        <v>884</v>
      </c>
      <c r="K34" s="18" t="s">
        <v>1111</v>
      </c>
      <c r="L34" s="18" t="s">
        <v>5608</v>
      </c>
      <c r="M34" s="19">
        <v>46205</v>
      </c>
      <c r="N34" s="18" t="s">
        <v>1112</v>
      </c>
      <c r="O34" s="18" t="s">
        <v>1117</v>
      </c>
      <c r="P34" s="18" t="s">
        <v>1118</v>
      </c>
      <c r="Q34" s="18" t="s">
        <v>1119</v>
      </c>
      <c r="R34" s="18" t="s">
        <v>1120</v>
      </c>
      <c r="S34" s="18">
        <v>3302</v>
      </c>
      <c r="T34" s="18">
        <v>487837.48</v>
      </c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</row>
    <row r="35" spans="6:39" x14ac:dyDescent="0.35">
      <c r="F35" s="18" t="s">
        <v>1109</v>
      </c>
      <c r="G35" s="19">
        <v>46205</v>
      </c>
      <c r="H35" s="18" t="s">
        <v>3790</v>
      </c>
      <c r="I35" s="18" t="s">
        <v>1110</v>
      </c>
      <c r="J35" s="18">
        <v>884</v>
      </c>
      <c r="K35" s="18" t="s">
        <v>1111</v>
      </c>
      <c r="L35" s="18" t="s">
        <v>5608</v>
      </c>
      <c r="M35" s="19">
        <v>46205</v>
      </c>
      <c r="N35" s="18" t="s">
        <v>1112</v>
      </c>
      <c r="O35" s="18" t="s">
        <v>1117</v>
      </c>
      <c r="P35" s="18" t="s">
        <v>1118</v>
      </c>
      <c r="Q35" s="18" t="s">
        <v>1119</v>
      </c>
      <c r="R35" s="18" t="s">
        <v>1120</v>
      </c>
      <c r="S35" s="18">
        <v>268</v>
      </c>
      <c r="T35" s="18">
        <v>40398.32</v>
      </c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</row>
    <row r="36" spans="6:39" x14ac:dyDescent="0.35">
      <c r="F36" s="18" t="s">
        <v>1109</v>
      </c>
      <c r="G36" s="19">
        <v>46205</v>
      </c>
      <c r="H36" s="18" t="s">
        <v>3790</v>
      </c>
      <c r="I36" s="18" t="s">
        <v>1110</v>
      </c>
      <c r="J36" s="18">
        <v>884</v>
      </c>
      <c r="K36" s="18" t="s">
        <v>1111</v>
      </c>
      <c r="L36" s="18" t="s">
        <v>5608</v>
      </c>
      <c r="M36" s="19">
        <v>46205</v>
      </c>
      <c r="N36" s="18" t="s">
        <v>1112</v>
      </c>
      <c r="O36" s="18" t="s">
        <v>1117</v>
      </c>
      <c r="P36" s="18" t="s">
        <v>1138</v>
      </c>
      <c r="Q36" s="18" t="s">
        <v>1139</v>
      </c>
      <c r="R36" s="18" t="s">
        <v>1140</v>
      </c>
      <c r="S36" s="18">
        <v>320</v>
      </c>
      <c r="T36" s="18">
        <v>49516.800000000003</v>
      </c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</row>
    <row r="37" spans="6:39" x14ac:dyDescent="0.35">
      <c r="F37" s="18" t="s">
        <v>1109</v>
      </c>
      <c r="G37" s="19">
        <v>46205</v>
      </c>
      <c r="H37" s="18" t="s">
        <v>3790</v>
      </c>
      <c r="I37" s="18" t="s">
        <v>1110</v>
      </c>
      <c r="J37" s="18">
        <v>884</v>
      </c>
      <c r="K37" s="18" t="s">
        <v>1111</v>
      </c>
      <c r="L37" s="18" t="s">
        <v>5608</v>
      </c>
      <c r="M37" s="19">
        <v>46205</v>
      </c>
      <c r="N37" s="18" t="s">
        <v>1112</v>
      </c>
      <c r="O37" s="18" t="s">
        <v>1117</v>
      </c>
      <c r="P37" s="18" t="s">
        <v>1138</v>
      </c>
      <c r="Q37" s="18" t="s">
        <v>1139</v>
      </c>
      <c r="R37" s="18" t="s">
        <v>1140</v>
      </c>
      <c r="S37" s="18">
        <v>215</v>
      </c>
      <c r="T37" s="18">
        <v>32194.1</v>
      </c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</row>
    <row r="38" spans="6:39" x14ac:dyDescent="0.35">
      <c r="F38" s="18" t="s">
        <v>1109</v>
      </c>
      <c r="G38" s="19">
        <v>46205</v>
      </c>
      <c r="H38" s="18" t="s">
        <v>3790</v>
      </c>
      <c r="I38" s="18" t="s">
        <v>1110</v>
      </c>
      <c r="J38" s="18">
        <v>884</v>
      </c>
      <c r="K38" s="18" t="s">
        <v>1111</v>
      </c>
      <c r="L38" s="18" t="s">
        <v>5608</v>
      </c>
      <c r="M38" s="19">
        <v>46205</v>
      </c>
      <c r="N38" s="18" t="s">
        <v>1112</v>
      </c>
      <c r="O38" s="18" t="s">
        <v>1117</v>
      </c>
      <c r="P38" s="18" t="s">
        <v>1138</v>
      </c>
      <c r="Q38" s="18" t="s">
        <v>1139</v>
      </c>
      <c r="R38" s="18" t="s">
        <v>1140</v>
      </c>
      <c r="S38" s="18">
        <v>1268</v>
      </c>
      <c r="T38" s="18">
        <v>196210.32</v>
      </c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</row>
    <row r="39" spans="6:39" x14ac:dyDescent="0.35">
      <c r="F39" s="18" t="s">
        <v>1109</v>
      </c>
      <c r="G39" s="19">
        <v>46205</v>
      </c>
      <c r="H39" s="18" t="s">
        <v>3790</v>
      </c>
      <c r="I39" s="18" t="s">
        <v>1110</v>
      </c>
      <c r="J39" s="18">
        <v>884</v>
      </c>
      <c r="K39" s="18" t="s">
        <v>1111</v>
      </c>
      <c r="L39" s="18" t="s">
        <v>5608</v>
      </c>
      <c r="M39" s="19">
        <v>46205</v>
      </c>
      <c r="N39" s="18" t="s">
        <v>1112</v>
      </c>
      <c r="O39" s="18" t="s">
        <v>1117</v>
      </c>
      <c r="P39" s="18" t="s">
        <v>1138</v>
      </c>
      <c r="Q39" s="18" t="s">
        <v>1139</v>
      </c>
      <c r="R39" s="18" t="s">
        <v>1140</v>
      </c>
      <c r="S39" s="18">
        <v>341</v>
      </c>
      <c r="T39" s="18">
        <v>51743.34</v>
      </c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</row>
    <row r="40" spans="6:39" x14ac:dyDescent="0.35">
      <c r="F40" s="18" t="s">
        <v>1109</v>
      </c>
      <c r="G40" s="19">
        <v>46205</v>
      </c>
      <c r="H40" s="18" t="s">
        <v>3790</v>
      </c>
      <c r="I40" s="18" t="s">
        <v>1110</v>
      </c>
      <c r="J40" s="18">
        <v>887</v>
      </c>
      <c r="K40" s="18" t="s">
        <v>1121</v>
      </c>
      <c r="L40" s="18" t="s">
        <v>2327</v>
      </c>
      <c r="M40" s="19">
        <v>46205</v>
      </c>
      <c r="N40" s="18" t="s">
        <v>1122</v>
      </c>
      <c r="O40" s="18" t="s">
        <v>1123</v>
      </c>
      <c r="P40" s="18" t="s">
        <v>1124</v>
      </c>
      <c r="Q40" s="18" t="s">
        <v>1125</v>
      </c>
      <c r="R40" s="18" t="s">
        <v>1126</v>
      </c>
      <c r="S40" s="18">
        <v>194</v>
      </c>
      <c r="T40" s="18">
        <v>9312</v>
      </c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</row>
    <row r="41" spans="6:39" x14ac:dyDescent="0.35">
      <c r="F41" s="18" t="s">
        <v>1109</v>
      </c>
      <c r="G41" s="19">
        <v>46205</v>
      </c>
      <c r="H41" s="18" t="s">
        <v>3790</v>
      </c>
      <c r="I41" s="18" t="s">
        <v>1110</v>
      </c>
      <c r="J41" s="18">
        <v>888</v>
      </c>
      <c r="K41" s="18" t="s">
        <v>1111</v>
      </c>
      <c r="L41" s="18" t="s">
        <v>5609</v>
      </c>
      <c r="M41" s="19">
        <v>46205</v>
      </c>
      <c r="N41" s="18" t="s">
        <v>1112</v>
      </c>
      <c r="O41" s="18" t="s">
        <v>1131</v>
      </c>
      <c r="P41" s="18" t="s">
        <v>1132</v>
      </c>
      <c r="Q41" s="18" t="s">
        <v>1132</v>
      </c>
      <c r="R41" s="18" t="s">
        <v>1131</v>
      </c>
      <c r="S41" s="18">
        <v>6.8</v>
      </c>
      <c r="T41" s="18">
        <v>1181.43</v>
      </c>
      <c r="U41" s="163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</row>
    <row r="42" spans="6:39" x14ac:dyDescent="0.35">
      <c r="F42" s="18" t="s">
        <v>1109</v>
      </c>
      <c r="G42" s="19">
        <v>46205</v>
      </c>
      <c r="H42" s="18" t="s">
        <v>3790</v>
      </c>
      <c r="I42" s="18" t="s">
        <v>1110</v>
      </c>
      <c r="J42" s="18">
        <v>888</v>
      </c>
      <c r="K42" s="18" t="s">
        <v>1111</v>
      </c>
      <c r="L42" s="18" t="s">
        <v>5609</v>
      </c>
      <c r="M42" s="19">
        <v>46205</v>
      </c>
      <c r="N42" s="18" t="s">
        <v>1112</v>
      </c>
      <c r="O42" s="18" t="s">
        <v>1131</v>
      </c>
      <c r="P42" s="18" t="s">
        <v>1132</v>
      </c>
      <c r="Q42" s="18" t="s">
        <v>1132</v>
      </c>
      <c r="R42" s="18" t="s">
        <v>1131</v>
      </c>
      <c r="S42" s="18">
        <v>1351.1</v>
      </c>
      <c r="T42" s="18">
        <v>206367.01</v>
      </c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</row>
    <row r="43" spans="6:39" x14ac:dyDescent="0.35">
      <c r="F43" s="18" t="s">
        <v>1109</v>
      </c>
      <c r="G43" s="19">
        <v>46205</v>
      </c>
      <c r="H43" s="18" t="s">
        <v>3790</v>
      </c>
      <c r="I43" s="18" t="s">
        <v>1110</v>
      </c>
      <c r="J43" s="18">
        <v>888</v>
      </c>
      <c r="K43" s="18" t="s">
        <v>1111</v>
      </c>
      <c r="L43" s="18" t="s">
        <v>5609</v>
      </c>
      <c r="M43" s="19">
        <v>46205</v>
      </c>
      <c r="N43" s="18" t="s">
        <v>1112</v>
      </c>
      <c r="O43" s="18" t="s">
        <v>1131</v>
      </c>
      <c r="P43" s="18" t="s">
        <v>1132</v>
      </c>
      <c r="Q43" s="18" t="s">
        <v>1132</v>
      </c>
      <c r="R43" s="18" t="s">
        <v>1131</v>
      </c>
      <c r="S43" s="18">
        <v>191.2</v>
      </c>
      <c r="T43" s="18">
        <v>28630.29</v>
      </c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</row>
    <row r="44" spans="6:39" x14ac:dyDescent="0.35">
      <c r="F44" s="18" t="s">
        <v>1109</v>
      </c>
      <c r="G44" s="19">
        <v>46205</v>
      </c>
      <c r="H44" s="18" t="s">
        <v>3790</v>
      </c>
      <c r="I44" s="18" t="s">
        <v>1110</v>
      </c>
      <c r="J44" s="18">
        <v>888</v>
      </c>
      <c r="K44" s="18" t="s">
        <v>1111</v>
      </c>
      <c r="L44" s="18" t="s">
        <v>5609</v>
      </c>
      <c r="M44" s="19">
        <v>46205</v>
      </c>
      <c r="N44" s="18" t="s">
        <v>1112</v>
      </c>
      <c r="O44" s="18" t="s">
        <v>1127</v>
      </c>
      <c r="P44" s="18" t="s">
        <v>1128</v>
      </c>
      <c r="Q44" s="18" t="s">
        <v>1129</v>
      </c>
      <c r="R44" s="18" t="s">
        <v>1130</v>
      </c>
      <c r="S44" s="18">
        <v>400.5</v>
      </c>
      <c r="T44" s="18">
        <v>72550.58</v>
      </c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</row>
    <row r="45" spans="6:39" x14ac:dyDescent="0.35">
      <c r="F45" s="18" t="s">
        <v>1109</v>
      </c>
      <c r="G45" s="19">
        <v>46205</v>
      </c>
      <c r="H45" s="18" t="s">
        <v>3790</v>
      </c>
      <c r="I45" s="18" t="s">
        <v>1110</v>
      </c>
      <c r="J45" s="18">
        <v>888</v>
      </c>
      <c r="K45" s="18" t="s">
        <v>1111</v>
      </c>
      <c r="L45" s="18" t="s">
        <v>5609</v>
      </c>
      <c r="M45" s="19">
        <v>46205</v>
      </c>
      <c r="N45" s="18" t="s">
        <v>1112</v>
      </c>
      <c r="O45" s="18" t="s">
        <v>1127</v>
      </c>
      <c r="P45" s="18" t="s">
        <v>1128</v>
      </c>
      <c r="Q45" s="18" t="s">
        <v>1129</v>
      </c>
      <c r="R45" s="18" t="s">
        <v>1130</v>
      </c>
      <c r="S45" s="18">
        <v>7060</v>
      </c>
      <c r="T45" s="18">
        <v>1307159</v>
      </c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</row>
    <row r="46" spans="6:39" x14ac:dyDescent="0.35">
      <c r="F46" s="18" t="s">
        <v>1109</v>
      </c>
      <c r="G46" s="19">
        <v>46205</v>
      </c>
      <c r="H46" s="18" t="s">
        <v>1135</v>
      </c>
      <c r="I46" s="18" t="s">
        <v>1136</v>
      </c>
      <c r="J46" s="18" t="s">
        <v>5610</v>
      </c>
      <c r="K46" s="18" t="s">
        <v>1137</v>
      </c>
      <c r="L46" s="18" t="s">
        <v>5610</v>
      </c>
      <c r="M46" s="19">
        <v>46205</v>
      </c>
      <c r="N46" s="18" t="s">
        <v>1112</v>
      </c>
      <c r="O46" s="18" t="s">
        <v>1153</v>
      </c>
      <c r="P46" s="18" t="s">
        <v>1154</v>
      </c>
      <c r="Q46" s="18" t="s">
        <v>1155</v>
      </c>
      <c r="R46" s="18" t="s">
        <v>1154</v>
      </c>
      <c r="S46" s="18">
        <v>1210</v>
      </c>
      <c r="T46" s="18">
        <v>166375.83300000001</v>
      </c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</row>
    <row r="47" spans="6:39" x14ac:dyDescent="0.35">
      <c r="F47" s="18" t="s">
        <v>1109</v>
      </c>
      <c r="G47" s="19">
        <v>46205</v>
      </c>
      <c r="H47" s="18" t="s">
        <v>1135</v>
      </c>
      <c r="I47" s="18" t="s">
        <v>1136</v>
      </c>
      <c r="J47" s="18" t="s">
        <v>5611</v>
      </c>
      <c r="K47" s="18" t="s">
        <v>1137</v>
      </c>
      <c r="L47" s="18" t="s">
        <v>5611</v>
      </c>
      <c r="M47" s="19">
        <v>46205</v>
      </c>
      <c r="N47" s="18" t="s">
        <v>1146</v>
      </c>
      <c r="O47" s="18" t="s">
        <v>1147</v>
      </c>
      <c r="P47" s="18" t="s">
        <v>1147</v>
      </c>
      <c r="Q47" s="18" t="s">
        <v>1148</v>
      </c>
      <c r="R47" s="18" t="s">
        <v>1169</v>
      </c>
      <c r="S47" s="18">
        <v>1241</v>
      </c>
      <c r="T47" s="18">
        <v>310245.62400000001</v>
      </c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</row>
    <row r="48" spans="6:39" x14ac:dyDescent="0.35">
      <c r="F48" s="18" t="s">
        <v>1109</v>
      </c>
      <c r="G48" s="19">
        <v>46205</v>
      </c>
      <c r="H48" s="18" t="s">
        <v>1135</v>
      </c>
      <c r="I48" s="18" t="s">
        <v>1136</v>
      </c>
      <c r="J48" s="18" t="s">
        <v>5611</v>
      </c>
      <c r="K48" s="18" t="s">
        <v>1137</v>
      </c>
      <c r="L48" s="18" t="s">
        <v>5611</v>
      </c>
      <c r="M48" s="19">
        <v>46205</v>
      </c>
      <c r="N48" s="18" t="s">
        <v>1146</v>
      </c>
      <c r="O48" s="18" t="s">
        <v>1147</v>
      </c>
      <c r="P48" s="18" t="s">
        <v>1147</v>
      </c>
      <c r="Q48" s="18" t="s">
        <v>1148</v>
      </c>
      <c r="R48" s="18" t="s">
        <v>1149</v>
      </c>
      <c r="S48" s="18">
        <v>2700.6</v>
      </c>
      <c r="T48" s="18">
        <v>675139.60799999989</v>
      </c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</row>
    <row r="49" spans="6:39" x14ac:dyDescent="0.35">
      <c r="F49" s="18" t="s">
        <v>1109</v>
      </c>
      <c r="G49" s="19">
        <v>46205</v>
      </c>
      <c r="H49" s="18" t="s">
        <v>485</v>
      </c>
      <c r="I49" s="18" t="s">
        <v>1110</v>
      </c>
      <c r="J49" s="18">
        <v>891</v>
      </c>
      <c r="K49" s="18" t="s">
        <v>1121</v>
      </c>
      <c r="L49" s="18" t="s">
        <v>5612</v>
      </c>
      <c r="M49" s="19">
        <v>46205</v>
      </c>
      <c r="N49" s="18" t="s">
        <v>1122</v>
      </c>
      <c r="O49" s="18" t="s">
        <v>1123</v>
      </c>
      <c r="P49" s="18" t="s">
        <v>1124</v>
      </c>
      <c r="Q49" s="18" t="s">
        <v>1125</v>
      </c>
      <c r="R49" s="18" t="s">
        <v>1126</v>
      </c>
      <c r="S49" s="18">
        <v>230</v>
      </c>
      <c r="T49" s="18">
        <v>11040</v>
      </c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</row>
    <row r="50" spans="6:39" x14ac:dyDescent="0.35">
      <c r="F50" s="18" t="s">
        <v>1109</v>
      </c>
      <c r="G50" s="19">
        <v>46205</v>
      </c>
      <c r="H50" s="18" t="s">
        <v>4402</v>
      </c>
      <c r="I50" s="18" t="s">
        <v>1110</v>
      </c>
      <c r="J50" s="18">
        <v>889</v>
      </c>
      <c r="K50" s="18" t="s">
        <v>1121</v>
      </c>
      <c r="L50" s="18" t="s">
        <v>2326</v>
      </c>
      <c r="M50" s="19">
        <v>46205</v>
      </c>
      <c r="N50" s="18" t="s">
        <v>1133</v>
      </c>
      <c r="O50" s="18" t="s">
        <v>1134</v>
      </c>
      <c r="P50" s="18" t="s">
        <v>5000</v>
      </c>
      <c r="Q50" s="18" t="s">
        <v>5001</v>
      </c>
      <c r="R50" s="18" t="s">
        <v>5002</v>
      </c>
      <c r="S50" s="18">
        <v>2475</v>
      </c>
      <c r="T50" s="18">
        <v>365767.38</v>
      </c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</row>
    <row r="51" spans="6:39" x14ac:dyDescent="0.35">
      <c r="F51" s="18" t="s">
        <v>1109</v>
      </c>
      <c r="G51" s="19">
        <v>46205</v>
      </c>
      <c r="H51" s="18" t="s">
        <v>4402</v>
      </c>
      <c r="I51" s="18" t="s">
        <v>1110</v>
      </c>
      <c r="J51" s="18">
        <v>889</v>
      </c>
      <c r="K51" s="18" t="s">
        <v>1121</v>
      </c>
      <c r="L51" s="18" t="s">
        <v>2326</v>
      </c>
      <c r="M51" s="19">
        <v>46205</v>
      </c>
      <c r="N51" s="18" t="s">
        <v>1133</v>
      </c>
      <c r="O51" s="18" t="s">
        <v>1134</v>
      </c>
      <c r="P51" s="18" t="s">
        <v>5000</v>
      </c>
      <c r="Q51" s="18" t="s">
        <v>5001</v>
      </c>
      <c r="R51" s="18" t="s">
        <v>5002</v>
      </c>
      <c r="S51" s="18">
        <v>7525</v>
      </c>
      <c r="T51" s="18">
        <v>1112080.6200000001</v>
      </c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</row>
    <row r="52" spans="6:39" x14ac:dyDescent="0.35">
      <c r="F52" s="18" t="s">
        <v>1109</v>
      </c>
      <c r="G52" s="19">
        <v>46205</v>
      </c>
      <c r="H52" s="18" t="s">
        <v>4402</v>
      </c>
      <c r="I52" s="18" t="s">
        <v>1110</v>
      </c>
      <c r="J52" s="18">
        <v>889</v>
      </c>
      <c r="K52" s="18" t="s">
        <v>1121</v>
      </c>
      <c r="L52" s="18" t="s">
        <v>2326</v>
      </c>
      <c r="M52" s="19">
        <v>46205</v>
      </c>
      <c r="N52" s="18" t="s">
        <v>1133</v>
      </c>
      <c r="O52" s="18" t="s">
        <v>1134</v>
      </c>
      <c r="P52" s="18" t="s">
        <v>5000</v>
      </c>
      <c r="Q52" s="18" t="s">
        <v>5001</v>
      </c>
      <c r="R52" s="18" t="s">
        <v>5002</v>
      </c>
      <c r="S52" s="18">
        <v>2500</v>
      </c>
      <c r="T52" s="18">
        <v>369462</v>
      </c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</row>
    <row r="53" spans="6:39" x14ac:dyDescent="0.35">
      <c r="F53" s="18" t="s">
        <v>1109</v>
      </c>
      <c r="G53" s="19">
        <v>46205</v>
      </c>
      <c r="H53" s="18" t="s">
        <v>125</v>
      </c>
      <c r="I53" s="18" t="s">
        <v>1110</v>
      </c>
      <c r="J53" s="18">
        <v>885</v>
      </c>
      <c r="K53" s="18" t="s">
        <v>1121</v>
      </c>
      <c r="L53" s="18" t="s">
        <v>5458</v>
      </c>
      <c r="M53" s="19">
        <v>46205</v>
      </c>
      <c r="N53" s="18" t="s">
        <v>1122</v>
      </c>
      <c r="O53" s="18" t="s">
        <v>1123</v>
      </c>
      <c r="P53" s="18" t="s">
        <v>1124</v>
      </c>
      <c r="Q53" s="18" t="s">
        <v>1125</v>
      </c>
      <c r="R53" s="18" t="s">
        <v>1126</v>
      </c>
      <c r="S53" s="18">
        <v>103</v>
      </c>
      <c r="T53" s="18">
        <v>4944</v>
      </c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</row>
    <row r="54" spans="6:39" x14ac:dyDescent="0.35">
      <c r="F54" s="18" t="s">
        <v>1109</v>
      </c>
      <c r="G54" s="19">
        <v>46205</v>
      </c>
      <c r="H54" s="18" t="s">
        <v>125</v>
      </c>
      <c r="I54" s="18" t="s">
        <v>1110</v>
      </c>
      <c r="J54" s="18">
        <v>886</v>
      </c>
      <c r="K54" s="18" t="s">
        <v>1111</v>
      </c>
      <c r="L54" s="18" t="s">
        <v>5459</v>
      </c>
      <c r="M54" s="19">
        <v>46205</v>
      </c>
      <c r="N54" s="18" t="s">
        <v>1112</v>
      </c>
      <c r="O54" s="18" t="s">
        <v>1117</v>
      </c>
      <c r="P54" s="18" t="s">
        <v>1138</v>
      </c>
      <c r="Q54" s="18" t="s">
        <v>1139</v>
      </c>
      <c r="R54" s="18" t="s">
        <v>1140</v>
      </c>
      <c r="S54" s="18">
        <v>2683</v>
      </c>
      <c r="T54" s="18">
        <v>415167.42</v>
      </c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</row>
    <row r="55" spans="6:39" x14ac:dyDescent="0.35">
      <c r="F55" s="18" t="s">
        <v>1109</v>
      </c>
      <c r="G55" s="19">
        <v>46205</v>
      </c>
      <c r="H55" s="18" t="s">
        <v>125</v>
      </c>
      <c r="I55" s="18" t="s">
        <v>1110</v>
      </c>
      <c r="J55" s="18">
        <v>886</v>
      </c>
      <c r="K55" s="18" t="s">
        <v>1111</v>
      </c>
      <c r="L55" s="18" t="s">
        <v>5459</v>
      </c>
      <c r="M55" s="19">
        <v>46205</v>
      </c>
      <c r="N55" s="18" t="s">
        <v>1112</v>
      </c>
      <c r="O55" s="18" t="s">
        <v>1127</v>
      </c>
      <c r="P55" s="18" t="s">
        <v>1128</v>
      </c>
      <c r="Q55" s="18" t="s">
        <v>1129</v>
      </c>
      <c r="R55" s="18" t="s">
        <v>1130</v>
      </c>
      <c r="S55" s="18">
        <v>334</v>
      </c>
      <c r="T55" s="18">
        <v>60504.1</v>
      </c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</row>
    <row r="56" spans="6:39" x14ac:dyDescent="0.35">
      <c r="F56" s="18" t="s">
        <v>1109</v>
      </c>
      <c r="G56" s="19">
        <v>46205</v>
      </c>
      <c r="H56" s="18" t="s">
        <v>125</v>
      </c>
      <c r="I56" s="18" t="s">
        <v>1110</v>
      </c>
      <c r="J56" s="18">
        <v>886</v>
      </c>
      <c r="K56" s="18" t="s">
        <v>1111</v>
      </c>
      <c r="L56" s="18" t="s">
        <v>5459</v>
      </c>
      <c r="M56" s="19">
        <v>46205</v>
      </c>
      <c r="N56" s="18" t="s">
        <v>1112</v>
      </c>
      <c r="O56" s="18" t="s">
        <v>1117</v>
      </c>
      <c r="P56" s="18" t="s">
        <v>1118</v>
      </c>
      <c r="Q56" s="18" t="s">
        <v>1119</v>
      </c>
      <c r="R56" s="18" t="s">
        <v>1120</v>
      </c>
      <c r="S56" s="18">
        <v>646</v>
      </c>
      <c r="T56" s="18">
        <v>98670.04</v>
      </c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</row>
    <row r="57" spans="6:39" x14ac:dyDescent="0.35">
      <c r="F57" s="18" t="s">
        <v>1109</v>
      </c>
      <c r="G57" s="19">
        <v>46205</v>
      </c>
      <c r="H57" s="18" t="s">
        <v>125</v>
      </c>
      <c r="I57" s="18" t="s">
        <v>1110</v>
      </c>
      <c r="J57" s="18">
        <v>886</v>
      </c>
      <c r="K57" s="18" t="s">
        <v>1111</v>
      </c>
      <c r="L57" s="18" t="s">
        <v>5459</v>
      </c>
      <c r="M57" s="19">
        <v>46205</v>
      </c>
      <c r="N57" s="18" t="s">
        <v>1112</v>
      </c>
      <c r="O57" s="18" t="s">
        <v>1131</v>
      </c>
      <c r="P57" s="18" t="s">
        <v>1132</v>
      </c>
      <c r="Q57" s="18" t="s">
        <v>1132</v>
      </c>
      <c r="R57" s="18" t="s">
        <v>1131</v>
      </c>
      <c r="S57" s="18">
        <v>38.200000000000003</v>
      </c>
      <c r="T57" s="18">
        <v>5834.67</v>
      </c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</row>
    <row r="58" spans="6:39" x14ac:dyDescent="0.35">
      <c r="F58" s="18" t="s">
        <v>1109</v>
      </c>
      <c r="G58" s="19">
        <v>46205</v>
      </c>
      <c r="H58" s="18" t="s">
        <v>125</v>
      </c>
      <c r="I58" s="18" t="s">
        <v>1110</v>
      </c>
      <c r="J58" s="18">
        <v>886</v>
      </c>
      <c r="K58" s="18" t="s">
        <v>1111</v>
      </c>
      <c r="L58" s="18" t="s">
        <v>5459</v>
      </c>
      <c r="M58" s="19">
        <v>46205</v>
      </c>
      <c r="N58" s="18" t="s">
        <v>1112</v>
      </c>
      <c r="O58" s="18" t="s">
        <v>1131</v>
      </c>
      <c r="P58" s="18" t="s">
        <v>1132</v>
      </c>
      <c r="Q58" s="18" t="s">
        <v>1132</v>
      </c>
      <c r="R58" s="18" t="s">
        <v>1131</v>
      </c>
      <c r="S58" s="18">
        <v>42</v>
      </c>
      <c r="T58" s="18">
        <v>6289.08</v>
      </c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</row>
    <row r="59" spans="6:39" x14ac:dyDescent="0.35">
      <c r="F59" s="18" t="s">
        <v>1109</v>
      </c>
      <c r="G59" s="19">
        <v>46206</v>
      </c>
      <c r="H59" s="18" t="s">
        <v>4780</v>
      </c>
      <c r="I59" s="18" t="s">
        <v>1110</v>
      </c>
      <c r="J59" s="18">
        <v>894</v>
      </c>
      <c r="K59" s="18" t="s">
        <v>1111</v>
      </c>
      <c r="L59" s="18" t="s">
        <v>5306</v>
      </c>
      <c r="M59" s="19">
        <v>46206</v>
      </c>
      <c r="N59" s="18" t="s">
        <v>1146</v>
      </c>
      <c r="O59" s="18" t="s">
        <v>1179</v>
      </c>
      <c r="P59" s="18" t="s">
        <v>1179</v>
      </c>
      <c r="Q59" s="18" t="s">
        <v>1148</v>
      </c>
      <c r="R59" s="18" t="s">
        <v>1179</v>
      </c>
      <c r="S59" s="18">
        <v>371</v>
      </c>
      <c r="T59" s="18">
        <v>52000</v>
      </c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</row>
    <row r="60" spans="6:39" x14ac:dyDescent="0.35">
      <c r="F60" s="18" t="s">
        <v>1109</v>
      </c>
      <c r="G60" s="19">
        <v>46206</v>
      </c>
      <c r="H60" s="18" t="s">
        <v>1159</v>
      </c>
      <c r="I60" s="18" t="s">
        <v>1110</v>
      </c>
      <c r="J60" s="18">
        <v>903</v>
      </c>
      <c r="K60" s="18" t="s">
        <v>1111</v>
      </c>
      <c r="L60" s="18" t="s">
        <v>5613</v>
      </c>
      <c r="M60" s="19">
        <v>46206</v>
      </c>
      <c r="N60" s="18" t="s">
        <v>1112</v>
      </c>
      <c r="O60" s="18" t="s">
        <v>1117</v>
      </c>
      <c r="P60" s="18" t="s">
        <v>1138</v>
      </c>
      <c r="Q60" s="18" t="s">
        <v>1139</v>
      </c>
      <c r="R60" s="18" t="s">
        <v>1140</v>
      </c>
      <c r="S60" s="18">
        <v>3287</v>
      </c>
      <c r="T60" s="18">
        <v>575225</v>
      </c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</row>
    <row r="61" spans="6:39" x14ac:dyDescent="0.35">
      <c r="F61" s="18" t="s">
        <v>1109</v>
      </c>
      <c r="G61" s="19">
        <v>46206</v>
      </c>
      <c r="H61" s="18" t="s">
        <v>1159</v>
      </c>
      <c r="I61" s="18" t="s">
        <v>1110</v>
      </c>
      <c r="J61" s="18">
        <v>904</v>
      </c>
      <c r="K61" s="18" t="s">
        <v>1121</v>
      </c>
      <c r="L61" s="18" t="s">
        <v>5614</v>
      </c>
      <c r="M61" s="19">
        <v>46206</v>
      </c>
      <c r="N61" s="18" t="s">
        <v>1122</v>
      </c>
      <c r="O61" s="18" t="s">
        <v>1123</v>
      </c>
      <c r="P61" s="18" t="s">
        <v>1124</v>
      </c>
      <c r="Q61" s="18" t="s">
        <v>1125</v>
      </c>
      <c r="R61" s="18" t="s">
        <v>1126</v>
      </c>
      <c r="S61" s="18">
        <v>72</v>
      </c>
      <c r="T61" s="18">
        <v>3456</v>
      </c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</row>
    <row r="62" spans="6:39" x14ac:dyDescent="0.35">
      <c r="F62" s="18" t="s">
        <v>1109</v>
      </c>
      <c r="G62" s="19">
        <v>46206</v>
      </c>
      <c r="H62" s="18" t="s">
        <v>3790</v>
      </c>
      <c r="I62" s="18" t="s">
        <v>1110</v>
      </c>
      <c r="J62" s="18">
        <v>893</v>
      </c>
      <c r="K62" s="18" t="s">
        <v>1111</v>
      </c>
      <c r="L62" s="18" t="s">
        <v>5615</v>
      </c>
      <c r="M62" s="19">
        <v>46206</v>
      </c>
      <c r="N62" s="18" t="s">
        <v>1112</v>
      </c>
      <c r="O62" s="18" t="s">
        <v>1117</v>
      </c>
      <c r="P62" s="18" t="s">
        <v>1118</v>
      </c>
      <c r="Q62" s="18" t="s">
        <v>1119</v>
      </c>
      <c r="R62" s="18" t="s">
        <v>1120</v>
      </c>
      <c r="S62" s="18">
        <v>3472</v>
      </c>
      <c r="T62" s="18">
        <v>519897.28</v>
      </c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</row>
    <row r="63" spans="6:39" x14ac:dyDescent="0.35">
      <c r="F63" s="18" t="s">
        <v>1109</v>
      </c>
      <c r="G63" s="19">
        <v>46206</v>
      </c>
      <c r="H63" s="18" t="s">
        <v>3790</v>
      </c>
      <c r="I63" s="18" t="s">
        <v>1110</v>
      </c>
      <c r="J63" s="18">
        <v>893</v>
      </c>
      <c r="K63" s="18" t="s">
        <v>1111</v>
      </c>
      <c r="L63" s="18" t="s">
        <v>5615</v>
      </c>
      <c r="M63" s="19">
        <v>46206</v>
      </c>
      <c r="N63" s="18" t="s">
        <v>1112</v>
      </c>
      <c r="O63" s="18" t="s">
        <v>1117</v>
      </c>
      <c r="P63" s="18" t="s">
        <v>1118</v>
      </c>
      <c r="Q63" s="18" t="s">
        <v>1119</v>
      </c>
      <c r="R63" s="18" t="s">
        <v>1120</v>
      </c>
      <c r="S63" s="18">
        <v>3429</v>
      </c>
      <c r="T63" s="18">
        <v>506600.46</v>
      </c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</row>
    <row r="64" spans="6:39" x14ac:dyDescent="0.35">
      <c r="F64" s="18" t="s">
        <v>1109</v>
      </c>
      <c r="G64" s="19">
        <v>46206</v>
      </c>
      <c r="H64" s="18" t="s">
        <v>3790</v>
      </c>
      <c r="I64" s="18" t="s">
        <v>1110</v>
      </c>
      <c r="J64" s="18">
        <v>893</v>
      </c>
      <c r="K64" s="18" t="s">
        <v>1111</v>
      </c>
      <c r="L64" s="18" t="s">
        <v>5615</v>
      </c>
      <c r="M64" s="19">
        <v>46206</v>
      </c>
      <c r="N64" s="18" t="s">
        <v>1112</v>
      </c>
      <c r="O64" s="18" t="s">
        <v>1117</v>
      </c>
      <c r="P64" s="18" t="s">
        <v>1118</v>
      </c>
      <c r="Q64" s="18" t="s">
        <v>1119</v>
      </c>
      <c r="R64" s="18" t="s">
        <v>1120</v>
      </c>
      <c r="S64" s="18">
        <v>554</v>
      </c>
      <c r="T64" s="18">
        <v>83509.960000000006</v>
      </c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</row>
    <row r="65" spans="6:39" x14ac:dyDescent="0.35">
      <c r="F65" s="18" t="s">
        <v>1109</v>
      </c>
      <c r="G65" s="19">
        <v>46206</v>
      </c>
      <c r="H65" s="18" t="s">
        <v>3790</v>
      </c>
      <c r="I65" s="18" t="s">
        <v>1110</v>
      </c>
      <c r="J65" s="18">
        <v>895</v>
      </c>
      <c r="K65" s="18" t="s">
        <v>1121</v>
      </c>
      <c r="L65" s="18" t="s">
        <v>5616</v>
      </c>
      <c r="M65" s="19">
        <v>46206</v>
      </c>
      <c r="N65" s="18" t="s">
        <v>1122</v>
      </c>
      <c r="O65" s="18" t="s">
        <v>1123</v>
      </c>
      <c r="P65" s="18" t="s">
        <v>1124</v>
      </c>
      <c r="Q65" s="18" t="s">
        <v>1125</v>
      </c>
      <c r="R65" s="18" t="s">
        <v>1126</v>
      </c>
      <c r="S65" s="18">
        <v>205</v>
      </c>
      <c r="T65" s="18">
        <v>9840</v>
      </c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</row>
    <row r="66" spans="6:39" x14ac:dyDescent="0.35">
      <c r="F66" s="18" t="s">
        <v>1109</v>
      </c>
      <c r="G66" s="19">
        <v>46206</v>
      </c>
      <c r="H66" s="18" t="s">
        <v>3790</v>
      </c>
      <c r="I66" s="18" t="s">
        <v>1110</v>
      </c>
      <c r="J66" s="18">
        <v>896</v>
      </c>
      <c r="K66" s="18" t="s">
        <v>1111</v>
      </c>
      <c r="L66" s="18" t="s">
        <v>5617</v>
      </c>
      <c r="M66" s="19">
        <v>46206</v>
      </c>
      <c r="N66" s="18" t="s">
        <v>1112</v>
      </c>
      <c r="O66" s="18" t="s">
        <v>1127</v>
      </c>
      <c r="P66" s="18" t="s">
        <v>1128</v>
      </c>
      <c r="Q66" s="18" t="s">
        <v>1129</v>
      </c>
      <c r="R66" s="18" t="s">
        <v>1130</v>
      </c>
      <c r="S66" s="18">
        <v>1730</v>
      </c>
      <c r="T66" s="18">
        <v>320309.5</v>
      </c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</row>
    <row r="67" spans="6:39" x14ac:dyDescent="0.35">
      <c r="F67" s="18" t="s">
        <v>1109</v>
      </c>
      <c r="G67" s="19">
        <v>46206</v>
      </c>
      <c r="H67" s="18" t="s">
        <v>3790</v>
      </c>
      <c r="I67" s="18" t="s">
        <v>1110</v>
      </c>
      <c r="J67" s="18">
        <v>896</v>
      </c>
      <c r="K67" s="18" t="s">
        <v>1111</v>
      </c>
      <c r="L67" s="18" t="s">
        <v>5617</v>
      </c>
      <c r="M67" s="19">
        <v>46206</v>
      </c>
      <c r="N67" s="18" t="s">
        <v>1112</v>
      </c>
      <c r="O67" s="18" t="s">
        <v>1127</v>
      </c>
      <c r="P67" s="18" t="s">
        <v>1128</v>
      </c>
      <c r="Q67" s="18" t="s">
        <v>1129</v>
      </c>
      <c r="R67" s="18" t="s">
        <v>1130</v>
      </c>
      <c r="S67" s="18">
        <v>3398</v>
      </c>
      <c r="T67" s="18">
        <v>615547.69999999995</v>
      </c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</row>
    <row r="68" spans="6:39" x14ac:dyDescent="0.35">
      <c r="F68" s="18" t="s">
        <v>1109</v>
      </c>
      <c r="G68" s="19">
        <v>46206</v>
      </c>
      <c r="H68" s="18" t="s">
        <v>3790</v>
      </c>
      <c r="I68" s="18" t="s">
        <v>1110</v>
      </c>
      <c r="J68" s="18">
        <v>896</v>
      </c>
      <c r="K68" s="18" t="s">
        <v>1111</v>
      </c>
      <c r="L68" s="18" t="s">
        <v>5617</v>
      </c>
      <c r="M68" s="19">
        <v>46206</v>
      </c>
      <c r="N68" s="18" t="s">
        <v>1112</v>
      </c>
      <c r="O68" s="18" t="s">
        <v>1117</v>
      </c>
      <c r="P68" s="18" t="s">
        <v>1118</v>
      </c>
      <c r="Q68" s="18" t="s">
        <v>1119</v>
      </c>
      <c r="R68" s="18" t="s">
        <v>1120</v>
      </c>
      <c r="S68" s="18">
        <v>1648</v>
      </c>
      <c r="T68" s="18">
        <v>243475.52</v>
      </c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</row>
    <row r="69" spans="6:39" x14ac:dyDescent="0.35">
      <c r="F69" s="18" t="s">
        <v>1109</v>
      </c>
      <c r="G69" s="19">
        <v>46206</v>
      </c>
      <c r="H69" s="18" t="s">
        <v>3790</v>
      </c>
      <c r="I69" s="18" t="s">
        <v>1110</v>
      </c>
      <c r="J69" s="18">
        <v>896</v>
      </c>
      <c r="K69" s="18" t="s">
        <v>1111</v>
      </c>
      <c r="L69" s="18" t="s">
        <v>5617</v>
      </c>
      <c r="M69" s="19">
        <v>46206</v>
      </c>
      <c r="N69" s="18" t="s">
        <v>1112</v>
      </c>
      <c r="O69" s="18" t="s">
        <v>1131</v>
      </c>
      <c r="P69" s="18" t="s">
        <v>1132</v>
      </c>
      <c r="Q69" s="18" t="s">
        <v>1132</v>
      </c>
      <c r="R69" s="18" t="s">
        <v>1131</v>
      </c>
      <c r="S69" s="18">
        <v>1499.6</v>
      </c>
      <c r="T69" s="18">
        <v>229048.9</v>
      </c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</row>
    <row r="70" spans="6:39" x14ac:dyDescent="0.35">
      <c r="F70" s="18" t="s">
        <v>1109</v>
      </c>
      <c r="G70" s="19">
        <v>46206</v>
      </c>
      <c r="H70" s="18" t="s">
        <v>3790</v>
      </c>
      <c r="I70" s="18" t="s">
        <v>1110</v>
      </c>
      <c r="J70" s="18">
        <v>896</v>
      </c>
      <c r="K70" s="18" t="s">
        <v>1111</v>
      </c>
      <c r="L70" s="18" t="s">
        <v>5617</v>
      </c>
      <c r="M70" s="19">
        <v>46206</v>
      </c>
      <c r="N70" s="18" t="s">
        <v>1112</v>
      </c>
      <c r="O70" s="18" t="s">
        <v>1131</v>
      </c>
      <c r="P70" s="18" t="s">
        <v>1132</v>
      </c>
      <c r="Q70" s="18" t="s">
        <v>1132</v>
      </c>
      <c r="R70" s="18" t="s">
        <v>1131</v>
      </c>
      <c r="S70" s="18">
        <v>192.1</v>
      </c>
      <c r="T70" s="18">
        <v>28765.05</v>
      </c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</row>
    <row r="71" spans="6:39" x14ac:dyDescent="0.35">
      <c r="F71" s="18" t="s">
        <v>1109</v>
      </c>
      <c r="G71" s="19">
        <v>46206</v>
      </c>
      <c r="H71" s="18" t="s">
        <v>3790</v>
      </c>
      <c r="I71" s="18" t="s">
        <v>1110</v>
      </c>
      <c r="J71" s="18">
        <v>898</v>
      </c>
      <c r="K71" s="18" t="s">
        <v>1111</v>
      </c>
      <c r="L71" s="18" t="s">
        <v>5618</v>
      </c>
      <c r="M71" s="19">
        <v>46206</v>
      </c>
      <c r="N71" s="18" t="s">
        <v>1146</v>
      </c>
      <c r="O71" s="18" t="s">
        <v>1179</v>
      </c>
      <c r="P71" s="18" t="s">
        <v>1179</v>
      </c>
      <c r="Q71" s="18" t="s">
        <v>1119</v>
      </c>
      <c r="R71" s="18" t="s">
        <v>1179</v>
      </c>
      <c r="S71" s="18">
        <v>250</v>
      </c>
      <c r="T71" s="18">
        <v>39435</v>
      </c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</row>
    <row r="72" spans="6:39" x14ac:dyDescent="0.35">
      <c r="F72" s="18" t="s">
        <v>1109</v>
      </c>
      <c r="G72" s="19">
        <v>46206</v>
      </c>
      <c r="H72" s="18" t="s">
        <v>3790</v>
      </c>
      <c r="I72" s="18" t="s">
        <v>1110</v>
      </c>
      <c r="J72" s="18">
        <v>898</v>
      </c>
      <c r="K72" s="18" t="s">
        <v>1111</v>
      </c>
      <c r="L72" s="18" t="s">
        <v>5618</v>
      </c>
      <c r="M72" s="19">
        <v>46206</v>
      </c>
      <c r="N72" s="18" t="s">
        <v>1146</v>
      </c>
      <c r="O72" s="18" t="s">
        <v>1179</v>
      </c>
      <c r="P72" s="18" t="s">
        <v>1179</v>
      </c>
      <c r="Q72" s="18" t="s">
        <v>1139</v>
      </c>
      <c r="R72" s="18" t="s">
        <v>1179</v>
      </c>
      <c r="S72" s="18">
        <v>123</v>
      </c>
      <c r="T72" s="18">
        <v>19648.02</v>
      </c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</row>
    <row r="73" spans="6:39" x14ac:dyDescent="0.35">
      <c r="F73" s="18" t="s">
        <v>1109</v>
      </c>
      <c r="G73" s="19">
        <v>46206</v>
      </c>
      <c r="H73" s="18" t="s">
        <v>3790</v>
      </c>
      <c r="I73" s="18" t="s">
        <v>1110</v>
      </c>
      <c r="J73" s="18">
        <v>898</v>
      </c>
      <c r="K73" s="18" t="s">
        <v>1111</v>
      </c>
      <c r="L73" s="18" t="s">
        <v>5618</v>
      </c>
      <c r="M73" s="19">
        <v>46206</v>
      </c>
      <c r="N73" s="18" t="s">
        <v>1112</v>
      </c>
      <c r="O73" s="18" t="s">
        <v>1117</v>
      </c>
      <c r="P73" s="18" t="s">
        <v>1118</v>
      </c>
      <c r="Q73" s="18" t="s">
        <v>1119</v>
      </c>
      <c r="R73" s="18" t="s">
        <v>1120</v>
      </c>
      <c r="S73" s="18">
        <v>992</v>
      </c>
      <c r="T73" s="18">
        <v>148542.07999999999</v>
      </c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</row>
    <row r="74" spans="6:39" x14ac:dyDescent="0.35">
      <c r="F74" s="18" t="s">
        <v>1109</v>
      </c>
      <c r="G74" s="19">
        <v>46206</v>
      </c>
      <c r="H74" s="18" t="s">
        <v>3790</v>
      </c>
      <c r="I74" s="18" t="s">
        <v>1110</v>
      </c>
      <c r="J74" s="18">
        <v>898</v>
      </c>
      <c r="K74" s="18" t="s">
        <v>1111</v>
      </c>
      <c r="L74" s="18" t="s">
        <v>5618</v>
      </c>
      <c r="M74" s="19">
        <v>46206</v>
      </c>
      <c r="N74" s="18" t="s">
        <v>1112</v>
      </c>
      <c r="O74" s="18" t="s">
        <v>1117</v>
      </c>
      <c r="P74" s="18" t="s">
        <v>1138</v>
      </c>
      <c r="Q74" s="18" t="s">
        <v>1139</v>
      </c>
      <c r="R74" s="18" t="s">
        <v>1140</v>
      </c>
      <c r="S74" s="18">
        <v>282</v>
      </c>
      <c r="T74" s="18">
        <v>42226.68</v>
      </c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</row>
    <row r="75" spans="6:39" x14ac:dyDescent="0.35">
      <c r="F75" s="18" t="s">
        <v>1109</v>
      </c>
      <c r="G75" s="19">
        <v>46206</v>
      </c>
      <c r="H75" s="18" t="s">
        <v>125</v>
      </c>
      <c r="I75" s="18" t="s">
        <v>1110</v>
      </c>
      <c r="J75" s="18">
        <v>897</v>
      </c>
      <c r="K75" s="18" t="s">
        <v>1111</v>
      </c>
      <c r="L75" s="18" t="s">
        <v>5461</v>
      </c>
      <c r="M75" s="19">
        <v>46206</v>
      </c>
      <c r="N75" s="18" t="s">
        <v>1112</v>
      </c>
      <c r="O75" s="18" t="s">
        <v>1117</v>
      </c>
      <c r="P75" s="18" t="s">
        <v>1118</v>
      </c>
      <c r="Q75" s="18" t="s">
        <v>1119</v>
      </c>
      <c r="R75" s="18" t="s">
        <v>1120</v>
      </c>
      <c r="S75" s="18">
        <v>378</v>
      </c>
      <c r="T75" s="18">
        <v>55845.72</v>
      </c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</row>
    <row r="76" spans="6:39" x14ac:dyDescent="0.35">
      <c r="F76" s="18" t="s">
        <v>1109</v>
      </c>
      <c r="G76" s="19">
        <v>46206</v>
      </c>
      <c r="H76" s="18" t="s">
        <v>125</v>
      </c>
      <c r="I76" s="18" t="s">
        <v>1110</v>
      </c>
      <c r="J76" s="18">
        <v>899</v>
      </c>
      <c r="K76" s="18" t="s">
        <v>1121</v>
      </c>
      <c r="L76" s="18" t="s">
        <v>5462</v>
      </c>
      <c r="M76" s="19">
        <v>46206</v>
      </c>
      <c r="N76" s="18" t="s">
        <v>1122</v>
      </c>
      <c r="O76" s="18" t="s">
        <v>1123</v>
      </c>
      <c r="P76" s="18" t="s">
        <v>1124</v>
      </c>
      <c r="Q76" s="18" t="s">
        <v>1125</v>
      </c>
      <c r="R76" s="18" t="s">
        <v>1126</v>
      </c>
      <c r="S76" s="18">
        <v>23</v>
      </c>
      <c r="T76" s="18">
        <v>1104</v>
      </c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</row>
    <row r="77" spans="6:39" x14ac:dyDescent="0.35">
      <c r="F77" s="18" t="s">
        <v>1109</v>
      </c>
      <c r="G77" s="19">
        <v>46206</v>
      </c>
      <c r="H77" s="18" t="s">
        <v>125</v>
      </c>
      <c r="I77" s="18" t="s">
        <v>1110</v>
      </c>
      <c r="J77" s="18">
        <v>900</v>
      </c>
      <c r="K77" s="18" t="s">
        <v>1111</v>
      </c>
      <c r="L77" s="18" t="s">
        <v>5463</v>
      </c>
      <c r="M77" s="19">
        <v>46206</v>
      </c>
      <c r="N77" s="18" t="s">
        <v>1112</v>
      </c>
      <c r="O77" s="18" t="s">
        <v>1113</v>
      </c>
      <c r="P77" s="18" t="s">
        <v>1114</v>
      </c>
      <c r="Q77" s="18" t="s">
        <v>1115</v>
      </c>
      <c r="R77" s="18" t="s">
        <v>1144</v>
      </c>
      <c r="S77" s="18">
        <v>66.400000000000006</v>
      </c>
      <c r="T77" s="18">
        <v>10905.54</v>
      </c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</row>
    <row r="78" spans="6:39" x14ac:dyDescent="0.35">
      <c r="F78" s="18" t="s">
        <v>1109</v>
      </c>
      <c r="G78" s="19">
        <v>46206</v>
      </c>
      <c r="H78" s="18" t="s">
        <v>125</v>
      </c>
      <c r="I78" s="18" t="s">
        <v>1110</v>
      </c>
      <c r="J78" s="18">
        <v>900</v>
      </c>
      <c r="K78" s="18" t="s">
        <v>1111</v>
      </c>
      <c r="L78" s="18" t="s">
        <v>5463</v>
      </c>
      <c r="M78" s="19">
        <v>46206</v>
      </c>
      <c r="N78" s="18" t="s">
        <v>1112</v>
      </c>
      <c r="O78" s="18" t="s">
        <v>1131</v>
      </c>
      <c r="P78" s="18" t="s">
        <v>1132</v>
      </c>
      <c r="Q78" s="18" t="s">
        <v>1132</v>
      </c>
      <c r="R78" s="18" t="s">
        <v>1131</v>
      </c>
      <c r="S78" s="18">
        <v>72.599999999999994</v>
      </c>
      <c r="T78" s="18">
        <v>10871.12</v>
      </c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</row>
    <row r="79" spans="6:39" x14ac:dyDescent="0.35">
      <c r="F79" s="18" t="s">
        <v>1109</v>
      </c>
      <c r="G79" s="19">
        <v>46206</v>
      </c>
      <c r="H79" s="18" t="s">
        <v>125</v>
      </c>
      <c r="I79" s="18" t="s">
        <v>1110</v>
      </c>
      <c r="J79" s="18">
        <v>900</v>
      </c>
      <c r="K79" s="18" t="s">
        <v>1111</v>
      </c>
      <c r="L79" s="18" t="s">
        <v>5463</v>
      </c>
      <c r="M79" s="19">
        <v>46206</v>
      </c>
      <c r="N79" s="18" t="s">
        <v>1112</v>
      </c>
      <c r="O79" s="18" t="s">
        <v>1131</v>
      </c>
      <c r="P79" s="18" t="s">
        <v>1132</v>
      </c>
      <c r="Q79" s="18" t="s">
        <v>1132</v>
      </c>
      <c r="R79" s="18" t="s">
        <v>1131</v>
      </c>
      <c r="S79" s="18">
        <v>59.6</v>
      </c>
      <c r="T79" s="18">
        <v>9103.2999999999993</v>
      </c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</row>
    <row r="80" spans="6:39" x14ac:dyDescent="0.35">
      <c r="F80" s="18" t="s">
        <v>1109</v>
      </c>
      <c r="G80" s="19">
        <v>46206</v>
      </c>
      <c r="H80" s="18" t="s">
        <v>125</v>
      </c>
      <c r="I80" s="18" t="s">
        <v>1110</v>
      </c>
      <c r="J80" s="18">
        <v>900</v>
      </c>
      <c r="K80" s="18" t="s">
        <v>1111</v>
      </c>
      <c r="L80" s="18" t="s">
        <v>5463</v>
      </c>
      <c r="M80" s="19">
        <v>46206</v>
      </c>
      <c r="N80" s="18" t="s">
        <v>1112</v>
      </c>
      <c r="O80" s="18" t="s">
        <v>1127</v>
      </c>
      <c r="P80" s="18" t="s">
        <v>1128</v>
      </c>
      <c r="Q80" s="18" t="s">
        <v>1129</v>
      </c>
      <c r="R80" s="18" t="s">
        <v>1130</v>
      </c>
      <c r="S80" s="18">
        <v>1485.8</v>
      </c>
      <c r="T80" s="18">
        <v>269152.67</v>
      </c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</row>
    <row r="81" spans="6:39" x14ac:dyDescent="0.35">
      <c r="F81" s="18" t="s">
        <v>1109</v>
      </c>
      <c r="G81" s="19">
        <v>46206</v>
      </c>
      <c r="H81" s="18" t="s">
        <v>125</v>
      </c>
      <c r="I81" s="18" t="s">
        <v>1110</v>
      </c>
      <c r="J81" s="18">
        <v>900</v>
      </c>
      <c r="K81" s="18" t="s">
        <v>1111</v>
      </c>
      <c r="L81" s="18" t="s">
        <v>5463</v>
      </c>
      <c r="M81" s="19">
        <v>46206</v>
      </c>
      <c r="N81" s="18" t="s">
        <v>1112</v>
      </c>
      <c r="O81" s="18" t="s">
        <v>1127</v>
      </c>
      <c r="P81" s="18" t="s">
        <v>1128</v>
      </c>
      <c r="Q81" s="18" t="s">
        <v>1129</v>
      </c>
      <c r="R81" s="18" t="s">
        <v>1130</v>
      </c>
      <c r="S81" s="18">
        <v>1447.9</v>
      </c>
      <c r="T81" s="18">
        <v>297036.69</v>
      </c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</row>
    <row r="82" spans="6:39" x14ac:dyDescent="0.35">
      <c r="F82" s="18" t="s">
        <v>1109</v>
      </c>
      <c r="G82" s="19">
        <v>46206</v>
      </c>
      <c r="H82" s="18" t="s">
        <v>125</v>
      </c>
      <c r="I82" s="18" t="s">
        <v>1110</v>
      </c>
      <c r="J82" s="18">
        <v>900</v>
      </c>
      <c r="K82" s="18" t="s">
        <v>1111</v>
      </c>
      <c r="L82" s="18" t="s">
        <v>5463</v>
      </c>
      <c r="M82" s="19">
        <v>46206</v>
      </c>
      <c r="N82" s="18" t="s">
        <v>1112</v>
      </c>
      <c r="O82" s="18" t="s">
        <v>1127</v>
      </c>
      <c r="P82" s="18" t="s">
        <v>1128</v>
      </c>
      <c r="Q82" s="18" t="s">
        <v>1129</v>
      </c>
      <c r="R82" s="18" t="s">
        <v>1130</v>
      </c>
      <c r="S82" s="18">
        <v>585</v>
      </c>
      <c r="T82" s="18">
        <v>117672.75</v>
      </c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</row>
    <row r="83" spans="6:39" x14ac:dyDescent="0.35">
      <c r="F83" s="18" t="s">
        <v>1109</v>
      </c>
      <c r="G83" s="19">
        <v>46206</v>
      </c>
      <c r="H83" s="18" t="s">
        <v>125</v>
      </c>
      <c r="I83" s="18" t="s">
        <v>1110</v>
      </c>
      <c r="J83" s="18">
        <v>900</v>
      </c>
      <c r="K83" s="18" t="s">
        <v>1111</v>
      </c>
      <c r="L83" s="18" t="s">
        <v>5463</v>
      </c>
      <c r="M83" s="19">
        <v>46206</v>
      </c>
      <c r="N83" s="18" t="s">
        <v>1112</v>
      </c>
      <c r="O83" s="18" t="s">
        <v>1117</v>
      </c>
      <c r="P83" s="18" t="s">
        <v>1118</v>
      </c>
      <c r="Q83" s="18" t="s">
        <v>1119</v>
      </c>
      <c r="R83" s="18" t="s">
        <v>1120</v>
      </c>
      <c r="S83" s="18">
        <v>644</v>
      </c>
      <c r="T83" s="18">
        <v>98364.56</v>
      </c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</row>
    <row r="84" spans="6:39" x14ac:dyDescent="0.35">
      <c r="F84" s="18" t="s">
        <v>1109</v>
      </c>
      <c r="G84" s="19">
        <v>46206</v>
      </c>
      <c r="H84" s="18" t="s">
        <v>125</v>
      </c>
      <c r="I84" s="18" t="s">
        <v>1110</v>
      </c>
      <c r="J84" s="18">
        <v>901</v>
      </c>
      <c r="K84" s="18" t="s">
        <v>1121</v>
      </c>
      <c r="L84" s="18" t="s">
        <v>5464</v>
      </c>
      <c r="M84" s="19">
        <v>46206</v>
      </c>
      <c r="N84" s="18" t="s">
        <v>1122</v>
      </c>
      <c r="O84" s="18" t="s">
        <v>1123</v>
      </c>
      <c r="P84" s="18" t="s">
        <v>1124</v>
      </c>
      <c r="Q84" s="18" t="s">
        <v>1125</v>
      </c>
      <c r="R84" s="18" t="s">
        <v>1126</v>
      </c>
      <c r="S84" s="18">
        <v>60</v>
      </c>
      <c r="T84" s="18">
        <v>2880</v>
      </c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</row>
    <row r="85" spans="6:39" x14ac:dyDescent="0.35">
      <c r="F85" s="18" t="s">
        <v>1109</v>
      </c>
      <c r="G85" s="19">
        <v>46206</v>
      </c>
      <c r="H85" s="18" t="s">
        <v>125</v>
      </c>
      <c r="I85" s="18" t="s">
        <v>1110</v>
      </c>
      <c r="J85" s="18">
        <v>902</v>
      </c>
      <c r="K85" s="18" t="s">
        <v>1111</v>
      </c>
      <c r="L85" s="18" t="s">
        <v>5465</v>
      </c>
      <c r="M85" s="19">
        <v>46206</v>
      </c>
      <c r="N85" s="18" t="s">
        <v>1112</v>
      </c>
      <c r="O85" s="18" t="s">
        <v>1117</v>
      </c>
      <c r="P85" s="18" t="s">
        <v>1138</v>
      </c>
      <c r="Q85" s="18" t="s">
        <v>1139</v>
      </c>
      <c r="R85" s="18" t="s">
        <v>1140</v>
      </c>
      <c r="S85" s="18">
        <v>1928</v>
      </c>
      <c r="T85" s="18">
        <v>298338.71999999997</v>
      </c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</row>
    <row r="86" spans="6:39" x14ac:dyDescent="0.35">
      <c r="F86" s="18" t="s">
        <v>1109</v>
      </c>
      <c r="G86" s="19">
        <v>46206</v>
      </c>
      <c r="H86" s="18" t="s">
        <v>125</v>
      </c>
      <c r="I86" s="18" t="s">
        <v>1110</v>
      </c>
      <c r="J86" s="18">
        <v>902</v>
      </c>
      <c r="K86" s="18" t="s">
        <v>1111</v>
      </c>
      <c r="L86" s="18" t="s">
        <v>5465</v>
      </c>
      <c r="M86" s="19">
        <v>46206</v>
      </c>
      <c r="N86" s="18" t="s">
        <v>1112</v>
      </c>
      <c r="O86" s="18" t="s">
        <v>1113</v>
      </c>
      <c r="P86" s="18" t="s">
        <v>1114</v>
      </c>
      <c r="Q86" s="18" t="s">
        <v>1115</v>
      </c>
      <c r="R86" s="18" t="s">
        <v>1116</v>
      </c>
      <c r="S86" s="18">
        <v>445.7</v>
      </c>
      <c r="T86" s="18">
        <v>71196.12</v>
      </c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</row>
    <row r="87" spans="6:39" x14ac:dyDescent="0.35">
      <c r="F87" s="18" t="s">
        <v>1109</v>
      </c>
      <c r="G87" s="19">
        <v>46206</v>
      </c>
      <c r="H87" s="18" t="s">
        <v>125</v>
      </c>
      <c r="I87" s="18" t="s">
        <v>1110</v>
      </c>
      <c r="J87" s="18">
        <v>902</v>
      </c>
      <c r="K87" s="18" t="s">
        <v>1111</v>
      </c>
      <c r="L87" s="18" t="s">
        <v>5465</v>
      </c>
      <c r="M87" s="19">
        <v>46206</v>
      </c>
      <c r="N87" s="18" t="s">
        <v>1112</v>
      </c>
      <c r="O87" s="18" t="s">
        <v>1113</v>
      </c>
      <c r="P87" s="18" t="s">
        <v>1114</v>
      </c>
      <c r="Q87" s="18" t="s">
        <v>1115</v>
      </c>
      <c r="R87" s="18" t="s">
        <v>1161</v>
      </c>
      <c r="S87" s="18">
        <v>878.3</v>
      </c>
      <c r="T87" s="18">
        <v>140299.64000000001</v>
      </c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</row>
    <row r="88" spans="6:39" x14ac:dyDescent="0.35">
      <c r="F88" s="18" t="s">
        <v>1109</v>
      </c>
      <c r="G88" s="19">
        <v>46207</v>
      </c>
      <c r="H88" s="18" t="s">
        <v>3790</v>
      </c>
      <c r="I88" s="18" t="s">
        <v>1110</v>
      </c>
      <c r="J88" s="18">
        <v>905</v>
      </c>
      <c r="K88" s="18" t="s">
        <v>1111</v>
      </c>
      <c r="L88" s="18" t="s">
        <v>5619</v>
      </c>
      <c r="M88" s="19">
        <v>46207</v>
      </c>
      <c r="N88" s="18" t="s">
        <v>1112</v>
      </c>
      <c r="O88" s="18" t="s">
        <v>1117</v>
      </c>
      <c r="P88" s="18" t="s">
        <v>1118</v>
      </c>
      <c r="Q88" s="18" t="s">
        <v>1119</v>
      </c>
      <c r="R88" s="18" t="s">
        <v>1120</v>
      </c>
      <c r="S88" s="18">
        <v>2760</v>
      </c>
      <c r="T88" s="18">
        <v>413282.4</v>
      </c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</row>
    <row r="89" spans="6:39" x14ac:dyDescent="0.35">
      <c r="F89" s="18" t="s">
        <v>1109</v>
      </c>
      <c r="G89" s="19">
        <v>46207</v>
      </c>
      <c r="H89" s="18" t="s">
        <v>3790</v>
      </c>
      <c r="I89" s="18" t="s">
        <v>1110</v>
      </c>
      <c r="J89" s="18">
        <v>905</v>
      </c>
      <c r="K89" s="18" t="s">
        <v>1111</v>
      </c>
      <c r="L89" s="18" t="s">
        <v>5619</v>
      </c>
      <c r="M89" s="19">
        <v>46207</v>
      </c>
      <c r="N89" s="18" t="s">
        <v>1112</v>
      </c>
      <c r="O89" s="18" t="s">
        <v>1117</v>
      </c>
      <c r="P89" s="18" t="s">
        <v>1118</v>
      </c>
      <c r="Q89" s="18" t="s">
        <v>1119</v>
      </c>
      <c r="R89" s="18" t="s">
        <v>1120</v>
      </c>
      <c r="S89" s="18">
        <v>928</v>
      </c>
      <c r="T89" s="18">
        <v>139886.72</v>
      </c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</row>
    <row r="90" spans="6:39" x14ac:dyDescent="0.35">
      <c r="F90" s="18" t="s">
        <v>1109</v>
      </c>
      <c r="G90" s="19">
        <v>46207</v>
      </c>
      <c r="H90" s="18" t="s">
        <v>3790</v>
      </c>
      <c r="I90" s="18" t="s">
        <v>1110</v>
      </c>
      <c r="J90" s="18">
        <v>905</v>
      </c>
      <c r="K90" s="18" t="s">
        <v>1111</v>
      </c>
      <c r="L90" s="18" t="s">
        <v>5619</v>
      </c>
      <c r="M90" s="19">
        <v>46207</v>
      </c>
      <c r="N90" s="18" t="s">
        <v>1112</v>
      </c>
      <c r="O90" s="18" t="s">
        <v>1117</v>
      </c>
      <c r="P90" s="18" t="s">
        <v>1118</v>
      </c>
      <c r="Q90" s="18" t="s">
        <v>1119</v>
      </c>
      <c r="R90" s="18" t="s">
        <v>1120</v>
      </c>
      <c r="S90" s="18">
        <v>4252</v>
      </c>
      <c r="T90" s="18">
        <v>628190.48</v>
      </c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</row>
    <row r="91" spans="6:39" x14ac:dyDescent="0.35">
      <c r="F91" s="18" t="s">
        <v>1109</v>
      </c>
      <c r="G91" s="19">
        <v>46207</v>
      </c>
      <c r="H91" s="18" t="s">
        <v>3790</v>
      </c>
      <c r="I91" s="18" t="s">
        <v>1110</v>
      </c>
      <c r="J91" s="18">
        <v>905</v>
      </c>
      <c r="K91" s="18" t="s">
        <v>1111</v>
      </c>
      <c r="L91" s="18" t="s">
        <v>5619</v>
      </c>
      <c r="M91" s="19">
        <v>46207</v>
      </c>
      <c r="N91" s="18" t="s">
        <v>1112</v>
      </c>
      <c r="O91" s="18" t="s">
        <v>1117</v>
      </c>
      <c r="P91" s="18" t="s">
        <v>1138</v>
      </c>
      <c r="Q91" s="18" t="s">
        <v>1139</v>
      </c>
      <c r="R91" s="18" t="s">
        <v>1140</v>
      </c>
      <c r="S91" s="18">
        <v>373</v>
      </c>
      <c r="T91" s="18">
        <v>56599.02</v>
      </c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</row>
    <row r="92" spans="6:39" x14ac:dyDescent="0.35">
      <c r="F92" s="18" t="s">
        <v>1109</v>
      </c>
      <c r="G92" s="19">
        <v>46207</v>
      </c>
      <c r="H92" s="18" t="s">
        <v>3790</v>
      </c>
      <c r="I92" s="18" t="s">
        <v>1110</v>
      </c>
      <c r="J92" s="18">
        <v>906</v>
      </c>
      <c r="K92" s="18" t="s">
        <v>1111</v>
      </c>
      <c r="L92" s="18" t="s">
        <v>5620</v>
      </c>
      <c r="M92" s="19">
        <v>46207</v>
      </c>
      <c r="N92" s="18" t="s">
        <v>1112</v>
      </c>
      <c r="O92" s="18" t="s">
        <v>1117</v>
      </c>
      <c r="P92" s="18" t="s">
        <v>1138</v>
      </c>
      <c r="Q92" s="18" t="s">
        <v>1139</v>
      </c>
      <c r="R92" s="18" t="s">
        <v>1140</v>
      </c>
      <c r="S92" s="18">
        <v>508</v>
      </c>
      <c r="T92" s="18">
        <v>77083.92</v>
      </c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</row>
    <row r="93" spans="6:39" x14ac:dyDescent="0.35">
      <c r="F93" s="18" t="s">
        <v>1109</v>
      </c>
      <c r="G93" s="19">
        <v>46207</v>
      </c>
      <c r="H93" s="18" t="s">
        <v>3790</v>
      </c>
      <c r="I93" s="18" t="s">
        <v>1110</v>
      </c>
      <c r="J93" s="18">
        <v>906</v>
      </c>
      <c r="K93" s="18" t="s">
        <v>1111</v>
      </c>
      <c r="L93" s="18" t="s">
        <v>5620</v>
      </c>
      <c r="M93" s="19">
        <v>46207</v>
      </c>
      <c r="N93" s="18" t="s">
        <v>1112</v>
      </c>
      <c r="O93" s="18" t="s">
        <v>1131</v>
      </c>
      <c r="P93" s="18" t="s">
        <v>1132</v>
      </c>
      <c r="Q93" s="18" t="s">
        <v>1132</v>
      </c>
      <c r="R93" s="18" t="s">
        <v>1131</v>
      </c>
      <c r="S93" s="18">
        <v>13.4</v>
      </c>
      <c r="T93" s="18">
        <v>2328.12</v>
      </c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</row>
    <row r="94" spans="6:39" x14ac:dyDescent="0.35">
      <c r="F94" s="18" t="s">
        <v>1109</v>
      </c>
      <c r="G94" s="19">
        <v>46207</v>
      </c>
      <c r="H94" s="18" t="s">
        <v>3790</v>
      </c>
      <c r="I94" s="18" t="s">
        <v>1110</v>
      </c>
      <c r="J94" s="18">
        <v>906</v>
      </c>
      <c r="K94" s="18" t="s">
        <v>1111</v>
      </c>
      <c r="L94" s="18" t="s">
        <v>5620</v>
      </c>
      <c r="M94" s="19">
        <v>46207</v>
      </c>
      <c r="N94" s="18" t="s">
        <v>1112</v>
      </c>
      <c r="O94" s="18" t="s">
        <v>1131</v>
      </c>
      <c r="P94" s="18" t="s">
        <v>1132</v>
      </c>
      <c r="Q94" s="18" t="s">
        <v>1132</v>
      </c>
      <c r="R94" s="18" t="s">
        <v>1131</v>
      </c>
      <c r="S94" s="18">
        <v>320.39999999999998</v>
      </c>
      <c r="T94" s="18">
        <v>47976.7</v>
      </c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</row>
    <row r="95" spans="6:39" x14ac:dyDescent="0.35">
      <c r="F95" s="18" t="s">
        <v>1109</v>
      </c>
      <c r="G95" s="19">
        <v>46207</v>
      </c>
      <c r="H95" s="18" t="s">
        <v>3790</v>
      </c>
      <c r="I95" s="18" t="s">
        <v>1110</v>
      </c>
      <c r="J95" s="18">
        <v>906</v>
      </c>
      <c r="K95" s="18" t="s">
        <v>1111</v>
      </c>
      <c r="L95" s="18" t="s">
        <v>5620</v>
      </c>
      <c r="M95" s="19">
        <v>46207</v>
      </c>
      <c r="N95" s="18" t="s">
        <v>1112</v>
      </c>
      <c r="O95" s="18" t="s">
        <v>1131</v>
      </c>
      <c r="P95" s="18" t="s">
        <v>1132</v>
      </c>
      <c r="Q95" s="18" t="s">
        <v>1132</v>
      </c>
      <c r="R95" s="18" t="s">
        <v>1131</v>
      </c>
      <c r="S95" s="18">
        <v>2090.1</v>
      </c>
      <c r="T95" s="18">
        <v>319241.87</v>
      </c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</row>
    <row r="96" spans="6:39" x14ac:dyDescent="0.35">
      <c r="F96" s="18" t="s">
        <v>1109</v>
      </c>
      <c r="G96" s="19">
        <v>46207</v>
      </c>
      <c r="H96" s="18" t="s">
        <v>3790</v>
      </c>
      <c r="I96" s="18" t="s">
        <v>1110</v>
      </c>
      <c r="J96" s="18">
        <v>907</v>
      </c>
      <c r="K96" s="18" t="s">
        <v>1111</v>
      </c>
      <c r="L96" s="18" t="s">
        <v>5621</v>
      </c>
      <c r="M96" s="19">
        <v>46207</v>
      </c>
      <c r="N96" s="18" t="s">
        <v>1112</v>
      </c>
      <c r="O96" s="18" t="s">
        <v>1127</v>
      </c>
      <c r="P96" s="18" t="s">
        <v>1128</v>
      </c>
      <c r="Q96" s="18" t="s">
        <v>1129</v>
      </c>
      <c r="R96" s="18" t="s">
        <v>1130</v>
      </c>
      <c r="S96" s="18">
        <v>6269</v>
      </c>
      <c r="T96" s="18">
        <v>1135629.3500000001</v>
      </c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</row>
    <row r="97" spans="6:39" x14ac:dyDescent="0.35">
      <c r="F97" s="18" t="s">
        <v>1109</v>
      </c>
      <c r="G97" s="19">
        <v>46207</v>
      </c>
      <c r="H97" s="18" t="s">
        <v>3790</v>
      </c>
      <c r="I97" s="18" t="s">
        <v>1110</v>
      </c>
      <c r="J97" s="18">
        <v>907</v>
      </c>
      <c r="K97" s="18" t="s">
        <v>1111</v>
      </c>
      <c r="L97" s="18" t="s">
        <v>5621</v>
      </c>
      <c r="M97" s="19">
        <v>46207</v>
      </c>
      <c r="N97" s="18" t="s">
        <v>1112</v>
      </c>
      <c r="O97" s="18" t="s">
        <v>1127</v>
      </c>
      <c r="P97" s="18" t="s">
        <v>1128</v>
      </c>
      <c r="Q97" s="18" t="s">
        <v>1129</v>
      </c>
      <c r="R97" s="18" t="s">
        <v>1130</v>
      </c>
      <c r="S97" s="18">
        <v>675</v>
      </c>
      <c r="T97" s="18">
        <v>124976.25</v>
      </c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</row>
    <row r="98" spans="6:39" x14ac:dyDescent="0.35">
      <c r="F98" s="18" t="s">
        <v>1109</v>
      </c>
      <c r="G98" s="19">
        <v>46207</v>
      </c>
      <c r="H98" s="18" t="s">
        <v>3790</v>
      </c>
      <c r="I98" s="18" t="s">
        <v>1110</v>
      </c>
      <c r="J98" s="18">
        <v>908</v>
      </c>
      <c r="K98" s="18" t="s">
        <v>1111</v>
      </c>
      <c r="L98" s="18" t="s">
        <v>5622</v>
      </c>
      <c r="M98" s="19">
        <v>46207</v>
      </c>
      <c r="N98" s="18" t="s">
        <v>1112</v>
      </c>
      <c r="O98" s="18" t="s">
        <v>1117</v>
      </c>
      <c r="P98" s="18" t="s">
        <v>1118</v>
      </c>
      <c r="Q98" s="18" t="s">
        <v>1119</v>
      </c>
      <c r="R98" s="18" t="s">
        <v>1120</v>
      </c>
      <c r="S98" s="18">
        <v>601</v>
      </c>
      <c r="T98" s="18">
        <v>89993.74</v>
      </c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</row>
    <row r="99" spans="6:39" x14ac:dyDescent="0.35">
      <c r="F99" s="18" t="s">
        <v>1109</v>
      </c>
      <c r="G99" s="19">
        <v>46207</v>
      </c>
      <c r="H99" s="18" t="s">
        <v>5623</v>
      </c>
      <c r="I99" s="18" t="s">
        <v>1110</v>
      </c>
      <c r="J99" s="18">
        <v>914</v>
      </c>
      <c r="K99" s="18" t="s">
        <v>1121</v>
      </c>
      <c r="L99" s="18" t="s">
        <v>5624</v>
      </c>
      <c r="M99" s="19">
        <v>46207</v>
      </c>
      <c r="N99" s="18" t="s">
        <v>1122</v>
      </c>
      <c r="O99" s="18" t="s">
        <v>1123</v>
      </c>
      <c r="P99" s="18" t="s">
        <v>1124</v>
      </c>
      <c r="Q99" s="18" t="s">
        <v>1125</v>
      </c>
      <c r="R99" s="18" t="s">
        <v>1126</v>
      </c>
      <c r="S99" s="18">
        <v>234</v>
      </c>
      <c r="T99" s="18">
        <v>11232</v>
      </c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</row>
    <row r="100" spans="6:39" x14ac:dyDescent="0.35">
      <c r="F100" s="18" t="s">
        <v>1109</v>
      </c>
      <c r="G100" s="19">
        <v>46207</v>
      </c>
      <c r="H100" s="18" t="s">
        <v>5623</v>
      </c>
      <c r="I100" s="18" t="s">
        <v>1110</v>
      </c>
      <c r="J100" s="18">
        <v>915</v>
      </c>
      <c r="K100" s="18" t="s">
        <v>1111</v>
      </c>
      <c r="L100" s="18" t="s">
        <v>5625</v>
      </c>
      <c r="M100" s="19">
        <v>46207</v>
      </c>
      <c r="N100" s="18" t="s">
        <v>1112</v>
      </c>
      <c r="O100" s="18" t="s">
        <v>1117</v>
      </c>
      <c r="P100" s="18" t="s">
        <v>1118</v>
      </c>
      <c r="Q100" s="18" t="s">
        <v>1119</v>
      </c>
      <c r="R100" s="18" t="s">
        <v>1120</v>
      </c>
      <c r="S100" s="18">
        <v>563.20000000000005</v>
      </c>
      <c r="T100" s="18">
        <v>85882.37</v>
      </c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</row>
    <row r="101" spans="6:39" x14ac:dyDescent="0.35">
      <c r="F101" s="18" t="s">
        <v>1109</v>
      </c>
      <c r="G101" s="19">
        <v>46207</v>
      </c>
      <c r="H101" s="18" t="s">
        <v>5623</v>
      </c>
      <c r="I101" s="18" t="s">
        <v>1110</v>
      </c>
      <c r="J101" s="18">
        <v>915</v>
      </c>
      <c r="K101" s="18" t="s">
        <v>1111</v>
      </c>
      <c r="L101" s="18" t="s">
        <v>5625</v>
      </c>
      <c r="M101" s="19">
        <v>46207</v>
      </c>
      <c r="N101" s="18" t="s">
        <v>1112</v>
      </c>
      <c r="O101" s="18" t="s">
        <v>1117</v>
      </c>
      <c r="P101" s="18" t="s">
        <v>1118</v>
      </c>
      <c r="Q101" s="18" t="s">
        <v>1119</v>
      </c>
      <c r="R101" s="18" t="s">
        <v>1120</v>
      </c>
      <c r="S101" s="18">
        <v>2418.8000000000002</v>
      </c>
      <c r="T101" s="18">
        <v>378518.01</v>
      </c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</row>
    <row r="102" spans="6:39" x14ac:dyDescent="0.35">
      <c r="F102" s="18" t="s">
        <v>1109</v>
      </c>
      <c r="G102" s="19">
        <v>46207</v>
      </c>
      <c r="H102" s="18" t="s">
        <v>5623</v>
      </c>
      <c r="I102" s="18" t="s">
        <v>1110</v>
      </c>
      <c r="J102" s="18">
        <v>915</v>
      </c>
      <c r="K102" s="18" t="s">
        <v>1111</v>
      </c>
      <c r="L102" s="18" t="s">
        <v>5625</v>
      </c>
      <c r="M102" s="19">
        <v>46207</v>
      </c>
      <c r="N102" s="18" t="s">
        <v>1112</v>
      </c>
      <c r="O102" s="18" t="s">
        <v>1117</v>
      </c>
      <c r="P102" s="18" t="s">
        <v>1118</v>
      </c>
      <c r="Q102" s="18" t="s">
        <v>1119</v>
      </c>
      <c r="R102" s="18" t="s">
        <v>1120</v>
      </c>
      <c r="S102" s="18">
        <v>4416</v>
      </c>
      <c r="T102" s="18">
        <v>660147.84</v>
      </c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</row>
    <row r="103" spans="6:39" x14ac:dyDescent="0.35">
      <c r="F103" s="18" t="s">
        <v>1109</v>
      </c>
      <c r="G103" s="19">
        <v>46207</v>
      </c>
      <c r="H103" s="18" t="s">
        <v>5623</v>
      </c>
      <c r="I103" s="18" t="s">
        <v>1110</v>
      </c>
      <c r="J103" s="18">
        <v>915</v>
      </c>
      <c r="K103" s="18" t="s">
        <v>1111</v>
      </c>
      <c r="L103" s="18" t="s">
        <v>5625</v>
      </c>
      <c r="M103" s="19">
        <v>46207</v>
      </c>
      <c r="N103" s="18" t="s">
        <v>1146</v>
      </c>
      <c r="O103" s="18" t="s">
        <v>1179</v>
      </c>
      <c r="P103" s="18" t="s">
        <v>1179</v>
      </c>
      <c r="Q103" s="18" t="s">
        <v>1119</v>
      </c>
      <c r="R103" s="18" t="s">
        <v>1179</v>
      </c>
      <c r="S103" s="18">
        <v>59</v>
      </c>
      <c r="T103" s="18">
        <v>9114.91</v>
      </c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</row>
    <row r="104" spans="6:39" x14ac:dyDescent="0.35">
      <c r="F104" s="18" t="s">
        <v>1109</v>
      </c>
      <c r="G104" s="19">
        <v>46207</v>
      </c>
      <c r="H104" s="18" t="s">
        <v>5623</v>
      </c>
      <c r="I104" s="18" t="s">
        <v>1110</v>
      </c>
      <c r="J104" s="18">
        <v>915</v>
      </c>
      <c r="K104" s="18" t="s">
        <v>1111</v>
      </c>
      <c r="L104" s="18" t="s">
        <v>5625</v>
      </c>
      <c r="M104" s="19">
        <v>46207</v>
      </c>
      <c r="N104" s="18" t="s">
        <v>1112</v>
      </c>
      <c r="O104" s="18" t="s">
        <v>1117</v>
      </c>
      <c r="P104" s="18" t="s">
        <v>1138</v>
      </c>
      <c r="Q104" s="18" t="s">
        <v>1139</v>
      </c>
      <c r="R104" s="18" t="s">
        <v>1140</v>
      </c>
      <c r="S104" s="18">
        <v>992</v>
      </c>
      <c r="T104" s="18">
        <v>147302.07999999999</v>
      </c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</row>
    <row r="105" spans="6:39" x14ac:dyDescent="0.35">
      <c r="F105" s="18" t="s">
        <v>1109</v>
      </c>
      <c r="G105" s="19">
        <v>46207</v>
      </c>
      <c r="H105" s="18" t="s">
        <v>1135</v>
      </c>
      <c r="I105" s="18" t="s">
        <v>1136</v>
      </c>
      <c r="J105" s="18" t="s">
        <v>5626</v>
      </c>
      <c r="K105" s="18" t="s">
        <v>1137</v>
      </c>
      <c r="L105" s="18" t="s">
        <v>5626</v>
      </c>
      <c r="M105" s="19">
        <v>46207</v>
      </c>
      <c r="N105" s="18" t="s">
        <v>1112</v>
      </c>
      <c r="O105" s="18" t="s">
        <v>1117</v>
      </c>
      <c r="P105" s="18" t="s">
        <v>1118</v>
      </c>
      <c r="Q105" s="18" t="s">
        <v>1119</v>
      </c>
      <c r="R105" s="18" t="s">
        <v>1120</v>
      </c>
      <c r="S105" s="18">
        <v>2836.5</v>
      </c>
      <c r="T105" s="18">
        <v>394261.92</v>
      </c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</row>
    <row r="106" spans="6:39" x14ac:dyDescent="0.35">
      <c r="F106" s="18" t="s">
        <v>1109</v>
      </c>
      <c r="G106" s="19">
        <v>46207</v>
      </c>
      <c r="H106" s="18" t="s">
        <v>1135</v>
      </c>
      <c r="I106" s="18" t="s">
        <v>1136</v>
      </c>
      <c r="J106" s="18" t="s">
        <v>5627</v>
      </c>
      <c r="K106" s="18" t="s">
        <v>1137</v>
      </c>
      <c r="L106" s="18" t="s">
        <v>5627</v>
      </c>
      <c r="M106" s="19">
        <v>46207</v>
      </c>
      <c r="N106" s="18" t="s">
        <v>1112</v>
      </c>
      <c r="O106" s="18" t="s">
        <v>1153</v>
      </c>
      <c r="P106" s="18" t="s">
        <v>1154</v>
      </c>
      <c r="Q106" s="18" t="s">
        <v>1155</v>
      </c>
      <c r="R106" s="18" t="s">
        <v>1154</v>
      </c>
      <c r="S106" s="18">
        <v>1480</v>
      </c>
      <c r="T106" s="18">
        <v>203500.71299999999</v>
      </c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</row>
    <row r="107" spans="6:39" x14ac:dyDescent="0.35">
      <c r="F107" s="18" t="s">
        <v>1109</v>
      </c>
      <c r="G107" s="19">
        <v>46207</v>
      </c>
      <c r="H107" s="18" t="s">
        <v>1135</v>
      </c>
      <c r="I107" s="18" t="s">
        <v>1136</v>
      </c>
      <c r="J107" s="18" t="s">
        <v>5628</v>
      </c>
      <c r="K107" s="18" t="s">
        <v>1137</v>
      </c>
      <c r="L107" s="18" t="s">
        <v>5628</v>
      </c>
      <c r="M107" s="19">
        <v>46207</v>
      </c>
      <c r="N107" s="18" t="s">
        <v>1146</v>
      </c>
      <c r="O107" s="18" t="s">
        <v>1147</v>
      </c>
      <c r="P107" s="18" t="s">
        <v>1147</v>
      </c>
      <c r="Q107" s="18" t="s">
        <v>1148</v>
      </c>
      <c r="R107" s="18" t="s">
        <v>1169</v>
      </c>
      <c r="S107" s="18">
        <v>835</v>
      </c>
      <c r="T107" s="18">
        <v>208746.71999999997</v>
      </c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</row>
    <row r="108" spans="6:39" x14ac:dyDescent="0.35">
      <c r="F108" s="18" t="s">
        <v>1109</v>
      </c>
      <c r="G108" s="19">
        <v>46207</v>
      </c>
      <c r="H108" s="18" t="s">
        <v>1135</v>
      </c>
      <c r="I108" s="18" t="s">
        <v>1150</v>
      </c>
      <c r="J108" s="18" t="s">
        <v>5629</v>
      </c>
      <c r="K108" s="18" t="s">
        <v>3850</v>
      </c>
      <c r="L108" s="18" t="s">
        <v>5629</v>
      </c>
      <c r="M108" s="19">
        <v>46207</v>
      </c>
      <c r="N108" s="18" t="s">
        <v>1133</v>
      </c>
      <c r="O108" s="18" t="s">
        <v>1134</v>
      </c>
      <c r="P108" s="18" t="s">
        <v>1141</v>
      </c>
      <c r="Q108" s="18" t="s">
        <v>1142</v>
      </c>
      <c r="R108" s="18" t="s">
        <v>5605</v>
      </c>
      <c r="S108" s="18">
        <v>2000</v>
      </c>
      <c r="T108" s="18">
        <v>300000</v>
      </c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</row>
    <row r="109" spans="6:39" x14ac:dyDescent="0.35">
      <c r="F109" s="18" t="s">
        <v>1109</v>
      </c>
      <c r="G109" s="19">
        <v>46207</v>
      </c>
      <c r="H109" s="18" t="s">
        <v>1135</v>
      </c>
      <c r="I109" s="18" t="s">
        <v>1136</v>
      </c>
      <c r="J109" s="18" t="s">
        <v>5630</v>
      </c>
      <c r="K109" s="18" t="s">
        <v>1137</v>
      </c>
      <c r="L109" s="18" t="s">
        <v>5630</v>
      </c>
      <c r="M109" s="19">
        <v>46207</v>
      </c>
      <c r="N109" s="18" t="s">
        <v>1112</v>
      </c>
      <c r="O109" s="18" t="s">
        <v>1117</v>
      </c>
      <c r="P109" s="18" t="s">
        <v>1138</v>
      </c>
      <c r="Q109" s="18" t="s">
        <v>1139</v>
      </c>
      <c r="R109" s="18" t="s">
        <v>1140</v>
      </c>
      <c r="S109" s="18">
        <v>1207</v>
      </c>
      <c r="T109" s="18">
        <v>214881.27299999999</v>
      </c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</row>
    <row r="110" spans="6:39" x14ac:dyDescent="0.35">
      <c r="F110" s="18" t="s">
        <v>1109</v>
      </c>
      <c r="G110" s="19">
        <v>46207</v>
      </c>
      <c r="H110" s="18" t="s">
        <v>485</v>
      </c>
      <c r="I110" s="18" t="s">
        <v>1110</v>
      </c>
      <c r="J110" s="18">
        <v>913</v>
      </c>
      <c r="K110" s="18" t="s">
        <v>1121</v>
      </c>
      <c r="L110" s="18" t="s">
        <v>5631</v>
      </c>
      <c r="M110" s="19">
        <v>46207</v>
      </c>
      <c r="N110" s="18" t="s">
        <v>1122</v>
      </c>
      <c r="O110" s="18" t="s">
        <v>1123</v>
      </c>
      <c r="P110" s="18" t="s">
        <v>1124</v>
      </c>
      <c r="Q110" s="18" t="s">
        <v>1125</v>
      </c>
      <c r="R110" s="18" t="s">
        <v>1126</v>
      </c>
      <c r="S110" s="18">
        <v>278</v>
      </c>
      <c r="T110" s="18">
        <v>13344</v>
      </c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</row>
    <row r="111" spans="6:39" x14ac:dyDescent="0.35">
      <c r="F111" s="18" t="s">
        <v>1109</v>
      </c>
      <c r="G111" s="19">
        <v>46207</v>
      </c>
      <c r="H111" s="18" t="s">
        <v>485</v>
      </c>
      <c r="I111" s="18" t="s">
        <v>1110</v>
      </c>
      <c r="J111" s="18">
        <v>917</v>
      </c>
      <c r="K111" s="18" t="s">
        <v>1111</v>
      </c>
      <c r="L111" s="18" t="s">
        <v>5632</v>
      </c>
      <c r="M111" s="19">
        <v>46207</v>
      </c>
      <c r="N111" s="18" t="s">
        <v>1112</v>
      </c>
      <c r="O111" s="18" t="s">
        <v>1127</v>
      </c>
      <c r="P111" s="18" t="s">
        <v>1128</v>
      </c>
      <c r="Q111" s="18" t="s">
        <v>1129</v>
      </c>
      <c r="R111" s="18" t="s">
        <v>1130</v>
      </c>
      <c r="S111" s="18">
        <v>878</v>
      </c>
      <c r="T111" s="18">
        <v>163992.84</v>
      </c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</row>
    <row r="112" spans="6:39" x14ac:dyDescent="0.35">
      <c r="F112" s="18" t="s">
        <v>1109</v>
      </c>
      <c r="G112" s="19">
        <v>46207</v>
      </c>
      <c r="H112" s="18" t="s">
        <v>125</v>
      </c>
      <c r="I112" s="18" t="s">
        <v>1110</v>
      </c>
      <c r="J112" s="18">
        <v>909</v>
      </c>
      <c r="K112" s="18" t="s">
        <v>1111</v>
      </c>
      <c r="L112" s="18" t="s">
        <v>5466</v>
      </c>
      <c r="M112" s="19">
        <v>46207</v>
      </c>
      <c r="N112" s="18" t="s">
        <v>1112</v>
      </c>
      <c r="O112" s="18" t="s">
        <v>1117</v>
      </c>
      <c r="P112" s="18" t="s">
        <v>1138</v>
      </c>
      <c r="Q112" s="18" t="s">
        <v>1139</v>
      </c>
      <c r="R112" s="18" t="s">
        <v>1140</v>
      </c>
      <c r="S112" s="18">
        <v>322</v>
      </c>
      <c r="T112" s="18">
        <v>49826.28</v>
      </c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</row>
    <row r="113" spans="6:39" x14ac:dyDescent="0.35">
      <c r="F113" s="18" t="s">
        <v>1109</v>
      </c>
      <c r="G113" s="19">
        <v>46207</v>
      </c>
      <c r="H113" s="18" t="s">
        <v>125</v>
      </c>
      <c r="I113" s="18" t="s">
        <v>1110</v>
      </c>
      <c r="J113" s="18">
        <v>909</v>
      </c>
      <c r="K113" s="18" t="s">
        <v>1111</v>
      </c>
      <c r="L113" s="18" t="s">
        <v>5466</v>
      </c>
      <c r="M113" s="19">
        <v>46207</v>
      </c>
      <c r="N113" s="18" t="s">
        <v>1112</v>
      </c>
      <c r="O113" s="18" t="s">
        <v>1117</v>
      </c>
      <c r="P113" s="18" t="s">
        <v>1118</v>
      </c>
      <c r="Q113" s="18" t="s">
        <v>1119</v>
      </c>
      <c r="R113" s="18" t="s">
        <v>1120</v>
      </c>
      <c r="S113" s="18">
        <v>624</v>
      </c>
      <c r="T113" s="18">
        <v>92189.759999999995</v>
      </c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</row>
    <row r="114" spans="6:39" x14ac:dyDescent="0.35">
      <c r="F114" s="18" t="s">
        <v>1109</v>
      </c>
      <c r="G114" s="19">
        <v>46207</v>
      </c>
      <c r="H114" s="18" t="s">
        <v>125</v>
      </c>
      <c r="I114" s="18" t="s">
        <v>1110</v>
      </c>
      <c r="J114" s="18">
        <v>910</v>
      </c>
      <c r="K114" s="18" t="s">
        <v>1121</v>
      </c>
      <c r="L114" s="18" t="s">
        <v>5467</v>
      </c>
      <c r="M114" s="19">
        <v>46207</v>
      </c>
      <c r="N114" s="18" t="s">
        <v>1133</v>
      </c>
      <c r="O114" s="18" t="s">
        <v>1134</v>
      </c>
      <c r="P114" s="18" t="s">
        <v>5633</v>
      </c>
      <c r="Q114" s="18" t="s">
        <v>5634</v>
      </c>
      <c r="R114" s="18" t="s">
        <v>5635</v>
      </c>
      <c r="S114" s="18">
        <v>1125</v>
      </c>
      <c r="T114" s="18">
        <v>153956.25</v>
      </c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</row>
    <row r="115" spans="6:39" x14ac:dyDescent="0.35">
      <c r="F115" s="18" t="s">
        <v>1109</v>
      </c>
      <c r="G115" s="19">
        <v>46207</v>
      </c>
      <c r="H115" s="18" t="s">
        <v>125</v>
      </c>
      <c r="I115" s="18" t="s">
        <v>1110</v>
      </c>
      <c r="J115" s="18">
        <v>910</v>
      </c>
      <c r="K115" s="18" t="s">
        <v>1121</v>
      </c>
      <c r="L115" s="18" t="s">
        <v>5467</v>
      </c>
      <c r="M115" s="19">
        <v>46207</v>
      </c>
      <c r="N115" s="18" t="s">
        <v>1133</v>
      </c>
      <c r="O115" s="18" t="s">
        <v>1134</v>
      </c>
      <c r="P115" s="18" t="s">
        <v>1141</v>
      </c>
      <c r="Q115" s="18" t="s">
        <v>1142</v>
      </c>
      <c r="R115" s="18" t="s">
        <v>5605</v>
      </c>
      <c r="S115" s="18">
        <v>4125</v>
      </c>
      <c r="T115" s="18">
        <v>618750</v>
      </c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</row>
    <row r="116" spans="6:39" x14ac:dyDescent="0.35">
      <c r="F116" s="18" t="s">
        <v>1109</v>
      </c>
      <c r="G116" s="19">
        <v>46207</v>
      </c>
      <c r="H116" s="18" t="s">
        <v>125</v>
      </c>
      <c r="I116" s="18" t="s">
        <v>1110</v>
      </c>
      <c r="J116" s="18">
        <v>911</v>
      </c>
      <c r="K116" s="18" t="s">
        <v>1121</v>
      </c>
      <c r="L116" s="18" t="s">
        <v>5468</v>
      </c>
      <c r="M116" s="19">
        <v>46207</v>
      </c>
      <c r="N116" s="18" t="s">
        <v>1122</v>
      </c>
      <c r="O116" s="18" t="s">
        <v>1123</v>
      </c>
      <c r="P116" s="18" t="s">
        <v>1124</v>
      </c>
      <c r="Q116" s="18" t="s">
        <v>1125</v>
      </c>
      <c r="R116" s="18" t="s">
        <v>1126</v>
      </c>
      <c r="S116" s="18">
        <v>43</v>
      </c>
      <c r="T116" s="18">
        <v>2064</v>
      </c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</row>
    <row r="117" spans="6:39" x14ac:dyDescent="0.35">
      <c r="F117" s="18" t="s">
        <v>1109</v>
      </c>
      <c r="G117" s="19">
        <v>46207</v>
      </c>
      <c r="H117" s="18" t="s">
        <v>125</v>
      </c>
      <c r="I117" s="18" t="s">
        <v>1110</v>
      </c>
      <c r="J117" s="18">
        <v>912</v>
      </c>
      <c r="K117" s="18" t="s">
        <v>1111</v>
      </c>
      <c r="L117" s="18" t="s">
        <v>5469</v>
      </c>
      <c r="M117" s="19">
        <v>46207</v>
      </c>
      <c r="N117" s="18" t="s">
        <v>1112</v>
      </c>
      <c r="O117" s="18" t="s">
        <v>1117</v>
      </c>
      <c r="P117" s="18" t="s">
        <v>1138</v>
      </c>
      <c r="Q117" s="18" t="s">
        <v>1139</v>
      </c>
      <c r="R117" s="18" t="s">
        <v>1140</v>
      </c>
      <c r="S117" s="18">
        <v>633</v>
      </c>
      <c r="T117" s="18">
        <v>95893.17</v>
      </c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</row>
    <row r="118" spans="6:39" x14ac:dyDescent="0.35">
      <c r="F118" s="18" t="s">
        <v>1109</v>
      </c>
      <c r="G118" s="19">
        <v>46207</v>
      </c>
      <c r="H118" s="18" t="s">
        <v>125</v>
      </c>
      <c r="I118" s="18" t="s">
        <v>1110</v>
      </c>
      <c r="J118" s="18">
        <v>912</v>
      </c>
      <c r="K118" s="18" t="s">
        <v>1111</v>
      </c>
      <c r="L118" s="18" t="s">
        <v>5469</v>
      </c>
      <c r="M118" s="19">
        <v>46207</v>
      </c>
      <c r="N118" s="18" t="s">
        <v>1112</v>
      </c>
      <c r="O118" s="18" t="s">
        <v>1131</v>
      </c>
      <c r="P118" s="18" t="s">
        <v>1132</v>
      </c>
      <c r="Q118" s="18" t="s">
        <v>1132</v>
      </c>
      <c r="R118" s="18" t="s">
        <v>1131</v>
      </c>
      <c r="S118" s="18">
        <v>108.2</v>
      </c>
      <c r="T118" s="18">
        <v>15850.22</v>
      </c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</row>
    <row r="119" spans="6:39" x14ac:dyDescent="0.35">
      <c r="F119" s="18" t="s">
        <v>1109</v>
      </c>
      <c r="G119" s="19">
        <v>46207</v>
      </c>
      <c r="H119" s="18" t="s">
        <v>125</v>
      </c>
      <c r="I119" s="18" t="s">
        <v>1110</v>
      </c>
      <c r="J119" s="18">
        <v>912</v>
      </c>
      <c r="K119" s="18" t="s">
        <v>1111</v>
      </c>
      <c r="L119" s="18" t="s">
        <v>5469</v>
      </c>
      <c r="M119" s="19">
        <v>46207</v>
      </c>
      <c r="N119" s="18" t="s">
        <v>1112</v>
      </c>
      <c r="O119" s="18" t="s">
        <v>1131</v>
      </c>
      <c r="P119" s="18" t="s">
        <v>1132</v>
      </c>
      <c r="Q119" s="18" t="s">
        <v>1132</v>
      </c>
      <c r="R119" s="18" t="s">
        <v>1131</v>
      </c>
      <c r="S119" s="18">
        <v>151.19999999999999</v>
      </c>
      <c r="T119" s="18">
        <v>22602.89</v>
      </c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</row>
    <row r="120" spans="6:39" x14ac:dyDescent="0.35">
      <c r="F120" s="18" t="s">
        <v>1109</v>
      </c>
      <c r="G120" s="19">
        <v>46207</v>
      </c>
      <c r="H120" s="18" t="s">
        <v>125</v>
      </c>
      <c r="I120" s="18" t="s">
        <v>1110</v>
      </c>
      <c r="J120" s="18">
        <v>912</v>
      </c>
      <c r="K120" s="18" t="s">
        <v>1111</v>
      </c>
      <c r="L120" s="18" t="s">
        <v>5469</v>
      </c>
      <c r="M120" s="19">
        <v>46207</v>
      </c>
      <c r="N120" s="18" t="s">
        <v>1112</v>
      </c>
      <c r="O120" s="18" t="s">
        <v>1127</v>
      </c>
      <c r="P120" s="18" t="s">
        <v>1128</v>
      </c>
      <c r="Q120" s="18" t="s">
        <v>1129</v>
      </c>
      <c r="R120" s="18" t="s">
        <v>1130</v>
      </c>
      <c r="S120" s="18">
        <v>334</v>
      </c>
      <c r="T120" s="18">
        <v>61048.52</v>
      </c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</row>
    <row r="121" spans="6:39" x14ac:dyDescent="0.35">
      <c r="F121" s="18" t="s">
        <v>1109</v>
      </c>
      <c r="G121" s="19">
        <v>46207</v>
      </c>
      <c r="H121" s="18" t="s">
        <v>125</v>
      </c>
      <c r="I121" s="18" t="s">
        <v>1110</v>
      </c>
      <c r="J121" s="18">
        <v>912</v>
      </c>
      <c r="K121" s="18" t="s">
        <v>1111</v>
      </c>
      <c r="L121" s="18" t="s">
        <v>5469</v>
      </c>
      <c r="M121" s="19">
        <v>46207</v>
      </c>
      <c r="N121" s="18" t="s">
        <v>1112</v>
      </c>
      <c r="O121" s="18" t="s">
        <v>1117</v>
      </c>
      <c r="P121" s="18" t="s">
        <v>1118</v>
      </c>
      <c r="Q121" s="18" t="s">
        <v>1119</v>
      </c>
      <c r="R121" s="18" t="s">
        <v>1120</v>
      </c>
      <c r="S121" s="18">
        <v>653</v>
      </c>
      <c r="T121" s="18">
        <v>97616.97</v>
      </c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</row>
    <row r="122" spans="6:39" x14ac:dyDescent="0.35">
      <c r="F122" s="18" t="s">
        <v>1109</v>
      </c>
      <c r="G122" s="19">
        <v>46207</v>
      </c>
      <c r="H122" s="18" t="s">
        <v>125</v>
      </c>
      <c r="I122" s="18" t="s">
        <v>1110</v>
      </c>
      <c r="J122" s="18">
        <v>912</v>
      </c>
      <c r="K122" s="18" t="s">
        <v>1111</v>
      </c>
      <c r="L122" s="18" t="s">
        <v>5469</v>
      </c>
      <c r="M122" s="19">
        <v>46207</v>
      </c>
      <c r="N122" s="18" t="s">
        <v>1112</v>
      </c>
      <c r="O122" s="18" t="s">
        <v>1113</v>
      </c>
      <c r="P122" s="18" t="s">
        <v>1114</v>
      </c>
      <c r="Q122" s="18" t="s">
        <v>1115</v>
      </c>
      <c r="R122" s="18" t="s">
        <v>1144</v>
      </c>
      <c r="S122" s="18">
        <v>25</v>
      </c>
      <c r="T122" s="18">
        <v>4024.75</v>
      </c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</row>
    <row r="123" spans="6:39" x14ac:dyDescent="0.35">
      <c r="F123" s="18" t="s">
        <v>1109</v>
      </c>
      <c r="G123" s="19">
        <v>46208</v>
      </c>
      <c r="H123" s="18" t="s">
        <v>1055</v>
      </c>
      <c r="I123" s="18" t="s">
        <v>1136</v>
      </c>
      <c r="J123" s="18" t="s">
        <v>5307</v>
      </c>
      <c r="K123" s="18" t="s">
        <v>2028</v>
      </c>
      <c r="L123" s="18" t="s">
        <v>5307</v>
      </c>
      <c r="M123" s="19">
        <v>46208</v>
      </c>
      <c r="N123" s="18" t="s">
        <v>1146</v>
      </c>
      <c r="O123" s="18" t="s">
        <v>1147</v>
      </c>
      <c r="P123" s="18" t="s">
        <v>1147</v>
      </c>
      <c r="Q123" s="18" t="s">
        <v>1148</v>
      </c>
      <c r="R123" s="18" t="s">
        <v>1149</v>
      </c>
      <c r="S123" s="18">
        <v>20737</v>
      </c>
      <c r="T123" s="18">
        <v>4623201</v>
      </c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</row>
    <row r="124" spans="6:39" x14ac:dyDescent="0.35">
      <c r="F124" s="18" t="s">
        <v>1109</v>
      </c>
      <c r="G124" s="19">
        <v>46208</v>
      </c>
      <c r="H124" s="18" t="s">
        <v>1159</v>
      </c>
      <c r="I124" s="18" t="s">
        <v>1110</v>
      </c>
      <c r="J124" s="18">
        <v>924</v>
      </c>
      <c r="K124" s="18" t="s">
        <v>1121</v>
      </c>
      <c r="L124" s="18" t="s">
        <v>5636</v>
      </c>
      <c r="M124" s="19">
        <v>46208</v>
      </c>
      <c r="N124" s="18" t="s">
        <v>1122</v>
      </c>
      <c r="O124" s="18" t="s">
        <v>1123</v>
      </c>
      <c r="P124" s="18" t="s">
        <v>1124</v>
      </c>
      <c r="Q124" s="18" t="s">
        <v>1125</v>
      </c>
      <c r="R124" s="18" t="s">
        <v>1126</v>
      </c>
      <c r="S124" s="18">
        <v>48</v>
      </c>
      <c r="T124" s="18">
        <v>2304</v>
      </c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</row>
    <row r="125" spans="6:39" x14ac:dyDescent="0.35">
      <c r="F125" s="18" t="s">
        <v>1109</v>
      </c>
      <c r="G125" s="19">
        <v>46208</v>
      </c>
      <c r="H125" s="18" t="s">
        <v>1159</v>
      </c>
      <c r="I125" s="18" t="s">
        <v>1110</v>
      </c>
      <c r="J125" s="18">
        <v>925</v>
      </c>
      <c r="K125" s="18" t="s">
        <v>1111</v>
      </c>
      <c r="L125" s="18" t="s">
        <v>5637</v>
      </c>
      <c r="M125" s="19">
        <v>46208</v>
      </c>
      <c r="N125" s="18" t="s">
        <v>1112</v>
      </c>
      <c r="O125" s="18" t="s">
        <v>1117</v>
      </c>
      <c r="P125" s="18" t="s">
        <v>1118</v>
      </c>
      <c r="Q125" s="18" t="s">
        <v>1119</v>
      </c>
      <c r="R125" s="18" t="s">
        <v>1120</v>
      </c>
      <c r="S125" s="18">
        <v>1732</v>
      </c>
      <c r="T125" s="18">
        <v>253720.68</v>
      </c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</row>
    <row r="126" spans="6:39" x14ac:dyDescent="0.35">
      <c r="F126" s="18" t="s">
        <v>1109</v>
      </c>
      <c r="G126" s="19">
        <v>46208</v>
      </c>
      <c r="H126" s="18" t="s">
        <v>1159</v>
      </c>
      <c r="I126" s="18" t="s">
        <v>1110</v>
      </c>
      <c r="J126" s="18">
        <v>925</v>
      </c>
      <c r="K126" s="18" t="s">
        <v>1111</v>
      </c>
      <c r="L126" s="18" t="s">
        <v>5637</v>
      </c>
      <c r="M126" s="19">
        <v>46208</v>
      </c>
      <c r="N126" s="18" t="s">
        <v>1112</v>
      </c>
      <c r="O126" s="18" t="s">
        <v>1117</v>
      </c>
      <c r="P126" s="18" t="s">
        <v>1138</v>
      </c>
      <c r="Q126" s="18" t="s">
        <v>1139</v>
      </c>
      <c r="R126" s="18" t="s">
        <v>1140</v>
      </c>
      <c r="S126" s="18">
        <v>2098</v>
      </c>
      <c r="T126" s="18">
        <v>367150</v>
      </c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</row>
    <row r="127" spans="6:39" x14ac:dyDescent="0.35">
      <c r="F127" s="18" t="s">
        <v>1109</v>
      </c>
      <c r="G127" s="19">
        <v>46208</v>
      </c>
      <c r="H127" s="18" t="s">
        <v>3790</v>
      </c>
      <c r="I127" s="18" t="s">
        <v>1110</v>
      </c>
      <c r="J127" s="18">
        <v>918</v>
      </c>
      <c r="K127" s="18" t="s">
        <v>1111</v>
      </c>
      <c r="L127" s="18" t="s">
        <v>5638</v>
      </c>
      <c r="M127" s="19">
        <v>46208</v>
      </c>
      <c r="N127" s="18" t="s">
        <v>1112</v>
      </c>
      <c r="O127" s="18" t="s">
        <v>1117</v>
      </c>
      <c r="P127" s="18" t="s">
        <v>1138</v>
      </c>
      <c r="Q127" s="18" t="s">
        <v>1139</v>
      </c>
      <c r="R127" s="18" t="s">
        <v>1140</v>
      </c>
      <c r="S127" s="18">
        <v>832</v>
      </c>
      <c r="T127" s="18">
        <v>121879.67999999999</v>
      </c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</row>
    <row r="128" spans="6:39" x14ac:dyDescent="0.35">
      <c r="F128" s="18" t="s">
        <v>1109</v>
      </c>
      <c r="G128" s="19">
        <v>46208</v>
      </c>
      <c r="H128" s="18" t="s">
        <v>3790</v>
      </c>
      <c r="I128" s="18" t="s">
        <v>1110</v>
      </c>
      <c r="J128" s="18">
        <v>918</v>
      </c>
      <c r="K128" s="18" t="s">
        <v>1111</v>
      </c>
      <c r="L128" s="18" t="s">
        <v>5638</v>
      </c>
      <c r="M128" s="19">
        <v>46208</v>
      </c>
      <c r="N128" s="18" t="s">
        <v>1112</v>
      </c>
      <c r="O128" s="18" t="s">
        <v>1117</v>
      </c>
      <c r="P128" s="18" t="s">
        <v>1138</v>
      </c>
      <c r="Q128" s="18" t="s">
        <v>1139</v>
      </c>
      <c r="R128" s="18" t="s">
        <v>1140</v>
      </c>
      <c r="S128" s="18">
        <v>1791</v>
      </c>
      <c r="T128" s="18">
        <v>271318.59000000003</v>
      </c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</row>
    <row r="129" spans="6:39" x14ac:dyDescent="0.35">
      <c r="F129" s="18" t="s">
        <v>1109</v>
      </c>
      <c r="G129" s="19">
        <v>46208</v>
      </c>
      <c r="H129" s="18" t="s">
        <v>3790</v>
      </c>
      <c r="I129" s="18" t="s">
        <v>1110</v>
      </c>
      <c r="J129" s="18">
        <v>918</v>
      </c>
      <c r="K129" s="18" t="s">
        <v>1111</v>
      </c>
      <c r="L129" s="18" t="s">
        <v>5638</v>
      </c>
      <c r="M129" s="19">
        <v>46208</v>
      </c>
      <c r="N129" s="18" t="s">
        <v>1112</v>
      </c>
      <c r="O129" s="18" t="s">
        <v>1131</v>
      </c>
      <c r="P129" s="18" t="s">
        <v>1132</v>
      </c>
      <c r="Q129" s="18" t="s">
        <v>1132</v>
      </c>
      <c r="R129" s="18" t="s">
        <v>1131</v>
      </c>
      <c r="S129" s="18">
        <v>5.5</v>
      </c>
      <c r="T129" s="18">
        <v>937.7</v>
      </c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</row>
    <row r="130" spans="6:39" x14ac:dyDescent="0.35">
      <c r="F130" s="18" t="s">
        <v>1109</v>
      </c>
      <c r="G130" s="19">
        <v>46208</v>
      </c>
      <c r="H130" s="18" t="s">
        <v>3790</v>
      </c>
      <c r="I130" s="18" t="s">
        <v>1110</v>
      </c>
      <c r="J130" s="18">
        <v>918</v>
      </c>
      <c r="K130" s="18" t="s">
        <v>1111</v>
      </c>
      <c r="L130" s="18" t="s">
        <v>5638</v>
      </c>
      <c r="M130" s="19">
        <v>46208</v>
      </c>
      <c r="N130" s="18" t="s">
        <v>1112</v>
      </c>
      <c r="O130" s="18" t="s">
        <v>1131</v>
      </c>
      <c r="P130" s="18" t="s">
        <v>1132</v>
      </c>
      <c r="Q130" s="18" t="s">
        <v>1132</v>
      </c>
      <c r="R130" s="18" t="s">
        <v>1131</v>
      </c>
      <c r="S130" s="18">
        <v>1212.2</v>
      </c>
      <c r="T130" s="18">
        <v>181211.78</v>
      </c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</row>
    <row r="131" spans="6:39" x14ac:dyDescent="0.35">
      <c r="F131" s="18" t="s">
        <v>1109</v>
      </c>
      <c r="G131" s="19">
        <v>46208</v>
      </c>
      <c r="H131" s="18" t="s">
        <v>3790</v>
      </c>
      <c r="I131" s="18" t="s">
        <v>1110</v>
      </c>
      <c r="J131" s="18">
        <v>918</v>
      </c>
      <c r="K131" s="18" t="s">
        <v>1111</v>
      </c>
      <c r="L131" s="18" t="s">
        <v>5638</v>
      </c>
      <c r="M131" s="19">
        <v>46208</v>
      </c>
      <c r="N131" s="18" t="s">
        <v>1112</v>
      </c>
      <c r="O131" s="18" t="s">
        <v>1131</v>
      </c>
      <c r="P131" s="18" t="s">
        <v>1132</v>
      </c>
      <c r="Q131" s="18" t="s">
        <v>1132</v>
      </c>
      <c r="R131" s="18" t="s">
        <v>1131</v>
      </c>
      <c r="S131" s="18">
        <v>590.79999999999995</v>
      </c>
      <c r="T131" s="18">
        <v>86546.29</v>
      </c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</row>
    <row r="132" spans="6:39" x14ac:dyDescent="0.35">
      <c r="F132" s="18" t="s">
        <v>1109</v>
      </c>
      <c r="G132" s="19">
        <v>46208</v>
      </c>
      <c r="H132" s="18" t="s">
        <v>3790</v>
      </c>
      <c r="I132" s="18" t="s">
        <v>1110</v>
      </c>
      <c r="J132" s="18">
        <v>918</v>
      </c>
      <c r="K132" s="18" t="s">
        <v>1111</v>
      </c>
      <c r="L132" s="18" t="s">
        <v>5638</v>
      </c>
      <c r="M132" s="19">
        <v>46208</v>
      </c>
      <c r="N132" s="18" t="s">
        <v>1112</v>
      </c>
      <c r="O132" s="18" t="s">
        <v>1117</v>
      </c>
      <c r="P132" s="18" t="s">
        <v>1118</v>
      </c>
      <c r="Q132" s="18" t="s">
        <v>1119</v>
      </c>
      <c r="R132" s="18" t="s">
        <v>1120</v>
      </c>
      <c r="S132" s="18">
        <v>2873</v>
      </c>
      <c r="T132" s="18">
        <v>420865.77</v>
      </c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</row>
    <row r="133" spans="6:39" x14ac:dyDescent="0.35">
      <c r="F133" s="18" t="s">
        <v>1109</v>
      </c>
      <c r="G133" s="19">
        <v>46208</v>
      </c>
      <c r="H133" s="18" t="s">
        <v>3790</v>
      </c>
      <c r="I133" s="18" t="s">
        <v>1110</v>
      </c>
      <c r="J133" s="18">
        <v>918</v>
      </c>
      <c r="K133" s="18" t="s">
        <v>1111</v>
      </c>
      <c r="L133" s="18" t="s">
        <v>5638</v>
      </c>
      <c r="M133" s="19">
        <v>46208</v>
      </c>
      <c r="N133" s="18" t="s">
        <v>1112</v>
      </c>
      <c r="O133" s="18" t="s">
        <v>1117</v>
      </c>
      <c r="P133" s="18" t="s">
        <v>1118</v>
      </c>
      <c r="Q133" s="18" t="s">
        <v>1119</v>
      </c>
      <c r="R133" s="18" t="s">
        <v>1120</v>
      </c>
      <c r="S133" s="18">
        <v>1100</v>
      </c>
      <c r="T133" s="18">
        <v>162239</v>
      </c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</row>
    <row r="134" spans="6:39" x14ac:dyDescent="0.35">
      <c r="F134" s="18" t="s">
        <v>1109</v>
      </c>
      <c r="G134" s="19">
        <v>46208</v>
      </c>
      <c r="H134" s="18" t="s">
        <v>3790</v>
      </c>
      <c r="I134" s="18" t="s">
        <v>1110</v>
      </c>
      <c r="J134" s="18">
        <v>918</v>
      </c>
      <c r="K134" s="18" t="s">
        <v>1111</v>
      </c>
      <c r="L134" s="18" t="s">
        <v>5638</v>
      </c>
      <c r="M134" s="19">
        <v>46208</v>
      </c>
      <c r="N134" s="18" t="s">
        <v>1112</v>
      </c>
      <c r="O134" s="18" t="s">
        <v>1117</v>
      </c>
      <c r="P134" s="18" t="s">
        <v>1118</v>
      </c>
      <c r="Q134" s="18" t="s">
        <v>1119</v>
      </c>
      <c r="R134" s="18" t="s">
        <v>1120</v>
      </c>
      <c r="S134" s="18">
        <v>3785</v>
      </c>
      <c r="T134" s="18">
        <v>546894.65</v>
      </c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</row>
    <row r="135" spans="6:39" x14ac:dyDescent="0.35">
      <c r="F135" s="18" t="s">
        <v>1109</v>
      </c>
      <c r="G135" s="19">
        <v>46208</v>
      </c>
      <c r="H135" s="18" t="s">
        <v>3790</v>
      </c>
      <c r="I135" s="18" t="s">
        <v>1110</v>
      </c>
      <c r="J135" s="18">
        <v>919</v>
      </c>
      <c r="K135" s="18" t="s">
        <v>1121</v>
      </c>
      <c r="L135" s="18" t="s">
        <v>5639</v>
      </c>
      <c r="M135" s="19">
        <v>46208</v>
      </c>
      <c r="N135" s="18" t="s">
        <v>1122</v>
      </c>
      <c r="O135" s="18" t="s">
        <v>1123</v>
      </c>
      <c r="P135" s="18" t="s">
        <v>1124</v>
      </c>
      <c r="Q135" s="18" t="s">
        <v>1125</v>
      </c>
      <c r="R135" s="18" t="s">
        <v>1126</v>
      </c>
      <c r="S135" s="18">
        <v>349</v>
      </c>
      <c r="T135" s="18">
        <v>16752</v>
      </c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</row>
    <row r="136" spans="6:39" x14ac:dyDescent="0.35">
      <c r="F136" s="18" t="s">
        <v>1109</v>
      </c>
      <c r="G136" s="19">
        <v>46208</v>
      </c>
      <c r="H136" s="18" t="s">
        <v>3790</v>
      </c>
      <c r="I136" s="18" t="s">
        <v>1110</v>
      </c>
      <c r="J136" s="18">
        <v>926</v>
      </c>
      <c r="K136" s="18" t="s">
        <v>1111</v>
      </c>
      <c r="L136" s="18" t="s">
        <v>5640</v>
      </c>
      <c r="M136" s="19">
        <v>46208</v>
      </c>
      <c r="N136" s="18" t="s">
        <v>1112</v>
      </c>
      <c r="O136" s="18" t="s">
        <v>1127</v>
      </c>
      <c r="P136" s="18" t="s">
        <v>1128</v>
      </c>
      <c r="Q136" s="18" t="s">
        <v>1129</v>
      </c>
      <c r="R136" s="18" t="s">
        <v>1130</v>
      </c>
      <c r="S136" s="18">
        <v>9208</v>
      </c>
      <c r="T136" s="18">
        <v>1719870.24</v>
      </c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</row>
    <row r="137" spans="6:39" x14ac:dyDescent="0.35">
      <c r="F137" s="18" t="s">
        <v>1109</v>
      </c>
      <c r="G137" s="19">
        <v>46208</v>
      </c>
      <c r="H137" s="18" t="s">
        <v>3790</v>
      </c>
      <c r="I137" s="18" t="s">
        <v>1110</v>
      </c>
      <c r="J137" s="18">
        <v>926</v>
      </c>
      <c r="K137" s="18" t="s">
        <v>1111</v>
      </c>
      <c r="L137" s="18" t="s">
        <v>5640</v>
      </c>
      <c r="M137" s="19">
        <v>46208</v>
      </c>
      <c r="N137" s="18" t="s">
        <v>1112</v>
      </c>
      <c r="O137" s="18" t="s">
        <v>1127</v>
      </c>
      <c r="P137" s="18" t="s">
        <v>1128</v>
      </c>
      <c r="Q137" s="18" t="s">
        <v>1129</v>
      </c>
      <c r="R137" s="18" t="s">
        <v>1130</v>
      </c>
      <c r="S137" s="18">
        <v>285</v>
      </c>
      <c r="T137" s="18">
        <v>52092.3</v>
      </c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</row>
    <row r="138" spans="6:39" x14ac:dyDescent="0.35">
      <c r="F138" s="18" t="s">
        <v>1109</v>
      </c>
      <c r="G138" s="19">
        <v>46208</v>
      </c>
      <c r="H138" s="18" t="s">
        <v>3790</v>
      </c>
      <c r="I138" s="18" t="s">
        <v>1110</v>
      </c>
      <c r="J138" s="18">
        <v>926</v>
      </c>
      <c r="K138" s="18" t="s">
        <v>1111</v>
      </c>
      <c r="L138" s="18" t="s">
        <v>5640</v>
      </c>
      <c r="M138" s="19">
        <v>46208</v>
      </c>
      <c r="N138" s="18" t="s">
        <v>1112</v>
      </c>
      <c r="O138" s="18" t="s">
        <v>1127</v>
      </c>
      <c r="P138" s="18" t="s">
        <v>1128</v>
      </c>
      <c r="Q138" s="18" t="s">
        <v>1129</v>
      </c>
      <c r="R138" s="18" t="s">
        <v>1130</v>
      </c>
      <c r="S138" s="18">
        <v>23</v>
      </c>
      <c r="T138" s="18">
        <v>4456.9399999999996</v>
      </c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</row>
    <row r="139" spans="6:39" x14ac:dyDescent="0.35">
      <c r="F139" s="18" t="s">
        <v>1109</v>
      </c>
      <c r="G139" s="19">
        <v>46208</v>
      </c>
      <c r="H139" s="18" t="s">
        <v>3790</v>
      </c>
      <c r="I139" s="18" t="s">
        <v>1110</v>
      </c>
      <c r="J139" s="18">
        <v>926</v>
      </c>
      <c r="K139" s="18" t="s">
        <v>1111</v>
      </c>
      <c r="L139" s="18" t="s">
        <v>5640</v>
      </c>
      <c r="M139" s="19">
        <v>46208</v>
      </c>
      <c r="N139" s="18" t="s">
        <v>1112</v>
      </c>
      <c r="O139" s="18" t="s">
        <v>1127</v>
      </c>
      <c r="P139" s="18" t="s">
        <v>1128</v>
      </c>
      <c r="Q139" s="18" t="s">
        <v>1129</v>
      </c>
      <c r="R139" s="18" t="s">
        <v>1130</v>
      </c>
      <c r="S139" s="18">
        <v>200</v>
      </c>
      <c r="T139" s="18">
        <v>36556</v>
      </c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</row>
    <row r="140" spans="6:39" x14ac:dyDescent="0.35">
      <c r="F140" s="18" t="s">
        <v>1109</v>
      </c>
      <c r="G140" s="19">
        <v>46208</v>
      </c>
      <c r="H140" s="18" t="s">
        <v>3790</v>
      </c>
      <c r="I140" s="18" t="s">
        <v>1110</v>
      </c>
      <c r="J140" s="18">
        <v>928</v>
      </c>
      <c r="K140" s="18" t="s">
        <v>1111</v>
      </c>
      <c r="L140" s="18" t="s">
        <v>2330</v>
      </c>
      <c r="M140" s="19">
        <v>46208</v>
      </c>
      <c r="N140" s="18" t="s">
        <v>1112</v>
      </c>
      <c r="O140" s="18" t="s">
        <v>1117</v>
      </c>
      <c r="P140" s="18" t="s">
        <v>1118</v>
      </c>
      <c r="Q140" s="18" t="s">
        <v>1119</v>
      </c>
      <c r="R140" s="18" t="s">
        <v>1120</v>
      </c>
      <c r="S140" s="18">
        <v>238</v>
      </c>
      <c r="T140" s="18">
        <v>34864.620000000003</v>
      </c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</row>
    <row r="141" spans="6:39" x14ac:dyDescent="0.35">
      <c r="F141" s="18" t="s">
        <v>1109</v>
      </c>
      <c r="G141" s="19">
        <v>46208</v>
      </c>
      <c r="H141" s="18" t="s">
        <v>3790</v>
      </c>
      <c r="I141" s="18" t="s">
        <v>1110</v>
      </c>
      <c r="J141" s="18">
        <v>928</v>
      </c>
      <c r="K141" s="18" t="s">
        <v>1111</v>
      </c>
      <c r="L141" s="18" t="s">
        <v>2330</v>
      </c>
      <c r="M141" s="19">
        <v>46208</v>
      </c>
      <c r="N141" s="18" t="s">
        <v>1112</v>
      </c>
      <c r="O141" s="18" t="s">
        <v>1117</v>
      </c>
      <c r="P141" s="18" t="s">
        <v>1118</v>
      </c>
      <c r="Q141" s="18" t="s">
        <v>1119</v>
      </c>
      <c r="R141" s="18" t="s">
        <v>1120</v>
      </c>
      <c r="S141" s="18">
        <v>433</v>
      </c>
      <c r="T141" s="18">
        <v>62564.17</v>
      </c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</row>
    <row r="142" spans="6:39" x14ac:dyDescent="0.35">
      <c r="F142" s="18" t="s">
        <v>1109</v>
      </c>
      <c r="G142" s="19">
        <v>46208</v>
      </c>
      <c r="H142" s="18" t="s">
        <v>3790</v>
      </c>
      <c r="I142" s="18" t="s">
        <v>1110</v>
      </c>
      <c r="J142" s="18">
        <v>928</v>
      </c>
      <c r="K142" s="18" t="s">
        <v>1111</v>
      </c>
      <c r="L142" s="18" t="s">
        <v>2330</v>
      </c>
      <c r="M142" s="19">
        <v>46208</v>
      </c>
      <c r="N142" s="18" t="s">
        <v>1112</v>
      </c>
      <c r="O142" s="18" t="s">
        <v>1117</v>
      </c>
      <c r="P142" s="18" t="s">
        <v>1138</v>
      </c>
      <c r="Q142" s="18" t="s">
        <v>1139</v>
      </c>
      <c r="R142" s="18" t="s">
        <v>1140</v>
      </c>
      <c r="S142" s="18">
        <v>355</v>
      </c>
      <c r="T142" s="18">
        <v>52713.95</v>
      </c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</row>
    <row r="143" spans="6:39" x14ac:dyDescent="0.35">
      <c r="F143" s="18" t="s">
        <v>1109</v>
      </c>
      <c r="G143" s="19">
        <v>46208</v>
      </c>
      <c r="H143" s="18" t="s">
        <v>485</v>
      </c>
      <c r="I143" s="18" t="s">
        <v>1110</v>
      </c>
      <c r="J143" s="18">
        <v>929</v>
      </c>
      <c r="K143" s="18" t="s">
        <v>1121</v>
      </c>
      <c r="L143" s="18" t="s">
        <v>5641</v>
      </c>
      <c r="M143" s="19">
        <v>46208</v>
      </c>
      <c r="N143" s="18" t="s">
        <v>1122</v>
      </c>
      <c r="O143" s="18" t="s">
        <v>1123</v>
      </c>
      <c r="P143" s="18" t="s">
        <v>1124</v>
      </c>
      <c r="Q143" s="18" t="s">
        <v>1125</v>
      </c>
      <c r="R143" s="18" t="s">
        <v>1126</v>
      </c>
      <c r="S143" s="18">
        <v>106</v>
      </c>
      <c r="T143" s="18">
        <v>5088</v>
      </c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</row>
    <row r="144" spans="6:39" x14ac:dyDescent="0.35">
      <c r="F144" s="18" t="s">
        <v>1109</v>
      </c>
      <c r="G144" s="19">
        <v>46208</v>
      </c>
      <c r="H144" s="18" t="s">
        <v>485</v>
      </c>
      <c r="I144" s="18" t="s">
        <v>1110</v>
      </c>
      <c r="J144" s="18">
        <v>931</v>
      </c>
      <c r="K144" s="18" t="s">
        <v>1111</v>
      </c>
      <c r="L144" s="18" t="s">
        <v>5642</v>
      </c>
      <c r="M144" s="19">
        <v>46208</v>
      </c>
      <c r="N144" s="18" t="s">
        <v>1112</v>
      </c>
      <c r="O144" s="18" t="s">
        <v>1127</v>
      </c>
      <c r="P144" s="18" t="s">
        <v>1128</v>
      </c>
      <c r="Q144" s="18" t="s">
        <v>1129</v>
      </c>
      <c r="R144" s="18" t="s">
        <v>1130</v>
      </c>
      <c r="S144" s="18">
        <v>1376.8</v>
      </c>
      <c r="T144" s="18">
        <v>339642.79</v>
      </c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</row>
    <row r="145" spans="6:39" x14ac:dyDescent="0.35">
      <c r="F145" s="18" t="s">
        <v>1109</v>
      </c>
      <c r="G145" s="19">
        <v>46208</v>
      </c>
      <c r="H145" s="18" t="s">
        <v>485</v>
      </c>
      <c r="I145" s="18" t="s">
        <v>1110</v>
      </c>
      <c r="J145" s="18">
        <v>931</v>
      </c>
      <c r="K145" s="18" t="s">
        <v>1111</v>
      </c>
      <c r="L145" s="18" t="s">
        <v>5642</v>
      </c>
      <c r="M145" s="19">
        <v>46208</v>
      </c>
      <c r="N145" s="18" t="s">
        <v>1112</v>
      </c>
      <c r="O145" s="18" t="s">
        <v>1127</v>
      </c>
      <c r="P145" s="18" t="s">
        <v>1128</v>
      </c>
      <c r="Q145" s="18" t="s">
        <v>1129</v>
      </c>
      <c r="R145" s="18" t="s">
        <v>1130</v>
      </c>
      <c r="S145" s="18">
        <v>1861.5</v>
      </c>
      <c r="T145" s="18">
        <v>353275.47</v>
      </c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</row>
    <row r="146" spans="6:39" x14ac:dyDescent="0.35">
      <c r="F146" s="18" t="s">
        <v>1109</v>
      </c>
      <c r="G146" s="19">
        <v>46208</v>
      </c>
      <c r="H146" s="18" t="s">
        <v>485</v>
      </c>
      <c r="I146" s="18" t="s">
        <v>1110</v>
      </c>
      <c r="J146" s="18">
        <v>931</v>
      </c>
      <c r="K146" s="18" t="s">
        <v>1111</v>
      </c>
      <c r="L146" s="18" t="s">
        <v>5642</v>
      </c>
      <c r="M146" s="19">
        <v>46208</v>
      </c>
      <c r="N146" s="18" t="s">
        <v>1112</v>
      </c>
      <c r="O146" s="18" t="s">
        <v>1127</v>
      </c>
      <c r="P146" s="18" t="s">
        <v>1128</v>
      </c>
      <c r="Q146" s="18" t="s">
        <v>1129</v>
      </c>
      <c r="R146" s="18" t="s">
        <v>1130</v>
      </c>
      <c r="S146" s="18">
        <v>1731.8</v>
      </c>
      <c r="T146" s="18">
        <v>358101.6</v>
      </c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</row>
    <row r="147" spans="6:39" x14ac:dyDescent="0.35">
      <c r="F147" s="18" t="s">
        <v>1109</v>
      </c>
      <c r="G147" s="19">
        <v>46208</v>
      </c>
      <c r="H147" s="18" t="s">
        <v>125</v>
      </c>
      <c r="I147" s="18" t="s">
        <v>1110</v>
      </c>
      <c r="J147" s="18">
        <v>920</v>
      </c>
      <c r="K147" s="18" t="s">
        <v>1121</v>
      </c>
      <c r="L147" s="18" t="s">
        <v>5470</v>
      </c>
      <c r="M147" s="19">
        <v>46208</v>
      </c>
      <c r="N147" s="18" t="s">
        <v>1122</v>
      </c>
      <c r="O147" s="18" t="s">
        <v>1123</v>
      </c>
      <c r="P147" s="18" t="s">
        <v>1124</v>
      </c>
      <c r="Q147" s="18" t="s">
        <v>1125</v>
      </c>
      <c r="R147" s="18" t="s">
        <v>1126</v>
      </c>
      <c r="S147" s="18">
        <v>48</v>
      </c>
      <c r="T147" s="18">
        <v>2304</v>
      </c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</row>
    <row r="148" spans="6:39" x14ac:dyDescent="0.35">
      <c r="F148" s="18" t="s">
        <v>1109</v>
      </c>
      <c r="G148" s="19">
        <v>46208</v>
      </c>
      <c r="H148" s="18" t="s">
        <v>125</v>
      </c>
      <c r="I148" s="18" t="s">
        <v>1110</v>
      </c>
      <c r="J148" s="18">
        <v>921</v>
      </c>
      <c r="K148" s="18" t="s">
        <v>1111</v>
      </c>
      <c r="L148" s="18" t="s">
        <v>5471</v>
      </c>
      <c r="M148" s="19">
        <v>46208</v>
      </c>
      <c r="N148" s="18" t="s">
        <v>1112</v>
      </c>
      <c r="O148" s="18" t="s">
        <v>1117</v>
      </c>
      <c r="P148" s="18" t="s">
        <v>1118</v>
      </c>
      <c r="Q148" s="18" t="s">
        <v>1119</v>
      </c>
      <c r="R148" s="18" t="s">
        <v>1120</v>
      </c>
      <c r="S148" s="18">
        <v>667</v>
      </c>
      <c r="T148" s="18">
        <v>99709.83</v>
      </c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</row>
    <row r="149" spans="6:39" x14ac:dyDescent="0.35">
      <c r="F149" s="18" t="s">
        <v>1109</v>
      </c>
      <c r="G149" s="19">
        <v>46208</v>
      </c>
      <c r="H149" s="18" t="s">
        <v>125</v>
      </c>
      <c r="I149" s="18" t="s">
        <v>1110</v>
      </c>
      <c r="J149" s="18">
        <v>921</v>
      </c>
      <c r="K149" s="18" t="s">
        <v>1111</v>
      </c>
      <c r="L149" s="18" t="s">
        <v>5471</v>
      </c>
      <c r="M149" s="19">
        <v>46208</v>
      </c>
      <c r="N149" s="18" t="s">
        <v>1112</v>
      </c>
      <c r="O149" s="18" t="s">
        <v>1117</v>
      </c>
      <c r="P149" s="18" t="s">
        <v>1118</v>
      </c>
      <c r="Q149" s="18" t="s">
        <v>1119</v>
      </c>
      <c r="R149" s="18" t="s">
        <v>1120</v>
      </c>
      <c r="S149" s="18">
        <v>419</v>
      </c>
      <c r="T149" s="18">
        <v>60541.31</v>
      </c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</row>
    <row r="150" spans="6:39" x14ac:dyDescent="0.35">
      <c r="F150" s="18" t="s">
        <v>1109</v>
      </c>
      <c r="G150" s="19">
        <v>46208</v>
      </c>
      <c r="H150" s="18" t="s">
        <v>125</v>
      </c>
      <c r="I150" s="18" t="s">
        <v>1110</v>
      </c>
      <c r="J150" s="18">
        <v>921</v>
      </c>
      <c r="K150" s="18" t="s">
        <v>1111</v>
      </c>
      <c r="L150" s="18" t="s">
        <v>5471</v>
      </c>
      <c r="M150" s="19">
        <v>46208</v>
      </c>
      <c r="N150" s="18" t="s">
        <v>1112</v>
      </c>
      <c r="O150" s="18" t="s">
        <v>1131</v>
      </c>
      <c r="P150" s="18" t="s">
        <v>1132</v>
      </c>
      <c r="Q150" s="18" t="s">
        <v>1132</v>
      </c>
      <c r="R150" s="18" t="s">
        <v>1131</v>
      </c>
      <c r="S150" s="18">
        <v>170.7</v>
      </c>
      <c r="T150" s="18">
        <v>25517.94</v>
      </c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</row>
    <row r="151" spans="6:39" x14ac:dyDescent="0.35">
      <c r="F151" s="18" t="s">
        <v>1109</v>
      </c>
      <c r="G151" s="19">
        <v>46208</v>
      </c>
      <c r="H151" s="18" t="s">
        <v>125</v>
      </c>
      <c r="I151" s="18" t="s">
        <v>1110</v>
      </c>
      <c r="J151" s="18">
        <v>921</v>
      </c>
      <c r="K151" s="18" t="s">
        <v>1111</v>
      </c>
      <c r="L151" s="18" t="s">
        <v>5471</v>
      </c>
      <c r="M151" s="19">
        <v>46208</v>
      </c>
      <c r="N151" s="18" t="s">
        <v>1112</v>
      </c>
      <c r="O151" s="18" t="s">
        <v>1131</v>
      </c>
      <c r="P151" s="18" t="s">
        <v>1132</v>
      </c>
      <c r="Q151" s="18" t="s">
        <v>1132</v>
      </c>
      <c r="R151" s="18" t="s">
        <v>1131</v>
      </c>
      <c r="S151" s="18">
        <v>96</v>
      </c>
      <c r="T151" s="18">
        <v>14063.04</v>
      </c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</row>
    <row r="152" spans="6:39" x14ac:dyDescent="0.35">
      <c r="F152" s="18" t="s">
        <v>1109</v>
      </c>
      <c r="G152" s="19">
        <v>46208</v>
      </c>
      <c r="H152" s="18" t="s">
        <v>125</v>
      </c>
      <c r="I152" s="18" t="s">
        <v>1110</v>
      </c>
      <c r="J152" s="18">
        <v>921</v>
      </c>
      <c r="K152" s="18" t="s">
        <v>1111</v>
      </c>
      <c r="L152" s="18" t="s">
        <v>5471</v>
      </c>
      <c r="M152" s="19">
        <v>46208</v>
      </c>
      <c r="N152" s="18" t="s">
        <v>1112</v>
      </c>
      <c r="O152" s="18" t="s">
        <v>1113</v>
      </c>
      <c r="P152" s="18" t="s">
        <v>1114</v>
      </c>
      <c r="Q152" s="18" t="s">
        <v>1115</v>
      </c>
      <c r="R152" s="18" t="s">
        <v>1144</v>
      </c>
      <c r="S152" s="18">
        <v>28.4</v>
      </c>
      <c r="T152" s="18">
        <v>4572.12</v>
      </c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</row>
    <row r="153" spans="6:39" x14ac:dyDescent="0.35">
      <c r="F153" s="18" t="s">
        <v>1109</v>
      </c>
      <c r="G153" s="19">
        <v>46208</v>
      </c>
      <c r="H153" s="18" t="s">
        <v>125</v>
      </c>
      <c r="I153" s="18" t="s">
        <v>1110</v>
      </c>
      <c r="J153" s="18">
        <v>922</v>
      </c>
      <c r="K153" s="18" t="s">
        <v>1111</v>
      </c>
      <c r="L153" s="18" t="s">
        <v>5472</v>
      </c>
      <c r="M153" s="19">
        <v>46208</v>
      </c>
      <c r="N153" s="18" t="s">
        <v>1146</v>
      </c>
      <c r="O153" s="18" t="s">
        <v>1179</v>
      </c>
      <c r="P153" s="18" t="s">
        <v>1179</v>
      </c>
      <c r="Q153" s="18" t="s">
        <v>1139</v>
      </c>
      <c r="R153" s="18" t="s">
        <v>1179</v>
      </c>
      <c r="S153" s="18">
        <v>243</v>
      </c>
      <c r="T153" s="18">
        <v>35111.07</v>
      </c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</row>
    <row r="154" spans="6:39" x14ac:dyDescent="0.35">
      <c r="F154" s="18" t="s">
        <v>1109</v>
      </c>
      <c r="G154" s="19">
        <v>46208</v>
      </c>
      <c r="H154" s="18" t="s">
        <v>125</v>
      </c>
      <c r="I154" s="18" t="s">
        <v>1110</v>
      </c>
      <c r="J154" s="18">
        <v>922</v>
      </c>
      <c r="K154" s="18" t="s">
        <v>1111</v>
      </c>
      <c r="L154" s="18" t="s">
        <v>5472</v>
      </c>
      <c r="M154" s="19">
        <v>46208</v>
      </c>
      <c r="N154" s="18" t="s">
        <v>1112</v>
      </c>
      <c r="O154" s="18" t="s">
        <v>1117</v>
      </c>
      <c r="P154" s="18" t="s">
        <v>1138</v>
      </c>
      <c r="Q154" s="18" t="s">
        <v>1139</v>
      </c>
      <c r="R154" s="18" t="s">
        <v>1140</v>
      </c>
      <c r="S154" s="18">
        <v>173</v>
      </c>
      <c r="T154" s="18">
        <v>24996.77</v>
      </c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</row>
    <row r="155" spans="6:39" x14ac:dyDescent="0.35">
      <c r="F155" s="18" t="s">
        <v>1109</v>
      </c>
      <c r="G155" s="19">
        <v>46208</v>
      </c>
      <c r="H155" s="18" t="s">
        <v>125</v>
      </c>
      <c r="I155" s="18" t="s">
        <v>1110</v>
      </c>
      <c r="J155" s="18">
        <v>927</v>
      </c>
      <c r="K155" s="18" t="s">
        <v>1111</v>
      </c>
      <c r="L155" s="18" t="s">
        <v>5473</v>
      </c>
      <c r="M155" s="19">
        <v>46208</v>
      </c>
      <c r="N155" s="18" t="s">
        <v>1112</v>
      </c>
      <c r="O155" s="18" t="s">
        <v>1131</v>
      </c>
      <c r="P155" s="18" t="s">
        <v>1132</v>
      </c>
      <c r="Q155" s="18" t="s">
        <v>1132</v>
      </c>
      <c r="R155" s="18" t="s">
        <v>1131</v>
      </c>
      <c r="S155" s="18">
        <v>28.4</v>
      </c>
      <c r="T155" s="18">
        <v>4245.5200000000004</v>
      </c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</row>
    <row r="156" spans="6:39" x14ac:dyDescent="0.35">
      <c r="F156" s="18" t="s">
        <v>1109</v>
      </c>
      <c r="G156" s="19">
        <v>46209</v>
      </c>
      <c r="H156" s="18" t="s">
        <v>3790</v>
      </c>
      <c r="I156" s="18" t="s">
        <v>1110</v>
      </c>
      <c r="J156" s="18">
        <v>932</v>
      </c>
      <c r="K156" s="18" t="s">
        <v>1111</v>
      </c>
      <c r="L156" s="18" t="s">
        <v>2331</v>
      </c>
      <c r="M156" s="19">
        <v>46209</v>
      </c>
      <c r="N156" s="18" t="s">
        <v>1112</v>
      </c>
      <c r="O156" s="18" t="s">
        <v>1117</v>
      </c>
      <c r="P156" s="18" t="s">
        <v>1118</v>
      </c>
      <c r="Q156" s="18" t="s">
        <v>1119</v>
      </c>
      <c r="R156" s="18" t="s">
        <v>1120</v>
      </c>
      <c r="S156" s="18">
        <v>3213</v>
      </c>
      <c r="T156" s="18">
        <v>464246.37</v>
      </c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</row>
    <row r="157" spans="6:39" x14ac:dyDescent="0.35">
      <c r="F157" s="18" t="s">
        <v>1109</v>
      </c>
      <c r="G157" s="19">
        <v>46209</v>
      </c>
      <c r="H157" s="18" t="s">
        <v>3790</v>
      </c>
      <c r="I157" s="18" t="s">
        <v>1110</v>
      </c>
      <c r="J157" s="18">
        <v>932</v>
      </c>
      <c r="K157" s="18" t="s">
        <v>1111</v>
      </c>
      <c r="L157" s="18" t="s">
        <v>2331</v>
      </c>
      <c r="M157" s="19">
        <v>46209</v>
      </c>
      <c r="N157" s="18" t="s">
        <v>1112</v>
      </c>
      <c r="O157" s="18" t="s">
        <v>1117</v>
      </c>
      <c r="P157" s="18" t="s">
        <v>1118</v>
      </c>
      <c r="Q157" s="18" t="s">
        <v>1119</v>
      </c>
      <c r="R157" s="18" t="s">
        <v>1120</v>
      </c>
      <c r="S157" s="18">
        <v>1153</v>
      </c>
      <c r="T157" s="18">
        <v>170055.97</v>
      </c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</row>
    <row r="158" spans="6:39" x14ac:dyDescent="0.35">
      <c r="F158" s="18" t="s">
        <v>1109</v>
      </c>
      <c r="G158" s="19">
        <v>46209</v>
      </c>
      <c r="H158" s="18" t="s">
        <v>3790</v>
      </c>
      <c r="I158" s="18" t="s">
        <v>1110</v>
      </c>
      <c r="J158" s="18">
        <v>932</v>
      </c>
      <c r="K158" s="18" t="s">
        <v>1111</v>
      </c>
      <c r="L158" s="18" t="s">
        <v>2331</v>
      </c>
      <c r="M158" s="19">
        <v>46209</v>
      </c>
      <c r="N158" s="18" t="s">
        <v>1112</v>
      </c>
      <c r="O158" s="18" t="s">
        <v>1117</v>
      </c>
      <c r="P158" s="18" t="s">
        <v>1118</v>
      </c>
      <c r="Q158" s="18" t="s">
        <v>1119</v>
      </c>
      <c r="R158" s="18" t="s">
        <v>1120</v>
      </c>
      <c r="S158" s="18">
        <v>2826</v>
      </c>
      <c r="T158" s="18">
        <v>413980.74</v>
      </c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</row>
    <row r="159" spans="6:39" x14ac:dyDescent="0.35">
      <c r="F159" s="18" t="s">
        <v>1109</v>
      </c>
      <c r="G159" s="19">
        <v>46209</v>
      </c>
      <c r="H159" s="18" t="s">
        <v>3790</v>
      </c>
      <c r="I159" s="18" t="s">
        <v>1110</v>
      </c>
      <c r="J159" s="18">
        <v>932</v>
      </c>
      <c r="K159" s="18" t="s">
        <v>1111</v>
      </c>
      <c r="L159" s="18" t="s">
        <v>2331</v>
      </c>
      <c r="M159" s="19">
        <v>46209</v>
      </c>
      <c r="N159" s="18" t="s">
        <v>1112</v>
      </c>
      <c r="O159" s="18" t="s">
        <v>1131</v>
      </c>
      <c r="P159" s="18" t="s">
        <v>1132</v>
      </c>
      <c r="Q159" s="18" t="s">
        <v>1132</v>
      </c>
      <c r="R159" s="18" t="s">
        <v>1131</v>
      </c>
      <c r="S159" s="18">
        <v>5.8</v>
      </c>
      <c r="T159" s="18">
        <v>988.84</v>
      </c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</row>
    <row r="160" spans="6:39" x14ac:dyDescent="0.35">
      <c r="F160" s="18" t="s">
        <v>1109</v>
      </c>
      <c r="G160" s="19">
        <v>46209</v>
      </c>
      <c r="H160" s="18" t="s">
        <v>3790</v>
      </c>
      <c r="I160" s="18" t="s">
        <v>1110</v>
      </c>
      <c r="J160" s="18">
        <v>932</v>
      </c>
      <c r="K160" s="18" t="s">
        <v>1111</v>
      </c>
      <c r="L160" s="18" t="s">
        <v>2331</v>
      </c>
      <c r="M160" s="19">
        <v>46209</v>
      </c>
      <c r="N160" s="18" t="s">
        <v>1112</v>
      </c>
      <c r="O160" s="18" t="s">
        <v>1131</v>
      </c>
      <c r="P160" s="18" t="s">
        <v>1132</v>
      </c>
      <c r="Q160" s="18" t="s">
        <v>1132</v>
      </c>
      <c r="R160" s="18" t="s">
        <v>1131</v>
      </c>
      <c r="S160" s="18">
        <v>706.1</v>
      </c>
      <c r="T160" s="18">
        <v>103436.59</v>
      </c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</row>
    <row r="161" spans="6:39" x14ac:dyDescent="0.35">
      <c r="F161" s="18" t="s">
        <v>1109</v>
      </c>
      <c r="G161" s="19">
        <v>46209</v>
      </c>
      <c r="H161" s="18" t="s">
        <v>3790</v>
      </c>
      <c r="I161" s="18" t="s">
        <v>1110</v>
      </c>
      <c r="J161" s="18">
        <v>932</v>
      </c>
      <c r="K161" s="18" t="s">
        <v>1111</v>
      </c>
      <c r="L161" s="18" t="s">
        <v>2331</v>
      </c>
      <c r="M161" s="19">
        <v>46209</v>
      </c>
      <c r="N161" s="18" t="s">
        <v>1112</v>
      </c>
      <c r="O161" s="18" t="s">
        <v>1131</v>
      </c>
      <c r="P161" s="18" t="s">
        <v>1132</v>
      </c>
      <c r="Q161" s="18" t="s">
        <v>1132</v>
      </c>
      <c r="R161" s="18" t="s">
        <v>1131</v>
      </c>
      <c r="S161" s="18">
        <v>1181.5999999999999</v>
      </c>
      <c r="T161" s="18">
        <v>176637.38</v>
      </c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</row>
    <row r="162" spans="6:39" x14ac:dyDescent="0.35">
      <c r="F162" s="18" t="s">
        <v>1109</v>
      </c>
      <c r="G162" s="19">
        <v>46209</v>
      </c>
      <c r="H162" s="18" t="s">
        <v>3790</v>
      </c>
      <c r="I162" s="18" t="s">
        <v>1110</v>
      </c>
      <c r="J162" s="18">
        <v>933</v>
      </c>
      <c r="K162" s="18" t="s">
        <v>1121</v>
      </c>
      <c r="L162" s="18" t="s">
        <v>5643</v>
      </c>
      <c r="M162" s="19">
        <v>46209</v>
      </c>
      <c r="N162" s="18" t="s">
        <v>1122</v>
      </c>
      <c r="O162" s="18" t="s">
        <v>1123</v>
      </c>
      <c r="P162" s="18" t="s">
        <v>1124</v>
      </c>
      <c r="Q162" s="18" t="s">
        <v>1125</v>
      </c>
      <c r="R162" s="18" t="s">
        <v>1126</v>
      </c>
      <c r="S162" s="18">
        <v>244</v>
      </c>
      <c r="T162" s="18">
        <v>11712</v>
      </c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</row>
    <row r="163" spans="6:39" x14ac:dyDescent="0.35">
      <c r="F163" s="18" t="s">
        <v>1109</v>
      </c>
      <c r="G163" s="19">
        <v>46209</v>
      </c>
      <c r="H163" s="18" t="s">
        <v>3790</v>
      </c>
      <c r="I163" s="18" t="s">
        <v>1110</v>
      </c>
      <c r="J163" s="18">
        <v>934</v>
      </c>
      <c r="K163" s="18" t="s">
        <v>1111</v>
      </c>
      <c r="L163" s="18" t="s">
        <v>5644</v>
      </c>
      <c r="M163" s="19">
        <v>46209</v>
      </c>
      <c r="N163" s="18" t="s">
        <v>1112</v>
      </c>
      <c r="O163" s="18" t="s">
        <v>1127</v>
      </c>
      <c r="P163" s="18" t="s">
        <v>1128</v>
      </c>
      <c r="Q163" s="18" t="s">
        <v>1129</v>
      </c>
      <c r="R163" s="18" t="s">
        <v>1130</v>
      </c>
      <c r="S163" s="18">
        <v>3556.1</v>
      </c>
      <c r="T163" s="18">
        <v>649983.96</v>
      </c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</row>
    <row r="164" spans="6:39" x14ac:dyDescent="0.35">
      <c r="F164" s="18" t="s">
        <v>1109</v>
      </c>
      <c r="G164" s="19">
        <v>46209</v>
      </c>
      <c r="H164" s="18" t="s">
        <v>3790</v>
      </c>
      <c r="I164" s="18" t="s">
        <v>1110</v>
      </c>
      <c r="J164" s="18">
        <v>934</v>
      </c>
      <c r="K164" s="18" t="s">
        <v>1111</v>
      </c>
      <c r="L164" s="18" t="s">
        <v>5644</v>
      </c>
      <c r="M164" s="19">
        <v>46209</v>
      </c>
      <c r="N164" s="18" t="s">
        <v>1112</v>
      </c>
      <c r="O164" s="18" t="s">
        <v>1117</v>
      </c>
      <c r="P164" s="18" t="s">
        <v>1118</v>
      </c>
      <c r="Q164" s="18" t="s">
        <v>1119</v>
      </c>
      <c r="R164" s="18" t="s">
        <v>1120</v>
      </c>
      <c r="S164" s="18">
        <v>220</v>
      </c>
      <c r="T164" s="18">
        <v>31787.8</v>
      </c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</row>
    <row r="165" spans="6:39" x14ac:dyDescent="0.35">
      <c r="F165" s="18" t="s">
        <v>1109</v>
      </c>
      <c r="G165" s="19">
        <v>46209</v>
      </c>
      <c r="H165" s="18" t="s">
        <v>3790</v>
      </c>
      <c r="I165" s="18" t="s">
        <v>1110</v>
      </c>
      <c r="J165" s="18">
        <v>935</v>
      </c>
      <c r="K165" s="18" t="s">
        <v>1111</v>
      </c>
      <c r="L165" s="18" t="s">
        <v>5645</v>
      </c>
      <c r="M165" s="19">
        <v>46209</v>
      </c>
      <c r="N165" s="18" t="s">
        <v>1112</v>
      </c>
      <c r="O165" s="18" t="s">
        <v>1117</v>
      </c>
      <c r="P165" s="18" t="s">
        <v>1118</v>
      </c>
      <c r="Q165" s="18" t="s">
        <v>1119</v>
      </c>
      <c r="R165" s="18" t="s">
        <v>1120</v>
      </c>
      <c r="S165" s="18">
        <v>410</v>
      </c>
      <c r="T165" s="18">
        <v>59240.9</v>
      </c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</row>
    <row r="166" spans="6:39" x14ac:dyDescent="0.35">
      <c r="F166" s="18" t="s">
        <v>1109</v>
      </c>
      <c r="G166" s="19">
        <v>46209</v>
      </c>
      <c r="H166" s="18" t="s">
        <v>1135</v>
      </c>
      <c r="I166" s="18" t="s">
        <v>1136</v>
      </c>
      <c r="J166" s="18" t="s">
        <v>5646</v>
      </c>
      <c r="K166" s="18" t="s">
        <v>1137</v>
      </c>
      <c r="L166" s="18" t="s">
        <v>5646</v>
      </c>
      <c r="M166" s="19">
        <v>46209</v>
      </c>
      <c r="N166" s="18" t="s">
        <v>1112</v>
      </c>
      <c r="O166" s="18" t="s">
        <v>1117</v>
      </c>
      <c r="P166" s="18" t="s">
        <v>1118</v>
      </c>
      <c r="Q166" s="18" t="s">
        <v>1119</v>
      </c>
      <c r="R166" s="18" t="s">
        <v>1120</v>
      </c>
      <c r="S166" s="18">
        <v>2568</v>
      </c>
      <c r="T166" s="18">
        <v>356941.728</v>
      </c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</row>
    <row r="167" spans="6:39" x14ac:dyDescent="0.35">
      <c r="F167" s="18" t="s">
        <v>1109</v>
      </c>
      <c r="G167" s="19">
        <v>46209</v>
      </c>
      <c r="H167" s="18" t="s">
        <v>1135</v>
      </c>
      <c r="I167" s="18" t="s">
        <v>1136</v>
      </c>
      <c r="J167" s="18" t="s">
        <v>5647</v>
      </c>
      <c r="K167" s="18" t="s">
        <v>1137</v>
      </c>
      <c r="L167" s="18" t="s">
        <v>5647</v>
      </c>
      <c r="M167" s="19">
        <v>46209</v>
      </c>
      <c r="N167" s="18" t="s">
        <v>1146</v>
      </c>
      <c r="O167" s="18" t="s">
        <v>1147</v>
      </c>
      <c r="P167" s="18" t="s">
        <v>1147</v>
      </c>
      <c r="Q167" s="18" t="s">
        <v>1148</v>
      </c>
      <c r="R167" s="18" t="s">
        <v>1169</v>
      </c>
      <c r="S167" s="18">
        <v>1923</v>
      </c>
      <c r="T167" s="18">
        <v>480742.70400000003</v>
      </c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</row>
    <row r="168" spans="6:39" x14ac:dyDescent="0.35">
      <c r="F168" s="18" t="s">
        <v>1109</v>
      </c>
      <c r="G168" s="19">
        <v>46209</v>
      </c>
      <c r="H168" s="18" t="s">
        <v>1135</v>
      </c>
      <c r="I168" s="18" t="s">
        <v>1136</v>
      </c>
      <c r="J168" s="18" t="s">
        <v>5647</v>
      </c>
      <c r="K168" s="18" t="s">
        <v>1137</v>
      </c>
      <c r="L168" s="18" t="s">
        <v>5647</v>
      </c>
      <c r="M168" s="19">
        <v>46209</v>
      </c>
      <c r="N168" s="18" t="s">
        <v>1146</v>
      </c>
      <c r="O168" s="18" t="s">
        <v>1147</v>
      </c>
      <c r="P168" s="18" t="s">
        <v>1147</v>
      </c>
      <c r="Q168" s="18" t="s">
        <v>1148</v>
      </c>
      <c r="R168" s="18" t="s">
        <v>1149</v>
      </c>
      <c r="S168" s="18">
        <v>5399.6</v>
      </c>
      <c r="T168" s="18">
        <v>1349879.544</v>
      </c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</row>
    <row r="169" spans="6:39" x14ac:dyDescent="0.35">
      <c r="F169" s="18" t="s">
        <v>1109</v>
      </c>
      <c r="G169" s="19">
        <v>46209</v>
      </c>
      <c r="H169" s="18" t="s">
        <v>485</v>
      </c>
      <c r="I169" s="18" t="s">
        <v>1110</v>
      </c>
      <c r="J169" s="18">
        <v>941</v>
      </c>
      <c r="K169" s="18" t="s">
        <v>1121</v>
      </c>
      <c r="L169" s="18" t="s">
        <v>2333</v>
      </c>
      <c r="M169" s="19">
        <v>46209</v>
      </c>
      <c r="N169" s="18" t="s">
        <v>1122</v>
      </c>
      <c r="O169" s="18" t="s">
        <v>1123</v>
      </c>
      <c r="P169" s="18" t="s">
        <v>1124</v>
      </c>
      <c r="Q169" s="18" t="s">
        <v>1125</v>
      </c>
      <c r="R169" s="18" t="s">
        <v>1126</v>
      </c>
      <c r="S169" s="18">
        <v>220</v>
      </c>
      <c r="T169" s="18">
        <v>10560</v>
      </c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</row>
    <row r="170" spans="6:39" x14ac:dyDescent="0.35">
      <c r="F170" s="18" t="s">
        <v>1109</v>
      </c>
      <c r="G170" s="19">
        <v>46209</v>
      </c>
      <c r="H170" s="18" t="s">
        <v>485</v>
      </c>
      <c r="I170" s="18" t="s">
        <v>1110</v>
      </c>
      <c r="J170" s="18">
        <v>944</v>
      </c>
      <c r="K170" s="18" t="s">
        <v>1111</v>
      </c>
      <c r="L170" s="18" t="s">
        <v>5648</v>
      </c>
      <c r="M170" s="19">
        <v>46209</v>
      </c>
      <c r="N170" s="18" t="s">
        <v>1112</v>
      </c>
      <c r="O170" s="18" t="s">
        <v>1127</v>
      </c>
      <c r="P170" s="18" t="s">
        <v>1128</v>
      </c>
      <c r="Q170" s="18" t="s">
        <v>1129</v>
      </c>
      <c r="R170" s="18" t="s">
        <v>1130</v>
      </c>
      <c r="S170" s="18">
        <v>542.6</v>
      </c>
      <c r="T170" s="18">
        <v>99176.43</v>
      </c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</row>
    <row r="171" spans="6:39" x14ac:dyDescent="0.35">
      <c r="F171" s="18" t="s">
        <v>1109</v>
      </c>
      <c r="G171" s="19">
        <v>46209</v>
      </c>
      <c r="H171" s="18" t="s">
        <v>485</v>
      </c>
      <c r="I171" s="18" t="s">
        <v>1110</v>
      </c>
      <c r="J171" s="18">
        <v>944</v>
      </c>
      <c r="K171" s="18" t="s">
        <v>1111</v>
      </c>
      <c r="L171" s="18" t="s">
        <v>5648</v>
      </c>
      <c r="M171" s="19">
        <v>46209</v>
      </c>
      <c r="N171" s="18" t="s">
        <v>1112</v>
      </c>
      <c r="O171" s="18" t="s">
        <v>1127</v>
      </c>
      <c r="P171" s="18" t="s">
        <v>1128</v>
      </c>
      <c r="Q171" s="18" t="s">
        <v>1129</v>
      </c>
      <c r="R171" s="18" t="s">
        <v>1130</v>
      </c>
      <c r="S171" s="18">
        <v>358.2</v>
      </c>
      <c r="T171" s="18">
        <v>65471.8</v>
      </c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</row>
    <row r="172" spans="6:39" x14ac:dyDescent="0.35">
      <c r="F172" s="18" t="s">
        <v>1109</v>
      </c>
      <c r="G172" s="19">
        <v>46209</v>
      </c>
      <c r="H172" s="18" t="s">
        <v>4402</v>
      </c>
      <c r="I172" s="18" t="s">
        <v>1110</v>
      </c>
      <c r="J172" s="18">
        <v>942</v>
      </c>
      <c r="K172" s="18" t="s">
        <v>1121</v>
      </c>
      <c r="L172" s="18" t="s">
        <v>5649</v>
      </c>
      <c r="M172" s="19">
        <v>46209</v>
      </c>
      <c r="N172" s="18" t="s">
        <v>1133</v>
      </c>
      <c r="O172" s="18" t="s">
        <v>1134</v>
      </c>
      <c r="P172" s="18" t="s">
        <v>5000</v>
      </c>
      <c r="Q172" s="18" t="s">
        <v>5001</v>
      </c>
      <c r="R172" s="18" t="s">
        <v>5002</v>
      </c>
      <c r="S172" s="18">
        <v>5000</v>
      </c>
      <c r="T172" s="18">
        <v>738924</v>
      </c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</row>
    <row r="173" spans="6:39" x14ac:dyDescent="0.35">
      <c r="F173" s="18" t="s">
        <v>1109</v>
      </c>
      <c r="G173" s="19">
        <v>46209</v>
      </c>
      <c r="H173" s="18" t="s">
        <v>4402</v>
      </c>
      <c r="I173" s="18" t="s">
        <v>1110</v>
      </c>
      <c r="J173" s="18">
        <v>942</v>
      </c>
      <c r="K173" s="18" t="s">
        <v>1121</v>
      </c>
      <c r="L173" s="18" t="s">
        <v>5649</v>
      </c>
      <c r="M173" s="19">
        <v>46209</v>
      </c>
      <c r="N173" s="18" t="s">
        <v>1133</v>
      </c>
      <c r="O173" s="18" t="s">
        <v>1134</v>
      </c>
      <c r="P173" s="18" t="s">
        <v>5000</v>
      </c>
      <c r="Q173" s="18" t="s">
        <v>5001</v>
      </c>
      <c r="R173" s="18" t="s">
        <v>5002</v>
      </c>
      <c r="S173" s="18">
        <v>7500</v>
      </c>
      <c r="T173" s="18">
        <v>1108386</v>
      </c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</row>
    <row r="174" spans="6:39" x14ac:dyDescent="0.35">
      <c r="F174" s="18" t="s">
        <v>1109</v>
      </c>
      <c r="G174" s="19">
        <v>46209</v>
      </c>
      <c r="H174" s="18" t="s">
        <v>125</v>
      </c>
      <c r="I174" s="18" t="s">
        <v>1110</v>
      </c>
      <c r="J174" s="18">
        <v>937</v>
      </c>
      <c r="K174" s="18" t="s">
        <v>1121</v>
      </c>
      <c r="L174" s="18" t="s">
        <v>5475</v>
      </c>
      <c r="M174" s="19">
        <v>46209</v>
      </c>
      <c r="N174" s="18" t="s">
        <v>1122</v>
      </c>
      <c r="O174" s="18" t="s">
        <v>1123</v>
      </c>
      <c r="P174" s="18" t="s">
        <v>1124</v>
      </c>
      <c r="Q174" s="18" t="s">
        <v>1125</v>
      </c>
      <c r="R174" s="18" t="s">
        <v>1126</v>
      </c>
      <c r="S174" s="18">
        <v>61</v>
      </c>
      <c r="T174" s="18">
        <v>2928</v>
      </c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</row>
    <row r="175" spans="6:39" x14ac:dyDescent="0.35">
      <c r="F175" s="18" t="s">
        <v>1109</v>
      </c>
      <c r="G175" s="19">
        <v>46209</v>
      </c>
      <c r="H175" s="18" t="s">
        <v>125</v>
      </c>
      <c r="I175" s="18" t="s">
        <v>1110</v>
      </c>
      <c r="J175" s="18">
        <v>938</v>
      </c>
      <c r="K175" s="18" t="s">
        <v>1111</v>
      </c>
      <c r="L175" s="18" t="s">
        <v>5476</v>
      </c>
      <c r="M175" s="19">
        <v>46209</v>
      </c>
      <c r="N175" s="18" t="s">
        <v>1112</v>
      </c>
      <c r="O175" s="18" t="s">
        <v>1117</v>
      </c>
      <c r="P175" s="18" t="s">
        <v>1138</v>
      </c>
      <c r="Q175" s="18" t="s">
        <v>1139</v>
      </c>
      <c r="R175" s="18" t="s">
        <v>1140</v>
      </c>
      <c r="S175" s="18">
        <v>141</v>
      </c>
      <c r="T175" s="18">
        <v>20937.09</v>
      </c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</row>
    <row r="176" spans="6:39" x14ac:dyDescent="0.35">
      <c r="F176" s="18" t="s">
        <v>1109</v>
      </c>
      <c r="G176" s="19">
        <v>46209</v>
      </c>
      <c r="H176" s="18" t="s">
        <v>125</v>
      </c>
      <c r="I176" s="18" t="s">
        <v>1110</v>
      </c>
      <c r="J176" s="18">
        <v>938</v>
      </c>
      <c r="K176" s="18" t="s">
        <v>1111</v>
      </c>
      <c r="L176" s="18" t="s">
        <v>5476</v>
      </c>
      <c r="M176" s="19">
        <v>46209</v>
      </c>
      <c r="N176" s="18" t="s">
        <v>1112</v>
      </c>
      <c r="O176" s="18" t="s">
        <v>1117</v>
      </c>
      <c r="P176" s="18" t="s">
        <v>1138</v>
      </c>
      <c r="Q176" s="18" t="s">
        <v>1139</v>
      </c>
      <c r="R176" s="18" t="s">
        <v>4740</v>
      </c>
      <c r="S176" s="18">
        <v>305</v>
      </c>
      <c r="T176" s="18">
        <v>45289.45</v>
      </c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</row>
    <row r="177" spans="6:39" x14ac:dyDescent="0.35">
      <c r="F177" s="18" t="s">
        <v>1109</v>
      </c>
      <c r="G177" s="19">
        <v>46209</v>
      </c>
      <c r="H177" s="18" t="s">
        <v>125</v>
      </c>
      <c r="I177" s="18" t="s">
        <v>1110</v>
      </c>
      <c r="J177" s="18">
        <v>938</v>
      </c>
      <c r="K177" s="18" t="s">
        <v>1111</v>
      </c>
      <c r="L177" s="18" t="s">
        <v>5476</v>
      </c>
      <c r="M177" s="19">
        <v>46209</v>
      </c>
      <c r="N177" s="18" t="s">
        <v>1112</v>
      </c>
      <c r="O177" s="18" t="s">
        <v>1117</v>
      </c>
      <c r="P177" s="18" t="s">
        <v>1118</v>
      </c>
      <c r="Q177" s="18" t="s">
        <v>1119</v>
      </c>
      <c r="R177" s="18" t="s">
        <v>1120</v>
      </c>
      <c r="S177" s="18">
        <v>385</v>
      </c>
      <c r="T177" s="18">
        <v>55628.65</v>
      </c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</row>
    <row r="178" spans="6:39" x14ac:dyDescent="0.35">
      <c r="F178" s="18" t="s">
        <v>1109</v>
      </c>
      <c r="G178" s="19">
        <v>46209</v>
      </c>
      <c r="H178" s="18" t="s">
        <v>125</v>
      </c>
      <c r="I178" s="18" t="s">
        <v>1110</v>
      </c>
      <c r="J178" s="18">
        <v>938</v>
      </c>
      <c r="K178" s="18" t="s">
        <v>1111</v>
      </c>
      <c r="L178" s="18" t="s">
        <v>5476</v>
      </c>
      <c r="M178" s="19">
        <v>46209</v>
      </c>
      <c r="N178" s="18" t="s">
        <v>1112</v>
      </c>
      <c r="O178" s="18" t="s">
        <v>1117</v>
      </c>
      <c r="P178" s="18" t="s">
        <v>1118</v>
      </c>
      <c r="Q178" s="18" t="s">
        <v>1119</v>
      </c>
      <c r="R178" s="18" t="s">
        <v>1120</v>
      </c>
      <c r="S178" s="18">
        <v>870</v>
      </c>
      <c r="T178" s="18">
        <v>130056.3</v>
      </c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</row>
    <row r="179" spans="6:39" x14ac:dyDescent="0.35">
      <c r="F179" s="18" t="s">
        <v>1109</v>
      </c>
      <c r="G179" s="19">
        <v>46209</v>
      </c>
      <c r="H179" s="18" t="s">
        <v>125</v>
      </c>
      <c r="I179" s="18" t="s">
        <v>1110</v>
      </c>
      <c r="J179" s="18">
        <v>938</v>
      </c>
      <c r="K179" s="18" t="s">
        <v>1111</v>
      </c>
      <c r="L179" s="18" t="s">
        <v>5476</v>
      </c>
      <c r="M179" s="19">
        <v>46209</v>
      </c>
      <c r="N179" s="18" t="s">
        <v>1112</v>
      </c>
      <c r="O179" s="18" t="s">
        <v>1113</v>
      </c>
      <c r="P179" s="18" t="s">
        <v>1114</v>
      </c>
      <c r="Q179" s="18" t="s">
        <v>1115</v>
      </c>
      <c r="R179" s="18" t="s">
        <v>1144</v>
      </c>
      <c r="S179" s="18">
        <v>25.3</v>
      </c>
      <c r="T179" s="18">
        <v>4073.05</v>
      </c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</row>
    <row r="180" spans="6:39" x14ac:dyDescent="0.35">
      <c r="F180" s="18" t="s">
        <v>1109</v>
      </c>
      <c r="G180" s="19">
        <v>46209</v>
      </c>
      <c r="H180" s="18" t="s">
        <v>125</v>
      </c>
      <c r="I180" s="18" t="s">
        <v>1110</v>
      </c>
      <c r="J180" s="18">
        <v>938</v>
      </c>
      <c r="K180" s="18" t="s">
        <v>1111</v>
      </c>
      <c r="L180" s="18" t="s">
        <v>5476</v>
      </c>
      <c r="M180" s="19">
        <v>46209</v>
      </c>
      <c r="N180" s="18" t="s">
        <v>1112</v>
      </c>
      <c r="O180" s="18" t="s">
        <v>1131</v>
      </c>
      <c r="P180" s="18" t="s">
        <v>1132</v>
      </c>
      <c r="Q180" s="18" t="s">
        <v>1132</v>
      </c>
      <c r="R180" s="18" t="s">
        <v>1131</v>
      </c>
      <c r="S180" s="18">
        <v>28.8</v>
      </c>
      <c r="T180" s="18">
        <v>4218.91</v>
      </c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</row>
    <row r="181" spans="6:39" x14ac:dyDescent="0.35">
      <c r="F181" s="18" t="s">
        <v>1109</v>
      </c>
      <c r="G181" s="19">
        <v>46209</v>
      </c>
      <c r="H181" s="18" t="s">
        <v>125</v>
      </c>
      <c r="I181" s="18" t="s">
        <v>1110</v>
      </c>
      <c r="J181" s="18">
        <v>938</v>
      </c>
      <c r="K181" s="18" t="s">
        <v>1111</v>
      </c>
      <c r="L181" s="18" t="s">
        <v>5476</v>
      </c>
      <c r="M181" s="19">
        <v>46209</v>
      </c>
      <c r="N181" s="18" t="s">
        <v>1112</v>
      </c>
      <c r="O181" s="18" t="s">
        <v>1131</v>
      </c>
      <c r="P181" s="18" t="s">
        <v>1132</v>
      </c>
      <c r="Q181" s="18" t="s">
        <v>1132</v>
      </c>
      <c r="R181" s="18" t="s">
        <v>1131</v>
      </c>
      <c r="S181" s="18">
        <v>97.7</v>
      </c>
      <c r="T181" s="18">
        <v>14605.17</v>
      </c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</row>
    <row r="182" spans="6:39" x14ac:dyDescent="0.35">
      <c r="F182" s="18" t="s">
        <v>1109</v>
      </c>
      <c r="G182" s="19">
        <v>46209</v>
      </c>
      <c r="H182" s="18" t="s">
        <v>125</v>
      </c>
      <c r="I182" s="18" t="s">
        <v>1110</v>
      </c>
      <c r="J182" s="18">
        <v>939</v>
      </c>
      <c r="K182" s="18" t="s">
        <v>1111</v>
      </c>
      <c r="L182" s="18" t="s">
        <v>5477</v>
      </c>
      <c r="M182" s="19">
        <v>46209</v>
      </c>
      <c r="N182" s="18" t="s">
        <v>1112</v>
      </c>
      <c r="O182" s="18" t="s">
        <v>1117</v>
      </c>
      <c r="P182" s="18" t="s">
        <v>1138</v>
      </c>
      <c r="Q182" s="18" t="s">
        <v>1139</v>
      </c>
      <c r="R182" s="18" t="s">
        <v>4740</v>
      </c>
      <c r="S182" s="18">
        <v>542</v>
      </c>
      <c r="T182" s="18">
        <v>80481.58</v>
      </c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</row>
    <row r="183" spans="6:39" x14ac:dyDescent="0.35">
      <c r="F183" s="18" t="s">
        <v>1109</v>
      </c>
      <c r="G183" s="19">
        <v>46209</v>
      </c>
      <c r="H183" s="18" t="s">
        <v>125</v>
      </c>
      <c r="I183" s="18" t="s">
        <v>1110</v>
      </c>
      <c r="J183" s="18">
        <v>940</v>
      </c>
      <c r="K183" s="18" t="s">
        <v>1111</v>
      </c>
      <c r="L183" s="18" t="s">
        <v>5478</v>
      </c>
      <c r="M183" s="19">
        <v>46209</v>
      </c>
      <c r="N183" s="18" t="s">
        <v>1112</v>
      </c>
      <c r="O183" s="18" t="s">
        <v>1113</v>
      </c>
      <c r="P183" s="18" t="s">
        <v>1114</v>
      </c>
      <c r="Q183" s="18" t="s">
        <v>1115</v>
      </c>
      <c r="R183" s="18" t="s">
        <v>1116</v>
      </c>
      <c r="S183" s="18">
        <v>418.3</v>
      </c>
      <c r="T183" s="18">
        <v>65459.77</v>
      </c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</row>
    <row r="184" spans="6:39" x14ac:dyDescent="0.35">
      <c r="F184" s="18" t="s">
        <v>1109</v>
      </c>
      <c r="G184" s="19">
        <v>46209</v>
      </c>
      <c r="H184" s="18" t="s">
        <v>609</v>
      </c>
      <c r="I184" s="18" t="s">
        <v>1136</v>
      </c>
      <c r="J184" s="18" t="s">
        <v>5308</v>
      </c>
      <c r="K184" s="18" t="s">
        <v>2028</v>
      </c>
      <c r="L184" s="18" t="s">
        <v>5308</v>
      </c>
      <c r="M184" s="19">
        <v>46209</v>
      </c>
      <c r="N184" s="18" t="s">
        <v>1112</v>
      </c>
      <c r="O184" s="18" t="s">
        <v>1113</v>
      </c>
      <c r="P184" s="18" t="s">
        <v>1114</v>
      </c>
      <c r="Q184" s="18" t="s">
        <v>1115</v>
      </c>
      <c r="R184" s="18" t="s">
        <v>5650</v>
      </c>
      <c r="S184" s="18">
        <v>20740</v>
      </c>
      <c r="T184" s="18">
        <v>3491826.69</v>
      </c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</row>
    <row r="185" spans="6:39" x14ac:dyDescent="0.35">
      <c r="F185" s="18" t="s">
        <v>1109</v>
      </c>
      <c r="G185" s="19">
        <v>46209</v>
      </c>
      <c r="H185" s="18" t="s">
        <v>1196</v>
      </c>
      <c r="I185" s="18" t="s">
        <v>1110</v>
      </c>
      <c r="J185" s="18">
        <v>936</v>
      </c>
      <c r="K185" s="18" t="s">
        <v>1191</v>
      </c>
      <c r="L185" s="18" t="s">
        <v>2332</v>
      </c>
      <c r="M185" s="19">
        <v>46209</v>
      </c>
      <c r="N185" s="18" t="s">
        <v>1112</v>
      </c>
      <c r="O185" s="18" t="s">
        <v>1151</v>
      </c>
      <c r="P185" s="18" t="s">
        <v>1151</v>
      </c>
      <c r="Q185" s="18" t="s">
        <v>1152</v>
      </c>
      <c r="R185" s="18" t="s">
        <v>1151</v>
      </c>
      <c r="S185" s="18">
        <v>30000</v>
      </c>
      <c r="T185" s="18">
        <v>1992000</v>
      </c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</row>
    <row r="186" spans="6:39" x14ac:dyDescent="0.35">
      <c r="F186" s="18" t="s">
        <v>1109</v>
      </c>
      <c r="G186" s="19">
        <v>46210</v>
      </c>
      <c r="H186" s="18" t="s">
        <v>1159</v>
      </c>
      <c r="I186" s="18" t="s">
        <v>1110</v>
      </c>
      <c r="J186" s="18">
        <v>949</v>
      </c>
      <c r="K186" s="18" t="s">
        <v>1111</v>
      </c>
      <c r="L186" s="18" t="s">
        <v>5651</v>
      </c>
      <c r="M186" s="19">
        <v>46210</v>
      </c>
      <c r="N186" s="18" t="s">
        <v>1146</v>
      </c>
      <c r="O186" s="18" t="s">
        <v>1170</v>
      </c>
      <c r="P186" s="18" t="s">
        <v>1171</v>
      </c>
      <c r="Q186" s="18" t="s">
        <v>3759</v>
      </c>
      <c r="R186" s="18" t="s">
        <v>4741</v>
      </c>
      <c r="S186" s="18">
        <v>396.9</v>
      </c>
      <c r="T186" s="18">
        <v>140712.95999999999</v>
      </c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</row>
    <row r="187" spans="6:39" x14ac:dyDescent="0.35">
      <c r="F187" s="18" t="s">
        <v>1109</v>
      </c>
      <c r="G187" s="19">
        <v>46210</v>
      </c>
      <c r="H187" s="18" t="s">
        <v>1159</v>
      </c>
      <c r="I187" s="18" t="s">
        <v>1110</v>
      </c>
      <c r="J187" s="18">
        <v>949</v>
      </c>
      <c r="K187" s="18" t="s">
        <v>1111</v>
      </c>
      <c r="L187" s="18" t="s">
        <v>5651</v>
      </c>
      <c r="M187" s="19">
        <v>46210</v>
      </c>
      <c r="N187" s="18" t="s">
        <v>1146</v>
      </c>
      <c r="O187" s="18" t="s">
        <v>1170</v>
      </c>
      <c r="P187" s="18" t="s">
        <v>1171</v>
      </c>
      <c r="Q187" s="18" t="s">
        <v>3759</v>
      </c>
      <c r="R187" s="18" t="s">
        <v>4741</v>
      </c>
      <c r="S187" s="18">
        <v>724.2</v>
      </c>
      <c r="T187" s="18">
        <v>257894.86</v>
      </c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</row>
    <row r="188" spans="6:39" x14ac:dyDescent="0.35">
      <c r="F188" s="18" t="s">
        <v>1109</v>
      </c>
      <c r="G188" s="19">
        <v>46210</v>
      </c>
      <c r="H188" s="18" t="s">
        <v>1159</v>
      </c>
      <c r="I188" s="18" t="s">
        <v>1110</v>
      </c>
      <c r="J188" s="18">
        <v>949</v>
      </c>
      <c r="K188" s="18" t="s">
        <v>1111</v>
      </c>
      <c r="L188" s="18" t="s">
        <v>5651</v>
      </c>
      <c r="M188" s="19">
        <v>46210</v>
      </c>
      <c r="N188" s="18" t="s">
        <v>1146</v>
      </c>
      <c r="O188" s="18" t="s">
        <v>1170</v>
      </c>
      <c r="P188" s="18" t="s">
        <v>1171</v>
      </c>
      <c r="Q188" s="18" t="s">
        <v>3759</v>
      </c>
      <c r="R188" s="18" t="s">
        <v>4741</v>
      </c>
      <c r="S188" s="18">
        <v>397.3</v>
      </c>
      <c r="T188" s="18">
        <v>140715.71</v>
      </c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</row>
    <row r="189" spans="6:39" x14ac:dyDescent="0.35">
      <c r="F189" s="18" t="s">
        <v>1109</v>
      </c>
      <c r="G189" s="19">
        <v>46210</v>
      </c>
      <c r="H189" s="18" t="s">
        <v>3790</v>
      </c>
      <c r="I189" s="18" t="s">
        <v>1110</v>
      </c>
      <c r="J189" s="18">
        <v>945</v>
      </c>
      <c r="K189" s="18" t="s">
        <v>1111</v>
      </c>
      <c r="L189" s="18" t="s">
        <v>5652</v>
      </c>
      <c r="M189" s="19">
        <v>46210</v>
      </c>
      <c r="N189" s="18" t="s">
        <v>1112</v>
      </c>
      <c r="O189" s="18" t="s">
        <v>1117</v>
      </c>
      <c r="P189" s="18" t="s">
        <v>1118</v>
      </c>
      <c r="Q189" s="18" t="s">
        <v>1119</v>
      </c>
      <c r="R189" s="18" t="s">
        <v>1120</v>
      </c>
      <c r="S189" s="18">
        <v>3931</v>
      </c>
      <c r="T189" s="18">
        <v>575852.18999999994</v>
      </c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</row>
    <row r="190" spans="6:39" x14ac:dyDescent="0.35">
      <c r="F190" s="18" t="s">
        <v>1109</v>
      </c>
      <c r="G190" s="19">
        <v>46210</v>
      </c>
      <c r="H190" s="18" t="s">
        <v>3790</v>
      </c>
      <c r="I190" s="18" t="s">
        <v>1110</v>
      </c>
      <c r="J190" s="18">
        <v>945</v>
      </c>
      <c r="K190" s="18" t="s">
        <v>1111</v>
      </c>
      <c r="L190" s="18" t="s">
        <v>5652</v>
      </c>
      <c r="M190" s="19">
        <v>46210</v>
      </c>
      <c r="N190" s="18" t="s">
        <v>1112</v>
      </c>
      <c r="O190" s="18" t="s">
        <v>1117</v>
      </c>
      <c r="P190" s="18" t="s">
        <v>1118</v>
      </c>
      <c r="Q190" s="18" t="s">
        <v>1119</v>
      </c>
      <c r="R190" s="18" t="s">
        <v>1120</v>
      </c>
      <c r="S190" s="18">
        <v>2786</v>
      </c>
      <c r="T190" s="18">
        <v>402549.14</v>
      </c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</row>
    <row r="191" spans="6:39" x14ac:dyDescent="0.35">
      <c r="F191" s="18" t="s">
        <v>1109</v>
      </c>
      <c r="G191" s="19">
        <v>46210</v>
      </c>
      <c r="H191" s="18" t="s">
        <v>3790</v>
      </c>
      <c r="I191" s="18" t="s">
        <v>1110</v>
      </c>
      <c r="J191" s="18">
        <v>945</v>
      </c>
      <c r="K191" s="18" t="s">
        <v>1111</v>
      </c>
      <c r="L191" s="18" t="s">
        <v>5652</v>
      </c>
      <c r="M191" s="19">
        <v>46210</v>
      </c>
      <c r="N191" s="18" t="s">
        <v>1112</v>
      </c>
      <c r="O191" s="18" t="s">
        <v>1117</v>
      </c>
      <c r="P191" s="18" t="s">
        <v>1118</v>
      </c>
      <c r="Q191" s="18" t="s">
        <v>1119</v>
      </c>
      <c r="R191" s="18" t="s">
        <v>1120</v>
      </c>
      <c r="S191" s="18">
        <v>1065</v>
      </c>
      <c r="T191" s="18">
        <v>157076.85</v>
      </c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</row>
    <row r="192" spans="6:39" x14ac:dyDescent="0.35">
      <c r="F192" s="18" t="s">
        <v>1109</v>
      </c>
      <c r="G192" s="19">
        <v>46210</v>
      </c>
      <c r="H192" s="18" t="s">
        <v>3790</v>
      </c>
      <c r="I192" s="18" t="s">
        <v>1110</v>
      </c>
      <c r="J192" s="18">
        <v>948</v>
      </c>
      <c r="K192" s="18" t="s">
        <v>1111</v>
      </c>
      <c r="L192" s="18" t="s">
        <v>5653</v>
      </c>
      <c r="M192" s="19">
        <v>46210</v>
      </c>
      <c r="N192" s="18" t="s">
        <v>1112</v>
      </c>
      <c r="O192" s="18" t="s">
        <v>1117</v>
      </c>
      <c r="P192" s="18" t="s">
        <v>1118</v>
      </c>
      <c r="Q192" s="18" t="s">
        <v>1119</v>
      </c>
      <c r="R192" s="18" t="s">
        <v>1120</v>
      </c>
      <c r="S192" s="18">
        <v>1093</v>
      </c>
      <c r="T192" s="18">
        <v>160113.57</v>
      </c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</row>
    <row r="193" spans="6:39" x14ac:dyDescent="0.35">
      <c r="F193" s="18" t="s">
        <v>1109</v>
      </c>
      <c r="G193" s="19">
        <v>46210</v>
      </c>
      <c r="H193" s="18" t="s">
        <v>3790</v>
      </c>
      <c r="I193" s="18" t="s">
        <v>1110</v>
      </c>
      <c r="J193" s="18">
        <v>950</v>
      </c>
      <c r="K193" s="18" t="s">
        <v>1111</v>
      </c>
      <c r="L193" s="18" t="s">
        <v>5654</v>
      </c>
      <c r="M193" s="19">
        <v>46210</v>
      </c>
      <c r="N193" s="18" t="s">
        <v>1112</v>
      </c>
      <c r="O193" s="18" t="s">
        <v>1117</v>
      </c>
      <c r="P193" s="18" t="s">
        <v>1138</v>
      </c>
      <c r="Q193" s="18" t="s">
        <v>1139</v>
      </c>
      <c r="R193" s="18" t="s">
        <v>1140</v>
      </c>
      <c r="S193" s="18">
        <v>406</v>
      </c>
      <c r="T193" s="18">
        <v>60692.94</v>
      </c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</row>
    <row r="194" spans="6:39" x14ac:dyDescent="0.35">
      <c r="F194" s="18" t="s">
        <v>1109</v>
      </c>
      <c r="G194" s="19">
        <v>46210</v>
      </c>
      <c r="H194" s="18" t="s">
        <v>3790</v>
      </c>
      <c r="I194" s="18" t="s">
        <v>1110</v>
      </c>
      <c r="J194" s="18">
        <v>950</v>
      </c>
      <c r="K194" s="18" t="s">
        <v>1111</v>
      </c>
      <c r="L194" s="18" t="s">
        <v>5654</v>
      </c>
      <c r="M194" s="19">
        <v>46210</v>
      </c>
      <c r="N194" s="18" t="s">
        <v>1112</v>
      </c>
      <c r="O194" s="18" t="s">
        <v>1117</v>
      </c>
      <c r="P194" s="18" t="s">
        <v>1138</v>
      </c>
      <c r="Q194" s="18" t="s">
        <v>1139</v>
      </c>
      <c r="R194" s="18" t="s">
        <v>1140</v>
      </c>
      <c r="S194" s="18">
        <v>1739</v>
      </c>
      <c r="T194" s="18">
        <v>263441.11</v>
      </c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</row>
    <row r="195" spans="6:39" x14ac:dyDescent="0.35">
      <c r="F195" s="18" t="s">
        <v>1109</v>
      </c>
      <c r="G195" s="19">
        <v>46210</v>
      </c>
      <c r="H195" s="18" t="s">
        <v>3790</v>
      </c>
      <c r="I195" s="18" t="s">
        <v>1110</v>
      </c>
      <c r="J195" s="18">
        <v>950</v>
      </c>
      <c r="K195" s="18" t="s">
        <v>1111</v>
      </c>
      <c r="L195" s="18" t="s">
        <v>5654</v>
      </c>
      <c r="M195" s="19">
        <v>46210</v>
      </c>
      <c r="N195" s="18" t="s">
        <v>1112</v>
      </c>
      <c r="O195" s="18" t="s">
        <v>1127</v>
      </c>
      <c r="P195" s="18" t="s">
        <v>1128</v>
      </c>
      <c r="Q195" s="18" t="s">
        <v>1129</v>
      </c>
      <c r="R195" s="18" t="s">
        <v>1130</v>
      </c>
      <c r="S195" s="18">
        <v>1283</v>
      </c>
      <c r="T195" s="18">
        <v>234506.74</v>
      </c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</row>
    <row r="196" spans="6:39" x14ac:dyDescent="0.35">
      <c r="F196" s="18" t="s">
        <v>1109</v>
      </c>
      <c r="G196" s="19">
        <v>46210</v>
      </c>
      <c r="H196" s="18" t="s">
        <v>3790</v>
      </c>
      <c r="I196" s="18" t="s">
        <v>1110</v>
      </c>
      <c r="J196" s="18">
        <v>951</v>
      </c>
      <c r="K196" s="18" t="s">
        <v>1121</v>
      </c>
      <c r="L196" s="18" t="s">
        <v>5655</v>
      </c>
      <c r="M196" s="19">
        <v>46210</v>
      </c>
      <c r="N196" s="18" t="s">
        <v>1122</v>
      </c>
      <c r="O196" s="18" t="s">
        <v>1123</v>
      </c>
      <c r="P196" s="18" t="s">
        <v>1124</v>
      </c>
      <c r="Q196" s="18" t="s">
        <v>1125</v>
      </c>
      <c r="R196" s="18" t="s">
        <v>1126</v>
      </c>
      <c r="S196" s="18">
        <v>277</v>
      </c>
      <c r="T196" s="18">
        <v>13296</v>
      </c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</row>
    <row r="197" spans="6:39" x14ac:dyDescent="0.35">
      <c r="F197" s="18" t="s">
        <v>1109</v>
      </c>
      <c r="G197" s="19">
        <v>46210</v>
      </c>
      <c r="H197" s="18" t="s">
        <v>3790</v>
      </c>
      <c r="I197" s="18" t="s">
        <v>1110</v>
      </c>
      <c r="J197" s="18">
        <v>953</v>
      </c>
      <c r="K197" s="18" t="s">
        <v>1111</v>
      </c>
      <c r="L197" s="18" t="s">
        <v>5656</v>
      </c>
      <c r="M197" s="19">
        <v>46210</v>
      </c>
      <c r="N197" s="18" t="s">
        <v>1112</v>
      </c>
      <c r="O197" s="18" t="s">
        <v>1127</v>
      </c>
      <c r="P197" s="18" t="s">
        <v>1128</v>
      </c>
      <c r="Q197" s="18" t="s">
        <v>1129</v>
      </c>
      <c r="R197" s="18" t="s">
        <v>1130</v>
      </c>
      <c r="S197" s="18">
        <v>193</v>
      </c>
      <c r="T197" s="18">
        <v>35276.54</v>
      </c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</row>
    <row r="198" spans="6:39" x14ac:dyDescent="0.35">
      <c r="F198" s="18" t="s">
        <v>1109</v>
      </c>
      <c r="G198" s="19">
        <v>46210</v>
      </c>
      <c r="H198" s="18" t="s">
        <v>3790</v>
      </c>
      <c r="I198" s="18" t="s">
        <v>1110</v>
      </c>
      <c r="J198" s="18">
        <v>954</v>
      </c>
      <c r="K198" s="18" t="s">
        <v>1111</v>
      </c>
      <c r="L198" s="18" t="s">
        <v>5657</v>
      </c>
      <c r="M198" s="19">
        <v>46210</v>
      </c>
      <c r="N198" s="18" t="s">
        <v>1112</v>
      </c>
      <c r="O198" s="18" t="s">
        <v>1131</v>
      </c>
      <c r="P198" s="18" t="s">
        <v>1132</v>
      </c>
      <c r="Q198" s="18" t="s">
        <v>1132</v>
      </c>
      <c r="R198" s="18" t="s">
        <v>1131</v>
      </c>
      <c r="S198" s="18">
        <v>882.3</v>
      </c>
      <c r="T198" s="18">
        <v>131895.03</v>
      </c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</row>
    <row r="199" spans="6:39" x14ac:dyDescent="0.35">
      <c r="F199" s="18" t="s">
        <v>1109</v>
      </c>
      <c r="G199" s="19">
        <v>46210</v>
      </c>
      <c r="H199" s="18" t="s">
        <v>3790</v>
      </c>
      <c r="I199" s="18" t="s">
        <v>1110</v>
      </c>
      <c r="J199" s="18">
        <v>954</v>
      </c>
      <c r="K199" s="18" t="s">
        <v>1111</v>
      </c>
      <c r="L199" s="18" t="s">
        <v>5657</v>
      </c>
      <c r="M199" s="19">
        <v>46210</v>
      </c>
      <c r="N199" s="18" t="s">
        <v>1112</v>
      </c>
      <c r="O199" s="18" t="s">
        <v>1131</v>
      </c>
      <c r="P199" s="18" t="s">
        <v>1132</v>
      </c>
      <c r="Q199" s="18" t="s">
        <v>1132</v>
      </c>
      <c r="R199" s="18" t="s">
        <v>1131</v>
      </c>
      <c r="S199" s="18">
        <v>480.4</v>
      </c>
      <c r="T199" s="18">
        <v>70373.8</v>
      </c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</row>
    <row r="200" spans="6:39" x14ac:dyDescent="0.35">
      <c r="F200" s="18" t="s">
        <v>1109</v>
      </c>
      <c r="G200" s="19">
        <v>46210</v>
      </c>
      <c r="H200" s="18" t="s">
        <v>3790</v>
      </c>
      <c r="I200" s="18" t="s">
        <v>1110</v>
      </c>
      <c r="J200" s="18">
        <v>954</v>
      </c>
      <c r="K200" s="18" t="s">
        <v>1111</v>
      </c>
      <c r="L200" s="18" t="s">
        <v>5657</v>
      </c>
      <c r="M200" s="19">
        <v>46210</v>
      </c>
      <c r="N200" s="18" t="s">
        <v>1112</v>
      </c>
      <c r="O200" s="18" t="s">
        <v>1127</v>
      </c>
      <c r="P200" s="18" t="s">
        <v>1128</v>
      </c>
      <c r="Q200" s="18" t="s">
        <v>1129</v>
      </c>
      <c r="R200" s="18" t="s">
        <v>1130</v>
      </c>
      <c r="S200" s="18">
        <v>1036</v>
      </c>
      <c r="T200" s="18">
        <v>189360.08</v>
      </c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</row>
    <row r="201" spans="6:39" x14ac:dyDescent="0.35">
      <c r="F201" s="18" t="s">
        <v>1109</v>
      </c>
      <c r="G201" s="19">
        <v>46210</v>
      </c>
      <c r="H201" s="18" t="s">
        <v>1135</v>
      </c>
      <c r="I201" s="18" t="s">
        <v>1136</v>
      </c>
      <c r="J201" s="18" t="s">
        <v>5658</v>
      </c>
      <c r="K201" s="18" t="s">
        <v>1137</v>
      </c>
      <c r="L201" s="18" t="s">
        <v>5658</v>
      </c>
      <c r="M201" s="19">
        <v>46210</v>
      </c>
      <c r="N201" s="18" t="s">
        <v>1112</v>
      </c>
      <c r="O201" s="18" t="s">
        <v>1127</v>
      </c>
      <c r="P201" s="18" t="s">
        <v>1128</v>
      </c>
      <c r="Q201" s="18" t="s">
        <v>1129</v>
      </c>
      <c r="R201" s="18" t="s">
        <v>1130</v>
      </c>
      <c r="S201" s="18">
        <v>123.2</v>
      </c>
      <c r="T201" s="18">
        <v>21436.272000000001</v>
      </c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</row>
    <row r="202" spans="6:39" x14ac:dyDescent="0.35">
      <c r="F202" s="18" t="s">
        <v>1109</v>
      </c>
      <c r="G202" s="19">
        <v>46210</v>
      </c>
      <c r="H202" s="18" t="s">
        <v>485</v>
      </c>
      <c r="I202" s="18" t="s">
        <v>1110</v>
      </c>
      <c r="J202" s="18">
        <v>958</v>
      </c>
      <c r="K202" s="18" t="s">
        <v>1121</v>
      </c>
      <c r="L202" s="18" t="s">
        <v>5659</v>
      </c>
      <c r="M202" s="19">
        <v>46210</v>
      </c>
      <c r="N202" s="18" t="s">
        <v>1133</v>
      </c>
      <c r="O202" s="18" t="s">
        <v>1134</v>
      </c>
      <c r="P202" s="18" t="s">
        <v>5633</v>
      </c>
      <c r="Q202" s="18" t="s">
        <v>5634</v>
      </c>
      <c r="R202" s="18" t="s">
        <v>5635</v>
      </c>
      <c r="S202" s="18">
        <v>5000</v>
      </c>
      <c r="T202" s="18">
        <v>666000</v>
      </c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</row>
    <row r="203" spans="6:39" x14ac:dyDescent="0.35">
      <c r="F203" s="18" t="s">
        <v>1109</v>
      </c>
      <c r="G203" s="19">
        <v>46210</v>
      </c>
      <c r="H203" s="18" t="s">
        <v>485</v>
      </c>
      <c r="I203" s="18" t="s">
        <v>1110</v>
      </c>
      <c r="J203" s="18">
        <v>959</v>
      </c>
      <c r="K203" s="18" t="s">
        <v>1121</v>
      </c>
      <c r="L203" s="18" t="s">
        <v>5660</v>
      </c>
      <c r="M203" s="19">
        <v>46210</v>
      </c>
      <c r="N203" s="18" t="s">
        <v>1122</v>
      </c>
      <c r="O203" s="18" t="s">
        <v>1123</v>
      </c>
      <c r="P203" s="18" t="s">
        <v>1124</v>
      </c>
      <c r="Q203" s="18" t="s">
        <v>1125</v>
      </c>
      <c r="R203" s="18" t="s">
        <v>1126</v>
      </c>
      <c r="S203" s="18">
        <v>121</v>
      </c>
      <c r="T203" s="18">
        <v>5808</v>
      </c>
      <c r="U203" s="163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</row>
    <row r="204" spans="6:39" x14ac:dyDescent="0.35">
      <c r="F204" s="18" t="s">
        <v>1109</v>
      </c>
      <c r="G204" s="19">
        <v>46210</v>
      </c>
      <c r="H204" s="18" t="s">
        <v>485</v>
      </c>
      <c r="I204" s="18" t="s">
        <v>1110</v>
      </c>
      <c r="J204" s="18">
        <v>961</v>
      </c>
      <c r="K204" s="18" t="s">
        <v>1111</v>
      </c>
      <c r="L204" s="18" t="s">
        <v>5661</v>
      </c>
      <c r="M204" s="19">
        <v>46210</v>
      </c>
      <c r="N204" s="18" t="s">
        <v>1112</v>
      </c>
      <c r="O204" s="18" t="s">
        <v>1127</v>
      </c>
      <c r="P204" s="18" t="s">
        <v>1128</v>
      </c>
      <c r="Q204" s="18" t="s">
        <v>1129</v>
      </c>
      <c r="R204" s="18" t="s">
        <v>1130</v>
      </c>
      <c r="S204" s="18">
        <v>6</v>
      </c>
      <c r="T204" s="18">
        <v>2235.7800000000002</v>
      </c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</row>
    <row r="205" spans="6:39" x14ac:dyDescent="0.35">
      <c r="F205" s="18" t="s">
        <v>1109</v>
      </c>
      <c r="G205" s="19">
        <v>46210</v>
      </c>
      <c r="H205" s="18" t="s">
        <v>485</v>
      </c>
      <c r="I205" s="18" t="s">
        <v>1110</v>
      </c>
      <c r="J205" s="18">
        <v>961</v>
      </c>
      <c r="K205" s="18" t="s">
        <v>1111</v>
      </c>
      <c r="L205" s="18" t="s">
        <v>5661</v>
      </c>
      <c r="M205" s="19">
        <v>46210</v>
      </c>
      <c r="N205" s="18" t="s">
        <v>1112</v>
      </c>
      <c r="O205" s="18" t="s">
        <v>1127</v>
      </c>
      <c r="P205" s="18" t="s">
        <v>1128</v>
      </c>
      <c r="Q205" s="18" t="s">
        <v>1129</v>
      </c>
      <c r="R205" s="18" t="s">
        <v>1130</v>
      </c>
      <c r="S205" s="18">
        <v>909.23</v>
      </c>
      <c r="T205" s="18">
        <v>215469.33</v>
      </c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</row>
    <row r="206" spans="6:39" x14ac:dyDescent="0.35">
      <c r="F206" s="18" t="s">
        <v>1109</v>
      </c>
      <c r="G206" s="19">
        <v>46210</v>
      </c>
      <c r="H206" s="18" t="s">
        <v>485</v>
      </c>
      <c r="I206" s="18" t="s">
        <v>1150</v>
      </c>
      <c r="J206" s="18" t="s">
        <v>5662</v>
      </c>
      <c r="K206" s="18" t="s">
        <v>1111</v>
      </c>
      <c r="L206" s="18" t="s">
        <v>5662</v>
      </c>
      <c r="M206" s="19">
        <v>46210</v>
      </c>
      <c r="N206" s="18" t="s">
        <v>1112</v>
      </c>
      <c r="O206" s="18" t="s">
        <v>1117</v>
      </c>
      <c r="P206" s="18" t="s">
        <v>1118</v>
      </c>
      <c r="Q206" s="18" t="s">
        <v>1119</v>
      </c>
      <c r="R206" s="18" t="s">
        <v>1120</v>
      </c>
      <c r="S206" s="18">
        <v>311</v>
      </c>
      <c r="T206" s="18">
        <v>122845</v>
      </c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</row>
    <row r="207" spans="6:39" x14ac:dyDescent="0.35">
      <c r="F207" s="18" t="s">
        <v>1109</v>
      </c>
      <c r="G207" s="19">
        <v>46210</v>
      </c>
      <c r="H207" s="18" t="s">
        <v>5663</v>
      </c>
      <c r="I207" s="18" t="s">
        <v>1110</v>
      </c>
      <c r="J207" s="18">
        <v>952</v>
      </c>
      <c r="K207" s="18" t="s">
        <v>1165</v>
      </c>
      <c r="L207" s="18" t="s">
        <v>5664</v>
      </c>
      <c r="M207" s="19">
        <v>46210</v>
      </c>
      <c r="N207" s="18" t="s">
        <v>5665</v>
      </c>
      <c r="O207" s="18" t="s">
        <v>1166</v>
      </c>
      <c r="P207" s="18" t="s">
        <v>5666</v>
      </c>
      <c r="Q207" s="18" t="s">
        <v>5667</v>
      </c>
      <c r="R207" s="18" t="s">
        <v>5668</v>
      </c>
      <c r="S207" s="18">
        <v>2130</v>
      </c>
      <c r="T207" s="18">
        <v>8520</v>
      </c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</row>
    <row r="208" spans="6:39" x14ac:dyDescent="0.35">
      <c r="F208" s="18" t="s">
        <v>1109</v>
      </c>
      <c r="G208" s="19">
        <v>46210</v>
      </c>
      <c r="H208" s="18" t="s">
        <v>125</v>
      </c>
      <c r="I208" s="18" t="s">
        <v>1110</v>
      </c>
      <c r="J208" s="18">
        <v>947</v>
      </c>
      <c r="K208" s="18" t="s">
        <v>1111</v>
      </c>
      <c r="L208" s="18" t="s">
        <v>2335</v>
      </c>
      <c r="M208" s="19">
        <v>46210</v>
      </c>
      <c r="N208" s="18" t="s">
        <v>1112</v>
      </c>
      <c r="O208" s="18" t="s">
        <v>1117</v>
      </c>
      <c r="P208" s="18" t="s">
        <v>1118</v>
      </c>
      <c r="Q208" s="18" t="s">
        <v>1119</v>
      </c>
      <c r="R208" s="18" t="s">
        <v>1120</v>
      </c>
      <c r="S208" s="18">
        <v>1451</v>
      </c>
      <c r="T208" s="18">
        <v>209654.99</v>
      </c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</row>
    <row r="209" spans="6:39" x14ac:dyDescent="0.35">
      <c r="F209" s="18" t="s">
        <v>1109</v>
      </c>
      <c r="G209" s="19">
        <v>46210</v>
      </c>
      <c r="H209" s="18" t="s">
        <v>125</v>
      </c>
      <c r="I209" s="18" t="s">
        <v>1110</v>
      </c>
      <c r="J209" s="18">
        <v>947</v>
      </c>
      <c r="K209" s="18" t="s">
        <v>1111</v>
      </c>
      <c r="L209" s="18" t="s">
        <v>2335</v>
      </c>
      <c r="M209" s="19">
        <v>46210</v>
      </c>
      <c r="N209" s="18" t="s">
        <v>1112</v>
      </c>
      <c r="O209" s="18" t="s">
        <v>1117</v>
      </c>
      <c r="P209" s="18" t="s">
        <v>1138</v>
      </c>
      <c r="Q209" s="18" t="s">
        <v>1139</v>
      </c>
      <c r="R209" s="18" t="s">
        <v>1140</v>
      </c>
      <c r="S209" s="18">
        <v>813</v>
      </c>
      <c r="T209" s="18">
        <v>167876.37</v>
      </c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</row>
    <row r="210" spans="6:39" x14ac:dyDescent="0.35">
      <c r="F210" s="18" t="s">
        <v>1109</v>
      </c>
      <c r="G210" s="19">
        <v>46210</v>
      </c>
      <c r="H210" s="18" t="s">
        <v>125</v>
      </c>
      <c r="I210" s="18" t="s">
        <v>1110</v>
      </c>
      <c r="J210" s="18">
        <v>956</v>
      </c>
      <c r="K210" s="18" t="s">
        <v>1121</v>
      </c>
      <c r="L210" s="18" t="s">
        <v>5479</v>
      </c>
      <c r="M210" s="19">
        <v>46210</v>
      </c>
      <c r="N210" s="18" t="s">
        <v>1122</v>
      </c>
      <c r="O210" s="18" t="s">
        <v>1123</v>
      </c>
      <c r="P210" s="18" t="s">
        <v>1124</v>
      </c>
      <c r="Q210" s="18" t="s">
        <v>1125</v>
      </c>
      <c r="R210" s="18" t="s">
        <v>1126</v>
      </c>
      <c r="S210" s="18">
        <v>84</v>
      </c>
      <c r="T210" s="18">
        <v>4032</v>
      </c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</row>
    <row r="211" spans="6:39" x14ac:dyDescent="0.35">
      <c r="F211" s="18" t="s">
        <v>1109</v>
      </c>
      <c r="G211" s="19">
        <v>46210</v>
      </c>
      <c r="H211" s="18" t="s">
        <v>125</v>
      </c>
      <c r="I211" s="18" t="s">
        <v>1110</v>
      </c>
      <c r="J211" s="18">
        <v>957</v>
      </c>
      <c r="K211" s="18" t="s">
        <v>1111</v>
      </c>
      <c r="L211" s="18" t="s">
        <v>5480</v>
      </c>
      <c r="M211" s="19">
        <v>46210</v>
      </c>
      <c r="N211" s="18" t="s">
        <v>1112</v>
      </c>
      <c r="O211" s="18" t="s">
        <v>1117</v>
      </c>
      <c r="P211" s="18" t="s">
        <v>1118</v>
      </c>
      <c r="Q211" s="18" t="s">
        <v>1119</v>
      </c>
      <c r="R211" s="18" t="s">
        <v>1120</v>
      </c>
      <c r="S211" s="18">
        <v>575</v>
      </c>
      <c r="T211" s="18">
        <v>83081.75</v>
      </c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</row>
    <row r="212" spans="6:39" x14ac:dyDescent="0.35">
      <c r="F212" s="18" t="s">
        <v>1109</v>
      </c>
      <c r="G212" s="19">
        <v>46210</v>
      </c>
      <c r="H212" s="18" t="s">
        <v>125</v>
      </c>
      <c r="I212" s="18" t="s">
        <v>1110</v>
      </c>
      <c r="J212" s="18">
        <v>957</v>
      </c>
      <c r="K212" s="18" t="s">
        <v>1111</v>
      </c>
      <c r="L212" s="18" t="s">
        <v>5480</v>
      </c>
      <c r="M212" s="19">
        <v>46210</v>
      </c>
      <c r="N212" s="18" t="s">
        <v>1112</v>
      </c>
      <c r="O212" s="18" t="s">
        <v>1131</v>
      </c>
      <c r="P212" s="18" t="s">
        <v>1132</v>
      </c>
      <c r="Q212" s="18" t="s">
        <v>1132</v>
      </c>
      <c r="R212" s="18" t="s">
        <v>1131</v>
      </c>
      <c r="S212" s="18">
        <v>101.1</v>
      </c>
      <c r="T212" s="18">
        <v>15113.44</v>
      </c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</row>
    <row r="213" spans="6:39" x14ac:dyDescent="0.35">
      <c r="F213" s="18" t="s">
        <v>1109</v>
      </c>
      <c r="G213" s="19">
        <v>46210</v>
      </c>
      <c r="H213" s="18" t="s">
        <v>125</v>
      </c>
      <c r="I213" s="18" t="s">
        <v>1110</v>
      </c>
      <c r="J213" s="18">
        <v>957</v>
      </c>
      <c r="K213" s="18" t="s">
        <v>1111</v>
      </c>
      <c r="L213" s="18" t="s">
        <v>5480</v>
      </c>
      <c r="M213" s="19">
        <v>46210</v>
      </c>
      <c r="N213" s="18" t="s">
        <v>1112</v>
      </c>
      <c r="O213" s="18" t="s">
        <v>1117</v>
      </c>
      <c r="P213" s="18" t="s">
        <v>1138</v>
      </c>
      <c r="Q213" s="18" t="s">
        <v>1139</v>
      </c>
      <c r="R213" s="18" t="s">
        <v>1140</v>
      </c>
      <c r="S213" s="18">
        <v>1978</v>
      </c>
      <c r="T213" s="18">
        <v>299647.21999999997</v>
      </c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</row>
    <row r="214" spans="6:39" x14ac:dyDescent="0.35">
      <c r="F214" s="18" t="s">
        <v>1109</v>
      </c>
      <c r="G214" s="19">
        <v>46210</v>
      </c>
      <c r="H214" s="18" t="s">
        <v>125</v>
      </c>
      <c r="I214" s="18" t="s">
        <v>1110</v>
      </c>
      <c r="J214" s="18">
        <v>957</v>
      </c>
      <c r="K214" s="18" t="s">
        <v>1111</v>
      </c>
      <c r="L214" s="18" t="s">
        <v>5480</v>
      </c>
      <c r="M214" s="19">
        <v>46210</v>
      </c>
      <c r="N214" s="18" t="s">
        <v>1112</v>
      </c>
      <c r="O214" s="18" t="s">
        <v>1127</v>
      </c>
      <c r="P214" s="18" t="s">
        <v>1128</v>
      </c>
      <c r="Q214" s="18" t="s">
        <v>1129</v>
      </c>
      <c r="R214" s="18" t="s">
        <v>1130</v>
      </c>
      <c r="S214" s="18">
        <v>740.6</v>
      </c>
      <c r="T214" s="18">
        <v>153141.26999999999</v>
      </c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</row>
    <row r="215" spans="6:39" x14ac:dyDescent="0.35">
      <c r="F215" s="18" t="s">
        <v>1109</v>
      </c>
      <c r="G215" s="19">
        <v>46211</v>
      </c>
      <c r="H215" s="18" t="s">
        <v>3790</v>
      </c>
      <c r="I215" s="18" t="s">
        <v>1110</v>
      </c>
      <c r="J215" s="18">
        <v>962</v>
      </c>
      <c r="K215" s="18" t="s">
        <v>1111</v>
      </c>
      <c r="L215" s="18" t="s">
        <v>5669</v>
      </c>
      <c r="M215" s="19">
        <v>46211</v>
      </c>
      <c r="N215" s="18" t="s">
        <v>1112</v>
      </c>
      <c r="O215" s="18" t="s">
        <v>1117</v>
      </c>
      <c r="P215" s="18" t="s">
        <v>1118</v>
      </c>
      <c r="Q215" s="18" t="s">
        <v>1119</v>
      </c>
      <c r="R215" s="18" t="s">
        <v>1120</v>
      </c>
      <c r="S215" s="18">
        <v>2569</v>
      </c>
      <c r="T215" s="18">
        <v>376332.81</v>
      </c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</row>
    <row r="216" spans="6:39" x14ac:dyDescent="0.35">
      <c r="F216" s="18" t="s">
        <v>1109</v>
      </c>
      <c r="G216" s="19">
        <v>46211</v>
      </c>
      <c r="H216" s="18" t="s">
        <v>3790</v>
      </c>
      <c r="I216" s="18" t="s">
        <v>1110</v>
      </c>
      <c r="J216" s="18">
        <v>962</v>
      </c>
      <c r="K216" s="18" t="s">
        <v>1111</v>
      </c>
      <c r="L216" s="18" t="s">
        <v>5669</v>
      </c>
      <c r="M216" s="19">
        <v>46211</v>
      </c>
      <c r="N216" s="18" t="s">
        <v>1112</v>
      </c>
      <c r="O216" s="18" t="s">
        <v>1117</v>
      </c>
      <c r="P216" s="18" t="s">
        <v>1118</v>
      </c>
      <c r="Q216" s="18" t="s">
        <v>1119</v>
      </c>
      <c r="R216" s="18" t="s">
        <v>1120</v>
      </c>
      <c r="S216" s="18">
        <v>907</v>
      </c>
      <c r="T216" s="18">
        <v>133773.43</v>
      </c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</row>
    <row r="217" spans="6:39" x14ac:dyDescent="0.35">
      <c r="F217" s="18" t="s">
        <v>1109</v>
      </c>
      <c r="G217" s="19">
        <v>46211</v>
      </c>
      <c r="H217" s="18" t="s">
        <v>3790</v>
      </c>
      <c r="I217" s="18" t="s">
        <v>1110</v>
      </c>
      <c r="J217" s="18">
        <v>962</v>
      </c>
      <c r="K217" s="18" t="s">
        <v>1111</v>
      </c>
      <c r="L217" s="18" t="s">
        <v>5669</v>
      </c>
      <c r="M217" s="19">
        <v>46211</v>
      </c>
      <c r="N217" s="18" t="s">
        <v>1112</v>
      </c>
      <c r="O217" s="18" t="s">
        <v>1117</v>
      </c>
      <c r="P217" s="18" t="s">
        <v>1118</v>
      </c>
      <c r="Q217" s="18" t="s">
        <v>1119</v>
      </c>
      <c r="R217" s="18" t="s">
        <v>1120</v>
      </c>
      <c r="S217" s="18">
        <v>3703</v>
      </c>
      <c r="T217" s="18">
        <v>535046.47</v>
      </c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</row>
    <row r="218" spans="6:39" x14ac:dyDescent="0.35">
      <c r="F218" s="18" t="s">
        <v>1109</v>
      </c>
      <c r="G218" s="19">
        <v>46211</v>
      </c>
      <c r="H218" s="18" t="s">
        <v>3790</v>
      </c>
      <c r="I218" s="18" t="s">
        <v>1110</v>
      </c>
      <c r="J218" s="18">
        <v>964</v>
      </c>
      <c r="K218" s="18" t="s">
        <v>1111</v>
      </c>
      <c r="L218" s="18" t="s">
        <v>5670</v>
      </c>
      <c r="M218" s="19">
        <v>46211</v>
      </c>
      <c r="N218" s="18" t="s">
        <v>1112</v>
      </c>
      <c r="O218" s="18" t="s">
        <v>1131</v>
      </c>
      <c r="P218" s="18" t="s">
        <v>1132</v>
      </c>
      <c r="Q218" s="18" t="s">
        <v>1132</v>
      </c>
      <c r="R218" s="18" t="s">
        <v>1131</v>
      </c>
      <c r="S218" s="18">
        <v>1020.7</v>
      </c>
      <c r="T218" s="18">
        <v>152584.44</v>
      </c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</row>
    <row r="219" spans="6:39" x14ac:dyDescent="0.35">
      <c r="F219" s="18" t="s">
        <v>1109</v>
      </c>
      <c r="G219" s="19">
        <v>46211</v>
      </c>
      <c r="H219" s="18" t="s">
        <v>3790</v>
      </c>
      <c r="I219" s="18" t="s">
        <v>1110</v>
      </c>
      <c r="J219" s="18">
        <v>964</v>
      </c>
      <c r="K219" s="18" t="s">
        <v>1111</v>
      </c>
      <c r="L219" s="18" t="s">
        <v>5670</v>
      </c>
      <c r="M219" s="19">
        <v>46211</v>
      </c>
      <c r="N219" s="18" t="s">
        <v>1112</v>
      </c>
      <c r="O219" s="18" t="s">
        <v>1131</v>
      </c>
      <c r="P219" s="18" t="s">
        <v>1132</v>
      </c>
      <c r="Q219" s="18" t="s">
        <v>1132</v>
      </c>
      <c r="R219" s="18" t="s">
        <v>1131</v>
      </c>
      <c r="S219" s="18">
        <v>1332.3</v>
      </c>
      <c r="T219" s="18">
        <v>195168.63</v>
      </c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</row>
    <row r="220" spans="6:39" x14ac:dyDescent="0.35">
      <c r="F220" s="18" t="s">
        <v>1109</v>
      </c>
      <c r="G220" s="19">
        <v>46211</v>
      </c>
      <c r="H220" s="18" t="s">
        <v>3790</v>
      </c>
      <c r="I220" s="18" t="s">
        <v>1110</v>
      </c>
      <c r="J220" s="18">
        <v>964</v>
      </c>
      <c r="K220" s="18" t="s">
        <v>1111</v>
      </c>
      <c r="L220" s="18" t="s">
        <v>5670</v>
      </c>
      <c r="M220" s="19">
        <v>46211</v>
      </c>
      <c r="N220" s="18" t="s">
        <v>1112</v>
      </c>
      <c r="O220" s="18" t="s">
        <v>1113</v>
      </c>
      <c r="P220" s="18" t="s">
        <v>1114</v>
      </c>
      <c r="Q220" s="18" t="s">
        <v>1115</v>
      </c>
      <c r="R220" s="18" t="s">
        <v>1161</v>
      </c>
      <c r="S220" s="18">
        <v>1274.8</v>
      </c>
      <c r="T220" s="18">
        <v>199493.45</v>
      </c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</row>
    <row r="221" spans="6:39" x14ac:dyDescent="0.35">
      <c r="F221" s="18" t="s">
        <v>1109</v>
      </c>
      <c r="G221" s="19">
        <v>46211</v>
      </c>
      <c r="H221" s="18" t="s">
        <v>3790</v>
      </c>
      <c r="I221" s="18" t="s">
        <v>1110</v>
      </c>
      <c r="J221" s="18">
        <v>964</v>
      </c>
      <c r="K221" s="18" t="s">
        <v>1111</v>
      </c>
      <c r="L221" s="18" t="s">
        <v>5670</v>
      </c>
      <c r="M221" s="19">
        <v>46211</v>
      </c>
      <c r="N221" s="18" t="s">
        <v>1112</v>
      </c>
      <c r="O221" s="18" t="s">
        <v>1113</v>
      </c>
      <c r="P221" s="18" t="s">
        <v>1114</v>
      </c>
      <c r="Q221" s="18" t="s">
        <v>1115</v>
      </c>
      <c r="R221" s="18" t="s">
        <v>3793</v>
      </c>
      <c r="S221" s="18">
        <v>431.6</v>
      </c>
      <c r="T221" s="18">
        <v>68835.88</v>
      </c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</row>
    <row r="222" spans="6:39" x14ac:dyDescent="0.35">
      <c r="F222" s="18" t="s">
        <v>1109</v>
      </c>
      <c r="G222" s="19">
        <v>46211</v>
      </c>
      <c r="H222" s="18" t="s">
        <v>3790</v>
      </c>
      <c r="I222" s="18" t="s">
        <v>1110</v>
      </c>
      <c r="J222" s="18">
        <v>965</v>
      </c>
      <c r="K222" s="18" t="s">
        <v>1121</v>
      </c>
      <c r="L222" s="18" t="s">
        <v>5671</v>
      </c>
      <c r="M222" s="19">
        <v>46211</v>
      </c>
      <c r="N222" s="18" t="s">
        <v>1122</v>
      </c>
      <c r="O222" s="18" t="s">
        <v>1123</v>
      </c>
      <c r="P222" s="18" t="s">
        <v>1124</v>
      </c>
      <c r="Q222" s="18" t="s">
        <v>1125</v>
      </c>
      <c r="R222" s="18" t="s">
        <v>1126</v>
      </c>
      <c r="S222" s="18">
        <v>222</v>
      </c>
      <c r="T222" s="18">
        <v>10656</v>
      </c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</row>
    <row r="223" spans="6:39" x14ac:dyDescent="0.35">
      <c r="F223" s="18" t="s">
        <v>1109</v>
      </c>
      <c r="G223" s="19">
        <v>46211</v>
      </c>
      <c r="H223" s="18" t="s">
        <v>3790</v>
      </c>
      <c r="I223" s="18" t="s">
        <v>1110</v>
      </c>
      <c r="J223" s="18">
        <v>966</v>
      </c>
      <c r="K223" s="18" t="s">
        <v>1111</v>
      </c>
      <c r="L223" s="18" t="s">
        <v>5672</v>
      </c>
      <c r="M223" s="19">
        <v>46211</v>
      </c>
      <c r="N223" s="18" t="s">
        <v>1112</v>
      </c>
      <c r="O223" s="18" t="s">
        <v>1127</v>
      </c>
      <c r="P223" s="18" t="s">
        <v>1128</v>
      </c>
      <c r="Q223" s="18" t="s">
        <v>1129</v>
      </c>
      <c r="R223" s="18" t="s">
        <v>1130</v>
      </c>
      <c r="S223" s="18">
        <v>2566</v>
      </c>
      <c r="T223" s="18">
        <v>469013.48</v>
      </c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</row>
    <row r="224" spans="6:39" x14ac:dyDescent="0.35">
      <c r="F224" s="18" t="s">
        <v>1109</v>
      </c>
      <c r="G224" s="19">
        <v>46211</v>
      </c>
      <c r="H224" s="18" t="s">
        <v>3790</v>
      </c>
      <c r="I224" s="18" t="s">
        <v>1110</v>
      </c>
      <c r="J224" s="18">
        <v>967</v>
      </c>
      <c r="K224" s="18" t="s">
        <v>1111</v>
      </c>
      <c r="L224" s="18" t="s">
        <v>5673</v>
      </c>
      <c r="M224" s="19">
        <v>46211</v>
      </c>
      <c r="N224" s="18" t="s">
        <v>1112</v>
      </c>
      <c r="O224" s="18" t="s">
        <v>1117</v>
      </c>
      <c r="P224" s="18" t="s">
        <v>1118</v>
      </c>
      <c r="Q224" s="18" t="s">
        <v>1119</v>
      </c>
      <c r="R224" s="18" t="s">
        <v>1120</v>
      </c>
      <c r="S224" s="18">
        <v>990</v>
      </c>
      <c r="T224" s="18">
        <v>145025.1</v>
      </c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</row>
    <row r="225" spans="6:39" x14ac:dyDescent="0.35">
      <c r="F225" s="18" t="s">
        <v>1109</v>
      </c>
      <c r="G225" s="19">
        <v>46211</v>
      </c>
      <c r="H225" s="18" t="s">
        <v>3790</v>
      </c>
      <c r="I225" s="18" t="s">
        <v>1110</v>
      </c>
      <c r="J225" s="18">
        <v>967</v>
      </c>
      <c r="K225" s="18" t="s">
        <v>1111</v>
      </c>
      <c r="L225" s="18" t="s">
        <v>5673</v>
      </c>
      <c r="M225" s="19">
        <v>46211</v>
      </c>
      <c r="N225" s="18" t="s">
        <v>1112</v>
      </c>
      <c r="O225" s="18" t="s">
        <v>1117</v>
      </c>
      <c r="P225" s="18" t="s">
        <v>1118</v>
      </c>
      <c r="Q225" s="18" t="s">
        <v>1119</v>
      </c>
      <c r="R225" s="18" t="s">
        <v>1120</v>
      </c>
      <c r="S225" s="18">
        <v>216</v>
      </c>
      <c r="T225" s="18">
        <v>31857.84</v>
      </c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</row>
    <row r="226" spans="6:39" x14ac:dyDescent="0.35">
      <c r="F226" s="18" t="s">
        <v>1109</v>
      </c>
      <c r="G226" s="19">
        <v>46211</v>
      </c>
      <c r="H226" s="18" t="s">
        <v>3790</v>
      </c>
      <c r="I226" s="18" t="s">
        <v>1110</v>
      </c>
      <c r="J226" s="18">
        <v>967</v>
      </c>
      <c r="K226" s="18" t="s">
        <v>1111</v>
      </c>
      <c r="L226" s="18" t="s">
        <v>5673</v>
      </c>
      <c r="M226" s="19">
        <v>46211</v>
      </c>
      <c r="N226" s="18" t="s">
        <v>1112</v>
      </c>
      <c r="O226" s="18" t="s">
        <v>1117</v>
      </c>
      <c r="P226" s="18" t="s">
        <v>1118</v>
      </c>
      <c r="Q226" s="18" t="s">
        <v>1119</v>
      </c>
      <c r="R226" s="18" t="s">
        <v>1120</v>
      </c>
      <c r="S226" s="18">
        <v>220</v>
      </c>
      <c r="T226" s="18">
        <v>31787.8</v>
      </c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</row>
    <row r="227" spans="6:39" x14ac:dyDescent="0.35">
      <c r="F227" s="18" t="s">
        <v>1109</v>
      </c>
      <c r="G227" s="19">
        <v>46211</v>
      </c>
      <c r="H227" s="18" t="s">
        <v>3790</v>
      </c>
      <c r="I227" s="18" t="s">
        <v>1110</v>
      </c>
      <c r="J227" s="18">
        <v>967</v>
      </c>
      <c r="K227" s="18" t="s">
        <v>1111</v>
      </c>
      <c r="L227" s="18" t="s">
        <v>5673</v>
      </c>
      <c r="M227" s="19">
        <v>46211</v>
      </c>
      <c r="N227" s="18" t="s">
        <v>1112</v>
      </c>
      <c r="O227" s="18" t="s">
        <v>1117</v>
      </c>
      <c r="P227" s="18" t="s">
        <v>1138</v>
      </c>
      <c r="Q227" s="18" t="s">
        <v>1139</v>
      </c>
      <c r="R227" s="18" t="s">
        <v>1140</v>
      </c>
      <c r="S227" s="18">
        <v>320</v>
      </c>
      <c r="T227" s="18">
        <v>46876.800000000003</v>
      </c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</row>
    <row r="228" spans="6:39" x14ac:dyDescent="0.35">
      <c r="F228" s="18" t="s">
        <v>1109</v>
      </c>
      <c r="G228" s="19">
        <v>46211</v>
      </c>
      <c r="H228" s="18" t="s">
        <v>3790</v>
      </c>
      <c r="I228" s="18" t="s">
        <v>1110</v>
      </c>
      <c r="J228" s="18">
        <v>968</v>
      </c>
      <c r="K228" s="18" t="s">
        <v>1111</v>
      </c>
      <c r="L228" s="18" t="s">
        <v>5674</v>
      </c>
      <c r="M228" s="19">
        <v>46211</v>
      </c>
      <c r="N228" s="18" t="s">
        <v>1112</v>
      </c>
      <c r="O228" s="18" t="s">
        <v>1127</v>
      </c>
      <c r="P228" s="18" t="s">
        <v>1128</v>
      </c>
      <c r="Q228" s="18" t="s">
        <v>1129</v>
      </c>
      <c r="R228" s="18" t="s">
        <v>1130</v>
      </c>
      <c r="S228" s="18">
        <v>745</v>
      </c>
      <c r="T228" s="18">
        <v>136171.1</v>
      </c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</row>
    <row r="229" spans="6:39" x14ac:dyDescent="0.35">
      <c r="F229" s="18" t="s">
        <v>1109</v>
      </c>
      <c r="G229" s="19">
        <v>46211</v>
      </c>
      <c r="H229" s="18" t="s">
        <v>3790</v>
      </c>
      <c r="I229" s="18" t="s">
        <v>1110</v>
      </c>
      <c r="J229" s="18">
        <v>976</v>
      </c>
      <c r="K229" s="18" t="s">
        <v>1111</v>
      </c>
      <c r="L229" s="18" t="s">
        <v>5675</v>
      </c>
      <c r="M229" s="19">
        <v>46211</v>
      </c>
      <c r="N229" s="18" t="s">
        <v>1112</v>
      </c>
      <c r="O229" s="18" t="s">
        <v>1127</v>
      </c>
      <c r="P229" s="18" t="s">
        <v>1128</v>
      </c>
      <c r="Q229" s="18" t="s">
        <v>1129</v>
      </c>
      <c r="R229" s="18" t="s">
        <v>1130</v>
      </c>
      <c r="S229" s="18">
        <v>1155</v>
      </c>
      <c r="T229" s="18">
        <v>211110.9</v>
      </c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</row>
    <row r="230" spans="6:39" x14ac:dyDescent="0.35">
      <c r="F230" s="18" t="s">
        <v>1109</v>
      </c>
      <c r="G230" s="19">
        <v>46211</v>
      </c>
      <c r="H230" s="18" t="s">
        <v>1135</v>
      </c>
      <c r="I230" s="18" t="s">
        <v>1136</v>
      </c>
      <c r="J230" s="18" t="s">
        <v>5676</v>
      </c>
      <c r="K230" s="18" t="s">
        <v>1137</v>
      </c>
      <c r="L230" s="18" t="s">
        <v>5676</v>
      </c>
      <c r="M230" s="19">
        <v>46211</v>
      </c>
      <c r="N230" s="18" t="s">
        <v>1146</v>
      </c>
      <c r="O230" s="18" t="s">
        <v>1170</v>
      </c>
      <c r="P230" s="18" t="s">
        <v>1171</v>
      </c>
      <c r="Q230" s="18" t="s">
        <v>4225</v>
      </c>
      <c r="R230" s="18" t="s">
        <v>5677</v>
      </c>
      <c r="S230" s="18">
        <v>868.1</v>
      </c>
      <c r="T230" s="18">
        <v>227755.715</v>
      </c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</row>
    <row r="231" spans="6:39" x14ac:dyDescent="0.35">
      <c r="F231" s="18" t="s">
        <v>1109</v>
      </c>
      <c r="G231" s="19">
        <v>46211</v>
      </c>
      <c r="H231" s="18" t="s">
        <v>1135</v>
      </c>
      <c r="I231" s="18" t="s">
        <v>1136</v>
      </c>
      <c r="J231" s="18" t="s">
        <v>5678</v>
      </c>
      <c r="K231" s="18" t="s">
        <v>1137</v>
      </c>
      <c r="L231" s="18" t="s">
        <v>5678</v>
      </c>
      <c r="M231" s="19">
        <v>46211</v>
      </c>
      <c r="N231" s="18" t="s">
        <v>1112</v>
      </c>
      <c r="O231" s="18" t="s">
        <v>1117</v>
      </c>
      <c r="P231" s="18" t="s">
        <v>1138</v>
      </c>
      <c r="Q231" s="18" t="s">
        <v>1139</v>
      </c>
      <c r="R231" s="18" t="s">
        <v>1140</v>
      </c>
      <c r="S231" s="18">
        <v>2887</v>
      </c>
      <c r="T231" s="18">
        <v>513970.49699999992</v>
      </c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</row>
    <row r="232" spans="6:39" x14ac:dyDescent="0.35">
      <c r="F232" s="18" t="s">
        <v>1109</v>
      </c>
      <c r="G232" s="19">
        <v>46211</v>
      </c>
      <c r="H232" s="18" t="s">
        <v>1135</v>
      </c>
      <c r="I232" s="18" t="s">
        <v>1150</v>
      </c>
      <c r="J232" s="18" t="s">
        <v>5679</v>
      </c>
      <c r="K232" s="18" t="s">
        <v>1137</v>
      </c>
      <c r="L232" s="18" t="s">
        <v>5679</v>
      </c>
      <c r="M232" s="19">
        <v>46211</v>
      </c>
      <c r="N232" s="18" t="s">
        <v>1112</v>
      </c>
      <c r="O232" s="18" t="s">
        <v>3407</v>
      </c>
      <c r="P232" s="18" t="s">
        <v>3792</v>
      </c>
      <c r="Q232" s="18" t="s">
        <v>1162</v>
      </c>
      <c r="R232" s="18" t="s">
        <v>1163</v>
      </c>
      <c r="S232" s="18">
        <v>119</v>
      </c>
      <c r="T232" s="18">
        <v>20560.82</v>
      </c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</row>
    <row r="233" spans="6:39" x14ac:dyDescent="0.35">
      <c r="F233" s="18" t="s">
        <v>1109</v>
      </c>
      <c r="G233" s="19">
        <v>46211</v>
      </c>
      <c r="H233" s="18" t="s">
        <v>1135</v>
      </c>
      <c r="I233" s="18" t="s">
        <v>1136</v>
      </c>
      <c r="J233" s="18" t="s">
        <v>5680</v>
      </c>
      <c r="K233" s="18" t="s">
        <v>1137</v>
      </c>
      <c r="L233" s="18" t="s">
        <v>5680</v>
      </c>
      <c r="M233" s="19">
        <v>46211</v>
      </c>
      <c r="N233" s="18" t="s">
        <v>1112</v>
      </c>
      <c r="O233" s="18" t="s">
        <v>1127</v>
      </c>
      <c r="P233" s="18" t="s">
        <v>1128</v>
      </c>
      <c r="Q233" s="18" t="s">
        <v>1129</v>
      </c>
      <c r="R233" s="18" t="s">
        <v>1130</v>
      </c>
      <c r="S233" s="18">
        <v>446.3</v>
      </c>
      <c r="T233" s="18">
        <v>77653.367999999988</v>
      </c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</row>
    <row r="234" spans="6:39" x14ac:dyDescent="0.35">
      <c r="F234" s="18" t="s">
        <v>1109</v>
      </c>
      <c r="G234" s="19">
        <v>46211</v>
      </c>
      <c r="H234" s="18" t="s">
        <v>631</v>
      </c>
      <c r="I234" s="18" t="s">
        <v>1136</v>
      </c>
      <c r="J234" s="18" t="s">
        <v>5309</v>
      </c>
      <c r="K234" s="18" t="s">
        <v>2028</v>
      </c>
      <c r="L234" s="18" t="s">
        <v>5309</v>
      </c>
      <c r="M234" s="19">
        <v>46211</v>
      </c>
      <c r="N234" s="18" t="s">
        <v>1146</v>
      </c>
      <c r="O234" s="18" t="s">
        <v>1147</v>
      </c>
      <c r="P234" s="18" t="s">
        <v>1147</v>
      </c>
      <c r="Q234" s="18" t="s">
        <v>1148</v>
      </c>
      <c r="R234" s="18" t="s">
        <v>1149</v>
      </c>
      <c r="S234" s="18">
        <v>20982</v>
      </c>
      <c r="T234" s="18">
        <v>4862748</v>
      </c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</row>
    <row r="235" spans="6:39" x14ac:dyDescent="0.35">
      <c r="F235" s="18" t="s">
        <v>1109</v>
      </c>
      <c r="G235" s="19">
        <v>46211</v>
      </c>
      <c r="H235" s="18" t="s">
        <v>4463</v>
      </c>
      <c r="I235" s="18" t="s">
        <v>1110</v>
      </c>
      <c r="J235" s="18">
        <v>974</v>
      </c>
      <c r="K235" s="18" t="s">
        <v>1165</v>
      </c>
      <c r="L235" s="18" t="s">
        <v>5681</v>
      </c>
      <c r="M235" s="19">
        <v>46211</v>
      </c>
      <c r="N235" s="18" t="s">
        <v>1112</v>
      </c>
      <c r="O235" s="18" t="s">
        <v>1166</v>
      </c>
      <c r="P235" s="18" t="s">
        <v>1166</v>
      </c>
      <c r="Q235" s="18" t="s">
        <v>1167</v>
      </c>
      <c r="R235" s="18" t="s">
        <v>1168</v>
      </c>
      <c r="S235" s="18">
        <v>8590</v>
      </c>
      <c r="T235" s="18">
        <v>214750</v>
      </c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</row>
    <row r="236" spans="6:39" x14ac:dyDescent="0.35">
      <c r="F236" s="18" t="s">
        <v>1109</v>
      </c>
      <c r="G236" s="19">
        <v>46211</v>
      </c>
      <c r="H236" s="18" t="s">
        <v>5663</v>
      </c>
      <c r="I236" s="18" t="s">
        <v>1110</v>
      </c>
      <c r="J236" s="18">
        <v>969</v>
      </c>
      <c r="K236" s="18" t="s">
        <v>1165</v>
      </c>
      <c r="L236" s="18" t="s">
        <v>5682</v>
      </c>
      <c r="M236" s="19">
        <v>46211</v>
      </c>
      <c r="N236" s="18" t="s">
        <v>5665</v>
      </c>
      <c r="O236" s="18" t="s">
        <v>1166</v>
      </c>
      <c r="P236" s="18" t="s">
        <v>5666</v>
      </c>
      <c r="Q236" s="18" t="s">
        <v>5667</v>
      </c>
      <c r="R236" s="18" t="s">
        <v>5668</v>
      </c>
      <c r="S236" s="18">
        <v>1170</v>
      </c>
      <c r="T236" s="18">
        <v>4680</v>
      </c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</row>
    <row r="237" spans="6:39" x14ac:dyDescent="0.35">
      <c r="F237" s="18" t="s">
        <v>1109</v>
      </c>
      <c r="G237" s="19">
        <v>46211</v>
      </c>
      <c r="H237" s="18" t="s">
        <v>125</v>
      </c>
      <c r="I237" s="18" t="s">
        <v>1110</v>
      </c>
      <c r="J237" s="18">
        <v>963</v>
      </c>
      <c r="K237" s="18" t="s">
        <v>1121</v>
      </c>
      <c r="L237" s="18" t="s">
        <v>5482</v>
      </c>
      <c r="M237" s="19">
        <v>46211</v>
      </c>
      <c r="N237" s="18" t="s">
        <v>1133</v>
      </c>
      <c r="O237" s="18" t="s">
        <v>1134</v>
      </c>
      <c r="P237" s="18" t="s">
        <v>1164</v>
      </c>
      <c r="Q237" s="18" t="s">
        <v>1157</v>
      </c>
      <c r="R237" s="18" t="s">
        <v>5007</v>
      </c>
      <c r="S237" s="18">
        <v>100</v>
      </c>
      <c r="T237" s="18">
        <v>15900</v>
      </c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</row>
    <row r="238" spans="6:39" x14ac:dyDescent="0.35">
      <c r="F238" s="18" t="s">
        <v>1109</v>
      </c>
      <c r="G238" s="19">
        <v>46211</v>
      </c>
      <c r="H238" s="18" t="s">
        <v>125</v>
      </c>
      <c r="I238" s="18" t="s">
        <v>1110</v>
      </c>
      <c r="J238" s="18">
        <v>970</v>
      </c>
      <c r="K238" s="18" t="s">
        <v>1121</v>
      </c>
      <c r="L238" s="18" t="s">
        <v>5483</v>
      </c>
      <c r="M238" s="19">
        <v>46211</v>
      </c>
      <c r="N238" s="18" t="s">
        <v>1122</v>
      </c>
      <c r="O238" s="18" t="s">
        <v>1123</v>
      </c>
      <c r="P238" s="18" t="s">
        <v>1124</v>
      </c>
      <c r="Q238" s="18" t="s">
        <v>1125</v>
      </c>
      <c r="R238" s="18" t="s">
        <v>1126</v>
      </c>
      <c r="S238" s="18">
        <v>90</v>
      </c>
      <c r="T238" s="18">
        <v>4320</v>
      </c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</row>
    <row r="239" spans="6:39" x14ac:dyDescent="0.35">
      <c r="F239" s="18" t="s">
        <v>1109</v>
      </c>
      <c r="G239" s="19">
        <v>46211</v>
      </c>
      <c r="H239" s="18" t="s">
        <v>125</v>
      </c>
      <c r="I239" s="18" t="s">
        <v>1110</v>
      </c>
      <c r="J239" s="18">
        <v>971</v>
      </c>
      <c r="K239" s="18" t="s">
        <v>1111</v>
      </c>
      <c r="L239" s="18" t="s">
        <v>5484</v>
      </c>
      <c r="M239" s="19">
        <v>46211</v>
      </c>
      <c r="N239" s="18" t="s">
        <v>1112</v>
      </c>
      <c r="O239" s="18" t="s">
        <v>1117</v>
      </c>
      <c r="P239" s="18" t="s">
        <v>1138</v>
      </c>
      <c r="Q239" s="18" t="s">
        <v>1139</v>
      </c>
      <c r="R239" s="18" t="s">
        <v>1140</v>
      </c>
      <c r="S239" s="18">
        <v>2889</v>
      </c>
      <c r="T239" s="18">
        <v>446321.61</v>
      </c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</row>
    <row r="240" spans="6:39" x14ac:dyDescent="0.35">
      <c r="F240" s="18" t="s">
        <v>1109</v>
      </c>
      <c r="G240" s="19">
        <v>46211</v>
      </c>
      <c r="H240" s="18" t="s">
        <v>125</v>
      </c>
      <c r="I240" s="18" t="s">
        <v>1110</v>
      </c>
      <c r="J240" s="18">
        <v>971</v>
      </c>
      <c r="K240" s="18" t="s">
        <v>1111</v>
      </c>
      <c r="L240" s="18" t="s">
        <v>5484</v>
      </c>
      <c r="M240" s="19">
        <v>46211</v>
      </c>
      <c r="N240" s="18" t="s">
        <v>1112</v>
      </c>
      <c r="O240" s="18" t="s">
        <v>1117</v>
      </c>
      <c r="P240" s="18" t="s">
        <v>1138</v>
      </c>
      <c r="Q240" s="18" t="s">
        <v>1139</v>
      </c>
      <c r="R240" s="18" t="s">
        <v>4740</v>
      </c>
      <c r="S240" s="18">
        <v>297</v>
      </c>
      <c r="T240" s="18">
        <v>43507.53</v>
      </c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</row>
    <row r="241" spans="6:39" x14ac:dyDescent="0.35">
      <c r="F241" s="18" t="s">
        <v>1109</v>
      </c>
      <c r="G241" s="19">
        <v>46211</v>
      </c>
      <c r="H241" s="18" t="s">
        <v>125</v>
      </c>
      <c r="I241" s="18" t="s">
        <v>1110</v>
      </c>
      <c r="J241" s="18">
        <v>971</v>
      </c>
      <c r="K241" s="18" t="s">
        <v>1111</v>
      </c>
      <c r="L241" s="18" t="s">
        <v>5484</v>
      </c>
      <c r="M241" s="19">
        <v>46211</v>
      </c>
      <c r="N241" s="18" t="s">
        <v>1112</v>
      </c>
      <c r="O241" s="18" t="s">
        <v>1131</v>
      </c>
      <c r="P241" s="18" t="s">
        <v>1132</v>
      </c>
      <c r="Q241" s="18" t="s">
        <v>1132</v>
      </c>
      <c r="R241" s="18" t="s">
        <v>1131</v>
      </c>
      <c r="S241" s="18">
        <v>309.3</v>
      </c>
      <c r="T241" s="18">
        <v>46237.26</v>
      </c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</row>
    <row r="242" spans="6:39" x14ac:dyDescent="0.35">
      <c r="F242" s="18" t="s">
        <v>1109</v>
      </c>
      <c r="G242" s="19">
        <v>46211</v>
      </c>
      <c r="H242" s="18" t="s">
        <v>125</v>
      </c>
      <c r="I242" s="18" t="s">
        <v>1110</v>
      </c>
      <c r="J242" s="18">
        <v>971</v>
      </c>
      <c r="K242" s="18" t="s">
        <v>1111</v>
      </c>
      <c r="L242" s="18" t="s">
        <v>5484</v>
      </c>
      <c r="M242" s="19">
        <v>46211</v>
      </c>
      <c r="N242" s="18" t="s">
        <v>1112</v>
      </c>
      <c r="O242" s="18" t="s">
        <v>1127</v>
      </c>
      <c r="P242" s="18" t="s">
        <v>1128</v>
      </c>
      <c r="Q242" s="18" t="s">
        <v>1129</v>
      </c>
      <c r="R242" s="18" t="s">
        <v>1130</v>
      </c>
      <c r="S242" s="18">
        <v>105.7</v>
      </c>
      <c r="T242" s="18">
        <v>19319.849999999999</v>
      </c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</row>
    <row r="243" spans="6:39" x14ac:dyDescent="0.35">
      <c r="F243" s="18" t="s">
        <v>1109</v>
      </c>
      <c r="G243" s="19">
        <v>46211</v>
      </c>
      <c r="H243" s="18" t="s">
        <v>125</v>
      </c>
      <c r="I243" s="18" t="s">
        <v>1110</v>
      </c>
      <c r="J243" s="18">
        <v>971</v>
      </c>
      <c r="K243" s="18" t="s">
        <v>1111</v>
      </c>
      <c r="L243" s="18" t="s">
        <v>5484</v>
      </c>
      <c r="M243" s="19">
        <v>46211</v>
      </c>
      <c r="N243" s="18" t="s">
        <v>1112</v>
      </c>
      <c r="O243" s="18" t="s">
        <v>1117</v>
      </c>
      <c r="P243" s="18" t="s">
        <v>1118</v>
      </c>
      <c r="Q243" s="18" t="s">
        <v>1119</v>
      </c>
      <c r="R243" s="18" t="s">
        <v>1120</v>
      </c>
      <c r="S243" s="18">
        <v>310</v>
      </c>
      <c r="T243" s="18">
        <v>44791.9</v>
      </c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</row>
    <row r="244" spans="6:39" x14ac:dyDescent="0.35">
      <c r="F244" s="18" t="s">
        <v>1109</v>
      </c>
      <c r="G244" s="19">
        <v>46211</v>
      </c>
      <c r="H244" s="18" t="s">
        <v>125</v>
      </c>
      <c r="I244" s="18" t="s">
        <v>1110</v>
      </c>
      <c r="J244" s="18">
        <v>972</v>
      </c>
      <c r="K244" s="18" t="s">
        <v>1111</v>
      </c>
      <c r="L244" s="18" t="s">
        <v>5485</v>
      </c>
      <c r="M244" s="19">
        <v>46211</v>
      </c>
      <c r="N244" s="18" t="s">
        <v>1112</v>
      </c>
      <c r="O244" s="18" t="s">
        <v>3407</v>
      </c>
      <c r="P244" s="18" t="s">
        <v>3792</v>
      </c>
      <c r="Q244" s="18" t="s">
        <v>1162</v>
      </c>
      <c r="R244" s="18" t="s">
        <v>1163</v>
      </c>
      <c r="S244" s="18">
        <v>91.4</v>
      </c>
      <c r="T244" s="18">
        <v>15792.09</v>
      </c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</row>
    <row r="245" spans="6:39" x14ac:dyDescent="0.35">
      <c r="F245" s="18" t="s">
        <v>1109</v>
      </c>
      <c r="G245" s="19">
        <v>46211</v>
      </c>
      <c r="H245" s="18" t="s">
        <v>125</v>
      </c>
      <c r="I245" s="18" t="s">
        <v>1110</v>
      </c>
      <c r="J245" s="18">
        <v>973</v>
      </c>
      <c r="K245" s="18" t="s">
        <v>1121</v>
      </c>
      <c r="L245" s="18" t="s">
        <v>5486</v>
      </c>
      <c r="M245" s="19">
        <v>46211</v>
      </c>
      <c r="N245" s="18" t="s">
        <v>1133</v>
      </c>
      <c r="O245" s="18" t="s">
        <v>1134</v>
      </c>
      <c r="P245" s="18" t="s">
        <v>5633</v>
      </c>
      <c r="Q245" s="18" t="s">
        <v>5634</v>
      </c>
      <c r="R245" s="18" t="s">
        <v>5635</v>
      </c>
      <c r="S245" s="18">
        <v>2000</v>
      </c>
      <c r="T245" s="18">
        <v>273700</v>
      </c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</row>
    <row r="246" spans="6:39" x14ac:dyDescent="0.35">
      <c r="F246" s="18" t="s">
        <v>1109</v>
      </c>
      <c r="G246" s="19">
        <v>46212</v>
      </c>
      <c r="H246" s="18" t="s">
        <v>1159</v>
      </c>
      <c r="I246" s="18" t="s">
        <v>1110</v>
      </c>
      <c r="J246" s="18">
        <v>991</v>
      </c>
      <c r="K246" s="18" t="s">
        <v>1121</v>
      </c>
      <c r="L246" s="18" t="s">
        <v>2340</v>
      </c>
      <c r="M246" s="19">
        <v>46212</v>
      </c>
      <c r="N246" s="18" t="s">
        <v>1122</v>
      </c>
      <c r="O246" s="18" t="s">
        <v>1123</v>
      </c>
      <c r="P246" s="18" t="s">
        <v>1124</v>
      </c>
      <c r="Q246" s="18" t="s">
        <v>1125</v>
      </c>
      <c r="R246" s="18" t="s">
        <v>1126</v>
      </c>
      <c r="S246" s="18">
        <v>60</v>
      </c>
      <c r="T246" s="18">
        <v>2880</v>
      </c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</row>
    <row r="247" spans="6:39" x14ac:dyDescent="0.35">
      <c r="F247" s="18" t="s">
        <v>1109</v>
      </c>
      <c r="G247" s="19">
        <v>46212</v>
      </c>
      <c r="H247" s="18" t="s">
        <v>3790</v>
      </c>
      <c r="I247" s="18" t="s">
        <v>1110</v>
      </c>
      <c r="J247" s="18">
        <v>977</v>
      </c>
      <c r="K247" s="18" t="s">
        <v>1111</v>
      </c>
      <c r="L247" s="18" t="s">
        <v>5683</v>
      </c>
      <c r="M247" s="19">
        <v>46212</v>
      </c>
      <c r="N247" s="18" t="s">
        <v>1112</v>
      </c>
      <c r="O247" s="18" t="s">
        <v>1117</v>
      </c>
      <c r="P247" s="18" t="s">
        <v>1118</v>
      </c>
      <c r="Q247" s="18" t="s">
        <v>1119</v>
      </c>
      <c r="R247" s="18" t="s">
        <v>1120</v>
      </c>
      <c r="S247" s="18">
        <v>3885</v>
      </c>
      <c r="T247" s="18">
        <v>569113.65</v>
      </c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</row>
    <row r="248" spans="6:39" x14ac:dyDescent="0.35">
      <c r="F248" s="18" t="s">
        <v>1109</v>
      </c>
      <c r="G248" s="19">
        <v>46212</v>
      </c>
      <c r="H248" s="18" t="s">
        <v>3790</v>
      </c>
      <c r="I248" s="18" t="s">
        <v>1110</v>
      </c>
      <c r="J248" s="18">
        <v>977</v>
      </c>
      <c r="K248" s="18" t="s">
        <v>1111</v>
      </c>
      <c r="L248" s="18" t="s">
        <v>5683</v>
      </c>
      <c r="M248" s="19">
        <v>46212</v>
      </c>
      <c r="N248" s="18" t="s">
        <v>1112</v>
      </c>
      <c r="O248" s="18" t="s">
        <v>1117</v>
      </c>
      <c r="P248" s="18" t="s">
        <v>1118</v>
      </c>
      <c r="Q248" s="18" t="s">
        <v>1119</v>
      </c>
      <c r="R248" s="18" t="s">
        <v>1120</v>
      </c>
      <c r="S248" s="18">
        <v>660</v>
      </c>
      <c r="T248" s="18">
        <v>97343.4</v>
      </c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</row>
    <row r="249" spans="6:39" x14ac:dyDescent="0.35">
      <c r="F249" s="18" t="s">
        <v>1109</v>
      </c>
      <c r="G249" s="19">
        <v>46212</v>
      </c>
      <c r="H249" s="18" t="s">
        <v>3790</v>
      </c>
      <c r="I249" s="18" t="s">
        <v>1110</v>
      </c>
      <c r="J249" s="18">
        <v>977</v>
      </c>
      <c r="K249" s="18" t="s">
        <v>1111</v>
      </c>
      <c r="L249" s="18" t="s">
        <v>5683</v>
      </c>
      <c r="M249" s="19">
        <v>46212</v>
      </c>
      <c r="N249" s="18" t="s">
        <v>1112</v>
      </c>
      <c r="O249" s="18" t="s">
        <v>1117</v>
      </c>
      <c r="P249" s="18" t="s">
        <v>1118</v>
      </c>
      <c r="Q249" s="18" t="s">
        <v>1119</v>
      </c>
      <c r="R249" s="18" t="s">
        <v>1120</v>
      </c>
      <c r="S249" s="18">
        <v>2864</v>
      </c>
      <c r="T249" s="18">
        <v>413819.36</v>
      </c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</row>
    <row r="250" spans="6:39" x14ac:dyDescent="0.35">
      <c r="F250" s="18" t="s">
        <v>1109</v>
      </c>
      <c r="G250" s="19">
        <v>46212</v>
      </c>
      <c r="H250" s="18" t="s">
        <v>3790</v>
      </c>
      <c r="I250" s="18" t="s">
        <v>1110</v>
      </c>
      <c r="J250" s="18">
        <v>978</v>
      </c>
      <c r="K250" s="18" t="s">
        <v>1111</v>
      </c>
      <c r="L250" s="18" t="s">
        <v>5684</v>
      </c>
      <c r="M250" s="19">
        <v>46212</v>
      </c>
      <c r="N250" s="18" t="s">
        <v>1112</v>
      </c>
      <c r="O250" s="18" t="s">
        <v>1117</v>
      </c>
      <c r="P250" s="18" t="s">
        <v>1118</v>
      </c>
      <c r="Q250" s="18" t="s">
        <v>1119</v>
      </c>
      <c r="R250" s="18" t="s">
        <v>1120</v>
      </c>
      <c r="S250" s="18">
        <v>1353</v>
      </c>
      <c r="T250" s="18">
        <v>198200.97</v>
      </c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</row>
    <row r="251" spans="6:39" x14ac:dyDescent="0.35">
      <c r="F251" s="18" t="s">
        <v>1109</v>
      </c>
      <c r="G251" s="19">
        <v>46212</v>
      </c>
      <c r="H251" s="18" t="s">
        <v>3790</v>
      </c>
      <c r="I251" s="18" t="s">
        <v>1110</v>
      </c>
      <c r="J251" s="18">
        <v>980</v>
      </c>
      <c r="K251" s="18" t="s">
        <v>1121</v>
      </c>
      <c r="L251" s="18" t="s">
        <v>5685</v>
      </c>
      <c r="M251" s="19">
        <v>46212</v>
      </c>
      <c r="N251" s="18" t="s">
        <v>1122</v>
      </c>
      <c r="O251" s="18" t="s">
        <v>1123</v>
      </c>
      <c r="P251" s="18" t="s">
        <v>1124</v>
      </c>
      <c r="Q251" s="18" t="s">
        <v>1125</v>
      </c>
      <c r="R251" s="18" t="s">
        <v>1126</v>
      </c>
      <c r="S251" s="18">
        <v>208</v>
      </c>
      <c r="T251" s="18">
        <v>9984</v>
      </c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</row>
    <row r="252" spans="6:39" x14ac:dyDescent="0.35">
      <c r="F252" s="18" t="s">
        <v>1109</v>
      </c>
      <c r="G252" s="19">
        <v>46212</v>
      </c>
      <c r="H252" s="18" t="s">
        <v>3790</v>
      </c>
      <c r="I252" s="18" t="s">
        <v>1110</v>
      </c>
      <c r="J252" s="18">
        <v>981</v>
      </c>
      <c r="K252" s="18" t="s">
        <v>1111</v>
      </c>
      <c r="L252" s="18" t="s">
        <v>5686</v>
      </c>
      <c r="M252" s="19">
        <v>46212</v>
      </c>
      <c r="N252" s="18" t="s">
        <v>1112</v>
      </c>
      <c r="O252" s="18" t="s">
        <v>1117</v>
      </c>
      <c r="P252" s="18" t="s">
        <v>1118</v>
      </c>
      <c r="Q252" s="18" t="s">
        <v>1119</v>
      </c>
      <c r="R252" s="18" t="s">
        <v>1120</v>
      </c>
      <c r="S252" s="18">
        <v>1402</v>
      </c>
      <c r="T252" s="18">
        <v>202574.98</v>
      </c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</row>
    <row r="253" spans="6:39" x14ac:dyDescent="0.35">
      <c r="F253" s="18" t="s">
        <v>1109</v>
      </c>
      <c r="G253" s="19">
        <v>46212</v>
      </c>
      <c r="H253" s="18" t="s">
        <v>3790</v>
      </c>
      <c r="I253" s="18" t="s">
        <v>1110</v>
      </c>
      <c r="J253" s="18">
        <v>981</v>
      </c>
      <c r="K253" s="18" t="s">
        <v>1111</v>
      </c>
      <c r="L253" s="18" t="s">
        <v>5686</v>
      </c>
      <c r="M253" s="19">
        <v>46212</v>
      </c>
      <c r="N253" s="18" t="s">
        <v>1112</v>
      </c>
      <c r="O253" s="18" t="s">
        <v>1117</v>
      </c>
      <c r="P253" s="18" t="s">
        <v>1118</v>
      </c>
      <c r="Q253" s="18" t="s">
        <v>1119</v>
      </c>
      <c r="R253" s="18" t="s">
        <v>1120</v>
      </c>
      <c r="S253" s="18">
        <v>391</v>
      </c>
      <c r="T253" s="18">
        <v>57277.59</v>
      </c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</row>
    <row r="254" spans="6:39" x14ac:dyDescent="0.35">
      <c r="F254" s="18" t="s">
        <v>1109</v>
      </c>
      <c r="G254" s="19">
        <v>46212</v>
      </c>
      <c r="H254" s="18" t="s">
        <v>3790</v>
      </c>
      <c r="I254" s="18" t="s">
        <v>1110</v>
      </c>
      <c r="J254" s="18">
        <v>981</v>
      </c>
      <c r="K254" s="18" t="s">
        <v>1111</v>
      </c>
      <c r="L254" s="18" t="s">
        <v>5686</v>
      </c>
      <c r="M254" s="19">
        <v>46212</v>
      </c>
      <c r="N254" s="18" t="s">
        <v>1112</v>
      </c>
      <c r="O254" s="18" t="s">
        <v>1127</v>
      </c>
      <c r="P254" s="18" t="s">
        <v>1128</v>
      </c>
      <c r="Q254" s="18" t="s">
        <v>1129</v>
      </c>
      <c r="R254" s="18" t="s">
        <v>1130</v>
      </c>
      <c r="S254" s="18">
        <v>3320</v>
      </c>
      <c r="T254" s="18">
        <v>606829.6</v>
      </c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</row>
    <row r="255" spans="6:39" x14ac:dyDescent="0.35">
      <c r="F255" s="18" t="s">
        <v>1109</v>
      </c>
      <c r="G255" s="19">
        <v>46212</v>
      </c>
      <c r="H255" s="18" t="s">
        <v>3790</v>
      </c>
      <c r="I255" s="18" t="s">
        <v>1110</v>
      </c>
      <c r="J255" s="18">
        <v>981</v>
      </c>
      <c r="K255" s="18" t="s">
        <v>1111</v>
      </c>
      <c r="L255" s="18" t="s">
        <v>5686</v>
      </c>
      <c r="M255" s="19">
        <v>46212</v>
      </c>
      <c r="N255" s="18" t="s">
        <v>1112</v>
      </c>
      <c r="O255" s="18" t="s">
        <v>1117</v>
      </c>
      <c r="P255" s="18" t="s">
        <v>1138</v>
      </c>
      <c r="Q255" s="18" t="s">
        <v>1139</v>
      </c>
      <c r="R255" s="18" t="s">
        <v>1140</v>
      </c>
      <c r="S255" s="18">
        <v>614</v>
      </c>
      <c r="T255" s="18">
        <v>93014.86</v>
      </c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</row>
    <row r="256" spans="6:39" x14ac:dyDescent="0.35">
      <c r="F256" s="18" t="s">
        <v>1109</v>
      </c>
      <c r="G256" s="19">
        <v>46212</v>
      </c>
      <c r="H256" s="18" t="s">
        <v>3790</v>
      </c>
      <c r="I256" s="18" t="s">
        <v>1110</v>
      </c>
      <c r="J256" s="18">
        <v>981</v>
      </c>
      <c r="K256" s="18" t="s">
        <v>1111</v>
      </c>
      <c r="L256" s="18" t="s">
        <v>5686</v>
      </c>
      <c r="M256" s="19">
        <v>46212</v>
      </c>
      <c r="N256" s="18" t="s">
        <v>1112</v>
      </c>
      <c r="O256" s="18" t="s">
        <v>1131</v>
      </c>
      <c r="P256" s="18" t="s">
        <v>1132</v>
      </c>
      <c r="Q256" s="18" t="s">
        <v>1132</v>
      </c>
      <c r="R256" s="18" t="s">
        <v>1131</v>
      </c>
      <c r="S256" s="18">
        <v>951.7</v>
      </c>
      <c r="T256" s="18">
        <v>139414.53</v>
      </c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</row>
    <row r="257" spans="6:39" x14ac:dyDescent="0.35">
      <c r="F257" s="18" t="s">
        <v>1109</v>
      </c>
      <c r="G257" s="19">
        <v>46212</v>
      </c>
      <c r="H257" s="18" t="s">
        <v>3790</v>
      </c>
      <c r="I257" s="18" t="s">
        <v>1110</v>
      </c>
      <c r="J257" s="18">
        <v>981</v>
      </c>
      <c r="K257" s="18" t="s">
        <v>1111</v>
      </c>
      <c r="L257" s="18" t="s">
        <v>5686</v>
      </c>
      <c r="M257" s="19">
        <v>46212</v>
      </c>
      <c r="N257" s="18" t="s">
        <v>1112</v>
      </c>
      <c r="O257" s="18" t="s">
        <v>1131</v>
      </c>
      <c r="P257" s="18" t="s">
        <v>1132</v>
      </c>
      <c r="Q257" s="18" t="s">
        <v>1132</v>
      </c>
      <c r="R257" s="18" t="s">
        <v>1131</v>
      </c>
      <c r="S257" s="18">
        <v>1109.7</v>
      </c>
      <c r="T257" s="18">
        <v>165889.04999999999</v>
      </c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</row>
    <row r="258" spans="6:39" x14ac:dyDescent="0.35">
      <c r="F258" s="18" t="s">
        <v>1109</v>
      </c>
      <c r="G258" s="19">
        <v>46212</v>
      </c>
      <c r="H258" s="18" t="s">
        <v>3790</v>
      </c>
      <c r="I258" s="18" t="s">
        <v>1110</v>
      </c>
      <c r="J258" s="18">
        <v>986</v>
      </c>
      <c r="K258" s="18" t="s">
        <v>1111</v>
      </c>
      <c r="L258" s="18" t="s">
        <v>5687</v>
      </c>
      <c r="M258" s="19">
        <v>46212</v>
      </c>
      <c r="N258" s="18" t="s">
        <v>1112</v>
      </c>
      <c r="O258" s="18" t="s">
        <v>1117</v>
      </c>
      <c r="P258" s="18" t="s">
        <v>1118</v>
      </c>
      <c r="Q258" s="18" t="s">
        <v>1119</v>
      </c>
      <c r="R258" s="18" t="s">
        <v>1120</v>
      </c>
      <c r="S258" s="18">
        <v>745</v>
      </c>
      <c r="T258" s="18">
        <v>107645.05</v>
      </c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</row>
    <row r="259" spans="6:39" x14ac:dyDescent="0.35">
      <c r="F259" s="18" t="s">
        <v>1109</v>
      </c>
      <c r="G259" s="19">
        <v>46212</v>
      </c>
      <c r="H259" s="18" t="s">
        <v>1135</v>
      </c>
      <c r="I259" s="18" t="s">
        <v>1136</v>
      </c>
      <c r="J259" s="18" t="s">
        <v>5688</v>
      </c>
      <c r="K259" s="18" t="s">
        <v>1137</v>
      </c>
      <c r="L259" s="18" t="s">
        <v>5688</v>
      </c>
      <c r="M259" s="19">
        <v>46212</v>
      </c>
      <c r="N259" s="18" t="s">
        <v>1112</v>
      </c>
      <c r="O259" s="18" t="s">
        <v>1153</v>
      </c>
      <c r="P259" s="18" t="s">
        <v>1154</v>
      </c>
      <c r="Q259" s="18" t="s">
        <v>1155</v>
      </c>
      <c r="R259" s="18" t="s">
        <v>1154</v>
      </c>
      <c r="S259" s="18">
        <v>650.71</v>
      </c>
      <c r="T259" s="18">
        <v>89472.668999999994</v>
      </c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</row>
    <row r="260" spans="6:39" x14ac:dyDescent="0.35">
      <c r="F260" s="18" t="s">
        <v>1109</v>
      </c>
      <c r="G260" s="19">
        <v>46212</v>
      </c>
      <c r="H260" s="18" t="s">
        <v>1135</v>
      </c>
      <c r="I260" s="18" t="s">
        <v>1136</v>
      </c>
      <c r="J260" s="18" t="s">
        <v>5689</v>
      </c>
      <c r="K260" s="18" t="s">
        <v>1137</v>
      </c>
      <c r="L260" s="18" t="s">
        <v>5689</v>
      </c>
      <c r="M260" s="19">
        <v>46212</v>
      </c>
      <c r="N260" s="18" t="s">
        <v>1112</v>
      </c>
      <c r="O260" s="18" t="s">
        <v>1153</v>
      </c>
      <c r="P260" s="18" t="s">
        <v>1154</v>
      </c>
      <c r="Q260" s="18" t="s">
        <v>1155</v>
      </c>
      <c r="R260" s="18" t="s">
        <v>1154</v>
      </c>
      <c r="S260" s="18">
        <v>1110.3900000000001</v>
      </c>
      <c r="T260" s="18">
        <v>149347.54999999999</v>
      </c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</row>
    <row r="261" spans="6:39" x14ac:dyDescent="0.35">
      <c r="F261" s="18" t="s">
        <v>1109</v>
      </c>
      <c r="G261" s="19">
        <v>46212</v>
      </c>
      <c r="H261" s="18" t="s">
        <v>1135</v>
      </c>
      <c r="I261" s="18" t="s">
        <v>1136</v>
      </c>
      <c r="J261" s="18" t="s">
        <v>5690</v>
      </c>
      <c r="K261" s="18" t="s">
        <v>1137</v>
      </c>
      <c r="L261" s="18" t="s">
        <v>5690</v>
      </c>
      <c r="M261" s="19">
        <v>46212</v>
      </c>
      <c r="N261" s="18" t="s">
        <v>1112</v>
      </c>
      <c r="O261" s="18" t="s">
        <v>1117</v>
      </c>
      <c r="P261" s="18" t="s">
        <v>1118</v>
      </c>
      <c r="Q261" s="18" t="s">
        <v>1119</v>
      </c>
      <c r="R261" s="18" t="s">
        <v>1120</v>
      </c>
      <c r="S261" s="18">
        <v>812.1</v>
      </c>
      <c r="T261" s="18">
        <v>112878.792</v>
      </c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</row>
    <row r="262" spans="6:39" x14ac:dyDescent="0.35">
      <c r="F262" s="18" t="s">
        <v>1109</v>
      </c>
      <c r="G262" s="19">
        <v>46212</v>
      </c>
      <c r="H262" s="18" t="s">
        <v>1135</v>
      </c>
      <c r="I262" s="18" t="s">
        <v>1136</v>
      </c>
      <c r="J262" s="18" t="s">
        <v>5691</v>
      </c>
      <c r="K262" s="18" t="s">
        <v>1137</v>
      </c>
      <c r="L262" s="18" t="s">
        <v>5691</v>
      </c>
      <c r="M262" s="19">
        <v>46212</v>
      </c>
      <c r="N262" s="18" t="s">
        <v>1146</v>
      </c>
      <c r="O262" s="18" t="s">
        <v>1147</v>
      </c>
      <c r="P262" s="18" t="s">
        <v>1147</v>
      </c>
      <c r="Q262" s="18" t="s">
        <v>1148</v>
      </c>
      <c r="R262" s="18" t="s">
        <v>1149</v>
      </c>
      <c r="S262" s="18">
        <v>7230</v>
      </c>
      <c r="T262" s="18">
        <v>1807473.0959999999</v>
      </c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</row>
    <row r="263" spans="6:39" x14ac:dyDescent="0.35">
      <c r="F263" s="18" t="s">
        <v>1109</v>
      </c>
      <c r="G263" s="19">
        <v>46212</v>
      </c>
      <c r="H263" s="18" t="s">
        <v>485</v>
      </c>
      <c r="I263" s="18" t="s">
        <v>1110</v>
      </c>
      <c r="J263" s="18">
        <v>987</v>
      </c>
      <c r="K263" s="18" t="s">
        <v>1121</v>
      </c>
      <c r="L263" s="18" t="s">
        <v>5692</v>
      </c>
      <c r="M263" s="19">
        <v>46212</v>
      </c>
      <c r="N263" s="18" t="s">
        <v>1122</v>
      </c>
      <c r="O263" s="18" t="s">
        <v>1123</v>
      </c>
      <c r="P263" s="18" t="s">
        <v>1124</v>
      </c>
      <c r="Q263" s="18" t="s">
        <v>1125</v>
      </c>
      <c r="R263" s="18" t="s">
        <v>1126</v>
      </c>
      <c r="S263" s="18">
        <v>166</v>
      </c>
      <c r="T263" s="18">
        <v>7968</v>
      </c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</row>
    <row r="264" spans="6:39" x14ac:dyDescent="0.35">
      <c r="F264" s="18" t="s">
        <v>1109</v>
      </c>
      <c r="G264" s="19">
        <v>46212</v>
      </c>
      <c r="H264" s="18" t="s">
        <v>485</v>
      </c>
      <c r="I264" s="18" t="s">
        <v>1110</v>
      </c>
      <c r="J264" s="18">
        <v>989</v>
      </c>
      <c r="K264" s="18" t="s">
        <v>1111</v>
      </c>
      <c r="L264" s="18" t="s">
        <v>5693</v>
      </c>
      <c r="M264" s="19">
        <v>46212</v>
      </c>
      <c r="N264" s="18" t="s">
        <v>1112</v>
      </c>
      <c r="O264" s="18" t="s">
        <v>1113</v>
      </c>
      <c r="P264" s="18" t="s">
        <v>1114</v>
      </c>
      <c r="Q264" s="18" t="s">
        <v>1115</v>
      </c>
      <c r="R264" s="18" t="s">
        <v>1116</v>
      </c>
      <c r="S264" s="18">
        <v>820.7</v>
      </c>
      <c r="T264" s="18">
        <v>128431.34</v>
      </c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</row>
    <row r="265" spans="6:39" x14ac:dyDescent="0.35">
      <c r="F265" s="18" t="s">
        <v>1109</v>
      </c>
      <c r="G265" s="19">
        <v>46212</v>
      </c>
      <c r="H265" s="18" t="s">
        <v>485</v>
      </c>
      <c r="I265" s="18" t="s">
        <v>1110</v>
      </c>
      <c r="J265" s="18">
        <v>989</v>
      </c>
      <c r="K265" s="18" t="s">
        <v>1111</v>
      </c>
      <c r="L265" s="18" t="s">
        <v>5693</v>
      </c>
      <c r="M265" s="19">
        <v>46212</v>
      </c>
      <c r="N265" s="18" t="s">
        <v>1112</v>
      </c>
      <c r="O265" s="18" t="s">
        <v>1117</v>
      </c>
      <c r="P265" s="18" t="s">
        <v>1118</v>
      </c>
      <c r="Q265" s="18" t="s">
        <v>1119</v>
      </c>
      <c r="R265" s="18" t="s">
        <v>1120</v>
      </c>
      <c r="S265" s="18">
        <v>969.86</v>
      </c>
      <c r="T265" s="18">
        <v>144984.37</v>
      </c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</row>
    <row r="266" spans="6:39" x14ac:dyDescent="0.35">
      <c r="F266" s="18" t="s">
        <v>1109</v>
      </c>
      <c r="G266" s="19">
        <v>46212</v>
      </c>
      <c r="H266" s="18" t="s">
        <v>485</v>
      </c>
      <c r="I266" s="18" t="s">
        <v>1110</v>
      </c>
      <c r="J266" s="18">
        <v>989</v>
      </c>
      <c r="K266" s="18" t="s">
        <v>1111</v>
      </c>
      <c r="L266" s="18" t="s">
        <v>5693</v>
      </c>
      <c r="M266" s="19">
        <v>46212</v>
      </c>
      <c r="N266" s="18" t="s">
        <v>1112</v>
      </c>
      <c r="O266" s="18" t="s">
        <v>1127</v>
      </c>
      <c r="P266" s="18" t="s">
        <v>1128</v>
      </c>
      <c r="Q266" s="18" t="s">
        <v>1129</v>
      </c>
      <c r="R266" s="18" t="s">
        <v>1130</v>
      </c>
      <c r="S266" s="18">
        <v>501</v>
      </c>
      <c r="T266" s="18">
        <v>91572.78</v>
      </c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</row>
    <row r="267" spans="6:39" x14ac:dyDescent="0.35">
      <c r="F267" s="18" t="s">
        <v>1109</v>
      </c>
      <c r="G267" s="19">
        <v>46212</v>
      </c>
      <c r="H267" s="18" t="s">
        <v>125</v>
      </c>
      <c r="I267" s="18" t="s">
        <v>1110</v>
      </c>
      <c r="J267" s="18">
        <v>979</v>
      </c>
      <c r="K267" s="18" t="s">
        <v>1111</v>
      </c>
      <c r="L267" s="18" t="s">
        <v>5487</v>
      </c>
      <c r="M267" s="19">
        <v>46212</v>
      </c>
      <c r="N267" s="18" t="s">
        <v>1112</v>
      </c>
      <c r="O267" s="18" t="s">
        <v>1117</v>
      </c>
      <c r="P267" s="18" t="s">
        <v>1118</v>
      </c>
      <c r="Q267" s="18" t="s">
        <v>1119</v>
      </c>
      <c r="R267" s="18" t="s">
        <v>1120</v>
      </c>
      <c r="S267" s="18">
        <v>1452</v>
      </c>
      <c r="T267" s="18">
        <v>209799.48</v>
      </c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</row>
    <row r="268" spans="6:39" x14ac:dyDescent="0.35">
      <c r="F268" s="18" t="s">
        <v>1109</v>
      </c>
      <c r="G268" s="19">
        <v>46212</v>
      </c>
      <c r="H268" s="18" t="s">
        <v>125</v>
      </c>
      <c r="I268" s="18" t="s">
        <v>1110</v>
      </c>
      <c r="J268" s="18">
        <v>983</v>
      </c>
      <c r="K268" s="18" t="s">
        <v>1165</v>
      </c>
      <c r="L268" s="18" t="s">
        <v>5488</v>
      </c>
      <c r="M268" s="19">
        <v>46212</v>
      </c>
      <c r="N268" s="18" t="s">
        <v>4999</v>
      </c>
      <c r="O268" s="18" t="s">
        <v>5005</v>
      </c>
      <c r="P268" s="18" t="s">
        <v>5666</v>
      </c>
      <c r="Q268" s="18" t="s">
        <v>5667</v>
      </c>
      <c r="R268" s="18" t="s">
        <v>5694</v>
      </c>
      <c r="S268" s="18">
        <v>3040</v>
      </c>
      <c r="T268" s="18">
        <v>1687.2</v>
      </c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</row>
    <row r="269" spans="6:39" x14ac:dyDescent="0.35">
      <c r="F269" s="18" t="s">
        <v>1109</v>
      </c>
      <c r="G269" s="19">
        <v>46212</v>
      </c>
      <c r="H269" s="18" t="s">
        <v>125</v>
      </c>
      <c r="I269" s="18" t="s">
        <v>1110</v>
      </c>
      <c r="J269" s="18">
        <v>984</v>
      </c>
      <c r="K269" s="18" t="s">
        <v>1121</v>
      </c>
      <c r="L269" s="18" t="s">
        <v>5489</v>
      </c>
      <c r="M269" s="19">
        <v>46212</v>
      </c>
      <c r="N269" s="18" t="s">
        <v>1122</v>
      </c>
      <c r="O269" s="18" t="s">
        <v>1123</v>
      </c>
      <c r="P269" s="18" t="s">
        <v>1124</v>
      </c>
      <c r="Q269" s="18" t="s">
        <v>1125</v>
      </c>
      <c r="R269" s="18" t="s">
        <v>1126</v>
      </c>
      <c r="S269" s="18">
        <v>23</v>
      </c>
      <c r="T269" s="18">
        <v>1104</v>
      </c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</row>
    <row r="270" spans="6:39" x14ac:dyDescent="0.35">
      <c r="F270" s="18" t="s">
        <v>1109</v>
      </c>
      <c r="G270" s="19">
        <v>46212</v>
      </c>
      <c r="H270" s="18" t="s">
        <v>125</v>
      </c>
      <c r="I270" s="18" t="s">
        <v>1110</v>
      </c>
      <c r="J270" s="18">
        <v>985</v>
      </c>
      <c r="K270" s="18" t="s">
        <v>1111</v>
      </c>
      <c r="L270" s="18" t="s">
        <v>2336</v>
      </c>
      <c r="M270" s="19">
        <v>46212</v>
      </c>
      <c r="N270" s="18" t="s">
        <v>1112</v>
      </c>
      <c r="O270" s="18" t="s">
        <v>1117</v>
      </c>
      <c r="P270" s="18" t="s">
        <v>1118</v>
      </c>
      <c r="Q270" s="18" t="s">
        <v>1119</v>
      </c>
      <c r="R270" s="18" t="s">
        <v>1120</v>
      </c>
      <c r="S270" s="18">
        <v>295</v>
      </c>
      <c r="T270" s="18">
        <v>42624.55</v>
      </c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</row>
    <row r="271" spans="6:39" x14ac:dyDescent="0.35">
      <c r="F271" s="18" t="s">
        <v>1109</v>
      </c>
      <c r="G271" s="19">
        <v>46212</v>
      </c>
      <c r="H271" s="18" t="s">
        <v>125</v>
      </c>
      <c r="I271" s="18" t="s">
        <v>1110</v>
      </c>
      <c r="J271" s="18">
        <v>985</v>
      </c>
      <c r="K271" s="18" t="s">
        <v>1111</v>
      </c>
      <c r="L271" s="18" t="s">
        <v>2336</v>
      </c>
      <c r="M271" s="19">
        <v>46212</v>
      </c>
      <c r="N271" s="18" t="s">
        <v>1112</v>
      </c>
      <c r="O271" s="18" t="s">
        <v>1117</v>
      </c>
      <c r="P271" s="18" t="s">
        <v>1118</v>
      </c>
      <c r="Q271" s="18" t="s">
        <v>1119</v>
      </c>
      <c r="R271" s="18" t="s">
        <v>1120</v>
      </c>
      <c r="S271" s="18">
        <v>573</v>
      </c>
      <c r="T271" s="18">
        <v>87376.77</v>
      </c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</row>
    <row r="272" spans="6:39" x14ac:dyDescent="0.35">
      <c r="F272" s="18" t="s">
        <v>1109</v>
      </c>
      <c r="G272" s="19">
        <v>46212</v>
      </c>
      <c r="H272" s="18" t="s">
        <v>125</v>
      </c>
      <c r="I272" s="18" t="s">
        <v>1110</v>
      </c>
      <c r="J272" s="18">
        <v>988</v>
      </c>
      <c r="K272" s="18" t="s">
        <v>1121</v>
      </c>
      <c r="L272" s="18" t="s">
        <v>2337</v>
      </c>
      <c r="M272" s="19">
        <v>46212</v>
      </c>
      <c r="N272" s="18" t="s">
        <v>1133</v>
      </c>
      <c r="O272" s="18" t="s">
        <v>1134</v>
      </c>
      <c r="P272" s="18" t="s">
        <v>1141</v>
      </c>
      <c r="Q272" s="18" t="s">
        <v>1142</v>
      </c>
      <c r="R272" s="18" t="s">
        <v>5695</v>
      </c>
      <c r="S272" s="18">
        <v>5000</v>
      </c>
      <c r="T272" s="18">
        <v>681655</v>
      </c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</row>
    <row r="273" spans="6:39" x14ac:dyDescent="0.35">
      <c r="F273" s="18" t="s">
        <v>1109</v>
      </c>
      <c r="G273" s="19">
        <v>46213</v>
      </c>
      <c r="H273" s="18" t="s">
        <v>1159</v>
      </c>
      <c r="I273" s="18" t="s">
        <v>1110</v>
      </c>
      <c r="J273" s="18">
        <v>1003</v>
      </c>
      <c r="K273" s="18" t="s">
        <v>1111</v>
      </c>
      <c r="L273" s="18" t="s">
        <v>2383</v>
      </c>
      <c r="M273" s="19">
        <v>46213</v>
      </c>
      <c r="N273" s="18" t="s">
        <v>1112</v>
      </c>
      <c r="O273" s="18" t="s">
        <v>1117</v>
      </c>
      <c r="P273" s="18" t="s">
        <v>1138</v>
      </c>
      <c r="Q273" s="18" t="s">
        <v>1139</v>
      </c>
      <c r="R273" s="18" t="s">
        <v>1140</v>
      </c>
      <c r="S273" s="18">
        <v>9547</v>
      </c>
      <c r="T273" s="18">
        <v>1417634.03</v>
      </c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</row>
    <row r="274" spans="6:39" x14ac:dyDescent="0.35">
      <c r="F274" s="18" t="s">
        <v>1109</v>
      </c>
      <c r="G274" s="19">
        <v>46213</v>
      </c>
      <c r="H274" s="18" t="s">
        <v>3790</v>
      </c>
      <c r="I274" s="18" t="s">
        <v>1110</v>
      </c>
      <c r="J274" s="18">
        <v>1000</v>
      </c>
      <c r="K274" s="18" t="s">
        <v>1111</v>
      </c>
      <c r="L274" s="18" t="s">
        <v>5696</v>
      </c>
      <c r="M274" s="19">
        <v>46213</v>
      </c>
      <c r="N274" s="18" t="s">
        <v>1112</v>
      </c>
      <c r="O274" s="18" t="s">
        <v>1117</v>
      </c>
      <c r="P274" s="18" t="s">
        <v>1118</v>
      </c>
      <c r="Q274" s="18" t="s">
        <v>1119</v>
      </c>
      <c r="R274" s="18" t="s">
        <v>1120</v>
      </c>
      <c r="S274" s="18">
        <v>247</v>
      </c>
      <c r="T274" s="18">
        <v>36183.03</v>
      </c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</row>
    <row r="275" spans="6:39" x14ac:dyDescent="0.35">
      <c r="F275" s="18" t="s">
        <v>1109</v>
      </c>
      <c r="G275" s="19">
        <v>46213</v>
      </c>
      <c r="H275" s="18" t="s">
        <v>3790</v>
      </c>
      <c r="I275" s="18" t="s">
        <v>1110</v>
      </c>
      <c r="J275" s="18">
        <v>993</v>
      </c>
      <c r="K275" s="18" t="s">
        <v>1111</v>
      </c>
      <c r="L275" s="18" t="s">
        <v>2341</v>
      </c>
      <c r="M275" s="19">
        <v>46213</v>
      </c>
      <c r="N275" s="18" t="s">
        <v>1112</v>
      </c>
      <c r="O275" s="18" t="s">
        <v>1117</v>
      </c>
      <c r="P275" s="18" t="s">
        <v>1118</v>
      </c>
      <c r="Q275" s="18" t="s">
        <v>1119</v>
      </c>
      <c r="R275" s="18" t="s">
        <v>1120</v>
      </c>
      <c r="S275" s="18">
        <v>3402</v>
      </c>
      <c r="T275" s="18">
        <v>491554.98</v>
      </c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</row>
    <row r="276" spans="6:39" x14ac:dyDescent="0.35">
      <c r="F276" s="18" t="s">
        <v>1109</v>
      </c>
      <c r="G276" s="19">
        <v>46213</v>
      </c>
      <c r="H276" s="18" t="s">
        <v>3790</v>
      </c>
      <c r="I276" s="18" t="s">
        <v>1110</v>
      </c>
      <c r="J276" s="18">
        <v>993</v>
      </c>
      <c r="K276" s="18" t="s">
        <v>1111</v>
      </c>
      <c r="L276" s="18" t="s">
        <v>2341</v>
      </c>
      <c r="M276" s="19">
        <v>46213</v>
      </c>
      <c r="N276" s="18" t="s">
        <v>1112</v>
      </c>
      <c r="O276" s="18" t="s">
        <v>1117</v>
      </c>
      <c r="P276" s="18" t="s">
        <v>1118</v>
      </c>
      <c r="Q276" s="18" t="s">
        <v>1119</v>
      </c>
      <c r="R276" s="18" t="s">
        <v>1120</v>
      </c>
      <c r="S276" s="18">
        <v>895</v>
      </c>
      <c r="T276" s="18">
        <v>132003.54999999999</v>
      </c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</row>
    <row r="277" spans="6:39" x14ac:dyDescent="0.35">
      <c r="F277" s="18" t="s">
        <v>1109</v>
      </c>
      <c r="G277" s="19">
        <v>46213</v>
      </c>
      <c r="H277" s="18" t="s">
        <v>3790</v>
      </c>
      <c r="I277" s="18" t="s">
        <v>1110</v>
      </c>
      <c r="J277" s="18">
        <v>993</v>
      </c>
      <c r="K277" s="18" t="s">
        <v>1111</v>
      </c>
      <c r="L277" s="18" t="s">
        <v>2341</v>
      </c>
      <c r="M277" s="19">
        <v>46213</v>
      </c>
      <c r="N277" s="18" t="s">
        <v>1112</v>
      </c>
      <c r="O277" s="18" t="s">
        <v>1117</v>
      </c>
      <c r="P277" s="18" t="s">
        <v>1118</v>
      </c>
      <c r="Q277" s="18" t="s">
        <v>1119</v>
      </c>
      <c r="R277" s="18" t="s">
        <v>1120</v>
      </c>
      <c r="S277" s="18">
        <v>3123</v>
      </c>
      <c r="T277" s="18">
        <v>457488.27</v>
      </c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</row>
    <row r="278" spans="6:39" x14ac:dyDescent="0.35">
      <c r="F278" s="18" t="s">
        <v>1109</v>
      </c>
      <c r="G278" s="19">
        <v>46213</v>
      </c>
      <c r="H278" s="18" t="s">
        <v>3790</v>
      </c>
      <c r="I278" s="18" t="s">
        <v>1110</v>
      </c>
      <c r="J278" s="18">
        <v>993</v>
      </c>
      <c r="K278" s="18" t="s">
        <v>1111</v>
      </c>
      <c r="L278" s="18" t="s">
        <v>2341</v>
      </c>
      <c r="M278" s="19">
        <v>46213</v>
      </c>
      <c r="N278" s="18" t="s">
        <v>1112</v>
      </c>
      <c r="O278" s="18" t="s">
        <v>1117</v>
      </c>
      <c r="P278" s="18" t="s">
        <v>1138</v>
      </c>
      <c r="Q278" s="18" t="s">
        <v>1139</v>
      </c>
      <c r="R278" s="18" t="s">
        <v>1140</v>
      </c>
      <c r="S278" s="18">
        <v>1304</v>
      </c>
      <c r="T278" s="18">
        <v>197542.96</v>
      </c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</row>
    <row r="279" spans="6:39" x14ac:dyDescent="0.35">
      <c r="F279" s="18" t="s">
        <v>1109</v>
      </c>
      <c r="G279" s="19">
        <v>46213</v>
      </c>
      <c r="H279" s="18" t="s">
        <v>3790</v>
      </c>
      <c r="I279" s="18" t="s">
        <v>1110</v>
      </c>
      <c r="J279" s="18">
        <v>997</v>
      </c>
      <c r="K279" s="18" t="s">
        <v>1111</v>
      </c>
      <c r="L279" s="18" t="s">
        <v>5697</v>
      </c>
      <c r="M279" s="19">
        <v>46213</v>
      </c>
      <c r="N279" s="18" t="s">
        <v>1112</v>
      </c>
      <c r="O279" s="18" t="s">
        <v>1127</v>
      </c>
      <c r="P279" s="18" t="s">
        <v>1128</v>
      </c>
      <c r="Q279" s="18" t="s">
        <v>1129</v>
      </c>
      <c r="R279" s="18" t="s">
        <v>1130</v>
      </c>
      <c r="S279" s="18">
        <v>357</v>
      </c>
      <c r="T279" s="18">
        <v>66680.460000000006</v>
      </c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</row>
    <row r="280" spans="6:39" x14ac:dyDescent="0.35">
      <c r="F280" s="18" t="s">
        <v>1109</v>
      </c>
      <c r="G280" s="19">
        <v>46213</v>
      </c>
      <c r="H280" s="18" t="s">
        <v>3790</v>
      </c>
      <c r="I280" s="18" t="s">
        <v>1110</v>
      </c>
      <c r="J280" s="18">
        <v>997</v>
      </c>
      <c r="K280" s="18" t="s">
        <v>1111</v>
      </c>
      <c r="L280" s="18" t="s">
        <v>5697</v>
      </c>
      <c r="M280" s="19">
        <v>46213</v>
      </c>
      <c r="N280" s="18" t="s">
        <v>1112</v>
      </c>
      <c r="O280" s="18" t="s">
        <v>1127</v>
      </c>
      <c r="P280" s="18" t="s">
        <v>1128</v>
      </c>
      <c r="Q280" s="18" t="s">
        <v>1129</v>
      </c>
      <c r="R280" s="18" t="s">
        <v>1130</v>
      </c>
      <c r="S280" s="18">
        <v>692</v>
      </c>
      <c r="T280" s="18">
        <v>126483.76</v>
      </c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</row>
    <row r="281" spans="6:39" x14ac:dyDescent="0.35">
      <c r="F281" s="18" t="s">
        <v>1109</v>
      </c>
      <c r="G281" s="19">
        <v>46213</v>
      </c>
      <c r="H281" s="18" t="s">
        <v>3790</v>
      </c>
      <c r="I281" s="18" t="s">
        <v>1110</v>
      </c>
      <c r="J281" s="18">
        <v>997</v>
      </c>
      <c r="K281" s="18" t="s">
        <v>1111</v>
      </c>
      <c r="L281" s="18" t="s">
        <v>5697</v>
      </c>
      <c r="M281" s="19">
        <v>46213</v>
      </c>
      <c r="N281" s="18" t="s">
        <v>1112</v>
      </c>
      <c r="O281" s="18" t="s">
        <v>1117</v>
      </c>
      <c r="P281" s="18" t="s">
        <v>1118</v>
      </c>
      <c r="Q281" s="18" t="s">
        <v>1119</v>
      </c>
      <c r="R281" s="18" t="s">
        <v>1120</v>
      </c>
      <c r="S281" s="18">
        <v>254</v>
      </c>
      <c r="T281" s="18">
        <v>37208.46</v>
      </c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</row>
    <row r="282" spans="6:39" x14ac:dyDescent="0.35">
      <c r="F282" s="18" t="s">
        <v>1109</v>
      </c>
      <c r="G282" s="19">
        <v>46213</v>
      </c>
      <c r="H282" s="18" t="s">
        <v>3790</v>
      </c>
      <c r="I282" s="18" t="s">
        <v>1110</v>
      </c>
      <c r="J282" s="18">
        <v>997</v>
      </c>
      <c r="K282" s="18" t="s">
        <v>1111</v>
      </c>
      <c r="L282" s="18" t="s">
        <v>5697</v>
      </c>
      <c r="M282" s="19">
        <v>46213</v>
      </c>
      <c r="N282" s="18" t="s">
        <v>1112</v>
      </c>
      <c r="O282" s="18" t="s">
        <v>1117</v>
      </c>
      <c r="P282" s="18" t="s">
        <v>1118</v>
      </c>
      <c r="Q282" s="18" t="s">
        <v>1119</v>
      </c>
      <c r="R282" s="18" t="s">
        <v>1120</v>
      </c>
      <c r="S282" s="18">
        <v>343</v>
      </c>
      <c r="T282" s="18">
        <v>49560.07</v>
      </c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</row>
    <row r="283" spans="6:39" x14ac:dyDescent="0.35">
      <c r="F283" s="18" t="s">
        <v>1109</v>
      </c>
      <c r="G283" s="19">
        <v>46213</v>
      </c>
      <c r="H283" s="18" t="s">
        <v>3790</v>
      </c>
      <c r="I283" s="18" t="s">
        <v>1110</v>
      </c>
      <c r="J283" s="18">
        <v>998</v>
      </c>
      <c r="K283" s="18" t="s">
        <v>1121</v>
      </c>
      <c r="L283" s="18" t="s">
        <v>5698</v>
      </c>
      <c r="M283" s="19">
        <v>46213</v>
      </c>
      <c r="N283" s="18" t="s">
        <v>1122</v>
      </c>
      <c r="O283" s="18" t="s">
        <v>1123</v>
      </c>
      <c r="P283" s="18" t="s">
        <v>1124</v>
      </c>
      <c r="Q283" s="18" t="s">
        <v>1125</v>
      </c>
      <c r="R283" s="18" t="s">
        <v>1126</v>
      </c>
      <c r="S283" s="18">
        <v>363</v>
      </c>
      <c r="T283" s="18">
        <v>17424</v>
      </c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</row>
    <row r="284" spans="6:39" x14ac:dyDescent="0.35">
      <c r="F284" s="18" t="s">
        <v>1109</v>
      </c>
      <c r="G284" s="19">
        <v>46213</v>
      </c>
      <c r="H284" s="18" t="s">
        <v>3790</v>
      </c>
      <c r="I284" s="18" t="s">
        <v>1110</v>
      </c>
      <c r="J284" s="18">
        <v>999</v>
      </c>
      <c r="K284" s="18" t="s">
        <v>1111</v>
      </c>
      <c r="L284" s="18" t="s">
        <v>2344</v>
      </c>
      <c r="M284" s="19">
        <v>46213</v>
      </c>
      <c r="N284" s="18" t="s">
        <v>1112</v>
      </c>
      <c r="O284" s="18" t="s">
        <v>1131</v>
      </c>
      <c r="P284" s="18" t="s">
        <v>1132</v>
      </c>
      <c r="Q284" s="18" t="s">
        <v>1132</v>
      </c>
      <c r="R284" s="18" t="s">
        <v>1131</v>
      </c>
      <c r="S284" s="18">
        <v>1357.8</v>
      </c>
      <c r="T284" s="18">
        <v>202977.52</v>
      </c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</row>
    <row r="285" spans="6:39" x14ac:dyDescent="0.35">
      <c r="F285" s="18" t="s">
        <v>1109</v>
      </c>
      <c r="G285" s="19">
        <v>46213</v>
      </c>
      <c r="H285" s="18" t="s">
        <v>3790</v>
      </c>
      <c r="I285" s="18" t="s">
        <v>1110</v>
      </c>
      <c r="J285" s="18">
        <v>999</v>
      </c>
      <c r="K285" s="18" t="s">
        <v>1111</v>
      </c>
      <c r="L285" s="18" t="s">
        <v>2344</v>
      </c>
      <c r="M285" s="19">
        <v>46213</v>
      </c>
      <c r="N285" s="18" t="s">
        <v>1112</v>
      </c>
      <c r="O285" s="18" t="s">
        <v>1131</v>
      </c>
      <c r="P285" s="18" t="s">
        <v>1132</v>
      </c>
      <c r="Q285" s="18" t="s">
        <v>1132</v>
      </c>
      <c r="R285" s="18" t="s">
        <v>1131</v>
      </c>
      <c r="S285" s="18">
        <v>853.9</v>
      </c>
      <c r="T285" s="18">
        <v>125087.81</v>
      </c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</row>
    <row r="286" spans="6:39" x14ac:dyDescent="0.35">
      <c r="F286" s="18" t="s">
        <v>1109</v>
      </c>
      <c r="G286" s="19">
        <v>46213</v>
      </c>
      <c r="H286" s="18" t="s">
        <v>3790</v>
      </c>
      <c r="I286" s="18" t="s">
        <v>1110</v>
      </c>
      <c r="J286" s="18">
        <v>999</v>
      </c>
      <c r="K286" s="18" t="s">
        <v>1111</v>
      </c>
      <c r="L286" s="18" t="s">
        <v>2344</v>
      </c>
      <c r="M286" s="19">
        <v>46213</v>
      </c>
      <c r="N286" s="18" t="s">
        <v>1112</v>
      </c>
      <c r="O286" s="18" t="s">
        <v>1117</v>
      </c>
      <c r="P286" s="18" t="s">
        <v>1118</v>
      </c>
      <c r="Q286" s="18" t="s">
        <v>1119</v>
      </c>
      <c r="R286" s="18" t="s">
        <v>1120</v>
      </c>
      <c r="S286" s="18">
        <v>549</v>
      </c>
      <c r="T286" s="18">
        <v>79325.009999999995</v>
      </c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</row>
    <row r="287" spans="6:39" x14ac:dyDescent="0.35">
      <c r="F287" s="18" t="s">
        <v>1109</v>
      </c>
      <c r="G287" s="19">
        <v>46213</v>
      </c>
      <c r="H287" s="18" t="s">
        <v>3790</v>
      </c>
      <c r="I287" s="18" t="s">
        <v>1110</v>
      </c>
      <c r="J287" s="18">
        <v>999</v>
      </c>
      <c r="K287" s="18" t="s">
        <v>1111</v>
      </c>
      <c r="L287" s="18" t="s">
        <v>2344</v>
      </c>
      <c r="M287" s="19">
        <v>46213</v>
      </c>
      <c r="N287" s="18" t="s">
        <v>1112</v>
      </c>
      <c r="O287" s="18" t="s">
        <v>1117</v>
      </c>
      <c r="P287" s="18" t="s">
        <v>1118</v>
      </c>
      <c r="Q287" s="18" t="s">
        <v>1119</v>
      </c>
      <c r="R287" s="18" t="s">
        <v>3791</v>
      </c>
      <c r="S287" s="18">
        <v>410</v>
      </c>
      <c r="T287" s="18">
        <v>59240.9</v>
      </c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</row>
    <row r="288" spans="6:39" x14ac:dyDescent="0.35">
      <c r="F288" s="18" t="s">
        <v>1109</v>
      </c>
      <c r="G288" s="19">
        <v>46213</v>
      </c>
      <c r="H288" s="18" t="s">
        <v>1135</v>
      </c>
      <c r="I288" s="18" t="s">
        <v>1136</v>
      </c>
      <c r="J288" s="18" t="s">
        <v>5699</v>
      </c>
      <c r="K288" s="18" t="s">
        <v>1137</v>
      </c>
      <c r="L288" s="18" t="s">
        <v>5699</v>
      </c>
      <c r="M288" s="19">
        <v>46213</v>
      </c>
      <c r="N288" s="18" t="s">
        <v>1112</v>
      </c>
      <c r="O288" s="18" t="s">
        <v>1117</v>
      </c>
      <c r="P288" s="18" t="s">
        <v>1118</v>
      </c>
      <c r="Q288" s="18" t="s">
        <v>1119</v>
      </c>
      <c r="R288" s="18" t="s">
        <v>1120</v>
      </c>
      <c r="S288" s="18">
        <v>2060</v>
      </c>
      <c r="T288" s="18">
        <v>286331.75999999995</v>
      </c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</row>
    <row r="289" spans="6:39" x14ac:dyDescent="0.35">
      <c r="F289" s="18" t="s">
        <v>1109</v>
      </c>
      <c r="G289" s="19">
        <v>46213</v>
      </c>
      <c r="H289" s="18" t="s">
        <v>1135</v>
      </c>
      <c r="I289" s="18" t="s">
        <v>1136</v>
      </c>
      <c r="J289" s="18" t="s">
        <v>5700</v>
      </c>
      <c r="K289" s="18" t="s">
        <v>1137</v>
      </c>
      <c r="L289" s="18" t="s">
        <v>5700</v>
      </c>
      <c r="M289" s="19">
        <v>46213</v>
      </c>
      <c r="N289" s="18" t="s">
        <v>1112</v>
      </c>
      <c r="O289" s="18" t="s">
        <v>1127</v>
      </c>
      <c r="P289" s="18" t="s">
        <v>1128</v>
      </c>
      <c r="Q289" s="18" t="s">
        <v>1129</v>
      </c>
      <c r="R289" s="18" t="s">
        <v>5701</v>
      </c>
      <c r="S289" s="18">
        <v>526</v>
      </c>
      <c r="T289" s="18">
        <v>91520.207999999999</v>
      </c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</row>
    <row r="290" spans="6:39" x14ac:dyDescent="0.35">
      <c r="F290" s="18" t="s">
        <v>1109</v>
      </c>
      <c r="G290" s="19">
        <v>46213</v>
      </c>
      <c r="H290" s="18" t="s">
        <v>1135</v>
      </c>
      <c r="I290" s="18" t="s">
        <v>1136</v>
      </c>
      <c r="J290" s="18" t="s">
        <v>5702</v>
      </c>
      <c r="K290" s="18" t="s">
        <v>1137</v>
      </c>
      <c r="L290" s="18" t="s">
        <v>5702</v>
      </c>
      <c r="M290" s="19">
        <v>46213</v>
      </c>
      <c r="N290" s="18" t="s">
        <v>1146</v>
      </c>
      <c r="O290" s="18" t="s">
        <v>1147</v>
      </c>
      <c r="P290" s="18" t="s">
        <v>1147</v>
      </c>
      <c r="Q290" s="18" t="s">
        <v>1148</v>
      </c>
      <c r="R290" s="18" t="s">
        <v>1149</v>
      </c>
      <c r="S290" s="18">
        <v>6123</v>
      </c>
      <c r="T290" s="18">
        <v>1530726.912</v>
      </c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</row>
    <row r="291" spans="6:39" x14ac:dyDescent="0.35">
      <c r="F291" s="18" t="s">
        <v>1109</v>
      </c>
      <c r="G291" s="19">
        <v>46213</v>
      </c>
      <c r="H291" s="18" t="s">
        <v>1135</v>
      </c>
      <c r="I291" s="18" t="s">
        <v>1136</v>
      </c>
      <c r="J291" s="18" t="s">
        <v>5703</v>
      </c>
      <c r="K291" s="18" t="s">
        <v>1137</v>
      </c>
      <c r="L291" s="18" t="s">
        <v>5703</v>
      </c>
      <c r="M291" s="19">
        <v>46213</v>
      </c>
      <c r="N291" s="18" t="s">
        <v>1112</v>
      </c>
      <c r="O291" s="18" t="s">
        <v>1117</v>
      </c>
      <c r="P291" s="18" t="s">
        <v>1138</v>
      </c>
      <c r="Q291" s="18" t="s">
        <v>1139</v>
      </c>
      <c r="R291" s="18" t="s">
        <v>1140</v>
      </c>
      <c r="S291" s="18">
        <v>2438.3000000000002</v>
      </c>
      <c r="T291" s="18">
        <v>434088.48299999995</v>
      </c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</row>
    <row r="292" spans="6:39" x14ac:dyDescent="0.35">
      <c r="F292" s="18" t="s">
        <v>1109</v>
      </c>
      <c r="G292" s="19">
        <v>46213</v>
      </c>
      <c r="H292" s="18" t="s">
        <v>1135</v>
      </c>
      <c r="I292" s="18" t="s">
        <v>1136</v>
      </c>
      <c r="J292" s="18" t="s">
        <v>5704</v>
      </c>
      <c r="K292" s="18" t="s">
        <v>1137</v>
      </c>
      <c r="L292" s="18" t="s">
        <v>5704</v>
      </c>
      <c r="M292" s="19">
        <v>46213</v>
      </c>
      <c r="N292" s="18" t="s">
        <v>1112</v>
      </c>
      <c r="O292" s="18" t="s">
        <v>1117</v>
      </c>
      <c r="P292" s="18" t="s">
        <v>1138</v>
      </c>
      <c r="Q292" s="18" t="s">
        <v>1139</v>
      </c>
      <c r="R292" s="18" t="s">
        <v>1140</v>
      </c>
      <c r="S292" s="18">
        <v>411.7</v>
      </c>
      <c r="T292" s="18">
        <v>58464.614999999998</v>
      </c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</row>
    <row r="293" spans="6:39" x14ac:dyDescent="0.35">
      <c r="F293" s="18" t="s">
        <v>1109</v>
      </c>
      <c r="G293" s="19">
        <v>46213</v>
      </c>
      <c r="H293" s="18" t="s">
        <v>1135</v>
      </c>
      <c r="I293" s="18" t="s">
        <v>1136</v>
      </c>
      <c r="J293" s="18" t="s">
        <v>5705</v>
      </c>
      <c r="K293" s="18" t="s">
        <v>1137</v>
      </c>
      <c r="L293" s="18" t="s">
        <v>5705</v>
      </c>
      <c r="M293" s="19">
        <v>46213</v>
      </c>
      <c r="N293" s="18" t="s">
        <v>1112</v>
      </c>
      <c r="O293" s="18" t="s">
        <v>1127</v>
      </c>
      <c r="P293" s="18" t="s">
        <v>1128</v>
      </c>
      <c r="Q293" s="18" t="s">
        <v>1129</v>
      </c>
      <c r="R293" s="18" t="s">
        <v>1130</v>
      </c>
      <c r="S293" s="18">
        <v>4468</v>
      </c>
      <c r="T293" s="18">
        <v>777401.35199999996</v>
      </c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</row>
    <row r="294" spans="6:39" x14ac:dyDescent="0.35">
      <c r="F294" s="18" t="s">
        <v>1109</v>
      </c>
      <c r="G294" s="19">
        <v>46213</v>
      </c>
      <c r="H294" s="18" t="s">
        <v>1135</v>
      </c>
      <c r="I294" s="18" t="s">
        <v>1136</v>
      </c>
      <c r="J294" s="18" t="s">
        <v>5706</v>
      </c>
      <c r="K294" s="18" t="s">
        <v>1137</v>
      </c>
      <c r="L294" s="18" t="s">
        <v>5706</v>
      </c>
      <c r="M294" s="19">
        <v>46213</v>
      </c>
      <c r="N294" s="18" t="s">
        <v>1112</v>
      </c>
      <c r="O294" s="18" t="s">
        <v>1113</v>
      </c>
      <c r="P294" s="18" t="s">
        <v>1114</v>
      </c>
      <c r="Q294" s="18" t="s">
        <v>1115</v>
      </c>
      <c r="R294" s="18" t="s">
        <v>1116</v>
      </c>
      <c r="S294" s="18">
        <v>1617.5</v>
      </c>
      <c r="T294" s="18">
        <v>239604.035</v>
      </c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</row>
    <row r="295" spans="6:39" x14ac:dyDescent="0.35">
      <c r="F295" s="18" t="s">
        <v>1109</v>
      </c>
      <c r="G295" s="19">
        <v>46213</v>
      </c>
      <c r="H295" s="18" t="s">
        <v>1135</v>
      </c>
      <c r="I295" s="18" t="s">
        <v>1136</v>
      </c>
      <c r="J295" s="18" t="s">
        <v>5706</v>
      </c>
      <c r="K295" s="18" t="s">
        <v>1137</v>
      </c>
      <c r="L295" s="18" t="s">
        <v>5706</v>
      </c>
      <c r="M295" s="19">
        <v>46213</v>
      </c>
      <c r="N295" s="18" t="s">
        <v>1112</v>
      </c>
      <c r="O295" s="18" t="s">
        <v>1113</v>
      </c>
      <c r="P295" s="18" t="s">
        <v>1114</v>
      </c>
      <c r="Q295" s="18" t="s">
        <v>1115</v>
      </c>
      <c r="R295" s="18" t="s">
        <v>1160</v>
      </c>
      <c r="S295" s="18">
        <v>951.1</v>
      </c>
      <c r="T295" s="18">
        <v>140888.60499999998</v>
      </c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</row>
    <row r="296" spans="6:39" x14ac:dyDescent="0.35">
      <c r="F296" s="18" t="s">
        <v>1109</v>
      </c>
      <c r="G296" s="19">
        <v>46213</v>
      </c>
      <c r="H296" s="18" t="s">
        <v>1135</v>
      </c>
      <c r="I296" s="18" t="s">
        <v>1136</v>
      </c>
      <c r="J296" s="18" t="s">
        <v>5706</v>
      </c>
      <c r="K296" s="18" t="s">
        <v>1137</v>
      </c>
      <c r="L296" s="18" t="s">
        <v>5706</v>
      </c>
      <c r="M296" s="19">
        <v>46213</v>
      </c>
      <c r="N296" s="18" t="s">
        <v>1112</v>
      </c>
      <c r="O296" s="18" t="s">
        <v>1113</v>
      </c>
      <c r="P296" s="18" t="s">
        <v>1114</v>
      </c>
      <c r="Q296" s="18" t="s">
        <v>1115</v>
      </c>
      <c r="R296" s="18" t="s">
        <v>1161</v>
      </c>
      <c r="S296" s="18">
        <v>436.8</v>
      </c>
      <c r="T296" s="18">
        <v>64703.869999999995</v>
      </c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</row>
    <row r="297" spans="6:39" x14ac:dyDescent="0.35">
      <c r="F297" s="18" t="s">
        <v>1109</v>
      </c>
      <c r="G297" s="19">
        <v>46213</v>
      </c>
      <c r="H297" s="18" t="s">
        <v>1135</v>
      </c>
      <c r="I297" s="18" t="s">
        <v>1136</v>
      </c>
      <c r="J297" s="18" t="s">
        <v>5706</v>
      </c>
      <c r="K297" s="18" t="s">
        <v>1137</v>
      </c>
      <c r="L297" s="18" t="s">
        <v>5706</v>
      </c>
      <c r="M297" s="19">
        <v>46213</v>
      </c>
      <c r="N297" s="18" t="s">
        <v>1112</v>
      </c>
      <c r="O297" s="18" t="s">
        <v>1113</v>
      </c>
      <c r="P297" s="18" t="s">
        <v>1114</v>
      </c>
      <c r="Q297" s="18" t="s">
        <v>1115</v>
      </c>
      <c r="R297" s="18" t="s">
        <v>5707</v>
      </c>
      <c r="S297" s="18">
        <v>295.2</v>
      </c>
      <c r="T297" s="18">
        <v>43729.014999999999</v>
      </c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</row>
    <row r="298" spans="6:39" x14ac:dyDescent="0.35">
      <c r="F298" s="18" t="s">
        <v>1109</v>
      </c>
      <c r="G298" s="19">
        <v>46213</v>
      </c>
      <c r="H298" s="18" t="s">
        <v>125</v>
      </c>
      <c r="I298" s="18" t="s">
        <v>1110</v>
      </c>
      <c r="J298" s="18">
        <v>1001</v>
      </c>
      <c r="K298" s="18" t="s">
        <v>1121</v>
      </c>
      <c r="L298" s="18" t="s">
        <v>2338</v>
      </c>
      <c r="M298" s="19">
        <v>46213</v>
      </c>
      <c r="N298" s="18" t="s">
        <v>1122</v>
      </c>
      <c r="O298" s="18" t="s">
        <v>1123</v>
      </c>
      <c r="P298" s="18" t="s">
        <v>1124</v>
      </c>
      <c r="Q298" s="18" t="s">
        <v>1125</v>
      </c>
      <c r="R298" s="18" t="s">
        <v>1126</v>
      </c>
      <c r="S298" s="18">
        <v>96</v>
      </c>
      <c r="T298" s="18">
        <v>4608</v>
      </c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</row>
    <row r="299" spans="6:39" x14ac:dyDescent="0.35">
      <c r="F299" s="18" t="s">
        <v>1109</v>
      </c>
      <c r="G299" s="19">
        <v>46213</v>
      </c>
      <c r="H299" s="18" t="s">
        <v>125</v>
      </c>
      <c r="I299" s="18" t="s">
        <v>1110</v>
      </c>
      <c r="J299" s="18">
        <v>1002</v>
      </c>
      <c r="K299" s="18" t="s">
        <v>1111</v>
      </c>
      <c r="L299" s="18" t="s">
        <v>2339</v>
      </c>
      <c r="M299" s="19">
        <v>46213</v>
      </c>
      <c r="N299" s="18" t="s">
        <v>1112</v>
      </c>
      <c r="O299" s="18" t="s">
        <v>1117</v>
      </c>
      <c r="P299" s="18" t="s">
        <v>1138</v>
      </c>
      <c r="Q299" s="18" t="s">
        <v>1139</v>
      </c>
      <c r="R299" s="18" t="s">
        <v>1140</v>
      </c>
      <c r="S299" s="18">
        <v>1396</v>
      </c>
      <c r="T299" s="18">
        <v>211480.04</v>
      </c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</row>
    <row r="300" spans="6:39" x14ac:dyDescent="0.35">
      <c r="F300" s="18" t="s">
        <v>1109</v>
      </c>
      <c r="G300" s="19">
        <v>46213</v>
      </c>
      <c r="H300" s="18" t="s">
        <v>125</v>
      </c>
      <c r="I300" s="18" t="s">
        <v>1110</v>
      </c>
      <c r="J300" s="18">
        <v>1002</v>
      </c>
      <c r="K300" s="18" t="s">
        <v>1111</v>
      </c>
      <c r="L300" s="18" t="s">
        <v>2339</v>
      </c>
      <c r="M300" s="19">
        <v>46213</v>
      </c>
      <c r="N300" s="18" t="s">
        <v>1112</v>
      </c>
      <c r="O300" s="18" t="s">
        <v>1117</v>
      </c>
      <c r="P300" s="18" t="s">
        <v>1118</v>
      </c>
      <c r="Q300" s="18" t="s">
        <v>1119</v>
      </c>
      <c r="R300" s="18" t="s">
        <v>1120</v>
      </c>
      <c r="S300" s="18">
        <v>645</v>
      </c>
      <c r="T300" s="18">
        <v>98356.05</v>
      </c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</row>
    <row r="301" spans="6:39" x14ac:dyDescent="0.35">
      <c r="F301" s="18" t="s">
        <v>1109</v>
      </c>
      <c r="G301" s="19">
        <v>46213</v>
      </c>
      <c r="H301" s="18" t="s">
        <v>125</v>
      </c>
      <c r="I301" s="18" t="s">
        <v>1110</v>
      </c>
      <c r="J301" s="18">
        <v>1002</v>
      </c>
      <c r="K301" s="18" t="s">
        <v>1111</v>
      </c>
      <c r="L301" s="18" t="s">
        <v>2339</v>
      </c>
      <c r="M301" s="19">
        <v>46213</v>
      </c>
      <c r="N301" s="18" t="s">
        <v>1112</v>
      </c>
      <c r="O301" s="18" t="s">
        <v>1117</v>
      </c>
      <c r="P301" s="18" t="s">
        <v>1118</v>
      </c>
      <c r="Q301" s="18" t="s">
        <v>1119</v>
      </c>
      <c r="R301" s="18" t="s">
        <v>1120</v>
      </c>
      <c r="S301" s="18">
        <v>472</v>
      </c>
      <c r="T301" s="18">
        <v>70559.28</v>
      </c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</row>
    <row r="302" spans="6:39" x14ac:dyDescent="0.35">
      <c r="F302" s="18" t="s">
        <v>1109</v>
      </c>
      <c r="G302" s="19">
        <v>46213</v>
      </c>
      <c r="H302" s="18" t="s">
        <v>125</v>
      </c>
      <c r="I302" s="18" t="s">
        <v>1110</v>
      </c>
      <c r="J302" s="18">
        <v>1002</v>
      </c>
      <c r="K302" s="18" t="s">
        <v>1111</v>
      </c>
      <c r="L302" s="18" t="s">
        <v>2339</v>
      </c>
      <c r="M302" s="19">
        <v>46213</v>
      </c>
      <c r="N302" s="18" t="s">
        <v>1112</v>
      </c>
      <c r="O302" s="18" t="s">
        <v>1117</v>
      </c>
      <c r="P302" s="18" t="s">
        <v>1118</v>
      </c>
      <c r="Q302" s="18" t="s">
        <v>1119</v>
      </c>
      <c r="R302" s="18" t="s">
        <v>1120</v>
      </c>
      <c r="S302" s="18">
        <v>255</v>
      </c>
      <c r="T302" s="18">
        <v>36844.949999999997</v>
      </c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</row>
    <row r="303" spans="6:39" x14ac:dyDescent="0.35">
      <c r="F303" s="18" t="s">
        <v>1109</v>
      </c>
      <c r="G303" s="19">
        <v>46213</v>
      </c>
      <c r="H303" s="18" t="s">
        <v>125</v>
      </c>
      <c r="I303" s="18" t="s">
        <v>1110</v>
      </c>
      <c r="J303" s="18">
        <v>1002</v>
      </c>
      <c r="K303" s="18" t="s">
        <v>1111</v>
      </c>
      <c r="L303" s="18" t="s">
        <v>2339</v>
      </c>
      <c r="M303" s="19">
        <v>46213</v>
      </c>
      <c r="N303" s="18" t="s">
        <v>1112</v>
      </c>
      <c r="O303" s="18" t="s">
        <v>1113</v>
      </c>
      <c r="P303" s="18" t="s">
        <v>1114</v>
      </c>
      <c r="Q303" s="18" t="s">
        <v>1115</v>
      </c>
      <c r="R303" s="18" t="s">
        <v>1116</v>
      </c>
      <c r="S303" s="18">
        <v>1128.8</v>
      </c>
      <c r="T303" s="18">
        <v>176645.91</v>
      </c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</row>
    <row r="304" spans="6:39" x14ac:dyDescent="0.35">
      <c r="F304" s="18" t="s">
        <v>1109</v>
      </c>
      <c r="G304" s="19">
        <v>46213</v>
      </c>
      <c r="H304" s="18" t="s">
        <v>125</v>
      </c>
      <c r="I304" s="18" t="s">
        <v>1110</v>
      </c>
      <c r="J304" s="18">
        <v>1002</v>
      </c>
      <c r="K304" s="18" t="s">
        <v>1111</v>
      </c>
      <c r="L304" s="18" t="s">
        <v>2339</v>
      </c>
      <c r="M304" s="19">
        <v>46213</v>
      </c>
      <c r="N304" s="18" t="s">
        <v>1112</v>
      </c>
      <c r="O304" s="18" t="s">
        <v>1127</v>
      </c>
      <c r="P304" s="18" t="s">
        <v>1128</v>
      </c>
      <c r="Q304" s="18" t="s">
        <v>1129</v>
      </c>
      <c r="R304" s="18" t="s">
        <v>1130</v>
      </c>
      <c r="S304" s="18">
        <v>3036</v>
      </c>
      <c r="T304" s="18">
        <v>554920.07999999996</v>
      </c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</row>
    <row r="305" spans="6:39" x14ac:dyDescent="0.35">
      <c r="F305" s="18" t="s">
        <v>1109</v>
      </c>
      <c r="G305" s="19">
        <v>46213</v>
      </c>
      <c r="H305" s="18" t="s">
        <v>125</v>
      </c>
      <c r="I305" s="18" t="s">
        <v>1110</v>
      </c>
      <c r="J305" s="18">
        <v>1002</v>
      </c>
      <c r="K305" s="18" t="s">
        <v>1111</v>
      </c>
      <c r="L305" s="18" t="s">
        <v>2339</v>
      </c>
      <c r="M305" s="19">
        <v>46213</v>
      </c>
      <c r="N305" s="18" t="s">
        <v>1112</v>
      </c>
      <c r="O305" s="18" t="s">
        <v>1131</v>
      </c>
      <c r="P305" s="18" t="s">
        <v>1132</v>
      </c>
      <c r="Q305" s="18" t="s">
        <v>1132</v>
      </c>
      <c r="R305" s="18" t="s">
        <v>1131</v>
      </c>
      <c r="S305" s="18">
        <v>1479.3</v>
      </c>
      <c r="T305" s="18">
        <v>221140.56</v>
      </c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</row>
    <row r="306" spans="6:39" x14ac:dyDescent="0.35">
      <c r="F306" s="18" t="s">
        <v>1109</v>
      </c>
      <c r="G306" s="19">
        <v>46213</v>
      </c>
      <c r="H306" s="18" t="s">
        <v>125</v>
      </c>
      <c r="I306" s="18" t="s">
        <v>1110</v>
      </c>
      <c r="J306" s="18">
        <v>1002</v>
      </c>
      <c r="K306" s="18" t="s">
        <v>1111</v>
      </c>
      <c r="L306" s="18" t="s">
        <v>2339</v>
      </c>
      <c r="M306" s="19">
        <v>46213</v>
      </c>
      <c r="N306" s="18" t="s">
        <v>1112</v>
      </c>
      <c r="O306" s="18" t="s">
        <v>1131</v>
      </c>
      <c r="P306" s="18" t="s">
        <v>1132</v>
      </c>
      <c r="Q306" s="18" t="s">
        <v>1132</v>
      </c>
      <c r="R306" s="18" t="s">
        <v>1131</v>
      </c>
      <c r="S306" s="18">
        <v>75.2</v>
      </c>
      <c r="T306" s="18">
        <v>11016.05</v>
      </c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</row>
    <row r="307" spans="6:39" x14ac:dyDescent="0.35">
      <c r="F307" s="18" t="s">
        <v>1109</v>
      </c>
      <c r="G307" s="19">
        <v>46213</v>
      </c>
      <c r="H307" s="18" t="s">
        <v>125</v>
      </c>
      <c r="I307" s="18" t="s">
        <v>1110</v>
      </c>
      <c r="J307" s="18">
        <v>1002</v>
      </c>
      <c r="K307" s="18" t="s">
        <v>1111</v>
      </c>
      <c r="L307" s="18" t="s">
        <v>2339</v>
      </c>
      <c r="M307" s="19">
        <v>46213</v>
      </c>
      <c r="N307" s="18" t="s">
        <v>1112</v>
      </c>
      <c r="O307" s="18" t="s">
        <v>1113</v>
      </c>
      <c r="P307" s="18" t="s">
        <v>1114</v>
      </c>
      <c r="Q307" s="18" t="s">
        <v>1115</v>
      </c>
      <c r="R307" s="18" t="s">
        <v>1160</v>
      </c>
      <c r="S307" s="18">
        <v>312</v>
      </c>
      <c r="T307" s="18">
        <v>48824.88</v>
      </c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</row>
    <row r="308" spans="6:39" x14ac:dyDescent="0.35">
      <c r="F308" s="18" t="s">
        <v>1109</v>
      </c>
      <c r="G308" s="19">
        <v>46213</v>
      </c>
      <c r="H308" s="18" t="s">
        <v>125</v>
      </c>
      <c r="I308" s="18" t="s">
        <v>1110</v>
      </c>
      <c r="J308" s="18">
        <v>1002</v>
      </c>
      <c r="K308" s="18" t="s">
        <v>1111</v>
      </c>
      <c r="L308" s="18" t="s">
        <v>2339</v>
      </c>
      <c r="M308" s="19">
        <v>46213</v>
      </c>
      <c r="N308" s="18" t="s">
        <v>1112</v>
      </c>
      <c r="O308" s="18" t="s">
        <v>1113</v>
      </c>
      <c r="P308" s="18" t="s">
        <v>1114</v>
      </c>
      <c r="Q308" s="18" t="s">
        <v>1115</v>
      </c>
      <c r="R308" s="18" t="s">
        <v>1161</v>
      </c>
      <c r="S308" s="18">
        <v>862</v>
      </c>
      <c r="T308" s="18">
        <v>134894.38</v>
      </c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</row>
    <row r="309" spans="6:39" x14ac:dyDescent="0.35">
      <c r="F309" s="18" t="s">
        <v>1109</v>
      </c>
      <c r="G309" s="19">
        <v>46213</v>
      </c>
      <c r="H309" s="18" t="s">
        <v>125</v>
      </c>
      <c r="I309" s="18" t="s">
        <v>1110</v>
      </c>
      <c r="J309" s="18">
        <v>1002</v>
      </c>
      <c r="K309" s="18" t="s">
        <v>1111</v>
      </c>
      <c r="L309" s="18" t="s">
        <v>2339</v>
      </c>
      <c r="M309" s="19">
        <v>46213</v>
      </c>
      <c r="N309" s="18" t="s">
        <v>1112</v>
      </c>
      <c r="O309" s="18" t="s">
        <v>1113</v>
      </c>
      <c r="P309" s="18" t="s">
        <v>1114</v>
      </c>
      <c r="Q309" s="18" t="s">
        <v>1115</v>
      </c>
      <c r="R309" s="18" t="s">
        <v>1144</v>
      </c>
      <c r="S309" s="18">
        <v>44.4</v>
      </c>
      <c r="T309" s="18">
        <v>7147.96</v>
      </c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</row>
    <row r="310" spans="6:39" x14ac:dyDescent="0.35">
      <c r="F310" s="18" t="s">
        <v>1109</v>
      </c>
      <c r="G310" s="19">
        <v>46213</v>
      </c>
      <c r="H310" s="18" t="s">
        <v>125</v>
      </c>
      <c r="I310" s="18" t="s">
        <v>1110</v>
      </c>
      <c r="J310" s="18">
        <v>1004</v>
      </c>
      <c r="K310" s="18" t="s">
        <v>1111</v>
      </c>
      <c r="L310" s="18" t="s">
        <v>2384</v>
      </c>
      <c r="M310" s="19">
        <v>46213</v>
      </c>
      <c r="N310" s="18" t="s">
        <v>1112</v>
      </c>
      <c r="O310" s="18" t="s">
        <v>3407</v>
      </c>
      <c r="P310" s="18" t="s">
        <v>3792</v>
      </c>
      <c r="Q310" s="18" t="s">
        <v>1162</v>
      </c>
      <c r="R310" s="18" t="s">
        <v>1163</v>
      </c>
      <c r="S310" s="18">
        <v>88.8</v>
      </c>
      <c r="T310" s="18">
        <v>15342.86</v>
      </c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</row>
    <row r="311" spans="6:39" x14ac:dyDescent="0.35">
      <c r="F311" s="18" t="s">
        <v>1109</v>
      </c>
      <c r="G311" s="19">
        <v>46213</v>
      </c>
      <c r="H311" s="18" t="s">
        <v>125</v>
      </c>
      <c r="I311" s="18" t="s">
        <v>1110</v>
      </c>
      <c r="J311" s="18">
        <v>994</v>
      </c>
      <c r="K311" s="18" t="s">
        <v>1111</v>
      </c>
      <c r="L311" s="18" t="s">
        <v>2342</v>
      </c>
      <c r="M311" s="19">
        <v>46213</v>
      </c>
      <c r="N311" s="18" t="s">
        <v>1146</v>
      </c>
      <c r="O311" s="18" t="s">
        <v>1170</v>
      </c>
      <c r="P311" s="18" t="s">
        <v>1171</v>
      </c>
      <c r="Q311" s="18" t="s">
        <v>4225</v>
      </c>
      <c r="R311" s="18" t="s">
        <v>5677</v>
      </c>
      <c r="S311" s="18">
        <v>416.8</v>
      </c>
      <c r="T311" s="18">
        <v>95797.31</v>
      </c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</row>
    <row r="312" spans="6:39" x14ac:dyDescent="0.35">
      <c r="F312" s="18" t="s">
        <v>1109</v>
      </c>
      <c r="G312" s="19">
        <v>46213</v>
      </c>
      <c r="H312" s="18" t="s">
        <v>125</v>
      </c>
      <c r="I312" s="18" t="s">
        <v>1110</v>
      </c>
      <c r="J312" s="18">
        <v>995</v>
      </c>
      <c r="K312" s="18" t="s">
        <v>1111</v>
      </c>
      <c r="L312" s="18" t="s">
        <v>2343</v>
      </c>
      <c r="M312" s="19">
        <v>46213</v>
      </c>
      <c r="N312" s="18" t="s">
        <v>1112</v>
      </c>
      <c r="O312" s="18" t="s">
        <v>1113</v>
      </c>
      <c r="P312" s="18" t="s">
        <v>1114</v>
      </c>
      <c r="Q312" s="18" t="s">
        <v>1115</v>
      </c>
      <c r="R312" s="18" t="s">
        <v>1116</v>
      </c>
      <c r="S312" s="18">
        <v>203.4</v>
      </c>
      <c r="T312" s="18">
        <v>31830.07</v>
      </c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</row>
    <row r="313" spans="6:39" x14ac:dyDescent="0.35">
      <c r="F313" s="18" t="s">
        <v>1109</v>
      </c>
      <c r="G313" s="19">
        <v>46214</v>
      </c>
      <c r="H313" s="18" t="s">
        <v>4780</v>
      </c>
      <c r="I313" s="18" t="s">
        <v>1110</v>
      </c>
      <c r="J313" s="18">
        <v>1009</v>
      </c>
      <c r="K313" s="18" t="s">
        <v>1111</v>
      </c>
      <c r="L313" s="18" t="s">
        <v>5310</v>
      </c>
      <c r="M313" s="19">
        <v>46214</v>
      </c>
      <c r="N313" s="18" t="s">
        <v>1146</v>
      </c>
      <c r="O313" s="18" t="s">
        <v>1170</v>
      </c>
      <c r="P313" s="18" t="s">
        <v>1171</v>
      </c>
      <c r="Q313" s="18" t="s">
        <v>3759</v>
      </c>
      <c r="R313" s="18" t="s">
        <v>5708</v>
      </c>
      <c r="S313" s="18">
        <v>1122</v>
      </c>
      <c r="T313" s="18">
        <v>213942.96</v>
      </c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</row>
    <row r="314" spans="6:39" x14ac:dyDescent="0.35">
      <c r="F314" s="18" t="s">
        <v>1109</v>
      </c>
      <c r="G314" s="19">
        <v>46214</v>
      </c>
      <c r="H314" s="18" t="s">
        <v>3790</v>
      </c>
      <c r="I314" s="18" t="s">
        <v>1110</v>
      </c>
      <c r="J314" s="18">
        <v>1005</v>
      </c>
      <c r="K314" s="18" t="s">
        <v>1111</v>
      </c>
      <c r="L314" s="18" t="s">
        <v>5709</v>
      </c>
      <c r="M314" s="19">
        <v>46214</v>
      </c>
      <c r="N314" s="18" t="s">
        <v>1112</v>
      </c>
      <c r="O314" s="18" t="s">
        <v>1117</v>
      </c>
      <c r="P314" s="18" t="s">
        <v>1118</v>
      </c>
      <c r="Q314" s="18" t="s">
        <v>1119</v>
      </c>
      <c r="R314" s="18" t="s">
        <v>1120</v>
      </c>
      <c r="S314" s="18">
        <v>1173</v>
      </c>
      <c r="T314" s="18">
        <v>169486.77</v>
      </c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</row>
    <row r="315" spans="6:39" x14ac:dyDescent="0.35">
      <c r="F315" s="18" t="s">
        <v>1109</v>
      </c>
      <c r="G315" s="19">
        <v>46214</v>
      </c>
      <c r="H315" s="18" t="s">
        <v>3790</v>
      </c>
      <c r="I315" s="18" t="s">
        <v>1110</v>
      </c>
      <c r="J315" s="18">
        <v>1006</v>
      </c>
      <c r="K315" s="18" t="s">
        <v>1121</v>
      </c>
      <c r="L315" s="18" t="s">
        <v>5710</v>
      </c>
      <c r="M315" s="19">
        <v>46214</v>
      </c>
      <c r="N315" s="18" t="s">
        <v>1122</v>
      </c>
      <c r="O315" s="18" t="s">
        <v>1123</v>
      </c>
      <c r="P315" s="18" t="s">
        <v>1124</v>
      </c>
      <c r="Q315" s="18" t="s">
        <v>1125</v>
      </c>
      <c r="R315" s="18" t="s">
        <v>1126</v>
      </c>
      <c r="S315" s="18">
        <v>335</v>
      </c>
      <c r="T315" s="18">
        <v>16080</v>
      </c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</row>
    <row r="316" spans="6:39" x14ac:dyDescent="0.35">
      <c r="F316" s="18" t="s">
        <v>1109</v>
      </c>
      <c r="G316" s="19">
        <v>46214</v>
      </c>
      <c r="H316" s="18" t="s">
        <v>3790</v>
      </c>
      <c r="I316" s="18" t="s">
        <v>1110</v>
      </c>
      <c r="J316" s="18">
        <v>1007</v>
      </c>
      <c r="K316" s="18" t="s">
        <v>1111</v>
      </c>
      <c r="L316" s="18" t="s">
        <v>5711</v>
      </c>
      <c r="M316" s="19">
        <v>46214</v>
      </c>
      <c r="N316" s="18" t="s">
        <v>1112</v>
      </c>
      <c r="O316" s="18" t="s">
        <v>1117</v>
      </c>
      <c r="P316" s="18" t="s">
        <v>1118</v>
      </c>
      <c r="Q316" s="18" t="s">
        <v>1119</v>
      </c>
      <c r="R316" s="18" t="s">
        <v>1120</v>
      </c>
      <c r="S316" s="18">
        <v>2176</v>
      </c>
      <c r="T316" s="18">
        <v>318762.23999999999</v>
      </c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</row>
    <row r="317" spans="6:39" x14ac:dyDescent="0.35">
      <c r="F317" s="18" t="s">
        <v>1109</v>
      </c>
      <c r="G317" s="19">
        <v>46214</v>
      </c>
      <c r="H317" s="18" t="s">
        <v>3790</v>
      </c>
      <c r="I317" s="18" t="s">
        <v>1110</v>
      </c>
      <c r="J317" s="18">
        <v>1007</v>
      </c>
      <c r="K317" s="18" t="s">
        <v>1111</v>
      </c>
      <c r="L317" s="18" t="s">
        <v>5711</v>
      </c>
      <c r="M317" s="19">
        <v>46214</v>
      </c>
      <c r="N317" s="18" t="s">
        <v>1112</v>
      </c>
      <c r="O317" s="18" t="s">
        <v>1117</v>
      </c>
      <c r="P317" s="18" t="s">
        <v>1118</v>
      </c>
      <c r="Q317" s="18" t="s">
        <v>1119</v>
      </c>
      <c r="R317" s="18" t="s">
        <v>1120</v>
      </c>
      <c r="S317" s="18">
        <v>1167</v>
      </c>
      <c r="T317" s="18">
        <v>172120.83</v>
      </c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</row>
    <row r="318" spans="6:39" x14ac:dyDescent="0.35">
      <c r="F318" s="18" t="s">
        <v>1109</v>
      </c>
      <c r="G318" s="19">
        <v>46214</v>
      </c>
      <c r="H318" s="18" t="s">
        <v>3790</v>
      </c>
      <c r="I318" s="18" t="s">
        <v>1110</v>
      </c>
      <c r="J318" s="18">
        <v>1007</v>
      </c>
      <c r="K318" s="18" t="s">
        <v>1111</v>
      </c>
      <c r="L318" s="18" t="s">
        <v>5711</v>
      </c>
      <c r="M318" s="19">
        <v>46214</v>
      </c>
      <c r="N318" s="18" t="s">
        <v>1112</v>
      </c>
      <c r="O318" s="18" t="s">
        <v>1117</v>
      </c>
      <c r="P318" s="18" t="s">
        <v>1118</v>
      </c>
      <c r="Q318" s="18" t="s">
        <v>1119</v>
      </c>
      <c r="R318" s="18" t="s">
        <v>1120</v>
      </c>
      <c r="S318" s="18">
        <v>4517</v>
      </c>
      <c r="T318" s="18">
        <v>652661.32999999996</v>
      </c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</row>
    <row r="319" spans="6:39" x14ac:dyDescent="0.35">
      <c r="F319" s="18" t="s">
        <v>1109</v>
      </c>
      <c r="G319" s="19">
        <v>46214</v>
      </c>
      <c r="H319" s="18" t="s">
        <v>3790</v>
      </c>
      <c r="I319" s="18" t="s">
        <v>1110</v>
      </c>
      <c r="J319" s="18">
        <v>1007</v>
      </c>
      <c r="K319" s="18" t="s">
        <v>1111</v>
      </c>
      <c r="L319" s="18" t="s">
        <v>5711</v>
      </c>
      <c r="M319" s="19">
        <v>46214</v>
      </c>
      <c r="N319" s="18" t="s">
        <v>1112</v>
      </c>
      <c r="O319" s="18" t="s">
        <v>1117</v>
      </c>
      <c r="P319" s="18" t="s">
        <v>1138</v>
      </c>
      <c r="Q319" s="18" t="s">
        <v>1139</v>
      </c>
      <c r="R319" s="18" t="s">
        <v>1140</v>
      </c>
      <c r="S319" s="18">
        <v>1756</v>
      </c>
      <c r="T319" s="18">
        <v>266016.44</v>
      </c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</row>
    <row r="320" spans="6:39" x14ac:dyDescent="0.35">
      <c r="F320" s="18" t="s">
        <v>1109</v>
      </c>
      <c r="G320" s="19">
        <v>46214</v>
      </c>
      <c r="H320" s="18" t="s">
        <v>3790</v>
      </c>
      <c r="I320" s="18" t="s">
        <v>1110</v>
      </c>
      <c r="J320" s="18">
        <v>1007</v>
      </c>
      <c r="K320" s="18" t="s">
        <v>1111</v>
      </c>
      <c r="L320" s="18" t="s">
        <v>5711</v>
      </c>
      <c r="M320" s="19">
        <v>46214</v>
      </c>
      <c r="N320" s="18" t="s">
        <v>1112</v>
      </c>
      <c r="O320" s="18" t="s">
        <v>1131</v>
      </c>
      <c r="P320" s="18" t="s">
        <v>1132</v>
      </c>
      <c r="Q320" s="18" t="s">
        <v>1132</v>
      </c>
      <c r="R320" s="18" t="s">
        <v>1131</v>
      </c>
      <c r="S320" s="18">
        <v>1358.2</v>
      </c>
      <c r="T320" s="18">
        <v>203037.32</v>
      </c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</row>
    <row r="321" spans="6:39" x14ac:dyDescent="0.35">
      <c r="F321" s="18" t="s">
        <v>1109</v>
      </c>
      <c r="G321" s="19">
        <v>46214</v>
      </c>
      <c r="H321" s="18" t="s">
        <v>3790</v>
      </c>
      <c r="I321" s="18" t="s">
        <v>1110</v>
      </c>
      <c r="J321" s="18">
        <v>1007</v>
      </c>
      <c r="K321" s="18" t="s">
        <v>1111</v>
      </c>
      <c r="L321" s="18" t="s">
        <v>5711</v>
      </c>
      <c r="M321" s="19">
        <v>46214</v>
      </c>
      <c r="N321" s="18" t="s">
        <v>1112</v>
      </c>
      <c r="O321" s="18" t="s">
        <v>1131</v>
      </c>
      <c r="P321" s="18" t="s">
        <v>1132</v>
      </c>
      <c r="Q321" s="18" t="s">
        <v>1132</v>
      </c>
      <c r="R321" s="18" t="s">
        <v>1131</v>
      </c>
      <c r="S321" s="18">
        <v>837.4</v>
      </c>
      <c r="T321" s="18">
        <v>122670.73</v>
      </c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</row>
    <row r="322" spans="6:39" x14ac:dyDescent="0.35">
      <c r="F322" s="18" t="s">
        <v>1109</v>
      </c>
      <c r="G322" s="19">
        <v>46214</v>
      </c>
      <c r="H322" s="18" t="s">
        <v>3790</v>
      </c>
      <c r="I322" s="18" t="s">
        <v>1110</v>
      </c>
      <c r="J322" s="18">
        <v>1011</v>
      </c>
      <c r="K322" s="18" t="s">
        <v>1121</v>
      </c>
      <c r="L322" s="18" t="s">
        <v>5712</v>
      </c>
      <c r="M322" s="19">
        <v>46214</v>
      </c>
      <c r="N322" s="18" t="s">
        <v>3408</v>
      </c>
      <c r="O322" s="18" t="s">
        <v>5713</v>
      </c>
      <c r="P322" s="18" t="s">
        <v>5713</v>
      </c>
      <c r="Q322" s="18" t="s">
        <v>5714</v>
      </c>
      <c r="R322" s="18" t="s">
        <v>5715</v>
      </c>
      <c r="S322" s="18">
        <v>25</v>
      </c>
      <c r="T322" s="18">
        <v>6875</v>
      </c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</row>
    <row r="323" spans="6:39" x14ac:dyDescent="0.35">
      <c r="F323" s="18" t="s">
        <v>1109</v>
      </c>
      <c r="G323" s="19">
        <v>46214</v>
      </c>
      <c r="H323" s="18" t="s">
        <v>3790</v>
      </c>
      <c r="I323" s="18" t="s">
        <v>1110</v>
      </c>
      <c r="J323" s="18">
        <v>1012</v>
      </c>
      <c r="K323" s="18" t="s">
        <v>1111</v>
      </c>
      <c r="L323" s="18" t="s">
        <v>5716</v>
      </c>
      <c r="M323" s="19">
        <v>46214</v>
      </c>
      <c r="N323" s="18" t="s">
        <v>1112</v>
      </c>
      <c r="O323" s="18" t="s">
        <v>1127</v>
      </c>
      <c r="P323" s="18" t="s">
        <v>1128</v>
      </c>
      <c r="Q323" s="18" t="s">
        <v>1129</v>
      </c>
      <c r="R323" s="18" t="s">
        <v>1130</v>
      </c>
      <c r="S323" s="18">
        <v>21.4</v>
      </c>
      <c r="T323" s="18">
        <v>3911.49</v>
      </c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</row>
    <row r="324" spans="6:39" x14ac:dyDescent="0.35">
      <c r="F324" s="18" t="s">
        <v>1109</v>
      </c>
      <c r="G324" s="19">
        <v>46214</v>
      </c>
      <c r="H324" s="18" t="s">
        <v>5623</v>
      </c>
      <c r="I324" s="18" t="s">
        <v>1110</v>
      </c>
      <c r="J324" s="18">
        <v>1014</v>
      </c>
      <c r="K324" s="18" t="s">
        <v>1121</v>
      </c>
      <c r="L324" s="18" t="s">
        <v>5717</v>
      </c>
      <c r="M324" s="19">
        <v>46214</v>
      </c>
      <c r="N324" s="18" t="s">
        <v>1122</v>
      </c>
      <c r="O324" s="18" t="s">
        <v>1123</v>
      </c>
      <c r="P324" s="18" t="s">
        <v>1124</v>
      </c>
      <c r="Q324" s="18" t="s">
        <v>1125</v>
      </c>
      <c r="R324" s="18" t="s">
        <v>1126</v>
      </c>
      <c r="S324" s="18">
        <v>201</v>
      </c>
      <c r="T324" s="18">
        <v>9648</v>
      </c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</row>
    <row r="325" spans="6:39" x14ac:dyDescent="0.35">
      <c r="F325" s="18" t="s">
        <v>1109</v>
      </c>
      <c r="G325" s="19">
        <v>46214</v>
      </c>
      <c r="H325" s="18" t="s">
        <v>5623</v>
      </c>
      <c r="I325" s="18" t="s">
        <v>1110</v>
      </c>
      <c r="J325" s="18">
        <v>1015</v>
      </c>
      <c r="K325" s="18" t="s">
        <v>1111</v>
      </c>
      <c r="L325" s="18" t="s">
        <v>5718</v>
      </c>
      <c r="M325" s="19">
        <v>46214</v>
      </c>
      <c r="N325" s="18" t="s">
        <v>1112</v>
      </c>
      <c r="O325" s="18" t="s">
        <v>1117</v>
      </c>
      <c r="P325" s="18" t="s">
        <v>1118</v>
      </c>
      <c r="Q325" s="18" t="s">
        <v>1119</v>
      </c>
      <c r="R325" s="18" t="s">
        <v>1120</v>
      </c>
      <c r="S325" s="18">
        <v>5184</v>
      </c>
      <c r="T325" s="18">
        <v>774956.16</v>
      </c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</row>
    <row r="326" spans="6:39" x14ac:dyDescent="0.35">
      <c r="F326" s="18" t="s">
        <v>1109</v>
      </c>
      <c r="G326" s="19">
        <v>46214</v>
      </c>
      <c r="H326" s="18" t="s">
        <v>5623</v>
      </c>
      <c r="I326" s="18" t="s">
        <v>1110</v>
      </c>
      <c r="J326" s="18">
        <v>1015</v>
      </c>
      <c r="K326" s="18" t="s">
        <v>1111</v>
      </c>
      <c r="L326" s="18" t="s">
        <v>5718</v>
      </c>
      <c r="M326" s="19">
        <v>46214</v>
      </c>
      <c r="N326" s="18" t="s">
        <v>1112</v>
      </c>
      <c r="O326" s="18" t="s">
        <v>1117</v>
      </c>
      <c r="P326" s="18" t="s">
        <v>1118</v>
      </c>
      <c r="Q326" s="18" t="s">
        <v>1119</v>
      </c>
      <c r="R326" s="18" t="s">
        <v>1120</v>
      </c>
      <c r="S326" s="18">
        <v>806.5</v>
      </c>
      <c r="T326" s="18">
        <v>124797.81</v>
      </c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</row>
    <row r="327" spans="6:39" x14ac:dyDescent="0.35">
      <c r="F327" s="18" t="s">
        <v>1109</v>
      </c>
      <c r="G327" s="19">
        <v>46214</v>
      </c>
      <c r="H327" s="18" t="s">
        <v>5623</v>
      </c>
      <c r="I327" s="18" t="s">
        <v>1110</v>
      </c>
      <c r="J327" s="18">
        <v>1015</v>
      </c>
      <c r="K327" s="18" t="s">
        <v>1111</v>
      </c>
      <c r="L327" s="18" t="s">
        <v>5718</v>
      </c>
      <c r="M327" s="19">
        <v>46214</v>
      </c>
      <c r="N327" s="18" t="s">
        <v>1112</v>
      </c>
      <c r="O327" s="18" t="s">
        <v>1131</v>
      </c>
      <c r="P327" s="18" t="s">
        <v>1132</v>
      </c>
      <c r="Q327" s="18" t="s">
        <v>1132</v>
      </c>
      <c r="R327" s="18" t="s">
        <v>1131</v>
      </c>
      <c r="S327" s="18">
        <v>813.1</v>
      </c>
      <c r="T327" s="18">
        <v>119111.02</v>
      </c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</row>
    <row r="328" spans="6:39" x14ac:dyDescent="0.35">
      <c r="F328" s="18" t="s">
        <v>1109</v>
      </c>
      <c r="G328" s="19">
        <v>46214</v>
      </c>
      <c r="H328" s="18" t="s">
        <v>5623</v>
      </c>
      <c r="I328" s="18" t="s">
        <v>1110</v>
      </c>
      <c r="J328" s="18">
        <v>1015</v>
      </c>
      <c r="K328" s="18" t="s">
        <v>1111</v>
      </c>
      <c r="L328" s="18" t="s">
        <v>5718</v>
      </c>
      <c r="M328" s="19">
        <v>46214</v>
      </c>
      <c r="N328" s="18" t="s">
        <v>1112</v>
      </c>
      <c r="O328" s="18" t="s">
        <v>1131</v>
      </c>
      <c r="P328" s="18" t="s">
        <v>1132</v>
      </c>
      <c r="Q328" s="18" t="s">
        <v>1132</v>
      </c>
      <c r="R328" s="18" t="s">
        <v>1131</v>
      </c>
      <c r="S328" s="18">
        <v>543.4</v>
      </c>
      <c r="T328" s="18">
        <v>81232.87</v>
      </c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</row>
    <row r="329" spans="6:39" x14ac:dyDescent="0.35">
      <c r="F329" s="18" t="s">
        <v>1109</v>
      </c>
      <c r="G329" s="19">
        <v>46214</v>
      </c>
      <c r="H329" s="18" t="s">
        <v>1135</v>
      </c>
      <c r="I329" s="18" t="s">
        <v>1136</v>
      </c>
      <c r="J329" s="18" t="s">
        <v>5719</v>
      </c>
      <c r="K329" s="18" t="s">
        <v>1137</v>
      </c>
      <c r="L329" s="18" t="s">
        <v>5719</v>
      </c>
      <c r="M329" s="19">
        <v>46214</v>
      </c>
      <c r="N329" s="18" t="s">
        <v>1146</v>
      </c>
      <c r="O329" s="18" t="s">
        <v>1147</v>
      </c>
      <c r="P329" s="18" t="s">
        <v>1147</v>
      </c>
      <c r="Q329" s="18" t="s">
        <v>1148</v>
      </c>
      <c r="R329" s="18" t="s">
        <v>1149</v>
      </c>
      <c r="S329" s="18">
        <v>1001</v>
      </c>
      <c r="T329" s="18">
        <v>250246.152</v>
      </c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</row>
    <row r="330" spans="6:39" x14ac:dyDescent="0.35">
      <c r="F330" s="18" t="s">
        <v>1109</v>
      </c>
      <c r="G330" s="19">
        <v>46214</v>
      </c>
      <c r="H330" s="18" t="s">
        <v>1135</v>
      </c>
      <c r="I330" s="18" t="s">
        <v>1136</v>
      </c>
      <c r="J330" s="18" t="s">
        <v>5719</v>
      </c>
      <c r="K330" s="18" t="s">
        <v>1137</v>
      </c>
      <c r="L330" s="18" t="s">
        <v>5719</v>
      </c>
      <c r="M330" s="19">
        <v>46214</v>
      </c>
      <c r="N330" s="18" t="s">
        <v>1146</v>
      </c>
      <c r="O330" s="18" t="s">
        <v>1147</v>
      </c>
      <c r="P330" s="18" t="s">
        <v>1147</v>
      </c>
      <c r="Q330" s="18" t="s">
        <v>1148</v>
      </c>
      <c r="R330" s="18" t="s">
        <v>1149</v>
      </c>
      <c r="S330" s="18">
        <v>2795.1</v>
      </c>
      <c r="T330" s="18">
        <v>698764.24800000002</v>
      </c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</row>
    <row r="331" spans="6:39" x14ac:dyDescent="0.35">
      <c r="F331" s="18" t="s">
        <v>1109</v>
      </c>
      <c r="G331" s="19">
        <v>46214</v>
      </c>
      <c r="H331" s="18" t="s">
        <v>1135</v>
      </c>
      <c r="I331" s="18" t="s">
        <v>1136</v>
      </c>
      <c r="J331" s="18" t="s">
        <v>5720</v>
      </c>
      <c r="K331" s="18" t="s">
        <v>1137</v>
      </c>
      <c r="L331" s="18" t="s">
        <v>5720</v>
      </c>
      <c r="M331" s="19">
        <v>46214</v>
      </c>
      <c r="N331" s="18" t="s">
        <v>1146</v>
      </c>
      <c r="O331" s="18" t="s">
        <v>1147</v>
      </c>
      <c r="P331" s="18" t="s">
        <v>1147</v>
      </c>
      <c r="Q331" s="18" t="s">
        <v>1148</v>
      </c>
      <c r="R331" s="18" t="s">
        <v>1149</v>
      </c>
      <c r="S331" s="18">
        <v>2761.5</v>
      </c>
      <c r="T331" s="18">
        <v>690375.95</v>
      </c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</row>
    <row r="332" spans="6:39" x14ac:dyDescent="0.35">
      <c r="F332" s="18" t="s">
        <v>1109</v>
      </c>
      <c r="G332" s="19">
        <v>46214</v>
      </c>
      <c r="H332" s="18" t="s">
        <v>485</v>
      </c>
      <c r="I332" s="18" t="s">
        <v>1110</v>
      </c>
      <c r="J332" s="18">
        <v>1018</v>
      </c>
      <c r="K332" s="18" t="s">
        <v>1121</v>
      </c>
      <c r="L332" s="18" t="s">
        <v>5721</v>
      </c>
      <c r="M332" s="19">
        <v>46214</v>
      </c>
      <c r="N332" s="18" t="s">
        <v>1122</v>
      </c>
      <c r="O332" s="18" t="s">
        <v>1123</v>
      </c>
      <c r="P332" s="18" t="s">
        <v>1124</v>
      </c>
      <c r="Q332" s="18" t="s">
        <v>1125</v>
      </c>
      <c r="R332" s="18" t="s">
        <v>1126</v>
      </c>
      <c r="S332" s="18">
        <v>218</v>
      </c>
      <c r="T332" s="18">
        <v>10464</v>
      </c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</row>
    <row r="333" spans="6:39" x14ac:dyDescent="0.35">
      <c r="F333" s="18" t="s">
        <v>1109</v>
      </c>
      <c r="G333" s="19">
        <v>46214</v>
      </c>
      <c r="H333" s="18" t="s">
        <v>485</v>
      </c>
      <c r="I333" s="18" t="s">
        <v>1110</v>
      </c>
      <c r="J333" s="18">
        <v>1019</v>
      </c>
      <c r="K333" s="18" t="s">
        <v>1111</v>
      </c>
      <c r="L333" s="18" t="s">
        <v>5722</v>
      </c>
      <c r="M333" s="19">
        <v>46214</v>
      </c>
      <c r="N333" s="18" t="s">
        <v>1112</v>
      </c>
      <c r="O333" s="18" t="s">
        <v>1117</v>
      </c>
      <c r="P333" s="18" t="s">
        <v>1138</v>
      </c>
      <c r="Q333" s="18" t="s">
        <v>1139</v>
      </c>
      <c r="R333" s="18" t="s">
        <v>1140</v>
      </c>
      <c r="S333" s="18">
        <v>3516</v>
      </c>
      <c r="T333" s="18">
        <v>532638.84</v>
      </c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</row>
    <row r="334" spans="6:39" x14ac:dyDescent="0.35">
      <c r="F334" s="18" t="s">
        <v>1109</v>
      </c>
      <c r="G334" s="19">
        <v>46214</v>
      </c>
      <c r="H334" s="18" t="s">
        <v>485</v>
      </c>
      <c r="I334" s="18" t="s">
        <v>1110</v>
      </c>
      <c r="J334" s="18">
        <v>1019</v>
      </c>
      <c r="K334" s="18" t="s">
        <v>1111</v>
      </c>
      <c r="L334" s="18" t="s">
        <v>5722</v>
      </c>
      <c r="M334" s="19">
        <v>46214</v>
      </c>
      <c r="N334" s="18" t="s">
        <v>1112</v>
      </c>
      <c r="O334" s="18" t="s">
        <v>1117</v>
      </c>
      <c r="P334" s="18" t="s">
        <v>1118</v>
      </c>
      <c r="Q334" s="18" t="s">
        <v>1119</v>
      </c>
      <c r="R334" s="18" t="s">
        <v>1120</v>
      </c>
      <c r="S334" s="18">
        <v>1616</v>
      </c>
      <c r="T334" s="18">
        <v>233495.84</v>
      </c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</row>
    <row r="335" spans="6:39" x14ac:dyDescent="0.35">
      <c r="F335" s="18" t="s">
        <v>1109</v>
      </c>
      <c r="G335" s="19">
        <v>46214</v>
      </c>
      <c r="H335" s="18" t="s">
        <v>485</v>
      </c>
      <c r="I335" s="18" t="s">
        <v>1110</v>
      </c>
      <c r="J335" s="18">
        <v>1019</v>
      </c>
      <c r="K335" s="18" t="s">
        <v>1111</v>
      </c>
      <c r="L335" s="18" t="s">
        <v>5722</v>
      </c>
      <c r="M335" s="19">
        <v>46214</v>
      </c>
      <c r="N335" s="18" t="s">
        <v>1112</v>
      </c>
      <c r="O335" s="18" t="s">
        <v>1117</v>
      </c>
      <c r="P335" s="18" t="s">
        <v>1118</v>
      </c>
      <c r="Q335" s="18" t="s">
        <v>1119</v>
      </c>
      <c r="R335" s="18" t="s">
        <v>1120</v>
      </c>
      <c r="S335" s="18">
        <v>551</v>
      </c>
      <c r="T335" s="18">
        <v>81266.990000000005</v>
      </c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</row>
    <row r="336" spans="6:39" x14ac:dyDescent="0.35">
      <c r="F336" s="18" t="s">
        <v>1109</v>
      </c>
      <c r="G336" s="19">
        <v>46214</v>
      </c>
      <c r="H336" s="18" t="s">
        <v>485</v>
      </c>
      <c r="I336" s="18" t="s">
        <v>1110</v>
      </c>
      <c r="J336" s="18">
        <v>1019</v>
      </c>
      <c r="K336" s="18" t="s">
        <v>1111</v>
      </c>
      <c r="L336" s="18" t="s">
        <v>5722</v>
      </c>
      <c r="M336" s="19">
        <v>46214</v>
      </c>
      <c r="N336" s="18" t="s">
        <v>1112</v>
      </c>
      <c r="O336" s="18" t="s">
        <v>1117</v>
      </c>
      <c r="P336" s="18" t="s">
        <v>1118</v>
      </c>
      <c r="Q336" s="18" t="s">
        <v>1119</v>
      </c>
      <c r="R336" s="18" t="s">
        <v>1120</v>
      </c>
      <c r="S336" s="18">
        <v>1297</v>
      </c>
      <c r="T336" s="18">
        <v>193888.53</v>
      </c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</row>
    <row r="337" spans="6:39" x14ac:dyDescent="0.35">
      <c r="F337" s="18" t="s">
        <v>1109</v>
      </c>
      <c r="G337" s="19">
        <v>46214</v>
      </c>
      <c r="H337" s="18" t="s">
        <v>485</v>
      </c>
      <c r="I337" s="18" t="s">
        <v>1110</v>
      </c>
      <c r="J337" s="18">
        <v>1019</v>
      </c>
      <c r="K337" s="18" t="s">
        <v>1111</v>
      </c>
      <c r="L337" s="18" t="s">
        <v>5722</v>
      </c>
      <c r="M337" s="19">
        <v>46214</v>
      </c>
      <c r="N337" s="18" t="s">
        <v>1112</v>
      </c>
      <c r="O337" s="18" t="s">
        <v>1127</v>
      </c>
      <c r="P337" s="18" t="s">
        <v>1128</v>
      </c>
      <c r="Q337" s="18" t="s">
        <v>1129</v>
      </c>
      <c r="R337" s="18" t="s">
        <v>1130</v>
      </c>
      <c r="S337" s="18">
        <v>3339.8</v>
      </c>
      <c r="T337" s="18">
        <v>690603.84</v>
      </c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</row>
    <row r="338" spans="6:39" x14ac:dyDescent="0.35">
      <c r="F338" s="18" t="s">
        <v>1109</v>
      </c>
      <c r="G338" s="19">
        <v>46214</v>
      </c>
      <c r="H338" s="18" t="s">
        <v>485</v>
      </c>
      <c r="I338" s="18" t="s">
        <v>1110</v>
      </c>
      <c r="J338" s="18">
        <v>1019</v>
      </c>
      <c r="K338" s="18" t="s">
        <v>1111</v>
      </c>
      <c r="L338" s="18" t="s">
        <v>5722</v>
      </c>
      <c r="M338" s="19">
        <v>46214</v>
      </c>
      <c r="N338" s="18" t="s">
        <v>1112</v>
      </c>
      <c r="O338" s="18" t="s">
        <v>1127</v>
      </c>
      <c r="P338" s="18" t="s">
        <v>1128</v>
      </c>
      <c r="Q338" s="18" t="s">
        <v>1129</v>
      </c>
      <c r="R338" s="18" t="s">
        <v>1130</v>
      </c>
      <c r="S338" s="18">
        <v>565</v>
      </c>
      <c r="T338" s="18">
        <v>103270.7</v>
      </c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</row>
    <row r="339" spans="6:39" x14ac:dyDescent="0.35">
      <c r="F339" s="18" t="s">
        <v>1109</v>
      </c>
      <c r="G339" s="19">
        <v>46214</v>
      </c>
      <c r="H339" s="18" t="s">
        <v>485</v>
      </c>
      <c r="I339" s="18" t="s">
        <v>1110</v>
      </c>
      <c r="J339" s="18">
        <v>1019</v>
      </c>
      <c r="K339" s="18" t="s">
        <v>1111</v>
      </c>
      <c r="L339" s="18" t="s">
        <v>5722</v>
      </c>
      <c r="M339" s="19">
        <v>46214</v>
      </c>
      <c r="N339" s="18" t="s">
        <v>1112</v>
      </c>
      <c r="O339" s="18" t="s">
        <v>1127</v>
      </c>
      <c r="P339" s="18" t="s">
        <v>1128</v>
      </c>
      <c r="Q339" s="18" t="s">
        <v>1129</v>
      </c>
      <c r="R339" s="18" t="s">
        <v>1130</v>
      </c>
      <c r="S339" s="18">
        <v>225</v>
      </c>
      <c r="T339" s="18">
        <v>42025.5</v>
      </c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</row>
    <row r="340" spans="6:39" x14ac:dyDescent="0.35">
      <c r="F340" s="18" t="s">
        <v>1109</v>
      </c>
      <c r="G340" s="19">
        <v>46214</v>
      </c>
      <c r="H340" s="18" t="s">
        <v>485</v>
      </c>
      <c r="I340" s="18" t="s">
        <v>1150</v>
      </c>
      <c r="J340" s="18" t="s">
        <v>5723</v>
      </c>
      <c r="K340" s="18" t="s">
        <v>1111</v>
      </c>
      <c r="L340" s="18" t="s">
        <v>5723</v>
      </c>
      <c r="M340" s="19">
        <v>46214</v>
      </c>
      <c r="N340" s="18" t="s">
        <v>1112</v>
      </c>
      <c r="O340" s="18" t="s">
        <v>1117</v>
      </c>
      <c r="P340" s="18" t="s">
        <v>1118</v>
      </c>
      <c r="Q340" s="18" t="s">
        <v>1119</v>
      </c>
      <c r="R340" s="18" t="s">
        <v>1120</v>
      </c>
      <c r="S340" s="18">
        <v>579</v>
      </c>
      <c r="T340" s="18">
        <v>228705</v>
      </c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</row>
    <row r="341" spans="6:39" x14ac:dyDescent="0.35">
      <c r="F341" s="18" t="s">
        <v>1109</v>
      </c>
      <c r="G341" s="19">
        <v>46214</v>
      </c>
      <c r="H341" s="18" t="s">
        <v>485</v>
      </c>
      <c r="I341" s="18" t="s">
        <v>1110</v>
      </c>
      <c r="J341" s="18" t="s">
        <v>5724</v>
      </c>
      <c r="K341" s="18" t="s">
        <v>3760</v>
      </c>
      <c r="L341" s="18" t="s">
        <v>5724</v>
      </c>
      <c r="M341" s="19">
        <v>46214</v>
      </c>
      <c r="N341" s="18" t="s">
        <v>1146</v>
      </c>
      <c r="O341" s="18" t="s">
        <v>1147</v>
      </c>
      <c r="P341" s="18" t="s">
        <v>1147</v>
      </c>
      <c r="Q341" s="18" t="s">
        <v>1148</v>
      </c>
      <c r="R341" s="18" t="s">
        <v>1149</v>
      </c>
      <c r="S341" s="18">
        <v>8683.4</v>
      </c>
      <c r="T341" s="18">
        <v>3003501.23</v>
      </c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</row>
    <row r="342" spans="6:39" x14ac:dyDescent="0.35">
      <c r="F342" s="18" t="s">
        <v>1109</v>
      </c>
      <c r="G342" s="19">
        <v>46214</v>
      </c>
      <c r="H342" s="18" t="s">
        <v>4402</v>
      </c>
      <c r="I342" s="18" t="s">
        <v>1110</v>
      </c>
      <c r="J342" s="18">
        <v>1013</v>
      </c>
      <c r="K342" s="18" t="s">
        <v>1121</v>
      </c>
      <c r="L342" s="18" t="s">
        <v>5725</v>
      </c>
      <c r="M342" s="19">
        <v>46214</v>
      </c>
      <c r="N342" s="18" t="s">
        <v>1133</v>
      </c>
      <c r="O342" s="18" t="s">
        <v>1134</v>
      </c>
      <c r="P342" s="18" t="s">
        <v>5000</v>
      </c>
      <c r="Q342" s="18" t="s">
        <v>5001</v>
      </c>
      <c r="R342" s="18" t="s">
        <v>5002</v>
      </c>
      <c r="S342" s="18">
        <v>5000</v>
      </c>
      <c r="T342" s="18">
        <v>688424</v>
      </c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</row>
    <row r="343" spans="6:39" x14ac:dyDescent="0.35">
      <c r="F343" s="18" t="s">
        <v>1109</v>
      </c>
      <c r="G343" s="19">
        <v>46214</v>
      </c>
      <c r="H343" s="18" t="s">
        <v>125</v>
      </c>
      <c r="I343" s="18" t="s">
        <v>1110</v>
      </c>
      <c r="J343" s="18">
        <v>1010</v>
      </c>
      <c r="K343" s="18" t="s">
        <v>1121</v>
      </c>
      <c r="L343" s="18" t="s">
        <v>5491</v>
      </c>
      <c r="M343" s="19">
        <v>46214</v>
      </c>
      <c r="N343" s="18" t="s">
        <v>4999</v>
      </c>
      <c r="O343" s="18" t="s">
        <v>5005</v>
      </c>
      <c r="P343" s="18" t="s">
        <v>1124</v>
      </c>
      <c r="Q343" s="18" t="s">
        <v>1125</v>
      </c>
      <c r="R343" s="18" t="s">
        <v>5012</v>
      </c>
      <c r="S343" s="18">
        <v>200</v>
      </c>
      <c r="T343" s="18">
        <v>1216.96</v>
      </c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</row>
    <row r="344" spans="6:39" x14ac:dyDescent="0.35">
      <c r="F344" s="18" t="s">
        <v>1109</v>
      </c>
      <c r="G344" s="19">
        <v>46214</v>
      </c>
      <c r="H344" s="18" t="s">
        <v>125</v>
      </c>
      <c r="I344" s="18" t="s">
        <v>1110</v>
      </c>
      <c r="J344" s="18">
        <v>1016</v>
      </c>
      <c r="K344" s="18" t="s">
        <v>1121</v>
      </c>
      <c r="L344" s="18" t="s">
        <v>5492</v>
      </c>
      <c r="M344" s="19">
        <v>46214</v>
      </c>
      <c r="N344" s="18" t="s">
        <v>1122</v>
      </c>
      <c r="O344" s="18" t="s">
        <v>1123</v>
      </c>
      <c r="P344" s="18" t="s">
        <v>1124</v>
      </c>
      <c r="Q344" s="18" t="s">
        <v>1125</v>
      </c>
      <c r="R344" s="18" t="s">
        <v>1126</v>
      </c>
      <c r="S344" s="18">
        <v>36</v>
      </c>
      <c r="T344" s="18">
        <v>1728</v>
      </c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</row>
    <row r="345" spans="6:39" x14ac:dyDescent="0.35">
      <c r="F345" s="18" t="s">
        <v>1109</v>
      </c>
      <c r="G345" s="19">
        <v>46214</v>
      </c>
      <c r="H345" s="18" t="s">
        <v>125</v>
      </c>
      <c r="I345" s="18" t="s">
        <v>1110</v>
      </c>
      <c r="J345" s="18">
        <v>1017</v>
      </c>
      <c r="K345" s="18" t="s">
        <v>1111</v>
      </c>
      <c r="L345" s="18" t="s">
        <v>5493</v>
      </c>
      <c r="M345" s="19">
        <v>46214</v>
      </c>
      <c r="N345" s="18" t="s">
        <v>1112</v>
      </c>
      <c r="O345" s="18" t="s">
        <v>1127</v>
      </c>
      <c r="P345" s="18" t="s">
        <v>1128</v>
      </c>
      <c r="Q345" s="18" t="s">
        <v>1129</v>
      </c>
      <c r="R345" s="18" t="s">
        <v>1130</v>
      </c>
      <c r="S345" s="18">
        <v>497</v>
      </c>
      <c r="T345" s="18">
        <v>90841.66</v>
      </c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</row>
    <row r="346" spans="6:39" x14ac:dyDescent="0.35">
      <c r="F346" s="18" t="s">
        <v>1109</v>
      </c>
      <c r="G346" s="19">
        <v>46214</v>
      </c>
      <c r="H346" s="18" t="s">
        <v>125</v>
      </c>
      <c r="I346" s="18" t="s">
        <v>1110</v>
      </c>
      <c r="J346" s="18">
        <v>1017</v>
      </c>
      <c r="K346" s="18" t="s">
        <v>1111</v>
      </c>
      <c r="L346" s="18" t="s">
        <v>5493</v>
      </c>
      <c r="M346" s="19">
        <v>46214</v>
      </c>
      <c r="N346" s="18" t="s">
        <v>1112</v>
      </c>
      <c r="O346" s="18" t="s">
        <v>1127</v>
      </c>
      <c r="P346" s="18" t="s">
        <v>1128</v>
      </c>
      <c r="Q346" s="18" t="s">
        <v>1129</v>
      </c>
      <c r="R346" s="18" t="s">
        <v>1130</v>
      </c>
      <c r="S346" s="18">
        <v>2228</v>
      </c>
      <c r="T346" s="18">
        <v>460705.84</v>
      </c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</row>
    <row r="347" spans="6:39" x14ac:dyDescent="0.35">
      <c r="F347" s="18" t="s">
        <v>1109</v>
      </c>
      <c r="G347" s="19">
        <v>46214</v>
      </c>
      <c r="H347" s="18" t="s">
        <v>125</v>
      </c>
      <c r="I347" s="18" t="s">
        <v>1110</v>
      </c>
      <c r="J347" s="18">
        <v>1017</v>
      </c>
      <c r="K347" s="18" t="s">
        <v>1111</v>
      </c>
      <c r="L347" s="18" t="s">
        <v>5493</v>
      </c>
      <c r="M347" s="19">
        <v>46214</v>
      </c>
      <c r="N347" s="18" t="s">
        <v>1112</v>
      </c>
      <c r="O347" s="18" t="s">
        <v>1117</v>
      </c>
      <c r="P347" s="18" t="s">
        <v>1118</v>
      </c>
      <c r="Q347" s="18" t="s">
        <v>1119</v>
      </c>
      <c r="R347" s="18" t="s">
        <v>1120</v>
      </c>
      <c r="S347" s="18">
        <v>578</v>
      </c>
      <c r="T347" s="18">
        <v>88139.22</v>
      </c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</row>
    <row r="348" spans="6:39" x14ac:dyDescent="0.35">
      <c r="F348" s="18" t="s">
        <v>1109</v>
      </c>
      <c r="G348" s="19">
        <v>46214</v>
      </c>
      <c r="H348" s="18" t="s">
        <v>125</v>
      </c>
      <c r="I348" s="18" t="s">
        <v>1110</v>
      </c>
      <c r="J348" s="18">
        <v>1017</v>
      </c>
      <c r="K348" s="18" t="s">
        <v>1111</v>
      </c>
      <c r="L348" s="18" t="s">
        <v>5493</v>
      </c>
      <c r="M348" s="19">
        <v>46214</v>
      </c>
      <c r="N348" s="18" t="s">
        <v>1112</v>
      </c>
      <c r="O348" s="18" t="s">
        <v>1117</v>
      </c>
      <c r="P348" s="18" t="s">
        <v>1118</v>
      </c>
      <c r="Q348" s="18" t="s">
        <v>1119</v>
      </c>
      <c r="R348" s="18" t="s">
        <v>1120</v>
      </c>
      <c r="S348" s="18">
        <v>323</v>
      </c>
      <c r="T348" s="18">
        <v>46670.27</v>
      </c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</row>
    <row r="349" spans="6:39" x14ac:dyDescent="0.35">
      <c r="F349" s="18" t="s">
        <v>1109</v>
      </c>
      <c r="G349" s="19">
        <v>46214</v>
      </c>
      <c r="H349" s="18" t="s">
        <v>125</v>
      </c>
      <c r="I349" s="18" t="s">
        <v>1110</v>
      </c>
      <c r="J349" s="18">
        <v>1017</v>
      </c>
      <c r="K349" s="18" t="s">
        <v>1111</v>
      </c>
      <c r="L349" s="18" t="s">
        <v>5493</v>
      </c>
      <c r="M349" s="19">
        <v>46214</v>
      </c>
      <c r="N349" s="18" t="s">
        <v>1146</v>
      </c>
      <c r="O349" s="18" t="s">
        <v>1179</v>
      </c>
      <c r="P349" s="18" t="s">
        <v>1179</v>
      </c>
      <c r="Q349" s="18" t="s">
        <v>1115</v>
      </c>
      <c r="R349" s="18" t="s">
        <v>1179</v>
      </c>
      <c r="S349" s="18">
        <v>49.1</v>
      </c>
      <c r="T349" s="18">
        <v>7757.31</v>
      </c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</row>
    <row r="350" spans="6:39" x14ac:dyDescent="0.35">
      <c r="F350" s="18" t="s">
        <v>1109</v>
      </c>
      <c r="G350" s="19">
        <v>46214</v>
      </c>
      <c r="H350" s="18" t="s">
        <v>125</v>
      </c>
      <c r="I350" s="18" t="s">
        <v>1110</v>
      </c>
      <c r="J350" s="18">
        <v>1017</v>
      </c>
      <c r="K350" s="18" t="s">
        <v>1111</v>
      </c>
      <c r="L350" s="18" t="s">
        <v>5493</v>
      </c>
      <c r="M350" s="19">
        <v>46214</v>
      </c>
      <c r="N350" s="18" t="s">
        <v>1112</v>
      </c>
      <c r="O350" s="18" t="s">
        <v>1131</v>
      </c>
      <c r="P350" s="18" t="s">
        <v>1132</v>
      </c>
      <c r="Q350" s="18" t="s">
        <v>1132</v>
      </c>
      <c r="R350" s="18" t="s">
        <v>1131</v>
      </c>
      <c r="S350" s="18">
        <v>98.4</v>
      </c>
      <c r="T350" s="18">
        <v>14414.62</v>
      </c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</row>
    <row r="351" spans="6:39" x14ac:dyDescent="0.35">
      <c r="F351" s="18" t="s">
        <v>1109</v>
      </c>
      <c r="G351" s="19">
        <v>46214</v>
      </c>
      <c r="H351" s="18" t="s">
        <v>125</v>
      </c>
      <c r="I351" s="18" t="s">
        <v>1110</v>
      </c>
      <c r="J351" s="18">
        <v>1017</v>
      </c>
      <c r="K351" s="18" t="s">
        <v>1111</v>
      </c>
      <c r="L351" s="18" t="s">
        <v>5493</v>
      </c>
      <c r="M351" s="19">
        <v>46214</v>
      </c>
      <c r="N351" s="18" t="s">
        <v>1112</v>
      </c>
      <c r="O351" s="18" t="s">
        <v>1131</v>
      </c>
      <c r="P351" s="18" t="s">
        <v>1132</v>
      </c>
      <c r="Q351" s="18" t="s">
        <v>1132</v>
      </c>
      <c r="R351" s="18" t="s">
        <v>1131</v>
      </c>
      <c r="S351" s="18">
        <v>126.1</v>
      </c>
      <c r="T351" s="18">
        <v>18850.689999999999</v>
      </c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</row>
    <row r="352" spans="6:39" x14ac:dyDescent="0.35">
      <c r="F352" s="18" t="s">
        <v>1109</v>
      </c>
      <c r="G352" s="19">
        <v>46214</v>
      </c>
      <c r="H352" s="18" t="s">
        <v>125</v>
      </c>
      <c r="I352" s="18" t="s">
        <v>1110</v>
      </c>
      <c r="J352" s="18">
        <v>1017</v>
      </c>
      <c r="K352" s="18" t="s">
        <v>1111</v>
      </c>
      <c r="L352" s="18" t="s">
        <v>5493</v>
      </c>
      <c r="M352" s="19">
        <v>46214</v>
      </c>
      <c r="N352" s="18" t="s">
        <v>1112</v>
      </c>
      <c r="O352" s="18" t="s">
        <v>1113</v>
      </c>
      <c r="P352" s="18" t="s">
        <v>1114</v>
      </c>
      <c r="Q352" s="18" t="s">
        <v>1115</v>
      </c>
      <c r="R352" s="18" t="s">
        <v>1144</v>
      </c>
      <c r="S352" s="18">
        <v>26.3</v>
      </c>
      <c r="T352" s="18">
        <v>4234.04</v>
      </c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</row>
    <row r="353" spans="6:39" x14ac:dyDescent="0.35">
      <c r="F353" s="18" t="s">
        <v>1109</v>
      </c>
      <c r="G353" s="19">
        <v>46214</v>
      </c>
      <c r="H353" s="18" t="s">
        <v>4403</v>
      </c>
      <c r="I353" s="18" t="s">
        <v>1136</v>
      </c>
      <c r="J353" s="18" t="s">
        <v>5311</v>
      </c>
      <c r="K353" s="18" t="s">
        <v>2028</v>
      </c>
      <c r="L353" s="18" t="s">
        <v>5311</v>
      </c>
      <c r="M353" s="19">
        <v>46214</v>
      </c>
      <c r="N353" s="18" t="s">
        <v>1146</v>
      </c>
      <c r="O353" s="18" t="s">
        <v>1147</v>
      </c>
      <c r="P353" s="18" t="s">
        <v>1147</v>
      </c>
      <c r="Q353" s="18" t="s">
        <v>1148</v>
      </c>
      <c r="R353" s="18" t="s">
        <v>1149</v>
      </c>
      <c r="S353" s="18">
        <v>21016</v>
      </c>
      <c r="T353" s="18">
        <v>3855192</v>
      </c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</row>
    <row r="354" spans="6:39" x14ac:dyDescent="0.35">
      <c r="F354" s="18" t="s">
        <v>1109</v>
      </c>
      <c r="G354" s="19">
        <v>46215</v>
      </c>
      <c r="H354" s="18" t="s">
        <v>3790</v>
      </c>
      <c r="I354" s="18" t="s">
        <v>1110</v>
      </c>
      <c r="J354" s="18">
        <v>1020</v>
      </c>
      <c r="K354" s="18" t="s">
        <v>1111</v>
      </c>
      <c r="L354" s="18" t="s">
        <v>5726</v>
      </c>
      <c r="M354" s="19">
        <v>46215</v>
      </c>
      <c r="N354" s="18" t="s">
        <v>1112</v>
      </c>
      <c r="O354" s="18" t="s">
        <v>1117</v>
      </c>
      <c r="P354" s="18" t="s">
        <v>1118</v>
      </c>
      <c r="Q354" s="18" t="s">
        <v>1119</v>
      </c>
      <c r="R354" s="18" t="s">
        <v>1120</v>
      </c>
      <c r="S354" s="18">
        <v>2879</v>
      </c>
      <c r="T354" s="18">
        <v>421744.71</v>
      </c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</row>
    <row r="355" spans="6:39" x14ac:dyDescent="0.35">
      <c r="F355" s="18" t="s">
        <v>1109</v>
      </c>
      <c r="G355" s="19">
        <v>46215</v>
      </c>
      <c r="H355" s="18" t="s">
        <v>3790</v>
      </c>
      <c r="I355" s="18" t="s">
        <v>1110</v>
      </c>
      <c r="J355" s="18">
        <v>1020</v>
      </c>
      <c r="K355" s="18" t="s">
        <v>1111</v>
      </c>
      <c r="L355" s="18" t="s">
        <v>5726</v>
      </c>
      <c r="M355" s="19">
        <v>46215</v>
      </c>
      <c r="N355" s="18" t="s">
        <v>1112</v>
      </c>
      <c r="O355" s="18" t="s">
        <v>1117</v>
      </c>
      <c r="P355" s="18" t="s">
        <v>1118</v>
      </c>
      <c r="Q355" s="18" t="s">
        <v>1119</v>
      </c>
      <c r="R355" s="18" t="s">
        <v>1120</v>
      </c>
      <c r="S355" s="18">
        <v>4489</v>
      </c>
      <c r="T355" s="18">
        <v>648615.61</v>
      </c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</row>
    <row r="356" spans="6:39" x14ac:dyDescent="0.35">
      <c r="F356" s="18" t="s">
        <v>1109</v>
      </c>
      <c r="G356" s="19">
        <v>46215</v>
      </c>
      <c r="H356" s="18" t="s">
        <v>3790</v>
      </c>
      <c r="I356" s="18" t="s">
        <v>1110</v>
      </c>
      <c r="J356" s="18">
        <v>1020</v>
      </c>
      <c r="K356" s="18" t="s">
        <v>1111</v>
      </c>
      <c r="L356" s="18" t="s">
        <v>5726</v>
      </c>
      <c r="M356" s="19">
        <v>46215</v>
      </c>
      <c r="N356" s="18" t="s">
        <v>1112</v>
      </c>
      <c r="O356" s="18" t="s">
        <v>1117</v>
      </c>
      <c r="P356" s="18" t="s">
        <v>1118</v>
      </c>
      <c r="Q356" s="18" t="s">
        <v>1119</v>
      </c>
      <c r="R356" s="18" t="s">
        <v>1120</v>
      </c>
      <c r="S356" s="18">
        <v>534</v>
      </c>
      <c r="T356" s="18">
        <v>78759.66</v>
      </c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</row>
    <row r="357" spans="6:39" x14ac:dyDescent="0.35">
      <c r="F357" s="18" t="s">
        <v>1109</v>
      </c>
      <c r="G357" s="19">
        <v>46215</v>
      </c>
      <c r="H357" s="18" t="s">
        <v>3790</v>
      </c>
      <c r="I357" s="18" t="s">
        <v>1110</v>
      </c>
      <c r="J357" s="18">
        <v>1021</v>
      </c>
      <c r="K357" s="18" t="s">
        <v>1121</v>
      </c>
      <c r="L357" s="18" t="s">
        <v>5727</v>
      </c>
      <c r="M357" s="19">
        <v>46215</v>
      </c>
      <c r="N357" s="18" t="s">
        <v>1122</v>
      </c>
      <c r="O357" s="18" t="s">
        <v>1123</v>
      </c>
      <c r="P357" s="18" t="s">
        <v>1124</v>
      </c>
      <c r="Q357" s="18" t="s">
        <v>1125</v>
      </c>
      <c r="R357" s="18" t="s">
        <v>1126</v>
      </c>
      <c r="S357" s="18">
        <v>392</v>
      </c>
      <c r="T357" s="18">
        <v>18816</v>
      </c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</row>
    <row r="358" spans="6:39" x14ac:dyDescent="0.35">
      <c r="F358" s="18" t="s">
        <v>1109</v>
      </c>
      <c r="G358" s="19">
        <v>46215</v>
      </c>
      <c r="H358" s="18" t="s">
        <v>3790</v>
      </c>
      <c r="I358" s="18" t="s">
        <v>1110</v>
      </c>
      <c r="J358" s="18">
        <v>1023</v>
      </c>
      <c r="K358" s="18" t="s">
        <v>1111</v>
      </c>
      <c r="L358" s="18" t="s">
        <v>5728</v>
      </c>
      <c r="M358" s="19">
        <v>46215</v>
      </c>
      <c r="N358" s="18" t="s">
        <v>1112</v>
      </c>
      <c r="O358" s="18" t="s">
        <v>1117</v>
      </c>
      <c r="P358" s="18" t="s">
        <v>1118</v>
      </c>
      <c r="Q358" s="18" t="s">
        <v>1119</v>
      </c>
      <c r="R358" s="18" t="s">
        <v>1120</v>
      </c>
      <c r="S358" s="18">
        <v>2099</v>
      </c>
      <c r="T358" s="18">
        <v>307482.51</v>
      </c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</row>
    <row r="359" spans="6:39" x14ac:dyDescent="0.35">
      <c r="F359" s="18" t="s">
        <v>1109</v>
      </c>
      <c r="G359" s="19">
        <v>46215</v>
      </c>
      <c r="H359" s="18" t="s">
        <v>3790</v>
      </c>
      <c r="I359" s="18" t="s">
        <v>1110</v>
      </c>
      <c r="J359" s="18">
        <v>1023</v>
      </c>
      <c r="K359" s="18" t="s">
        <v>1111</v>
      </c>
      <c r="L359" s="18" t="s">
        <v>5728</v>
      </c>
      <c r="M359" s="19">
        <v>46215</v>
      </c>
      <c r="N359" s="18" t="s">
        <v>1146</v>
      </c>
      <c r="O359" s="18" t="s">
        <v>1179</v>
      </c>
      <c r="P359" s="18" t="s">
        <v>1179</v>
      </c>
      <c r="Q359" s="18" t="s">
        <v>1139</v>
      </c>
      <c r="R359" s="18" t="s">
        <v>1179</v>
      </c>
      <c r="S359" s="18">
        <v>125</v>
      </c>
      <c r="T359" s="18">
        <v>19561.25</v>
      </c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</row>
    <row r="360" spans="6:39" x14ac:dyDescent="0.35">
      <c r="F360" s="18" t="s">
        <v>1109</v>
      </c>
      <c r="G360" s="19">
        <v>46215</v>
      </c>
      <c r="H360" s="18" t="s">
        <v>3790</v>
      </c>
      <c r="I360" s="18" t="s">
        <v>1110</v>
      </c>
      <c r="J360" s="18">
        <v>1023</v>
      </c>
      <c r="K360" s="18" t="s">
        <v>1111</v>
      </c>
      <c r="L360" s="18" t="s">
        <v>5728</v>
      </c>
      <c r="M360" s="19">
        <v>46215</v>
      </c>
      <c r="N360" s="18" t="s">
        <v>1146</v>
      </c>
      <c r="O360" s="18" t="s">
        <v>1179</v>
      </c>
      <c r="P360" s="18" t="s">
        <v>1179</v>
      </c>
      <c r="Q360" s="18" t="s">
        <v>1119</v>
      </c>
      <c r="R360" s="18" t="s">
        <v>1179</v>
      </c>
      <c r="S360" s="18">
        <v>110</v>
      </c>
      <c r="T360" s="18">
        <v>16993.900000000001</v>
      </c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</row>
    <row r="361" spans="6:39" x14ac:dyDescent="0.35">
      <c r="F361" s="18" t="s">
        <v>1109</v>
      </c>
      <c r="G361" s="19">
        <v>46215</v>
      </c>
      <c r="H361" s="18" t="s">
        <v>3790</v>
      </c>
      <c r="I361" s="18" t="s">
        <v>1110</v>
      </c>
      <c r="J361" s="18">
        <v>1024</v>
      </c>
      <c r="K361" s="18" t="s">
        <v>1111</v>
      </c>
      <c r="L361" s="18" t="s">
        <v>5729</v>
      </c>
      <c r="M361" s="19">
        <v>46215</v>
      </c>
      <c r="N361" s="18" t="s">
        <v>1112</v>
      </c>
      <c r="O361" s="18" t="s">
        <v>1117</v>
      </c>
      <c r="P361" s="18" t="s">
        <v>1138</v>
      </c>
      <c r="Q361" s="18" t="s">
        <v>1139</v>
      </c>
      <c r="R361" s="18" t="s">
        <v>1140</v>
      </c>
      <c r="S361" s="18">
        <v>2959</v>
      </c>
      <c r="T361" s="18">
        <v>433463.91</v>
      </c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</row>
    <row r="362" spans="6:39" x14ac:dyDescent="0.35">
      <c r="F362" s="18" t="s">
        <v>1109</v>
      </c>
      <c r="G362" s="19">
        <v>46215</v>
      </c>
      <c r="H362" s="18" t="s">
        <v>3790</v>
      </c>
      <c r="I362" s="18" t="s">
        <v>1110</v>
      </c>
      <c r="J362" s="18">
        <v>1024</v>
      </c>
      <c r="K362" s="18" t="s">
        <v>1111</v>
      </c>
      <c r="L362" s="18" t="s">
        <v>5729</v>
      </c>
      <c r="M362" s="19">
        <v>46215</v>
      </c>
      <c r="N362" s="18" t="s">
        <v>1112</v>
      </c>
      <c r="O362" s="18" t="s">
        <v>1117</v>
      </c>
      <c r="P362" s="18" t="s">
        <v>1138</v>
      </c>
      <c r="Q362" s="18" t="s">
        <v>1139</v>
      </c>
      <c r="R362" s="18" t="s">
        <v>1140</v>
      </c>
      <c r="S362" s="18">
        <v>698</v>
      </c>
      <c r="T362" s="18">
        <v>105740.02</v>
      </c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</row>
    <row r="363" spans="6:39" x14ac:dyDescent="0.35">
      <c r="F363" s="18" t="s">
        <v>1109</v>
      </c>
      <c r="G363" s="19">
        <v>46215</v>
      </c>
      <c r="H363" s="18" t="s">
        <v>3790</v>
      </c>
      <c r="I363" s="18" t="s">
        <v>1110</v>
      </c>
      <c r="J363" s="18">
        <v>1024</v>
      </c>
      <c r="K363" s="18" t="s">
        <v>1111</v>
      </c>
      <c r="L363" s="18" t="s">
        <v>5729</v>
      </c>
      <c r="M363" s="19">
        <v>46215</v>
      </c>
      <c r="N363" s="18" t="s">
        <v>1112</v>
      </c>
      <c r="O363" s="18" t="s">
        <v>1117</v>
      </c>
      <c r="P363" s="18" t="s">
        <v>1118</v>
      </c>
      <c r="Q363" s="18" t="s">
        <v>1119</v>
      </c>
      <c r="R363" s="18" t="s">
        <v>1120</v>
      </c>
      <c r="S363" s="18">
        <v>633</v>
      </c>
      <c r="T363" s="18">
        <v>93361.17</v>
      </c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</row>
    <row r="364" spans="6:39" x14ac:dyDescent="0.35">
      <c r="F364" s="18" t="s">
        <v>1109</v>
      </c>
      <c r="G364" s="19">
        <v>46215</v>
      </c>
      <c r="H364" s="18" t="s">
        <v>3790</v>
      </c>
      <c r="I364" s="18" t="s">
        <v>1110</v>
      </c>
      <c r="J364" s="18">
        <v>1024</v>
      </c>
      <c r="K364" s="18" t="s">
        <v>1111</v>
      </c>
      <c r="L364" s="18" t="s">
        <v>5729</v>
      </c>
      <c r="M364" s="19">
        <v>46215</v>
      </c>
      <c r="N364" s="18" t="s">
        <v>1112</v>
      </c>
      <c r="O364" s="18" t="s">
        <v>1117</v>
      </c>
      <c r="P364" s="18" t="s">
        <v>1118</v>
      </c>
      <c r="Q364" s="18" t="s">
        <v>1119</v>
      </c>
      <c r="R364" s="18" t="s">
        <v>1120</v>
      </c>
      <c r="S364" s="18">
        <v>2346</v>
      </c>
      <c r="T364" s="18">
        <v>338973.54</v>
      </c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</row>
    <row r="365" spans="6:39" x14ac:dyDescent="0.35">
      <c r="F365" s="18" t="s">
        <v>1109</v>
      </c>
      <c r="G365" s="19">
        <v>46215</v>
      </c>
      <c r="H365" s="18" t="s">
        <v>3790</v>
      </c>
      <c r="I365" s="18" t="s">
        <v>1110</v>
      </c>
      <c r="J365" s="18">
        <v>1024</v>
      </c>
      <c r="K365" s="18" t="s">
        <v>1111</v>
      </c>
      <c r="L365" s="18" t="s">
        <v>5729</v>
      </c>
      <c r="M365" s="19">
        <v>46215</v>
      </c>
      <c r="N365" s="18" t="s">
        <v>1112</v>
      </c>
      <c r="O365" s="18" t="s">
        <v>1131</v>
      </c>
      <c r="P365" s="18" t="s">
        <v>1132</v>
      </c>
      <c r="Q365" s="18" t="s">
        <v>1132</v>
      </c>
      <c r="R365" s="18" t="s">
        <v>1131</v>
      </c>
      <c r="S365" s="18">
        <v>1275.0999999999999</v>
      </c>
      <c r="T365" s="18">
        <v>190614.7</v>
      </c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</row>
    <row r="366" spans="6:39" x14ac:dyDescent="0.35">
      <c r="F366" s="18" t="s">
        <v>1109</v>
      </c>
      <c r="G366" s="19">
        <v>46215</v>
      </c>
      <c r="H366" s="18" t="s">
        <v>3790</v>
      </c>
      <c r="I366" s="18" t="s">
        <v>1110</v>
      </c>
      <c r="J366" s="18">
        <v>1024</v>
      </c>
      <c r="K366" s="18" t="s">
        <v>1111</v>
      </c>
      <c r="L366" s="18" t="s">
        <v>5729</v>
      </c>
      <c r="M366" s="19">
        <v>46215</v>
      </c>
      <c r="N366" s="18" t="s">
        <v>1112</v>
      </c>
      <c r="O366" s="18" t="s">
        <v>1131</v>
      </c>
      <c r="P366" s="18" t="s">
        <v>1132</v>
      </c>
      <c r="Q366" s="18" t="s">
        <v>1132</v>
      </c>
      <c r="R366" s="18" t="s">
        <v>1131</v>
      </c>
      <c r="S366" s="18">
        <v>895</v>
      </c>
      <c r="T366" s="18">
        <v>131108.54999999999</v>
      </c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</row>
    <row r="367" spans="6:39" x14ac:dyDescent="0.35">
      <c r="F367" s="18" t="s">
        <v>1109</v>
      </c>
      <c r="G367" s="19">
        <v>46215</v>
      </c>
      <c r="H367" s="18" t="s">
        <v>3790</v>
      </c>
      <c r="I367" s="18" t="s">
        <v>1110</v>
      </c>
      <c r="J367" s="18">
        <v>1024</v>
      </c>
      <c r="K367" s="18" t="s">
        <v>1111</v>
      </c>
      <c r="L367" s="18" t="s">
        <v>5729</v>
      </c>
      <c r="M367" s="19">
        <v>46215</v>
      </c>
      <c r="N367" s="18" t="s">
        <v>1112</v>
      </c>
      <c r="O367" s="18" t="s">
        <v>1127</v>
      </c>
      <c r="P367" s="18" t="s">
        <v>1128</v>
      </c>
      <c r="Q367" s="18" t="s">
        <v>1129</v>
      </c>
      <c r="R367" s="18" t="s">
        <v>1130</v>
      </c>
      <c r="S367" s="18">
        <v>554</v>
      </c>
      <c r="T367" s="18">
        <v>101260.12</v>
      </c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</row>
    <row r="368" spans="6:39" x14ac:dyDescent="0.35">
      <c r="F368" s="18" t="s">
        <v>1109</v>
      </c>
      <c r="G368" s="19">
        <v>46215</v>
      </c>
      <c r="H368" s="18" t="s">
        <v>3790</v>
      </c>
      <c r="I368" s="18" t="s">
        <v>1110</v>
      </c>
      <c r="J368" s="18">
        <v>1024</v>
      </c>
      <c r="K368" s="18" t="s">
        <v>1111</v>
      </c>
      <c r="L368" s="18" t="s">
        <v>5729</v>
      </c>
      <c r="M368" s="19">
        <v>46215</v>
      </c>
      <c r="N368" s="18" t="s">
        <v>1112</v>
      </c>
      <c r="O368" s="18" t="s">
        <v>1127</v>
      </c>
      <c r="P368" s="18" t="s">
        <v>1128</v>
      </c>
      <c r="Q368" s="18" t="s">
        <v>1129</v>
      </c>
      <c r="R368" s="18" t="s">
        <v>1130</v>
      </c>
      <c r="S368" s="18">
        <v>66</v>
      </c>
      <c r="T368" s="18">
        <v>12063.48</v>
      </c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</row>
    <row r="369" spans="6:39" x14ac:dyDescent="0.35">
      <c r="F369" s="18" t="s">
        <v>1109</v>
      </c>
      <c r="G369" s="19">
        <v>46215</v>
      </c>
      <c r="H369" s="18" t="s">
        <v>3790</v>
      </c>
      <c r="I369" s="18" t="s">
        <v>1110</v>
      </c>
      <c r="J369" s="18">
        <v>1024</v>
      </c>
      <c r="K369" s="18" t="s">
        <v>1111</v>
      </c>
      <c r="L369" s="18" t="s">
        <v>5729</v>
      </c>
      <c r="M369" s="19">
        <v>46215</v>
      </c>
      <c r="N369" s="18" t="s">
        <v>1112</v>
      </c>
      <c r="O369" s="18" t="s">
        <v>1127</v>
      </c>
      <c r="P369" s="18" t="s">
        <v>1128</v>
      </c>
      <c r="Q369" s="18" t="s">
        <v>1129</v>
      </c>
      <c r="R369" s="18" t="s">
        <v>1130</v>
      </c>
      <c r="S369" s="18">
        <v>55</v>
      </c>
      <c r="T369" s="18">
        <v>10217.9</v>
      </c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</row>
    <row r="370" spans="6:39" x14ac:dyDescent="0.35">
      <c r="F370" s="18" t="s">
        <v>1109</v>
      </c>
      <c r="G370" s="19">
        <v>46215</v>
      </c>
      <c r="H370" s="18" t="s">
        <v>1135</v>
      </c>
      <c r="I370" s="18" t="s">
        <v>1136</v>
      </c>
      <c r="J370" s="18" t="s">
        <v>5730</v>
      </c>
      <c r="K370" s="18" t="s">
        <v>1137</v>
      </c>
      <c r="L370" s="18" t="s">
        <v>5730</v>
      </c>
      <c r="M370" s="19">
        <v>46215</v>
      </c>
      <c r="N370" s="18" t="s">
        <v>1112</v>
      </c>
      <c r="O370" s="18" t="s">
        <v>1117</v>
      </c>
      <c r="P370" s="18" t="s">
        <v>1138</v>
      </c>
      <c r="Q370" s="18" t="s">
        <v>1139</v>
      </c>
      <c r="R370" s="18" t="s">
        <v>1140</v>
      </c>
      <c r="S370" s="18">
        <v>726</v>
      </c>
      <c r="T370" s="18">
        <v>103097.77500000001</v>
      </c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</row>
    <row r="371" spans="6:39" x14ac:dyDescent="0.35">
      <c r="F371" s="18" t="s">
        <v>1109</v>
      </c>
      <c r="G371" s="19">
        <v>46215</v>
      </c>
      <c r="H371" s="18" t="s">
        <v>1135</v>
      </c>
      <c r="I371" s="18" t="s">
        <v>1136</v>
      </c>
      <c r="J371" s="18" t="s">
        <v>5731</v>
      </c>
      <c r="K371" s="18" t="s">
        <v>1137</v>
      </c>
      <c r="L371" s="18" t="s">
        <v>5731</v>
      </c>
      <c r="M371" s="19">
        <v>46215</v>
      </c>
      <c r="N371" s="18" t="s">
        <v>1112</v>
      </c>
      <c r="O371" s="18" t="s">
        <v>1127</v>
      </c>
      <c r="P371" s="18" t="s">
        <v>1128</v>
      </c>
      <c r="Q371" s="18" t="s">
        <v>1129</v>
      </c>
      <c r="R371" s="18" t="s">
        <v>1130</v>
      </c>
      <c r="S371" s="18">
        <v>626.16999999999996</v>
      </c>
      <c r="T371" s="18">
        <v>108949.46399999999</v>
      </c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</row>
    <row r="372" spans="6:39" x14ac:dyDescent="0.35">
      <c r="F372" s="18" t="s">
        <v>1109</v>
      </c>
      <c r="G372" s="19">
        <v>46215</v>
      </c>
      <c r="H372" s="18" t="s">
        <v>1135</v>
      </c>
      <c r="I372" s="18" t="s">
        <v>1136</v>
      </c>
      <c r="J372" s="18" t="s">
        <v>5732</v>
      </c>
      <c r="K372" s="18" t="s">
        <v>1137</v>
      </c>
      <c r="L372" s="18" t="s">
        <v>5732</v>
      </c>
      <c r="M372" s="19">
        <v>46215</v>
      </c>
      <c r="N372" s="18" t="s">
        <v>1112</v>
      </c>
      <c r="O372" s="18" t="s">
        <v>1127</v>
      </c>
      <c r="P372" s="18" t="s">
        <v>1128</v>
      </c>
      <c r="Q372" s="18" t="s">
        <v>1129</v>
      </c>
      <c r="R372" s="18" t="s">
        <v>1130</v>
      </c>
      <c r="S372" s="18">
        <v>3514</v>
      </c>
      <c r="T372" s="18">
        <v>613550.74</v>
      </c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</row>
    <row r="373" spans="6:39" x14ac:dyDescent="0.35">
      <c r="F373" s="18" t="s">
        <v>1109</v>
      </c>
      <c r="G373" s="19">
        <v>46215</v>
      </c>
      <c r="H373" s="18" t="s">
        <v>485</v>
      </c>
      <c r="I373" s="18" t="s">
        <v>1110</v>
      </c>
      <c r="J373" s="18">
        <v>1028</v>
      </c>
      <c r="K373" s="18" t="s">
        <v>1121</v>
      </c>
      <c r="L373" s="18" t="s">
        <v>5733</v>
      </c>
      <c r="M373" s="19">
        <v>46215</v>
      </c>
      <c r="N373" s="18" t="s">
        <v>1122</v>
      </c>
      <c r="O373" s="18" t="s">
        <v>1123</v>
      </c>
      <c r="P373" s="18" t="s">
        <v>1124</v>
      </c>
      <c r="Q373" s="18" t="s">
        <v>1125</v>
      </c>
      <c r="R373" s="18" t="s">
        <v>1126</v>
      </c>
      <c r="S373" s="18">
        <v>275</v>
      </c>
      <c r="T373" s="18">
        <v>13200</v>
      </c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</row>
    <row r="374" spans="6:39" x14ac:dyDescent="0.35">
      <c r="F374" s="18" t="s">
        <v>1109</v>
      </c>
      <c r="G374" s="19">
        <v>46215</v>
      </c>
      <c r="H374" s="18" t="s">
        <v>485</v>
      </c>
      <c r="I374" s="18" t="s">
        <v>1110</v>
      </c>
      <c r="J374" s="18">
        <v>1029</v>
      </c>
      <c r="K374" s="18" t="s">
        <v>1111</v>
      </c>
      <c r="L374" s="18" t="s">
        <v>5734</v>
      </c>
      <c r="M374" s="19">
        <v>46215</v>
      </c>
      <c r="N374" s="18" t="s">
        <v>1112</v>
      </c>
      <c r="O374" s="18" t="s">
        <v>1117</v>
      </c>
      <c r="P374" s="18" t="s">
        <v>1138</v>
      </c>
      <c r="Q374" s="18" t="s">
        <v>1139</v>
      </c>
      <c r="R374" s="18" t="s">
        <v>1140</v>
      </c>
      <c r="S374" s="18">
        <v>4342</v>
      </c>
      <c r="T374" s="18">
        <v>657769.57999999996</v>
      </c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</row>
    <row r="375" spans="6:39" x14ac:dyDescent="0.35">
      <c r="F375" s="18" t="s">
        <v>1109</v>
      </c>
      <c r="G375" s="19">
        <v>46215</v>
      </c>
      <c r="H375" s="18" t="s">
        <v>485</v>
      </c>
      <c r="I375" s="18" t="s">
        <v>1110</v>
      </c>
      <c r="J375" s="18">
        <v>1029</v>
      </c>
      <c r="K375" s="18" t="s">
        <v>1111</v>
      </c>
      <c r="L375" s="18" t="s">
        <v>5734</v>
      </c>
      <c r="M375" s="19">
        <v>46215</v>
      </c>
      <c r="N375" s="18" t="s">
        <v>1112</v>
      </c>
      <c r="O375" s="18" t="s">
        <v>1127</v>
      </c>
      <c r="P375" s="18" t="s">
        <v>1128</v>
      </c>
      <c r="Q375" s="18" t="s">
        <v>1129</v>
      </c>
      <c r="R375" s="18" t="s">
        <v>1130</v>
      </c>
      <c r="S375" s="18">
        <v>245</v>
      </c>
      <c r="T375" s="18">
        <v>44781.1</v>
      </c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</row>
    <row r="376" spans="6:39" x14ac:dyDescent="0.35">
      <c r="F376" s="18" t="s">
        <v>1109</v>
      </c>
      <c r="G376" s="19">
        <v>46215</v>
      </c>
      <c r="H376" s="18" t="s">
        <v>485</v>
      </c>
      <c r="I376" s="18" t="s">
        <v>1110</v>
      </c>
      <c r="J376" s="18">
        <v>1029</v>
      </c>
      <c r="K376" s="18" t="s">
        <v>1111</v>
      </c>
      <c r="L376" s="18" t="s">
        <v>5734</v>
      </c>
      <c r="M376" s="19">
        <v>46215</v>
      </c>
      <c r="N376" s="18" t="s">
        <v>1112</v>
      </c>
      <c r="O376" s="18" t="s">
        <v>1127</v>
      </c>
      <c r="P376" s="18" t="s">
        <v>1128</v>
      </c>
      <c r="Q376" s="18" t="s">
        <v>1129</v>
      </c>
      <c r="R376" s="18" t="s">
        <v>1130</v>
      </c>
      <c r="S376" s="18">
        <v>529</v>
      </c>
      <c r="T376" s="18">
        <v>109386.62</v>
      </c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</row>
    <row r="377" spans="6:39" x14ac:dyDescent="0.35">
      <c r="F377" s="18" t="s">
        <v>1109</v>
      </c>
      <c r="G377" s="19">
        <v>46215</v>
      </c>
      <c r="H377" s="18" t="s">
        <v>485</v>
      </c>
      <c r="I377" s="18" t="s">
        <v>1110</v>
      </c>
      <c r="J377" s="18">
        <v>1029</v>
      </c>
      <c r="K377" s="18" t="s">
        <v>1111</v>
      </c>
      <c r="L377" s="18" t="s">
        <v>5734</v>
      </c>
      <c r="M377" s="19">
        <v>46215</v>
      </c>
      <c r="N377" s="18" t="s">
        <v>1112</v>
      </c>
      <c r="O377" s="18" t="s">
        <v>1117</v>
      </c>
      <c r="P377" s="18" t="s">
        <v>1118</v>
      </c>
      <c r="Q377" s="18" t="s">
        <v>1119</v>
      </c>
      <c r="R377" s="18" t="s">
        <v>1120</v>
      </c>
      <c r="S377" s="18">
        <v>933</v>
      </c>
      <c r="T377" s="18">
        <v>134809.17000000001</v>
      </c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</row>
    <row r="378" spans="6:39" x14ac:dyDescent="0.35">
      <c r="F378" s="18" t="s">
        <v>1109</v>
      </c>
      <c r="G378" s="19">
        <v>46215</v>
      </c>
      <c r="H378" s="18" t="s">
        <v>485</v>
      </c>
      <c r="I378" s="18" t="s">
        <v>1110</v>
      </c>
      <c r="J378" s="18">
        <v>1029</v>
      </c>
      <c r="K378" s="18" t="s">
        <v>1111</v>
      </c>
      <c r="L378" s="18" t="s">
        <v>5734</v>
      </c>
      <c r="M378" s="19">
        <v>46215</v>
      </c>
      <c r="N378" s="18" t="s">
        <v>1112</v>
      </c>
      <c r="O378" s="18" t="s">
        <v>1117</v>
      </c>
      <c r="P378" s="18" t="s">
        <v>1118</v>
      </c>
      <c r="Q378" s="18" t="s">
        <v>1119</v>
      </c>
      <c r="R378" s="18" t="s">
        <v>1120</v>
      </c>
      <c r="S378" s="18">
        <v>1154</v>
      </c>
      <c r="T378" s="18">
        <v>170203.46</v>
      </c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</row>
    <row r="379" spans="6:39" x14ac:dyDescent="0.35">
      <c r="F379" s="18" t="s">
        <v>1109</v>
      </c>
      <c r="G379" s="19">
        <v>46215</v>
      </c>
      <c r="H379" s="18" t="s">
        <v>485</v>
      </c>
      <c r="I379" s="18" t="s">
        <v>1110</v>
      </c>
      <c r="J379" s="18">
        <v>1029</v>
      </c>
      <c r="K379" s="18" t="s">
        <v>1111</v>
      </c>
      <c r="L379" s="18" t="s">
        <v>5734</v>
      </c>
      <c r="M379" s="19">
        <v>46215</v>
      </c>
      <c r="N379" s="18" t="s">
        <v>1112</v>
      </c>
      <c r="O379" s="18" t="s">
        <v>1117</v>
      </c>
      <c r="P379" s="18" t="s">
        <v>1118</v>
      </c>
      <c r="Q379" s="18" t="s">
        <v>1119</v>
      </c>
      <c r="R379" s="18" t="s">
        <v>1120</v>
      </c>
      <c r="S379" s="18">
        <v>2904</v>
      </c>
      <c r="T379" s="18">
        <v>434118.96</v>
      </c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</row>
    <row r="380" spans="6:39" x14ac:dyDescent="0.35">
      <c r="F380" s="18" t="s">
        <v>1109</v>
      </c>
      <c r="G380" s="19">
        <v>46215</v>
      </c>
      <c r="H380" s="18" t="s">
        <v>485</v>
      </c>
      <c r="I380" s="18" t="s">
        <v>1110</v>
      </c>
      <c r="J380" s="18">
        <v>1029</v>
      </c>
      <c r="K380" s="18" t="s">
        <v>1111</v>
      </c>
      <c r="L380" s="18" t="s">
        <v>5734</v>
      </c>
      <c r="M380" s="19">
        <v>46215</v>
      </c>
      <c r="N380" s="18" t="s">
        <v>1112</v>
      </c>
      <c r="O380" s="18" t="s">
        <v>1113</v>
      </c>
      <c r="P380" s="18" t="s">
        <v>1114</v>
      </c>
      <c r="Q380" s="18" t="s">
        <v>1115</v>
      </c>
      <c r="R380" s="18" t="s">
        <v>5735</v>
      </c>
      <c r="S380" s="18">
        <v>114.9</v>
      </c>
      <c r="T380" s="18">
        <v>18325.400000000001</v>
      </c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</row>
    <row r="381" spans="6:39" x14ac:dyDescent="0.35">
      <c r="F381" s="18" t="s">
        <v>1109</v>
      </c>
      <c r="G381" s="19">
        <v>46215</v>
      </c>
      <c r="H381" s="18" t="s">
        <v>485</v>
      </c>
      <c r="I381" s="18" t="s">
        <v>1110</v>
      </c>
      <c r="J381" s="18">
        <v>1029</v>
      </c>
      <c r="K381" s="18" t="s">
        <v>1111</v>
      </c>
      <c r="L381" s="18" t="s">
        <v>5734</v>
      </c>
      <c r="M381" s="19">
        <v>46215</v>
      </c>
      <c r="N381" s="18" t="s">
        <v>1112</v>
      </c>
      <c r="O381" s="18" t="s">
        <v>1113</v>
      </c>
      <c r="P381" s="18" t="s">
        <v>1114</v>
      </c>
      <c r="Q381" s="18" t="s">
        <v>1115</v>
      </c>
      <c r="R381" s="18" t="s">
        <v>5736</v>
      </c>
      <c r="S381" s="18">
        <v>509.6</v>
      </c>
      <c r="T381" s="18">
        <v>82804.899999999994</v>
      </c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</row>
    <row r="382" spans="6:39" x14ac:dyDescent="0.35">
      <c r="F382" s="18" t="s">
        <v>1109</v>
      </c>
      <c r="G382" s="19">
        <v>46215</v>
      </c>
      <c r="H382" s="18" t="s">
        <v>814</v>
      </c>
      <c r="I382" s="18" t="s">
        <v>1150</v>
      </c>
      <c r="J382" s="18" t="s">
        <v>5312</v>
      </c>
      <c r="K382" s="18" t="s">
        <v>3850</v>
      </c>
      <c r="L382" s="18" t="s">
        <v>5312</v>
      </c>
      <c r="M382" s="19">
        <v>46215</v>
      </c>
      <c r="N382" s="18" t="s">
        <v>1133</v>
      </c>
      <c r="O382" s="18" t="s">
        <v>1134</v>
      </c>
      <c r="P382" s="18" t="s">
        <v>1141</v>
      </c>
      <c r="Q382" s="18" t="s">
        <v>1142</v>
      </c>
      <c r="R382" s="18" t="s">
        <v>5695</v>
      </c>
      <c r="S382" s="18">
        <v>4000</v>
      </c>
      <c r="T382" s="18">
        <v>545324</v>
      </c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</row>
    <row r="383" spans="6:39" x14ac:dyDescent="0.35">
      <c r="F383" s="18" t="s">
        <v>1109</v>
      </c>
      <c r="G383" s="19">
        <v>46215</v>
      </c>
      <c r="H383" s="18" t="s">
        <v>814</v>
      </c>
      <c r="I383" s="18" t="s">
        <v>1150</v>
      </c>
      <c r="J383" s="18" t="s">
        <v>5312</v>
      </c>
      <c r="K383" s="18" t="s">
        <v>3850</v>
      </c>
      <c r="L383" s="18" t="s">
        <v>5312</v>
      </c>
      <c r="M383" s="19">
        <v>46215</v>
      </c>
      <c r="N383" s="18" t="s">
        <v>1133</v>
      </c>
      <c r="O383" s="18" t="s">
        <v>1134</v>
      </c>
      <c r="P383" s="18" t="s">
        <v>1164</v>
      </c>
      <c r="Q383" s="18" t="s">
        <v>1157</v>
      </c>
      <c r="R383" s="18" t="s">
        <v>5007</v>
      </c>
      <c r="S383" s="18">
        <v>250</v>
      </c>
      <c r="T383" s="18">
        <v>39750</v>
      </c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</row>
    <row r="384" spans="6:39" x14ac:dyDescent="0.35">
      <c r="F384" s="18" t="s">
        <v>1109</v>
      </c>
      <c r="G384" s="19">
        <v>46215</v>
      </c>
      <c r="H384" s="18" t="s">
        <v>814</v>
      </c>
      <c r="I384" s="18" t="s">
        <v>1150</v>
      </c>
      <c r="J384" s="18" t="s">
        <v>5312</v>
      </c>
      <c r="K384" s="18" t="s">
        <v>3850</v>
      </c>
      <c r="L384" s="18" t="s">
        <v>5312</v>
      </c>
      <c r="M384" s="19">
        <v>46215</v>
      </c>
      <c r="N384" s="18" t="s">
        <v>1133</v>
      </c>
      <c r="O384" s="18" t="s">
        <v>1134</v>
      </c>
      <c r="P384" s="18" t="s">
        <v>1164</v>
      </c>
      <c r="Q384" s="18" t="s">
        <v>1157</v>
      </c>
      <c r="R384" s="18" t="s">
        <v>5003</v>
      </c>
      <c r="S384" s="18">
        <v>50</v>
      </c>
      <c r="T384" s="18">
        <v>10800</v>
      </c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</row>
    <row r="385" spans="6:39" x14ac:dyDescent="0.35">
      <c r="F385" s="18" t="s">
        <v>1109</v>
      </c>
      <c r="G385" s="19">
        <v>46215</v>
      </c>
      <c r="H385" s="18" t="s">
        <v>814</v>
      </c>
      <c r="I385" s="18" t="s">
        <v>1150</v>
      </c>
      <c r="J385" s="18" t="s">
        <v>5312</v>
      </c>
      <c r="K385" s="18" t="s">
        <v>3850</v>
      </c>
      <c r="L385" s="18" t="s">
        <v>5312</v>
      </c>
      <c r="M385" s="19">
        <v>46215</v>
      </c>
      <c r="N385" s="18" t="s">
        <v>1133</v>
      </c>
      <c r="O385" s="18" t="s">
        <v>1134</v>
      </c>
      <c r="P385" s="18" t="s">
        <v>1164</v>
      </c>
      <c r="Q385" s="18" t="s">
        <v>1157</v>
      </c>
      <c r="R385" s="18" t="s">
        <v>5737</v>
      </c>
      <c r="S385" s="18">
        <v>50</v>
      </c>
      <c r="T385" s="18">
        <v>11800</v>
      </c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</row>
    <row r="386" spans="6:39" x14ac:dyDescent="0.35">
      <c r="F386" s="18" t="s">
        <v>1109</v>
      </c>
      <c r="G386" s="19">
        <v>46215</v>
      </c>
      <c r="H386" s="18" t="s">
        <v>814</v>
      </c>
      <c r="I386" s="18" t="s">
        <v>1150</v>
      </c>
      <c r="J386" s="18" t="s">
        <v>5312</v>
      </c>
      <c r="K386" s="18" t="s">
        <v>3850</v>
      </c>
      <c r="L386" s="18" t="s">
        <v>5312</v>
      </c>
      <c r="M386" s="19">
        <v>46215</v>
      </c>
      <c r="N386" s="18" t="s">
        <v>1133</v>
      </c>
      <c r="O386" s="18" t="s">
        <v>1134</v>
      </c>
      <c r="P386" s="18" t="s">
        <v>1164</v>
      </c>
      <c r="Q386" s="18" t="s">
        <v>1157</v>
      </c>
      <c r="R386" s="18" t="s">
        <v>5004</v>
      </c>
      <c r="S386" s="18">
        <v>200</v>
      </c>
      <c r="T386" s="18">
        <v>52800</v>
      </c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</row>
    <row r="387" spans="6:39" x14ac:dyDescent="0.35">
      <c r="F387" s="18" t="s">
        <v>1109</v>
      </c>
      <c r="G387" s="19">
        <v>46215</v>
      </c>
      <c r="H387" s="18" t="s">
        <v>125</v>
      </c>
      <c r="I387" s="18" t="s">
        <v>1110</v>
      </c>
      <c r="J387" s="18">
        <v>1022</v>
      </c>
      <c r="K387" s="18" t="s">
        <v>1111</v>
      </c>
      <c r="L387" s="18" t="s">
        <v>5494</v>
      </c>
      <c r="M387" s="19">
        <v>46215</v>
      </c>
      <c r="N387" s="18" t="s">
        <v>1112</v>
      </c>
      <c r="O387" s="18" t="s">
        <v>1117</v>
      </c>
      <c r="P387" s="18" t="s">
        <v>1118</v>
      </c>
      <c r="Q387" s="18" t="s">
        <v>1119</v>
      </c>
      <c r="R387" s="18" t="s">
        <v>1120</v>
      </c>
      <c r="S387" s="18">
        <v>712</v>
      </c>
      <c r="T387" s="18">
        <v>102876.88</v>
      </c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</row>
    <row r="388" spans="6:39" x14ac:dyDescent="0.35">
      <c r="F388" s="18" t="s">
        <v>1109</v>
      </c>
      <c r="G388" s="19">
        <v>46215</v>
      </c>
      <c r="H388" s="18" t="s">
        <v>125</v>
      </c>
      <c r="I388" s="18" t="s">
        <v>1110</v>
      </c>
      <c r="J388" s="18">
        <v>1025</v>
      </c>
      <c r="K388" s="18" t="s">
        <v>1111</v>
      </c>
      <c r="L388" s="18" t="s">
        <v>5495</v>
      </c>
      <c r="M388" s="19">
        <v>46215</v>
      </c>
      <c r="N388" s="18" t="s">
        <v>1112</v>
      </c>
      <c r="O388" s="18" t="s">
        <v>1151</v>
      </c>
      <c r="P388" s="18" t="s">
        <v>1151</v>
      </c>
      <c r="Q388" s="18" t="s">
        <v>1152</v>
      </c>
      <c r="R388" s="18" t="s">
        <v>1151</v>
      </c>
      <c r="S388" s="18">
        <v>2000</v>
      </c>
      <c r="T388" s="18">
        <v>210000</v>
      </c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</row>
    <row r="389" spans="6:39" x14ac:dyDescent="0.35">
      <c r="F389" s="18" t="s">
        <v>1109</v>
      </c>
      <c r="G389" s="19">
        <v>46215</v>
      </c>
      <c r="H389" s="18" t="s">
        <v>125</v>
      </c>
      <c r="I389" s="18" t="s">
        <v>1110</v>
      </c>
      <c r="J389" s="18">
        <v>1026</v>
      </c>
      <c r="K389" s="18" t="s">
        <v>1121</v>
      </c>
      <c r="L389" s="18" t="s">
        <v>5496</v>
      </c>
      <c r="M389" s="19">
        <v>46215</v>
      </c>
      <c r="N389" s="18" t="s">
        <v>1122</v>
      </c>
      <c r="O389" s="18" t="s">
        <v>1123</v>
      </c>
      <c r="P389" s="18" t="s">
        <v>1124</v>
      </c>
      <c r="Q389" s="18" t="s">
        <v>1125</v>
      </c>
      <c r="R389" s="18" t="s">
        <v>1126</v>
      </c>
      <c r="S389" s="18">
        <v>94</v>
      </c>
      <c r="T389" s="18">
        <v>4512</v>
      </c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</row>
    <row r="390" spans="6:39" x14ac:dyDescent="0.35">
      <c r="F390" s="18" t="s">
        <v>1109</v>
      </c>
      <c r="G390" s="19">
        <v>46215</v>
      </c>
      <c r="H390" s="18" t="s">
        <v>125</v>
      </c>
      <c r="I390" s="18" t="s">
        <v>1110</v>
      </c>
      <c r="J390" s="18">
        <v>1027</v>
      </c>
      <c r="K390" s="18" t="s">
        <v>1111</v>
      </c>
      <c r="L390" s="18" t="s">
        <v>5497</v>
      </c>
      <c r="M390" s="19">
        <v>46215</v>
      </c>
      <c r="N390" s="18" t="s">
        <v>1112</v>
      </c>
      <c r="O390" s="18" t="s">
        <v>1117</v>
      </c>
      <c r="P390" s="18" t="s">
        <v>1118</v>
      </c>
      <c r="Q390" s="18" t="s">
        <v>1119</v>
      </c>
      <c r="R390" s="18" t="s">
        <v>1120</v>
      </c>
      <c r="S390" s="18">
        <v>662</v>
      </c>
      <c r="T390" s="18">
        <v>100948.38</v>
      </c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</row>
    <row r="391" spans="6:39" x14ac:dyDescent="0.35">
      <c r="F391" s="18" t="s">
        <v>1109</v>
      </c>
      <c r="G391" s="19">
        <v>46215</v>
      </c>
      <c r="H391" s="18" t="s">
        <v>125</v>
      </c>
      <c r="I391" s="18" t="s">
        <v>1110</v>
      </c>
      <c r="J391" s="18">
        <v>1027</v>
      </c>
      <c r="K391" s="18" t="s">
        <v>1111</v>
      </c>
      <c r="L391" s="18" t="s">
        <v>5497</v>
      </c>
      <c r="M391" s="19">
        <v>46215</v>
      </c>
      <c r="N391" s="18" t="s">
        <v>1112</v>
      </c>
      <c r="O391" s="18" t="s">
        <v>1117</v>
      </c>
      <c r="P391" s="18" t="s">
        <v>1118</v>
      </c>
      <c r="Q391" s="18" t="s">
        <v>1119</v>
      </c>
      <c r="R391" s="18" t="s">
        <v>1120</v>
      </c>
      <c r="S391" s="18">
        <v>339</v>
      </c>
      <c r="T391" s="18">
        <v>48982.11</v>
      </c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</row>
    <row r="392" spans="6:39" x14ac:dyDescent="0.35">
      <c r="F392" s="18" t="s">
        <v>1109</v>
      </c>
      <c r="G392" s="19">
        <v>46215</v>
      </c>
      <c r="H392" s="18" t="s">
        <v>125</v>
      </c>
      <c r="I392" s="18" t="s">
        <v>1110</v>
      </c>
      <c r="J392" s="18">
        <v>1027</v>
      </c>
      <c r="K392" s="18" t="s">
        <v>1111</v>
      </c>
      <c r="L392" s="18" t="s">
        <v>5497</v>
      </c>
      <c r="M392" s="19">
        <v>46215</v>
      </c>
      <c r="N392" s="18" t="s">
        <v>1112</v>
      </c>
      <c r="O392" s="18" t="s">
        <v>1131</v>
      </c>
      <c r="P392" s="18" t="s">
        <v>1132</v>
      </c>
      <c r="Q392" s="18" t="s">
        <v>1132</v>
      </c>
      <c r="R392" s="18" t="s">
        <v>1131</v>
      </c>
      <c r="S392" s="18">
        <v>139.6</v>
      </c>
      <c r="T392" s="18">
        <v>20868.8</v>
      </c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</row>
    <row r="393" spans="6:39" x14ac:dyDescent="0.35">
      <c r="F393" s="18" t="s">
        <v>1109</v>
      </c>
      <c r="G393" s="19">
        <v>46215</v>
      </c>
      <c r="H393" s="18" t="s">
        <v>125</v>
      </c>
      <c r="I393" s="18" t="s">
        <v>1110</v>
      </c>
      <c r="J393" s="18">
        <v>1027</v>
      </c>
      <c r="K393" s="18" t="s">
        <v>1111</v>
      </c>
      <c r="L393" s="18" t="s">
        <v>5497</v>
      </c>
      <c r="M393" s="19">
        <v>46215</v>
      </c>
      <c r="N393" s="18" t="s">
        <v>1112</v>
      </c>
      <c r="O393" s="18" t="s">
        <v>1131</v>
      </c>
      <c r="P393" s="18" t="s">
        <v>1132</v>
      </c>
      <c r="Q393" s="18" t="s">
        <v>1132</v>
      </c>
      <c r="R393" s="18" t="s">
        <v>1131</v>
      </c>
      <c r="S393" s="18">
        <v>103.2</v>
      </c>
      <c r="T393" s="18">
        <v>15117.77</v>
      </c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</row>
    <row r="394" spans="6:39" x14ac:dyDescent="0.35">
      <c r="F394" s="18" t="s">
        <v>1109</v>
      </c>
      <c r="G394" s="19">
        <v>46215</v>
      </c>
      <c r="H394" s="18" t="s">
        <v>125</v>
      </c>
      <c r="I394" s="18" t="s">
        <v>1110</v>
      </c>
      <c r="J394" s="18">
        <v>1027</v>
      </c>
      <c r="K394" s="18" t="s">
        <v>1111</v>
      </c>
      <c r="L394" s="18" t="s">
        <v>5497</v>
      </c>
      <c r="M394" s="19">
        <v>46215</v>
      </c>
      <c r="N394" s="18" t="s">
        <v>1112</v>
      </c>
      <c r="O394" s="18" t="s">
        <v>1117</v>
      </c>
      <c r="P394" s="18" t="s">
        <v>1138</v>
      </c>
      <c r="Q394" s="18" t="s">
        <v>1139</v>
      </c>
      <c r="R394" s="18" t="s">
        <v>1140</v>
      </c>
      <c r="S394" s="18">
        <v>2426</v>
      </c>
      <c r="T394" s="18">
        <v>374792.74</v>
      </c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</row>
    <row r="395" spans="6:39" x14ac:dyDescent="0.35">
      <c r="F395" s="18" t="s">
        <v>1109</v>
      </c>
      <c r="G395" s="19">
        <v>46216</v>
      </c>
      <c r="H395" s="18" t="s">
        <v>3790</v>
      </c>
      <c r="I395" s="18" t="s">
        <v>1110</v>
      </c>
      <c r="J395" s="18">
        <v>1031</v>
      </c>
      <c r="K395" s="18" t="s">
        <v>1111</v>
      </c>
      <c r="L395" s="18" t="s">
        <v>5738</v>
      </c>
      <c r="M395" s="19">
        <v>46216</v>
      </c>
      <c r="N395" s="18" t="s">
        <v>1112</v>
      </c>
      <c r="O395" s="18" t="s">
        <v>1117</v>
      </c>
      <c r="P395" s="18" t="s">
        <v>1118</v>
      </c>
      <c r="Q395" s="18" t="s">
        <v>1119</v>
      </c>
      <c r="R395" s="18" t="s">
        <v>1120</v>
      </c>
      <c r="S395" s="18">
        <v>2404</v>
      </c>
      <c r="T395" s="18">
        <v>352161.96</v>
      </c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</row>
    <row r="396" spans="6:39" x14ac:dyDescent="0.35">
      <c r="F396" s="18" t="s">
        <v>1109</v>
      </c>
      <c r="G396" s="19">
        <v>46216</v>
      </c>
      <c r="H396" s="18" t="s">
        <v>3790</v>
      </c>
      <c r="I396" s="18" t="s">
        <v>1110</v>
      </c>
      <c r="J396" s="18">
        <v>1031</v>
      </c>
      <c r="K396" s="18" t="s">
        <v>1111</v>
      </c>
      <c r="L396" s="18" t="s">
        <v>5738</v>
      </c>
      <c r="M396" s="19">
        <v>46216</v>
      </c>
      <c r="N396" s="18" t="s">
        <v>1112</v>
      </c>
      <c r="O396" s="18" t="s">
        <v>1117</v>
      </c>
      <c r="P396" s="18" t="s">
        <v>1118</v>
      </c>
      <c r="Q396" s="18" t="s">
        <v>1119</v>
      </c>
      <c r="R396" s="18" t="s">
        <v>1120</v>
      </c>
      <c r="S396" s="18">
        <v>242</v>
      </c>
      <c r="T396" s="18">
        <v>35692.58</v>
      </c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</row>
    <row r="397" spans="6:39" x14ac:dyDescent="0.35">
      <c r="F397" s="18" t="s">
        <v>1109</v>
      </c>
      <c r="G397" s="19">
        <v>46216</v>
      </c>
      <c r="H397" s="18" t="s">
        <v>3790</v>
      </c>
      <c r="I397" s="18" t="s">
        <v>1110</v>
      </c>
      <c r="J397" s="18">
        <v>1031</v>
      </c>
      <c r="K397" s="18" t="s">
        <v>1111</v>
      </c>
      <c r="L397" s="18" t="s">
        <v>5738</v>
      </c>
      <c r="M397" s="19">
        <v>46216</v>
      </c>
      <c r="N397" s="18" t="s">
        <v>1112</v>
      </c>
      <c r="O397" s="18" t="s">
        <v>1117</v>
      </c>
      <c r="P397" s="18" t="s">
        <v>1118</v>
      </c>
      <c r="Q397" s="18" t="s">
        <v>1119</v>
      </c>
      <c r="R397" s="18" t="s">
        <v>1120</v>
      </c>
      <c r="S397" s="18">
        <v>5911</v>
      </c>
      <c r="T397" s="18">
        <v>854080.39</v>
      </c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</row>
    <row r="398" spans="6:39" x14ac:dyDescent="0.35">
      <c r="F398" s="18" t="s">
        <v>1109</v>
      </c>
      <c r="G398" s="19">
        <v>46216</v>
      </c>
      <c r="H398" s="18" t="s">
        <v>3790</v>
      </c>
      <c r="I398" s="18" t="s">
        <v>1110</v>
      </c>
      <c r="J398" s="18">
        <v>1031</v>
      </c>
      <c r="K398" s="18" t="s">
        <v>1111</v>
      </c>
      <c r="L398" s="18" t="s">
        <v>5738</v>
      </c>
      <c r="M398" s="19">
        <v>46216</v>
      </c>
      <c r="N398" s="18" t="s">
        <v>1112</v>
      </c>
      <c r="O398" s="18" t="s">
        <v>1117</v>
      </c>
      <c r="P398" s="18" t="s">
        <v>1138</v>
      </c>
      <c r="Q398" s="18" t="s">
        <v>1139</v>
      </c>
      <c r="R398" s="18" t="s">
        <v>1140</v>
      </c>
      <c r="S398" s="18">
        <v>775</v>
      </c>
      <c r="T398" s="18">
        <v>117404.75</v>
      </c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</row>
    <row r="399" spans="6:39" x14ac:dyDescent="0.35">
      <c r="F399" s="18" t="s">
        <v>1109</v>
      </c>
      <c r="G399" s="19">
        <v>46216</v>
      </c>
      <c r="H399" s="18" t="s">
        <v>3790</v>
      </c>
      <c r="I399" s="18" t="s">
        <v>1110</v>
      </c>
      <c r="J399" s="18">
        <v>1031</v>
      </c>
      <c r="K399" s="18" t="s">
        <v>1111</v>
      </c>
      <c r="L399" s="18" t="s">
        <v>5738</v>
      </c>
      <c r="M399" s="19">
        <v>46216</v>
      </c>
      <c r="N399" s="18" t="s">
        <v>1112</v>
      </c>
      <c r="O399" s="18" t="s">
        <v>1117</v>
      </c>
      <c r="P399" s="18" t="s">
        <v>1138</v>
      </c>
      <c r="Q399" s="18" t="s">
        <v>1139</v>
      </c>
      <c r="R399" s="18" t="s">
        <v>1140</v>
      </c>
      <c r="S399" s="18">
        <v>246</v>
      </c>
      <c r="T399" s="18">
        <v>36528.54</v>
      </c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</row>
    <row r="400" spans="6:39" x14ac:dyDescent="0.35">
      <c r="F400" s="18" t="s">
        <v>1109</v>
      </c>
      <c r="G400" s="19">
        <v>46216</v>
      </c>
      <c r="H400" s="18" t="s">
        <v>3790</v>
      </c>
      <c r="I400" s="18" t="s">
        <v>1110</v>
      </c>
      <c r="J400" s="18">
        <v>1031</v>
      </c>
      <c r="K400" s="18" t="s">
        <v>1111</v>
      </c>
      <c r="L400" s="18" t="s">
        <v>5738</v>
      </c>
      <c r="M400" s="19">
        <v>46216</v>
      </c>
      <c r="N400" s="18" t="s">
        <v>1112</v>
      </c>
      <c r="O400" s="18" t="s">
        <v>1131</v>
      </c>
      <c r="P400" s="18" t="s">
        <v>1132</v>
      </c>
      <c r="Q400" s="18" t="s">
        <v>1132</v>
      </c>
      <c r="R400" s="18" t="s">
        <v>1131</v>
      </c>
      <c r="S400" s="18">
        <v>1501.8</v>
      </c>
      <c r="T400" s="18">
        <v>224504.08</v>
      </c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</row>
    <row r="401" spans="6:39" x14ac:dyDescent="0.35">
      <c r="F401" s="18" t="s">
        <v>1109</v>
      </c>
      <c r="G401" s="19">
        <v>46216</v>
      </c>
      <c r="H401" s="18" t="s">
        <v>3790</v>
      </c>
      <c r="I401" s="18" t="s">
        <v>1110</v>
      </c>
      <c r="J401" s="18">
        <v>1031</v>
      </c>
      <c r="K401" s="18" t="s">
        <v>1111</v>
      </c>
      <c r="L401" s="18" t="s">
        <v>5738</v>
      </c>
      <c r="M401" s="19">
        <v>46216</v>
      </c>
      <c r="N401" s="18" t="s">
        <v>1112</v>
      </c>
      <c r="O401" s="18" t="s">
        <v>1131</v>
      </c>
      <c r="P401" s="18" t="s">
        <v>1132</v>
      </c>
      <c r="Q401" s="18" t="s">
        <v>1132</v>
      </c>
      <c r="R401" s="18" t="s">
        <v>1131</v>
      </c>
      <c r="S401" s="18">
        <v>806.8</v>
      </c>
      <c r="T401" s="18">
        <v>118188.13</v>
      </c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</row>
    <row r="402" spans="6:39" x14ac:dyDescent="0.35">
      <c r="F402" s="18" t="s">
        <v>1109</v>
      </c>
      <c r="G402" s="19">
        <v>46216</v>
      </c>
      <c r="H402" s="18" t="s">
        <v>3790</v>
      </c>
      <c r="I402" s="18" t="s">
        <v>1110</v>
      </c>
      <c r="J402" s="18">
        <v>1032</v>
      </c>
      <c r="K402" s="18" t="s">
        <v>1121</v>
      </c>
      <c r="L402" s="18" t="s">
        <v>5739</v>
      </c>
      <c r="M402" s="19">
        <v>46216</v>
      </c>
      <c r="N402" s="18" t="s">
        <v>1122</v>
      </c>
      <c r="O402" s="18" t="s">
        <v>1123</v>
      </c>
      <c r="P402" s="18" t="s">
        <v>1124</v>
      </c>
      <c r="Q402" s="18" t="s">
        <v>1125</v>
      </c>
      <c r="R402" s="18" t="s">
        <v>1126</v>
      </c>
      <c r="S402" s="18">
        <v>284</v>
      </c>
      <c r="T402" s="18">
        <v>13632</v>
      </c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</row>
    <row r="403" spans="6:39" x14ac:dyDescent="0.35">
      <c r="F403" s="18" t="s">
        <v>1109</v>
      </c>
      <c r="G403" s="19">
        <v>46216</v>
      </c>
      <c r="H403" s="18" t="s">
        <v>3790</v>
      </c>
      <c r="I403" s="18" t="s">
        <v>1110</v>
      </c>
      <c r="J403" s="18">
        <v>1033</v>
      </c>
      <c r="K403" s="18" t="s">
        <v>1111</v>
      </c>
      <c r="L403" s="18" t="s">
        <v>5740</v>
      </c>
      <c r="M403" s="19">
        <v>46216</v>
      </c>
      <c r="N403" s="18" t="s">
        <v>1112</v>
      </c>
      <c r="O403" s="18" t="s">
        <v>1127</v>
      </c>
      <c r="P403" s="18" t="s">
        <v>1128</v>
      </c>
      <c r="Q403" s="18" t="s">
        <v>1129</v>
      </c>
      <c r="R403" s="18" t="s">
        <v>1130</v>
      </c>
      <c r="S403" s="18">
        <v>4475</v>
      </c>
      <c r="T403" s="18">
        <v>817940.5</v>
      </c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</row>
    <row r="404" spans="6:39" x14ac:dyDescent="0.35">
      <c r="F404" s="18" t="s">
        <v>1109</v>
      </c>
      <c r="G404" s="19">
        <v>46216</v>
      </c>
      <c r="H404" s="18" t="s">
        <v>1135</v>
      </c>
      <c r="I404" s="18" t="s">
        <v>1136</v>
      </c>
      <c r="J404" s="18" t="s">
        <v>5741</v>
      </c>
      <c r="K404" s="18" t="s">
        <v>1137</v>
      </c>
      <c r="L404" s="18" t="s">
        <v>5741</v>
      </c>
      <c r="M404" s="19">
        <v>46216</v>
      </c>
      <c r="N404" s="18" t="s">
        <v>1146</v>
      </c>
      <c r="O404" s="18" t="s">
        <v>1147</v>
      </c>
      <c r="P404" s="18" t="s">
        <v>1147</v>
      </c>
      <c r="Q404" s="18" t="s">
        <v>1148</v>
      </c>
      <c r="R404" s="18" t="s">
        <v>1169</v>
      </c>
      <c r="S404" s="18">
        <v>3245</v>
      </c>
      <c r="T404" s="18">
        <v>811250.88</v>
      </c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</row>
    <row r="405" spans="6:39" x14ac:dyDescent="0.35">
      <c r="F405" s="18" t="s">
        <v>1109</v>
      </c>
      <c r="G405" s="19">
        <v>46216</v>
      </c>
      <c r="H405" s="18" t="s">
        <v>1135</v>
      </c>
      <c r="I405" s="18" t="s">
        <v>1136</v>
      </c>
      <c r="J405" s="18" t="s">
        <v>5741</v>
      </c>
      <c r="K405" s="18" t="s">
        <v>1137</v>
      </c>
      <c r="L405" s="18" t="s">
        <v>5741</v>
      </c>
      <c r="M405" s="19">
        <v>46216</v>
      </c>
      <c r="N405" s="18" t="s">
        <v>1146</v>
      </c>
      <c r="O405" s="18" t="s">
        <v>1147</v>
      </c>
      <c r="P405" s="18" t="s">
        <v>1147</v>
      </c>
      <c r="Q405" s="18" t="s">
        <v>1148</v>
      </c>
      <c r="R405" s="18" t="s">
        <v>1149</v>
      </c>
      <c r="S405" s="18">
        <v>1829.3</v>
      </c>
      <c r="T405" s="18">
        <v>457325.33</v>
      </c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</row>
    <row r="406" spans="6:39" x14ac:dyDescent="0.35">
      <c r="F406" s="18" t="s">
        <v>1109</v>
      </c>
      <c r="G406" s="19">
        <v>46216</v>
      </c>
      <c r="H406" s="18" t="s">
        <v>485</v>
      </c>
      <c r="I406" s="18" t="s">
        <v>1110</v>
      </c>
      <c r="J406" s="18">
        <v>1039</v>
      </c>
      <c r="K406" s="18" t="s">
        <v>1121</v>
      </c>
      <c r="L406" s="18" t="s">
        <v>5742</v>
      </c>
      <c r="M406" s="19">
        <v>46216</v>
      </c>
      <c r="N406" s="18" t="s">
        <v>1133</v>
      </c>
      <c r="O406" s="18" t="s">
        <v>1134</v>
      </c>
      <c r="P406" s="18" t="s">
        <v>1141</v>
      </c>
      <c r="Q406" s="18" t="s">
        <v>1142</v>
      </c>
      <c r="R406" s="18" t="s">
        <v>5695</v>
      </c>
      <c r="S406" s="18">
        <v>2000</v>
      </c>
      <c r="T406" s="18">
        <v>273262</v>
      </c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</row>
    <row r="407" spans="6:39" x14ac:dyDescent="0.35">
      <c r="F407" s="18" t="s">
        <v>1109</v>
      </c>
      <c r="G407" s="19">
        <v>46216</v>
      </c>
      <c r="H407" s="18" t="s">
        <v>485</v>
      </c>
      <c r="I407" s="18" t="s">
        <v>1110</v>
      </c>
      <c r="J407" s="18">
        <v>1040</v>
      </c>
      <c r="K407" s="18" t="s">
        <v>1111</v>
      </c>
      <c r="L407" s="18" t="s">
        <v>5743</v>
      </c>
      <c r="M407" s="19">
        <v>46216</v>
      </c>
      <c r="N407" s="18" t="s">
        <v>1112</v>
      </c>
      <c r="O407" s="18" t="s">
        <v>1113</v>
      </c>
      <c r="P407" s="18" t="s">
        <v>1114</v>
      </c>
      <c r="Q407" s="18" t="s">
        <v>1115</v>
      </c>
      <c r="R407" s="18" t="s">
        <v>1116</v>
      </c>
      <c r="S407" s="18">
        <v>1475.5</v>
      </c>
      <c r="T407" s="18">
        <v>230901</v>
      </c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</row>
    <row r="408" spans="6:39" x14ac:dyDescent="0.35">
      <c r="F408" s="18" t="s">
        <v>1109</v>
      </c>
      <c r="G408" s="19">
        <v>46216</v>
      </c>
      <c r="H408" s="18" t="s">
        <v>485</v>
      </c>
      <c r="I408" s="18" t="s">
        <v>1110</v>
      </c>
      <c r="J408" s="18">
        <v>1040</v>
      </c>
      <c r="K408" s="18" t="s">
        <v>1111</v>
      </c>
      <c r="L408" s="18" t="s">
        <v>5743</v>
      </c>
      <c r="M408" s="19">
        <v>46216</v>
      </c>
      <c r="N408" s="18" t="s">
        <v>1112</v>
      </c>
      <c r="O408" s="18" t="s">
        <v>1113</v>
      </c>
      <c r="P408" s="18" t="s">
        <v>1114</v>
      </c>
      <c r="Q408" s="18" t="s">
        <v>1115</v>
      </c>
      <c r="R408" s="18" t="s">
        <v>1160</v>
      </c>
      <c r="S408" s="18">
        <v>415.1</v>
      </c>
      <c r="T408" s="18">
        <v>66204.3</v>
      </c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</row>
    <row r="409" spans="6:39" x14ac:dyDescent="0.35">
      <c r="F409" s="18" t="s">
        <v>1109</v>
      </c>
      <c r="G409" s="19">
        <v>46216</v>
      </c>
      <c r="H409" s="18" t="s">
        <v>485</v>
      </c>
      <c r="I409" s="18" t="s">
        <v>1110</v>
      </c>
      <c r="J409" s="18">
        <v>1041</v>
      </c>
      <c r="K409" s="18" t="s">
        <v>1121</v>
      </c>
      <c r="L409" s="18" t="s">
        <v>5744</v>
      </c>
      <c r="M409" s="19">
        <v>46216</v>
      </c>
      <c r="N409" s="18" t="s">
        <v>1122</v>
      </c>
      <c r="O409" s="18" t="s">
        <v>1123</v>
      </c>
      <c r="P409" s="18" t="s">
        <v>1124</v>
      </c>
      <c r="Q409" s="18" t="s">
        <v>1125</v>
      </c>
      <c r="R409" s="18" t="s">
        <v>1126</v>
      </c>
      <c r="S409" s="18">
        <v>130</v>
      </c>
      <c r="T409" s="18">
        <v>6240</v>
      </c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</row>
    <row r="410" spans="6:39" x14ac:dyDescent="0.35">
      <c r="F410" s="18" t="s">
        <v>1109</v>
      </c>
      <c r="G410" s="19">
        <v>46216</v>
      </c>
      <c r="H410" s="18" t="s">
        <v>485</v>
      </c>
      <c r="I410" s="18" t="s">
        <v>1110</v>
      </c>
      <c r="J410" s="18">
        <v>1042</v>
      </c>
      <c r="K410" s="18" t="s">
        <v>1111</v>
      </c>
      <c r="L410" s="18" t="s">
        <v>5745</v>
      </c>
      <c r="M410" s="19">
        <v>46216</v>
      </c>
      <c r="N410" s="18" t="s">
        <v>1112</v>
      </c>
      <c r="O410" s="18" t="s">
        <v>1117</v>
      </c>
      <c r="P410" s="18" t="s">
        <v>1138</v>
      </c>
      <c r="Q410" s="18" t="s">
        <v>1139</v>
      </c>
      <c r="R410" s="18" t="s">
        <v>1140</v>
      </c>
      <c r="S410" s="18">
        <v>163</v>
      </c>
      <c r="T410" s="18">
        <v>24692.87</v>
      </c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</row>
    <row r="411" spans="6:39" x14ac:dyDescent="0.35">
      <c r="F411" s="18" t="s">
        <v>1109</v>
      </c>
      <c r="G411" s="19">
        <v>46216</v>
      </c>
      <c r="H411" s="18" t="s">
        <v>485</v>
      </c>
      <c r="I411" s="18" t="s">
        <v>1110</v>
      </c>
      <c r="J411" s="18">
        <v>1042</v>
      </c>
      <c r="K411" s="18" t="s">
        <v>1111</v>
      </c>
      <c r="L411" s="18" t="s">
        <v>5745</v>
      </c>
      <c r="M411" s="19">
        <v>46216</v>
      </c>
      <c r="N411" s="18" t="s">
        <v>1112</v>
      </c>
      <c r="O411" s="18" t="s">
        <v>1117</v>
      </c>
      <c r="P411" s="18" t="s">
        <v>1118</v>
      </c>
      <c r="Q411" s="18" t="s">
        <v>1119</v>
      </c>
      <c r="R411" s="18" t="s">
        <v>1120</v>
      </c>
      <c r="S411" s="18">
        <v>1100</v>
      </c>
      <c r="T411" s="18">
        <v>158939</v>
      </c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</row>
    <row r="412" spans="6:39" x14ac:dyDescent="0.35">
      <c r="F412" s="18" t="s">
        <v>1109</v>
      </c>
      <c r="G412" s="19">
        <v>46216</v>
      </c>
      <c r="H412" s="18" t="s">
        <v>485</v>
      </c>
      <c r="I412" s="18" t="s">
        <v>1110</v>
      </c>
      <c r="J412" s="18">
        <v>1042</v>
      </c>
      <c r="K412" s="18" t="s">
        <v>1111</v>
      </c>
      <c r="L412" s="18" t="s">
        <v>5745</v>
      </c>
      <c r="M412" s="19">
        <v>46216</v>
      </c>
      <c r="N412" s="18" t="s">
        <v>1112</v>
      </c>
      <c r="O412" s="18" t="s">
        <v>1117</v>
      </c>
      <c r="P412" s="18" t="s">
        <v>1118</v>
      </c>
      <c r="Q412" s="18" t="s">
        <v>1119</v>
      </c>
      <c r="R412" s="18" t="s">
        <v>1120</v>
      </c>
      <c r="S412" s="18">
        <v>390</v>
      </c>
      <c r="T412" s="18">
        <v>57521.1</v>
      </c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</row>
    <row r="413" spans="6:39" x14ac:dyDescent="0.35">
      <c r="F413" s="18" t="s">
        <v>1109</v>
      </c>
      <c r="G413" s="19">
        <v>46216</v>
      </c>
      <c r="H413" s="18" t="s">
        <v>485</v>
      </c>
      <c r="I413" s="18" t="s">
        <v>1110</v>
      </c>
      <c r="J413" s="18">
        <v>1042</v>
      </c>
      <c r="K413" s="18" t="s">
        <v>1111</v>
      </c>
      <c r="L413" s="18" t="s">
        <v>5745</v>
      </c>
      <c r="M413" s="19">
        <v>46216</v>
      </c>
      <c r="N413" s="18" t="s">
        <v>1112</v>
      </c>
      <c r="O413" s="18" t="s">
        <v>1117</v>
      </c>
      <c r="P413" s="18" t="s">
        <v>1118</v>
      </c>
      <c r="Q413" s="18" t="s">
        <v>1119</v>
      </c>
      <c r="R413" s="18" t="s">
        <v>1120</v>
      </c>
      <c r="S413" s="18">
        <v>1466</v>
      </c>
      <c r="T413" s="18">
        <v>219152.34</v>
      </c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</row>
    <row r="414" spans="6:39" x14ac:dyDescent="0.35">
      <c r="F414" s="18" t="s">
        <v>1109</v>
      </c>
      <c r="G414" s="19">
        <v>46216</v>
      </c>
      <c r="H414" s="18" t="s">
        <v>485</v>
      </c>
      <c r="I414" s="18" t="s">
        <v>1110</v>
      </c>
      <c r="J414" s="18">
        <v>1043</v>
      </c>
      <c r="K414" s="18" t="s">
        <v>1111</v>
      </c>
      <c r="L414" s="18" t="s">
        <v>5746</v>
      </c>
      <c r="M414" s="19">
        <v>46216</v>
      </c>
      <c r="N414" s="18" t="s">
        <v>1112</v>
      </c>
      <c r="O414" s="18" t="s">
        <v>1127</v>
      </c>
      <c r="P414" s="18" t="s">
        <v>1128</v>
      </c>
      <c r="Q414" s="18" t="s">
        <v>1129</v>
      </c>
      <c r="R414" s="18" t="s">
        <v>1130</v>
      </c>
      <c r="S414" s="18">
        <v>16.5</v>
      </c>
      <c r="T414" s="18">
        <v>3081.87</v>
      </c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</row>
    <row r="415" spans="6:39" x14ac:dyDescent="0.35">
      <c r="F415" s="18" t="s">
        <v>1109</v>
      </c>
      <c r="G415" s="19">
        <v>46216</v>
      </c>
      <c r="H415" s="18" t="s">
        <v>485</v>
      </c>
      <c r="I415" s="18" t="s">
        <v>1110</v>
      </c>
      <c r="J415" s="18">
        <v>1043</v>
      </c>
      <c r="K415" s="18" t="s">
        <v>1111</v>
      </c>
      <c r="L415" s="18" t="s">
        <v>5746</v>
      </c>
      <c r="M415" s="19">
        <v>46216</v>
      </c>
      <c r="N415" s="18" t="s">
        <v>1112</v>
      </c>
      <c r="O415" s="18" t="s">
        <v>1127</v>
      </c>
      <c r="P415" s="18" t="s">
        <v>1128</v>
      </c>
      <c r="Q415" s="18" t="s">
        <v>1129</v>
      </c>
      <c r="R415" s="18" t="s">
        <v>1130</v>
      </c>
      <c r="S415" s="18">
        <v>115</v>
      </c>
      <c r="T415" s="18">
        <v>24124.7</v>
      </c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</row>
    <row r="416" spans="6:39" x14ac:dyDescent="0.35">
      <c r="F416" s="18" t="s">
        <v>1109</v>
      </c>
      <c r="G416" s="19">
        <v>46216</v>
      </c>
      <c r="H416" s="18" t="s">
        <v>485</v>
      </c>
      <c r="I416" s="18" t="s">
        <v>1110</v>
      </c>
      <c r="J416" s="18">
        <v>1043</v>
      </c>
      <c r="K416" s="18" t="s">
        <v>1111</v>
      </c>
      <c r="L416" s="18" t="s">
        <v>5746</v>
      </c>
      <c r="M416" s="19">
        <v>46216</v>
      </c>
      <c r="N416" s="18" t="s">
        <v>1112</v>
      </c>
      <c r="O416" s="18" t="s">
        <v>1127</v>
      </c>
      <c r="P416" s="18" t="s">
        <v>1128</v>
      </c>
      <c r="Q416" s="18" t="s">
        <v>1129</v>
      </c>
      <c r="R416" s="18" t="s">
        <v>1130</v>
      </c>
      <c r="S416" s="18">
        <v>100</v>
      </c>
      <c r="T416" s="18">
        <v>24669</v>
      </c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</row>
    <row r="417" spans="6:39" x14ac:dyDescent="0.35">
      <c r="F417" s="18" t="s">
        <v>1109</v>
      </c>
      <c r="G417" s="19">
        <v>46216</v>
      </c>
      <c r="H417" s="18" t="s">
        <v>485</v>
      </c>
      <c r="I417" s="18" t="s">
        <v>1110</v>
      </c>
      <c r="J417" s="18">
        <v>1043</v>
      </c>
      <c r="K417" s="18" t="s">
        <v>1111</v>
      </c>
      <c r="L417" s="18" t="s">
        <v>5746</v>
      </c>
      <c r="M417" s="19">
        <v>46216</v>
      </c>
      <c r="N417" s="18" t="s">
        <v>1112</v>
      </c>
      <c r="O417" s="18" t="s">
        <v>1127</v>
      </c>
      <c r="P417" s="18" t="s">
        <v>1128</v>
      </c>
      <c r="Q417" s="18" t="s">
        <v>1129</v>
      </c>
      <c r="R417" s="18" t="s">
        <v>1130</v>
      </c>
      <c r="S417" s="18">
        <v>521</v>
      </c>
      <c r="T417" s="18">
        <v>133886.57999999999</v>
      </c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</row>
    <row r="418" spans="6:39" x14ac:dyDescent="0.35">
      <c r="F418" s="18" t="s">
        <v>1109</v>
      </c>
      <c r="G418" s="19">
        <v>46216</v>
      </c>
      <c r="H418" s="18" t="s">
        <v>485</v>
      </c>
      <c r="I418" s="18" t="s">
        <v>1110</v>
      </c>
      <c r="J418" s="18">
        <v>1043</v>
      </c>
      <c r="K418" s="18" t="s">
        <v>1111</v>
      </c>
      <c r="L418" s="18" t="s">
        <v>5746</v>
      </c>
      <c r="M418" s="19">
        <v>46216</v>
      </c>
      <c r="N418" s="18" t="s">
        <v>1112</v>
      </c>
      <c r="O418" s="18" t="s">
        <v>1127</v>
      </c>
      <c r="P418" s="18" t="s">
        <v>1128</v>
      </c>
      <c r="Q418" s="18" t="s">
        <v>1129</v>
      </c>
      <c r="R418" s="18" t="s">
        <v>1130</v>
      </c>
      <c r="S418" s="18">
        <v>587.20000000000005</v>
      </c>
      <c r="T418" s="18">
        <v>121421.22</v>
      </c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</row>
    <row r="419" spans="6:39" x14ac:dyDescent="0.35">
      <c r="F419" s="18" t="s">
        <v>1109</v>
      </c>
      <c r="G419" s="19">
        <v>46216</v>
      </c>
      <c r="H419" s="18" t="s">
        <v>485</v>
      </c>
      <c r="I419" s="18" t="s">
        <v>1110</v>
      </c>
      <c r="J419" s="18">
        <v>1043</v>
      </c>
      <c r="K419" s="18" t="s">
        <v>1111</v>
      </c>
      <c r="L419" s="18" t="s">
        <v>5746</v>
      </c>
      <c r="M419" s="19">
        <v>46216</v>
      </c>
      <c r="N419" s="18" t="s">
        <v>1112</v>
      </c>
      <c r="O419" s="18" t="s">
        <v>1127</v>
      </c>
      <c r="P419" s="18" t="s">
        <v>1128</v>
      </c>
      <c r="Q419" s="18" t="s">
        <v>1129</v>
      </c>
      <c r="R419" s="18" t="s">
        <v>1130</v>
      </c>
      <c r="S419" s="18">
        <v>48</v>
      </c>
      <c r="T419" s="18">
        <v>12335.04</v>
      </c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</row>
    <row r="420" spans="6:39" x14ac:dyDescent="0.35">
      <c r="F420" s="18" t="s">
        <v>1109</v>
      </c>
      <c r="G420" s="19">
        <v>46216</v>
      </c>
      <c r="H420" s="18" t="s">
        <v>485</v>
      </c>
      <c r="I420" s="18" t="s">
        <v>1110</v>
      </c>
      <c r="J420" s="18">
        <v>1043</v>
      </c>
      <c r="K420" s="18" t="s">
        <v>1111</v>
      </c>
      <c r="L420" s="18" t="s">
        <v>5746</v>
      </c>
      <c r="M420" s="19">
        <v>46216</v>
      </c>
      <c r="N420" s="18" t="s">
        <v>1112</v>
      </c>
      <c r="O420" s="18" t="s">
        <v>1127</v>
      </c>
      <c r="P420" s="18" t="s">
        <v>1128</v>
      </c>
      <c r="Q420" s="18" t="s">
        <v>1129</v>
      </c>
      <c r="R420" s="18" t="s">
        <v>1130</v>
      </c>
      <c r="S420" s="18">
        <v>1468</v>
      </c>
      <c r="T420" s="18">
        <v>362140.92</v>
      </c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</row>
    <row r="421" spans="6:39" x14ac:dyDescent="0.35">
      <c r="F421" s="18" t="s">
        <v>1109</v>
      </c>
      <c r="G421" s="19">
        <v>46216</v>
      </c>
      <c r="H421" s="18" t="s">
        <v>485</v>
      </c>
      <c r="I421" s="18" t="s">
        <v>1110</v>
      </c>
      <c r="J421" s="18" t="s">
        <v>5747</v>
      </c>
      <c r="K421" s="18" t="s">
        <v>3760</v>
      </c>
      <c r="L421" s="18" t="s">
        <v>5747</v>
      </c>
      <c r="M421" s="19">
        <v>46216</v>
      </c>
      <c r="N421" s="18" t="s">
        <v>1146</v>
      </c>
      <c r="O421" s="18" t="s">
        <v>1147</v>
      </c>
      <c r="P421" s="18" t="s">
        <v>1147</v>
      </c>
      <c r="Q421" s="18" t="s">
        <v>1148</v>
      </c>
      <c r="R421" s="18" t="s">
        <v>1169</v>
      </c>
      <c r="S421" s="18">
        <v>11559</v>
      </c>
      <c r="T421" s="18">
        <v>2433169.5</v>
      </c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</row>
    <row r="422" spans="6:39" x14ac:dyDescent="0.35">
      <c r="F422" s="18" t="s">
        <v>1109</v>
      </c>
      <c r="G422" s="19">
        <v>46216</v>
      </c>
      <c r="H422" s="18" t="s">
        <v>485</v>
      </c>
      <c r="I422" s="18" t="s">
        <v>1110</v>
      </c>
      <c r="J422" s="18" t="s">
        <v>5747</v>
      </c>
      <c r="K422" s="18" t="s">
        <v>3760</v>
      </c>
      <c r="L422" s="18" t="s">
        <v>5747</v>
      </c>
      <c r="M422" s="19">
        <v>46216</v>
      </c>
      <c r="N422" s="18" t="s">
        <v>1146</v>
      </c>
      <c r="O422" s="18" t="s">
        <v>1147</v>
      </c>
      <c r="P422" s="18" t="s">
        <v>1147</v>
      </c>
      <c r="Q422" s="18" t="s">
        <v>1148</v>
      </c>
      <c r="R422" s="18" t="s">
        <v>1169</v>
      </c>
      <c r="S422" s="18">
        <v>4615</v>
      </c>
      <c r="T422" s="18">
        <v>984656.4</v>
      </c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</row>
    <row r="423" spans="6:39" x14ac:dyDescent="0.35">
      <c r="F423" s="18" t="s">
        <v>1109</v>
      </c>
      <c r="G423" s="19">
        <v>46216</v>
      </c>
      <c r="H423" s="18" t="s">
        <v>485</v>
      </c>
      <c r="I423" s="18" t="s">
        <v>1110</v>
      </c>
      <c r="J423" s="18" t="s">
        <v>5747</v>
      </c>
      <c r="K423" s="18" t="s">
        <v>3760</v>
      </c>
      <c r="L423" s="18" t="s">
        <v>5747</v>
      </c>
      <c r="M423" s="19">
        <v>46216</v>
      </c>
      <c r="N423" s="18" t="s">
        <v>1146</v>
      </c>
      <c r="O423" s="18" t="s">
        <v>1147</v>
      </c>
      <c r="P423" s="18" t="s">
        <v>1147</v>
      </c>
      <c r="Q423" s="18" t="s">
        <v>1148</v>
      </c>
      <c r="R423" s="18" t="s">
        <v>1169</v>
      </c>
      <c r="S423" s="18">
        <v>1725</v>
      </c>
      <c r="T423" s="18">
        <v>403339.5</v>
      </c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</row>
    <row r="424" spans="6:39" x14ac:dyDescent="0.35">
      <c r="F424" s="18" t="s">
        <v>1109</v>
      </c>
      <c r="G424" s="19">
        <v>46216</v>
      </c>
      <c r="H424" s="18" t="s">
        <v>485</v>
      </c>
      <c r="I424" s="18" t="s">
        <v>1110</v>
      </c>
      <c r="J424" s="18" t="s">
        <v>5747</v>
      </c>
      <c r="K424" s="18" t="s">
        <v>3760</v>
      </c>
      <c r="L424" s="18" t="s">
        <v>5747</v>
      </c>
      <c r="M424" s="19">
        <v>46216</v>
      </c>
      <c r="N424" s="18" t="s">
        <v>1146</v>
      </c>
      <c r="O424" s="18" t="s">
        <v>1147</v>
      </c>
      <c r="P424" s="18" t="s">
        <v>1147</v>
      </c>
      <c r="Q424" s="18" t="s">
        <v>1148</v>
      </c>
      <c r="R424" s="18" t="s">
        <v>1169</v>
      </c>
      <c r="S424" s="18">
        <v>4525</v>
      </c>
      <c r="T424" s="18">
        <v>952467.25</v>
      </c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</row>
    <row r="425" spans="6:39" x14ac:dyDescent="0.35">
      <c r="F425" s="18" t="s">
        <v>1109</v>
      </c>
      <c r="G425" s="19">
        <v>46216</v>
      </c>
      <c r="H425" s="18" t="s">
        <v>4402</v>
      </c>
      <c r="I425" s="18" t="s">
        <v>1110</v>
      </c>
      <c r="J425" s="18">
        <v>1036</v>
      </c>
      <c r="K425" s="18" t="s">
        <v>1121</v>
      </c>
      <c r="L425" s="18" t="s">
        <v>5748</v>
      </c>
      <c r="M425" s="19">
        <v>46216</v>
      </c>
      <c r="N425" s="18" t="s">
        <v>1133</v>
      </c>
      <c r="O425" s="18" t="s">
        <v>1134</v>
      </c>
      <c r="P425" s="18" t="s">
        <v>5000</v>
      </c>
      <c r="Q425" s="18" t="s">
        <v>5001</v>
      </c>
      <c r="R425" s="18" t="s">
        <v>5002</v>
      </c>
      <c r="S425" s="18">
        <v>7500</v>
      </c>
      <c r="T425" s="18">
        <v>1032636</v>
      </c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</row>
    <row r="426" spans="6:39" x14ac:dyDescent="0.35">
      <c r="F426" s="18" t="s">
        <v>1109</v>
      </c>
      <c r="G426" s="19">
        <v>46216</v>
      </c>
      <c r="H426" s="18" t="s">
        <v>814</v>
      </c>
      <c r="I426" s="18" t="s">
        <v>1150</v>
      </c>
      <c r="J426" s="18" t="s">
        <v>5313</v>
      </c>
      <c r="K426" s="18" t="s">
        <v>3850</v>
      </c>
      <c r="L426" s="18" t="s">
        <v>5313</v>
      </c>
      <c r="M426" s="19">
        <v>46216</v>
      </c>
      <c r="N426" s="18" t="s">
        <v>1133</v>
      </c>
      <c r="O426" s="18" t="s">
        <v>1134</v>
      </c>
      <c r="P426" s="18" t="s">
        <v>1141</v>
      </c>
      <c r="Q426" s="18" t="s">
        <v>1142</v>
      </c>
      <c r="R426" s="18" t="s">
        <v>5749</v>
      </c>
      <c r="S426" s="18">
        <v>14000</v>
      </c>
      <c r="T426" s="18">
        <v>1610000</v>
      </c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</row>
    <row r="427" spans="6:39" x14ac:dyDescent="0.35">
      <c r="F427" s="18" t="s">
        <v>1109</v>
      </c>
      <c r="G427" s="19">
        <v>46216</v>
      </c>
      <c r="H427" s="18" t="s">
        <v>125</v>
      </c>
      <c r="I427" s="18" t="s">
        <v>1110</v>
      </c>
      <c r="J427" s="18">
        <v>1030</v>
      </c>
      <c r="K427" s="18" t="s">
        <v>1111</v>
      </c>
      <c r="L427" s="18" t="s">
        <v>5498</v>
      </c>
      <c r="M427" s="19">
        <v>46216</v>
      </c>
      <c r="N427" s="18" t="s">
        <v>1112</v>
      </c>
      <c r="O427" s="18" t="s">
        <v>1127</v>
      </c>
      <c r="P427" s="18" t="s">
        <v>1128</v>
      </c>
      <c r="Q427" s="18" t="s">
        <v>1129</v>
      </c>
      <c r="R427" s="18" t="s">
        <v>1130</v>
      </c>
      <c r="S427" s="18">
        <v>52</v>
      </c>
      <c r="T427" s="18">
        <v>9504.56</v>
      </c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</row>
    <row r="428" spans="6:39" x14ac:dyDescent="0.35">
      <c r="F428" s="18" t="s">
        <v>1109</v>
      </c>
      <c r="G428" s="19">
        <v>46216</v>
      </c>
      <c r="H428" s="18" t="s">
        <v>125</v>
      </c>
      <c r="I428" s="18" t="s">
        <v>1110</v>
      </c>
      <c r="J428" s="18">
        <v>1037</v>
      </c>
      <c r="K428" s="18" t="s">
        <v>1121</v>
      </c>
      <c r="L428" s="18" t="s">
        <v>5499</v>
      </c>
      <c r="M428" s="19">
        <v>46216</v>
      </c>
      <c r="N428" s="18" t="s">
        <v>1122</v>
      </c>
      <c r="O428" s="18" t="s">
        <v>1123</v>
      </c>
      <c r="P428" s="18" t="s">
        <v>1124</v>
      </c>
      <c r="Q428" s="18" t="s">
        <v>1125</v>
      </c>
      <c r="R428" s="18" t="s">
        <v>1126</v>
      </c>
      <c r="S428" s="18">
        <v>166</v>
      </c>
      <c r="T428" s="18">
        <v>7968</v>
      </c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</row>
    <row r="429" spans="6:39" x14ac:dyDescent="0.35">
      <c r="F429" s="18" t="s">
        <v>1109</v>
      </c>
      <c r="G429" s="19">
        <v>46216</v>
      </c>
      <c r="H429" s="18" t="s">
        <v>125</v>
      </c>
      <c r="I429" s="18" t="s">
        <v>1110</v>
      </c>
      <c r="J429" s="18">
        <v>1038</v>
      </c>
      <c r="K429" s="18" t="s">
        <v>1111</v>
      </c>
      <c r="L429" s="18" t="s">
        <v>5500</v>
      </c>
      <c r="M429" s="19">
        <v>46216</v>
      </c>
      <c r="N429" s="18" t="s">
        <v>1112</v>
      </c>
      <c r="O429" s="18" t="s">
        <v>1117</v>
      </c>
      <c r="P429" s="18" t="s">
        <v>1118</v>
      </c>
      <c r="Q429" s="18" t="s">
        <v>1119</v>
      </c>
      <c r="R429" s="18" t="s">
        <v>1120</v>
      </c>
      <c r="S429" s="18">
        <v>320</v>
      </c>
      <c r="T429" s="18">
        <v>46236.800000000003</v>
      </c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</row>
    <row r="430" spans="6:39" x14ac:dyDescent="0.35">
      <c r="F430" s="18" t="s">
        <v>1109</v>
      </c>
      <c r="G430" s="19">
        <v>46216</v>
      </c>
      <c r="H430" s="18" t="s">
        <v>125</v>
      </c>
      <c r="I430" s="18" t="s">
        <v>1110</v>
      </c>
      <c r="J430" s="18">
        <v>1038</v>
      </c>
      <c r="K430" s="18" t="s">
        <v>1111</v>
      </c>
      <c r="L430" s="18" t="s">
        <v>5500</v>
      </c>
      <c r="M430" s="19">
        <v>46216</v>
      </c>
      <c r="N430" s="18" t="s">
        <v>1112</v>
      </c>
      <c r="O430" s="18" t="s">
        <v>1117</v>
      </c>
      <c r="P430" s="18" t="s">
        <v>1118</v>
      </c>
      <c r="Q430" s="18" t="s">
        <v>1119</v>
      </c>
      <c r="R430" s="18" t="s">
        <v>1120</v>
      </c>
      <c r="S430" s="18">
        <v>277</v>
      </c>
      <c r="T430" s="18">
        <v>40577.730000000003</v>
      </c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</row>
    <row r="431" spans="6:39" x14ac:dyDescent="0.35">
      <c r="F431" s="18" t="s">
        <v>1109</v>
      </c>
      <c r="G431" s="19">
        <v>46216</v>
      </c>
      <c r="H431" s="18" t="s">
        <v>125</v>
      </c>
      <c r="I431" s="18" t="s">
        <v>1110</v>
      </c>
      <c r="J431" s="18">
        <v>1038</v>
      </c>
      <c r="K431" s="18" t="s">
        <v>1111</v>
      </c>
      <c r="L431" s="18" t="s">
        <v>5500</v>
      </c>
      <c r="M431" s="19">
        <v>46216</v>
      </c>
      <c r="N431" s="18" t="s">
        <v>1112</v>
      </c>
      <c r="O431" s="18" t="s">
        <v>1117</v>
      </c>
      <c r="P431" s="18" t="s">
        <v>1118</v>
      </c>
      <c r="Q431" s="18" t="s">
        <v>1119</v>
      </c>
      <c r="R431" s="18" t="s">
        <v>1120</v>
      </c>
      <c r="S431" s="18">
        <v>736</v>
      </c>
      <c r="T431" s="18">
        <v>112232.64</v>
      </c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</row>
    <row r="432" spans="6:39" x14ac:dyDescent="0.35">
      <c r="F432" s="18" t="s">
        <v>1109</v>
      </c>
      <c r="G432" s="19">
        <v>46216</v>
      </c>
      <c r="H432" s="18" t="s">
        <v>125</v>
      </c>
      <c r="I432" s="18" t="s">
        <v>1110</v>
      </c>
      <c r="J432" s="18">
        <v>1038</v>
      </c>
      <c r="K432" s="18" t="s">
        <v>1111</v>
      </c>
      <c r="L432" s="18" t="s">
        <v>5500</v>
      </c>
      <c r="M432" s="19">
        <v>46216</v>
      </c>
      <c r="N432" s="18" t="s">
        <v>1112</v>
      </c>
      <c r="O432" s="18" t="s">
        <v>1117</v>
      </c>
      <c r="P432" s="18" t="s">
        <v>1138</v>
      </c>
      <c r="Q432" s="18" t="s">
        <v>1139</v>
      </c>
      <c r="R432" s="18" t="s">
        <v>1140</v>
      </c>
      <c r="S432" s="18">
        <v>3850</v>
      </c>
      <c r="T432" s="18">
        <v>583236.5</v>
      </c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</row>
    <row r="433" spans="6:39" x14ac:dyDescent="0.35">
      <c r="F433" s="18" t="s">
        <v>1109</v>
      </c>
      <c r="G433" s="19">
        <v>46216</v>
      </c>
      <c r="H433" s="18" t="s">
        <v>125</v>
      </c>
      <c r="I433" s="18" t="s">
        <v>1110</v>
      </c>
      <c r="J433" s="18">
        <v>1038</v>
      </c>
      <c r="K433" s="18" t="s">
        <v>1111</v>
      </c>
      <c r="L433" s="18" t="s">
        <v>5500</v>
      </c>
      <c r="M433" s="19">
        <v>46216</v>
      </c>
      <c r="N433" s="18" t="s">
        <v>1112</v>
      </c>
      <c r="O433" s="18" t="s">
        <v>1131</v>
      </c>
      <c r="P433" s="18" t="s">
        <v>1132</v>
      </c>
      <c r="Q433" s="18" t="s">
        <v>1132</v>
      </c>
      <c r="R433" s="18" t="s">
        <v>1131</v>
      </c>
      <c r="S433" s="18">
        <v>140.9</v>
      </c>
      <c r="T433" s="18">
        <v>20640.439999999999</v>
      </c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</row>
    <row r="434" spans="6:39" x14ac:dyDescent="0.35">
      <c r="F434" s="18" t="s">
        <v>1109</v>
      </c>
      <c r="G434" s="19">
        <v>46216</v>
      </c>
      <c r="H434" s="18" t="s">
        <v>125</v>
      </c>
      <c r="I434" s="18" t="s">
        <v>1110</v>
      </c>
      <c r="J434" s="18">
        <v>1038</v>
      </c>
      <c r="K434" s="18" t="s">
        <v>1111</v>
      </c>
      <c r="L434" s="18" t="s">
        <v>5500</v>
      </c>
      <c r="M434" s="19">
        <v>46216</v>
      </c>
      <c r="N434" s="18" t="s">
        <v>1112</v>
      </c>
      <c r="O434" s="18" t="s">
        <v>1131</v>
      </c>
      <c r="P434" s="18" t="s">
        <v>1132</v>
      </c>
      <c r="Q434" s="18" t="s">
        <v>1132</v>
      </c>
      <c r="R434" s="18" t="s">
        <v>1131</v>
      </c>
      <c r="S434" s="18">
        <v>476.8</v>
      </c>
      <c r="T434" s="18">
        <v>71276.83</v>
      </c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</row>
    <row r="435" spans="6:39" x14ac:dyDescent="0.35">
      <c r="F435" s="18" t="s">
        <v>1109</v>
      </c>
      <c r="G435" s="19">
        <v>46216</v>
      </c>
      <c r="H435" s="18" t="s">
        <v>5750</v>
      </c>
      <c r="I435" s="18" t="s">
        <v>1110</v>
      </c>
      <c r="J435" s="18">
        <v>1034</v>
      </c>
      <c r="K435" s="18" t="s">
        <v>1165</v>
      </c>
      <c r="L435" s="18" t="s">
        <v>5751</v>
      </c>
      <c r="M435" s="19">
        <v>46216</v>
      </c>
      <c r="N435" s="18" t="s">
        <v>4857</v>
      </c>
      <c r="O435" s="18" t="s">
        <v>5752</v>
      </c>
      <c r="P435" s="18" t="s">
        <v>5666</v>
      </c>
      <c r="Q435" s="18" t="s">
        <v>5667</v>
      </c>
      <c r="R435" s="18" t="s">
        <v>5753</v>
      </c>
      <c r="S435" s="18">
        <v>730</v>
      </c>
      <c r="T435" s="18">
        <v>7300</v>
      </c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</row>
    <row r="436" spans="6:39" x14ac:dyDescent="0.35">
      <c r="F436" s="18" t="s">
        <v>1109</v>
      </c>
      <c r="G436" s="19">
        <v>46216</v>
      </c>
      <c r="H436" s="18" t="s">
        <v>5750</v>
      </c>
      <c r="I436" s="18" t="s">
        <v>1110</v>
      </c>
      <c r="J436" s="18">
        <v>1034</v>
      </c>
      <c r="K436" s="18" t="s">
        <v>1165</v>
      </c>
      <c r="L436" s="18" t="s">
        <v>5751</v>
      </c>
      <c r="M436" s="19">
        <v>46216</v>
      </c>
      <c r="N436" s="18" t="s">
        <v>5665</v>
      </c>
      <c r="O436" s="18" t="s">
        <v>1166</v>
      </c>
      <c r="P436" s="18" t="s">
        <v>5666</v>
      </c>
      <c r="Q436" s="18" t="s">
        <v>5667</v>
      </c>
      <c r="R436" s="18" t="s">
        <v>5754</v>
      </c>
      <c r="S436" s="18">
        <v>400</v>
      </c>
      <c r="T436" s="18">
        <v>4000</v>
      </c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</row>
    <row r="437" spans="6:39" x14ac:dyDescent="0.35">
      <c r="F437" s="18" t="s">
        <v>1109</v>
      </c>
      <c r="G437" s="19">
        <v>46216</v>
      </c>
      <c r="H437" s="18" t="s">
        <v>5750</v>
      </c>
      <c r="I437" s="18" t="s">
        <v>1110</v>
      </c>
      <c r="J437" s="18">
        <v>1035</v>
      </c>
      <c r="K437" s="18" t="s">
        <v>1165</v>
      </c>
      <c r="L437" s="18" t="s">
        <v>5755</v>
      </c>
      <c r="M437" s="19">
        <v>46216</v>
      </c>
      <c r="N437" s="18" t="s">
        <v>4857</v>
      </c>
      <c r="O437" s="18" t="s">
        <v>5752</v>
      </c>
      <c r="P437" s="18" t="s">
        <v>5666</v>
      </c>
      <c r="Q437" s="18" t="s">
        <v>5667</v>
      </c>
      <c r="R437" s="18" t="s">
        <v>5753</v>
      </c>
      <c r="S437" s="18">
        <v>60</v>
      </c>
      <c r="T437" s="18">
        <v>240</v>
      </c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</row>
    <row r="438" spans="6:39" x14ac:dyDescent="0.35">
      <c r="F438" s="18" t="s">
        <v>1109</v>
      </c>
      <c r="G438" s="19">
        <v>46216</v>
      </c>
      <c r="H438" s="18" t="s">
        <v>5750</v>
      </c>
      <c r="I438" s="18" t="s">
        <v>1110</v>
      </c>
      <c r="J438" s="18">
        <v>1035</v>
      </c>
      <c r="K438" s="18" t="s">
        <v>1165</v>
      </c>
      <c r="L438" s="18" t="s">
        <v>5755</v>
      </c>
      <c r="M438" s="19">
        <v>46216</v>
      </c>
      <c r="N438" s="18" t="s">
        <v>5665</v>
      </c>
      <c r="O438" s="18" t="s">
        <v>1166</v>
      </c>
      <c r="P438" s="18" t="s">
        <v>5666</v>
      </c>
      <c r="Q438" s="18" t="s">
        <v>5667</v>
      </c>
      <c r="R438" s="18" t="s">
        <v>5754</v>
      </c>
      <c r="S438" s="18">
        <v>420</v>
      </c>
      <c r="T438" s="18">
        <v>1680</v>
      </c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</row>
    <row r="439" spans="6:39" x14ac:dyDescent="0.35">
      <c r="F439" s="18" t="s">
        <v>1109</v>
      </c>
      <c r="G439" s="19">
        <v>46217</v>
      </c>
      <c r="H439" s="18" t="s">
        <v>3790</v>
      </c>
      <c r="I439" s="18" t="s">
        <v>1110</v>
      </c>
      <c r="J439" s="18">
        <v>1044</v>
      </c>
      <c r="K439" s="18" t="s">
        <v>1111</v>
      </c>
      <c r="L439" s="18" t="s">
        <v>5756</v>
      </c>
      <c r="M439" s="19">
        <v>46217</v>
      </c>
      <c r="N439" s="18" t="s">
        <v>1112</v>
      </c>
      <c r="O439" s="18" t="s">
        <v>1117</v>
      </c>
      <c r="P439" s="18" t="s">
        <v>1118</v>
      </c>
      <c r="Q439" s="18" t="s">
        <v>1119</v>
      </c>
      <c r="R439" s="18" t="s">
        <v>1120</v>
      </c>
      <c r="S439" s="18">
        <v>6109</v>
      </c>
      <c r="T439" s="18">
        <v>882689.41</v>
      </c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</row>
    <row r="440" spans="6:39" x14ac:dyDescent="0.35">
      <c r="F440" s="18" t="s">
        <v>1109</v>
      </c>
      <c r="G440" s="19">
        <v>46217</v>
      </c>
      <c r="H440" s="18" t="s">
        <v>3790</v>
      </c>
      <c r="I440" s="18" t="s">
        <v>1110</v>
      </c>
      <c r="J440" s="18">
        <v>1044</v>
      </c>
      <c r="K440" s="18" t="s">
        <v>1111</v>
      </c>
      <c r="L440" s="18" t="s">
        <v>5756</v>
      </c>
      <c r="M440" s="19">
        <v>46217</v>
      </c>
      <c r="N440" s="18" t="s">
        <v>1112</v>
      </c>
      <c r="O440" s="18" t="s">
        <v>1117</v>
      </c>
      <c r="P440" s="18" t="s">
        <v>1118</v>
      </c>
      <c r="Q440" s="18" t="s">
        <v>1119</v>
      </c>
      <c r="R440" s="18" t="s">
        <v>1120</v>
      </c>
      <c r="S440" s="18">
        <v>945</v>
      </c>
      <c r="T440" s="18">
        <v>138433.04999999999</v>
      </c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</row>
    <row r="441" spans="6:39" x14ac:dyDescent="0.35">
      <c r="F441" s="18" t="s">
        <v>1109</v>
      </c>
      <c r="G441" s="19">
        <v>46217</v>
      </c>
      <c r="H441" s="18" t="s">
        <v>3790</v>
      </c>
      <c r="I441" s="18" t="s">
        <v>1110</v>
      </c>
      <c r="J441" s="18">
        <v>1044</v>
      </c>
      <c r="K441" s="18" t="s">
        <v>1111</v>
      </c>
      <c r="L441" s="18" t="s">
        <v>5756</v>
      </c>
      <c r="M441" s="19">
        <v>46217</v>
      </c>
      <c r="N441" s="18" t="s">
        <v>1112</v>
      </c>
      <c r="O441" s="18" t="s">
        <v>1117</v>
      </c>
      <c r="P441" s="18" t="s">
        <v>1118</v>
      </c>
      <c r="Q441" s="18" t="s">
        <v>1119</v>
      </c>
      <c r="R441" s="18" t="s">
        <v>1120</v>
      </c>
      <c r="S441" s="18">
        <v>665</v>
      </c>
      <c r="T441" s="18">
        <v>98080.85</v>
      </c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</row>
    <row r="442" spans="6:39" x14ac:dyDescent="0.35">
      <c r="F442" s="18" t="s">
        <v>1109</v>
      </c>
      <c r="G442" s="19">
        <v>46217</v>
      </c>
      <c r="H442" s="18" t="s">
        <v>3790</v>
      </c>
      <c r="I442" s="18" t="s">
        <v>1110</v>
      </c>
      <c r="J442" s="18">
        <v>1045</v>
      </c>
      <c r="K442" s="18" t="s">
        <v>1111</v>
      </c>
      <c r="L442" s="18" t="s">
        <v>5757</v>
      </c>
      <c r="M442" s="19">
        <v>46217</v>
      </c>
      <c r="N442" s="18" t="s">
        <v>1112</v>
      </c>
      <c r="O442" s="18" t="s">
        <v>1117</v>
      </c>
      <c r="P442" s="18" t="s">
        <v>1118</v>
      </c>
      <c r="Q442" s="18" t="s">
        <v>1119</v>
      </c>
      <c r="R442" s="18" t="s">
        <v>1120</v>
      </c>
      <c r="S442" s="18">
        <v>989</v>
      </c>
      <c r="T442" s="18">
        <v>144878.60999999999</v>
      </c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</row>
    <row r="443" spans="6:39" x14ac:dyDescent="0.35">
      <c r="F443" s="18" t="s">
        <v>1109</v>
      </c>
      <c r="G443" s="19">
        <v>46217</v>
      </c>
      <c r="H443" s="18" t="s">
        <v>3790</v>
      </c>
      <c r="I443" s="18" t="s">
        <v>1110</v>
      </c>
      <c r="J443" s="18">
        <v>1045</v>
      </c>
      <c r="K443" s="18" t="s">
        <v>1111</v>
      </c>
      <c r="L443" s="18" t="s">
        <v>5757</v>
      </c>
      <c r="M443" s="19">
        <v>46217</v>
      </c>
      <c r="N443" s="18" t="s">
        <v>1112</v>
      </c>
      <c r="O443" s="18" t="s">
        <v>1117</v>
      </c>
      <c r="P443" s="18" t="s">
        <v>1118</v>
      </c>
      <c r="Q443" s="18" t="s">
        <v>1119</v>
      </c>
      <c r="R443" s="18" t="s">
        <v>1120</v>
      </c>
      <c r="S443" s="18">
        <v>477</v>
      </c>
      <c r="T443" s="18">
        <v>70352.73</v>
      </c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</row>
    <row r="444" spans="6:39" x14ac:dyDescent="0.35">
      <c r="F444" s="18" t="s">
        <v>1109</v>
      </c>
      <c r="G444" s="19">
        <v>46217</v>
      </c>
      <c r="H444" s="18" t="s">
        <v>3790</v>
      </c>
      <c r="I444" s="18" t="s">
        <v>1110</v>
      </c>
      <c r="J444" s="18">
        <v>1045</v>
      </c>
      <c r="K444" s="18" t="s">
        <v>1111</v>
      </c>
      <c r="L444" s="18" t="s">
        <v>5757</v>
      </c>
      <c r="M444" s="19">
        <v>46217</v>
      </c>
      <c r="N444" s="18" t="s">
        <v>1112</v>
      </c>
      <c r="O444" s="18" t="s">
        <v>1117</v>
      </c>
      <c r="P444" s="18" t="s">
        <v>1118</v>
      </c>
      <c r="Q444" s="18" t="s">
        <v>1119</v>
      </c>
      <c r="R444" s="18" t="s">
        <v>1120</v>
      </c>
      <c r="S444" s="18">
        <v>2513</v>
      </c>
      <c r="T444" s="18">
        <v>363103.37</v>
      </c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</row>
    <row r="445" spans="6:39" x14ac:dyDescent="0.35">
      <c r="F445" s="18" t="s">
        <v>1109</v>
      </c>
      <c r="G445" s="19">
        <v>46217</v>
      </c>
      <c r="H445" s="18" t="s">
        <v>3790</v>
      </c>
      <c r="I445" s="18" t="s">
        <v>1110</v>
      </c>
      <c r="J445" s="18">
        <v>1045</v>
      </c>
      <c r="K445" s="18" t="s">
        <v>1111</v>
      </c>
      <c r="L445" s="18" t="s">
        <v>5757</v>
      </c>
      <c r="M445" s="19">
        <v>46217</v>
      </c>
      <c r="N445" s="18" t="s">
        <v>1112</v>
      </c>
      <c r="O445" s="18" t="s">
        <v>1117</v>
      </c>
      <c r="P445" s="18" t="s">
        <v>1118</v>
      </c>
      <c r="Q445" s="18" t="s">
        <v>1119</v>
      </c>
      <c r="R445" s="18" t="s">
        <v>3791</v>
      </c>
      <c r="S445" s="18">
        <v>718</v>
      </c>
      <c r="T445" s="18">
        <v>103743.82</v>
      </c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</row>
    <row r="446" spans="6:39" x14ac:dyDescent="0.35">
      <c r="F446" s="18" t="s">
        <v>1109</v>
      </c>
      <c r="G446" s="19">
        <v>46217</v>
      </c>
      <c r="H446" s="18" t="s">
        <v>3790</v>
      </c>
      <c r="I446" s="18" t="s">
        <v>1110</v>
      </c>
      <c r="J446" s="18">
        <v>1045</v>
      </c>
      <c r="K446" s="18" t="s">
        <v>1111</v>
      </c>
      <c r="L446" s="18" t="s">
        <v>5757</v>
      </c>
      <c r="M446" s="19">
        <v>46217</v>
      </c>
      <c r="N446" s="18" t="s">
        <v>1112</v>
      </c>
      <c r="O446" s="18" t="s">
        <v>1117</v>
      </c>
      <c r="P446" s="18" t="s">
        <v>1138</v>
      </c>
      <c r="Q446" s="18" t="s">
        <v>1139</v>
      </c>
      <c r="R446" s="18" t="s">
        <v>1140</v>
      </c>
      <c r="S446" s="18">
        <v>1190</v>
      </c>
      <c r="T446" s="18">
        <v>176703.1</v>
      </c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</row>
    <row r="447" spans="6:39" x14ac:dyDescent="0.35">
      <c r="F447" s="18" t="s">
        <v>1109</v>
      </c>
      <c r="G447" s="19">
        <v>46217</v>
      </c>
      <c r="H447" s="18" t="s">
        <v>3790</v>
      </c>
      <c r="I447" s="18" t="s">
        <v>1110</v>
      </c>
      <c r="J447" s="18">
        <v>1045</v>
      </c>
      <c r="K447" s="18" t="s">
        <v>1111</v>
      </c>
      <c r="L447" s="18" t="s">
        <v>5757</v>
      </c>
      <c r="M447" s="19">
        <v>46217</v>
      </c>
      <c r="N447" s="18" t="s">
        <v>1112</v>
      </c>
      <c r="O447" s="18" t="s">
        <v>1131</v>
      </c>
      <c r="P447" s="18" t="s">
        <v>1132</v>
      </c>
      <c r="Q447" s="18" t="s">
        <v>1132</v>
      </c>
      <c r="R447" s="18" t="s">
        <v>1131</v>
      </c>
      <c r="S447" s="18">
        <v>66</v>
      </c>
      <c r="T447" s="18">
        <v>9866.34</v>
      </c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</row>
    <row r="448" spans="6:39" x14ac:dyDescent="0.35">
      <c r="F448" s="18" t="s">
        <v>1109</v>
      </c>
      <c r="G448" s="19">
        <v>46217</v>
      </c>
      <c r="H448" s="18" t="s">
        <v>3790</v>
      </c>
      <c r="I448" s="18" t="s">
        <v>1110</v>
      </c>
      <c r="J448" s="18">
        <v>1045</v>
      </c>
      <c r="K448" s="18" t="s">
        <v>1111</v>
      </c>
      <c r="L448" s="18" t="s">
        <v>5757</v>
      </c>
      <c r="M448" s="19">
        <v>46217</v>
      </c>
      <c r="N448" s="18" t="s">
        <v>1146</v>
      </c>
      <c r="O448" s="18" t="s">
        <v>1179</v>
      </c>
      <c r="P448" s="18" t="s">
        <v>1179</v>
      </c>
      <c r="Q448" s="18" t="s">
        <v>1132</v>
      </c>
      <c r="R448" s="18" t="s">
        <v>1179</v>
      </c>
      <c r="S448" s="18">
        <v>151.69999999999999</v>
      </c>
      <c r="T448" s="18">
        <v>22677.63</v>
      </c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</row>
    <row r="449" spans="6:39" x14ac:dyDescent="0.35">
      <c r="F449" s="18" t="s">
        <v>1109</v>
      </c>
      <c r="G449" s="19">
        <v>46217</v>
      </c>
      <c r="H449" s="18" t="s">
        <v>3790</v>
      </c>
      <c r="I449" s="18" t="s">
        <v>1110</v>
      </c>
      <c r="J449" s="18">
        <v>1046</v>
      </c>
      <c r="K449" s="18" t="s">
        <v>1121</v>
      </c>
      <c r="L449" s="18" t="s">
        <v>5758</v>
      </c>
      <c r="M449" s="19">
        <v>46217</v>
      </c>
      <c r="N449" s="18" t="s">
        <v>1122</v>
      </c>
      <c r="O449" s="18" t="s">
        <v>1123</v>
      </c>
      <c r="P449" s="18" t="s">
        <v>1124</v>
      </c>
      <c r="Q449" s="18" t="s">
        <v>1125</v>
      </c>
      <c r="R449" s="18" t="s">
        <v>1126</v>
      </c>
      <c r="S449" s="18">
        <v>528</v>
      </c>
      <c r="T449" s="18">
        <v>25344</v>
      </c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</row>
    <row r="450" spans="6:39" x14ac:dyDescent="0.35">
      <c r="F450" s="18" t="s">
        <v>1109</v>
      </c>
      <c r="G450" s="19">
        <v>46217</v>
      </c>
      <c r="H450" s="18" t="s">
        <v>3790</v>
      </c>
      <c r="I450" s="18" t="s">
        <v>1110</v>
      </c>
      <c r="J450" s="18">
        <v>1047</v>
      </c>
      <c r="K450" s="18" t="s">
        <v>1111</v>
      </c>
      <c r="L450" s="18" t="s">
        <v>2385</v>
      </c>
      <c r="M450" s="19">
        <v>46217</v>
      </c>
      <c r="N450" s="18" t="s">
        <v>1112</v>
      </c>
      <c r="O450" s="18" t="s">
        <v>1131</v>
      </c>
      <c r="P450" s="18" t="s">
        <v>1132</v>
      </c>
      <c r="Q450" s="18" t="s">
        <v>1132</v>
      </c>
      <c r="R450" s="18" t="s">
        <v>1131</v>
      </c>
      <c r="S450" s="18">
        <v>768.2</v>
      </c>
      <c r="T450" s="18">
        <v>114838.22</v>
      </c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</row>
    <row r="451" spans="6:39" x14ac:dyDescent="0.35">
      <c r="F451" s="18" t="s">
        <v>1109</v>
      </c>
      <c r="G451" s="19">
        <v>46217</v>
      </c>
      <c r="H451" s="18" t="s">
        <v>3790</v>
      </c>
      <c r="I451" s="18" t="s">
        <v>1110</v>
      </c>
      <c r="J451" s="18">
        <v>1047</v>
      </c>
      <c r="K451" s="18" t="s">
        <v>1111</v>
      </c>
      <c r="L451" s="18" t="s">
        <v>2385</v>
      </c>
      <c r="M451" s="19">
        <v>46217</v>
      </c>
      <c r="N451" s="18" t="s">
        <v>1112</v>
      </c>
      <c r="O451" s="18" t="s">
        <v>1131</v>
      </c>
      <c r="P451" s="18" t="s">
        <v>1132</v>
      </c>
      <c r="Q451" s="18" t="s">
        <v>1132</v>
      </c>
      <c r="R451" s="18" t="s">
        <v>1131</v>
      </c>
      <c r="S451" s="18">
        <v>851.7</v>
      </c>
      <c r="T451" s="18">
        <v>124765.53</v>
      </c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</row>
    <row r="452" spans="6:39" x14ac:dyDescent="0.35">
      <c r="F452" s="18" t="s">
        <v>1109</v>
      </c>
      <c r="G452" s="19">
        <v>46217</v>
      </c>
      <c r="H452" s="18" t="s">
        <v>3790</v>
      </c>
      <c r="I452" s="18" t="s">
        <v>1110</v>
      </c>
      <c r="J452" s="18">
        <v>1047</v>
      </c>
      <c r="K452" s="18" t="s">
        <v>1111</v>
      </c>
      <c r="L452" s="18" t="s">
        <v>2385</v>
      </c>
      <c r="M452" s="19">
        <v>46217</v>
      </c>
      <c r="N452" s="18" t="s">
        <v>1112</v>
      </c>
      <c r="O452" s="18" t="s">
        <v>1127</v>
      </c>
      <c r="P452" s="18" t="s">
        <v>1128</v>
      </c>
      <c r="Q452" s="18" t="s">
        <v>1129</v>
      </c>
      <c r="R452" s="18" t="s">
        <v>1130</v>
      </c>
      <c r="S452" s="18">
        <v>1655</v>
      </c>
      <c r="T452" s="18">
        <v>302500.90000000002</v>
      </c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</row>
    <row r="453" spans="6:39" x14ac:dyDescent="0.35">
      <c r="F453" s="18" t="s">
        <v>1109</v>
      </c>
      <c r="G453" s="19">
        <v>46217</v>
      </c>
      <c r="H453" s="18" t="s">
        <v>3790</v>
      </c>
      <c r="I453" s="18" t="s">
        <v>1110</v>
      </c>
      <c r="J453" s="18">
        <v>1048</v>
      </c>
      <c r="K453" s="18" t="s">
        <v>1111</v>
      </c>
      <c r="L453" s="18" t="s">
        <v>5759</v>
      </c>
      <c r="M453" s="19">
        <v>46217</v>
      </c>
      <c r="N453" s="18" t="s">
        <v>1112</v>
      </c>
      <c r="O453" s="18" t="s">
        <v>1117</v>
      </c>
      <c r="P453" s="18" t="s">
        <v>1138</v>
      </c>
      <c r="Q453" s="18" t="s">
        <v>1139</v>
      </c>
      <c r="R453" s="18" t="s">
        <v>1140</v>
      </c>
      <c r="S453" s="18">
        <v>1722</v>
      </c>
      <c r="T453" s="18">
        <v>260865.78</v>
      </c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</row>
    <row r="454" spans="6:39" x14ac:dyDescent="0.35">
      <c r="F454" s="18" t="s">
        <v>1109</v>
      </c>
      <c r="G454" s="19">
        <v>46217</v>
      </c>
      <c r="H454" s="18" t="s">
        <v>3790</v>
      </c>
      <c r="I454" s="18" t="s">
        <v>1110</v>
      </c>
      <c r="J454" s="18">
        <v>1050</v>
      </c>
      <c r="K454" s="18" t="s">
        <v>1111</v>
      </c>
      <c r="L454" s="18" t="s">
        <v>5760</v>
      </c>
      <c r="M454" s="19">
        <v>46217</v>
      </c>
      <c r="N454" s="18" t="s">
        <v>1112</v>
      </c>
      <c r="O454" s="18" t="s">
        <v>1117</v>
      </c>
      <c r="P454" s="18" t="s">
        <v>1118</v>
      </c>
      <c r="Q454" s="18" t="s">
        <v>1119</v>
      </c>
      <c r="R454" s="18" t="s">
        <v>1120</v>
      </c>
      <c r="S454" s="18">
        <v>1790</v>
      </c>
      <c r="T454" s="18">
        <v>262217.09999999998</v>
      </c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</row>
    <row r="455" spans="6:39" x14ac:dyDescent="0.35">
      <c r="F455" s="18" t="s">
        <v>1109</v>
      </c>
      <c r="G455" s="19">
        <v>46217</v>
      </c>
      <c r="H455" s="18" t="s">
        <v>1135</v>
      </c>
      <c r="I455" s="18" t="s">
        <v>1136</v>
      </c>
      <c r="J455" s="18" t="s">
        <v>5761</v>
      </c>
      <c r="K455" s="18" t="s">
        <v>1137</v>
      </c>
      <c r="L455" s="18" t="s">
        <v>5761</v>
      </c>
      <c r="M455" s="19">
        <v>46217</v>
      </c>
      <c r="N455" s="18" t="s">
        <v>1112</v>
      </c>
      <c r="O455" s="18" t="s">
        <v>1117</v>
      </c>
      <c r="P455" s="18" t="s">
        <v>1118</v>
      </c>
      <c r="Q455" s="18" t="s">
        <v>1119</v>
      </c>
      <c r="R455" s="18" t="s">
        <v>1120</v>
      </c>
      <c r="S455" s="18">
        <v>2063</v>
      </c>
      <c r="T455" s="18">
        <v>286749.21599999996</v>
      </c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</row>
    <row r="456" spans="6:39" x14ac:dyDescent="0.35">
      <c r="F456" s="18" t="s">
        <v>1109</v>
      </c>
      <c r="G456" s="19">
        <v>46217</v>
      </c>
      <c r="H456" s="18" t="s">
        <v>1135</v>
      </c>
      <c r="I456" s="18" t="s">
        <v>1136</v>
      </c>
      <c r="J456" s="18" t="s">
        <v>5762</v>
      </c>
      <c r="K456" s="18" t="s">
        <v>1137</v>
      </c>
      <c r="L456" s="18" t="s">
        <v>5762</v>
      </c>
      <c r="M456" s="19">
        <v>46217</v>
      </c>
      <c r="N456" s="18" t="s">
        <v>1112</v>
      </c>
      <c r="O456" s="18" t="s">
        <v>1117</v>
      </c>
      <c r="P456" s="18" t="s">
        <v>1138</v>
      </c>
      <c r="Q456" s="18" t="s">
        <v>1139</v>
      </c>
      <c r="R456" s="18" t="s">
        <v>1140</v>
      </c>
      <c r="S456" s="18">
        <v>1614</v>
      </c>
      <c r="T456" s="18">
        <v>229200.29</v>
      </c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</row>
    <row r="457" spans="6:39" x14ac:dyDescent="0.35">
      <c r="F457" s="18" t="s">
        <v>1109</v>
      </c>
      <c r="G457" s="19">
        <v>46217</v>
      </c>
      <c r="H457" s="18" t="s">
        <v>485</v>
      </c>
      <c r="I457" s="18" t="s">
        <v>1110</v>
      </c>
      <c r="J457" s="18">
        <v>1052</v>
      </c>
      <c r="K457" s="18" t="s">
        <v>1121</v>
      </c>
      <c r="L457" s="18" t="s">
        <v>5763</v>
      </c>
      <c r="M457" s="19">
        <v>46217</v>
      </c>
      <c r="N457" s="18" t="s">
        <v>1122</v>
      </c>
      <c r="O457" s="18" t="s">
        <v>1123</v>
      </c>
      <c r="P457" s="18" t="s">
        <v>1124</v>
      </c>
      <c r="Q457" s="18" t="s">
        <v>1125</v>
      </c>
      <c r="R457" s="18" t="s">
        <v>1126</v>
      </c>
      <c r="S457" s="18">
        <v>291</v>
      </c>
      <c r="T457" s="18">
        <v>13968</v>
      </c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</row>
    <row r="458" spans="6:39" x14ac:dyDescent="0.35">
      <c r="F458" s="18" t="s">
        <v>1109</v>
      </c>
      <c r="G458" s="19">
        <v>46217</v>
      </c>
      <c r="H458" s="18" t="s">
        <v>485</v>
      </c>
      <c r="I458" s="18" t="s">
        <v>1110</v>
      </c>
      <c r="J458" s="18">
        <v>1054</v>
      </c>
      <c r="K458" s="18" t="s">
        <v>1111</v>
      </c>
      <c r="L458" s="18" t="s">
        <v>5764</v>
      </c>
      <c r="M458" s="19">
        <v>46217</v>
      </c>
      <c r="N458" s="18" t="s">
        <v>1112</v>
      </c>
      <c r="O458" s="18" t="s">
        <v>1117</v>
      </c>
      <c r="P458" s="18" t="s">
        <v>1138</v>
      </c>
      <c r="Q458" s="18" t="s">
        <v>1139</v>
      </c>
      <c r="R458" s="18" t="s">
        <v>1140</v>
      </c>
      <c r="S458" s="18">
        <v>2171</v>
      </c>
      <c r="T458" s="18">
        <v>328884.78999999998</v>
      </c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</row>
    <row r="459" spans="6:39" x14ac:dyDescent="0.35">
      <c r="F459" s="18" t="s">
        <v>1109</v>
      </c>
      <c r="G459" s="19">
        <v>46217</v>
      </c>
      <c r="H459" s="18" t="s">
        <v>485</v>
      </c>
      <c r="I459" s="18" t="s">
        <v>1110</v>
      </c>
      <c r="J459" s="18">
        <v>1054</v>
      </c>
      <c r="K459" s="18" t="s">
        <v>1111</v>
      </c>
      <c r="L459" s="18" t="s">
        <v>5764</v>
      </c>
      <c r="M459" s="19">
        <v>46217</v>
      </c>
      <c r="N459" s="18" t="s">
        <v>1112</v>
      </c>
      <c r="O459" s="18" t="s">
        <v>1127</v>
      </c>
      <c r="P459" s="18" t="s">
        <v>1128</v>
      </c>
      <c r="Q459" s="18" t="s">
        <v>1129</v>
      </c>
      <c r="R459" s="18" t="s">
        <v>1130</v>
      </c>
      <c r="S459" s="18">
        <v>1231.4000000000001</v>
      </c>
      <c r="T459" s="18">
        <v>254628.89</v>
      </c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</row>
    <row r="460" spans="6:39" x14ac:dyDescent="0.35">
      <c r="F460" s="18" t="s">
        <v>1109</v>
      </c>
      <c r="G460" s="19">
        <v>46217</v>
      </c>
      <c r="H460" s="18" t="s">
        <v>485</v>
      </c>
      <c r="I460" s="18" t="s">
        <v>1110</v>
      </c>
      <c r="J460" s="18">
        <v>1054</v>
      </c>
      <c r="K460" s="18" t="s">
        <v>1111</v>
      </c>
      <c r="L460" s="18" t="s">
        <v>5764</v>
      </c>
      <c r="M460" s="19">
        <v>46217</v>
      </c>
      <c r="N460" s="18" t="s">
        <v>1112</v>
      </c>
      <c r="O460" s="18" t="s">
        <v>1117</v>
      </c>
      <c r="P460" s="18" t="s">
        <v>1118</v>
      </c>
      <c r="Q460" s="18" t="s">
        <v>1119</v>
      </c>
      <c r="R460" s="18" t="s">
        <v>1120</v>
      </c>
      <c r="S460" s="18">
        <v>2596</v>
      </c>
      <c r="T460" s="18">
        <v>375096.04</v>
      </c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</row>
    <row r="461" spans="6:39" x14ac:dyDescent="0.35">
      <c r="F461" s="18" t="s">
        <v>1109</v>
      </c>
      <c r="G461" s="19">
        <v>46217</v>
      </c>
      <c r="H461" s="18" t="s">
        <v>485</v>
      </c>
      <c r="I461" s="18" t="s">
        <v>1110</v>
      </c>
      <c r="J461" s="18">
        <v>1054</v>
      </c>
      <c r="K461" s="18" t="s">
        <v>1111</v>
      </c>
      <c r="L461" s="18" t="s">
        <v>5764</v>
      </c>
      <c r="M461" s="19">
        <v>46217</v>
      </c>
      <c r="N461" s="18" t="s">
        <v>1112</v>
      </c>
      <c r="O461" s="18" t="s">
        <v>1117</v>
      </c>
      <c r="P461" s="18" t="s">
        <v>1118</v>
      </c>
      <c r="Q461" s="18" t="s">
        <v>1119</v>
      </c>
      <c r="R461" s="18" t="s">
        <v>1120</v>
      </c>
      <c r="S461" s="18">
        <v>1307</v>
      </c>
      <c r="T461" s="18">
        <v>195383.43</v>
      </c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</row>
    <row r="462" spans="6:39" x14ac:dyDescent="0.35">
      <c r="F462" s="18" t="s">
        <v>1109</v>
      </c>
      <c r="G462" s="19">
        <v>46217</v>
      </c>
      <c r="H462" s="18" t="s">
        <v>485</v>
      </c>
      <c r="I462" s="18" t="s">
        <v>1110</v>
      </c>
      <c r="J462" s="18">
        <v>1054</v>
      </c>
      <c r="K462" s="18" t="s">
        <v>1111</v>
      </c>
      <c r="L462" s="18" t="s">
        <v>5764</v>
      </c>
      <c r="M462" s="19">
        <v>46217</v>
      </c>
      <c r="N462" s="18" t="s">
        <v>1112</v>
      </c>
      <c r="O462" s="18" t="s">
        <v>1117</v>
      </c>
      <c r="P462" s="18" t="s">
        <v>1118</v>
      </c>
      <c r="Q462" s="18" t="s">
        <v>1119</v>
      </c>
      <c r="R462" s="18" t="s">
        <v>1120</v>
      </c>
      <c r="S462" s="18">
        <v>3111</v>
      </c>
      <c r="T462" s="18">
        <v>458841.39</v>
      </c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</row>
    <row r="463" spans="6:39" x14ac:dyDescent="0.35">
      <c r="F463" s="18" t="s">
        <v>1109</v>
      </c>
      <c r="G463" s="19">
        <v>46217</v>
      </c>
      <c r="H463" s="18" t="s">
        <v>485</v>
      </c>
      <c r="I463" s="18" t="s">
        <v>1150</v>
      </c>
      <c r="J463" s="18" t="s">
        <v>5765</v>
      </c>
      <c r="K463" s="18" t="s">
        <v>1111</v>
      </c>
      <c r="L463" s="18" t="s">
        <v>5765</v>
      </c>
      <c r="M463" s="19">
        <v>46217</v>
      </c>
      <c r="N463" s="18" t="s">
        <v>1112</v>
      </c>
      <c r="O463" s="18" t="s">
        <v>1117</v>
      </c>
      <c r="P463" s="18" t="s">
        <v>1118</v>
      </c>
      <c r="Q463" s="18" t="s">
        <v>1119</v>
      </c>
      <c r="R463" s="18" t="s">
        <v>1120</v>
      </c>
      <c r="S463" s="18">
        <v>241</v>
      </c>
      <c r="T463" s="18">
        <v>95195</v>
      </c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</row>
    <row r="464" spans="6:39" x14ac:dyDescent="0.35">
      <c r="F464" s="18" t="s">
        <v>1109</v>
      </c>
      <c r="G464" s="19">
        <v>46217</v>
      </c>
      <c r="H464" s="18" t="s">
        <v>5663</v>
      </c>
      <c r="I464" s="18" t="s">
        <v>1110</v>
      </c>
      <c r="J464" s="18">
        <v>1051</v>
      </c>
      <c r="K464" s="18" t="s">
        <v>1165</v>
      </c>
      <c r="L464" s="18" t="s">
        <v>2386</v>
      </c>
      <c r="M464" s="19">
        <v>46217</v>
      </c>
      <c r="N464" s="18" t="s">
        <v>5665</v>
      </c>
      <c r="O464" s="18" t="s">
        <v>1166</v>
      </c>
      <c r="P464" s="18" t="s">
        <v>5666</v>
      </c>
      <c r="Q464" s="18" t="s">
        <v>5667</v>
      </c>
      <c r="R464" s="18" t="s">
        <v>5668</v>
      </c>
      <c r="S464" s="18">
        <v>1960</v>
      </c>
      <c r="T464" s="18">
        <v>7840</v>
      </c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</row>
    <row r="465" spans="6:39" x14ac:dyDescent="0.35">
      <c r="F465" s="18" t="s">
        <v>1109</v>
      </c>
      <c r="G465" s="19">
        <v>46217</v>
      </c>
      <c r="H465" s="18" t="s">
        <v>814</v>
      </c>
      <c r="I465" s="18" t="s">
        <v>1150</v>
      </c>
      <c r="J465" s="18" t="s">
        <v>5314</v>
      </c>
      <c r="K465" s="18" t="s">
        <v>3850</v>
      </c>
      <c r="L465" s="18" t="s">
        <v>5314</v>
      </c>
      <c r="M465" s="19">
        <v>46217</v>
      </c>
      <c r="N465" s="18" t="s">
        <v>1133</v>
      </c>
      <c r="O465" s="18" t="s">
        <v>1134</v>
      </c>
      <c r="P465" s="18" t="s">
        <v>1141</v>
      </c>
      <c r="Q465" s="18" t="s">
        <v>1142</v>
      </c>
      <c r="R465" s="18" t="s">
        <v>5766</v>
      </c>
      <c r="S465" s="18">
        <v>8000</v>
      </c>
      <c r="T465" s="18">
        <v>612800</v>
      </c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</row>
    <row r="466" spans="6:39" x14ac:dyDescent="0.35">
      <c r="F466" s="18" t="s">
        <v>1109</v>
      </c>
      <c r="G466" s="19">
        <v>46217</v>
      </c>
      <c r="H466" s="18" t="s">
        <v>814</v>
      </c>
      <c r="I466" s="18" t="s">
        <v>1150</v>
      </c>
      <c r="J466" s="18" t="s">
        <v>5314</v>
      </c>
      <c r="K466" s="18" t="s">
        <v>3850</v>
      </c>
      <c r="L466" s="18" t="s">
        <v>5314</v>
      </c>
      <c r="M466" s="19">
        <v>46217</v>
      </c>
      <c r="N466" s="18" t="s">
        <v>1133</v>
      </c>
      <c r="O466" s="18" t="s">
        <v>1134</v>
      </c>
      <c r="P466" s="18" t="s">
        <v>1141</v>
      </c>
      <c r="Q466" s="18" t="s">
        <v>1142</v>
      </c>
      <c r="R466" s="18" t="s">
        <v>5767</v>
      </c>
      <c r="S466" s="18">
        <v>15500</v>
      </c>
      <c r="T466" s="18">
        <v>1283400</v>
      </c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</row>
    <row r="467" spans="6:39" x14ac:dyDescent="0.35">
      <c r="F467" s="18" t="s">
        <v>1109</v>
      </c>
      <c r="G467" s="19">
        <v>46217</v>
      </c>
      <c r="H467" s="18" t="s">
        <v>125</v>
      </c>
      <c r="I467" s="18" t="s">
        <v>1110</v>
      </c>
      <c r="J467" s="18">
        <v>1049</v>
      </c>
      <c r="K467" s="18" t="s">
        <v>1111</v>
      </c>
      <c r="L467" s="18" t="s">
        <v>5501</v>
      </c>
      <c r="M467" s="19">
        <v>46217</v>
      </c>
      <c r="N467" s="18" t="s">
        <v>1112</v>
      </c>
      <c r="O467" s="18" t="s">
        <v>1117</v>
      </c>
      <c r="P467" s="18" t="s">
        <v>1118</v>
      </c>
      <c r="Q467" s="18" t="s">
        <v>1119</v>
      </c>
      <c r="R467" s="18" t="s">
        <v>1120</v>
      </c>
      <c r="S467" s="18">
        <v>1099</v>
      </c>
      <c r="T467" s="18">
        <v>158794.51</v>
      </c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</row>
    <row r="468" spans="6:39" x14ac:dyDescent="0.35">
      <c r="F468" s="18" t="s">
        <v>1109</v>
      </c>
      <c r="G468" s="19">
        <v>46217</v>
      </c>
      <c r="H468" s="18" t="s">
        <v>125</v>
      </c>
      <c r="I468" s="18" t="s">
        <v>1110</v>
      </c>
      <c r="J468" s="18">
        <v>1053</v>
      </c>
      <c r="K468" s="18" t="s">
        <v>1121</v>
      </c>
      <c r="L468" s="18" t="s">
        <v>5502</v>
      </c>
      <c r="M468" s="19">
        <v>46217</v>
      </c>
      <c r="N468" s="18" t="s">
        <v>4999</v>
      </c>
      <c r="O468" s="18" t="s">
        <v>5005</v>
      </c>
      <c r="P468" s="18" t="s">
        <v>1124</v>
      </c>
      <c r="Q468" s="18" t="s">
        <v>1125</v>
      </c>
      <c r="R468" s="18" t="s">
        <v>5012</v>
      </c>
      <c r="S468" s="18">
        <v>200</v>
      </c>
      <c r="T468" s="18">
        <v>1216.96</v>
      </c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</row>
    <row r="469" spans="6:39" x14ac:dyDescent="0.35">
      <c r="F469" s="18" t="s">
        <v>1109</v>
      </c>
      <c r="G469" s="19">
        <v>46217</v>
      </c>
      <c r="H469" s="18" t="s">
        <v>125</v>
      </c>
      <c r="I469" s="18" t="s">
        <v>1110</v>
      </c>
      <c r="J469" s="18">
        <v>1056</v>
      </c>
      <c r="K469" s="18" t="s">
        <v>1121</v>
      </c>
      <c r="L469" s="18" t="s">
        <v>5503</v>
      </c>
      <c r="M469" s="19">
        <v>46217</v>
      </c>
      <c r="N469" s="18" t="s">
        <v>1133</v>
      </c>
      <c r="O469" s="18" t="s">
        <v>1134</v>
      </c>
      <c r="P469" s="18" t="s">
        <v>5768</v>
      </c>
      <c r="Q469" s="18" t="s">
        <v>5769</v>
      </c>
      <c r="R469" s="18" t="s">
        <v>5770</v>
      </c>
      <c r="S469" s="18">
        <v>2000</v>
      </c>
      <c r="T469" s="18">
        <v>290000</v>
      </c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</row>
    <row r="470" spans="6:39" x14ac:dyDescent="0.35">
      <c r="F470" s="18" t="s">
        <v>1109</v>
      </c>
      <c r="G470" s="19">
        <v>46218</v>
      </c>
      <c r="H470" s="18" t="s">
        <v>1159</v>
      </c>
      <c r="I470" s="18" t="s">
        <v>1110</v>
      </c>
      <c r="J470" s="18">
        <v>1065</v>
      </c>
      <c r="K470" s="18" t="s">
        <v>1111</v>
      </c>
      <c r="L470" s="18" t="s">
        <v>5771</v>
      </c>
      <c r="M470" s="19">
        <v>46218</v>
      </c>
      <c r="N470" s="18" t="s">
        <v>1112</v>
      </c>
      <c r="O470" s="18" t="s">
        <v>1117</v>
      </c>
      <c r="P470" s="18" t="s">
        <v>1138</v>
      </c>
      <c r="Q470" s="18" t="s">
        <v>1139</v>
      </c>
      <c r="R470" s="18" t="s">
        <v>1140</v>
      </c>
      <c r="S470" s="18">
        <v>3851</v>
      </c>
      <c r="T470" s="18">
        <v>673925</v>
      </c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</row>
    <row r="471" spans="6:39" x14ac:dyDescent="0.35">
      <c r="F471" s="18" t="s">
        <v>1109</v>
      </c>
      <c r="G471" s="19">
        <v>46218</v>
      </c>
      <c r="H471" s="18" t="s">
        <v>1159</v>
      </c>
      <c r="I471" s="18" t="s">
        <v>1110</v>
      </c>
      <c r="J471" s="18">
        <v>1065</v>
      </c>
      <c r="K471" s="18" t="s">
        <v>1111</v>
      </c>
      <c r="L471" s="18" t="s">
        <v>5771</v>
      </c>
      <c r="M471" s="19">
        <v>46218</v>
      </c>
      <c r="N471" s="18" t="s">
        <v>1112</v>
      </c>
      <c r="O471" s="18" t="s">
        <v>1117</v>
      </c>
      <c r="P471" s="18" t="s">
        <v>1138</v>
      </c>
      <c r="Q471" s="18" t="s">
        <v>1139</v>
      </c>
      <c r="R471" s="18" t="s">
        <v>4740</v>
      </c>
      <c r="S471" s="18">
        <v>29</v>
      </c>
      <c r="T471" s="18">
        <v>5075</v>
      </c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</row>
    <row r="472" spans="6:39" x14ac:dyDescent="0.35">
      <c r="F472" s="18" t="s">
        <v>1109</v>
      </c>
      <c r="G472" s="19">
        <v>46218</v>
      </c>
      <c r="H472" s="18" t="s">
        <v>3790</v>
      </c>
      <c r="I472" s="18" t="s">
        <v>1110</v>
      </c>
      <c r="J472" s="18">
        <v>1057</v>
      </c>
      <c r="K472" s="18" t="s">
        <v>1111</v>
      </c>
      <c r="L472" s="18" t="s">
        <v>5772</v>
      </c>
      <c r="M472" s="19">
        <v>46218</v>
      </c>
      <c r="N472" s="18" t="s">
        <v>1112</v>
      </c>
      <c r="O472" s="18" t="s">
        <v>1117</v>
      </c>
      <c r="P472" s="18" t="s">
        <v>1118</v>
      </c>
      <c r="Q472" s="18" t="s">
        <v>1119</v>
      </c>
      <c r="R472" s="18" t="s">
        <v>1120</v>
      </c>
      <c r="S472" s="18">
        <v>4938</v>
      </c>
      <c r="T472" s="18">
        <v>713491.62</v>
      </c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</row>
    <row r="473" spans="6:39" x14ac:dyDescent="0.35">
      <c r="F473" s="18" t="s">
        <v>1109</v>
      </c>
      <c r="G473" s="19">
        <v>46218</v>
      </c>
      <c r="H473" s="18" t="s">
        <v>3790</v>
      </c>
      <c r="I473" s="18" t="s">
        <v>1110</v>
      </c>
      <c r="J473" s="18">
        <v>1057</v>
      </c>
      <c r="K473" s="18" t="s">
        <v>1111</v>
      </c>
      <c r="L473" s="18" t="s">
        <v>5772</v>
      </c>
      <c r="M473" s="19">
        <v>46218</v>
      </c>
      <c r="N473" s="18" t="s">
        <v>1112</v>
      </c>
      <c r="O473" s="18" t="s">
        <v>1117</v>
      </c>
      <c r="P473" s="18" t="s">
        <v>1118</v>
      </c>
      <c r="Q473" s="18" t="s">
        <v>1119</v>
      </c>
      <c r="R473" s="18" t="s">
        <v>1120</v>
      </c>
      <c r="S473" s="18">
        <v>891</v>
      </c>
      <c r="T473" s="18">
        <v>131413.59</v>
      </c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</row>
    <row r="474" spans="6:39" x14ac:dyDescent="0.35">
      <c r="F474" s="18" t="s">
        <v>1109</v>
      </c>
      <c r="G474" s="19">
        <v>46218</v>
      </c>
      <c r="H474" s="18" t="s">
        <v>3790</v>
      </c>
      <c r="I474" s="18" t="s">
        <v>1110</v>
      </c>
      <c r="J474" s="18">
        <v>1057</v>
      </c>
      <c r="K474" s="18" t="s">
        <v>1111</v>
      </c>
      <c r="L474" s="18" t="s">
        <v>5772</v>
      </c>
      <c r="M474" s="19">
        <v>46218</v>
      </c>
      <c r="N474" s="18" t="s">
        <v>1112</v>
      </c>
      <c r="O474" s="18" t="s">
        <v>1117</v>
      </c>
      <c r="P474" s="18" t="s">
        <v>1118</v>
      </c>
      <c r="Q474" s="18" t="s">
        <v>1119</v>
      </c>
      <c r="R474" s="18" t="s">
        <v>1120</v>
      </c>
      <c r="S474" s="18">
        <v>2916</v>
      </c>
      <c r="T474" s="18">
        <v>427164.84</v>
      </c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</row>
    <row r="475" spans="6:39" x14ac:dyDescent="0.35">
      <c r="F475" s="18" t="s">
        <v>1109</v>
      </c>
      <c r="G475" s="19">
        <v>46218</v>
      </c>
      <c r="H475" s="18" t="s">
        <v>3790</v>
      </c>
      <c r="I475" s="18" t="s">
        <v>1110</v>
      </c>
      <c r="J475" s="18">
        <v>1057</v>
      </c>
      <c r="K475" s="18" t="s">
        <v>1111</v>
      </c>
      <c r="L475" s="18" t="s">
        <v>5772</v>
      </c>
      <c r="M475" s="19">
        <v>46218</v>
      </c>
      <c r="N475" s="18" t="s">
        <v>1112</v>
      </c>
      <c r="O475" s="18" t="s">
        <v>1117</v>
      </c>
      <c r="P475" s="18" t="s">
        <v>1138</v>
      </c>
      <c r="Q475" s="18" t="s">
        <v>1139</v>
      </c>
      <c r="R475" s="18" t="s">
        <v>1140</v>
      </c>
      <c r="S475" s="18">
        <v>486</v>
      </c>
      <c r="T475" s="18">
        <v>72166.14</v>
      </c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</row>
    <row r="476" spans="6:39" x14ac:dyDescent="0.35">
      <c r="F476" s="18" t="s">
        <v>1109</v>
      </c>
      <c r="G476" s="19">
        <v>46218</v>
      </c>
      <c r="H476" s="18" t="s">
        <v>3790</v>
      </c>
      <c r="I476" s="18" t="s">
        <v>1110</v>
      </c>
      <c r="J476" s="18">
        <v>1057</v>
      </c>
      <c r="K476" s="18" t="s">
        <v>1111</v>
      </c>
      <c r="L476" s="18" t="s">
        <v>5772</v>
      </c>
      <c r="M476" s="19">
        <v>46218</v>
      </c>
      <c r="N476" s="18" t="s">
        <v>1112</v>
      </c>
      <c r="O476" s="18" t="s">
        <v>1117</v>
      </c>
      <c r="P476" s="18" t="s">
        <v>1138</v>
      </c>
      <c r="Q476" s="18" t="s">
        <v>1139</v>
      </c>
      <c r="R476" s="18" t="s">
        <v>1140</v>
      </c>
      <c r="S476" s="18">
        <v>1032</v>
      </c>
      <c r="T476" s="18">
        <v>151177.68</v>
      </c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</row>
    <row r="477" spans="6:39" x14ac:dyDescent="0.35">
      <c r="F477" s="18" t="s">
        <v>1109</v>
      </c>
      <c r="G477" s="19">
        <v>46218</v>
      </c>
      <c r="H477" s="18" t="s">
        <v>3790</v>
      </c>
      <c r="I477" s="18" t="s">
        <v>1110</v>
      </c>
      <c r="J477" s="18">
        <v>1060</v>
      </c>
      <c r="K477" s="18" t="s">
        <v>1121</v>
      </c>
      <c r="L477" s="18" t="s">
        <v>5773</v>
      </c>
      <c r="M477" s="19">
        <v>46218</v>
      </c>
      <c r="N477" s="18" t="s">
        <v>1122</v>
      </c>
      <c r="O477" s="18" t="s">
        <v>1123</v>
      </c>
      <c r="P477" s="18" t="s">
        <v>1124</v>
      </c>
      <c r="Q477" s="18" t="s">
        <v>1125</v>
      </c>
      <c r="R477" s="18" t="s">
        <v>1126</v>
      </c>
      <c r="S477" s="18">
        <v>349</v>
      </c>
      <c r="T477" s="18">
        <v>16752</v>
      </c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</row>
    <row r="478" spans="6:39" x14ac:dyDescent="0.35">
      <c r="F478" s="18" t="s">
        <v>1109</v>
      </c>
      <c r="G478" s="19">
        <v>46218</v>
      </c>
      <c r="H478" s="18" t="s">
        <v>3790</v>
      </c>
      <c r="I478" s="18" t="s">
        <v>1110</v>
      </c>
      <c r="J478" s="18">
        <v>1061</v>
      </c>
      <c r="K478" s="18" t="s">
        <v>1111</v>
      </c>
      <c r="L478" s="18" t="s">
        <v>5774</v>
      </c>
      <c r="M478" s="19">
        <v>46218</v>
      </c>
      <c r="N478" s="18" t="s">
        <v>1112</v>
      </c>
      <c r="O478" s="18" t="s">
        <v>1131</v>
      </c>
      <c r="P478" s="18" t="s">
        <v>1132</v>
      </c>
      <c r="Q478" s="18" t="s">
        <v>1132</v>
      </c>
      <c r="R478" s="18" t="s">
        <v>1131</v>
      </c>
      <c r="S478" s="18">
        <v>910.3</v>
      </c>
      <c r="T478" s="18">
        <v>133349.85</v>
      </c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</row>
    <row r="479" spans="6:39" x14ac:dyDescent="0.35">
      <c r="F479" s="18" t="s">
        <v>1109</v>
      </c>
      <c r="G479" s="19">
        <v>46218</v>
      </c>
      <c r="H479" s="18" t="s">
        <v>3790</v>
      </c>
      <c r="I479" s="18" t="s">
        <v>1110</v>
      </c>
      <c r="J479" s="18">
        <v>1061</v>
      </c>
      <c r="K479" s="18" t="s">
        <v>1111</v>
      </c>
      <c r="L479" s="18" t="s">
        <v>5774</v>
      </c>
      <c r="M479" s="19">
        <v>46218</v>
      </c>
      <c r="N479" s="18" t="s">
        <v>1112</v>
      </c>
      <c r="O479" s="18" t="s">
        <v>1127</v>
      </c>
      <c r="P479" s="18" t="s">
        <v>1128</v>
      </c>
      <c r="Q479" s="18" t="s">
        <v>1129</v>
      </c>
      <c r="R479" s="18" t="s">
        <v>1130</v>
      </c>
      <c r="S479" s="18">
        <v>733</v>
      </c>
      <c r="T479" s="18">
        <v>136909.74</v>
      </c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</row>
    <row r="480" spans="6:39" x14ac:dyDescent="0.35">
      <c r="F480" s="18" t="s">
        <v>1109</v>
      </c>
      <c r="G480" s="19">
        <v>46218</v>
      </c>
      <c r="H480" s="18" t="s">
        <v>3790</v>
      </c>
      <c r="I480" s="18" t="s">
        <v>1110</v>
      </c>
      <c r="J480" s="18">
        <v>1061</v>
      </c>
      <c r="K480" s="18" t="s">
        <v>1111</v>
      </c>
      <c r="L480" s="18" t="s">
        <v>5774</v>
      </c>
      <c r="M480" s="19">
        <v>46218</v>
      </c>
      <c r="N480" s="18" t="s">
        <v>1112</v>
      </c>
      <c r="O480" s="18" t="s">
        <v>1117</v>
      </c>
      <c r="P480" s="18" t="s">
        <v>1118</v>
      </c>
      <c r="Q480" s="18" t="s">
        <v>1119</v>
      </c>
      <c r="R480" s="18" t="s">
        <v>1120</v>
      </c>
      <c r="S480" s="18">
        <v>865</v>
      </c>
      <c r="T480" s="18">
        <v>124983.85</v>
      </c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</row>
    <row r="481" spans="6:39" x14ac:dyDescent="0.35">
      <c r="F481" s="18" t="s">
        <v>1109</v>
      </c>
      <c r="G481" s="19">
        <v>46218</v>
      </c>
      <c r="H481" s="18" t="s">
        <v>3790</v>
      </c>
      <c r="I481" s="18" t="s">
        <v>1110</v>
      </c>
      <c r="J481" s="18">
        <v>1061</v>
      </c>
      <c r="K481" s="18" t="s">
        <v>1111</v>
      </c>
      <c r="L481" s="18" t="s">
        <v>5774</v>
      </c>
      <c r="M481" s="19">
        <v>46218</v>
      </c>
      <c r="N481" s="18" t="s">
        <v>1112</v>
      </c>
      <c r="O481" s="18" t="s">
        <v>1131</v>
      </c>
      <c r="P481" s="18" t="s">
        <v>1132</v>
      </c>
      <c r="Q481" s="18" t="s">
        <v>1132</v>
      </c>
      <c r="R481" s="18" t="s">
        <v>1131</v>
      </c>
      <c r="S481" s="18">
        <v>839.9</v>
      </c>
      <c r="T481" s="18">
        <v>125556.65</v>
      </c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</row>
    <row r="482" spans="6:39" x14ac:dyDescent="0.35">
      <c r="F482" s="18" t="s">
        <v>1109</v>
      </c>
      <c r="G482" s="19">
        <v>46218</v>
      </c>
      <c r="H482" s="18" t="s">
        <v>3790</v>
      </c>
      <c r="I482" s="18" t="s">
        <v>1110</v>
      </c>
      <c r="J482" s="18">
        <v>1063</v>
      </c>
      <c r="K482" s="18" t="s">
        <v>1121</v>
      </c>
      <c r="L482" s="18" t="s">
        <v>5775</v>
      </c>
      <c r="M482" s="19">
        <v>46218</v>
      </c>
      <c r="N482" s="18" t="s">
        <v>3408</v>
      </c>
      <c r="O482" s="18" t="s">
        <v>5713</v>
      </c>
      <c r="P482" s="18" t="s">
        <v>5776</v>
      </c>
      <c r="Q482" s="18" t="s">
        <v>5776</v>
      </c>
      <c r="R482" s="18" t="s">
        <v>5777</v>
      </c>
      <c r="S482" s="18">
        <v>49</v>
      </c>
      <c r="T482" s="18">
        <v>5292</v>
      </c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</row>
    <row r="483" spans="6:39" x14ac:dyDescent="0.35">
      <c r="F483" s="18" t="s">
        <v>1109</v>
      </c>
      <c r="G483" s="19">
        <v>46218</v>
      </c>
      <c r="H483" s="18" t="s">
        <v>485</v>
      </c>
      <c r="I483" s="18" t="s">
        <v>1110</v>
      </c>
      <c r="J483" s="18">
        <v>1066</v>
      </c>
      <c r="K483" s="18" t="s">
        <v>1121</v>
      </c>
      <c r="L483" s="18" t="s">
        <v>5778</v>
      </c>
      <c r="M483" s="19">
        <v>46218</v>
      </c>
      <c r="N483" s="18" t="s">
        <v>1122</v>
      </c>
      <c r="O483" s="18" t="s">
        <v>1123</v>
      </c>
      <c r="P483" s="18" t="s">
        <v>1124</v>
      </c>
      <c r="Q483" s="18" t="s">
        <v>1125</v>
      </c>
      <c r="R483" s="18" t="s">
        <v>1126</v>
      </c>
      <c r="S483" s="18">
        <v>142</v>
      </c>
      <c r="T483" s="18">
        <v>6816</v>
      </c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</row>
    <row r="484" spans="6:39" x14ac:dyDescent="0.35">
      <c r="F484" s="18" t="s">
        <v>1109</v>
      </c>
      <c r="G484" s="19">
        <v>46218</v>
      </c>
      <c r="H484" s="18" t="s">
        <v>485</v>
      </c>
      <c r="I484" s="18" t="s">
        <v>1110</v>
      </c>
      <c r="J484" s="18">
        <v>1067</v>
      </c>
      <c r="K484" s="18" t="s">
        <v>1111</v>
      </c>
      <c r="L484" s="18" t="s">
        <v>5779</v>
      </c>
      <c r="M484" s="19">
        <v>46218</v>
      </c>
      <c r="N484" s="18" t="s">
        <v>1112</v>
      </c>
      <c r="O484" s="18" t="s">
        <v>1127</v>
      </c>
      <c r="P484" s="18" t="s">
        <v>1128</v>
      </c>
      <c r="Q484" s="18" t="s">
        <v>1129</v>
      </c>
      <c r="R484" s="18" t="s">
        <v>1130</v>
      </c>
      <c r="S484" s="18">
        <v>202.3</v>
      </c>
      <c r="T484" s="18">
        <v>47941.05</v>
      </c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</row>
    <row r="485" spans="6:39" x14ac:dyDescent="0.35">
      <c r="F485" s="18" t="s">
        <v>1109</v>
      </c>
      <c r="G485" s="19">
        <v>46218</v>
      </c>
      <c r="H485" s="18" t="s">
        <v>485</v>
      </c>
      <c r="I485" s="18" t="s">
        <v>1110</v>
      </c>
      <c r="J485" s="18">
        <v>1067</v>
      </c>
      <c r="K485" s="18" t="s">
        <v>1111</v>
      </c>
      <c r="L485" s="18" t="s">
        <v>5779</v>
      </c>
      <c r="M485" s="19">
        <v>46218</v>
      </c>
      <c r="N485" s="18" t="s">
        <v>1112</v>
      </c>
      <c r="O485" s="18" t="s">
        <v>1117</v>
      </c>
      <c r="P485" s="18" t="s">
        <v>1118</v>
      </c>
      <c r="Q485" s="18" t="s">
        <v>1119</v>
      </c>
      <c r="R485" s="18" t="s">
        <v>1120</v>
      </c>
      <c r="S485" s="18">
        <v>1543</v>
      </c>
      <c r="T485" s="18">
        <v>222948.07</v>
      </c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</row>
    <row r="486" spans="6:39" x14ac:dyDescent="0.35">
      <c r="F486" s="18" t="s">
        <v>1109</v>
      </c>
      <c r="G486" s="19">
        <v>46218</v>
      </c>
      <c r="H486" s="18" t="s">
        <v>485</v>
      </c>
      <c r="I486" s="18" t="s">
        <v>1110</v>
      </c>
      <c r="J486" s="18">
        <v>1067</v>
      </c>
      <c r="K486" s="18" t="s">
        <v>1111</v>
      </c>
      <c r="L486" s="18" t="s">
        <v>5779</v>
      </c>
      <c r="M486" s="19">
        <v>46218</v>
      </c>
      <c r="N486" s="18" t="s">
        <v>1112</v>
      </c>
      <c r="O486" s="18" t="s">
        <v>1117</v>
      </c>
      <c r="P486" s="18" t="s">
        <v>1118</v>
      </c>
      <c r="Q486" s="18" t="s">
        <v>1119</v>
      </c>
      <c r="R486" s="18" t="s">
        <v>1120</v>
      </c>
      <c r="S486" s="18">
        <v>1713</v>
      </c>
      <c r="T486" s="18">
        <v>252650.37</v>
      </c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</row>
    <row r="487" spans="6:39" x14ac:dyDescent="0.35">
      <c r="F487" s="18" t="s">
        <v>1109</v>
      </c>
      <c r="G487" s="19">
        <v>46218</v>
      </c>
      <c r="H487" s="18" t="s">
        <v>485</v>
      </c>
      <c r="I487" s="18" t="s">
        <v>1110</v>
      </c>
      <c r="J487" s="18">
        <v>1067</v>
      </c>
      <c r="K487" s="18" t="s">
        <v>1111</v>
      </c>
      <c r="L487" s="18" t="s">
        <v>5779</v>
      </c>
      <c r="M487" s="19">
        <v>46218</v>
      </c>
      <c r="N487" s="18" t="s">
        <v>1112</v>
      </c>
      <c r="O487" s="18" t="s">
        <v>1117</v>
      </c>
      <c r="P487" s="18" t="s">
        <v>1118</v>
      </c>
      <c r="Q487" s="18" t="s">
        <v>1119</v>
      </c>
      <c r="R487" s="18" t="s">
        <v>1120</v>
      </c>
      <c r="S487" s="18">
        <v>644</v>
      </c>
      <c r="T487" s="18">
        <v>96271.56</v>
      </c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</row>
    <row r="488" spans="6:39" x14ac:dyDescent="0.35">
      <c r="F488" s="18" t="s">
        <v>1109</v>
      </c>
      <c r="G488" s="19">
        <v>46218</v>
      </c>
      <c r="H488" s="18" t="s">
        <v>485</v>
      </c>
      <c r="I488" s="18" t="s">
        <v>1110</v>
      </c>
      <c r="J488" s="18">
        <v>1067</v>
      </c>
      <c r="K488" s="18" t="s">
        <v>1111</v>
      </c>
      <c r="L488" s="18" t="s">
        <v>5779</v>
      </c>
      <c r="M488" s="19">
        <v>46218</v>
      </c>
      <c r="N488" s="18" t="s">
        <v>1112</v>
      </c>
      <c r="O488" s="18" t="s">
        <v>1113</v>
      </c>
      <c r="P488" s="18" t="s">
        <v>1114</v>
      </c>
      <c r="Q488" s="18" t="s">
        <v>1115</v>
      </c>
      <c r="R488" s="18" t="s">
        <v>1116</v>
      </c>
      <c r="S488" s="18">
        <v>1743.5</v>
      </c>
      <c r="T488" s="18">
        <v>272840.32000000001</v>
      </c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</row>
    <row r="489" spans="6:39" x14ac:dyDescent="0.35">
      <c r="F489" s="18" t="s">
        <v>1109</v>
      </c>
      <c r="G489" s="19">
        <v>46218</v>
      </c>
      <c r="H489" s="18" t="s">
        <v>485</v>
      </c>
      <c r="I489" s="18" t="s">
        <v>1150</v>
      </c>
      <c r="J489" s="18" t="s">
        <v>5780</v>
      </c>
      <c r="K489" s="18" t="s">
        <v>1111</v>
      </c>
      <c r="L489" s="18" t="s">
        <v>5780</v>
      </c>
      <c r="M489" s="19">
        <v>46218</v>
      </c>
      <c r="N489" s="18" t="s">
        <v>1112</v>
      </c>
      <c r="O489" s="18" t="s">
        <v>1117</v>
      </c>
      <c r="P489" s="18" t="s">
        <v>1118</v>
      </c>
      <c r="Q489" s="18" t="s">
        <v>1119</v>
      </c>
      <c r="R489" s="18" t="s">
        <v>1120</v>
      </c>
      <c r="S489" s="18">
        <v>310</v>
      </c>
      <c r="T489" s="18">
        <v>122450</v>
      </c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</row>
    <row r="490" spans="6:39" x14ac:dyDescent="0.35">
      <c r="F490" s="18" t="s">
        <v>1109</v>
      </c>
      <c r="G490" s="19">
        <v>46218</v>
      </c>
      <c r="H490" s="18" t="s">
        <v>3536</v>
      </c>
      <c r="I490" s="18" t="s">
        <v>5781</v>
      </c>
      <c r="J490" s="18" t="s">
        <v>5315</v>
      </c>
      <c r="K490" s="18" t="s">
        <v>5782</v>
      </c>
      <c r="L490" s="18" t="s">
        <v>5315</v>
      </c>
      <c r="M490" s="19">
        <v>46218</v>
      </c>
      <c r="N490" s="18" t="s">
        <v>1133</v>
      </c>
      <c r="O490" s="18" t="s">
        <v>1134</v>
      </c>
      <c r="P490" s="18" t="s">
        <v>5000</v>
      </c>
      <c r="Q490" s="18" t="s">
        <v>5001</v>
      </c>
      <c r="R490" s="18" t="s">
        <v>5783</v>
      </c>
      <c r="S490" s="18">
        <v>204000</v>
      </c>
      <c r="T490" s="18">
        <v>17125800</v>
      </c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</row>
    <row r="491" spans="6:39" x14ac:dyDescent="0.35">
      <c r="F491" s="18" t="s">
        <v>1109</v>
      </c>
      <c r="G491" s="19">
        <v>46218</v>
      </c>
      <c r="H491" s="18" t="s">
        <v>5663</v>
      </c>
      <c r="I491" s="18" t="s">
        <v>1110</v>
      </c>
      <c r="J491" s="18">
        <v>1062</v>
      </c>
      <c r="K491" s="18" t="s">
        <v>1165</v>
      </c>
      <c r="L491" s="18" t="s">
        <v>5784</v>
      </c>
      <c r="M491" s="19">
        <v>46218</v>
      </c>
      <c r="N491" s="18" t="s">
        <v>5665</v>
      </c>
      <c r="O491" s="18" t="s">
        <v>1166</v>
      </c>
      <c r="P491" s="18" t="s">
        <v>5666</v>
      </c>
      <c r="Q491" s="18" t="s">
        <v>5667</v>
      </c>
      <c r="R491" s="18" t="s">
        <v>5668</v>
      </c>
      <c r="S491" s="18">
        <v>1560</v>
      </c>
      <c r="T491" s="18">
        <v>6240</v>
      </c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</row>
    <row r="492" spans="6:39" x14ac:dyDescent="0.35">
      <c r="F492" s="18" t="s">
        <v>1109</v>
      </c>
      <c r="G492" s="19">
        <v>46218</v>
      </c>
      <c r="H492" s="18" t="s">
        <v>5663</v>
      </c>
      <c r="I492" s="18" t="s">
        <v>1110</v>
      </c>
      <c r="J492" s="18">
        <v>1064</v>
      </c>
      <c r="K492" s="18" t="s">
        <v>1165</v>
      </c>
      <c r="L492" s="18" t="s">
        <v>5785</v>
      </c>
      <c r="M492" s="19">
        <v>46218</v>
      </c>
      <c r="N492" s="18" t="s">
        <v>5665</v>
      </c>
      <c r="O492" s="18" t="s">
        <v>1166</v>
      </c>
      <c r="P492" s="18" t="s">
        <v>5666</v>
      </c>
      <c r="Q492" s="18" t="s">
        <v>5667</v>
      </c>
      <c r="R492" s="18" t="s">
        <v>5668</v>
      </c>
      <c r="S492" s="18">
        <v>330</v>
      </c>
      <c r="T492" s="18">
        <v>1320</v>
      </c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</row>
    <row r="493" spans="6:39" x14ac:dyDescent="0.35">
      <c r="F493" s="18" t="s">
        <v>1109</v>
      </c>
      <c r="G493" s="19">
        <v>46218</v>
      </c>
      <c r="H493" s="18" t="s">
        <v>4402</v>
      </c>
      <c r="I493" s="18" t="s">
        <v>1110</v>
      </c>
      <c r="J493" s="18">
        <v>1068</v>
      </c>
      <c r="K493" s="18" t="s">
        <v>1121</v>
      </c>
      <c r="L493" s="18" t="s">
        <v>5786</v>
      </c>
      <c r="M493" s="19">
        <v>46218</v>
      </c>
      <c r="N493" s="18" t="s">
        <v>1133</v>
      </c>
      <c r="O493" s="18" t="s">
        <v>1134</v>
      </c>
      <c r="P493" s="18" t="s">
        <v>5000</v>
      </c>
      <c r="Q493" s="18" t="s">
        <v>5001</v>
      </c>
      <c r="R493" s="18" t="s">
        <v>5002</v>
      </c>
      <c r="S493" s="18">
        <v>12500</v>
      </c>
      <c r="T493" s="18">
        <v>1734810</v>
      </c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</row>
    <row r="494" spans="6:39" x14ac:dyDescent="0.35">
      <c r="F494" s="18" t="s">
        <v>1109</v>
      </c>
      <c r="G494" s="19">
        <v>46218</v>
      </c>
      <c r="H494" s="18" t="s">
        <v>125</v>
      </c>
      <c r="I494" s="18" t="s">
        <v>1110</v>
      </c>
      <c r="J494" s="18">
        <v>1058</v>
      </c>
      <c r="K494" s="18" t="s">
        <v>1111</v>
      </c>
      <c r="L494" s="18" t="s">
        <v>5505</v>
      </c>
      <c r="M494" s="19">
        <v>46218</v>
      </c>
      <c r="N494" s="18" t="s">
        <v>1112</v>
      </c>
      <c r="O494" s="18" t="s">
        <v>1127</v>
      </c>
      <c r="P494" s="18" t="s">
        <v>1128</v>
      </c>
      <c r="Q494" s="18" t="s">
        <v>1129</v>
      </c>
      <c r="R494" s="18" t="s">
        <v>1130</v>
      </c>
      <c r="S494" s="18">
        <v>571.70000000000005</v>
      </c>
      <c r="T494" s="18">
        <v>118216.13</v>
      </c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</row>
    <row r="495" spans="6:39" x14ac:dyDescent="0.35">
      <c r="F495" s="18" t="s">
        <v>1109</v>
      </c>
      <c r="G495" s="19">
        <v>46218</v>
      </c>
      <c r="H495" s="18" t="s">
        <v>125</v>
      </c>
      <c r="I495" s="18" t="s">
        <v>1110</v>
      </c>
      <c r="J495" s="18">
        <v>1058</v>
      </c>
      <c r="K495" s="18" t="s">
        <v>1111</v>
      </c>
      <c r="L495" s="18" t="s">
        <v>5505</v>
      </c>
      <c r="M495" s="19">
        <v>46218</v>
      </c>
      <c r="N495" s="18" t="s">
        <v>1112</v>
      </c>
      <c r="O495" s="18" t="s">
        <v>1127</v>
      </c>
      <c r="P495" s="18" t="s">
        <v>1128</v>
      </c>
      <c r="Q495" s="18" t="s">
        <v>1129</v>
      </c>
      <c r="R495" s="18" t="s">
        <v>1130</v>
      </c>
      <c r="S495" s="18">
        <v>458</v>
      </c>
      <c r="T495" s="18">
        <v>83713.240000000005</v>
      </c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</row>
    <row r="496" spans="6:39" x14ac:dyDescent="0.35">
      <c r="F496" s="18" t="s">
        <v>1109</v>
      </c>
      <c r="G496" s="19">
        <v>46218</v>
      </c>
      <c r="H496" s="18" t="s">
        <v>125</v>
      </c>
      <c r="I496" s="18" t="s">
        <v>1110</v>
      </c>
      <c r="J496" s="18">
        <v>1058</v>
      </c>
      <c r="K496" s="18" t="s">
        <v>1111</v>
      </c>
      <c r="L496" s="18" t="s">
        <v>5505</v>
      </c>
      <c r="M496" s="19">
        <v>46218</v>
      </c>
      <c r="N496" s="18" t="s">
        <v>1112</v>
      </c>
      <c r="O496" s="18" t="s">
        <v>3407</v>
      </c>
      <c r="P496" s="18" t="s">
        <v>3792</v>
      </c>
      <c r="Q496" s="18" t="s">
        <v>1162</v>
      </c>
      <c r="R496" s="18" t="s">
        <v>1163</v>
      </c>
      <c r="S496" s="18">
        <v>673.9</v>
      </c>
      <c r="T496" s="18">
        <v>116436.44</v>
      </c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</row>
    <row r="497" spans="6:39" x14ac:dyDescent="0.35">
      <c r="F497" s="18" t="s">
        <v>1109</v>
      </c>
      <c r="G497" s="19">
        <v>46218</v>
      </c>
      <c r="H497" s="18" t="s">
        <v>125</v>
      </c>
      <c r="I497" s="18" t="s">
        <v>1110</v>
      </c>
      <c r="J497" s="18">
        <v>1058</v>
      </c>
      <c r="K497" s="18" t="s">
        <v>1111</v>
      </c>
      <c r="L497" s="18" t="s">
        <v>5505</v>
      </c>
      <c r="M497" s="19">
        <v>46218</v>
      </c>
      <c r="N497" s="18" t="s">
        <v>1146</v>
      </c>
      <c r="O497" s="18" t="s">
        <v>1179</v>
      </c>
      <c r="P497" s="18" t="s">
        <v>1179</v>
      </c>
      <c r="Q497" s="18" t="s">
        <v>1115</v>
      </c>
      <c r="R497" s="18" t="s">
        <v>1179</v>
      </c>
      <c r="S497" s="18">
        <v>224</v>
      </c>
      <c r="T497" s="18">
        <v>35725.760000000002</v>
      </c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</row>
    <row r="498" spans="6:39" x14ac:dyDescent="0.35">
      <c r="F498" s="18" t="s">
        <v>1109</v>
      </c>
      <c r="G498" s="19">
        <v>46218</v>
      </c>
      <c r="H498" s="18" t="s">
        <v>125</v>
      </c>
      <c r="I498" s="18" t="s">
        <v>1110</v>
      </c>
      <c r="J498" s="18">
        <v>1058</v>
      </c>
      <c r="K498" s="18" t="s">
        <v>1111</v>
      </c>
      <c r="L498" s="18" t="s">
        <v>5505</v>
      </c>
      <c r="M498" s="19">
        <v>46218</v>
      </c>
      <c r="N498" s="18" t="s">
        <v>1146</v>
      </c>
      <c r="O498" s="18" t="s">
        <v>1179</v>
      </c>
      <c r="P498" s="18" t="s">
        <v>1179</v>
      </c>
      <c r="Q498" s="18" t="s">
        <v>1115</v>
      </c>
      <c r="R498" s="18" t="s">
        <v>1179</v>
      </c>
      <c r="S498" s="18">
        <v>32</v>
      </c>
      <c r="T498" s="18">
        <v>5055.68</v>
      </c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</row>
    <row r="499" spans="6:39" x14ac:dyDescent="0.35">
      <c r="F499" s="18" t="s">
        <v>1109</v>
      </c>
      <c r="G499" s="19">
        <v>46218</v>
      </c>
      <c r="H499" s="18" t="s">
        <v>125</v>
      </c>
      <c r="I499" s="18" t="s">
        <v>1110</v>
      </c>
      <c r="J499" s="18">
        <v>1058</v>
      </c>
      <c r="K499" s="18" t="s">
        <v>1111</v>
      </c>
      <c r="L499" s="18" t="s">
        <v>5505</v>
      </c>
      <c r="M499" s="19">
        <v>46218</v>
      </c>
      <c r="N499" s="18" t="s">
        <v>1112</v>
      </c>
      <c r="O499" s="18" t="s">
        <v>1117</v>
      </c>
      <c r="P499" s="18" t="s">
        <v>1118</v>
      </c>
      <c r="Q499" s="18" t="s">
        <v>1119</v>
      </c>
      <c r="R499" s="18" t="s">
        <v>1120</v>
      </c>
      <c r="S499" s="18">
        <v>1281</v>
      </c>
      <c r="T499" s="18">
        <v>191496.69</v>
      </c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</row>
    <row r="500" spans="6:39" x14ac:dyDescent="0.35">
      <c r="F500" s="18" t="s">
        <v>1109</v>
      </c>
      <c r="G500" s="19">
        <v>46218</v>
      </c>
      <c r="H500" s="18" t="s">
        <v>125</v>
      </c>
      <c r="I500" s="18" t="s">
        <v>1110</v>
      </c>
      <c r="J500" s="18">
        <v>1058</v>
      </c>
      <c r="K500" s="18" t="s">
        <v>1111</v>
      </c>
      <c r="L500" s="18" t="s">
        <v>5505</v>
      </c>
      <c r="M500" s="19">
        <v>46218</v>
      </c>
      <c r="N500" s="18" t="s">
        <v>1112</v>
      </c>
      <c r="O500" s="18" t="s">
        <v>1117</v>
      </c>
      <c r="P500" s="18" t="s">
        <v>1118</v>
      </c>
      <c r="Q500" s="18" t="s">
        <v>1119</v>
      </c>
      <c r="R500" s="18" t="s">
        <v>1120</v>
      </c>
      <c r="S500" s="18">
        <v>549</v>
      </c>
      <c r="T500" s="18">
        <v>79325.009999999995</v>
      </c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</row>
    <row r="501" spans="6:39" x14ac:dyDescent="0.35">
      <c r="F501" s="18" t="s">
        <v>1109</v>
      </c>
      <c r="G501" s="19">
        <v>46218</v>
      </c>
      <c r="H501" s="18" t="s">
        <v>125</v>
      </c>
      <c r="I501" s="18" t="s">
        <v>1110</v>
      </c>
      <c r="J501" s="18">
        <v>1058</v>
      </c>
      <c r="K501" s="18" t="s">
        <v>1111</v>
      </c>
      <c r="L501" s="18" t="s">
        <v>5505</v>
      </c>
      <c r="M501" s="19">
        <v>46218</v>
      </c>
      <c r="N501" s="18" t="s">
        <v>1112</v>
      </c>
      <c r="O501" s="18" t="s">
        <v>1131</v>
      </c>
      <c r="P501" s="18" t="s">
        <v>1132</v>
      </c>
      <c r="Q501" s="18" t="s">
        <v>1132</v>
      </c>
      <c r="R501" s="18" t="s">
        <v>1131</v>
      </c>
      <c r="S501" s="18">
        <v>144.6</v>
      </c>
      <c r="T501" s="18">
        <v>21182.45</v>
      </c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</row>
    <row r="502" spans="6:39" x14ac:dyDescent="0.35">
      <c r="F502" s="18" t="s">
        <v>1109</v>
      </c>
      <c r="G502" s="19">
        <v>46218</v>
      </c>
      <c r="H502" s="18" t="s">
        <v>125</v>
      </c>
      <c r="I502" s="18" t="s">
        <v>1110</v>
      </c>
      <c r="J502" s="18">
        <v>1058</v>
      </c>
      <c r="K502" s="18" t="s">
        <v>1111</v>
      </c>
      <c r="L502" s="18" t="s">
        <v>5505</v>
      </c>
      <c r="M502" s="19">
        <v>46218</v>
      </c>
      <c r="N502" s="18" t="s">
        <v>1112</v>
      </c>
      <c r="O502" s="18" t="s">
        <v>1131</v>
      </c>
      <c r="P502" s="18" t="s">
        <v>1132</v>
      </c>
      <c r="Q502" s="18" t="s">
        <v>1132</v>
      </c>
      <c r="R502" s="18" t="s">
        <v>1131</v>
      </c>
      <c r="S502" s="18">
        <v>1290.4000000000001</v>
      </c>
      <c r="T502" s="18">
        <v>192901.9</v>
      </c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</row>
    <row r="503" spans="6:39" x14ac:dyDescent="0.35">
      <c r="F503" s="18" t="s">
        <v>1109</v>
      </c>
      <c r="G503" s="19">
        <v>46218</v>
      </c>
      <c r="H503" s="18" t="s">
        <v>125</v>
      </c>
      <c r="I503" s="18" t="s">
        <v>1110</v>
      </c>
      <c r="J503" s="18">
        <v>1058</v>
      </c>
      <c r="K503" s="18" t="s">
        <v>1111</v>
      </c>
      <c r="L503" s="18" t="s">
        <v>5505</v>
      </c>
      <c r="M503" s="19">
        <v>46218</v>
      </c>
      <c r="N503" s="18" t="s">
        <v>1112</v>
      </c>
      <c r="O503" s="18" t="s">
        <v>1117</v>
      </c>
      <c r="P503" s="18" t="s">
        <v>1138</v>
      </c>
      <c r="Q503" s="18" t="s">
        <v>1139</v>
      </c>
      <c r="R503" s="18" t="s">
        <v>1140</v>
      </c>
      <c r="S503" s="18">
        <v>712</v>
      </c>
      <c r="T503" s="18">
        <v>107860.88</v>
      </c>
      <c r="U503" s="163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</row>
    <row r="504" spans="6:39" x14ac:dyDescent="0.35">
      <c r="F504" s="18" t="s">
        <v>1109</v>
      </c>
      <c r="G504" s="19">
        <v>46218</v>
      </c>
      <c r="H504" s="18" t="s">
        <v>125</v>
      </c>
      <c r="I504" s="18" t="s">
        <v>1110</v>
      </c>
      <c r="J504" s="18">
        <v>1059</v>
      </c>
      <c r="K504" s="18" t="s">
        <v>1121</v>
      </c>
      <c r="L504" s="18" t="s">
        <v>5506</v>
      </c>
      <c r="M504" s="19">
        <v>46218</v>
      </c>
      <c r="N504" s="18" t="s">
        <v>1122</v>
      </c>
      <c r="O504" s="18" t="s">
        <v>1123</v>
      </c>
      <c r="P504" s="18" t="s">
        <v>1124</v>
      </c>
      <c r="Q504" s="18" t="s">
        <v>1125</v>
      </c>
      <c r="R504" s="18" t="s">
        <v>1126</v>
      </c>
      <c r="S504" s="18">
        <v>113</v>
      </c>
      <c r="T504" s="18">
        <v>5424</v>
      </c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</row>
    <row r="505" spans="6:39" x14ac:dyDescent="0.35">
      <c r="F505" s="18" t="s">
        <v>1109</v>
      </c>
      <c r="G505" s="19">
        <v>46219</v>
      </c>
      <c r="H505" s="18" t="s">
        <v>1159</v>
      </c>
      <c r="I505" s="18" t="s">
        <v>1110</v>
      </c>
      <c r="J505" s="18">
        <v>1073</v>
      </c>
      <c r="K505" s="18" t="s">
        <v>1111</v>
      </c>
      <c r="L505" s="18" t="s">
        <v>5787</v>
      </c>
      <c r="M505" s="19">
        <v>46219</v>
      </c>
      <c r="N505" s="18" t="s">
        <v>1146</v>
      </c>
      <c r="O505" s="18" t="s">
        <v>1170</v>
      </c>
      <c r="P505" s="18" t="s">
        <v>1171</v>
      </c>
      <c r="Q505" s="18" t="s">
        <v>3759</v>
      </c>
      <c r="R505" s="18" t="s">
        <v>4741</v>
      </c>
      <c r="S505" s="18">
        <v>1123</v>
      </c>
      <c r="T505" s="18">
        <v>413657.05</v>
      </c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</row>
    <row r="506" spans="6:39" x14ac:dyDescent="0.35">
      <c r="F506" s="18" t="s">
        <v>1109</v>
      </c>
      <c r="G506" s="19">
        <v>46219</v>
      </c>
      <c r="H506" s="18" t="s">
        <v>1159</v>
      </c>
      <c r="I506" s="18" t="s">
        <v>1110</v>
      </c>
      <c r="J506" s="18">
        <v>1073</v>
      </c>
      <c r="K506" s="18" t="s">
        <v>1111</v>
      </c>
      <c r="L506" s="18" t="s">
        <v>5787</v>
      </c>
      <c r="M506" s="19">
        <v>46219</v>
      </c>
      <c r="N506" s="18" t="s">
        <v>1146</v>
      </c>
      <c r="O506" s="18" t="s">
        <v>1170</v>
      </c>
      <c r="P506" s="18" t="s">
        <v>1171</v>
      </c>
      <c r="Q506" s="18" t="s">
        <v>3759</v>
      </c>
      <c r="R506" s="18" t="s">
        <v>4741</v>
      </c>
      <c r="S506" s="18">
        <v>1169.5</v>
      </c>
      <c r="T506" s="18">
        <v>415230.98</v>
      </c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</row>
    <row r="507" spans="6:39" x14ac:dyDescent="0.35">
      <c r="F507" s="18" t="s">
        <v>1109</v>
      </c>
      <c r="G507" s="19">
        <v>46219</v>
      </c>
      <c r="H507" s="18" t="s">
        <v>1159</v>
      </c>
      <c r="I507" s="18" t="s">
        <v>1110</v>
      </c>
      <c r="J507" s="18">
        <v>1073</v>
      </c>
      <c r="K507" s="18" t="s">
        <v>1111</v>
      </c>
      <c r="L507" s="18" t="s">
        <v>5787</v>
      </c>
      <c r="M507" s="19">
        <v>46219</v>
      </c>
      <c r="N507" s="18" t="s">
        <v>1146</v>
      </c>
      <c r="O507" s="18" t="s">
        <v>1170</v>
      </c>
      <c r="P507" s="18" t="s">
        <v>1171</v>
      </c>
      <c r="Q507" s="18" t="s">
        <v>3759</v>
      </c>
      <c r="R507" s="18" t="s">
        <v>4741</v>
      </c>
      <c r="S507" s="18">
        <v>1564.5</v>
      </c>
      <c r="T507" s="18">
        <v>541317</v>
      </c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</row>
    <row r="508" spans="6:39" x14ac:dyDescent="0.35">
      <c r="F508" s="18" t="s">
        <v>1109</v>
      </c>
      <c r="G508" s="19">
        <v>46219</v>
      </c>
      <c r="H508" s="18" t="s">
        <v>1159</v>
      </c>
      <c r="I508" s="18" t="s">
        <v>1110</v>
      </c>
      <c r="J508" s="18">
        <v>1073</v>
      </c>
      <c r="K508" s="18" t="s">
        <v>1111</v>
      </c>
      <c r="L508" s="18" t="s">
        <v>5787</v>
      </c>
      <c r="M508" s="19">
        <v>46219</v>
      </c>
      <c r="N508" s="18" t="s">
        <v>1146</v>
      </c>
      <c r="O508" s="18" t="s">
        <v>1170</v>
      </c>
      <c r="P508" s="18" t="s">
        <v>1171</v>
      </c>
      <c r="Q508" s="18" t="s">
        <v>3759</v>
      </c>
      <c r="R508" s="18" t="s">
        <v>4741</v>
      </c>
      <c r="S508" s="18">
        <v>1814.1</v>
      </c>
      <c r="T508" s="18">
        <v>642826.34</v>
      </c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</row>
    <row r="509" spans="6:39" x14ac:dyDescent="0.35">
      <c r="F509" s="18" t="s">
        <v>1109</v>
      </c>
      <c r="G509" s="19">
        <v>46219</v>
      </c>
      <c r="H509" s="18" t="s">
        <v>1159</v>
      </c>
      <c r="I509" s="18" t="s">
        <v>1110</v>
      </c>
      <c r="J509" s="18">
        <v>1073</v>
      </c>
      <c r="K509" s="18" t="s">
        <v>1111</v>
      </c>
      <c r="L509" s="18" t="s">
        <v>5787</v>
      </c>
      <c r="M509" s="19">
        <v>46219</v>
      </c>
      <c r="N509" s="18" t="s">
        <v>1146</v>
      </c>
      <c r="O509" s="18" t="s">
        <v>1170</v>
      </c>
      <c r="P509" s="18" t="s">
        <v>1171</v>
      </c>
      <c r="Q509" s="18" t="s">
        <v>3759</v>
      </c>
      <c r="R509" s="18" t="s">
        <v>4741</v>
      </c>
      <c r="S509" s="18">
        <v>793.6</v>
      </c>
      <c r="T509" s="18">
        <v>280577.28000000003</v>
      </c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</row>
    <row r="510" spans="6:39" x14ac:dyDescent="0.35">
      <c r="F510" s="18" t="s">
        <v>1109</v>
      </c>
      <c r="G510" s="19">
        <v>46219</v>
      </c>
      <c r="H510" s="18" t="s">
        <v>1159</v>
      </c>
      <c r="I510" s="18" t="s">
        <v>1110</v>
      </c>
      <c r="J510" s="18">
        <v>1073</v>
      </c>
      <c r="K510" s="18" t="s">
        <v>1111</v>
      </c>
      <c r="L510" s="18" t="s">
        <v>5787</v>
      </c>
      <c r="M510" s="19">
        <v>46219</v>
      </c>
      <c r="N510" s="18" t="s">
        <v>1146</v>
      </c>
      <c r="O510" s="18" t="s">
        <v>1170</v>
      </c>
      <c r="P510" s="18" t="s">
        <v>1171</v>
      </c>
      <c r="Q510" s="18" t="s">
        <v>3759</v>
      </c>
      <c r="R510" s="18" t="s">
        <v>4741</v>
      </c>
      <c r="S510" s="18">
        <v>1148</v>
      </c>
      <c r="T510" s="18">
        <v>407218.56</v>
      </c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</row>
    <row r="511" spans="6:39" x14ac:dyDescent="0.35">
      <c r="F511" s="18" t="s">
        <v>1109</v>
      </c>
      <c r="G511" s="19">
        <v>46219</v>
      </c>
      <c r="H511" s="18" t="s">
        <v>3790</v>
      </c>
      <c r="I511" s="18" t="s">
        <v>1110</v>
      </c>
      <c r="J511" s="18">
        <v>1069</v>
      </c>
      <c r="K511" s="18" t="s">
        <v>1111</v>
      </c>
      <c r="L511" s="18" t="s">
        <v>5788</v>
      </c>
      <c r="M511" s="19">
        <v>46219</v>
      </c>
      <c r="N511" s="18" t="s">
        <v>1112</v>
      </c>
      <c r="O511" s="18" t="s">
        <v>1117</v>
      </c>
      <c r="P511" s="18" t="s">
        <v>1118</v>
      </c>
      <c r="Q511" s="18" t="s">
        <v>1119</v>
      </c>
      <c r="R511" s="18" t="s">
        <v>1120</v>
      </c>
      <c r="S511" s="18">
        <v>1443</v>
      </c>
      <c r="T511" s="18">
        <v>208499.07</v>
      </c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</row>
    <row r="512" spans="6:39" x14ac:dyDescent="0.35">
      <c r="F512" s="18" t="s">
        <v>1109</v>
      </c>
      <c r="G512" s="19">
        <v>46219</v>
      </c>
      <c r="H512" s="18" t="s">
        <v>3790</v>
      </c>
      <c r="I512" s="18" t="s">
        <v>1110</v>
      </c>
      <c r="J512" s="18">
        <v>1070</v>
      </c>
      <c r="K512" s="18" t="s">
        <v>1111</v>
      </c>
      <c r="L512" s="18" t="s">
        <v>5789</v>
      </c>
      <c r="M512" s="19">
        <v>46219</v>
      </c>
      <c r="N512" s="18" t="s">
        <v>1112</v>
      </c>
      <c r="O512" s="18" t="s">
        <v>1117</v>
      </c>
      <c r="P512" s="18" t="s">
        <v>1118</v>
      </c>
      <c r="Q512" s="18" t="s">
        <v>1119</v>
      </c>
      <c r="R512" s="18" t="s">
        <v>1120</v>
      </c>
      <c r="S512" s="18">
        <v>4791</v>
      </c>
      <c r="T512" s="18">
        <v>692251.59</v>
      </c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</row>
    <row r="513" spans="6:39" x14ac:dyDescent="0.35">
      <c r="F513" s="18" t="s">
        <v>1109</v>
      </c>
      <c r="G513" s="19">
        <v>46219</v>
      </c>
      <c r="H513" s="18" t="s">
        <v>3790</v>
      </c>
      <c r="I513" s="18" t="s">
        <v>1110</v>
      </c>
      <c r="J513" s="18">
        <v>1070</v>
      </c>
      <c r="K513" s="18" t="s">
        <v>1111</v>
      </c>
      <c r="L513" s="18" t="s">
        <v>5789</v>
      </c>
      <c r="M513" s="19">
        <v>46219</v>
      </c>
      <c r="N513" s="18" t="s">
        <v>1112</v>
      </c>
      <c r="O513" s="18" t="s">
        <v>1117</v>
      </c>
      <c r="P513" s="18" t="s">
        <v>1118</v>
      </c>
      <c r="Q513" s="18" t="s">
        <v>1119</v>
      </c>
      <c r="R513" s="18" t="s">
        <v>1120</v>
      </c>
      <c r="S513" s="18">
        <v>194</v>
      </c>
      <c r="T513" s="18">
        <v>28613.06</v>
      </c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</row>
    <row r="514" spans="6:39" x14ac:dyDescent="0.35">
      <c r="F514" s="18" t="s">
        <v>1109</v>
      </c>
      <c r="G514" s="19">
        <v>46219</v>
      </c>
      <c r="H514" s="18" t="s">
        <v>3790</v>
      </c>
      <c r="I514" s="18" t="s">
        <v>1110</v>
      </c>
      <c r="J514" s="18">
        <v>1070</v>
      </c>
      <c r="K514" s="18" t="s">
        <v>1111</v>
      </c>
      <c r="L514" s="18" t="s">
        <v>5789</v>
      </c>
      <c r="M514" s="19">
        <v>46219</v>
      </c>
      <c r="N514" s="18" t="s">
        <v>1112</v>
      </c>
      <c r="O514" s="18" t="s">
        <v>1117</v>
      </c>
      <c r="P514" s="18" t="s">
        <v>1118</v>
      </c>
      <c r="Q514" s="18" t="s">
        <v>1119</v>
      </c>
      <c r="R514" s="18" t="s">
        <v>1120</v>
      </c>
      <c r="S514" s="18">
        <v>1708</v>
      </c>
      <c r="T514" s="18">
        <v>250204.92</v>
      </c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</row>
    <row r="515" spans="6:39" x14ac:dyDescent="0.35">
      <c r="F515" s="18" t="s">
        <v>1109</v>
      </c>
      <c r="G515" s="19">
        <v>46219</v>
      </c>
      <c r="H515" s="18" t="s">
        <v>3790</v>
      </c>
      <c r="I515" s="18" t="s">
        <v>1110</v>
      </c>
      <c r="J515" s="18">
        <v>1071</v>
      </c>
      <c r="K515" s="18" t="s">
        <v>1121</v>
      </c>
      <c r="L515" s="18" t="s">
        <v>5790</v>
      </c>
      <c r="M515" s="19">
        <v>46219</v>
      </c>
      <c r="N515" s="18" t="s">
        <v>1122</v>
      </c>
      <c r="O515" s="18" t="s">
        <v>1123</v>
      </c>
      <c r="P515" s="18" t="s">
        <v>1124</v>
      </c>
      <c r="Q515" s="18" t="s">
        <v>1125</v>
      </c>
      <c r="R515" s="18" t="s">
        <v>1126</v>
      </c>
      <c r="S515" s="18">
        <v>366</v>
      </c>
      <c r="T515" s="18">
        <v>17568</v>
      </c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</row>
    <row r="516" spans="6:39" x14ac:dyDescent="0.35">
      <c r="F516" s="18" t="s">
        <v>1109</v>
      </c>
      <c r="G516" s="19">
        <v>46219</v>
      </c>
      <c r="H516" s="18" t="s">
        <v>3790</v>
      </c>
      <c r="I516" s="18" t="s">
        <v>1110</v>
      </c>
      <c r="J516" s="18">
        <v>1072</v>
      </c>
      <c r="K516" s="18" t="s">
        <v>1111</v>
      </c>
      <c r="L516" s="18" t="s">
        <v>5791</v>
      </c>
      <c r="M516" s="19">
        <v>46219</v>
      </c>
      <c r="N516" s="18" t="s">
        <v>1112</v>
      </c>
      <c r="O516" s="18" t="s">
        <v>1117</v>
      </c>
      <c r="P516" s="18" t="s">
        <v>1118</v>
      </c>
      <c r="Q516" s="18" t="s">
        <v>1119</v>
      </c>
      <c r="R516" s="18" t="s">
        <v>1120</v>
      </c>
      <c r="S516" s="18">
        <v>2000</v>
      </c>
      <c r="T516" s="18">
        <v>288980</v>
      </c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</row>
    <row r="517" spans="6:39" x14ac:dyDescent="0.35">
      <c r="F517" s="18" t="s">
        <v>1109</v>
      </c>
      <c r="G517" s="19">
        <v>46219</v>
      </c>
      <c r="H517" s="18" t="s">
        <v>3790</v>
      </c>
      <c r="I517" s="18" t="s">
        <v>1110</v>
      </c>
      <c r="J517" s="18">
        <v>1072</v>
      </c>
      <c r="K517" s="18" t="s">
        <v>1111</v>
      </c>
      <c r="L517" s="18" t="s">
        <v>5791</v>
      </c>
      <c r="M517" s="19">
        <v>46219</v>
      </c>
      <c r="N517" s="18" t="s">
        <v>1112</v>
      </c>
      <c r="O517" s="18" t="s">
        <v>1117</v>
      </c>
      <c r="P517" s="18" t="s">
        <v>1138</v>
      </c>
      <c r="Q517" s="18" t="s">
        <v>1139</v>
      </c>
      <c r="R517" s="18" t="s">
        <v>1140</v>
      </c>
      <c r="S517" s="18">
        <v>933</v>
      </c>
      <c r="T517" s="18">
        <v>138541.17000000001</v>
      </c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</row>
    <row r="518" spans="6:39" x14ac:dyDescent="0.35">
      <c r="F518" s="18" t="s">
        <v>1109</v>
      </c>
      <c r="G518" s="19">
        <v>46219</v>
      </c>
      <c r="H518" s="18" t="s">
        <v>3790</v>
      </c>
      <c r="I518" s="18" t="s">
        <v>1110</v>
      </c>
      <c r="J518" s="18">
        <v>1072</v>
      </c>
      <c r="K518" s="18" t="s">
        <v>1111</v>
      </c>
      <c r="L518" s="18" t="s">
        <v>5791</v>
      </c>
      <c r="M518" s="19">
        <v>46219</v>
      </c>
      <c r="N518" s="18" t="s">
        <v>1112</v>
      </c>
      <c r="O518" s="18" t="s">
        <v>1127</v>
      </c>
      <c r="P518" s="18" t="s">
        <v>1128</v>
      </c>
      <c r="Q518" s="18" t="s">
        <v>1129</v>
      </c>
      <c r="R518" s="18" t="s">
        <v>1130</v>
      </c>
      <c r="S518" s="18">
        <v>1440</v>
      </c>
      <c r="T518" s="18">
        <v>268963.20000000001</v>
      </c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</row>
    <row r="519" spans="6:39" x14ac:dyDescent="0.35">
      <c r="F519" s="18" t="s">
        <v>1109</v>
      </c>
      <c r="G519" s="19">
        <v>46219</v>
      </c>
      <c r="H519" s="18" t="s">
        <v>3790</v>
      </c>
      <c r="I519" s="18" t="s">
        <v>1110</v>
      </c>
      <c r="J519" s="18">
        <v>1072</v>
      </c>
      <c r="K519" s="18" t="s">
        <v>1111</v>
      </c>
      <c r="L519" s="18" t="s">
        <v>5791</v>
      </c>
      <c r="M519" s="19">
        <v>46219</v>
      </c>
      <c r="N519" s="18" t="s">
        <v>1112</v>
      </c>
      <c r="O519" s="18" t="s">
        <v>1131</v>
      </c>
      <c r="P519" s="18" t="s">
        <v>1132</v>
      </c>
      <c r="Q519" s="18" t="s">
        <v>1132</v>
      </c>
      <c r="R519" s="18" t="s">
        <v>1131</v>
      </c>
      <c r="S519" s="18">
        <v>768.5</v>
      </c>
      <c r="T519" s="18">
        <v>112577.56</v>
      </c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</row>
    <row r="520" spans="6:39" x14ac:dyDescent="0.35">
      <c r="F520" s="18" t="s">
        <v>1109</v>
      </c>
      <c r="G520" s="19">
        <v>46219</v>
      </c>
      <c r="H520" s="18" t="s">
        <v>3790</v>
      </c>
      <c r="I520" s="18" t="s">
        <v>1110</v>
      </c>
      <c r="J520" s="18">
        <v>1072</v>
      </c>
      <c r="K520" s="18" t="s">
        <v>1111</v>
      </c>
      <c r="L520" s="18" t="s">
        <v>5791</v>
      </c>
      <c r="M520" s="19">
        <v>46219</v>
      </c>
      <c r="N520" s="18" t="s">
        <v>1112</v>
      </c>
      <c r="O520" s="18" t="s">
        <v>1131</v>
      </c>
      <c r="P520" s="18" t="s">
        <v>1132</v>
      </c>
      <c r="Q520" s="18" t="s">
        <v>1132</v>
      </c>
      <c r="R520" s="18" t="s">
        <v>1131</v>
      </c>
      <c r="S520" s="18">
        <v>1506.3</v>
      </c>
      <c r="T520" s="18">
        <v>225176.79</v>
      </c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</row>
    <row r="521" spans="6:39" x14ac:dyDescent="0.35">
      <c r="F521" s="18" t="s">
        <v>1109</v>
      </c>
      <c r="G521" s="19">
        <v>46219</v>
      </c>
      <c r="H521" s="18" t="s">
        <v>3790</v>
      </c>
      <c r="I521" s="18" t="s">
        <v>1110</v>
      </c>
      <c r="J521" s="18">
        <v>1077</v>
      </c>
      <c r="K521" s="18" t="s">
        <v>1111</v>
      </c>
      <c r="L521" s="18" t="s">
        <v>5792</v>
      </c>
      <c r="M521" s="19">
        <v>46219</v>
      </c>
      <c r="N521" s="18" t="s">
        <v>1112</v>
      </c>
      <c r="O521" s="18" t="s">
        <v>1117</v>
      </c>
      <c r="P521" s="18" t="s">
        <v>1118</v>
      </c>
      <c r="Q521" s="18" t="s">
        <v>1119</v>
      </c>
      <c r="R521" s="18" t="s">
        <v>1120</v>
      </c>
      <c r="S521" s="18">
        <v>12</v>
      </c>
      <c r="T521" s="18">
        <v>1757.88</v>
      </c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</row>
    <row r="522" spans="6:39" x14ac:dyDescent="0.35">
      <c r="F522" s="18" t="s">
        <v>1109</v>
      </c>
      <c r="G522" s="19">
        <v>46219</v>
      </c>
      <c r="H522" s="18" t="s">
        <v>5623</v>
      </c>
      <c r="I522" s="18" t="s">
        <v>1110</v>
      </c>
      <c r="J522" s="18">
        <v>1075</v>
      </c>
      <c r="K522" s="18" t="s">
        <v>1121</v>
      </c>
      <c r="L522" s="18" t="s">
        <v>5793</v>
      </c>
      <c r="M522" s="19">
        <v>46219</v>
      </c>
      <c r="N522" s="18" t="s">
        <v>1122</v>
      </c>
      <c r="O522" s="18" t="s">
        <v>1123</v>
      </c>
      <c r="P522" s="18" t="s">
        <v>1124</v>
      </c>
      <c r="Q522" s="18" t="s">
        <v>1125</v>
      </c>
      <c r="R522" s="18" t="s">
        <v>1126</v>
      </c>
      <c r="S522" s="18">
        <v>346</v>
      </c>
      <c r="T522" s="18">
        <v>16608</v>
      </c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</row>
    <row r="523" spans="6:39" x14ac:dyDescent="0.35">
      <c r="F523" s="18" t="s">
        <v>1109</v>
      </c>
      <c r="G523" s="19">
        <v>46219</v>
      </c>
      <c r="H523" s="18" t="s">
        <v>5623</v>
      </c>
      <c r="I523" s="18" t="s">
        <v>1110</v>
      </c>
      <c r="J523" s="18">
        <v>1076</v>
      </c>
      <c r="K523" s="18" t="s">
        <v>1111</v>
      </c>
      <c r="L523" s="18" t="s">
        <v>5794</v>
      </c>
      <c r="M523" s="19">
        <v>46219</v>
      </c>
      <c r="N523" s="18" t="s">
        <v>1112</v>
      </c>
      <c r="O523" s="18" t="s">
        <v>1117</v>
      </c>
      <c r="P523" s="18" t="s">
        <v>1118</v>
      </c>
      <c r="Q523" s="18" t="s">
        <v>1119</v>
      </c>
      <c r="R523" s="18" t="s">
        <v>1120</v>
      </c>
      <c r="S523" s="18">
        <v>2330</v>
      </c>
      <c r="T523" s="18">
        <v>348311.7</v>
      </c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</row>
    <row r="524" spans="6:39" x14ac:dyDescent="0.35">
      <c r="F524" s="18" t="s">
        <v>1109</v>
      </c>
      <c r="G524" s="19">
        <v>46219</v>
      </c>
      <c r="H524" s="18" t="s">
        <v>5623</v>
      </c>
      <c r="I524" s="18" t="s">
        <v>1110</v>
      </c>
      <c r="J524" s="18">
        <v>1076</v>
      </c>
      <c r="K524" s="18" t="s">
        <v>1111</v>
      </c>
      <c r="L524" s="18" t="s">
        <v>5794</v>
      </c>
      <c r="M524" s="19">
        <v>46219</v>
      </c>
      <c r="N524" s="18" t="s">
        <v>1112</v>
      </c>
      <c r="O524" s="18" t="s">
        <v>1117</v>
      </c>
      <c r="P524" s="18" t="s">
        <v>1138</v>
      </c>
      <c r="Q524" s="18" t="s">
        <v>1139</v>
      </c>
      <c r="R524" s="18" t="s">
        <v>1140</v>
      </c>
      <c r="S524" s="18">
        <v>5916</v>
      </c>
      <c r="T524" s="18">
        <v>913962.84</v>
      </c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</row>
    <row r="525" spans="6:39" x14ac:dyDescent="0.35">
      <c r="F525" s="18" t="s">
        <v>1109</v>
      </c>
      <c r="G525" s="19">
        <v>46219</v>
      </c>
      <c r="H525" s="18" t="s">
        <v>1135</v>
      </c>
      <c r="I525" s="18" t="s">
        <v>1136</v>
      </c>
      <c r="J525" s="18" t="s">
        <v>5795</v>
      </c>
      <c r="K525" s="18" t="s">
        <v>1137</v>
      </c>
      <c r="L525" s="18" t="s">
        <v>5795</v>
      </c>
      <c r="M525" s="19">
        <v>46219</v>
      </c>
      <c r="N525" s="18" t="s">
        <v>1112</v>
      </c>
      <c r="O525" s="18" t="s">
        <v>1117</v>
      </c>
      <c r="P525" s="18" t="s">
        <v>1138</v>
      </c>
      <c r="Q525" s="18" t="s">
        <v>1139</v>
      </c>
      <c r="R525" s="18" t="s">
        <v>1140</v>
      </c>
      <c r="S525" s="18">
        <v>2369</v>
      </c>
      <c r="T525" s="18">
        <v>336416.74</v>
      </c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</row>
    <row r="526" spans="6:39" x14ac:dyDescent="0.35">
      <c r="F526" s="18" t="s">
        <v>1109</v>
      </c>
      <c r="G526" s="19">
        <v>46219</v>
      </c>
      <c r="H526" s="18" t="s">
        <v>1135</v>
      </c>
      <c r="I526" s="18" t="s">
        <v>1136</v>
      </c>
      <c r="J526" s="18" t="s">
        <v>5796</v>
      </c>
      <c r="K526" s="18" t="s">
        <v>1137</v>
      </c>
      <c r="L526" s="18" t="s">
        <v>5796</v>
      </c>
      <c r="M526" s="19">
        <v>46219</v>
      </c>
      <c r="N526" s="18" t="s">
        <v>1112</v>
      </c>
      <c r="O526" s="18" t="s">
        <v>1127</v>
      </c>
      <c r="P526" s="18" t="s">
        <v>1128</v>
      </c>
      <c r="Q526" s="18" t="s">
        <v>1129</v>
      </c>
      <c r="R526" s="18" t="s">
        <v>1130</v>
      </c>
      <c r="S526" s="18">
        <v>201.1</v>
      </c>
      <c r="T526" s="18">
        <v>35112.055</v>
      </c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</row>
    <row r="527" spans="6:39" x14ac:dyDescent="0.35">
      <c r="F527" s="18" t="s">
        <v>1109</v>
      </c>
      <c r="G527" s="19">
        <v>46219</v>
      </c>
      <c r="H527" s="18" t="s">
        <v>1135</v>
      </c>
      <c r="I527" s="18" t="s">
        <v>1136</v>
      </c>
      <c r="J527" s="18" t="s">
        <v>5797</v>
      </c>
      <c r="K527" s="18" t="s">
        <v>1137</v>
      </c>
      <c r="L527" s="18" t="s">
        <v>5797</v>
      </c>
      <c r="M527" s="19">
        <v>46219</v>
      </c>
      <c r="N527" s="18" t="s">
        <v>1112</v>
      </c>
      <c r="O527" s="18" t="s">
        <v>3407</v>
      </c>
      <c r="P527" s="18" t="s">
        <v>3792</v>
      </c>
      <c r="Q527" s="18" t="s">
        <v>1162</v>
      </c>
      <c r="R527" s="18" t="s">
        <v>1163</v>
      </c>
      <c r="S527" s="18">
        <v>444</v>
      </c>
      <c r="T527" s="18">
        <v>71304.035000000003</v>
      </c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</row>
    <row r="528" spans="6:39" x14ac:dyDescent="0.35">
      <c r="F528" s="18" t="s">
        <v>1109</v>
      </c>
      <c r="G528" s="19">
        <v>46219</v>
      </c>
      <c r="H528" s="18" t="s">
        <v>1135</v>
      </c>
      <c r="I528" s="18" t="s">
        <v>1136</v>
      </c>
      <c r="J528" s="18" t="s">
        <v>5798</v>
      </c>
      <c r="K528" s="18" t="s">
        <v>1137</v>
      </c>
      <c r="L528" s="18" t="s">
        <v>5798</v>
      </c>
      <c r="M528" s="19">
        <v>46219</v>
      </c>
      <c r="N528" s="18" t="s">
        <v>1146</v>
      </c>
      <c r="O528" s="18" t="s">
        <v>1170</v>
      </c>
      <c r="P528" s="18" t="s">
        <v>1171</v>
      </c>
      <c r="Q528" s="18" t="s">
        <v>3759</v>
      </c>
      <c r="R528" s="18" t="s">
        <v>5708</v>
      </c>
      <c r="S528" s="18">
        <v>469</v>
      </c>
      <c r="T528" s="18">
        <v>248782.93000000002</v>
      </c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</row>
    <row r="529" spans="6:39" x14ac:dyDescent="0.35">
      <c r="F529" s="18" t="s">
        <v>1109</v>
      </c>
      <c r="G529" s="19">
        <v>46219</v>
      </c>
      <c r="H529" s="18" t="s">
        <v>1135</v>
      </c>
      <c r="I529" s="18" t="s">
        <v>1136</v>
      </c>
      <c r="J529" s="18" t="s">
        <v>5799</v>
      </c>
      <c r="K529" s="18" t="s">
        <v>1137</v>
      </c>
      <c r="L529" s="18" t="s">
        <v>5799</v>
      </c>
      <c r="M529" s="19">
        <v>46219</v>
      </c>
      <c r="N529" s="18" t="s">
        <v>1146</v>
      </c>
      <c r="O529" s="18" t="s">
        <v>1147</v>
      </c>
      <c r="P529" s="18" t="s">
        <v>1147</v>
      </c>
      <c r="Q529" s="18" t="s">
        <v>1148</v>
      </c>
      <c r="R529" s="18" t="s">
        <v>1149</v>
      </c>
      <c r="S529" s="18">
        <v>8220.5</v>
      </c>
      <c r="T529" s="18">
        <v>2055127.1950000001</v>
      </c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</row>
    <row r="530" spans="6:39" x14ac:dyDescent="0.35">
      <c r="F530" s="18" t="s">
        <v>1109</v>
      </c>
      <c r="G530" s="19">
        <v>46219</v>
      </c>
      <c r="H530" s="18" t="s">
        <v>1135</v>
      </c>
      <c r="I530" s="18" t="s">
        <v>1136</v>
      </c>
      <c r="J530" s="18" t="s">
        <v>5800</v>
      </c>
      <c r="K530" s="18" t="s">
        <v>1137</v>
      </c>
      <c r="L530" s="18" t="s">
        <v>5800</v>
      </c>
      <c r="M530" s="19">
        <v>46219</v>
      </c>
      <c r="N530" s="18" t="s">
        <v>1146</v>
      </c>
      <c r="O530" s="18" t="s">
        <v>1147</v>
      </c>
      <c r="P530" s="18" t="s">
        <v>1147</v>
      </c>
      <c r="Q530" s="18" t="s">
        <v>1148</v>
      </c>
      <c r="R530" s="18" t="s">
        <v>1149</v>
      </c>
      <c r="S530" s="18">
        <v>312</v>
      </c>
      <c r="T530" s="18">
        <v>78000.505000000005</v>
      </c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</row>
    <row r="531" spans="6:39" x14ac:dyDescent="0.35">
      <c r="F531" s="18" t="s">
        <v>1109</v>
      </c>
      <c r="G531" s="19">
        <v>46219</v>
      </c>
      <c r="H531" s="18" t="s">
        <v>1135</v>
      </c>
      <c r="I531" s="18" t="s">
        <v>1136</v>
      </c>
      <c r="J531" s="18" t="s">
        <v>5801</v>
      </c>
      <c r="K531" s="18" t="s">
        <v>1137</v>
      </c>
      <c r="L531" s="18" t="s">
        <v>5801</v>
      </c>
      <c r="M531" s="19">
        <v>46219</v>
      </c>
      <c r="N531" s="18" t="s">
        <v>1112</v>
      </c>
      <c r="O531" s="18" t="s">
        <v>1117</v>
      </c>
      <c r="P531" s="18" t="s">
        <v>1118</v>
      </c>
      <c r="Q531" s="18" t="s">
        <v>1119</v>
      </c>
      <c r="R531" s="18" t="s">
        <v>1120</v>
      </c>
      <c r="S531" s="18">
        <v>1058.7</v>
      </c>
      <c r="T531" s="18">
        <v>147155.11199999999</v>
      </c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</row>
    <row r="532" spans="6:39" x14ac:dyDescent="0.35">
      <c r="F532" s="18" t="s">
        <v>1109</v>
      </c>
      <c r="G532" s="19">
        <v>46219</v>
      </c>
      <c r="H532" s="18" t="s">
        <v>485</v>
      </c>
      <c r="I532" s="18" t="s">
        <v>1110</v>
      </c>
      <c r="J532" s="18" t="s">
        <v>5802</v>
      </c>
      <c r="K532" s="18" t="s">
        <v>3760</v>
      </c>
      <c r="L532" s="18" t="s">
        <v>5802</v>
      </c>
      <c r="M532" s="19">
        <v>46219</v>
      </c>
      <c r="N532" s="18" t="s">
        <v>1146</v>
      </c>
      <c r="O532" s="18" t="s">
        <v>1147</v>
      </c>
      <c r="P532" s="18" t="s">
        <v>1147</v>
      </c>
      <c r="Q532" s="18" t="s">
        <v>1148</v>
      </c>
      <c r="R532" s="18" t="s">
        <v>1149</v>
      </c>
      <c r="S532" s="18">
        <v>3232</v>
      </c>
      <c r="T532" s="18">
        <v>644396.16</v>
      </c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</row>
    <row r="533" spans="6:39" x14ac:dyDescent="0.35">
      <c r="F533" s="18" t="s">
        <v>1109</v>
      </c>
      <c r="G533" s="19">
        <v>46219</v>
      </c>
      <c r="H533" s="18" t="s">
        <v>485</v>
      </c>
      <c r="I533" s="18" t="s">
        <v>1110</v>
      </c>
      <c r="J533" s="18" t="s">
        <v>5802</v>
      </c>
      <c r="K533" s="18" t="s">
        <v>3760</v>
      </c>
      <c r="L533" s="18" t="s">
        <v>5802</v>
      </c>
      <c r="M533" s="19">
        <v>46219</v>
      </c>
      <c r="N533" s="18" t="s">
        <v>1146</v>
      </c>
      <c r="O533" s="18" t="s">
        <v>1147</v>
      </c>
      <c r="P533" s="18" t="s">
        <v>1147</v>
      </c>
      <c r="Q533" s="18" t="s">
        <v>1148</v>
      </c>
      <c r="R533" s="18" t="s">
        <v>1149</v>
      </c>
      <c r="S533" s="18">
        <v>1584</v>
      </c>
      <c r="T533" s="18">
        <v>313568.64000000001</v>
      </c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</row>
    <row r="534" spans="6:39" x14ac:dyDescent="0.35">
      <c r="F534" s="18" t="s">
        <v>1109</v>
      </c>
      <c r="G534" s="19">
        <v>46219</v>
      </c>
      <c r="H534" s="18" t="s">
        <v>485</v>
      </c>
      <c r="I534" s="18" t="s">
        <v>1110</v>
      </c>
      <c r="J534" s="18" t="s">
        <v>5802</v>
      </c>
      <c r="K534" s="18" t="s">
        <v>3760</v>
      </c>
      <c r="L534" s="18" t="s">
        <v>5802</v>
      </c>
      <c r="M534" s="19">
        <v>46219</v>
      </c>
      <c r="N534" s="18" t="s">
        <v>1146</v>
      </c>
      <c r="O534" s="18" t="s">
        <v>1147</v>
      </c>
      <c r="P534" s="18" t="s">
        <v>1147</v>
      </c>
      <c r="Q534" s="18" t="s">
        <v>1148</v>
      </c>
      <c r="R534" s="18" t="s">
        <v>1149</v>
      </c>
      <c r="S534" s="18">
        <v>9579</v>
      </c>
      <c r="T534" s="18">
        <v>1934191.68</v>
      </c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</row>
    <row r="535" spans="6:39" x14ac:dyDescent="0.35">
      <c r="F535" s="18" t="s">
        <v>1109</v>
      </c>
      <c r="G535" s="19">
        <v>46219</v>
      </c>
      <c r="H535" s="18" t="s">
        <v>485</v>
      </c>
      <c r="I535" s="18" t="s">
        <v>1110</v>
      </c>
      <c r="J535" s="18" t="s">
        <v>5802</v>
      </c>
      <c r="K535" s="18" t="s">
        <v>3760</v>
      </c>
      <c r="L535" s="18" t="s">
        <v>5802</v>
      </c>
      <c r="M535" s="19">
        <v>46219</v>
      </c>
      <c r="N535" s="18" t="s">
        <v>1146</v>
      </c>
      <c r="O535" s="18" t="s">
        <v>1147</v>
      </c>
      <c r="P535" s="18" t="s">
        <v>1147</v>
      </c>
      <c r="Q535" s="18" t="s">
        <v>1148</v>
      </c>
      <c r="R535" s="18" t="s">
        <v>1149</v>
      </c>
      <c r="S535" s="18">
        <v>3746</v>
      </c>
      <c r="T535" s="18">
        <v>746090.82</v>
      </c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</row>
    <row r="536" spans="6:39" x14ac:dyDescent="0.35">
      <c r="F536" s="18" t="s">
        <v>1109</v>
      </c>
      <c r="G536" s="19">
        <v>46219</v>
      </c>
      <c r="H536" s="18" t="s">
        <v>485</v>
      </c>
      <c r="I536" s="18" t="s">
        <v>1110</v>
      </c>
      <c r="J536" s="18" t="s">
        <v>5802</v>
      </c>
      <c r="K536" s="18" t="s">
        <v>3760</v>
      </c>
      <c r="L536" s="18" t="s">
        <v>5802</v>
      </c>
      <c r="M536" s="19">
        <v>46219</v>
      </c>
      <c r="N536" s="18" t="s">
        <v>1146</v>
      </c>
      <c r="O536" s="18" t="s">
        <v>1147</v>
      </c>
      <c r="P536" s="18" t="s">
        <v>1147</v>
      </c>
      <c r="Q536" s="18" t="s">
        <v>1148</v>
      </c>
      <c r="R536" s="18" t="s">
        <v>1149</v>
      </c>
      <c r="S536" s="18">
        <v>390</v>
      </c>
      <c r="T536" s="18">
        <v>77844</v>
      </c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</row>
    <row r="537" spans="6:39" x14ac:dyDescent="0.35">
      <c r="F537" s="18" t="s">
        <v>1109</v>
      </c>
      <c r="G537" s="19">
        <v>46219</v>
      </c>
      <c r="H537" s="18" t="s">
        <v>125</v>
      </c>
      <c r="I537" s="18" t="s">
        <v>1110</v>
      </c>
      <c r="J537" s="18">
        <v>1074</v>
      </c>
      <c r="K537" s="18" t="s">
        <v>1111</v>
      </c>
      <c r="L537" s="18" t="s">
        <v>5507</v>
      </c>
      <c r="M537" s="19">
        <v>46219</v>
      </c>
      <c r="N537" s="18" t="s">
        <v>1112</v>
      </c>
      <c r="O537" s="18" t="s">
        <v>1113</v>
      </c>
      <c r="P537" s="18" t="s">
        <v>1114</v>
      </c>
      <c r="Q537" s="18" t="s">
        <v>1115</v>
      </c>
      <c r="R537" s="18" t="s">
        <v>1116</v>
      </c>
      <c r="S537" s="18">
        <v>465.4</v>
      </c>
      <c r="T537" s="18">
        <v>72830.45</v>
      </c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</row>
    <row r="538" spans="6:39" x14ac:dyDescent="0.35">
      <c r="F538" s="18" t="s">
        <v>1109</v>
      </c>
      <c r="G538" s="19">
        <v>46219</v>
      </c>
      <c r="H538" s="18" t="s">
        <v>125</v>
      </c>
      <c r="I538" s="18" t="s">
        <v>1110</v>
      </c>
      <c r="J538" s="18">
        <v>1074</v>
      </c>
      <c r="K538" s="18" t="s">
        <v>1111</v>
      </c>
      <c r="L538" s="18" t="s">
        <v>5507</v>
      </c>
      <c r="M538" s="19">
        <v>46219</v>
      </c>
      <c r="N538" s="18" t="s">
        <v>1112</v>
      </c>
      <c r="O538" s="18" t="s">
        <v>1113</v>
      </c>
      <c r="P538" s="18" t="s">
        <v>1114</v>
      </c>
      <c r="Q538" s="18" t="s">
        <v>1115</v>
      </c>
      <c r="R538" s="18" t="s">
        <v>1160</v>
      </c>
      <c r="S538" s="18">
        <v>826</v>
      </c>
      <c r="T538" s="18">
        <v>129260.74</v>
      </c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</row>
    <row r="539" spans="6:39" x14ac:dyDescent="0.35">
      <c r="F539" s="18" t="s">
        <v>1109</v>
      </c>
      <c r="G539" s="19">
        <v>46219</v>
      </c>
      <c r="H539" s="18" t="s">
        <v>125</v>
      </c>
      <c r="I539" s="18" t="s">
        <v>1110</v>
      </c>
      <c r="J539" s="18">
        <v>1074</v>
      </c>
      <c r="K539" s="18" t="s">
        <v>1111</v>
      </c>
      <c r="L539" s="18" t="s">
        <v>5507</v>
      </c>
      <c r="M539" s="19">
        <v>46219</v>
      </c>
      <c r="N539" s="18" t="s">
        <v>1112</v>
      </c>
      <c r="O539" s="18" t="s">
        <v>1131</v>
      </c>
      <c r="P539" s="18" t="s">
        <v>1132</v>
      </c>
      <c r="Q539" s="18" t="s">
        <v>1132</v>
      </c>
      <c r="R539" s="18" t="s">
        <v>1131</v>
      </c>
      <c r="S539" s="18">
        <v>511.3</v>
      </c>
      <c r="T539" s="18">
        <v>76434.240000000005</v>
      </c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</row>
    <row r="540" spans="6:39" x14ac:dyDescent="0.35">
      <c r="F540" s="18" t="s">
        <v>1109</v>
      </c>
      <c r="G540" s="19">
        <v>46219</v>
      </c>
      <c r="H540" s="18" t="s">
        <v>125</v>
      </c>
      <c r="I540" s="18" t="s">
        <v>1110</v>
      </c>
      <c r="J540" s="18">
        <v>1074</v>
      </c>
      <c r="K540" s="18" t="s">
        <v>1111</v>
      </c>
      <c r="L540" s="18" t="s">
        <v>5507</v>
      </c>
      <c r="M540" s="19">
        <v>46219</v>
      </c>
      <c r="N540" s="18" t="s">
        <v>1112</v>
      </c>
      <c r="O540" s="18" t="s">
        <v>1131</v>
      </c>
      <c r="P540" s="18" t="s">
        <v>1132</v>
      </c>
      <c r="Q540" s="18" t="s">
        <v>1132</v>
      </c>
      <c r="R540" s="18" t="s">
        <v>1131</v>
      </c>
      <c r="S540" s="18">
        <v>238</v>
      </c>
      <c r="T540" s="18">
        <v>34864.620000000003</v>
      </c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</row>
    <row r="541" spans="6:39" x14ac:dyDescent="0.35">
      <c r="F541" s="18" t="s">
        <v>1109</v>
      </c>
      <c r="G541" s="19">
        <v>46219</v>
      </c>
      <c r="H541" s="18" t="s">
        <v>125</v>
      </c>
      <c r="I541" s="18" t="s">
        <v>1110</v>
      </c>
      <c r="J541" s="18">
        <v>1074</v>
      </c>
      <c r="K541" s="18" t="s">
        <v>1111</v>
      </c>
      <c r="L541" s="18" t="s">
        <v>5507</v>
      </c>
      <c r="M541" s="19">
        <v>46219</v>
      </c>
      <c r="N541" s="18" t="s">
        <v>1112</v>
      </c>
      <c r="O541" s="18" t="s">
        <v>1113</v>
      </c>
      <c r="P541" s="18" t="s">
        <v>1114</v>
      </c>
      <c r="Q541" s="18" t="s">
        <v>1115</v>
      </c>
      <c r="R541" s="18" t="s">
        <v>3793</v>
      </c>
      <c r="S541" s="18">
        <v>423.8</v>
      </c>
      <c r="T541" s="18">
        <v>67591.86</v>
      </c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</row>
    <row r="542" spans="6:39" x14ac:dyDescent="0.35">
      <c r="F542" s="18" t="s">
        <v>1109</v>
      </c>
      <c r="G542" s="19">
        <v>46219</v>
      </c>
      <c r="H542" s="18" t="s">
        <v>125</v>
      </c>
      <c r="I542" s="18" t="s">
        <v>1110</v>
      </c>
      <c r="J542" s="18">
        <v>1074</v>
      </c>
      <c r="K542" s="18" t="s">
        <v>1111</v>
      </c>
      <c r="L542" s="18" t="s">
        <v>5507</v>
      </c>
      <c r="M542" s="19">
        <v>46219</v>
      </c>
      <c r="N542" s="18" t="s">
        <v>1112</v>
      </c>
      <c r="O542" s="18" t="s">
        <v>1127</v>
      </c>
      <c r="P542" s="18" t="s">
        <v>1128</v>
      </c>
      <c r="Q542" s="18" t="s">
        <v>1129</v>
      </c>
      <c r="R542" s="18" t="s">
        <v>1130</v>
      </c>
      <c r="S542" s="18">
        <v>939.1</v>
      </c>
      <c r="T542" s="18">
        <v>194187.1</v>
      </c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</row>
    <row r="543" spans="6:39" x14ac:dyDescent="0.35">
      <c r="F543" s="18" t="s">
        <v>1109</v>
      </c>
      <c r="G543" s="19">
        <v>46219</v>
      </c>
      <c r="H543" s="18" t="s">
        <v>125</v>
      </c>
      <c r="I543" s="18" t="s">
        <v>1110</v>
      </c>
      <c r="J543" s="18">
        <v>1074</v>
      </c>
      <c r="K543" s="18" t="s">
        <v>1111</v>
      </c>
      <c r="L543" s="18" t="s">
        <v>5507</v>
      </c>
      <c r="M543" s="19">
        <v>46219</v>
      </c>
      <c r="N543" s="18" t="s">
        <v>1112</v>
      </c>
      <c r="O543" s="18" t="s">
        <v>1127</v>
      </c>
      <c r="P543" s="18" t="s">
        <v>1128</v>
      </c>
      <c r="Q543" s="18" t="s">
        <v>1129</v>
      </c>
      <c r="R543" s="18" t="s">
        <v>1130</v>
      </c>
      <c r="S543" s="18">
        <v>811</v>
      </c>
      <c r="T543" s="18">
        <v>164454.57999999999</v>
      </c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</row>
    <row r="544" spans="6:39" x14ac:dyDescent="0.35">
      <c r="F544" s="18" t="s">
        <v>1109</v>
      </c>
      <c r="G544" s="19">
        <v>46220</v>
      </c>
      <c r="H544" s="18" t="s">
        <v>3790</v>
      </c>
      <c r="I544" s="18" t="s">
        <v>1110</v>
      </c>
      <c r="J544" s="18">
        <v>1079</v>
      </c>
      <c r="K544" s="18" t="s">
        <v>1111</v>
      </c>
      <c r="L544" s="18" t="s">
        <v>5803</v>
      </c>
      <c r="M544" s="19">
        <v>46220</v>
      </c>
      <c r="N544" s="18" t="s">
        <v>1112</v>
      </c>
      <c r="O544" s="18" t="s">
        <v>1117</v>
      </c>
      <c r="P544" s="18" t="s">
        <v>1138</v>
      </c>
      <c r="Q544" s="18" t="s">
        <v>1139</v>
      </c>
      <c r="R544" s="18" t="s">
        <v>1140</v>
      </c>
      <c r="S544" s="18">
        <v>815</v>
      </c>
      <c r="T544" s="18">
        <v>119389.35</v>
      </c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</row>
    <row r="545" spans="6:39" x14ac:dyDescent="0.35">
      <c r="F545" s="18" t="s">
        <v>1109</v>
      </c>
      <c r="G545" s="19">
        <v>46220</v>
      </c>
      <c r="H545" s="18" t="s">
        <v>3790</v>
      </c>
      <c r="I545" s="18" t="s">
        <v>1110</v>
      </c>
      <c r="J545" s="18">
        <v>1079</v>
      </c>
      <c r="K545" s="18" t="s">
        <v>1111</v>
      </c>
      <c r="L545" s="18" t="s">
        <v>5803</v>
      </c>
      <c r="M545" s="19">
        <v>46220</v>
      </c>
      <c r="N545" s="18" t="s">
        <v>1112</v>
      </c>
      <c r="O545" s="18" t="s">
        <v>1117</v>
      </c>
      <c r="P545" s="18" t="s">
        <v>1138</v>
      </c>
      <c r="Q545" s="18" t="s">
        <v>1139</v>
      </c>
      <c r="R545" s="18" t="s">
        <v>1140</v>
      </c>
      <c r="S545" s="18">
        <v>335</v>
      </c>
      <c r="T545" s="18">
        <v>49744.15</v>
      </c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</row>
    <row r="546" spans="6:39" x14ac:dyDescent="0.35">
      <c r="F546" s="18" t="s">
        <v>1109</v>
      </c>
      <c r="G546" s="19">
        <v>46220</v>
      </c>
      <c r="H546" s="18" t="s">
        <v>3790</v>
      </c>
      <c r="I546" s="18" t="s">
        <v>1110</v>
      </c>
      <c r="J546" s="18">
        <v>1079</v>
      </c>
      <c r="K546" s="18" t="s">
        <v>1111</v>
      </c>
      <c r="L546" s="18" t="s">
        <v>5803</v>
      </c>
      <c r="M546" s="19">
        <v>46220</v>
      </c>
      <c r="N546" s="18" t="s">
        <v>1112</v>
      </c>
      <c r="O546" s="18" t="s">
        <v>1117</v>
      </c>
      <c r="P546" s="18" t="s">
        <v>1118</v>
      </c>
      <c r="Q546" s="18" t="s">
        <v>1119</v>
      </c>
      <c r="R546" s="18" t="s">
        <v>1120</v>
      </c>
      <c r="S546" s="18">
        <v>4705</v>
      </c>
      <c r="T546" s="18">
        <v>679825.45</v>
      </c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</row>
    <row r="547" spans="6:39" x14ac:dyDescent="0.35">
      <c r="F547" s="18" t="s">
        <v>1109</v>
      </c>
      <c r="G547" s="19">
        <v>46220</v>
      </c>
      <c r="H547" s="18" t="s">
        <v>3790</v>
      </c>
      <c r="I547" s="18" t="s">
        <v>1110</v>
      </c>
      <c r="J547" s="18">
        <v>1079</v>
      </c>
      <c r="K547" s="18" t="s">
        <v>1111</v>
      </c>
      <c r="L547" s="18" t="s">
        <v>5803</v>
      </c>
      <c r="M547" s="19">
        <v>46220</v>
      </c>
      <c r="N547" s="18" t="s">
        <v>1112</v>
      </c>
      <c r="O547" s="18" t="s">
        <v>1117</v>
      </c>
      <c r="P547" s="18" t="s">
        <v>1118</v>
      </c>
      <c r="Q547" s="18" t="s">
        <v>1119</v>
      </c>
      <c r="R547" s="18" t="s">
        <v>1120</v>
      </c>
      <c r="S547" s="18">
        <v>251</v>
      </c>
      <c r="T547" s="18">
        <v>37019.99</v>
      </c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</row>
    <row r="548" spans="6:39" x14ac:dyDescent="0.35">
      <c r="F548" s="18" t="s">
        <v>1109</v>
      </c>
      <c r="G548" s="19">
        <v>46220</v>
      </c>
      <c r="H548" s="18" t="s">
        <v>3790</v>
      </c>
      <c r="I548" s="18" t="s">
        <v>1110</v>
      </c>
      <c r="J548" s="18">
        <v>1079</v>
      </c>
      <c r="K548" s="18" t="s">
        <v>1111</v>
      </c>
      <c r="L548" s="18" t="s">
        <v>5803</v>
      </c>
      <c r="M548" s="19">
        <v>46220</v>
      </c>
      <c r="N548" s="18" t="s">
        <v>1112</v>
      </c>
      <c r="O548" s="18" t="s">
        <v>1117</v>
      </c>
      <c r="P548" s="18" t="s">
        <v>1118</v>
      </c>
      <c r="Q548" s="18" t="s">
        <v>1119</v>
      </c>
      <c r="R548" s="18" t="s">
        <v>1120</v>
      </c>
      <c r="S548" s="18">
        <v>1826</v>
      </c>
      <c r="T548" s="18">
        <v>267490.74</v>
      </c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</row>
    <row r="549" spans="6:39" x14ac:dyDescent="0.35">
      <c r="F549" s="18" t="s">
        <v>1109</v>
      </c>
      <c r="G549" s="19">
        <v>46220</v>
      </c>
      <c r="H549" s="18" t="s">
        <v>3790</v>
      </c>
      <c r="I549" s="18" t="s">
        <v>1110</v>
      </c>
      <c r="J549" s="18">
        <v>1084</v>
      </c>
      <c r="K549" s="18" t="s">
        <v>1121</v>
      </c>
      <c r="L549" s="18" t="s">
        <v>5804</v>
      </c>
      <c r="M549" s="19">
        <v>46220</v>
      </c>
      <c r="N549" s="18" t="s">
        <v>1122</v>
      </c>
      <c r="O549" s="18" t="s">
        <v>1123</v>
      </c>
      <c r="P549" s="18" t="s">
        <v>1124</v>
      </c>
      <c r="Q549" s="18" t="s">
        <v>1125</v>
      </c>
      <c r="R549" s="18" t="s">
        <v>1126</v>
      </c>
      <c r="S549" s="18">
        <v>367</v>
      </c>
      <c r="T549" s="18">
        <v>17616</v>
      </c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</row>
    <row r="550" spans="6:39" x14ac:dyDescent="0.35">
      <c r="F550" s="18" t="s">
        <v>1109</v>
      </c>
      <c r="G550" s="19">
        <v>46220</v>
      </c>
      <c r="H550" s="18" t="s">
        <v>3790</v>
      </c>
      <c r="I550" s="18" t="s">
        <v>1110</v>
      </c>
      <c r="J550" s="18">
        <v>1085</v>
      </c>
      <c r="K550" s="18" t="s">
        <v>1111</v>
      </c>
      <c r="L550" s="18" t="s">
        <v>5805</v>
      </c>
      <c r="M550" s="19">
        <v>46220</v>
      </c>
      <c r="N550" s="18" t="s">
        <v>1112</v>
      </c>
      <c r="O550" s="18" t="s">
        <v>1117</v>
      </c>
      <c r="P550" s="18" t="s">
        <v>1138</v>
      </c>
      <c r="Q550" s="18" t="s">
        <v>1139</v>
      </c>
      <c r="R550" s="18" t="s">
        <v>1140</v>
      </c>
      <c r="S550" s="18">
        <v>700</v>
      </c>
      <c r="T550" s="18">
        <v>106043</v>
      </c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</row>
    <row r="551" spans="6:39" x14ac:dyDescent="0.35">
      <c r="F551" s="18" t="s">
        <v>1109</v>
      </c>
      <c r="G551" s="19">
        <v>46220</v>
      </c>
      <c r="H551" s="18" t="s">
        <v>3790</v>
      </c>
      <c r="I551" s="18" t="s">
        <v>1110</v>
      </c>
      <c r="J551" s="18">
        <v>1085</v>
      </c>
      <c r="K551" s="18" t="s">
        <v>1111</v>
      </c>
      <c r="L551" s="18" t="s">
        <v>5805</v>
      </c>
      <c r="M551" s="19">
        <v>46220</v>
      </c>
      <c r="N551" s="18" t="s">
        <v>1112</v>
      </c>
      <c r="O551" s="18" t="s">
        <v>1131</v>
      </c>
      <c r="P551" s="18" t="s">
        <v>1132</v>
      </c>
      <c r="Q551" s="18" t="s">
        <v>1132</v>
      </c>
      <c r="R551" s="18" t="s">
        <v>1131</v>
      </c>
      <c r="S551" s="18">
        <v>705.8</v>
      </c>
      <c r="T551" s="18">
        <v>105510.04</v>
      </c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</row>
    <row r="552" spans="6:39" x14ac:dyDescent="0.35">
      <c r="F552" s="18" t="s">
        <v>1109</v>
      </c>
      <c r="G552" s="19">
        <v>46220</v>
      </c>
      <c r="H552" s="18" t="s">
        <v>3790</v>
      </c>
      <c r="I552" s="18" t="s">
        <v>1110</v>
      </c>
      <c r="J552" s="18">
        <v>1085</v>
      </c>
      <c r="K552" s="18" t="s">
        <v>1111</v>
      </c>
      <c r="L552" s="18" t="s">
        <v>5805</v>
      </c>
      <c r="M552" s="19">
        <v>46220</v>
      </c>
      <c r="N552" s="18" t="s">
        <v>1112</v>
      </c>
      <c r="O552" s="18" t="s">
        <v>1131</v>
      </c>
      <c r="P552" s="18" t="s">
        <v>1132</v>
      </c>
      <c r="Q552" s="18" t="s">
        <v>1132</v>
      </c>
      <c r="R552" s="18" t="s">
        <v>1131</v>
      </c>
      <c r="S552" s="18">
        <v>306.8</v>
      </c>
      <c r="T552" s="18">
        <v>44943.13</v>
      </c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</row>
    <row r="553" spans="6:39" x14ac:dyDescent="0.35">
      <c r="F553" s="18" t="s">
        <v>1109</v>
      </c>
      <c r="G553" s="19">
        <v>46220</v>
      </c>
      <c r="H553" s="18" t="s">
        <v>3790</v>
      </c>
      <c r="I553" s="18" t="s">
        <v>1110</v>
      </c>
      <c r="J553" s="18">
        <v>1085</v>
      </c>
      <c r="K553" s="18" t="s">
        <v>1111</v>
      </c>
      <c r="L553" s="18" t="s">
        <v>5805</v>
      </c>
      <c r="M553" s="19">
        <v>46220</v>
      </c>
      <c r="N553" s="18" t="s">
        <v>1112</v>
      </c>
      <c r="O553" s="18" t="s">
        <v>1127</v>
      </c>
      <c r="P553" s="18" t="s">
        <v>1128</v>
      </c>
      <c r="Q553" s="18" t="s">
        <v>1129</v>
      </c>
      <c r="R553" s="18" t="s">
        <v>1130</v>
      </c>
      <c r="S553" s="18">
        <v>1307</v>
      </c>
      <c r="T553" s="18">
        <v>244121.46</v>
      </c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</row>
    <row r="554" spans="6:39" x14ac:dyDescent="0.35">
      <c r="F554" s="18" t="s">
        <v>1109</v>
      </c>
      <c r="G554" s="19">
        <v>46220</v>
      </c>
      <c r="H554" s="18" t="s">
        <v>3790</v>
      </c>
      <c r="I554" s="18" t="s">
        <v>1110</v>
      </c>
      <c r="J554" s="18">
        <v>1085</v>
      </c>
      <c r="K554" s="18" t="s">
        <v>1111</v>
      </c>
      <c r="L554" s="18" t="s">
        <v>5805</v>
      </c>
      <c r="M554" s="19">
        <v>46220</v>
      </c>
      <c r="N554" s="18" t="s">
        <v>1112</v>
      </c>
      <c r="O554" s="18" t="s">
        <v>1117</v>
      </c>
      <c r="P554" s="18" t="s">
        <v>1118</v>
      </c>
      <c r="Q554" s="18" t="s">
        <v>1119</v>
      </c>
      <c r="R554" s="18" t="s">
        <v>1120</v>
      </c>
      <c r="S554" s="18">
        <v>2119</v>
      </c>
      <c r="T554" s="18">
        <v>306174.31</v>
      </c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</row>
    <row r="555" spans="6:39" x14ac:dyDescent="0.35">
      <c r="F555" s="18" t="s">
        <v>1109</v>
      </c>
      <c r="G555" s="19">
        <v>46220</v>
      </c>
      <c r="H555" s="18" t="s">
        <v>1135</v>
      </c>
      <c r="I555" s="18" t="s">
        <v>1136</v>
      </c>
      <c r="J555" s="18" t="s">
        <v>5806</v>
      </c>
      <c r="K555" s="18" t="s">
        <v>1137</v>
      </c>
      <c r="L555" s="18" t="s">
        <v>5806</v>
      </c>
      <c r="M555" s="19">
        <v>46220</v>
      </c>
      <c r="N555" s="18" t="s">
        <v>1112</v>
      </c>
      <c r="O555" s="18" t="s">
        <v>1113</v>
      </c>
      <c r="P555" s="18" t="s">
        <v>1114</v>
      </c>
      <c r="Q555" s="18" t="s">
        <v>1115</v>
      </c>
      <c r="R555" s="18" t="s">
        <v>5736</v>
      </c>
      <c r="S555" s="18">
        <v>409.7</v>
      </c>
      <c r="T555" s="18">
        <v>60899.963499999998</v>
      </c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</row>
    <row r="556" spans="6:39" x14ac:dyDescent="0.35">
      <c r="F556" s="18" t="s">
        <v>1109</v>
      </c>
      <c r="G556" s="19">
        <v>46220</v>
      </c>
      <c r="H556" s="18" t="s">
        <v>1135</v>
      </c>
      <c r="I556" s="18" t="s">
        <v>1136</v>
      </c>
      <c r="J556" s="18" t="s">
        <v>5806</v>
      </c>
      <c r="K556" s="18" t="s">
        <v>1137</v>
      </c>
      <c r="L556" s="18" t="s">
        <v>5806</v>
      </c>
      <c r="M556" s="19">
        <v>46220</v>
      </c>
      <c r="N556" s="18" t="s">
        <v>1112</v>
      </c>
      <c r="O556" s="18" t="s">
        <v>1113</v>
      </c>
      <c r="P556" s="18" t="s">
        <v>1114</v>
      </c>
      <c r="Q556" s="18" t="s">
        <v>1115</v>
      </c>
      <c r="R556" s="18" t="s">
        <v>1160</v>
      </c>
      <c r="S556" s="18">
        <v>380.1</v>
      </c>
      <c r="T556" s="18">
        <v>56499.718499999995</v>
      </c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</row>
    <row r="557" spans="6:39" x14ac:dyDescent="0.35">
      <c r="F557" s="18" t="s">
        <v>1109</v>
      </c>
      <c r="G557" s="19">
        <v>46220</v>
      </c>
      <c r="H557" s="18" t="s">
        <v>1135</v>
      </c>
      <c r="I557" s="18" t="s">
        <v>1136</v>
      </c>
      <c r="J557" s="18" t="s">
        <v>5806</v>
      </c>
      <c r="K557" s="18" t="s">
        <v>1137</v>
      </c>
      <c r="L557" s="18" t="s">
        <v>5806</v>
      </c>
      <c r="M557" s="19">
        <v>46220</v>
      </c>
      <c r="N557" s="18" t="s">
        <v>1112</v>
      </c>
      <c r="O557" s="18" t="s">
        <v>1113</v>
      </c>
      <c r="P557" s="18" t="s">
        <v>1114</v>
      </c>
      <c r="Q557" s="18" t="s">
        <v>1115</v>
      </c>
      <c r="R557" s="18" t="s">
        <v>1116</v>
      </c>
      <c r="S557" s="18">
        <v>1398.5</v>
      </c>
      <c r="T557" s="18">
        <v>207878.64600000001</v>
      </c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</row>
    <row r="558" spans="6:39" x14ac:dyDescent="0.35">
      <c r="F558" s="18" t="s">
        <v>1109</v>
      </c>
      <c r="G558" s="19">
        <v>46220</v>
      </c>
      <c r="H558" s="18" t="s">
        <v>1135</v>
      </c>
      <c r="I558" s="18" t="s">
        <v>1136</v>
      </c>
      <c r="J558" s="18" t="s">
        <v>5807</v>
      </c>
      <c r="K558" s="18" t="s">
        <v>1137</v>
      </c>
      <c r="L558" s="18" t="s">
        <v>5807</v>
      </c>
      <c r="M558" s="19">
        <v>46220</v>
      </c>
      <c r="N558" s="18" t="s">
        <v>1112</v>
      </c>
      <c r="O558" s="18" t="s">
        <v>1127</v>
      </c>
      <c r="P558" s="18" t="s">
        <v>1128</v>
      </c>
      <c r="Q558" s="18" t="s">
        <v>1129</v>
      </c>
      <c r="R558" s="18" t="s">
        <v>1130</v>
      </c>
      <c r="S558" s="18">
        <v>123</v>
      </c>
      <c r="T558" s="18">
        <v>21476.014999999999</v>
      </c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</row>
    <row r="559" spans="6:39" x14ac:dyDescent="0.35">
      <c r="F559" s="18" t="s">
        <v>1109</v>
      </c>
      <c r="G559" s="19">
        <v>46220</v>
      </c>
      <c r="H559" s="18" t="s">
        <v>1135</v>
      </c>
      <c r="I559" s="18" t="s">
        <v>1136</v>
      </c>
      <c r="J559" s="18" t="s">
        <v>5808</v>
      </c>
      <c r="K559" s="18" t="s">
        <v>1137</v>
      </c>
      <c r="L559" s="18" t="s">
        <v>5808</v>
      </c>
      <c r="M559" s="19">
        <v>46220</v>
      </c>
      <c r="N559" s="18" t="s">
        <v>1112</v>
      </c>
      <c r="O559" s="18" t="s">
        <v>1117</v>
      </c>
      <c r="P559" s="18" t="s">
        <v>1138</v>
      </c>
      <c r="Q559" s="18" t="s">
        <v>1139</v>
      </c>
      <c r="R559" s="18" t="s">
        <v>1140</v>
      </c>
      <c r="S559" s="18">
        <v>3887</v>
      </c>
      <c r="T559" s="18">
        <v>551984.73</v>
      </c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</row>
    <row r="560" spans="6:39" x14ac:dyDescent="0.35">
      <c r="F560" s="18" t="s">
        <v>1109</v>
      </c>
      <c r="G560" s="19">
        <v>46220</v>
      </c>
      <c r="H560" s="18" t="s">
        <v>485</v>
      </c>
      <c r="I560" s="18" t="s">
        <v>1110</v>
      </c>
      <c r="J560" s="18">
        <v>1080</v>
      </c>
      <c r="K560" s="18" t="s">
        <v>1111</v>
      </c>
      <c r="L560" s="18" t="s">
        <v>5809</v>
      </c>
      <c r="M560" s="19">
        <v>46220</v>
      </c>
      <c r="N560" s="18" t="s">
        <v>1112</v>
      </c>
      <c r="O560" s="18" t="s">
        <v>1117</v>
      </c>
      <c r="P560" s="18" t="s">
        <v>1138</v>
      </c>
      <c r="Q560" s="18" t="s">
        <v>1139</v>
      </c>
      <c r="R560" s="18" t="s">
        <v>1140</v>
      </c>
      <c r="S560" s="18">
        <v>9132.1</v>
      </c>
      <c r="T560" s="18">
        <v>1776650.06</v>
      </c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</row>
    <row r="561" spans="6:39" x14ac:dyDescent="0.35">
      <c r="F561" s="18" t="s">
        <v>1109</v>
      </c>
      <c r="G561" s="19">
        <v>46220</v>
      </c>
      <c r="H561" s="18" t="s">
        <v>485</v>
      </c>
      <c r="I561" s="18" t="s">
        <v>1110</v>
      </c>
      <c r="J561" s="18">
        <v>1080</v>
      </c>
      <c r="K561" s="18" t="s">
        <v>1111</v>
      </c>
      <c r="L561" s="18" t="s">
        <v>5809</v>
      </c>
      <c r="M561" s="19">
        <v>46220</v>
      </c>
      <c r="N561" s="18" t="s">
        <v>1112</v>
      </c>
      <c r="O561" s="18" t="s">
        <v>1117</v>
      </c>
      <c r="P561" s="18" t="s">
        <v>1138</v>
      </c>
      <c r="Q561" s="18" t="s">
        <v>1139</v>
      </c>
      <c r="R561" s="18" t="s">
        <v>1140</v>
      </c>
      <c r="S561" s="18">
        <v>1959.2</v>
      </c>
      <c r="T561" s="18">
        <v>376029.26</v>
      </c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</row>
    <row r="562" spans="6:39" x14ac:dyDescent="0.35">
      <c r="F562" s="18" t="s">
        <v>1109</v>
      </c>
      <c r="G562" s="19">
        <v>46220</v>
      </c>
      <c r="H562" s="18" t="s">
        <v>485</v>
      </c>
      <c r="I562" s="18" t="s">
        <v>1110</v>
      </c>
      <c r="J562" s="18">
        <v>1080</v>
      </c>
      <c r="K562" s="18" t="s">
        <v>1111</v>
      </c>
      <c r="L562" s="18" t="s">
        <v>5809</v>
      </c>
      <c r="M562" s="19">
        <v>46220</v>
      </c>
      <c r="N562" s="18" t="s">
        <v>1112</v>
      </c>
      <c r="O562" s="18" t="s">
        <v>1117</v>
      </c>
      <c r="P562" s="18" t="s">
        <v>1138</v>
      </c>
      <c r="Q562" s="18" t="s">
        <v>1139</v>
      </c>
      <c r="R562" s="18" t="s">
        <v>1140</v>
      </c>
      <c r="S562" s="18">
        <v>3911.6</v>
      </c>
      <c r="T562" s="18">
        <v>744690.41</v>
      </c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</row>
    <row r="563" spans="6:39" x14ac:dyDescent="0.35">
      <c r="F563" s="18" t="s">
        <v>1109</v>
      </c>
      <c r="G563" s="19">
        <v>46220</v>
      </c>
      <c r="H563" s="18" t="s">
        <v>485</v>
      </c>
      <c r="I563" s="18" t="s">
        <v>1110</v>
      </c>
      <c r="J563" s="18">
        <v>1080</v>
      </c>
      <c r="K563" s="18" t="s">
        <v>1111</v>
      </c>
      <c r="L563" s="18" t="s">
        <v>5809</v>
      </c>
      <c r="M563" s="19">
        <v>46220</v>
      </c>
      <c r="N563" s="18" t="s">
        <v>1112</v>
      </c>
      <c r="O563" s="18" t="s">
        <v>1117</v>
      </c>
      <c r="P563" s="18" t="s">
        <v>1138</v>
      </c>
      <c r="Q563" s="18" t="s">
        <v>1139</v>
      </c>
      <c r="R563" s="18" t="s">
        <v>1140</v>
      </c>
      <c r="S563" s="18">
        <v>1097</v>
      </c>
      <c r="T563" s="18">
        <v>197712.31</v>
      </c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</row>
    <row r="564" spans="6:39" x14ac:dyDescent="0.35">
      <c r="F564" s="18" t="s">
        <v>1109</v>
      </c>
      <c r="G564" s="19">
        <v>46220</v>
      </c>
      <c r="H564" s="18" t="s">
        <v>485</v>
      </c>
      <c r="I564" s="18" t="s">
        <v>1110</v>
      </c>
      <c r="J564" s="18">
        <v>1080</v>
      </c>
      <c r="K564" s="18" t="s">
        <v>1111</v>
      </c>
      <c r="L564" s="18" t="s">
        <v>5809</v>
      </c>
      <c r="M564" s="19">
        <v>46220</v>
      </c>
      <c r="N564" s="18" t="s">
        <v>1112</v>
      </c>
      <c r="O564" s="18" t="s">
        <v>1117</v>
      </c>
      <c r="P564" s="18" t="s">
        <v>1138</v>
      </c>
      <c r="Q564" s="18" t="s">
        <v>1139</v>
      </c>
      <c r="R564" s="18" t="s">
        <v>1140</v>
      </c>
      <c r="S564" s="18">
        <v>928</v>
      </c>
      <c r="T564" s="18">
        <v>167754.56</v>
      </c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</row>
    <row r="565" spans="6:39" x14ac:dyDescent="0.35">
      <c r="F565" s="18" t="s">
        <v>1109</v>
      </c>
      <c r="G565" s="19">
        <v>46220</v>
      </c>
      <c r="H565" s="18" t="s">
        <v>485</v>
      </c>
      <c r="I565" s="18" t="s">
        <v>1110</v>
      </c>
      <c r="J565" s="18">
        <v>1080</v>
      </c>
      <c r="K565" s="18" t="s">
        <v>1111</v>
      </c>
      <c r="L565" s="18" t="s">
        <v>5809</v>
      </c>
      <c r="M565" s="19">
        <v>46220</v>
      </c>
      <c r="N565" s="18" t="s">
        <v>1112</v>
      </c>
      <c r="O565" s="18" t="s">
        <v>1117</v>
      </c>
      <c r="P565" s="18" t="s">
        <v>1138</v>
      </c>
      <c r="Q565" s="18" t="s">
        <v>1139</v>
      </c>
      <c r="R565" s="18" t="s">
        <v>1140</v>
      </c>
      <c r="S565" s="18">
        <v>2873.9</v>
      </c>
      <c r="T565" s="18">
        <v>542161.24</v>
      </c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</row>
    <row r="566" spans="6:39" x14ac:dyDescent="0.35">
      <c r="F566" s="18" t="s">
        <v>1109</v>
      </c>
      <c r="G566" s="19">
        <v>46220</v>
      </c>
      <c r="H566" s="18" t="s">
        <v>485</v>
      </c>
      <c r="I566" s="18" t="s">
        <v>1110</v>
      </c>
      <c r="J566" s="18">
        <v>1087</v>
      </c>
      <c r="K566" s="18" t="s">
        <v>1121</v>
      </c>
      <c r="L566" s="18" t="s">
        <v>5810</v>
      </c>
      <c r="M566" s="19">
        <v>46220</v>
      </c>
      <c r="N566" s="18" t="s">
        <v>1122</v>
      </c>
      <c r="O566" s="18" t="s">
        <v>1123</v>
      </c>
      <c r="P566" s="18" t="s">
        <v>1124</v>
      </c>
      <c r="Q566" s="18" t="s">
        <v>1125</v>
      </c>
      <c r="R566" s="18" t="s">
        <v>1126</v>
      </c>
      <c r="S566" s="18">
        <v>206</v>
      </c>
      <c r="T566" s="18">
        <v>9888</v>
      </c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</row>
    <row r="567" spans="6:39" x14ac:dyDescent="0.35">
      <c r="F567" s="18" t="s">
        <v>1109</v>
      </c>
      <c r="G567" s="19">
        <v>46220</v>
      </c>
      <c r="H567" s="18" t="s">
        <v>485</v>
      </c>
      <c r="I567" s="18" t="s">
        <v>1110</v>
      </c>
      <c r="J567" s="18">
        <v>1089</v>
      </c>
      <c r="K567" s="18" t="s">
        <v>1111</v>
      </c>
      <c r="L567" s="18" t="s">
        <v>5811</v>
      </c>
      <c r="M567" s="19">
        <v>46220</v>
      </c>
      <c r="N567" s="18" t="s">
        <v>1112</v>
      </c>
      <c r="O567" s="18" t="s">
        <v>1117</v>
      </c>
      <c r="P567" s="18" t="s">
        <v>1118</v>
      </c>
      <c r="Q567" s="18" t="s">
        <v>1119</v>
      </c>
      <c r="R567" s="18" t="s">
        <v>1120</v>
      </c>
      <c r="S567" s="18">
        <v>804</v>
      </c>
      <c r="T567" s="18">
        <v>116169.96</v>
      </c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</row>
    <row r="568" spans="6:39" x14ac:dyDescent="0.35">
      <c r="F568" s="18" t="s">
        <v>1109</v>
      </c>
      <c r="G568" s="19">
        <v>46220</v>
      </c>
      <c r="H568" s="18" t="s">
        <v>485</v>
      </c>
      <c r="I568" s="18" t="s">
        <v>1110</v>
      </c>
      <c r="J568" s="18">
        <v>1089</v>
      </c>
      <c r="K568" s="18" t="s">
        <v>1111</v>
      </c>
      <c r="L568" s="18" t="s">
        <v>5811</v>
      </c>
      <c r="M568" s="19">
        <v>46220</v>
      </c>
      <c r="N568" s="18" t="s">
        <v>1112</v>
      </c>
      <c r="O568" s="18" t="s">
        <v>1117</v>
      </c>
      <c r="P568" s="18" t="s">
        <v>1118</v>
      </c>
      <c r="Q568" s="18" t="s">
        <v>1119</v>
      </c>
      <c r="R568" s="18" t="s">
        <v>1120</v>
      </c>
      <c r="S568" s="18">
        <v>2451</v>
      </c>
      <c r="T568" s="18">
        <v>366399.99</v>
      </c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</row>
    <row r="569" spans="6:39" x14ac:dyDescent="0.35">
      <c r="F569" s="18" t="s">
        <v>1109</v>
      </c>
      <c r="G569" s="19">
        <v>46220</v>
      </c>
      <c r="H569" s="18" t="s">
        <v>485</v>
      </c>
      <c r="I569" s="18" t="s">
        <v>1110</v>
      </c>
      <c r="J569" s="18">
        <v>1089</v>
      </c>
      <c r="K569" s="18" t="s">
        <v>1111</v>
      </c>
      <c r="L569" s="18" t="s">
        <v>5811</v>
      </c>
      <c r="M569" s="19">
        <v>46220</v>
      </c>
      <c r="N569" s="18" t="s">
        <v>1112</v>
      </c>
      <c r="O569" s="18" t="s">
        <v>1117</v>
      </c>
      <c r="P569" s="18" t="s">
        <v>1138</v>
      </c>
      <c r="Q569" s="18" t="s">
        <v>1139</v>
      </c>
      <c r="R569" s="18" t="s">
        <v>1140</v>
      </c>
      <c r="S569" s="18">
        <v>2645</v>
      </c>
      <c r="T569" s="18">
        <v>400691.05</v>
      </c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</row>
    <row r="570" spans="6:39" x14ac:dyDescent="0.35">
      <c r="F570" s="18" t="s">
        <v>1109</v>
      </c>
      <c r="G570" s="19">
        <v>46220</v>
      </c>
      <c r="H570" s="18" t="s">
        <v>485</v>
      </c>
      <c r="I570" s="18" t="s">
        <v>1110</v>
      </c>
      <c r="J570" s="18">
        <v>1093</v>
      </c>
      <c r="K570" s="18" t="s">
        <v>1111</v>
      </c>
      <c r="L570" s="18" t="s">
        <v>5812</v>
      </c>
      <c r="M570" s="19">
        <v>46220</v>
      </c>
      <c r="N570" s="18" t="s">
        <v>1112</v>
      </c>
      <c r="O570" s="18" t="s">
        <v>1127</v>
      </c>
      <c r="P570" s="18" t="s">
        <v>1128</v>
      </c>
      <c r="Q570" s="18" t="s">
        <v>1129</v>
      </c>
      <c r="R570" s="18" t="s">
        <v>1130</v>
      </c>
      <c r="S570" s="18">
        <v>897.8</v>
      </c>
      <c r="T570" s="18">
        <v>185647.08</v>
      </c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</row>
    <row r="571" spans="6:39" x14ac:dyDescent="0.35">
      <c r="F571" s="18" t="s">
        <v>1109</v>
      </c>
      <c r="G571" s="19">
        <v>46220</v>
      </c>
      <c r="H571" s="18" t="s">
        <v>485</v>
      </c>
      <c r="I571" s="18" t="s">
        <v>1150</v>
      </c>
      <c r="J571" s="18" t="s">
        <v>5813</v>
      </c>
      <c r="K571" s="18" t="s">
        <v>1111</v>
      </c>
      <c r="L571" s="18" t="s">
        <v>5813</v>
      </c>
      <c r="M571" s="19">
        <v>46220</v>
      </c>
      <c r="N571" s="18" t="s">
        <v>1112</v>
      </c>
      <c r="O571" s="18" t="s">
        <v>1117</v>
      </c>
      <c r="P571" s="18" t="s">
        <v>1118</v>
      </c>
      <c r="Q571" s="18" t="s">
        <v>1119</v>
      </c>
      <c r="R571" s="18" t="s">
        <v>1120</v>
      </c>
      <c r="S571" s="18">
        <v>235</v>
      </c>
      <c r="T571" s="18">
        <v>92825</v>
      </c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</row>
    <row r="572" spans="6:39" x14ac:dyDescent="0.35">
      <c r="F572" s="18" t="s">
        <v>1109</v>
      </c>
      <c r="G572" s="19">
        <v>46220</v>
      </c>
      <c r="H572" s="18" t="s">
        <v>26</v>
      </c>
      <c r="I572" s="18" t="s">
        <v>1110</v>
      </c>
      <c r="J572" s="18">
        <v>1090</v>
      </c>
      <c r="K572" s="18" t="s">
        <v>1111</v>
      </c>
      <c r="L572" s="18" t="s">
        <v>5316</v>
      </c>
      <c r="M572" s="19">
        <v>46220</v>
      </c>
      <c r="N572" s="18" t="s">
        <v>1112</v>
      </c>
      <c r="O572" s="18" t="s">
        <v>1117</v>
      </c>
      <c r="P572" s="18" t="s">
        <v>1138</v>
      </c>
      <c r="Q572" s="18" t="s">
        <v>1139</v>
      </c>
      <c r="R572" s="18" t="s">
        <v>1140</v>
      </c>
      <c r="S572" s="18">
        <v>1772</v>
      </c>
      <c r="T572" s="18">
        <v>274660</v>
      </c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</row>
    <row r="573" spans="6:39" x14ac:dyDescent="0.35">
      <c r="F573" s="18" t="s">
        <v>1109</v>
      </c>
      <c r="G573" s="19">
        <v>46220</v>
      </c>
      <c r="H573" s="18" t="s">
        <v>26</v>
      </c>
      <c r="I573" s="18" t="s">
        <v>1110</v>
      </c>
      <c r="J573" s="18">
        <v>1090</v>
      </c>
      <c r="K573" s="18" t="s">
        <v>1111</v>
      </c>
      <c r="L573" s="18" t="s">
        <v>5316</v>
      </c>
      <c r="M573" s="19">
        <v>46220</v>
      </c>
      <c r="N573" s="18" t="s">
        <v>1112</v>
      </c>
      <c r="O573" s="18" t="s">
        <v>1117</v>
      </c>
      <c r="P573" s="18" t="s">
        <v>1138</v>
      </c>
      <c r="Q573" s="18" t="s">
        <v>1139</v>
      </c>
      <c r="R573" s="18" t="s">
        <v>1140</v>
      </c>
      <c r="S573" s="18">
        <v>1125</v>
      </c>
      <c r="T573" s="18">
        <v>174375</v>
      </c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</row>
    <row r="574" spans="6:39" x14ac:dyDescent="0.35">
      <c r="F574" s="18" t="s">
        <v>1109</v>
      </c>
      <c r="G574" s="19">
        <v>46220</v>
      </c>
      <c r="H574" s="18" t="s">
        <v>5663</v>
      </c>
      <c r="I574" s="18" t="s">
        <v>1110</v>
      </c>
      <c r="J574" s="18">
        <v>1088</v>
      </c>
      <c r="K574" s="18" t="s">
        <v>1165</v>
      </c>
      <c r="L574" s="18" t="s">
        <v>5814</v>
      </c>
      <c r="M574" s="19">
        <v>46220</v>
      </c>
      <c r="N574" s="18" t="s">
        <v>5665</v>
      </c>
      <c r="O574" s="18" t="s">
        <v>1166</v>
      </c>
      <c r="P574" s="18" t="s">
        <v>5666</v>
      </c>
      <c r="Q574" s="18" t="s">
        <v>5667</v>
      </c>
      <c r="R574" s="18" t="s">
        <v>5668</v>
      </c>
      <c r="S574" s="18">
        <v>1000</v>
      </c>
      <c r="T574" s="18">
        <v>4000</v>
      </c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</row>
    <row r="575" spans="6:39" x14ac:dyDescent="0.35">
      <c r="F575" s="18" t="s">
        <v>1109</v>
      </c>
      <c r="G575" s="19">
        <v>46220</v>
      </c>
      <c r="H575" s="18" t="s">
        <v>5663</v>
      </c>
      <c r="I575" s="18" t="s">
        <v>1110</v>
      </c>
      <c r="J575" s="18">
        <v>1094</v>
      </c>
      <c r="K575" s="18" t="s">
        <v>1165</v>
      </c>
      <c r="L575" s="18" t="s">
        <v>5815</v>
      </c>
      <c r="M575" s="19">
        <v>46220</v>
      </c>
      <c r="N575" s="18" t="s">
        <v>5665</v>
      </c>
      <c r="O575" s="18" t="s">
        <v>1166</v>
      </c>
      <c r="P575" s="18" t="s">
        <v>5666</v>
      </c>
      <c r="Q575" s="18" t="s">
        <v>5667</v>
      </c>
      <c r="R575" s="18" t="s">
        <v>5668</v>
      </c>
      <c r="S575" s="18">
        <v>1180</v>
      </c>
      <c r="T575" s="18">
        <v>4720</v>
      </c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</row>
    <row r="576" spans="6:39" x14ac:dyDescent="0.35">
      <c r="F576" s="18" t="s">
        <v>1109</v>
      </c>
      <c r="G576" s="19">
        <v>46220</v>
      </c>
      <c r="H576" s="18" t="s">
        <v>814</v>
      </c>
      <c r="I576" s="18" t="s">
        <v>1150</v>
      </c>
      <c r="J576" s="18" t="s">
        <v>5317</v>
      </c>
      <c r="K576" s="18" t="s">
        <v>3850</v>
      </c>
      <c r="L576" s="18" t="s">
        <v>5317</v>
      </c>
      <c r="M576" s="19">
        <v>46220</v>
      </c>
      <c r="N576" s="18" t="s">
        <v>1133</v>
      </c>
      <c r="O576" s="18" t="s">
        <v>1134</v>
      </c>
      <c r="P576" s="18" t="s">
        <v>5768</v>
      </c>
      <c r="Q576" s="18" t="s">
        <v>5769</v>
      </c>
      <c r="R576" s="18" t="s">
        <v>5770</v>
      </c>
      <c r="S576" s="18">
        <v>1000</v>
      </c>
      <c r="T576" s="18">
        <v>145000</v>
      </c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</row>
    <row r="577" spans="6:39" x14ac:dyDescent="0.35">
      <c r="F577" s="18" t="s">
        <v>1109</v>
      </c>
      <c r="G577" s="19">
        <v>46220</v>
      </c>
      <c r="H577" s="18" t="s">
        <v>125</v>
      </c>
      <c r="I577" s="18" t="s">
        <v>1110</v>
      </c>
      <c r="J577" s="18">
        <v>1081</v>
      </c>
      <c r="K577" s="18" t="s">
        <v>1121</v>
      </c>
      <c r="L577" s="18" t="s">
        <v>5508</v>
      </c>
      <c r="M577" s="19">
        <v>46220</v>
      </c>
      <c r="N577" s="18" t="s">
        <v>1133</v>
      </c>
      <c r="O577" s="18" t="s">
        <v>1134</v>
      </c>
      <c r="P577" s="18" t="s">
        <v>5633</v>
      </c>
      <c r="Q577" s="18" t="s">
        <v>5634</v>
      </c>
      <c r="R577" s="18" t="s">
        <v>5816</v>
      </c>
      <c r="S577" s="18">
        <v>2000</v>
      </c>
      <c r="T577" s="18">
        <v>248800</v>
      </c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</row>
    <row r="578" spans="6:39" x14ac:dyDescent="0.35">
      <c r="F578" s="18" t="s">
        <v>1109</v>
      </c>
      <c r="G578" s="19">
        <v>46220</v>
      </c>
      <c r="H578" s="18" t="s">
        <v>125</v>
      </c>
      <c r="I578" s="18" t="s">
        <v>1110</v>
      </c>
      <c r="J578" s="18">
        <v>1083</v>
      </c>
      <c r="K578" s="18" t="s">
        <v>1121</v>
      </c>
      <c r="L578" s="18" t="s">
        <v>5509</v>
      </c>
      <c r="M578" s="19">
        <v>46220</v>
      </c>
      <c r="N578" s="18" t="s">
        <v>1133</v>
      </c>
      <c r="O578" s="18" t="s">
        <v>1134</v>
      </c>
      <c r="P578" s="18" t="s">
        <v>5008</v>
      </c>
      <c r="Q578" s="18" t="s">
        <v>5009</v>
      </c>
      <c r="R578" s="18" t="s">
        <v>5010</v>
      </c>
      <c r="S578" s="18">
        <v>3000</v>
      </c>
      <c r="T578" s="18">
        <v>117000</v>
      </c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</row>
    <row r="579" spans="6:39" x14ac:dyDescent="0.35">
      <c r="F579" s="18" t="s">
        <v>1109</v>
      </c>
      <c r="G579" s="19">
        <v>46220</v>
      </c>
      <c r="H579" s="18" t="s">
        <v>125</v>
      </c>
      <c r="I579" s="18" t="s">
        <v>1110</v>
      </c>
      <c r="J579" s="18">
        <v>1091</v>
      </c>
      <c r="K579" s="18" t="s">
        <v>1121</v>
      </c>
      <c r="L579" s="18" t="s">
        <v>5510</v>
      </c>
      <c r="M579" s="19">
        <v>46220</v>
      </c>
      <c r="N579" s="18" t="s">
        <v>1122</v>
      </c>
      <c r="O579" s="18" t="s">
        <v>1123</v>
      </c>
      <c r="P579" s="18" t="s">
        <v>1124</v>
      </c>
      <c r="Q579" s="18" t="s">
        <v>1125</v>
      </c>
      <c r="R579" s="18" t="s">
        <v>1126</v>
      </c>
      <c r="S579" s="18">
        <v>59</v>
      </c>
      <c r="T579" s="18">
        <v>2832</v>
      </c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</row>
    <row r="580" spans="6:39" x14ac:dyDescent="0.35">
      <c r="F580" s="18" t="s">
        <v>1109</v>
      </c>
      <c r="G580" s="19">
        <v>46220</v>
      </c>
      <c r="H580" s="18" t="s">
        <v>125</v>
      </c>
      <c r="I580" s="18" t="s">
        <v>1110</v>
      </c>
      <c r="J580" s="18">
        <v>1092</v>
      </c>
      <c r="K580" s="18" t="s">
        <v>1121</v>
      </c>
      <c r="L580" s="18" t="s">
        <v>5511</v>
      </c>
      <c r="M580" s="19">
        <v>46220</v>
      </c>
      <c r="N580" s="18" t="s">
        <v>1122</v>
      </c>
      <c r="O580" s="18" t="s">
        <v>1123</v>
      </c>
      <c r="P580" s="18" t="s">
        <v>1124</v>
      </c>
      <c r="Q580" s="18" t="s">
        <v>1125</v>
      </c>
      <c r="R580" s="18" t="s">
        <v>1126</v>
      </c>
      <c r="S580" s="18">
        <v>28</v>
      </c>
      <c r="T580" s="18">
        <v>1344</v>
      </c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</row>
    <row r="581" spans="6:39" x14ac:dyDescent="0.35">
      <c r="F581" s="18" t="s">
        <v>1109</v>
      </c>
      <c r="G581" s="19">
        <v>46220</v>
      </c>
      <c r="H581" s="18" t="s">
        <v>125</v>
      </c>
      <c r="I581" s="18" t="s">
        <v>1110</v>
      </c>
      <c r="J581" s="18">
        <v>1095</v>
      </c>
      <c r="K581" s="18" t="s">
        <v>1111</v>
      </c>
      <c r="L581" s="18" t="s">
        <v>2387</v>
      </c>
      <c r="M581" s="19">
        <v>46220</v>
      </c>
      <c r="N581" s="18" t="s">
        <v>1112</v>
      </c>
      <c r="O581" s="18" t="s">
        <v>1127</v>
      </c>
      <c r="P581" s="18" t="s">
        <v>1128</v>
      </c>
      <c r="Q581" s="18" t="s">
        <v>1129</v>
      </c>
      <c r="R581" s="18" t="s">
        <v>1130</v>
      </c>
      <c r="S581" s="18">
        <v>1013</v>
      </c>
      <c r="T581" s="18">
        <v>185156.14</v>
      </c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</row>
    <row r="582" spans="6:39" x14ac:dyDescent="0.35">
      <c r="F582" s="18" t="s">
        <v>1109</v>
      </c>
      <c r="G582" s="19">
        <v>46220</v>
      </c>
      <c r="H582" s="18" t="s">
        <v>125</v>
      </c>
      <c r="I582" s="18" t="s">
        <v>1110</v>
      </c>
      <c r="J582" s="18">
        <v>1095</v>
      </c>
      <c r="K582" s="18" t="s">
        <v>1111</v>
      </c>
      <c r="L582" s="18" t="s">
        <v>2387</v>
      </c>
      <c r="M582" s="19">
        <v>46220</v>
      </c>
      <c r="N582" s="18" t="s">
        <v>1112</v>
      </c>
      <c r="O582" s="18" t="s">
        <v>1117</v>
      </c>
      <c r="P582" s="18" t="s">
        <v>1118</v>
      </c>
      <c r="Q582" s="18" t="s">
        <v>1119</v>
      </c>
      <c r="R582" s="18" t="s">
        <v>1120</v>
      </c>
      <c r="S582" s="18">
        <v>355</v>
      </c>
      <c r="T582" s="18">
        <v>52358.95</v>
      </c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</row>
    <row r="583" spans="6:39" x14ac:dyDescent="0.35">
      <c r="F583" s="18" t="s">
        <v>1109</v>
      </c>
      <c r="G583" s="19">
        <v>46220</v>
      </c>
      <c r="H583" s="18" t="s">
        <v>125</v>
      </c>
      <c r="I583" s="18" t="s">
        <v>1110</v>
      </c>
      <c r="J583" s="18">
        <v>1095</v>
      </c>
      <c r="K583" s="18" t="s">
        <v>1111</v>
      </c>
      <c r="L583" s="18" t="s">
        <v>2387</v>
      </c>
      <c r="M583" s="19">
        <v>46220</v>
      </c>
      <c r="N583" s="18" t="s">
        <v>1112</v>
      </c>
      <c r="O583" s="18" t="s">
        <v>1117</v>
      </c>
      <c r="P583" s="18" t="s">
        <v>1118</v>
      </c>
      <c r="Q583" s="18" t="s">
        <v>1119</v>
      </c>
      <c r="R583" s="18" t="s">
        <v>1120</v>
      </c>
      <c r="S583" s="18">
        <v>1385</v>
      </c>
      <c r="T583" s="18">
        <v>202888.65</v>
      </c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</row>
    <row r="584" spans="6:39" x14ac:dyDescent="0.35">
      <c r="F584" s="18" t="s">
        <v>1109</v>
      </c>
      <c r="G584" s="19">
        <v>46220</v>
      </c>
      <c r="H584" s="18" t="s">
        <v>125</v>
      </c>
      <c r="I584" s="18" t="s">
        <v>1110</v>
      </c>
      <c r="J584" s="18">
        <v>1095</v>
      </c>
      <c r="K584" s="18" t="s">
        <v>1111</v>
      </c>
      <c r="L584" s="18" t="s">
        <v>2387</v>
      </c>
      <c r="M584" s="19">
        <v>46220</v>
      </c>
      <c r="N584" s="18" t="s">
        <v>1112</v>
      </c>
      <c r="O584" s="18" t="s">
        <v>1117</v>
      </c>
      <c r="P584" s="18" t="s">
        <v>1118</v>
      </c>
      <c r="Q584" s="18" t="s">
        <v>1119</v>
      </c>
      <c r="R584" s="18" t="s">
        <v>1120</v>
      </c>
      <c r="S584" s="18">
        <v>1113</v>
      </c>
      <c r="T584" s="18">
        <v>166382.37</v>
      </c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</row>
    <row r="585" spans="6:39" x14ac:dyDescent="0.35">
      <c r="F585" s="18" t="s">
        <v>1109</v>
      </c>
      <c r="G585" s="19">
        <v>46220</v>
      </c>
      <c r="H585" s="18" t="s">
        <v>125</v>
      </c>
      <c r="I585" s="18" t="s">
        <v>1110</v>
      </c>
      <c r="J585" s="18">
        <v>1095</v>
      </c>
      <c r="K585" s="18" t="s">
        <v>1111</v>
      </c>
      <c r="L585" s="18" t="s">
        <v>2387</v>
      </c>
      <c r="M585" s="19">
        <v>46220</v>
      </c>
      <c r="N585" s="18" t="s">
        <v>1112</v>
      </c>
      <c r="O585" s="18" t="s">
        <v>1131</v>
      </c>
      <c r="P585" s="18" t="s">
        <v>1132</v>
      </c>
      <c r="Q585" s="18" t="s">
        <v>1132</v>
      </c>
      <c r="R585" s="18" t="s">
        <v>1131</v>
      </c>
      <c r="S585" s="18">
        <v>459.3</v>
      </c>
      <c r="T585" s="18">
        <v>68660.759999999995</v>
      </c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</row>
    <row r="586" spans="6:39" x14ac:dyDescent="0.35">
      <c r="F586" s="18" t="s">
        <v>1109</v>
      </c>
      <c r="G586" s="19">
        <v>46220</v>
      </c>
      <c r="H586" s="18" t="s">
        <v>125</v>
      </c>
      <c r="I586" s="18" t="s">
        <v>1110</v>
      </c>
      <c r="J586" s="18">
        <v>1095</v>
      </c>
      <c r="K586" s="18" t="s">
        <v>1111</v>
      </c>
      <c r="L586" s="18" t="s">
        <v>2387</v>
      </c>
      <c r="M586" s="19">
        <v>46220</v>
      </c>
      <c r="N586" s="18" t="s">
        <v>1112</v>
      </c>
      <c r="O586" s="18" t="s">
        <v>1131</v>
      </c>
      <c r="P586" s="18" t="s">
        <v>1132</v>
      </c>
      <c r="Q586" s="18" t="s">
        <v>1132</v>
      </c>
      <c r="R586" s="18" t="s">
        <v>1131</v>
      </c>
      <c r="S586" s="18">
        <v>190.2</v>
      </c>
      <c r="T586" s="18">
        <v>27862.400000000001</v>
      </c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</row>
    <row r="587" spans="6:39" x14ac:dyDescent="0.35">
      <c r="F587" s="18" t="s">
        <v>1109</v>
      </c>
      <c r="G587" s="19">
        <v>46221</v>
      </c>
      <c r="H587" s="18" t="s">
        <v>3790</v>
      </c>
      <c r="I587" s="18" t="s">
        <v>1110</v>
      </c>
      <c r="J587" s="18">
        <v>1096</v>
      </c>
      <c r="K587" s="18" t="s">
        <v>1111</v>
      </c>
      <c r="L587" s="18" t="s">
        <v>5817</v>
      </c>
      <c r="M587" s="19">
        <v>46221</v>
      </c>
      <c r="N587" s="18" t="s">
        <v>1112</v>
      </c>
      <c r="O587" s="18" t="s">
        <v>1117</v>
      </c>
      <c r="P587" s="18" t="s">
        <v>1118</v>
      </c>
      <c r="Q587" s="18" t="s">
        <v>1119</v>
      </c>
      <c r="R587" s="18" t="s">
        <v>1120</v>
      </c>
      <c r="S587" s="18">
        <v>2216</v>
      </c>
      <c r="T587" s="18">
        <v>324621.84000000003</v>
      </c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</row>
    <row r="588" spans="6:39" x14ac:dyDescent="0.35">
      <c r="F588" s="18" t="s">
        <v>1109</v>
      </c>
      <c r="G588" s="19">
        <v>46221</v>
      </c>
      <c r="H588" s="18" t="s">
        <v>3790</v>
      </c>
      <c r="I588" s="18" t="s">
        <v>1110</v>
      </c>
      <c r="J588" s="18">
        <v>1096</v>
      </c>
      <c r="K588" s="18" t="s">
        <v>1111</v>
      </c>
      <c r="L588" s="18" t="s">
        <v>5817</v>
      </c>
      <c r="M588" s="19">
        <v>46221</v>
      </c>
      <c r="N588" s="18" t="s">
        <v>1112</v>
      </c>
      <c r="O588" s="18" t="s">
        <v>1117</v>
      </c>
      <c r="P588" s="18" t="s">
        <v>1138</v>
      </c>
      <c r="Q588" s="18" t="s">
        <v>1139</v>
      </c>
      <c r="R588" s="18" t="s">
        <v>1140</v>
      </c>
      <c r="S588" s="18">
        <v>424</v>
      </c>
      <c r="T588" s="18">
        <v>62959.76</v>
      </c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</row>
    <row r="589" spans="6:39" x14ac:dyDescent="0.35">
      <c r="F589" s="18" t="s">
        <v>1109</v>
      </c>
      <c r="G589" s="19">
        <v>46221</v>
      </c>
      <c r="H589" s="18" t="s">
        <v>3790</v>
      </c>
      <c r="I589" s="18" t="s">
        <v>1110</v>
      </c>
      <c r="J589" s="18">
        <v>1098</v>
      </c>
      <c r="K589" s="18" t="s">
        <v>1111</v>
      </c>
      <c r="L589" s="18" t="s">
        <v>2388</v>
      </c>
      <c r="M589" s="19">
        <v>46221</v>
      </c>
      <c r="N589" s="18" t="s">
        <v>1112</v>
      </c>
      <c r="O589" s="18" t="s">
        <v>1117</v>
      </c>
      <c r="P589" s="18" t="s">
        <v>1118</v>
      </c>
      <c r="Q589" s="18" t="s">
        <v>1119</v>
      </c>
      <c r="R589" s="18" t="s">
        <v>1120</v>
      </c>
      <c r="S589" s="18">
        <v>6039</v>
      </c>
      <c r="T589" s="18">
        <v>872575.11</v>
      </c>
      <c r="U589" s="163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</row>
    <row r="590" spans="6:39" x14ac:dyDescent="0.35">
      <c r="F590" s="18" t="s">
        <v>1109</v>
      </c>
      <c r="G590" s="19">
        <v>46221</v>
      </c>
      <c r="H590" s="18" t="s">
        <v>3790</v>
      </c>
      <c r="I590" s="18" t="s">
        <v>1110</v>
      </c>
      <c r="J590" s="18">
        <v>1098</v>
      </c>
      <c r="K590" s="18" t="s">
        <v>1111</v>
      </c>
      <c r="L590" s="18" t="s">
        <v>2388</v>
      </c>
      <c r="M590" s="19">
        <v>46221</v>
      </c>
      <c r="N590" s="18" t="s">
        <v>1112</v>
      </c>
      <c r="O590" s="18" t="s">
        <v>1117</v>
      </c>
      <c r="P590" s="18" t="s">
        <v>1118</v>
      </c>
      <c r="Q590" s="18" t="s">
        <v>1119</v>
      </c>
      <c r="R590" s="18" t="s">
        <v>1120</v>
      </c>
      <c r="S590" s="18">
        <v>505</v>
      </c>
      <c r="T590" s="18">
        <v>74482.45</v>
      </c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</row>
    <row r="591" spans="6:39" x14ac:dyDescent="0.35">
      <c r="F591" s="18" t="s">
        <v>1109</v>
      </c>
      <c r="G591" s="19">
        <v>46221</v>
      </c>
      <c r="H591" s="18" t="s">
        <v>3790</v>
      </c>
      <c r="I591" s="18" t="s">
        <v>1110</v>
      </c>
      <c r="J591" s="18">
        <v>1098</v>
      </c>
      <c r="K591" s="18" t="s">
        <v>1111</v>
      </c>
      <c r="L591" s="18" t="s">
        <v>2388</v>
      </c>
      <c r="M591" s="19">
        <v>46221</v>
      </c>
      <c r="N591" s="18" t="s">
        <v>1112</v>
      </c>
      <c r="O591" s="18" t="s">
        <v>1117</v>
      </c>
      <c r="P591" s="18" t="s">
        <v>1118</v>
      </c>
      <c r="Q591" s="18" t="s">
        <v>1119</v>
      </c>
      <c r="R591" s="18" t="s">
        <v>1120</v>
      </c>
      <c r="S591" s="18">
        <v>1489</v>
      </c>
      <c r="T591" s="18">
        <v>218123.61</v>
      </c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</row>
    <row r="592" spans="6:39" x14ac:dyDescent="0.35">
      <c r="F592" s="18" t="s">
        <v>1109</v>
      </c>
      <c r="G592" s="19">
        <v>46221</v>
      </c>
      <c r="H592" s="18" t="s">
        <v>3790</v>
      </c>
      <c r="I592" s="18" t="s">
        <v>1110</v>
      </c>
      <c r="J592" s="18">
        <v>1100</v>
      </c>
      <c r="K592" s="18" t="s">
        <v>1121</v>
      </c>
      <c r="L592" s="18" t="s">
        <v>5818</v>
      </c>
      <c r="M592" s="19">
        <v>46221</v>
      </c>
      <c r="N592" s="18" t="s">
        <v>1122</v>
      </c>
      <c r="O592" s="18" t="s">
        <v>1123</v>
      </c>
      <c r="P592" s="18" t="s">
        <v>1124</v>
      </c>
      <c r="Q592" s="18" t="s">
        <v>1125</v>
      </c>
      <c r="R592" s="18" t="s">
        <v>1126</v>
      </c>
      <c r="S592" s="18">
        <v>376</v>
      </c>
      <c r="T592" s="18">
        <v>18048</v>
      </c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</row>
    <row r="593" spans="6:39" x14ac:dyDescent="0.35">
      <c r="F593" s="18" t="s">
        <v>1109</v>
      </c>
      <c r="G593" s="19">
        <v>46221</v>
      </c>
      <c r="H593" s="18" t="s">
        <v>3790</v>
      </c>
      <c r="I593" s="18" t="s">
        <v>1110</v>
      </c>
      <c r="J593" s="18">
        <v>1101</v>
      </c>
      <c r="K593" s="18" t="s">
        <v>1111</v>
      </c>
      <c r="L593" s="18" t="s">
        <v>5819</v>
      </c>
      <c r="M593" s="19">
        <v>46221</v>
      </c>
      <c r="N593" s="18" t="s">
        <v>1112</v>
      </c>
      <c r="O593" s="18" t="s">
        <v>1113</v>
      </c>
      <c r="P593" s="18" t="s">
        <v>1114</v>
      </c>
      <c r="Q593" s="18" t="s">
        <v>1115</v>
      </c>
      <c r="R593" s="18" t="s">
        <v>1161</v>
      </c>
      <c r="S593" s="18">
        <v>805</v>
      </c>
      <c r="T593" s="18">
        <v>125974.45</v>
      </c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</row>
    <row r="594" spans="6:39" x14ac:dyDescent="0.35">
      <c r="F594" s="18" t="s">
        <v>1109</v>
      </c>
      <c r="G594" s="19">
        <v>46221</v>
      </c>
      <c r="H594" s="18" t="s">
        <v>3790</v>
      </c>
      <c r="I594" s="18" t="s">
        <v>1110</v>
      </c>
      <c r="J594" s="18">
        <v>1101</v>
      </c>
      <c r="K594" s="18" t="s">
        <v>1111</v>
      </c>
      <c r="L594" s="18" t="s">
        <v>5819</v>
      </c>
      <c r="M594" s="19">
        <v>46221</v>
      </c>
      <c r="N594" s="18" t="s">
        <v>1112</v>
      </c>
      <c r="O594" s="18" t="s">
        <v>1113</v>
      </c>
      <c r="P594" s="18" t="s">
        <v>1114</v>
      </c>
      <c r="Q594" s="18" t="s">
        <v>1115</v>
      </c>
      <c r="R594" s="18" t="s">
        <v>3793</v>
      </c>
      <c r="S594" s="18">
        <v>291.10000000000002</v>
      </c>
      <c r="T594" s="18">
        <v>46427.54</v>
      </c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</row>
    <row r="595" spans="6:39" x14ac:dyDescent="0.35">
      <c r="F595" s="18" t="s">
        <v>1109</v>
      </c>
      <c r="G595" s="19">
        <v>46221</v>
      </c>
      <c r="H595" s="18" t="s">
        <v>3790</v>
      </c>
      <c r="I595" s="18" t="s">
        <v>1110</v>
      </c>
      <c r="J595" s="18">
        <v>1101</v>
      </c>
      <c r="K595" s="18" t="s">
        <v>1111</v>
      </c>
      <c r="L595" s="18" t="s">
        <v>5819</v>
      </c>
      <c r="M595" s="19">
        <v>46221</v>
      </c>
      <c r="N595" s="18" t="s">
        <v>1112</v>
      </c>
      <c r="O595" s="18" t="s">
        <v>1127</v>
      </c>
      <c r="P595" s="18" t="s">
        <v>1128</v>
      </c>
      <c r="Q595" s="18" t="s">
        <v>1129</v>
      </c>
      <c r="R595" s="18" t="s">
        <v>1130</v>
      </c>
      <c r="S595" s="18">
        <v>372</v>
      </c>
      <c r="T595" s="18">
        <v>70970.16</v>
      </c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</row>
    <row r="596" spans="6:39" x14ac:dyDescent="0.35">
      <c r="F596" s="18" t="s">
        <v>1109</v>
      </c>
      <c r="G596" s="19">
        <v>46221</v>
      </c>
      <c r="H596" s="18" t="s">
        <v>3790</v>
      </c>
      <c r="I596" s="18" t="s">
        <v>1110</v>
      </c>
      <c r="J596" s="18">
        <v>1101</v>
      </c>
      <c r="K596" s="18" t="s">
        <v>1111</v>
      </c>
      <c r="L596" s="18" t="s">
        <v>5819</v>
      </c>
      <c r="M596" s="19">
        <v>46221</v>
      </c>
      <c r="N596" s="18" t="s">
        <v>1112</v>
      </c>
      <c r="O596" s="18" t="s">
        <v>1127</v>
      </c>
      <c r="P596" s="18" t="s">
        <v>1128</v>
      </c>
      <c r="Q596" s="18" t="s">
        <v>1129</v>
      </c>
      <c r="R596" s="18" t="s">
        <v>1130</v>
      </c>
      <c r="S596" s="18">
        <v>1415</v>
      </c>
      <c r="T596" s="18">
        <v>264293.7</v>
      </c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</row>
    <row r="597" spans="6:39" x14ac:dyDescent="0.35">
      <c r="F597" s="18" t="s">
        <v>1109</v>
      </c>
      <c r="G597" s="19">
        <v>46221</v>
      </c>
      <c r="H597" s="18" t="s">
        <v>3790</v>
      </c>
      <c r="I597" s="18" t="s">
        <v>1110</v>
      </c>
      <c r="J597" s="18">
        <v>1101</v>
      </c>
      <c r="K597" s="18" t="s">
        <v>1111</v>
      </c>
      <c r="L597" s="18" t="s">
        <v>5819</v>
      </c>
      <c r="M597" s="19">
        <v>46221</v>
      </c>
      <c r="N597" s="18" t="s">
        <v>1112</v>
      </c>
      <c r="O597" s="18" t="s">
        <v>1117</v>
      </c>
      <c r="P597" s="18" t="s">
        <v>1118</v>
      </c>
      <c r="Q597" s="18" t="s">
        <v>1119</v>
      </c>
      <c r="R597" s="18" t="s">
        <v>1120</v>
      </c>
      <c r="S597" s="18">
        <v>1869</v>
      </c>
      <c r="T597" s="18">
        <v>270051.81</v>
      </c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</row>
    <row r="598" spans="6:39" x14ac:dyDescent="0.35">
      <c r="F598" s="18" t="s">
        <v>1109</v>
      </c>
      <c r="G598" s="19">
        <v>46221</v>
      </c>
      <c r="H598" s="18" t="s">
        <v>3790</v>
      </c>
      <c r="I598" s="18" t="s">
        <v>1110</v>
      </c>
      <c r="J598" s="18">
        <v>1101</v>
      </c>
      <c r="K598" s="18" t="s">
        <v>1111</v>
      </c>
      <c r="L598" s="18" t="s">
        <v>5819</v>
      </c>
      <c r="M598" s="19">
        <v>46221</v>
      </c>
      <c r="N598" s="18" t="s">
        <v>1112</v>
      </c>
      <c r="O598" s="18" t="s">
        <v>1131</v>
      </c>
      <c r="P598" s="18" t="s">
        <v>1132</v>
      </c>
      <c r="Q598" s="18" t="s">
        <v>1132</v>
      </c>
      <c r="R598" s="18" t="s">
        <v>1131</v>
      </c>
      <c r="S598" s="18">
        <v>430.7</v>
      </c>
      <c r="T598" s="18">
        <v>64385.34</v>
      </c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</row>
    <row r="599" spans="6:39" x14ac:dyDescent="0.35">
      <c r="F599" s="18" t="s">
        <v>1109</v>
      </c>
      <c r="G599" s="19">
        <v>46221</v>
      </c>
      <c r="H599" s="18" t="s">
        <v>3790</v>
      </c>
      <c r="I599" s="18" t="s">
        <v>1110</v>
      </c>
      <c r="J599" s="18">
        <v>1101</v>
      </c>
      <c r="K599" s="18" t="s">
        <v>1111</v>
      </c>
      <c r="L599" s="18" t="s">
        <v>5819</v>
      </c>
      <c r="M599" s="19">
        <v>46221</v>
      </c>
      <c r="N599" s="18" t="s">
        <v>1112</v>
      </c>
      <c r="O599" s="18" t="s">
        <v>1131</v>
      </c>
      <c r="P599" s="18" t="s">
        <v>1132</v>
      </c>
      <c r="Q599" s="18" t="s">
        <v>1132</v>
      </c>
      <c r="R599" s="18" t="s">
        <v>1131</v>
      </c>
      <c r="S599" s="18">
        <v>71</v>
      </c>
      <c r="T599" s="18">
        <v>12104.79</v>
      </c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</row>
    <row r="600" spans="6:39" x14ac:dyDescent="0.35">
      <c r="F600" s="18" t="s">
        <v>1109</v>
      </c>
      <c r="G600" s="19">
        <v>46221</v>
      </c>
      <c r="H600" s="18" t="s">
        <v>3790</v>
      </c>
      <c r="I600" s="18" t="s">
        <v>1110</v>
      </c>
      <c r="J600" s="18">
        <v>1101</v>
      </c>
      <c r="K600" s="18" t="s">
        <v>1111</v>
      </c>
      <c r="L600" s="18" t="s">
        <v>5819</v>
      </c>
      <c r="M600" s="19">
        <v>46221</v>
      </c>
      <c r="N600" s="18" t="s">
        <v>1112</v>
      </c>
      <c r="O600" s="18" t="s">
        <v>1131</v>
      </c>
      <c r="P600" s="18" t="s">
        <v>1132</v>
      </c>
      <c r="Q600" s="18" t="s">
        <v>1132</v>
      </c>
      <c r="R600" s="18" t="s">
        <v>1131</v>
      </c>
      <c r="S600" s="18">
        <v>425.6</v>
      </c>
      <c r="T600" s="18">
        <v>62346.14</v>
      </c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</row>
    <row r="601" spans="6:39" x14ac:dyDescent="0.35">
      <c r="F601" s="18" t="s">
        <v>1109</v>
      </c>
      <c r="G601" s="19">
        <v>46221</v>
      </c>
      <c r="H601" s="18" t="s">
        <v>3790</v>
      </c>
      <c r="I601" s="18" t="s">
        <v>1110</v>
      </c>
      <c r="J601" s="18">
        <v>1105</v>
      </c>
      <c r="K601" s="18" t="s">
        <v>1111</v>
      </c>
      <c r="L601" s="18" t="s">
        <v>5820</v>
      </c>
      <c r="M601" s="19">
        <v>46221</v>
      </c>
      <c r="N601" s="18" t="s">
        <v>1112</v>
      </c>
      <c r="O601" s="18" t="s">
        <v>1117</v>
      </c>
      <c r="P601" s="18" t="s">
        <v>1118</v>
      </c>
      <c r="Q601" s="18" t="s">
        <v>1119</v>
      </c>
      <c r="R601" s="18" t="s">
        <v>1120</v>
      </c>
      <c r="S601" s="18">
        <v>424</v>
      </c>
      <c r="T601" s="18">
        <v>61263.76</v>
      </c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</row>
    <row r="602" spans="6:39" x14ac:dyDescent="0.35">
      <c r="F602" s="18" t="s">
        <v>1109</v>
      </c>
      <c r="G602" s="19">
        <v>46221</v>
      </c>
      <c r="H602" s="18" t="s">
        <v>3790</v>
      </c>
      <c r="I602" s="18" t="s">
        <v>1110</v>
      </c>
      <c r="J602" s="18">
        <v>1105</v>
      </c>
      <c r="K602" s="18" t="s">
        <v>1111</v>
      </c>
      <c r="L602" s="18" t="s">
        <v>5820</v>
      </c>
      <c r="M602" s="19">
        <v>46221</v>
      </c>
      <c r="N602" s="18" t="s">
        <v>1112</v>
      </c>
      <c r="O602" s="18" t="s">
        <v>1117</v>
      </c>
      <c r="P602" s="18" t="s">
        <v>1138</v>
      </c>
      <c r="Q602" s="18" t="s">
        <v>1139</v>
      </c>
      <c r="R602" s="18" t="s">
        <v>1140</v>
      </c>
      <c r="S602" s="18">
        <v>568</v>
      </c>
      <c r="T602" s="18">
        <v>84342.32</v>
      </c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</row>
    <row r="603" spans="6:39" x14ac:dyDescent="0.35">
      <c r="F603" s="18" t="s">
        <v>1109</v>
      </c>
      <c r="G603" s="19">
        <v>46221</v>
      </c>
      <c r="H603" s="18" t="s">
        <v>3790</v>
      </c>
      <c r="I603" s="18" t="s">
        <v>1110</v>
      </c>
      <c r="J603" s="18">
        <v>1107</v>
      </c>
      <c r="K603" s="18" t="s">
        <v>1111</v>
      </c>
      <c r="L603" s="18" t="s">
        <v>5821</v>
      </c>
      <c r="M603" s="19">
        <v>46221</v>
      </c>
      <c r="N603" s="18" t="s">
        <v>1112</v>
      </c>
      <c r="O603" s="18" t="s">
        <v>1117</v>
      </c>
      <c r="P603" s="18" t="s">
        <v>1138</v>
      </c>
      <c r="Q603" s="18" t="s">
        <v>1139</v>
      </c>
      <c r="R603" s="18" t="s">
        <v>1140</v>
      </c>
      <c r="S603" s="18">
        <v>659</v>
      </c>
      <c r="T603" s="18">
        <v>97854.91</v>
      </c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</row>
    <row r="604" spans="6:39" x14ac:dyDescent="0.35">
      <c r="F604" s="18" t="s">
        <v>1109</v>
      </c>
      <c r="G604" s="19">
        <v>46221</v>
      </c>
      <c r="H604" s="18" t="s">
        <v>1135</v>
      </c>
      <c r="I604" s="18" t="s">
        <v>1136</v>
      </c>
      <c r="J604" s="18" t="s">
        <v>5822</v>
      </c>
      <c r="K604" s="18" t="s">
        <v>1137</v>
      </c>
      <c r="L604" s="18" t="s">
        <v>5822</v>
      </c>
      <c r="M604" s="19">
        <v>46221</v>
      </c>
      <c r="N604" s="18" t="s">
        <v>1112</v>
      </c>
      <c r="O604" s="18" t="s">
        <v>1117</v>
      </c>
      <c r="P604" s="18" t="s">
        <v>1118</v>
      </c>
      <c r="Q604" s="18" t="s">
        <v>1119</v>
      </c>
      <c r="R604" s="18" t="s">
        <v>1120</v>
      </c>
      <c r="S604" s="18">
        <v>1763</v>
      </c>
      <c r="T604" s="18">
        <v>245050.41599999997</v>
      </c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</row>
    <row r="605" spans="6:39" x14ac:dyDescent="0.35">
      <c r="F605" s="18" t="s">
        <v>1109</v>
      </c>
      <c r="G605" s="19">
        <v>46221</v>
      </c>
      <c r="H605" s="18" t="s">
        <v>1135</v>
      </c>
      <c r="I605" s="18" t="s">
        <v>1136</v>
      </c>
      <c r="J605" s="18" t="s">
        <v>5823</v>
      </c>
      <c r="K605" s="18" t="s">
        <v>1137</v>
      </c>
      <c r="L605" s="18" t="s">
        <v>5823</v>
      </c>
      <c r="M605" s="19">
        <v>46221</v>
      </c>
      <c r="N605" s="18" t="s">
        <v>1112</v>
      </c>
      <c r="O605" s="18" t="s">
        <v>1127</v>
      </c>
      <c r="P605" s="18" t="s">
        <v>1128</v>
      </c>
      <c r="Q605" s="18" t="s">
        <v>1129</v>
      </c>
      <c r="R605" s="18" t="s">
        <v>1130</v>
      </c>
      <c r="S605" s="18">
        <v>6620</v>
      </c>
      <c r="T605" s="18">
        <v>1155864.7650000001</v>
      </c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</row>
    <row r="606" spans="6:39" x14ac:dyDescent="0.35">
      <c r="F606" s="18" t="s">
        <v>1109</v>
      </c>
      <c r="G606" s="19">
        <v>46221</v>
      </c>
      <c r="H606" s="18" t="s">
        <v>1135</v>
      </c>
      <c r="I606" s="18" t="s">
        <v>1136</v>
      </c>
      <c r="J606" s="18" t="s">
        <v>5824</v>
      </c>
      <c r="K606" s="18" t="s">
        <v>1137</v>
      </c>
      <c r="L606" s="18" t="s">
        <v>5824</v>
      </c>
      <c r="M606" s="19">
        <v>46221</v>
      </c>
      <c r="N606" s="18" t="s">
        <v>1112</v>
      </c>
      <c r="O606" s="18" t="s">
        <v>1117</v>
      </c>
      <c r="P606" s="18" t="s">
        <v>1138</v>
      </c>
      <c r="Q606" s="18" t="s">
        <v>1139</v>
      </c>
      <c r="R606" s="18" t="s">
        <v>1140</v>
      </c>
      <c r="S606" s="18">
        <v>1157</v>
      </c>
      <c r="T606" s="18">
        <v>164302.875</v>
      </c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</row>
    <row r="607" spans="6:39" x14ac:dyDescent="0.35">
      <c r="F607" s="18" t="s">
        <v>1109</v>
      </c>
      <c r="G607" s="19">
        <v>46221</v>
      </c>
      <c r="H607" s="18" t="s">
        <v>1135</v>
      </c>
      <c r="I607" s="18" t="s">
        <v>1136</v>
      </c>
      <c r="J607" s="18" t="s">
        <v>5825</v>
      </c>
      <c r="K607" s="18" t="s">
        <v>1137</v>
      </c>
      <c r="L607" s="18" t="s">
        <v>5825</v>
      </c>
      <c r="M607" s="19">
        <v>46221</v>
      </c>
      <c r="N607" s="18" t="s">
        <v>1112</v>
      </c>
      <c r="O607" s="18" t="s">
        <v>1127</v>
      </c>
      <c r="P607" s="18" t="s">
        <v>1128</v>
      </c>
      <c r="Q607" s="18" t="s">
        <v>1129</v>
      </c>
      <c r="R607" s="18" t="s">
        <v>1130</v>
      </c>
      <c r="S607" s="18">
        <v>332</v>
      </c>
      <c r="T607" s="18">
        <v>57968.130000000005</v>
      </c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</row>
    <row r="608" spans="6:39" x14ac:dyDescent="0.35">
      <c r="F608" s="18" t="s">
        <v>1109</v>
      </c>
      <c r="G608" s="19">
        <v>46221</v>
      </c>
      <c r="H608" s="18" t="s">
        <v>485</v>
      </c>
      <c r="I608" s="18" t="s">
        <v>1110</v>
      </c>
      <c r="J608" s="18">
        <v>1102</v>
      </c>
      <c r="K608" s="18" t="s">
        <v>1121</v>
      </c>
      <c r="L608" s="18" t="s">
        <v>3950</v>
      </c>
      <c r="M608" s="19">
        <v>46221</v>
      </c>
      <c r="N608" s="18" t="s">
        <v>1122</v>
      </c>
      <c r="O608" s="18" t="s">
        <v>1123</v>
      </c>
      <c r="P608" s="18" t="s">
        <v>1124</v>
      </c>
      <c r="Q608" s="18" t="s">
        <v>1125</v>
      </c>
      <c r="R608" s="18" t="s">
        <v>1126</v>
      </c>
      <c r="S608" s="18">
        <v>201</v>
      </c>
      <c r="T608" s="18">
        <v>9648</v>
      </c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</row>
    <row r="609" spans="6:39" x14ac:dyDescent="0.35">
      <c r="F609" s="18" t="s">
        <v>1109</v>
      </c>
      <c r="G609" s="19">
        <v>46221</v>
      </c>
      <c r="H609" s="18" t="s">
        <v>485</v>
      </c>
      <c r="I609" s="18" t="s">
        <v>1110</v>
      </c>
      <c r="J609" s="18">
        <v>1103</v>
      </c>
      <c r="K609" s="18" t="s">
        <v>1111</v>
      </c>
      <c r="L609" s="18" t="s">
        <v>5826</v>
      </c>
      <c r="M609" s="19">
        <v>46221</v>
      </c>
      <c r="N609" s="18" t="s">
        <v>1112</v>
      </c>
      <c r="O609" s="18" t="s">
        <v>1117</v>
      </c>
      <c r="P609" s="18" t="s">
        <v>1138</v>
      </c>
      <c r="Q609" s="18" t="s">
        <v>1139</v>
      </c>
      <c r="R609" s="18" t="s">
        <v>1140</v>
      </c>
      <c r="S609" s="18">
        <v>1992</v>
      </c>
      <c r="T609" s="18">
        <v>301768.08</v>
      </c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</row>
    <row r="610" spans="6:39" x14ac:dyDescent="0.35">
      <c r="F610" s="18" t="s">
        <v>1109</v>
      </c>
      <c r="G610" s="19">
        <v>46221</v>
      </c>
      <c r="H610" s="18" t="s">
        <v>485</v>
      </c>
      <c r="I610" s="18" t="s">
        <v>1110</v>
      </c>
      <c r="J610" s="18">
        <v>1103</v>
      </c>
      <c r="K610" s="18" t="s">
        <v>1111</v>
      </c>
      <c r="L610" s="18" t="s">
        <v>5826</v>
      </c>
      <c r="M610" s="19">
        <v>46221</v>
      </c>
      <c r="N610" s="18" t="s">
        <v>1112</v>
      </c>
      <c r="O610" s="18" t="s">
        <v>1117</v>
      </c>
      <c r="P610" s="18" t="s">
        <v>1138</v>
      </c>
      <c r="Q610" s="18" t="s">
        <v>1139</v>
      </c>
      <c r="R610" s="18" t="s">
        <v>1140</v>
      </c>
      <c r="S610" s="18">
        <v>762</v>
      </c>
      <c r="T610" s="18">
        <v>117721.38</v>
      </c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</row>
    <row r="611" spans="6:39" x14ac:dyDescent="0.35">
      <c r="F611" s="18" t="s">
        <v>1109</v>
      </c>
      <c r="G611" s="19">
        <v>46221</v>
      </c>
      <c r="H611" s="18" t="s">
        <v>485</v>
      </c>
      <c r="I611" s="18" t="s">
        <v>1110</v>
      </c>
      <c r="J611" s="18">
        <v>1103</v>
      </c>
      <c r="K611" s="18" t="s">
        <v>1111</v>
      </c>
      <c r="L611" s="18" t="s">
        <v>5826</v>
      </c>
      <c r="M611" s="19">
        <v>46221</v>
      </c>
      <c r="N611" s="18" t="s">
        <v>1112</v>
      </c>
      <c r="O611" s="18" t="s">
        <v>1113</v>
      </c>
      <c r="P611" s="18" t="s">
        <v>1114</v>
      </c>
      <c r="Q611" s="18" t="s">
        <v>1115</v>
      </c>
      <c r="R611" s="18" t="s">
        <v>1116</v>
      </c>
      <c r="S611" s="18">
        <v>2413.6999999999998</v>
      </c>
      <c r="T611" s="18">
        <v>377719.91</v>
      </c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</row>
    <row r="612" spans="6:39" x14ac:dyDescent="0.35">
      <c r="F612" s="18" t="s">
        <v>1109</v>
      </c>
      <c r="G612" s="19">
        <v>46221</v>
      </c>
      <c r="H612" s="18" t="s">
        <v>485</v>
      </c>
      <c r="I612" s="18" t="s">
        <v>1110</v>
      </c>
      <c r="J612" s="18">
        <v>1103</v>
      </c>
      <c r="K612" s="18" t="s">
        <v>1111</v>
      </c>
      <c r="L612" s="18" t="s">
        <v>5826</v>
      </c>
      <c r="M612" s="19">
        <v>46221</v>
      </c>
      <c r="N612" s="18" t="s">
        <v>1112</v>
      </c>
      <c r="O612" s="18" t="s">
        <v>1117</v>
      </c>
      <c r="P612" s="18" t="s">
        <v>1118</v>
      </c>
      <c r="Q612" s="18" t="s">
        <v>1119</v>
      </c>
      <c r="R612" s="18" t="s">
        <v>1120</v>
      </c>
      <c r="S612" s="18">
        <v>452</v>
      </c>
      <c r="T612" s="18">
        <v>66665.48</v>
      </c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</row>
    <row r="613" spans="6:39" x14ac:dyDescent="0.35">
      <c r="F613" s="18" t="s">
        <v>1109</v>
      </c>
      <c r="G613" s="19">
        <v>46221</v>
      </c>
      <c r="H613" s="18" t="s">
        <v>485</v>
      </c>
      <c r="I613" s="18" t="s">
        <v>1110</v>
      </c>
      <c r="J613" s="18">
        <v>1103</v>
      </c>
      <c r="K613" s="18" t="s">
        <v>1111</v>
      </c>
      <c r="L613" s="18" t="s">
        <v>5826</v>
      </c>
      <c r="M613" s="19">
        <v>46221</v>
      </c>
      <c r="N613" s="18" t="s">
        <v>1112</v>
      </c>
      <c r="O613" s="18" t="s">
        <v>1117</v>
      </c>
      <c r="P613" s="18" t="s">
        <v>1118</v>
      </c>
      <c r="Q613" s="18" t="s">
        <v>1119</v>
      </c>
      <c r="R613" s="18" t="s">
        <v>1120</v>
      </c>
      <c r="S613" s="18">
        <v>1348</v>
      </c>
      <c r="T613" s="18">
        <v>201512.52</v>
      </c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</row>
    <row r="614" spans="6:39" x14ac:dyDescent="0.35">
      <c r="F614" s="18" t="s">
        <v>1109</v>
      </c>
      <c r="G614" s="19">
        <v>46221</v>
      </c>
      <c r="H614" s="18" t="s">
        <v>485</v>
      </c>
      <c r="I614" s="18" t="s">
        <v>1110</v>
      </c>
      <c r="J614" s="18">
        <v>1103</v>
      </c>
      <c r="K614" s="18" t="s">
        <v>1111</v>
      </c>
      <c r="L614" s="18" t="s">
        <v>5826</v>
      </c>
      <c r="M614" s="19">
        <v>46221</v>
      </c>
      <c r="N614" s="18" t="s">
        <v>1112</v>
      </c>
      <c r="O614" s="18" t="s">
        <v>1117</v>
      </c>
      <c r="P614" s="18" t="s">
        <v>1118</v>
      </c>
      <c r="Q614" s="18" t="s">
        <v>1119</v>
      </c>
      <c r="R614" s="18" t="s">
        <v>1120</v>
      </c>
      <c r="S614" s="18">
        <v>1349</v>
      </c>
      <c r="T614" s="18">
        <v>194917.01</v>
      </c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</row>
    <row r="615" spans="6:39" x14ac:dyDescent="0.35">
      <c r="F615" s="18" t="s">
        <v>1109</v>
      </c>
      <c r="G615" s="19">
        <v>46221</v>
      </c>
      <c r="H615" s="18" t="s">
        <v>485</v>
      </c>
      <c r="I615" s="18" t="s">
        <v>1110</v>
      </c>
      <c r="J615" s="18">
        <v>1104</v>
      </c>
      <c r="K615" s="18" t="s">
        <v>1111</v>
      </c>
      <c r="L615" s="18" t="s">
        <v>5827</v>
      </c>
      <c r="M615" s="19">
        <v>46221</v>
      </c>
      <c r="N615" s="18" t="s">
        <v>1112</v>
      </c>
      <c r="O615" s="18" t="s">
        <v>1127</v>
      </c>
      <c r="P615" s="18" t="s">
        <v>1128</v>
      </c>
      <c r="Q615" s="18" t="s">
        <v>1129</v>
      </c>
      <c r="R615" s="18" t="s">
        <v>1130</v>
      </c>
      <c r="S615" s="18">
        <v>329.3</v>
      </c>
      <c r="T615" s="18">
        <v>78037.509999999995</v>
      </c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</row>
    <row r="616" spans="6:39" x14ac:dyDescent="0.35">
      <c r="F616" s="18" t="s">
        <v>1109</v>
      </c>
      <c r="G616" s="19">
        <v>46221</v>
      </c>
      <c r="H616" s="18" t="s">
        <v>485</v>
      </c>
      <c r="I616" s="18" t="s">
        <v>1110</v>
      </c>
      <c r="J616" s="18">
        <v>1104</v>
      </c>
      <c r="K616" s="18" t="s">
        <v>1111</v>
      </c>
      <c r="L616" s="18" t="s">
        <v>5827</v>
      </c>
      <c r="M616" s="19">
        <v>46221</v>
      </c>
      <c r="N616" s="18" t="s">
        <v>1112</v>
      </c>
      <c r="O616" s="18" t="s">
        <v>1127</v>
      </c>
      <c r="P616" s="18" t="s">
        <v>1128</v>
      </c>
      <c r="Q616" s="18" t="s">
        <v>1129</v>
      </c>
      <c r="R616" s="18" t="s">
        <v>1130</v>
      </c>
      <c r="S616" s="18">
        <v>3.3</v>
      </c>
      <c r="T616" s="18">
        <v>616.37</v>
      </c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</row>
    <row r="617" spans="6:39" x14ac:dyDescent="0.35">
      <c r="F617" s="18" t="s">
        <v>1109</v>
      </c>
      <c r="G617" s="19">
        <v>46221</v>
      </c>
      <c r="H617" s="18" t="s">
        <v>485</v>
      </c>
      <c r="I617" s="18" t="s">
        <v>1110</v>
      </c>
      <c r="J617" s="18">
        <v>1104</v>
      </c>
      <c r="K617" s="18" t="s">
        <v>1111</v>
      </c>
      <c r="L617" s="18" t="s">
        <v>5827</v>
      </c>
      <c r="M617" s="19">
        <v>46221</v>
      </c>
      <c r="N617" s="18" t="s">
        <v>1112</v>
      </c>
      <c r="O617" s="18" t="s">
        <v>1127</v>
      </c>
      <c r="P617" s="18" t="s">
        <v>1128</v>
      </c>
      <c r="Q617" s="18" t="s">
        <v>1129</v>
      </c>
      <c r="R617" s="18" t="s">
        <v>1130</v>
      </c>
      <c r="S617" s="18">
        <v>2313.5</v>
      </c>
      <c r="T617" s="18">
        <v>478385.53</v>
      </c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</row>
    <row r="618" spans="6:39" x14ac:dyDescent="0.35">
      <c r="F618" s="18" t="s">
        <v>1109</v>
      </c>
      <c r="G618" s="19">
        <v>46221</v>
      </c>
      <c r="H618" s="18" t="s">
        <v>485</v>
      </c>
      <c r="I618" s="18" t="s">
        <v>1110</v>
      </c>
      <c r="J618" s="18" t="s">
        <v>5828</v>
      </c>
      <c r="K618" s="18" t="s">
        <v>3760</v>
      </c>
      <c r="L618" s="18" t="s">
        <v>5828</v>
      </c>
      <c r="M618" s="19">
        <v>46221</v>
      </c>
      <c r="N618" s="18" t="s">
        <v>1146</v>
      </c>
      <c r="O618" s="18" t="s">
        <v>1147</v>
      </c>
      <c r="P618" s="18" t="s">
        <v>1147</v>
      </c>
      <c r="Q618" s="18" t="s">
        <v>1148</v>
      </c>
      <c r="R618" s="18" t="s">
        <v>1149</v>
      </c>
      <c r="S618" s="18">
        <v>19060</v>
      </c>
      <c r="T618" s="18">
        <v>4397523.2</v>
      </c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</row>
    <row r="619" spans="6:39" x14ac:dyDescent="0.35">
      <c r="F619" s="18" t="s">
        <v>1109</v>
      </c>
      <c r="G619" s="19">
        <v>46221</v>
      </c>
      <c r="H619" s="18" t="s">
        <v>125</v>
      </c>
      <c r="I619" s="18" t="s">
        <v>1110</v>
      </c>
      <c r="J619" s="18">
        <v>1097</v>
      </c>
      <c r="K619" s="18" t="s">
        <v>1111</v>
      </c>
      <c r="L619" s="18" t="s">
        <v>5513</v>
      </c>
      <c r="M619" s="19">
        <v>46221</v>
      </c>
      <c r="N619" s="18" t="s">
        <v>1112</v>
      </c>
      <c r="O619" s="18" t="s">
        <v>1117</v>
      </c>
      <c r="P619" s="18" t="s">
        <v>1118</v>
      </c>
      <c r="Q619" s="18" t="s">
        <v>1119</v>
      </c>
      <c r="R619" s="18" t="s">
        <v>1120</v>
      </c>
      <c r="S619" s="18">
        <v>1626</v>
      </c>
      <c r="T619" s="18">
        <v>234891.96</v>
      </c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</row>
    <row r="620" spans="6:39" x14ac:dyDescent="0.35">
      <c r="F620" s="18" t="s">
        <v>1109</v>
      </c>
      <c r="G620" s="19">
        <v>46221</v>
      </c>
      <c r="H620" s="18" t="s">
        <v>125</v>
      </c>
      <c r="I620" s="18" t="s">
        <v>1110</v>
      </c>
      <c r="J620" s="18">
        <v>1097</v>
      </c>
      <c r="K620" s="18" t="s">
        <v>1111</v>
      </c>
      <c r="L620" s="18" t="s">
        <v>5513</v>
      </c>
      <c r="M620" s="19">
        <v>46221</v>
      </c>
      <c r="N620" s="18" t="s">
        <v>1112</v>
      </c>
      <c r="O620" s="18" t="s">
        <v>1131</v>
      </c>
      <c r="P620" s="18" t="s">
        <v>1132</v>
      </c>
      <c r="Q620" s="18" t="s">
        <v>1132</v>
      </c>
      <c r="R620" s="18" t="s">
        <v>1131</v>
      </c>
      <c r="S620" s="18">
        <v>553.4</v>
      </c>
      <c r="T620" s="18">
        <v>81067.570000000007</v>
      </c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</row>
    <row r="621" spans="6:39" x14ac:dyDescent="0.35">
      <c r="F621" s="18" t="s">
        <v>1109</v>
      </c>
      <c r="G621" s="19">
        <v>46221</v>
      </c>
      <c r="H621" s="18" t="s">
        <v>125</v>
      </c>
      <c r="I621" s="18" t="s">
        <v>1110</v>
      </c>
      <c r="J621" s="18">
        <v>1099</v>
      </c>
      <c r="K621" s="18" t="s">
        <v>1111</v>
      </c>
      <c r="L621" s="18" t="s">
        <v>2389</v>
      </c>
      <c r="M621" s="19">
        <v>46221</v>
      </c>
      <c r="N621" s="18" t="s">
        <v>1146</v>
      </c>
      <c r="O621" s="18" t="s">
        <v>1147</v>
      </c>
      <c r="P621" s="18" t="s">
        <v>1147</v>
      </c>
      <c r="Q621" s="18" t="s">
        <v>1148</v>
      </c>
      <c r="R621" s="18" t="s">
        <v>1149</v>
      </c>
      <c r="S621" s="18">
        <v>4973</v>
      </c>
      <c r="T621" s="18">
        <v>1091374.58</v>
      </c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</row>
    <row r="622" spans="6:39" x14ac:dyDescent="0.35">
      <c r="F622" s="18" t="s">
        <v>1109</v>
      </c>
      <c r="G622" s="19">
        <v>46221</v>
      </c>
      <c r="H622" s="18" t="s">
        <v>125</v>
      </c>
      <c r="I622" s="18" t="s">
        <v>1110</v>
      </c>
      <c r="J622" s="18">
        <v>1106</v>
      </c>
      <c r="K622" s="18" t="s">
        <v>1111</v>
      </c>
      <c r="L622" s="18" t="s">
        <v>5514</v>
      </c>
      <c r="M622" s="19">
        <v>46221</v>
      </c>
      <c r="N622" s="18" t="s">
        <v>1112</v>
      </c>
      <c r="O622" s="18" t="s">
        <v>1113</v>
      </c>
      <c r="P622" s="18" t="s">
        <v>1114</v>
      </c>
      <c r="Q622" s="18" t="s">
        <v>1115</v>
      </c>
      <c r="R622" s="18" t="s">
        <v>1116</v>
      </c>
      <c r="S622" s="18">
        <v>245</v>
      </c>
      <c r="T622" s="18">
        <v>38340.050000000003</v>
      </c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</row>
    <row r="623" spans="6:39" x14ac:dyDescent="0.35">
      <c r="F623" s="18" t="s">
        <v>1109</v>
      </c>
      <c r="G623" s="19">
        <v>46221</v>
      </c>
      <c r="H623" s="18" t="s">
        <v>125</v>
      </c>
      <c r="I623" s="18" t="s">
        <v>1110</v>
      </c>
      <c r="J623" s="18">
        <v>1108</v>
      </c>
      <c r="K623" s="18" t="s">
        <v>1121</v>
      </c>
      <c r="L623" s="18" t="s">
        <v>5515</v>
      </c>
      <c r="M623" s="19">
        <v>46221</v>
      </c>
      <c r="N623" s="18" t="s">
        <v>1122</v>
      </c>
      <c r="O623" s="18" t="s">
        <v>1123</v>
      </c>
      <c r="P623" s="18" t="s">
        <v>1124</v>
      </c>
      <c r="Q623" s="18" t="s">
        <v>1125</v>
      </c>
      <c r="R623" s="18" t="s">
        <v>1126</v>
      </c>
      <c r="S623" s="18">
        <v>24</v>
      </c>
      <c r="T623" s="18">
        <v>1152</v>
      </c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</row>
    <row r="624" spans="6:39" x14ac:dyDescent="0.35">
      <c r="F624" s="18" t="s">
        <v>1109</v>
      </c>
      <c r="G624" s="19">
        <v>46221</v>
      </c>
      <c r="H624" s="18" t="s">
        <v>125</v>
      </c>
      <c r="I624" s="18" t="s">
        <v>1110</v>
      </c>
      <c r="J624" s="18">
        <v>1109</v>
      </c>
      <c r="K624" s="18" t="s">
        <v>1111</v>
      </c>
      <c r="L624" s="18" t="s">
        <v>5516</v>
      </c>
      <c r="M624" s="19">
        <v>46221</v>
      </c>
      <c r="N624" s="18" t="s">
        <v>1112</v>
      </c>
      <c r="O624" s="18" t="s">
        <v>1131</v>
      </c>
      <c r="P624" s="18" t="s">
        <v>1132</v>
      </c>
      <c r="Q624" s="18" t="s">
        <v>1132</v>
      </c>
      <c r="R624" s="18" t="s">
        <v>1131</v>
      </c>
      <c r="S624" s="18">
        <v>783.4</v>
      </c>
      <c r="T624" s="18">
        <v>117110.47</v>
      </c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</row>
    <row r="625" spans="6:39" x14ac:dyDescent="0.35">
      <c r="F625" s="18" t="s">
        <v>1109</v>
      </c>
      <c r="G625" s="19">
        <v>46221</v>
      </c>
      <c r="H625" s="18" t="s">
        <v>125</v>
      </c>
      <c r="I625" s="18" t="s">
        <v>1110</v>
      </c>
      <c r="J625" s="18">
        <v>1109</v>
      </c>
      <c r="K625" s="18" t="s">
        <v>1111</v>
      </c>
      <c r="L625" s="18" t="s">
        <v>5516</v>
      </c>
      <c r="M625" s="19">
        <v>46221</v>
      </c>
      <c r="N625" s="18" t="s">
        <v>1112</v>
      </c>
      <c r="O625" s="18" t="s">
        <v>1131</v>
      </c>
      <c r="P625" s="18" t="s">
        <v>1132</v>
      </c>
      <c r="Q625" s="18" t="s">
        <v>1132</v>
      </c>
      <c r="R625" s="18" t="s">
        <v>1131</v>
      </c>
      <c r="S625" s="18">
        <v>462.9</v>
      </c>
      <c r="T625" s="18">
        <v>67810.22</v>
      </c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</row>
    <row r="626" spans="6:39" x14ac:dyDescent="0.35">
      <c r="F626" s="18" t="s">
        <v>1109</v>
      </c>
      <c r="G626" s="19">
        <v>46221</v>
      </c>
      <c r="H626" s="18" t="s">
        <v>125</v>
      </c>
      <c r="I626" s="18" t="s">
        <v>1110</v>
      </c>
      <c r="J626" s="18">
        <v>1109</v>
      </c>
      <c r="K626" s="18" t="s">
        <v>1111</v>
      </c>
      <c r="L626" s="18" t="s">
        <v>5516</v>
      </c>
      <c r="M626" s="19">
        <v>46221</v>
      </c>
      <c r="N626" s="18" t="s">
        <v>1112</v>
      </c>
      <c r="O626" s="18" t="s">
        <v>1117</v>
      </c>
      <c r="P626" s="18" t="s">
        <v>1138</v>
      </c>
      <c r="Q626" s="18" t="s">
        <v>1139</v>
      </c>
      <c r="R626" s="18" t="s">
        <v>1140</v>
      </c>
      <c r="S626" s="18">
        <v>4058.7</v>
      </c>
      <c r="T626" s="18">
        <v>656454.14</v>
      </c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</row>
    <row r="627" spans="6:39" x14ac:dyDescent="0.35">
      <c r="F627" s="18" t="s">
        <v>1109</v>
      </c>
      <c r="G627" s="19">
        <v>46221</v>
      </c>
      <c r="H627" s="18" t="s">
        <v>125</v>
      </c>
      <c r="I627" s="18" t="s">
        <v>1110</v>
      </c>
      <c r="J627" s="18">
        <v>1109</v>
      </c>
      <c r="K627" s="18" t="s">
        <v>1111</v>
      </c>
      <c r="L627" s="18" t="s">
        <v>5516</v>
      </c>
      <c r="M627" s="19">
        <v>46221</v>
      </c>
      <c r="N627" s="18" t="s">
        <v>1112</v>
      </c>
      <c r="O627" s="18" t="s">
        <v>1127</v>
      </c>
      <c r="P627" s="18" t="s">
        <v>1128</v>
      </c>
      <c r="Q627" s="18" t="s">
        <v>1129</v>
      </c>
      <c r="R627" s="18" t="s">
        <v>1130</v>
      </c>
      <c r="S627" s="18">
        <v>416</v>
      </c>
      <c r="T627" s="18">
        <v>77700.479999999996</v>
      </c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</row>
    <row r="628" spans="6:39" x14ac:dyDescent="0.35">
      <c r="F628" s="18" t="s">
        <v>1109</v>
      </c>
      <c r="G628" s="19">
        <v>46221</v>
      </c>
      <c r="H628" s="18" t="s">
        <v>1196</v>
      </c>
      <c r="I628" s="18" t="s">
        <v>1110</v>
      </c>
      <c r="J628" s="18">
        <v>1110</v>
      </c>
      <c r="K628" s="18" t="s">
        <v>1191</v>
      </c>
      <c r="L628" s="18" t="s">
        <v>5318</v>
      </c>
      <c r="M628" s="19">
        <v>46221</v>
      </c>
      <c r="N628" s="18" t="s">
        <v>1112</v>
      </c>
      <c r="O628" s="18" t="s">
        <v>1151</v>
      </c>
      <c r="P628" s="18" t="s">
        <v>1151</v>
      </c>
      <c r="Q628" s="18" t="s">
        <v>1152</v>
      </c>
      <c r="R628" s="18" t="s">
        <v>1151</v>
      </c>
      <c r="S628" s="18">
        <v>30000</v>
      </c>
      <c r="T628" s="18">
        <v>1962000</v>
      </c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</row>
    <row r="629" spans="6:39" x14ac:dyDescent="0.35">
      <c r="F629" s="18" t="s">
        <v>1109</v>
      </c>
      <c r="G629" s="19">
        <v>46222</v>
      </c>
      <c r="H629" s="18" t="s">
        <v>3790</v>
      </c>
      <c r="I629" s="18" t="s">
        <v>1110</v>
      </c>
      <c r="J629" s="18">
        <v>1111</v>
      </c>
      <c r="K629" s="18" t="s">
        <v>1111</v>
      </c>
      <c r="L629" s="18" t="s">
        <v>5829</v>
      </c>
      <c r="M629" s="19">
        <v>46222</v>
      </c>
      <c r="N629" s="18" t="s">
        <v>1112</v>
      </c>
      <c r="O629" s="18" t="s">
        <v>1117</v>
      </c>
      <c r="P629" s="18" t="s">
        <v>1118</v>
      </c>
      <c r="Q629" s="18" t="s">
        <v>1119</v>
      </c>
      <c r="R629" s="18" t="s">
        <v>1120</v>
      </c>
      <c r="S629" s="18">
        <v>1147</v>
      </c>
      <c r="T629" s="18">
        <v>168024.03</v>
      </c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</row>
    <row r="630" spans="6:39" x14ac:dyDescent="0.35">
      <c r="F630" s="18" t="s">
        <v>1109</v>
      </c>
      <c r="G630" s="19">
        <v>46222</v>
      </c>
      <c r="H630" s="18" t="s">
        <v>3790</v>
      </c>
      <c r="I630" s="18" t="s">
        <v>1110</v>
      </c>
      <c r="J630" s="18">
        <v>1111</v>
      </c>
      <c r="K630" s="18" t="s">
        <v>1111</v>
      </c>
      <c r="L630" s="18" t="s">
        <v>5829</v>
      </c>
      <c r="M630" s="19">
        <v>46222</v>
      </c>
      <c r="N630" s="18" t="s">
        <v>1112</v>
      </c>
      <c r="O630" s="18" t="s">
        <v>1117</v>
      </c>
      <c r="P630" s="18" t="s">
        <v>1118</v>
      </c>
      <c r="Q630" s="18" t="s">
        <v>1119</v>
      </c>
      <c r="R630" s="18" t="s">
        <v>1120</v>
      </c>
      <c r="S630" s="18">
        <v>499</v>
      </c>
      <c r="T630" s="18">
        <v>73597.509999999995</v>
      </c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</row>
    <row r="631" spans="6:39" x14ac:dyDescent="0.35">
      <c r="F631" s="18" t="s">
        <v>1109</v>
      </c>
      <c r="G631" s="19">
        <v>46222</v>
      </c>
      <c r="H631" s="18" t="s">
        <v>3790</v>
      </c>
      <c r="I631" s="18" t="s">
        <v>1110</v>
      </c>
      <c r="J631" s="18">
        <v>1111</v>
      </c>
      <c r="K631" s="18" t="s">
        <v>1111</v>
      </c>
      <c r="L631" s="18" t="s">
        <v>5829</v>
      </c>
      <c r="M631" s="19">
        <v>46222</v>
      </c>
      <c r="N631" s="18" t="s">
        <v>1112</v>
      </c>
      <c r="O631" s="18" t="s">
        <v>1117</v>
      </c>
      <c r="P631" s="18" t="s">
        <v>1118</v>
      </c>
      <c r="Q631" s="18" t="s">
        <v>1119</v>
      </c>
      <c r="R631" s="18" t="s">
        <v>1120</v>
      </c>
      <c r="S631" s="18">
        <v>6933</v>
      </c>
      <c r="T631" s="18">
        <v>1001749.17</v>
      </c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</row>
    <row r="632" spans="6:39" x14ac:dyDescent="0.35">
      <c r="F632" s="18" t="s">
        <v>1109</v>
      </c>
      <c r="G632" s="19">
        <v>46222</v>
      </c>
      <c r="H632" s="18" t="s">
        <v>3790</v>
      </c>
      <c r="I632" s="18" t="s">
        <v>1110</v>
      </c>
      <c r="J632" s="18">
        <v>1111</v>
      </c>
      <c r="K632" s="18" t="s">
        <v>1111</v>
      </c>
      <c r="L632" s="18" t="s">
        <v>5829</v>
      </c>
      <c r="M632" s="19">
        <v>46222</v>
      </c>
      <c r="N632" s="18" t="s">
        <v>1112</v>
      </c>
      <c r="O632" s="18" t="s">
        <v>1131</v>
      </c>
      <c r="P632" s="18" t="s">
        <v>1132</v>
      </c>
      <c r="Q632" s="18" t="s">
        <v>1132</v>
      </c>
      <c r="R632" s="18" t="s">
        <v>1131</v>
      </c>
      <c r="S632" s="18">
        <v>165.9</v>
      </c>
      <c r="T632" s="18">
        <v>24800.39</v>
      </c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</row>
    <row r="633" spans="6:39" x14ac:dyDescent="0.35">
      <c r="F633" s="18" t="s">
        <v>1109</v>
      </c>
      <c r="G633" s="19">
        <v>46222</v>
      </c>
      <c r="H633" s="18" t="s">
        <v>3790</v>
      </c>
      <c r="I633" s="18" t="s">
        <v>1110</v>
      </c>
      <c r="J633" s="18">
        <v>1111</v>
      </c>
      <c r="K633" s="18" t="s">
        <v>1111</v>
      </c>
      <c r="L633" s="18" t="s">
        <v>5829</v>
      </c>
      <c r="M633" s="19">
        <v>46222</v>
      </c>
      <c r="N633" s="18" t="s">
        <v>1112</v>
      </c>
      <c r="O633" s="18" t="s">
        <v>1131</v>
      </c>
      <c r="P633" s="18" t="s">
        <v>1132</v>
      </c>
      <c r="Q633" s="18" t="s">
        <v>1132</v>
      </c>
      <c r="R633" s="18" t="s">
        <v>1131</v>
      </c>
      <c r="S633" s="18">
        <v>499</v>
      </c>
      <c r="T633" s="18">
        <v>73098.509999999995</v>
      </c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</row>
    <row r="634" spans="6:39" x14ac:dyDescent="0.35">
      <c r="F634" s="18" t="s">
        <v>1109</v>
      </c>
      <c r="G634" s="19">
        <v>46222</v>
      </c>
      <c r="H634" s="18" t="s">
        <v>3790</v>
      </c>
      <c r="I634" s="18" t="s">
        <v>1110</v>
      </c>
      <c r="J634" s="18">
        <v>1111</v>
      </c>
      <c r="K634" s="18" t="s">
        <v>1111</v>
      </c>
      <c r="L634" s="18" t="s">
        <v>5829</v>
      </c>
      <c r="M634" s="19">
        <v>46222</v>
      </c>
      <c r="N634" s="18" t="s">
        <v>1112</v>
      </c>
      <c r="O634" s="18" t="s">
        <v>1131</v>
      </c>
      <c r="P634" s="18" t="s">
        <v>1132</v>
      </c>
      <c r="Q634" s="18" t="s">
        <v>1132</v>
      </c>
      <c r="R634" s="18" t="s">
        <v>1131</v>
      </c>
      <c r="S634" s="18">
        <v>146.5</v>
      </c>
      <c r="T634" s="18">
        <v>24976.78</v>
      </c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</row>
    <row r="635" spans="6:39" x14ac:dyDescent="0.35">
      <c r="F635" s="18" t="s">
        <v>1109</v>
      </c>
      <c r="G635" s="19">
        <v>46222</v>
      </c>
      <c r="H635" s="18" t="s">
        <v>3790</v>
      </c>
      <c r="I635" s="18" t="s">
        <v>1110</v>
      </c>
      <c r="J635" s="18">
        <v>1111</v>
      </c>
      <c r="K635" s="18" t="s">
        <v>1111</v>
      </c>
      <c r="L635" s="18" t="s">
        <v>5829</v>
      </c>
      <c r="M635" s="19">
        <v>46222</v>
      </c>
      <c r="N635" s="18" t="s">
        <v>1112</v>
      </c>
      <c r="O635" s="18" t="s">
        <v>1117</v>
      </c>
      <c r="P635" s="18" t="s">
        <v>1138</v>
      </c>
      <c r="Q635" s="18" t="s">
        <v>1139</v>
      </c>
      <c r="R635" s="18" t="s">
        <v>1140</v>
      </c>
      <c r="S635" s="18">
        <v>1250</v>
      </c>
      <c r="T635" s="18">
        <v>189362.5</v>
      </c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</row>
    <row r="636" spans="6:39" x14ac:dyDescent="0.35">
      <c r="F636" s="18" t="s">
        <v>1109</v>
      </c>
      <c r="G636" s="19">
        <v>46222</v>
      </c>
      <c r="H636" s="18" t="s">
        <v>3790</v>
      </c>
      <c r="I636" s="18" t="s">
        <v>1110</v>
      </c>
      <c r="J636" s="18">
        <v>1112</v>
      </c>
      <c r="K636" s="18" t="s">
        <v>1121</v>
      </c>
      <c r="L636" s="18" t="s">
        <v>5830</v>
      </c>
      <c r="M636" s="19">
        <v>46222</v>
      </c>
      <c r="N636" s="18" t="s">
        <v>1122</v>
      </c>
      <c r="O636" s="18" t="s">
        <v>1123</v>
      </c>
      <c r="P636" s="18" t="s">
        <v>1124</v>
      </c>
      <c r="Q636" s="18" t="s">
        <v>1125</v>
      </c>
      <c r="R636" s="18" t="s">
        <v>1126</v>
      </c>
      <c r="S636" s="18">
        <v>345</v>
      </c>
      <c r="T636" s="18">
        <v>16560</v>
      </c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</row>
    <row r="637" spans="6:39" x14ac:dyDescent="0.35">
      <c r="F637" s="18" t="s">
        <v>1109</v>
      </c>
      <c r="G637" s="19">
        <v>46222</v>
      </c>
      <c r="H637" s="18" t="s">
        <v>3790</v>
      </c>
      <c r="I637" s="18" t="s">
        <v>1110</v>
      </c>
      <c r="J637" s="18">
        <v>1113</v>
      </c>
      <c r="K637" s="18" t="s">
        <v>1111</v>
      </c>
      <c r="L637" s="18" t="s">
        <v>5831</v>
      </c>
      <c r="M637" s="19">
        <v>46222</v>
      </c>
      <c r="N637" s="18" t="s">
        <v>1112</v>
      </c>
      <c r="O637" s="18" t="s">
        <v>1117</v>
      </c>
      <c r="P637" s="18" t="s">
        <v>1118</v>
      </c>
      <c r="Q637" s="18" t="s">
        <v>1119</v>
      </c>
      <c r="R637" s="18" t="s">
        <v>1120</v>
      </c>
      <c r="S637" s="18">
        <v>253</v>
      </c>
      <c r="T637" s="18">
        <v>37061.97</v>
      </c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</row>
    <row r="638" spans="6:39" x14ac:dyDescent="0.35">
      <c r="F638" s="18" t="s">
        <v>1109</v>
      </c>
      <c r="G638" s="19">
        <v>46222</v>
      </c>
      <c r="H638" s="18" t="s">
        <v>3790</v>
      </c>
      <c r="I638" s="18" t="s">
        <v>1110</v>
      </c>
      <c r="J638" s="18">
        <v>1113</v>
      </c>
      <c r="K638" s="18" t="s">
        <v>1111</v>
      </c>
      <c r="L638" s="18" t="s">
        <v>5831</v>
      </c>
      <c r="M638" s="19">
        <v>46222</v>
      </c>
      <c r="N638" s="18" t="s">
        <v>1112</v>
      </c>
      <c r="O638" s="18" t="s">
        <v>1117</v>
      </c>
      <c r="P638" s="18" t="s">
        <v>1118</v>
      </c>
      <c r="Q638" s="18" t="s">
        <v>1119</v>
      </c>
      <c r="R638" s="18" t="s">
        <v>1120</v>
      </c>
      <c r="S638" s="18">
        <v>1866</v>
      </c>
      <c r="T638" s="18">
        <v>269618.34000000003</v>
      </c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</row>
    <row r="639" spans="6:39" x14ac:dyDescent="0.35">
      <c r="F639" s="18" t="s">
        <v>1109</v>
      </c>
      <c r="G639" s="19">
        <v>46222</v>
      </c>
      <c r="H639" s="18" t="s">
        <v>3790</v>
      </c>
      <c r="I639" s="18" t="s">
        <v>1110</v>
      </c>
      <c r="J639" s="18">
        <v>1113</v>
      </c>
      <c r="K639" s="18" t="s">
        <v>1111</v>
      </c>
      <c r="L639" s="18" t="s">
        <v>5831</v>
      </c>
      <c r="M639" s="19">
        <v>46222</v>
      </c>
      <c r="N639" s="18" t="s">
        <v>1112</v>
      </c>
      <c r="O639" s="18" t="s">
        <v>1117</v>
      </c>
      <c r="P639" s="18" t="s">
        <v>1138</v>
      </c>
      <c r="Q639" s="18" t="s">
        <v>1139</v>
      </c>
      <c r="R639" s="18" t="s">
        <v>1140</v>
      </c>
      <c r="S639" s="18">
        <v>361</v>
      </c>
      <c r="T639" s="18">
        <v>53604.89</v>
      </c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</row>
    <row r="640" spans="6:39" x14ac:dyDescent="0.35">
      <c r="F640" s="18" t="s">
        <v>1109</v>
      </c>
      <c r="G640" s="19">
        <v>46222</v>
      </c>
      <c r="H640" s="18" t="s">
        <v>3790</v>
      </c>
      <c r="I640" s="18" t="s">
        <v>1110</v>
      </c>
      <c r="J640" s="18">
        <v>1113</v>
      </c>
      <c r="K640" s="18" t="s">
        <v>1111</v>
      </c>
      <c r="L640" s="18" t="s">
        <v>5831</v>
      </c>
      <c r="M640" s="19">
        <v>46222</v>
      </c>
      <c r="N640" s="18" t="s">
        <v>1112</v>
      </c>
      <c r="O640" s="18" t="s">
        <v>1127</v>
      </c>
      <c r="P640" s="18" t="s">
        <v>1128</v>
      </c>
      <c r="Q640" s="18" t="s">
        <v>1129</v>
      </c>
      <c r="R640" s="18" t="s">
        <v>1130</v>
      </c>
      <c r="S640" s="18">
        <v>1871</v>
      </c>
      <c r="T640" s="18">
        <v>341981.38</v>
      </c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</row>
    <row r="641" spans="6:39" x14ac:dyDescent="0.35">
      <c r="F641" s="18" t="s">
        <v>1109</v>
      </c>
      <c r="G641" s="19">
        <v>46222</v>
      </c>
      <c r="H641" s="18" t="s">
        <v>3790</v>
      </c>
      <c r="I641" s="18" t="s">
        <v>1110</v>
      </c>
      <c r="J641" s="18">
        <v>1113</v>
      </c>
      <c r="K641" s="18" t="s">
        <v>1111</v>
      </c>
      <c r="L641" s="18" t="s">
        <v>5831</v>
      </c>
      <c r="M641" s="19">
        <v>46222</v>
      </c>
      <c r="N641" s="18" t="s">
        <v>1112</v>
      </c>
      <c r="O641" s="18" t="s">
        <v>1127</v>
      </c>
      <c r="P641" s="18" t="s">
        <v>1128</v>
      </c>
      <c r="Q641" s="18" t="s">
        <v>1129</v>
      </c>
      <c r="R641" s="18" t="s">
        <v>1130</v>
      </c>
      <c r="S641" s="18">
        <v>2517</v>
      </c>
      <c r="T641" s="18">
        <v>470125.26</v>
      </c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</row>
    <row r="642" spans="6:39" x14ac:dyDescent="0.35">
      <c r="F642" s="18" t="s">
        <v>1109</v>
      </c>
      <c r="G642" s="19">
        <v>46222</v>
      </c>
      <c r="H642" s="18" t="s">
        <v>3790</v>
      </c>
      <c r="I642" s="18" t="s">
        <v>1110</v>
      </c>
      <c r="J642" s="18">
        <v>1113</v>
      </c>
      <c r="K642" s="18" t="s">
        <v>1111</v>
      </c>
      <c r="L642" s="18" t="s">
        <v>5831</v>
      </c>
      <c r="M642" s="19">
        <v>46222</v>
      </c>
      <c r="N642" s="18" t="s">
        <v>1112</v>
      </c>
      <c r="O642" s="18" t="s">
        <v>1127</v>
      </c>
      <c r="P642" s="18" t="s">
        <v>1128</v>
      </c>
      <c r="Q642" s="18" t="s">
        <v>1129</v>
      </c>
      <c r="R642" s="18" t="s">
        <v>1130</v>
      </c>
      <c r="S642" s="18">
        <v>425</v>
      </c>
      <c r="T642" s="18">
        <v>81081.5</v>
      </c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</row>
    <row r="643" spans="6:39" x14ac:dyDescent="0.35">
      <c r="F643" s="18" t="s">
        <v>1109</v>
      </c>
      <c r="G643" s="19">
        <v>46222</v>
      </c>
      <c r="H643" s="18" t="s">
        <v>485</v>
      </c>
      <c r="I643" s="18" t="s">
        <v>1110</v>
      </c>
      <c r="J643" s="18">
        <v>1116</v>
      </c>
      <c r="K643" s="18" t="s">
        <v>1121</v>
      </c>
      <c r="L643" s="18" t="s">
        <v>2390</v>
      </c>
      <c r="M643" s="19">
        <v>46222</v>
      </c>
      <c r="N643" s="18" t="s">
        <v>1122</v>
      </c>
      <c r="O643" s="18" t="s">
        <v>1123</v>
      </c>
      <c r="P643" s="18" t="s">
        <v>1124</v>
      </c>
      <c r="Q643" s="18" t="s">
        <v>1125</v>
      </c>
      <c r="R643" s="18" t="s">
        <v>1126</v>
      </c>
      <c r="S643" s="18">
        <v>341</v>
      </c>
      <c r="T643" s="18">
        <v>16368</v>
      </c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</row>
    <row r="644" spans="6:39" x14ac:dyDescent="0.35">
      <c r="F644" s="18" t="s">
        <v>1109</v>
      </c>
      <c r="G644" s="19">
        <v>46222</v>
      </c>
      <c r="H644" s="18" t="s">
        <v>485</v>
      </c>
      <c r="I644" s="18" t="s">
        <v>1110</v>
      </c>
      <c r="J644" s="18">
        <v>1117</v>
      </c>
      <c r="K644" s="18" t="s">
        <v>1111</v>
      </c>
      <c r="L644" s="18" t="s">
        <v>2391</v>
      </c>
      <c r="M644" s="19">
        <v>46222</v>
      </c>
      <c r="N644" s="18" t="s">
        <v>1112</v>
      </c>
      <c r="O644" s="18" t="s">
        <v>1117</v>
      </c>
      <c r="P644" s="18" t="s">
        <v>1118</v>
      </c>
      <c r="Q644" s="18" t="s">
        <v>1119</v>
      </c>
      <c r="R644" s="18" t="s">
        <v>1120</v>
      </c>
      <c r="S644" s="18">
        <v>1030</v>
      </c>
      <c r="T644" s="18">
        <v>151914.70000000001</v>
      </c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</row>
    <row r="645" spans="6:39" x14ac:dyDescent="0.35">
      <c r="F645" s="18" t="s">
        <v>1109</v>
      </c>
      <c r="G645" s="19">
        <v>46222</v>
      </c>
      <c r="H645" s="18" t="s">
        <v>485</v>
      </c>
      <c r="I645" s="18" t="s">
        <v>1110</v>
      </c>
      <c r="J645" s="18">
        <v>1117</v>
      </c>
      <c r="K645" s="18" t="s">
        <v>1111</v>
      </c>
      <c r="L645" s="18" t="s">
        <v>2391</v>
      </c>
      <c r="M645" s="19">
        <v>46222</v>
      </c>
      <c r="N645" s="18" t="s">
        <v>1112</v>
      </c>
      <c r="O645" s="18" t="s">
        <v>1117</v>
      </c>
      <c r="P645" s="18" t="s">
        <v>1118</v>
      </c>
      <c r="Q645" s="18" t="s">
        <v>1119</v>
      </c>
      <c r="R645" s="18" t="s">
        <v>1120</v>
      </c>
      <c r="S645" s="18">
        <v>2845</v>
      </c>
      <c r="T645" s="18">
        <v>411074.05</v>
      </c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</row>
    <row r="646" spans="6:39" x14ac:dyDescent="0.35">
      <c r="F646" s="18" t="s">
        <v>1109</v>
      </c>
      <c r="G646" s="19">
        <v>46222</v>
      </c>
      <c r="H646" s="18" t="s">
        <v>485</v>
      </c>
      <c r="I646" s="18" t="s">
        <v>1110</v>
      </c>
      <c r="J646" s="18">
        <v>1117</v>
      </c>
      <c r="K646" s="18" t="s">
        <v>1111</v>
      </c>
      <c r="L646" s="18" t="s">
        <v>2391</v>
      </c>
      <c r="M646" s="19">
        <v>46222</v>
      </c>
      <c r="N646" s="18" t="s">
        <v>1112</v>
      </c>
      <c r="O646" s="18" t="s">
        <v>1117</v>
      </c>
      <c r="P646" s="18" t="s">
        <v>1118</v>
      </c>
      <c r="Q646" s="18" t="s">
        <v>1119</v>
      </c>
      <c r="R646" s="18" t="s">
        <v>1120</v>
      </c>
      <c r="S646" s="18">
        <v>1919</v>
      </c>
      <c r="T646" s="18">
        <v>292628.31</v>
      </c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</row>
    <row r="647" spans="6:39" x14ac:dyDescent="0.35">
      <c r="F647" s="18" t="s">
        <v>1109</v>
      </c>
      <c r="G647" s="19">
        <v>46222</v>
      </c>
      <c r="H647" s="18" t="s">
        <v>485</v>
      </c>
      <c r="I647" s="18" t="s">
        <v>1110</v>
      </c>
      <c r="J647" s="18">
        <v>1117</v>
      </c>
      <c r="K647" s="18" t="s">
        <v>1111</v>
      </c>
      <c r="L647" s="18" t="s">
        <v>2391</v>
      </c>
      <c r="M647" s="19">
        <v>46222</v>
      </c>
      <c r="N647" s="18" t="s">
        <v>1112</v>
      </c>
      <c r="O647" s="18" t="s">
        <v>1117</v>
      </c>
      <c r="P647" s="18" t="s">
        <v>1118</v>
      </c>
      <c r="Q647" s="18" t="s">
        <v>1119</v>
      </c>
      <c r="R647" s="18" t="s">
        <v>1120</v>
      </c>
      <c r="S647" s="18">
        <v>3086</v>
      </c>
      <c r="T647" s="18">
        <v>461326.14</v>
      </c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</row>
    <row r="648" spans="6:39" x14ac:dyDescent="0.35">
      <c r="F648" s="18" t="s">
        <v>1109</v>
      </c>
      <c r="G648" s="19">
        <v>46222</v>
      </c>
      <c r="H648" s="18" t="s">
        <v>485</v>
      </c>
      <c r="I648" s="18" t="s">
        <v>1110</v>
      </c>
      <c r="J648" s="18">
        <v>1117</v>
      </c>
      <c r="K648" s="18" t="s">
        <v>1111</v>
      </c>
      <c r="L648" s="18" t="s">
        <v>2391</v>
      </c>
      <c r="M648" s="19">
        <v>46222</v>
      </c>
      <c r="N648" s="18" t="s">
        <v>1112</v>
      </c>
      <c r="O648" s="18" t="s">
        <v>1117</v>
      </c>
      <c r="P648" s="18" t="s">
        <v>1138</v>
      </c>
      <c r="Q648" s="18" t="s">
        <v>1139</v>
      </c>
      <c r="R648" s="18" t="s">
        <v>1140</v>
      </c>
      <c r="S648" s="18">
        <v>1404</v>
      </c>
      <c r="T648" s="18">
        <v>212691.96</v>
      </c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</row>
    <row r="649" spans="6:39" x14ac:dyDescent="0.35">
      <c r="F649" s="18" t="s">
        <v>1109</v>
      </c>
      <c r="G649" s="19">
        <v>46222</v>
      </c>
      <c r="H649" s="18" t="s">
        <v>485</v>
      </c>
      <c r="I649" s="18" t="s">
        <v>1150</v>
      </c>
      <c r="J649" s="18" t="s">
        <v>5832</v>
      </c>
      <c r="K649" s="18" t="s">
        <v>1111</v>
      </c>
      <c r="L649" s="18" t="s">
        <v>5832</v>
      </c>
      <c r="M649" s="19">
        <v>46222</v>
      </c>
      <c r="N649" s="18" t="s">
        <v>1112</v>
      </c>
      <c r="O649" s="18" t="s">
        <v>1117</v>
      </c>
      <c r="P649" s="18" t="s">
        <v>1118</v>
      </c>
      <c r="Q649" s="18" t="s">
        <v>1119</v>
      </c>
      <c r="R649" s="18" t="s">
        <v>1120</v>
      </c>
      <c r="S649" s="18">
        <v>311</v>
      </c>
      <c r="T649" s="18">
        <v>122845</v>
      </c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</row>
    <row r="650" spans="6:39" x14ac:dyDescent="0.35">
      <c r="F650" s="18" t="s">
        <v>1109</v>
      </c>
      <c r="G650" s="19">
        <v>46222</v>
      </c>
      <c r="H650" s="18" t="s">
        <v>125</v>
      </c>
      <c r="I650" s="18" t="s">
        <v>1110</v>
      </c>
      <c r="J650" s="18">
        <v>1114</v>
      </c>
      <c r="K650" s="18" t="s">
        <v>1121</v>
      </c>
      <c r="L650" s="18" t="s">
        <v>5517</v>
      </c>
      <c r="M650" s="19">
        <v>46222</v>
      </c>
      <c r="N650" s="18" t="s">
        <v>1122</v>
      </c>
      <c r="O650" s="18" t="s">
        <v>1123</v>
      </c>
      <c r="P650" s="18" t="s">
        <v>1124</v>
      </c>
      <c r="Q650" s="18" t="s">
        <v>1125</v>
      </c>
      <c r="R650" s="18" t="s">
        <v>1126</v>
      </c>
      <c r="S650" s="18">
        <v>152</v>
      </c>
      <c r="T650" s="18">
        <v>7296</v>
      </c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</row>
    <row r="651" spans="6:39" x14ac:dyDescent="0.35">
      <c r="F651" s="18" t="s">
        <v>1109</v>
      </c>
      <c r="G651" s="19">
        <v>46222</v>
      </c>
      <c r="H651" s="18" t="s">
        <v>125</v>
      </c>
      <c r="I651" s="18" t="s">
        <v>1110</v>
      </c>
      <c r="J651" s="18">
        <v>1115</v>
      </c>
      <c r="K651" s="18" t="s">
        <v>1111</v>
      </c>
      <c r="L651" s="18" t="s">
        <v>5518</v>
      </c>
      <c r="M651" s="19">
        <v>46222</v>
      </c>
      <c r="N651" s="18" t="s">
        <v>1112</v>
      </c>
      <c r="O651" s="18" t="s">
        <v>1117</v>
      </c>
      <c r="P651" s="18" t="s">
        <v>1138</v>
      </c>
      <c r="Q651" s="18" t="s">
        <v>1139</v>
      </c>
      <c r="R651" s="18" t="s">
        <v>1140</v>
      </c>
      <c r="S651" s="18">
        <v>2742</v>
      </c>
      <c r="T651" s="18">
        <v>415385.58</v>
      </c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</row>
    <row r="652" spans="6:39" x14ac:dyDescent="0.35">
      <c r="F652" s="18" t="s">
        <v>1109</v>
      </c>
      <c r="G652" s="19">
        <v>46222</v>
      </c>
      <c r="H652" s="18" t="s">
        <v>125</v>
      </c>
      <c r="I652" s="18" t="s">
        <v>1110</v>
      </c>
      <c r="J652" s="18">
        <v>1115</v>
      </c>
      <c r="K652" s="18" t="s">
        <v>1111</v>
      </c>
      <c r="L652" s="18" t="s">
        <v>5518</v>
      </c>
      <c r="M652" s="19">
        <v>46222</v>
      </c>
      <c r="N652" s="18" t="s">
        <v>1112</v>
      </c>
      <c r="O652" s="18" t="s">
        <v>1117</v>
      </c>
      <c r="P652" s="18" t="s">
        <v>1118</v>
      </c>
      <c r="Q652" s="18" t="s">
        <v>1119</v>
      </c>
      <c r="R652" s="18" t="s">
        <v>1120</v>
      </c>
      <c r="S652" s="18">
        <v>347</v>
      </c>
      <c r="T652" s="18">
        <v>51179.03</v>
      </c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</row>
    <row r="653" spans="6:39" x14ac:dyDescent="0.35">
      <c r="F653" s="18" t="s">
        <v>1109</v>
      </c>
      <c r="G653" s="19">
        <v>46222</v>
      </c>
      <c r="H653" s="18" t="s">
        <v>125</v>
      </c>
      <c r="I653" s="18" t="s">
        <v>1110</v>
      </c>
      <c r="J653" s="18">
        <v>1115</v>
      </c>
      <c r="K653" s="18" t="s">
        <v>1111</v>
      </c>
      <c r="L653" s="18" t="s">
        <v>5518</v>
      </c>
      <c r="M653" s="19">
        <v>46222</v>
      </c>
      <c r="N653" s="18" t="s">
        <v>1112</v>
      </c>
      <c r="O653" s="18" t="s">
        <v>1117</v>
      </c>
      <c r="P653" s="18" t="s">
        <v>1118</v>
      </c>
      <c r="Q653" s="18" t="s">
        <v>1119</v>
      </c>
      <c r="R653" s="18" t="s">
        <v>1120</v>
      </c>
      <c r="S653" s="18">
        <v>1336</v>
      </c>
      <c r="T653" s="18">
        <v>199718.64</v>
      </c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</row>
    <row r="654" spans="6:39" x14ac:dyDescent="0.35">
      <c r="F654" s="18" t="s">
        <v>1109</v>
      </c>
      <c r="G654" s="19">
        <v>46222</v>
      </c>
      <c r="H654" s="18" t="s">
        <v>125</v>
      </c>
      <c r="I654" s="18" t="s">
        <v>1110</v>
      </c>
      <c r="J654" s="18">
        <v>1115</v>
      </c>
      <c r="K654" s="18" t="s">
        <v>1111</v>
      </c>
      <c r="L654" s="18" t="s">
        <v>5518</v>
      </c>
      <c r="M654" s="19">
        <v>46222</v>
      </c>
      <c r="N654" s="18" t="s">
        <v>1112</v>
      </c>
      <c r="O654" s="18" t="s">
        <v>1127</v>
      </c>
      <c r="P654" s="18" t="s">
        <v>1128</v>
      </c>
      <c r="Q654" s="18" t="s">
        <v>1129</v>
      </c>
      <c r="R654" s="18" t="s">
        <v>1130</v>
      </c>
      <c r="S654" s="18">
        <v>527</v>
      </c>
      <c r="T654" s="18">
        <v>106865.06</v>
      </c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</row>
    <row r="655" spans="6:39" x14ac:dyDescent="0.35">
      <c r="F655" s="18" t="s">
        <v>1109</v>
      </c>
      <c r="G655" s="19">
        <v>46222</v>
      </c>
      <c r="H655" s="18" t="s">
        <v>125</v>
      </c>
      <c r="I655" s="18" t="s">
        <v>1110</v>
      </c>
      <c r="J655" s="18">
        <v>1115</v>
      </c>
      <c r="K655" s="18" t="s">
        <v>1111</v>
      </c>
      <c r="L655" s="18" t="s">
        <v>5518</v>
      </c>
      <c r="M655" s="19">
        <v>46222</v>
      </c>
      <c r="N655" s="18" t="s">
        <v>1112</v>
      </c>
      <c r="O655" s="18" t="s">
        <v>1127</v>
      </c>
      <c r="P655" s="18" t="s">
        <v>1128</v>
      </c>
      <c r="Q655" s="18" t="s">
        <v>1129</v>
      </c>
      <c r="R655" s="18" t="s">
        <v>1130</v>
      </c>
      <c r="S655" s="18">
        <v>1174.3</v>
      </c>
      <c r="T655" s="18">
        <v>214638.55</v>
      </c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</row>
    <row r="656" spans="6:39" x14ac:dyDescent="0.35">
      <c r="F656" s="18" t="s">
        <v>1109</v>
      </c>
      <c r="G656" s="19">
        <v>46222</v>
      </c>
      <c r="H656" s="18" t="s">
        <v>125</v>
      </c>
      <c r="I656" s="18" t="s">
        <v>1110</v>
      </c>
      <c r="J656" s="18">
        <v>1115</v>
      </c>
      <c r="K656" s="18" t="s">
        <v>1111</v>
      </c>
      <c r="L656" s="18" t="s">
        <v>5518</v>
      </c>
      <c r="M656" s="19">
        <v>46222</v>
      </c>
      <c r="N656" s="18" t="s">
        <v>1112</v>
      </c>
      <c r="O656" s="18" t="s">
        <v>1131</v>
      </c>
      <c r="P656" s="18" t="s">
        <v>1132</v>
      </c>
      <c r="Q656" s="18" t="s">
        <v>1132</v>
      </c>
      <c r="R656" s="18" t="s">
        <v>1131</v>
      </c>
      <c r="S656" s="18">
        <v>623.70000000000005</v>
      </c>
      <c r="T656" s="18">
        <v>93236.91</v>
      </c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</row>
    <row r="657" spans="6:39" x14ac:dyDescent="0.35">
      <c r="F657" s="18" t="s">
        <v>1109</v>
      </c>
      <c r="G657" s="19">
        <v>46222</v>
      </c>
      <c r="H657" s="18" t="s">
        <v>125</v>
      </c>
      <c r="I657" s="18" t="s">
        <v>1110</v>
      </c>
      <c r="J657" s="18">
        <v>1115</v>
      </c>
      <c r="K657" s="18" t="s">
        <v>1111</v>
      </c>
      <c r="L657" s="18" t="s">
        <v>5518</v>
      </c>
      <c r="M657" s="19">
        <v>46222</v>
      </c>
      <c r="N657" s="18" t="s">
        <v>1112</v>
      </c>
      <c r="O657" s="18" t="s">
        <v>1131</v>
      </c>
      <c r="P657" s="18" t="s">
        <v>1132</v>
      </c>
      <c r="Q657" s="18" t="s">
        <v>1132</v>
      </c>
      <c r="R657" s="18" t="s">
        <v>1131</v>
      </c>
      <c r="S657" s="18">
        <v>471.6</v>
      </c>
      <c r="T657" s="18">
        <v>69084.679999999993</v>
      </c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</row>
    <row r="658" spans="6:39" x14ac:dyDescent="0.35">
      <c r="F658" s="18" t="s">
        <v>1109</v>
      </c>
      <c r="G658" s="19">
        <v>46222</v>
      </c>
      <c r="H658" s="18" t="s">
        <v>125</v>
      </c>
      <c r="I658" s="18" t="s">
        <v>1110</v>
      </c>
      <c r="J658" s="18">
        <v>1115</v>
      </c>
      <c r="K658" s="18" t="s">
        <v>1111</v>
      </c>
      <c r="L658" s="18" t="s">
        <v>5518</v>
      </c>
      <c r="M658" s="19">
        <v>46222</v>
      </c>
      <c r="N658" s="18" t="s">
        <v>1112</v>
      </c>
      <c r="O658" s="18" t="s">
        <v>1113</v>
      </c>
      <c r="P658" s="18" t="s">
        <v>1114</v>
      </c>
      <c r="Q658" s="18" t="s">
        <v>1115</v>
      </c>
      <c r="R658" s="18" t="s">
        <v>1116</v>
      </c>
      <c r="S658" s="18">
        <v>925.7</v>
      </c>
      <c r="T658" s="18">
        <v>144862.79</v>
      </c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</row>
    <row r="659" spans="6:39" x14ac:dyDescent="0.35">
      <c r="F659" s="18" t="s">
        <v>1109</v>
      </c>
      <c r="G659" s="19">
        <v>46223</v>
      </c>
      <c r="H659" s="18" t="s">
        <v>3790</v>
      </c>
      <c r="I659" s="18" t="s">
        <v>1110</v>
      </c>
      <c r="J659" s="18">
        <v>1118</v>
      </c>
      <c r="K659" s="18" t="s">
        <v>1111</v>
      </c>
      <c r="L659" s="18" t="s">
        <v>5833</v>
      </c>
      <c r="M659" s="19">
        <v>46223</v>
      </c>
      <c r="N659" s="18" t="s">
        <v>1112</v>
      </c>
      <c r="O659" s="18" t="s">
        <v>1117</v>
      </c>
      <c r="P659" s="18" t="s">
        <v>1118</v>
      </c>
      <c r="Q659" s="18" t="s">
        <v>1119</v>
      </c>
      <c r="R659" s="18" t="s">
        <v>1120</v>
      </c>
      <c r="S659" s="18">
        <v>6419</v>
      </c>
      <c r="T659" s="18">
        <v>927481.31</v>
      </c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</row>
    <row r="660" spans="6:39" x14ac:dyDescent="0.35">
      <c r="F660" s="18" t="s">
        <v>1109</v>
      </c>
      <c r="G660" s="19">
        <v>46223</v>
      </c>
      <c r="H660" s="18" t="s">
        <v>3790</v>
      </c>
      <c r="I660" s="18" t="s">
        <v>1110</v>
      </c>
      <c r="J660" s="18">
        <v>1118</v>
      </c>
      <c r="K660" s="18" t="s">
        <v>1111</v>
      </c>
      <c r="L660" s="18" t="s">
        <v>5833</v>
      </c>
      <c r="M660" s="19">
        <v>46223</v>
      </c>
      <c r="N660" s="18" t="s">
        <v>1112</v>
      </c>
      <c r="O660" s="18" t="s">
        <v>1117</v>
      </c>
      <c r="P660" s="18" t="s">
        <v>1118</v>
      </c>
      <c r="Q660" s="18" t="s">
        <v>1119</v>
      </c>
      <c r="R660" s="18" t="s">
        <v>1120</v>
      </c>
      <c r="S660" s="18">
        <v>227</v>
      </c>
      <c r="T660" s="18">
        <v>33480.230000000003</v>
      </c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</row>
    <row r="661" spans="6:39" x14ac:dyDescent="0.35">
      <c r="F661" s="18" t="s">
        <v>1109</v>
      </c>
      <c r="G661" s="19">
        <v>46223</v>
      </c>
      <c r="H661" s="18" t="s">
        <v>3790</v>
      </c>
      <c r="I661" s="18" t="s">
        <v>1110</v>
      </c>
      <c r="J661" s="18">
        <v>1118</v>
      </c>
      <c r="K661" s="18" t="s">
        <v>1111</v>
      </c>
      <c r="L661" s="18" t="s">
        <v>5833</v>
      </c>
      <c r="M661" s="19">
        <v>46223</v>
      </c>
      <c r="N661" s="18" t="s">
        <v>1112</v>
      </c>
      <c r="O661" s="18" t="s">
        <v>1117</v>
      </c>
      <c r="P661" s="18" t="s">
        <v>1118</v>
      </c>
      <c r="Q661" s="18" t="s">
        <v>1119</v>
      </c>
      <c r="R661" s="18" t="s">
        <v>1120</v>
      </c>
      <c r="S661" s="18">
        <v>1166</v>
      </c>
      <c r="T661" s="18">
        <v>170807.34</v>
      </c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</row>
    <row r="662" spans="6:39" x14ac:dyDescent="0.35">
      <c r="F662" s="18" t="s">
        <v>1109</v>
      </c>
      <c r="G662" s="19">
        <v>46223</v>
      </c>
      <c r="H662" s="18" t="s">
        <v>3790</v>
      </c>
      <c r="I662" s="18" t="s">
        <v>1110</v>
      </c>
      <c r="J662" s="18">
        <v>1121</v>
      </c>
      <c r="K662" s="18" t="s">
        <v>1121</v>
      </c>
      <c r="L662" s="18" t="s">
        <v>5834</v>
      </c>
      <c r="M662" s="19">
        <v>46223</v>
      </c>
      <c r="N662" s="18" t="s">
        <v>1122</v>
      </c>
      <c r="O662" s="18" t="s">
        <v>1123</v>
      </c>
      <c r="P662" s="18" t="s">
        <v>1124</v>
      </c>
      <c r="Q662" s="18" t="s">
        <v>1125</v>
      </c>
      <c r="R662" s="18" t="s">
        <v>1126</v>
      </c>
      <c r="S662" s="18">
        <v>256</v>
      </c>
      <c r="T662" s="18">
        <v>12288</v>
      </c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</row>
    <row r="663" spans="6:39" x14ac:dyDescent="0.35">
      <c r="F663" s="18" t="s">
        <v>1109</v>
      </c>
      <c r="G663" s="19">
        <v>46223</v>
      </c>
      <c r="H663" s="18" t="s">
        <v>3790</v>
      </c>
      <c r="I663" s="18" t="s">
        <v>1110</v>
      </c>
      <c r="J663" s="18">
        <v>1122</v>
      </c>
      <c r="K663" s="18" t="s">
        <v>1111</v>
      </c>
      <c r="L663" s="18" t="s">
        <v>5835</v>
      </c>
      <c r="M663" s="19">
        <v>46223</v>
      </c>
      <c r="N663" s="18" t="s">
        <v>1112</v>
      </c>
      <c r="O663" s="18" t="s">
        <v>1117</v>
      </c>
      <c r="P663" s="18" t="s">
        <v>1138</v>
      </c>
      <c r="Q663" s="18" t="s">
        <v>1139</v>
      </c>
      <c r="R663" s="18" t="s">
        <v>1140</v>
      </c>
      <c r="S663" s="18">
        <v>1193</v>
      </c>
      <c r="T663" s="18">
        <v>177148.57</v>
      </c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</row>
    <row r="664" spans="6:39" x14ac:dyDescent="0.35">
      <c r="F664" s="18" t="s">
        <v>1109</v>
      </c>
      <c r="G664" s="19">
        <v>46223</v>
      </c>
      <c r="H664" s="18" t="s">
        <v>3790</v>
      </c>
      <c r="I664" s="18" t="s">
        <v>1110</v>
      </c>
      <c r="J664" s="18">
        <v>1122</v>
      </c>
      <c r="K664" s="18" t="s">
        <v>1111</v>
      </c>
      <c r="L664" s="18" t="s">
        <v>5835</v>
      </c>
      <c r="M664" s="19">
        <v>46223</v>
      </c>
      <c r="N664" s="18" t="s">
        <v>1112</v>
      </c>
      <c r="O664" s="18" t="s">
        <v>1117</v>
      </c>
      <c r="P664" s="18" t="s">
        <v>1138</v>
      </c>
      <c r="Q664" s="18" t="s">
        <v>1139</v>
      </c>
      <c r="R664" s="18" t="s">
        <v>1140</v>
      </c>
      <c r="S664" s="18">
        <v>305</v>
      </c>
      <c r="T664" s="18">
        <v>46204.45</v>
      </c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</row>
    <row r="665" spans="6:39" x14ac:dyDescent="0.35">
      <c r="F665" s="18" t="s">
        <v>1109</v>
      </c>
      <c r="G665" s="19">
        <v>46223</v>
      </c>
      <c r="H665" s="18" t="s">
        <v>3790</v>
      </c>
      <c r="I665" s="18" t="s">
        <v>1110</v>
      </c>
      <c r="J665" s="18">
        <v>1122</v>
      </c>
      <c r="K665" s="18" t="s">
        <v>1111</v>
      </c>
      <c r="L665" s="18" t="s">
        <v>5835</v>
      </c>
      <c r="M665" s="19">
        <v>46223</v>
      </c>
      <c r="N665" s="18" t="s">
        <v>1112</v>
      </c>
      <c r="O665" s="18" t="s">
        <v>1131</v>
      </c>
      <c r="P665" s="18" t="s">
        <v>1132</v>
      </c>
      <c r="Q665" s="18" t="s">
        <v>1132</v>
      </c>
      <c r="R665" s="18" t="s">
        <v>1131</v>
      </c>
      <c r="S665" s="18">
        <v>159.30000000000001</v>
      </c>
      <c r="T665" s="18">
        <v>27159.06</v>
      </c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</row>
    <row r="666" spans="6:39" x14ac:dyDescent="0.35">
      <c r="F666" s="18" t="s">
        <v>1109</v>
      </c>
      <c r="G666" s="19">
        <v>46223</v>
      </c>
      <c r="H666" s="18" t="s">
        <v>3790</v>
      </c>
      <c r="I666" s="18" t="s">
        <v>1110</v>
      </c>
      <c r="J666" s="18">
        <v>1122</v>
      </c>
      <c r="K666" s="18" t="s">
        <v>1111</v>
      </c>
      <c r="L666" s="18" t="s">
        <v>5835</v>
      </c>
      <c r="M666" s="19">
        <v>46223</v>
      </c>
      <c r="N666" s="18" t="s">
        <v>1112</v>
      </c>
      <c r="O666" s="18" t="s">
        <v>1131</v>
      </c>
      <c r="P666" s="18" t="s">
        <v>1132</v>
      </c>
      <c r="Q666" s="18" t="s">
        <v>1132</v>
      </c>
      <c r="R666" s="18" t="s">
        <v>1131</v>
      </c>
      <c r="S666" s="18">
        <v>164.6</v>
      </c>
      <c r="T666" s="18">
        <v>24606.05</v>
      </c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</row>
    <row r="667" spans="6:39" x14ac:dyDescent="0.35">
      <c r="F667" s="18" t="s">
        <v>1109</v>
      </c>
      <c r="G667" s="19">
        <v>46223</v>
      </c>
      <c r="H667" s="18" t="s">
        <v>3790</v>
      </c>
      <c r="I667" s="18" t="s">
        <v>1110</v>
      </c>
      <c r="J667" s="18">
        <v>1122</v>
      </c>
      <c r="K667" s="18" t="s">
        <v>1111</v>
      </c>
      <c r="L667" s="18" t="s">
        <v>5835</v>
      </c>
      <c r="M667" s="19">
        <v>46223</v>
      </c>
      <c r="N667" s="18" t="s">
        <v>1112</v>
      </c>
      <c r="O667" s="18" t="s">
        <v>1117</v>
      </c>
      <c r="P667" s="18" t="s">
        <v>1118</v>
      </c>
      <c r="Q667" s="18" t="s">
        <v>1119</v>
      </c>
      <c r="R667" s="18" t="s">
        <v>1120</v>
      </c>
      <c r="S667" s="18">
        <v>2018</v>
      </c>
      <c r="T667" s="18">
        <v>291580.82</v>
      </c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</row>
    <row r="668" spans="6:39" x14ac:dyDescent="0.35">
      <c r="F668" s="18" t="s">
        <v>1109</v>
      </c>
      <c r="G668" s="19">
        <v>46223</v>
      </c>
      <c r="H668" s="18" t="s">
        <v>3790</v>
      </c>
      <c r="I668" s="18" t="s">
        <v>1110</v>
      </c>
      <c r="J668" s="18">
        <v>1122</v>
      </c>
      <c r="K668" s="18" t="s">
        <v>1111</v>
      </c>
      <c r="L668" s="18" t="s">
        <v>5835</v>
      </c>
      <c r="M668" s="19">
        <v>46223</v>
      </c>
      <c r="N668" s="18" t="s">
        <v>1112</v>
      </c>
      <c r="O668" s="18" t="s">
        <v>1127</v>
      </c>
      <c r="P668" s="18" t="s">
        <v>1128</v>
      </c>
      <c r="Q668" s="18" t="s">
        <v>1129</v>
      </c>
      <c r="R668" s="18" t="s">
        <v>1130</v>
      </c>
      <c r="S668" s="18">
        <v>1473</v>
      </c>
      <c r="T668" s="18">
        <v>269234.94</v>
      </c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</row>
    <row r="669" spans="6:39" x14ac:dyDescent="0.35">
      <c r="F669" s="18" t="s">
        <v>1109</v>
      </c>
      <c r="G669" s="19">
        <v>46223</v>
      </c>
      <c r="H669" s="18" t="s">
        <v>3790</v>
      </c>
      <c r="I669" s="18" t="s">
        <v>1110</v>
      </c>
      <c r="J669" s="18">
        <v>1122</v>
      </c>
      <c r="K669" s="18" t="s">
        <v>1111</v>
      </c>
      <c r="L669" s="18" t="s">
        <v>5835</v>
      </c>
      <c r="M669" s="19">
        <v>46223</v>
      </c>
      <c r="N669" s="18" t="s">
        <v>1112</v>
      </c>
      <c r="O669" s="18" t="s">
        <v>1131</v>
      </c>
      <c r="P669" s="18" t="s">
        <v>1132</v>
      </c>
      <c r="Q669" s="18" t="s">
        <v>1132</v>
      </c>
      <c r="R669" s="18" t="s">
        <v>1131</v>
      </c>
      <c r="S669" s="18">
        <v>182.1</v>
      </c>
      <c r="T669" s="18">
        <v>26675.83</v>
      </c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</row>
    <row r="670" spans="6:39" x14ac:dyDescent="0.35">
      <c r="F670" s="18" t="s">
        <v>1109</v>
      </c>
      <c r="G670" s="19">
        <v>46223</v>
      </c>
      <c r="H670" s="18" t="s">
        <v>5072</v>
      </c>
      <c r="I670" s="18" t="s">
        <v>1110</v>
      </c>
      <c r="J670" s="18">
        <v>1119</v>
      </c>
      <c r="K670" s="18" t="s">
        <v>1165</v>
      </c>
      <c r="L670" s="18" t="s">
        <v>5319</v>
      </c>
      <c r="M670" s="19">
        <v>46223</v>
      </c>
      <c r="N670" s="18" t="s">
        <v>1112</v>
      </c>
      <c r="O670" s="18" t="s">
        <v>1166</v>
      </c>
      <c r="P670" s="18" t="s">
        <v>1166</v>
      </c>
      <c r="Q670" s="18" t="s">
        <v>1167</v>
      </c>
      <c r="R670" s="18" t="s">
        <v>1168</v>
      </c>
      <c r="S670" s="18">
        <v>6340</v>
      </c>
      <c r="T670" s="18">
        <v>297980</v>
      </c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</row>
    <row r="671" spans="6:39" x14ac:dyDescent="0.35">
      <c r="F671" s="18" t="s">
        <v>1109</v>
      </c>
      <c r="G671" s="19">
        <v>46223</v>
      </c>
      <c r="H671" s="18" t="s">
        <v>1135</v>
      </c>
      <c r="I671" s="18" t="s">
        <v>1136</v>
      </c>
      <c r="J671" s="18" t="s">
        <v>5836</v>
      </c>
      <c r="K671" s="18" t="s">
        <v>1137</v>
      </c>
      <c r="L671" s="18" t="s">
        <v>5836</v>
      </c>
      <c r="M671" s="19">
        <v>46223</v>
      </c>
      <c r="N671" s="18" t="s">
        <v>1112</v>
      </c>
      <c r="O671" s="18" t="s">
        <v>1153</v>
      </c>
      <c r="P671" s="18" t="s">
        <v>1154</v>
      </c>
      <c r="Q671" s="18" t="s">
        <v>1155</v>
      </c>
      <c r="R671" s="18" t="s">
        <v>1154</v>
      </c>
      <c r="S671" s="18">
        <v>1845</v>
      </c>
      <c r="T671" s="18">
        <v>248151.80500000002</v>
      </c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</row>
    <row r="672" spans="6:39" x14ac:dyDescent="0.35">
      <c r="F672" s="18" t="s">
        <v>1109</v>
      </c>
      <c r="G672" s="19">
        <v>46223</v>
      </c>
      <c r="H672" s="18" t="s">
        <v>1135</v>
      </c>
      <c r="I672" s="18" t="s">
        <v>1136</v>
      </c>
      <c r="J672" s="18" t="s">
        <v>5837</v>
      </c>
      <c r="K672" s="18" t="s">
        <v>1137</v>
      </c>
      <c r="L672" s="18" t="s">
        <v>5837</v>
      </c>
      <c r="M672" s="19">
        <v>46223</v>
      </c>
      <c r="N672" s="18" t="s">
        <v>1112</v>
      </c>
      <c r="O672" s="18" t="s">
        <v>1117</v>
      </c>
      <c r="P672" s="18" t="s">
        <v>1138</v>
      </c>
      <c r="Q672" s="18" t="s">
        <v>1139</v>
      </c>
      <c r="R672" s="18" t="s">
        <v>1140</v>
      </c>
      <c r="S672" s="18">
        <v>912.3</v>
      </c>
      <c r="T672" s="18">
        <v>129553.59999999999</v>
      </c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</row>
    <row r="673" spans="6:39" x14ac:dyDescent="0.35">
      <c r="F673" s="18" t="s">
        <v>1109</v>
      </c>
      <c r="G673" s="19">
        <v>46223</v>
      </c>
      <c r="H673" s="18" t="s">
        <v>1135</v>
      </c>
      <c r="I673" s="18" t="s">
        <v>1136</v>
      </c>
      <c r="J673" s="18" t="s">
        <v>5838</v>
      </c>
      <c r="K673" s="18" t="s">
        <v>1137</v>
      </c>
      <c r="L673" s="18" t="s">
        <v>5838</v>
      </c>
      <c r="M673" s="19">
        <v>46223</v>
      </c>
      <c r="N673" s="18" t="s">
        <v>1112</v>
      </c>
      <c r="O673" s="18" t="s">
        <v>1127</v>
      </c>
      <c r="P673" s="18" t="s">
        <v>1128</v>
      </c>
      <c r="Q673" s="18" t="s">
        <v>1129</v>
      </c>
      <c r="R673" s="18" t="s">
        <v>1130</v>
      </c>
      <c r="S673" s="18">
        <v>303</v>
      </c>
      <c r="T673" s="18">
        <v>52904.170000000006</v>
      </c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</row>
    <row r="674" spans="6:39" x14ac:dyDescent="0.35">
      <c r="F674" s="18" t="s">
        <v>1109</v>
      </c>
      <c r="G674" s="19">
        <v>46223</v>
      </c>
      <c r="H674" s="18" t="s">
        <v>1135</v>
      </c>
      <c r="I674" s="18" t="s">
        <v>1136</v>
      </c>
      <c r="J674" s="18" t="s">
        <v>5839</v>
      </c>
      <c r="K674" s="18" t="s">
        <v>1137</v>
      </c>
      <c r="L674" s="18" t="s">
        <v>5839</v>
      </c>
      <c r="M674" s="19">
        <v>46223</v>
      </c>
      <c r="N674" s="18" t="s">
        <v>1112</v>
      </c>
      <c r="O674" s="18" t="s">
        <v>1117</v>
      </c>
      <c r="P674" s="18" t="s">
        <v>1138</v>
      </c>
      <c r="Q674" s="18" t="s">
        <v>1139</v>
      </c>
      <c r="R674" s="18" t="s">
        <v>1140</v>
      </c>
      <c r="S674" s="18">
        <v>2798</v>
      </c>
      <c r="T674" s="18">
        <v>397337.60000000003</v>
      </c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</row>
    <row r="675" spans="6:39" x14ac:dyDescent="0.35">
      <c r="F675" s="18" t="s">
        <v>1109</v>
      </c>
      <c r="G675" s="19">
        <v>46223</v>
      </c>
      <c r="H675" s="18" t="s">
        <v>485</v>
      </c>
      <c r="I675" s="18" t="s">
        <v>1110</v>
      </c>
      <c r="J675" s="18">
        <v>1127</v>
      </c>
      <c r="K675" s="18" t="s">
        <v>1121</v>
      </c>
      <c r="L675" s="18" t="s">
        <v>5840</v>
      </c>
      <c r="M675" s="19">
        <v>46223</v>
      </c>
      <c r="N675" s="18" t="s">
        <v>1122</v>
      </c>
      <c r="O675" s="18" t="s">
        <v>1123</v>
      </c>
      <c r="P675" s="18" t="s">
        <v>1124</v>
      </c>
      <c r="Q675" s="18" t="s">
        <v>1125</v>
      </c>
      <c r="R675" s="18" t="s">
        <v>1126</v>
      </c>
      <c r="S675" s="18">
        <v>168</v>
      </c>
      <c r="T675" s="18">
        <v>8064</v>
      </c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</row>
    <row r="676" spans="6:39" x14ac:dyDescent="0.35">
      <c r="F676" s="18" t="s">
        <v>1109</v>
      </c>
      <c r="G676" s="19">
        <v>46223</v>
      </c>
      <c r="H676" s="18" t="s">
        <v>485</v>
      </c>
      <c r="I676" s="18" t="s">
        <v>1110</v>
      </c>
      <c r="J676" s="18">
        <v>1128</v>
      </c>
      <c r="K676" s="18" t="s">
        <v>1111</v>
      </c>
      <c r="L676" s="18" t="s">
        <v>5841</v>
      </c>
      <c r="M676" s="19">
        <v>46223</v>
      </c>
      <c r="N676" s="18" t="s">
        <v>1112</v>
      </c>
      <c r="O676" s="18" t="s">
        <v>1113</v>
      </c>
      <c r="P676" s="18" t="s">
        <v>1114</v>
      </c>
      <c r="Q676" s="18" t="s">
        <v>1115</v>
      </c>
      <c r="R676" s="18" t="s">
        <v>1160</v>
      </c>
      <c r="S676" s="18">
        <v>852.1</v>
      </c>
      <c r="T676" s="18">
        <v>135901.43</v>
      </c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</row>
    <row r="677" spans="6:39" x14ac:dyDescent="0.35">
      <c r="F677" s="18" t="s">
        <v>1109</v>
      </c>
      <c r="G677" s="19">
        <v>46223</v>
      </c>
      <c r="H677" s="18" t="s">
        <v>485</v>
      </c>
      <c r="I677" s="18" t="s">
        <v>1110</v>
      </c>
      <c r="J677" s="18">
        <v>1128</v>
      </c>
      <c r="K677" s="18" t="s">
        <v>1111</v>
      </c>
      <c r="L677" s="18" t="s">
        <v>5841</v>
      </c>
      <c r="M677" s="19">
        <v>46223</v>
      </c>
      <c r="N677" s="18" t="s">
        <v>1112</v>
      </c>
      <c r="O677" s="18" t="s">
        <v>1117</v>
      </c>
      <c r="P677" s="18" t="s">
        <v>1118</v>
      </c>
      <c r="Q677" s="18" t="s">
        <v>1119</v>
      </c>
      <c r="R677" s="18" t="s">
        <v>1120</v>
      </c>
      <c r="S677" s="18">
        <v>2321</v>
      </c>
      <c r="T677" s="18">
        <v>335361.28999999998</v>
      </c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</row>
    <row r="678" spans="6:39" x14ac:dyDescent="0.35">
      <c r="F678" s="18" t="s">
        <v>1109</v>
      </c>
      <c r="G678" s="19">
        <v>46223</v>
      </c>
      <c r="H678" s="18" t="s">
        <v>485</v>
      </c>
      <c r="I678" s="18" t="s">
        <v>1110</v>
      </c>
      <c r="J678" s="18">
        <v>1128</v>
      </c>
      <c r="K678" s="18" t="s">
        <v>1111</v>
      </c>
      <c r="L678" s="18" t="s">
        <v>5841</v>
      </c>
      <c r="M678" s="19">
        <v>46223</v>
      </c>
      <c r="N678" s="18" t="s">
        <v>1112</v>
      </c>
      <c r="O678" s="18" t="s">
        <v>1117</v>
      </c>
      <c r="P678" s="18" t="s">
        <v>1118</v>
      </c>
      <c r="Q678" s="18" t="s">
        <v>1119</v>
      </c>
      <c r="R678" s="18" t="s">
        <v>1120</v>
      </c>
      <c r="S678" s="18">
        <v>812</v>
      </c>
      <c r="T678" s="18">
        <v>119761.88</v>
      </c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</row>
    <row r="679" spans="6:39" x14ac:dyDescent="0.35">
      <c r="F679" s="18" t="s">
        <v>1109</v>
      </c>
      <c r="G679" s="19">
        <v>46223</v>
      </c>
      <c r="H679" s="18" t="s">
        <v>485</v>
      </c>
      <c r="I679" s="18" t="s">
        <v>1110</v>
      </c>
      <c r="J679" s="18">
        <v>1128</v>
      </c>
      <c r="K679" s="18" t="s">
        <v>1111</v>
      </c>
      <c r="L679" s="18" t="s">
        <v>5841</v>
      </c>
      <c r="M679" s="19">
        <v>46223</v>
      </c>
      <c r="N679" s="18" t="s">
        <v>1112</v>
      </c>
      <c r="O679" s="18" t="s">
        <v>1117</v>
      </c>
      <c r="P679" s="18" t="s">
        <v>1118</v>
      </c>
      <c r="Q679" s="18" t="s">
        <v>1119</v>
      </c>
      <c r="R679" s="18" t="s">
        <v>1120</v>
      </c>
      <c r="S679" s="18">
        <v>2693</v>
      </c>
      <c r="T679" s="18">
        <v>402576.57</v>
      </c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</row>
    <row r="680" spans="6:39" x14ac:dyDescent="0.35">
      <c r="F680" s="18" t="s">
        <v>1109</v>
      </c>
      <c r="G680" s="19">
        <v>46223</v>
      </c>
      <c r="H680" s="18" t="s">
        <v>485</v>
      </c>
      <c r="I680" s="18" t="s">
        <v>1110</v>
      </c>
      <c r="J680" s="18">
        <v>1128</v>
      </c>
      <c r="K680" s="18" t="s">
        <v>1111</v>
      </c>
      <c r="L680" s="18" t="s">
        <v>5841</v>
      </c>
      <c r="M680" s="19">
        <v>46223</v>
      </c>
      <c r="N680" s="18" t="s">
        <v>1112</v>
      </c>
      <c r="O680" s="18" t="s">
        <v>1127</v>
      </c>
      <c r="P680" s="18" t="s">
        <v>1128</v>
      </c>
      <c r="Q680" s="18" t="s">
        <v>1129</v>
      </c>
      <c r="R680" s="18" t="s">
        <v>1130</v>
      </c>
      <c r="S680" s="18">
        <v>771.1</v>
      </c>
      <c r="T680" s="18">
        <v>159448.06</v>
      </c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</row>
    <row r="681" spans="6:39" x14ac:dyDescent="0.35">
      <c r="F681" s="18" t="s">
        <v>1109</v>
      </c>
      <c r="G681" s="19">
        <v>46223</v>
      </c>
      <c r="H681" s="18" t="s">
        <v>485</v>
      </c>
      <c r="I681" s="18" t="s">
        <v>1110</v>
      </c>
      <c r="J681" s="18">
        <v>1128</v>
      </c>
      <c r="K681" s="18" t="s">
        <v>1111</v>
      </c>
      <c r="L681" s="18" t="s">
        <v>5841</v>
      </c>
      <c r="M681" s="19">
        <v>46223</v>
      </c>
      <c r="N681" s="18" t="s">
        <v>1112</v>
      </c>
      <c r="O681" s="18" t="s">
        <v>1127</v>
      </c>
      <c r="P681" s="18" t="s">
        <v>1128</v>
      </c>
      <c r="Q681" s="18" t="s">
        <v>1129</v>
      </c>
      <c r="R681" s="18" t="s">
        <v>1130</v>
      </c>
      <c r="S681" s="18">
        <v>364</v>
      </c>
      <c r="T681" s="18">
        <v>86260.72</v>
      </c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</row>
    <row r="682" spans="6:39" x14ac:dyDescent="0.35">
      <c r="F682" s="18" t="s">
        <v>1109</v>
      </c>
      <c r="G682" s="19">
        <v>46223</v>
      </c>
      <c r="H682" s="18" t="s">
        <v>485</v>
      </c>
      <c r="I682" s="18" t="s">
        <v>1110</v>
      </c>
      <c r="J682" s="18">
        <v>1128</v>
      </c>
      <c r="K682" s="18" t="s">
        <v>1111</v>
      </c>
      <c r="L682" s="18" t="s">
        <v>5841</v>
      </c>
      <c r="M682" s="19">
        <v>46223</v>
      </c>
      <c r="N682" s="18" t="s">
        <v>1112</v>
      </c>
      <c r="O682" s="18" t="s">
        <v>1127</v>
      </c>
      <c r="P682" s="18" t="s">
        <v>1128</v>
      </c>
      <c r="Q682" s="18" t="s">
        <v>1129</v>
      </c>
      <c r="R682" s="18" t="s">
        <v>1130</v>
      </c>
      <c r="S682" s="18">
        <v>12.5</v>
      </c>
      <c r="T682" s="18">
        <v>2334.75</v>
      </c>
      <c r="U682" s="163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</row>
    <row r="683" spans="6:39" x14ac:dyDescent="0.35">
      <c r="F683" s="18" t="s">
        <v>1109</v>
      </c>
      <c r="G683" s="19">
        <v>46223</v>
      </c>
      <c r="H683" s="18" t="s">
        <v>485</v>
      </c>
      <c r="I683" s="18" t="s">
        <v>1110</v>
      </c>
      <c r="J683" s="18">
        <v>1128</v>
      </c>
      <c r="K683" s="18" t="s">
        <v>1111</v>
      </c>
      <c r="L683" s="18" t="s">
        <v>5841</v>
      </c>
      <c r="M683" s="19">
        <v>46223</v>
      </c>
      <c r="N683" s="18" t="s">
        <v>1112</v>
      </c>
      <c r="O683" s="18" t="s">
        <v>1127</v>
      </c>
      <c r="P683" s="18" t="s">
        <v>1128</v>
      </c>
      <c r="Q683" s="18" t="s">
        <v>1129</v>
      </c>
      <c r="R683" s="18" t="s">
        <v>1130</v>
      </c>
      <c r="S683" s="18">
        <v>535</v>
      </c>
      <c r="T683" s="18">
        <v>137484.29999999999</v>
      </c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</row>
    <row r="684" spans="6:39" x14ac:dyDescent="0.35">
      <c r="F684" s="18" t="s">
        <v>1109</v>
      </c>
      <c r="G684" s="19">
        <v>46223</v>
      </c>
      <c r="H684" s="18" t="s">
        <v>125</v>
      </c>
      <c r="I684" s="18" t="s">
        <v>1110</v>
      </c>
      <c r="J684" s="18">
        <v>1120</v>
      </c>
      <c r="K684" s="18" t="s">
        <v>1111</v>
      </c>
      <c r="L684" s="18" t="s">
        <v>3951</v>
      </c>
      <c r="M684" s="19">
        <v>46223</v>
      </c>
      <c r="N684" s="18" t="s">
        <v>1112</v>
      </c>
      <c r="O684" s="18" t="s">
        <v>1151</v>
      </c>
      <c r="P684" s="18" t="s">
        <v>1151</v>
      </c>
      <c r="Q684" s="18" t="s">
        <v>1152</v>
      </c>
      <c r="R684" s="18" t="s">
        <v>1151</v>
      </c>
      <c r="S684" s="18">
        <v>5075</v>
      </c>
      <c r="T684" s="18">
        <v>532875</v>
      </c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</row>
    <row r="685" spans="6:39" x14ac:dyDescent="0.35">
      <c r="F685" s="18" t="s">
        <v>1109</v>
      </c>
      <c r="G685" s="19">
        <v>46223</v>
      </c>
      <c r="H685" s="18" t="s">
        <v>125</v>
      </c>
      <c r="I685" s="18" t="s">
        <v>1110</v>
      </c>
      <c r="J685" s="18">
        <v>1123</v>
      </c>
      <c r="K685" s="18" t="s">
        <v>1111</v>
      </c>
      <c r="L685" s="18" t="s">
        <v>5519</v>
      </c>
      <c r="M685" s="19">
        <v>46223</v>
      </c>
      <c r="N685" s="18" t="s">
        <v>1112</v>
      </c>
      <c r="O685" s="18" t="s">
        <v>1117</v>
      </c>
      <c r="P685" s="18" t="s">
        <v>1138</v>
      </c>
      <c r="Q685" s="18" t="s">
        <v>1139</v>
      </c>
      <c r="R685" s="18" t="s">
        <v>1140</v>
      </c>
      <c r="S685" s="18">
        <v>507</v>
      </c>
      <c r="T685" s="18">
        <v>75284.429999999993</v>
      </c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</row>
    <row r="686" spans="6:39" x14ac:dyDescent="0.35">
      <c r="F686" s="18" t="s">
        <v>1109</v>
      </c>
      <c r="G686" s="19">
        <v>46223</v>
      </c>
      <c r="H686" s="18" t="s">
        <v>125</v>
      </c>
      <c r="I686" s="18" t="s">
        <v>1110</v>
      </c>
      <c r="J686" s="18">
        <v>1123</v>
      </c>
      <c r="K686" s="18" t="s">
        <v>1111</v>
      </c>
      <c r="L686" s="18" t="s">
        <v>5519</v>
      </c>
      <c r="M686" s="19">
        <v>46223</v>
      </c>
      <c r="N686" s="18" t="s">
        <v>1112</v>
      </c>
      <c r="O686" s="18" t="s">
        <v>1117</v>
      </c>
      <c r="P686" s="18" t="s">
        <v>1138</v>
      </c>
      <c r="Q686" s="18" t="s">
        <v>1139</v>
      </c>
      <c r="R686" s="18" t="s">
        <v>1140</v>
      </c>
      <c r="S686" s="18">
        <v>375</v>
      </c>
      <c r="T686" s="18">
        <v>56808.75</v>
      </c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</row>
    <row r="687" spans="6:39" x14ac:dyDescent="0.35">
      <c r="F687" s="18" t="s">
        <v>1109</v>
      </c>
      <c r="G687" s="19">
        <v>46223</v>
      </c>
      <c r="H687" s="18" t="s">
        <v>125</v>
      </c>
      <c r="I687" s="18" t="s">
        <v>1110</v>
      </c>
      <c r="J687" s="18">
        <v>1123</v>
      </c>
      <c r="K687" s="18" t="s">
        <v>1111</v>
      </c>
      <c r="L687" s="18" t="s">
        <v>5519</v>
      </c>
      <c r="M687" s="19">
        <v>46223</v>
      </c>
      <c r="N687" s="18" t="s">
        <v>1112</v>
      </c>
      <c r="O687" s="18" t="s">
        <v>1131</v>
      </c>
      <c r="P687" s="18" t="s">
        <v>1132</v>
      </c>
      <c r="Q687" s="18" t="s">
        <v>1132</v>
      </c>
      <c r="R687" s="18" t="s">
        <v>1131</v>
      </c>
      <c r="S687" s="18">
        <v>850.7</v>
      </c>
      <c r="T687" s="18">
        <v>124619.04</v>
      </c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</row>
    <row r="688" spans="6:39" x14ac:dyDescent="0.35">
      <c r="F688" s="18" t="s">
        <v>1109</v>
      </c>
      <c r="G688" s="19">
        <v>46223</v>
      </c>
      <c r="H688" s="18" t="s">
        <v>125</v>
      </c>
      <c r="I688" s="18" t="s">
        <v>1110</v>
      </c>
      <c r="J688" s="18">
        <v>1123</v>
      </c>
      <c r="K688" s="18" t="s">
        <v>1111</v>
      </c>
      <c r="L688" s="18" t="s">
        <v>5519</v>
      </c>
      <c r="M688" s="19">
        <v>46223</v>
      </c>
      <c r="N688" s="18" t="s">
        <v>1112</v>
      </c>
      <c r="O688" s="18" t="s">
        <v>1131</v>
      </c>
      <c r="P688" s="18" t="s">
        <v>1132</v>
      </c>
      <c r="Q688" s="18" t="s">
        <v>1132</v>
      </c>
      <c r="R688" s="18" t="s">
        <v>1131</v>
      </c>
      <c r="S688" s="18">
        <v>713.4</v>
      </c>
      <c r="T688" s="18">
        <v>106646.17</v>
      </c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</row>
    <row r="689" spans="6:39" x14ac:dyDescent="0.35">
      <c r="F689" s="18" t="s">
        <v>1109</v>
      </c>
      <c r="G689" s="19">
        <v>46223</v>
      </c>
      <c r="H689" s="18" t="s">
        <v>125</v>
      </c>
      <c r="I689" s="18" t="s">
        <v>1110</v>
      </c>
      <c r="J689" s="18">
        <v>1124</v>
      </c>
      <c r="K689" s="18" t="s">
        <v>1121</v>
      </c>
      <c r="L689" s="18" t="s">
        <v>5520</v>
      </c>
      <c r="M689" s="19">
        <v>46223</v>
      </c>
      <c r="N689" s="18" t="s">
        <v>1122</v>
      </c>
      <c r="O689" s="18" t="s">
        <v>1123</v>
      </c>
      <c r="P689" s="18" t="s">
        <v>1124</v>
      </c>
      <c r="Q689" s="18" t="s">
        <v>1125</v>
      </c>
      <c r="R689" s="18" t="s">
        <v>1126</v>
      </c>
      <c r="S689" s="18">
        <v>20</v>
      </c>
      <c r="T689" s="18">
        <v>960</v>
      </c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</row>
    <row r="690" spans="6:39" x14ac:dyDescent="0.35">
      <c r="F690" s="18" t="s">
        <v>1109</v>
      </c>
      <c r="G690" s="19">
        <v>46223</v>
      </c>
      <c r="H690" s="18" t="s">
        <v>125</v>
      </c>
      <c r="I690" s="18" t="s">
        <v>1110</v>
      </c>
      <c r="J690" s="18">
        <v>1125</v>
      </c>
      <c r="K690" s="18" t="s">
        <v>1121</v>
      </c>
      <c r="L690" s="18" t="s">
        <v>5521</v>
      </c>
      <c r="M690" s="19">
        <v>46223</v>
      </c>
      <c r="N690" s="18" t="s">
        <v>1122</v>
      </c>
      <c r="O690" s="18" t="s">
        <v>1123</v>
      </c>
      <c r="P690" s="18" t="s">
        <v>1124</v>
      </c>
      <c r="Q690" s="18" t="s">
        <v>1125</v>
      </c>
      <c r="R690" s="18" t="s">
        <v>1126</v>
      </c>
      <c r="S690" s="18">
        <v>26</v>
      </c>
      <c r="T690" s="18">
        <v>1248</v>
      </c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</row>
    <row r="691" spans="6:39" x14ac:dyDescent="0.35">
      <c r="F691" s="18" t="s">
        <v>1109</v>
      </c>
      <c r="G691" s="19">
        <v>46223</v>
      </c>
      <c r="H691" s="18" t="s">
        <v>125</v>
      </c>
      <c r="I691" s="18" t="s">
        <v>1110</v>
      </c>
      <c r="J691" s="18">
        <v>1126</v>
      </c>
      <c r="K691" s="18" t="s">
        <v>1111</v>
      </c>
      <c r="L691" s="18" t="s">
        <v>5522</v>
      </c>
      <c r="M691" s="19">
        <v>46223</v>
      </c>
      <c r="N691" s="18" t="s">
        <v>1112</v>
      </c>
      <c r="O691" s="18" t="s">
        <v>1117</v>
      </c>
      <c r="P691" s="18" t="s">
        <v>1138</v>
      </c>
      <c r="Q691" s="18" t="s">
        <v>1139</v>
      </c>
      <c r="R691" s="18" t="s">
        <v>1140</v>
      </c>
      <c r="S691" s="18">
        <v>292</v>
      </c>
      <c r="T691" s="18">
        <v>44235.08</v>
      </c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</row>
    <row r="692" spans="6:39" x14ac:dyDescent="0.35">
      <c r="F692" s="18" t="s">
        <v>1109</v>
      </c>
      <c r="G692" s="19">
        <v>46224</v>
      </c>
      <c r="H692" s="18" t="s">
        <v>1159</v>
      </c>
      <c r="I692" s="18" t="s">
        <v>1110</v>
      </c>
      <c r="J692" s="18">
        <v>1131</v>
      </c>
      <c r="K692" s="18" t="s">
        <v>1111</v>
      </c>
      <c r="L692" s="18" t="s">
        <v>5842</v>
      </c>
      <c r="M692" s="19">
        <v>46224</v>
      </c>
      <c r="N692" s="18" t="s">
        <v>1146</v>
      </c>
      <c r="O692" s="18" t="s">
        <v>1170</v>
      </c>
      <c r="P692" s="18" t="s">
        <v>1171</v>
      </c>
      <c r="Q692" s="18" t="s">
        <v>3759</v>
      </c>
      <c r="R692" s="18" t="s">
        <v>4741</v>
      </c>
      <c r="S692" s="18">
        <v>387.4</v>
      </c>
      <c r="T692" s="18">
        <v>141765.16</v>
      </c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</row>
    <row r="693" spans="6:39" x14ac:dyDescent="0.35">
      <c r="F693" s="18" t="s">
        <v>1109</v>
      </c>
      <c r="G693" s="19">
        <v>46224</v>
      </c>
      <c r="H693" s="18" t="s">
        <v>1159</v>
      </c>
      <c r="I693" s="18" t="s">
        <v>1110</v>
      </c>
      <c r="J693" s="18">
        <v>1131</v>
      </c>
      <c r="K693" s="18" t="s">
        <v>1111</v>
      </c>
      <c r="L693" s="18" t="s">
        <v>5842</v>
      </c>
      <c r="M693" s="19">
        <v>46224</v>
      </c>
      <c r="N693" s="18" t="s">
        <v>1146</v>
      </c>
      <c r="O693" s="18" t="s">
        <v>1170</v>
      </c>
      <c r="P693" s="18" t="s">
        <v>1171</v>
      </c>
      <c r="Q693" s="18" t="s">
        <v>3759</v>
      </c>
      <c r="R693" s="18" t="s">
        <v>4741</v>
      </c>
      <c r="S693" s="18">
        <v>424.5</v>
      </c>
      <c r="T693" s="18">
        <v>155638.68</v>
      </c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</row>
    <row r="694" spans="6:39" x14ac:dyDescent="0.35">
      <c r="F694" s="18" t="s">
        <v>1109</v>
      </c>
      <c r="G694" s="19">
        <v>46224</v>
      </c>
      <c r="H694" s="18" t="s">
        <v>1159</v>
      </c>
      <c r="I694" s="18" t="s">
        <v>1110</v>
      </c>
      <c r="J694" s="18">
        <v>1131</v>
      </c>
      <c r="K694" s="18" t="s">
        <v>1111</v>
      </c>
      <c r="L694" s="18" t="s">
        <v>5842</v>
      </c>
      <c r="M694" s="19">
        <v>46224</v>
      </c>
      <c r="N694" s="18" t="s">
        <v>1146</v>
      </c>
      <c r="O694" s="18" t="s">
        <v>1170</v>
      </c>
      <c r="P694" s="18" t="s">
        <v>1171</v>
      </c>
      <c r="Q694" s="18" t="s">
        <v>3759</v>
      </c>
      <c r="R694" s="18" t="s">
        <v>4741</v>
      </c>
      <c r="S694" s="18">
        <v>390.5</v>
      </c>
      <c r="T694" s="18">
        <v>146765.51999999999</v>
      </c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</row>
    <row r="695" spans="6:39" x14ac:dyDescent="0.35">
      <c r="F695" s="18" t="s">
        <v>1109</v>
      </c>
      <c r="G695" s="19">
        <v>46224</v>
      </c>
      <c r="H695" s="18" t="s">
        <v>1159</v>
      </c>
      <c r="I695" s="18" t="s">
        <v>1110</v>
      </c>
      <c r="J695" s="18">
        <v>1136</v>
      </c>
      <c r="K695" s="18" t="s">
        <v>1121</v>
      </c>
      <c r="L695" s="18" t="s">
        <v>5843</v>
      </c>
      <c r="M695" s="19">
        <v>46224</v>
      </c>
      <c r="N695" s="18" t="s">
        <v>1122</v>
      </c>
      <c r="O695" s="18" t="s">
        <v>1123</v>
      </c>
      <c r="P695" s="18" t="s">
        <v>1124</v>
      </c>
      <c r="Q695" s="18" t="s">
        <v>1125</v>
      </c>
      <c r="R695" s="18" t="s">
        <v>1126</v>
      </c>
      <c r="S695" s="18">
        <v>144</v>
      </c>
      <c r="T695" s="18">
        <v>6912</v>
      </c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</row>
    <row r="696" spans="6:39" x14ac:dyDescent="0.35">
      <c r="F696" s="18" t="s">
        <v>1109</v>
      </c>
      <c r="G696" s="19">
        <v>46224</v>
      </c>
      <c r="H696" s="18" t="s">
        <v>1159</v>
      </c>
      <c r="I696" s="18" t="s">
        <v>1110</v>
      </c>
      <c r="J696" s="18">
        <v>1141</v>
      </c>
      <c r="K696" s="18" t="s">
        <v>1111</v>
      </c>
      <c r="L696" s="18" t="s">
        <v>5844</v>
      </c>
      <c r="M696" s="19">
        <v>46224</v>
      </c>
      <c r="N696" s="18" t="s">
        <v>1112</v>
      </c>
      <c r="O696" s="18" t="s">
        <v>1117</v>
      </c>
      <c r="P696" s="18" t="s">
        <v>1138</v>
      </c>
      <c r="Q696" s="18" t="s">
        <v>1139</v>
      </c>
      <c r="R696" s="18" t="s">
        <v>1140</v>
      </c>
      <c r="S696" s="18">
        <v>9375</v>
      </c>
      <c r="T696" s="18">
        <v>1392093.75</v>
      </c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</row>
    <row r="697" spans="6:39" x14ac:dyDescent="0.35">
      <c r="F697" s="18" t="s">
        <v>1109</v>
      </c>
      <c r="G697" s="19">
        <v>46224</v>
      </c>
      <c r="H697" s="18" t="s">
        <v>1159</v>
      </c>
      <c r="I697" s="18" t="s">
        <v>1110</v>
      </c>
      <c r="J697" s="18">
        <v>1143</v>
      </c>
      <c r="K697" s="18" t="s">
        <v>1121</v>
      </c>
      <c r="L697" s="18" t="s">
        <v>5845</v>
      </c>
      <c r="M697" s="19">
        <v>46224</v>
      </c>
      <c r="N697" s="18" t="s">
        <v>1122</v>
      </c>
      <c r="O697" s="18" t="s">
        <v>1123</v>
      </c>
      <c r="P697" s="18" t="s">
        <v>1124</v>
      </c>
      <c r="Q697" s="18" t="s">
        <v>1125</v>
      </c>
      <c r="R697" s="18" t="s">
        <v>1126</v>
      </c>
      <c r="S697" s="18">
        <v>2010</v>
      </c>
      <c r="T697" s="18">
        <v>96480</v>
      </c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</row>
    <row r="698" spans="6:39" x14ac:dyDescent="0.35">
      <c r="F698" s="18" t="s">
        <v>1109</v>
      </c>
      <c r="G698" s="19">
        <v>46224</v>
      </c>
      <c r="H698" s="18" t="s">
        <v>3790</v>
      </c>
      <c r="I698" s="18" t="s">
        <v>1110</v>
      </c>
      <c r="J698" s="18">
        <v>1129</v>
      </c>
      <c r="K698" s="18" t="s">
        <v>1111</v>
      </c>
      <c r="L698" s="18" t="s">
        <v>5846</v>
      </c>
      <c r="M698" s="19">
        <v>46224</v>
      </c>
      <c r="N698" s="18" t="s">
        <v>1112</v>
      </c>
      <c r="O698" s="18" t="s">
        <v>1117</v>
      </c>
      <c r="P698" s="18" t="s">
        <v>1118</v>
      </c>
      <c r="Q698" s="18" t="s">
        <v>1119</v>
      </c>
      <c r="R698" s="18" t="s">
        <v>1120</v>
      </c>
      <c r="S698" s="18">
        <v>1072</v>
      </c>
      <c r="T698" s="18">
        <v>157037.28</v>
      </c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</row>
    <row r="699" spans="6:39" x14ac:dyDescent="0.35">
      <c r="F699" s="18" t="s">
        <v>1109</v>
      </c>
      <c r="G699" s="19">
        <v>46224</v>
      </c>
      <c r="H699" s="18" t="s">
        <v>3790</v>
      </c>
      <c r="I699" s="18" t="s">
        <v>1110</v>
      </c>
      <c r="J699" s="18">
        <v>1129</v>
      </c>
      <c r="K699" s="18" t="s">
        <v>1111</v>
      </c>
      <c r="L699" s="18" t="s">
        <v>5846</v>
      </c>
      <c r="M699" s="19">
        <v>46224</v>
      </c>
      <c r="N699" s="18" t="s">
        <v>1112</v>
      </c>
      <c r="O699" s="18" t="s">
        <v>1117</v>
      </c>
      <c r="P699" s="18" t="s">
        <v>1118</v>
      </c>
      <c r="Q699" s="18" t="s">
        <v>1119</v>
      </c>
      <c r="R699" s="18" t="s">
        <v>1120</v>
      </c>
      <c r="S699" s="18">
        <v>570</v>
      </c>
      <c r="T699" s="18">
        <v>84069.3</v>
      </c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</row>
    <row r="700" spans="6:39" x14ac:dyDescent="0.35">
      <c r="F700" s="18" t="s">
        <v>1109</v>
      </c>
      <c r="G700" s="19">
        <v>46224</v>
      </c>
      <c r="H700" s="18" t="s">
        <v>3790</v>
      </c>
      <c r="I700" s="18" t="s">
        <v>1110</v>
      </c>
      <c r="J700" s="18">
        <v>1129</v>
      </c>
      <c r="K700" s="18" t="s">
        <v>1111</v>
      </c>
      <c r="L700" s="18" t="s">
        <v>5846</v>
      </c>
      <c r="M700" s="19">
        <v>46224</v>
      </c>
      <c r="N700" s="18" t="s">
        <v>1112</v>
      </c>
      <c r="O700" s="18" t="s">
        <v>1117</v>
      </c>
      <c r="P700" s="18" t="s">
        <v>1118</v>
      </c>
      <c r="Q700" s="18" t="s">
        <v>1119</v>
      </c>
      <c r="R700" s="18" t="s">
        <v>1120</v>
      </c>
      <c r="S700" s="18">
        <v>6657</v>
      </c>
      <c r="T700" s="18">
        <v>961869.93</v>
      </c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</row>
    <row r="701" spans="6:39" x14ac:dyDescent="0.35">
      <c r="F701" s="18" t="s">
        <v>1109</v>
      </c>
      <c r="G701" s="19">
        <v>46224</v>
      </c>
      <c r="H701" s="18" t="s">
        <v>3790</v>
      </c>
      <c r="I701" s="18" t="s">
        <v>1110</v>
      </c>
      <c r="J701" s="18">
        <v>1130</v>
      </c>
      <c r="K701" s="18" t="s">
        <v>1111</v>
      </c>
      <c r="L701" s="18" t="s">
        <v>5847</v>
      </c>
      <c r="M701" s="19">
        <v>46224</v>
      </c>
      <c r="N701" s="18" t="s">
        <v>1112</v>
      </c>
      <c r="O701" s="18" t="s">
        <v>1117</v>
      </c>
      <c r="P701" s="18" t="s">
        <v>1118</v>
      </c>
      <c r="Q701" s="18" t="s">
        <v>1119</v>
      </c>
      <c r="R701" s="18" t="s">
        <v>1120</v>
      </c>
      <c r="S701" s="18">
        <v>239</v>
      </c>
      <c r="T701" s="18">
        <v>34533.11</v>
      </c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</row>
    <row r="702" spans="6:39" x14ac:dyDescent="0.35">
      <c r="F702" s="18" t="s">
        <v>1109</v>
      </c>
      <c r="G702" s="19">
        <v>46224</v>
      </c>
      <c r="H702" s="18" t="s">
        <v>3790</v>
      </c>
      <c r="I702" s="18" t="s">
        <v>1110</v>
      </c>
      <c r="J702" s="18">
        <v>1133</v>
      </c>
      <c r="K702" s="18" t="s">
        <v>1121</v>
      </c>
      <c r="L702" s="18" t="s">
        <v>5848</v>
      </c>
      <c r="M702" s="19">
        <v>46224</v>
      </c>
      <c r="N702" s="18" t="s">
        <v>1122</v>
      </c>
      <c r="O702" s="18" t="s">
        <v>1123</v>
      </c>
      <c r="P702" s="18" t="s">
        <v>1124</v>
      </c>
      <c r="Q702" s="18" t="s">
        <v>1125</v>
      </c>
      <c r="R702" s="18" t="s">
        <v>1126</v>
      </c>
      <c r="S702" s="18">
        <v>335</v>
      </c>
      <c r="T702" s="18">
        <v>16080</v>
      </c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</row>
    <row r="703" spans="6:39" x14ac:dyDescent="0.35">
      <c r="F703" s="18" t="s">
        <v>1109</v>
      </c>
      <c r="G703" s="19">
        <v>46224</v>
      </c>
      <c r="H703" s="18" t="s">
        <v>3790</v>
      </c>
      <c r="I703" s="18" t="s">
        <v>1110</v>
      </c>
      <c r="J703" s="18">
        <v>1134</v>
      </c>
      <c r="K703" s="18" t="s">
        <v>1111</v>
      </c>
      <c r="L703" s="18" t="s">
        <v>5849</v>
      </c>
      <c r="M703" s="19">
        <v>46224</v>
      </c>
      <c r="N703" s="18" t="s">
        <v>1112</v>
      </c>
      <c r="O703" s="18" t="s">
        <v>1117</v>
      </c>
      <c r="P703" s="18" t="s">
        <v>1118</v>
      </c>
      <c r="Q703" s="18" t="s">
        <v>1119</v>
      </c>
      <c r="R703" s="18" t="s">
        <v>1120</v>
      </c>
      <c r="S703" s="18">
        <v>1793</v>
      </c>
      <c r="T703" s="18">
        <v>259070.57</v>
      </c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</row>
    <row r="704" spans="6:39" x14ac:dyDescent="0.35">
      <c r="F704" s="18" t="s">
        <v>1109</v>
      </c>
      <c r="G704" s="19">
        <v>46224</v>
      </c>
      <c r="H704" s="18" t="s">
        <v>3790</v>
      </c>
      <c r="I704" s="18" t="s">
        <v>1110</v>
      </c>
      <c r="J704" s="18">
        <v>1134</v>
      </c>
      <c r="K704" s="18" t="s">
        <v>1111</v>
      </c>
      <c r="L704" s="18" t="s">
        <v>5849</v>
      </c>
      <c r="M704" s="19">
        <v>46224</v>
      </c>
      <c r="N704" s="18" t="s">
        <v>1112</v>
      </c>
      <c r="O704" s="18" t="s">
        <v>1117</v>
      </c>
      <c r="P704" s="18" t="s">
        <v>1138</v>
      </c>
      <c r="Q704" s="18" t="s">
        <v>1139</v>
      </c>
      <c r="R704" s="18" t="s">
        <v>1140</v>
      </c>
      <c r="S704" s="18">
        <v>712</v>
      </c>
      <c r="T704" s="18">
        <v>107860.88</v>
      </c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</row>
    <row r="705" spans="6:39" x14ac:dyDescent="0.35">
      <c r="F705" s="18" t="s">
        <v>1109</v>
      </c>
      <c r="G705" s="19">
        <v>46224</v>
      </c>
      <c r="H705" s="18" t="s">
        <v>3790</v>
      </c>
      <c r="I705" s="18" t="s">
        <v>1110</v>
      </c>
      <c r="J705" s="18">
        <v>1134</v>
      </c>
      <c r="K705" s="18" t="s">
        <v>1111</v>
      </c>
      <c r="L705" s="18" t="s">
        <v>5849</v>
      </c>
      <c r="M705" s="19">
        <v>46224</v>
      </c>
      <c r="N705" s="18" t="s">
        <v>1112</v>
      </c>
      <c r="O705" s="18" t="s">
        <v>1117</v>
      </c>
      <c r="P705" s="18" t="s">
        <v>1138</v>
      </c>
      <c r="Q705" s="18" t="s">
        <v>1139</v>
      </c>
      <c r="R705" s="18" t="s">
        <v>1140</v>
      </c>
      <c r="S705" s="18">
        <v>461</v>
      </c>
      <c r="T705" s="18">
        <v>68453.89</v>
      </c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</row>
    <row r="706" spans="6:39" x14ac:dyDescent="0.35">
      <c r="F706" s="18" t="s">
        <v>1109</v>
      </c>
      <c r="G706" s="19">
        <v>46224</v>
      </c>
      <c r="H706" s="18" t="s">
        <v>3790</v>
      </c>
      <c r="I706" s="18" t="s">
        <v>1110</v>
      </c>
      <c r="J706" s="18">
        <v>1134</v>
      </c>
      <c r="K706" s="18" t="s">
        <v>1111</v>
      </c>
      <c r="L706" s="18" t="s">
        <v>5849</v>
      </c>
      <c r="M706" s="19">
        <v>46224</v>
      </c>
      <c r="N706" s="18" t="s">
        <v>1112</v>
      </c>
      <c r="O706" s="18" t="s">
        <v>1131</v>
      </c>
      <c r="P706" s="18" t="s">
        <v>1132</v>
      </c>
      <c r="Q706" s="18" t="s">
        <v>1132</v>
      </c>
      <c r="R706" s="18" t="s">
        <v>1131</v>
      </c>
      <c r="S706" s="18">
        <v>620.6</v>
      </c>
      <c r="T706" s="18">
        <v>92773.49</v>
      </c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</row>
    <row r="707" spans="6:39" x14ac:dyDescent="0.35">
      <c r="F707" s="18" t="s">
        <v>1109</v>
      </c>
      <c r="G707" s="19">
        <v>46224</v>
      </c>
      <c r="H707" s="18" t="s">
        <v>3790</v>
      </c>
      <c r="I707" s="18" t="s">
        <v>1110</v>
      </c>
      <c r="J707" s="18">
        <v>1134</v>
      </c>
      <c r="K707" s="18" t="s">
        <v>1111</v>
      </c>
      <c r="L707" s="18" t="s">
        <v>5849</v>
      </c>
      <c r="M707" s="19">
        <v>46224</v>
      </c>
      <c r="N707" s="18" t="s">
        <v>1112</v>
      </c>
      <c r="O707" s="18" t="s">
        <v>1131</v>
      </c>
      <c r="P707" s="18" t="s">
        <v>1132</v>
      </c>
      <c r="Q707" s="18" t="s">
        <v>1132</v>
      </c>
      <c r="R707" s="18" t="s">
        <v>1131</v>
      </c>
      <c r="S707" s="18">
        <v>164.8</v>
      </c>
      <c r="T707" s="18">
        <v>28096.75</v>
      </c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</row>
    <row r="708" spans="6:39" x14ac:dyDescent="0.35">
      <c r="F708" s="18" t="s">
        <v>1109</v>
      </c>
      <c r="G708" s="19">
        <v>46224</v>
      </c>
      <c r="H708" s="18" t="s">
        <v>3790</v>
      </c>
      <c r="I708" s="18" t="s">
        <v>1110</v>
      </c>
      <c r="J708" s="18">
        <v>1134</v>
      </c>
      <c r="K708" s="18" t="s">
        <v>1111</v>
      </c>
      <c r="L708" s="18" t="s">
        <v>5849</v>
      </c>
      <c r="M708" s="19">
        <v>46224</v>
      </c>
      <c r="N708" s="18" t="s">
        <v>1112</v>
      </c>
      <c r="O708" s="18" t="s">
        <v>1127</v>
      </c>
      <c r="P708" s="18" t="s">
        <v>1128</v>
      </c>
      <c r="Q708" s="18" t="s">
        <v>1129</v>
      </c>
      <c r="R708" s="18" t="s">
        <v>1130</v>
      </c>
      <c r="S708" s="18">
        <v>591</v>
      </c>
      <c r="T708" s="18">
        <v>110386.98</v>
      </c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</row>
    <row r="709" spans="6:39" x14ac:dyDescent="0.35">
      <c r="F709" s="18" t="s">
        <v>1109</v>
      </c>
      <c r="G709" s="19">
        <v>46224</v>
      </c>
      <c r="H709" s="18" t="s">
        <v>3790</v>
      </c>
      <c r="I709" s="18" t="s">
        <v>1110</v>
      </c>
      <c r="J709" s="18">
        <v>1134</v>
      </c>
      <c r="K709" s="18" t="s">
        <v>1111</v>
      </c>
      <c r="L709" s="18" t="s">
        <v>5849</v>
      </c>
      <c r="M709" s="19">
        <v>46224</v>
      </c>
      <c r="N709" s="18" t="s">
        <v>1112</v>
      </c>
      <c r="O709" s="18" t="s">
        <v>1127</v>
      </c>
      <c r="P709" s="18" t="s">
        <v>1128</v>
      </c>
      <c r="Q709" s="18" t="s">
        <v>1129</v>
      </c>
      <c r="R709" s="18" t="s">
        <v>1130</v>
      </c>
      <c r="S709" s="18">
        <v>99</v>
      </c>
      <c r="T709" s="18">
        <v>18887.22</v>
      </c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</row>
    <row r="710" spans="6:39" x14ac:dyDescent="0.35">
      <c r="F710" s="18" t="s">
        <v>1109</v>
      </c>
      <c r="G710" s="19">
        <v>46224</v>
      </c>
      <c r="H710" s="18" t="s">
        <v>3790</v>
      </c>
      <c r="I710" s="18" t="s">
        <v>1110</v>
      </c>
      <c r="J710" s="18">
        <v>1134</v>
      </c>
      <c r="K710" s="18" t="s">
        <v>1111</v>
      </c>
      <c r="L710" s="18" t="s">
        <v>5849</v>
      </c>
      <c r="M710" s="19">
        <v>46224</v>
      </c>
      <c r="N710" s="18" t="s">
        <v>1112</v>
      </c>
      <c r="O710" s="18" t="s">
        <v>1131</v>
      </c>
      <c r="P710" s="18" t="s">
        <v>1132</v>
      </c>
      <c r="Q710" s="18" t="s">
        <v>1132</v>
      </c>
      <c r="R710" s="18" t="s">
        <v>1131</v>
      </c>
      <c r="S710" s="18">
        <v>146.30000000000001</v>
      </c>
      <c r="T710" s="18">
        <v>21431.49</v>
      </c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</row>
    <row r="711" spans="6:39" x14ac:dyDescent="0.35">
      <c r="F711" s="18" t="s">
        <v>1109</v>
      </c>
      <c r="G711" s="19">
        <v>46224</v>
      </c>
      <c r="H711" s="18" t="s">
        <v>1135</v>
      </c>
      <c r="I711" s="18" t="s">
        <v>1136</v>
      </c>
      <c r="J711" s="18" t="s">
        <v>5850</v>
      </c>
      <c r="K711" s="18" t="s">
        <v>1137</v>
      </c>
      <c r="L711" s="18" t="s">
        <v>5850</v>
      </c>
      <c r="M711" s="19">
        <v>46224</v>
      </c>
      <c r="N711" s="18" t="s">
        <v>1112</v>
      </c>
      <c r="O711" s="18" t="s">
        <v>1117</v>
      </c>
      <c r="P711" s="18" t="s">
        <v>1118</v>
      </c>
      <c r="Q711" s="18" t="s">
        <v>1119</v>
      </c>
      <c r="R711" s="18" t="s">
        <v>1120</v>
      </c>
      <c r="S711" s="18">
        <v>1968.17</v>
      </c>
      <c r="T711" s="18">
        <v>273567.52799999999</v>
      </c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</row>
    <row r="712" spans="6:39" x14ac:dyDescent="0.35">
      <c r="F712" s="18" t="s">
        <v>1109</v>
      </c>
      <c r="G712" s="19">
        <v>46224</v>
      </c>
      <c r="H712" s="18" t="s">
        <v>1135</v>
      </c>
      <c r="I712" s="18" t="s">
        <v>1136</v>
      </c>
      <c r="J712" s="18" t="s">
        <v>5851</v>
      </c>
      <c r="K712" s="18" t="s">
        <v>1137</v>
      </c>
      <c r="L712" s="18" t="s">
        <v>5851</v>
      </c>
      <c r="M712" s="19">
        <v>46224</v>
      </c>
      <c r="N712" s="18" t="s">
        <v>1112</v>
      </c>
      <c r="O712" s="18" t="s">
        <v>1117</v>
      </c>
      <c r="P712" s="18" t="s">
        <v>1118</v>
      </c>
      <c r="Q712" s="18" t="s">
        <v>1119</v>
      </c>
      <c r="R712" s="18" t="s">
        <v>1120</v>
      </c>
      <c r="S712" s="18">
        <v>1165.83</v>
      </c>
      <c r="T712" s="18">
        <v>161981.27000000002</v>
      </c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</row>
    <row r="713" spans="6:39" x14ac:dyDescent="0.35">
      <c r="F713" s="18" t="s">
        <v>1109</v>
      </c>
      <c r="G713" s="19">
        <v>46224</v>
      </c>
      <c r="H713" s="18" t="s">
        <v>1135</v>
      </c>
      <c r="I713" s="18" t="s">
        <v>1136</v>
      </c>
      <c r="J713" s="18" t="s">
        <v>5852</v>
      </c>
      <c r="K713" s="18" t="s">
        <v>1137</v>
      </c>
      <c r="L713" s="18" t="s">
        <v>5852</v>
      </c>
      <c r="M713" s="19">
        <v>46224</v>
      </c>
      <c r="N713" s="18" t="s">
        <v>1112</v>
      </c>
      <c r="O713" s="18" t="s">
        <v>1127</v>
      </c>
      <c r="P713" s="18" t="s">
        <v>1128</v>
      </c>
      <c r="Q713" s="18" t="s">
        <v>1129</v>
      </c>
      <c r="R713" s="18" t="s">
        <v>1130</v>
      </c>
      <c r="S713" s="18">
        <v>3019.5</v>
      </c>
      <c r="T713" s="18">
        <v>527210.03499999992</v>
      </c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</row>
    <row r="714" spans="6:39" x14ac:dyDescent="0.35">
      <c r="F714" s="18" t="s">
        <v>1109</v>
      </c>
      <c r="G714" s="19">
        <v>46224</v>
      </c>
      <c r="H714" s="18" t="s">
        <v>1135</v>
      </c>
      <c r="I714" s="18" t="s">
        <v>1136</v>
      </c>
      <c r="J714" s="18" t="s">
        <v>5853</v>
      </c>
      <c r="K714" s="18" t="s">
        <v>1137</v>
      </c>
      <c r="L714" s="18" t="s">
        <v>5853</v>
      </c>
      <c r="M714" s="19">
        <v>46224</v>
      </c>
      <c r="N714" s="18" t="s">
        <v>1112</v>
      </c>
      <c r="O714" s="18" t="s">
        <v>1127</v>
      </c>
      <c r="P714" s="18" t="s">
        <v>1128</v>
      </c>
      <c r="Q714" s="18" t="s">
        <v>1129</v>
      </c>
      <c r="R714" s="18" t="s">
        <v>1130</v>
      </c>
      <c r="S714" s="18">
        <v>466</v>
      </c>
      <c r="T714" s="18">
        <v>81364.635000000009</v>
      </c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</row>
    <row r="715" spans="6:39" x14ac:dyDescent="0.35">
      <c r="F715" s="18" t="s">
        <v>1109</v>
      </c>
      <c r="G715" s="19">
        <v>46224</v>
      </c>
      <c r="H715" s="18" t="s">
        <v>485</v>
      </c>
      <c r="I715" s="18" t="s">
        <v>1110</v>
      </c>
      <c r="J715" s="18">
        <v>1142</v>
      </c>
      <c r="K715" s="18" t="s">
        <v>1121</v>
      </c>
      <c r="L715" s="18" t="s">
        <v>5854</v>
      </c>
      <c r="M715" s="19">
        <v>46224</v>
      </c>
      <c r="N715" s="18" t="s">
        <v>1122</v>
      </c>
      <c r="O715" s="18" t="s">
        <v>1123</v>
      </c>
      <c r="P715" s="18" t="s">
        <v>1124</v>
      </c>
      <c r="Q715" s="18" t="s">
        <v>1125</v>
      </c>
      <c r="R715" s="18" t="s">
        <v>1126</v>
      </c>
      <c r="S715" s="18">
        <v>1800</v>
      </c>
      <c r="T715" s="18">
        <v>86400</v>
      </c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</row>
    <row r="716" spans="6:39" x14ac:dyDescent="0.35">
      <c r="F716" s="18" t="s">
        <v>1109</v>
      </c>
      <c r="G716" s="19">
        <v>46224</v>
      </c>
      <c r="H716" s="18" t="s">
        <v>485</v>
      </c>
      <c r="I716" s="18" t="s">
        <v>1110</v>
      </c>
      <c r="J716" s="18">
        <v>1144</v>
      </c>
      <c r="K716" s="18" t="s">
        <v>1121</v>
      </c>
      <c r="L716" s="18" t="s">
        <v>5855</v>
      </c>
      <c r="M716" s="19">
        <v>46224</v>
      </c>
      <c r="N716" s="18" t="s">
        <v>1122</v>
      </c>
      <c r="O716" s="18" t="s">
        <v>1123</v>
      </c>
      <c r="P716" s="18" t="s">
        <v>1124</v>
      </c>
      <c r="Q716" s="18" t="s">
        <v>1125</v>
      </c>
      <c r="R716" s="18" t="s">
        <v>1126</v>
      </c>
      <c r="S716" s="18">
        <v>178</v>
      </c>
      <c r="T716" s="18">
        <v>8544</v>
      </c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</row>
    <row r="717" spans="6:39" x14ac:dyDescent="0.35">
      <c r="F717" s="18" t="s">
        <v>1109</v>
      </c>
      <c r="G717" s="19">
        <v>46224</v>
      </c>
      <c r="H717" s="18" t="s">
        <v>485</v>
      </c>
      <c r="I717" s="18" t="s">
        <v>1110</v>
      </c>
      <c r="J717" s="18">
        <v>1145</v>
      </c>
      <c r="K717" s="18" t="s">
        <v>1111</v>
      </c>
      <c r="L717" s="18" t="s">
        <v>5856</v>
      </c>
      <c r="M717" s="19">
        <v>46224</v>
      </c>
      <c r="N717" s="18" t="s">
        <v>1112</v>
      </c>
      <c r="O717" s="18" t="s">
        <v>1117</v>
      </c>
      <c r="P717" s="18" t="s">
        <v>1118</v>
      </c>
      <c r="Q717" s="18" t="s">
        <v>1119</v>
      </c>
      <c r="R717" s="18" t="s">
        <v>1120</v>
      </c>
      <c r="S717" s="18">
        <v>3314</v>
      </c>
      <c r="T717" s="18">
        <v>495409.86</v>
      </c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</row>
    <row r="718" spans="6:39" x14ac:dyDescent="0.35">
      <c r="F718" s="18" t="s">
        <v>1109</v>
      </c>
      <c r="G718" s="19">
        <v>46224</v>
      </c>
      <c r="H718" s="18" t="s">
        <v>485</v>
      </c>
      <c r="I718" s="18" t="s">
        <v>1110</v>
      </c>
      <c r="J718" s="18">
        <v>1145</v>
      </c>
      <c r="K718" s="18" t="s">
        <v>1111</v>
      </c>
      <c r="L718" s="18" t="s">
        <v>5856</v>
      </c>
      <c r="M718" s="19">
        <v>46224</v>
      </c>
      <c r="N718" s="18" t="s">
        <v>1112</v>
      </c>
      <c r="O718" s="18" t="s">
        <v>1117</v>
      </c>
      <c r="P718" s="18" t="s">
        <v>1118</v>
      </c>
      <c r="Q718" s="18" t="s">
        <v>1119</v>
      </c>
      <c r="R718" s="18" t="s">
        <v>1120</v>
      </c>
      <c r="S718" s="18">
        <v>728</v>
      </c>
      <c r="T718" s="18">
        <v>105188.72</v>
      </c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</row>
    <row r="719" spans="6:39" x14ac:dyDescent="0.35">
      <c r="F719" s="18" t="s">
        <v>1109</v>
      </c>
      <c r="G719" s="19">
        <v>46224</v>
      </c>
      <c r="H719" s="18" t="s">
        <v>485</v>
      </c>
      <c r="I719" s="18" t="s">
        <v>1110</v>
      </c>
      <c r="J719" s="18">
        <v>1145</v>
      </c>
      <c r="K719" s="18" t="s">
        <v>1111</v>
      </c>
      <c r="L719" s="18" t="s">
        <v>5856</v>
      </c>
      <c r="M719" s="19">
        <v>46224</v>
      </c>
      <c r="N719" s="18" t="s">
        <v>1112</v>
      </c>
      <c r="O719" s="18" t="s">
        <v>1113</v>
      </c>
      <c r="P719" s="18" t="s">
        <v>1114</v>
      </c>
      <c r="Q719" s="18" t="s">
        <v>1115</v>
      </c>
      <c r="R719" s="18" t="s">
        <v>1116</v>
      </c>
      <c r="S719" s="18">
        <v>964.7</v>
      </c>
      <c r="T719" s="18">
        <v>150965.9</v>
      </c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</row>
    <row r="720" spans="6:39" x14ac:dyDescent="0.35">
      <c r="F720" s="18" t="s">
        <v>1109</v>
      </c>
      <c r="G720" s="19">
        <v>46224</v>
      </c>
      <c r="H720" s="18" t="s">
        <v>485</v>
      </c>
      <c r="I720" s="18" t="s">
        <v>1110</v>
      </c>
      <c r="J720" s="18">
        <v>1145</v>
      </c>
      <c r="K720" s="18" t="s">
        <v>1111</v>
      </c>
      <c r="L720" s="18" t="s">
        <v>5856</v>
      </c>
      <c r="M720" s="19">
        <v>46224</v>
      </c>
      <c r="N720" s="18" t="s">
        <v>1112</v>
      </c>
      <c r="O720" s="18" t="s">
        <v>1127</v>
      </c>
      <c r="P720" s="18" t="s">
        <v>1128</v>
      </c>
      <c r="Q720" s="18" t="s">
        <v>1129</v>
      </c>
      <c r="R720" s="18" t="s">
        <v>1130</v>
      </c>
      <c r="S720" s="18">
        <v>1215.5</v>
      </c>
      <c r="T720" s="18">
        <v>251341.09</v>
      </c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</row>
    <row r="721" spans="6:39" x14ac:dyDescent="0.35">
      <c r="F721" s="18" t="s">
        <v>1109</v>
      </c>
      <c r="G721" s="19">
        <v>46224</v>
      </c>
      <c r="H721" s="18" t="s">
        <v>485</v>
      </c>
      <c r="I721" s="18" t="s">
        <v>1150</v>
      </c>
      <c r="J721" s="18" t="s">
        <v>5857</v>
      </c>
      <c r="K721" s="18" t="s">
        <v>1111</v>
      </c>
      <c r="L721" s="18" t="s">
        <v>5857</v>
      </c>
      <c r="M721" s="19">
        <v>46224</v>
      </c>
      <c r="N721" s="18" t="s">
        <v>1112</v>
      </c>
      <c r="O721" s="18" t="s">
        <v>1117</v>
      </c>
      <c r="P721" s="18" t="s">
        <v>1118</v>
      </c>
      <c r="Q721" s="18" t="s">
        <v>1119</v>
      </c>
      <c r="R721" s="18" t="s">
        <v>1120</v>
      </c>
      <c r="S721" s="18">
        <v>263</v>
      </c>
      <c r="T721" s="18">
        <v>103885</v>
      </c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</row>
    <row r="722" spans="6:39" x14ac:dyDescent="0.35">
      <c r="F722" s="18" t="s">
        <v>1109</v>
      </c>
      <c r="G722" s="19">
        <v>46224</v>
      </c>
      <c r="H722" s="18" t="s">
        <v>575</v>
      </c>
      <c r="I722" s="18" t="s">
        <v>1136</v>
      </c>
      <c r="J722" s="18" t="s">
        <v>5320</v>
      </c>
      <c r="K722" s="18" t="s">
        <v>2028</v>
      </c>
      <c r="L722" s="18" t="s">
        <v>5320</v>
      </c>
      <c r="M722" s="19">
        <v>46224</v>
      </c>
      <c r="N722" s="18" t="s">
        <v>1146</v>
      </c>
      <c r="O722" s="18" t="s">
        <v>1147</v>
      </c>
      <c r="P722" s="18" t="s">
        <v>1147</v>
      </c>
      <c r="Q722" s="18" t="s">
        <v>1148</v>
      </c>
      <c r="R722" s="18" t="s">
        <v>1169</v>
      </c>
      <c r="S722" s="18">
        <v>6874</v>
      </c>
      <c r="T722" s="18">
        <v>1387280.2919999999</v>
      </c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</row>
    <row r="723" spans="6:39" x14ac:dyDescent="0.35">
      <c r="F723" s="18" t="s">
        <v>1109</v>
      </c>
      <c r="G723" s="19">
        <v>46224</v>
      </c>
      <c r="H723" s="18" t="s">
        <v>575</v>
      </c>
      <c r="I723" s="18" t="s">
        <v>1136</v>
      </c>
      <c r="J723" s="18" t="s">
        <v>5320</v>
      </c>
      <c r="K723" s="18" t="s">
        <v>2028</v>
      </c>
      <c r="L723" s="18" t="s">
        <v>5320</v>
      </c>
      <c r="M723" s="19">
        <v>46224</v>
      </c>
      <c r="N723" s="18" t="s">
        <v>1146</v>
      </c>
      <c r="O723" s="18" t="s">
        <v>1147</v>
      </c>
      <c r="P723" s="18" t="s">
        <v>1147</v>
      </c>
      <c r="Q723" s="18" t="s">
        <v>1148</v>
      </c>
      <c r="R723" s="18" t="s">
        <v>1149</v>
      </c>
      <c r="S723" s="18">
        <v>12923</v>
      </c>
      <c r="T723" s="18">
        <v>3653823.1079999995</v>
      </c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</row>
    <row r="724" spans="6:39" x14ac:dyDescent="0.35">
      <c r="F724" s="18" t="s">
        <v>1109</v>
      </c>
      <c r="G724" s="19">
        <v>46224</v>
      </c>
      <c r="H724" s="18" t="s">
        <v>5296</v>
      </c>
      <c r="I724" s="18" t="s">
        <v>1110</v>
      </c>
      <c r="J724" s="18">
        <v>1138</v>
      </c>
      <c r="K724" s="18" t="s">
        <v>1165</v>
      </c>
      <c r="L724" s="18" t="s">
        <v>5321</v>
      </c>
      <c r="M724" s="19">
        <v>46224</v>
      </c>
      <c r="N724" s="18" t="s">
        <v>4999</v>
      </c>
      <c r="O724" s="18" t="s">
        <v>5005</v>
      </c>
      <c r="P724" s="18" t="s">
        <v>5666</v>
      </c>
      <c r="Q724" s="18" t="s">
        <v>5667</v>
      </c>
      <c r="R724" s="18" t="s">
        <v>5694</v>
      </c>
      <c r="S724" s="18">
        <v>14200</v>
      </c>
      <c r="T724" s="18">
        <v>7881</v>
      </c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</row>
    <row r="725" spans="6:39" x14ac:dyDescent="0.35">
      <c r="F725" s="18" t="s">
        <v>1109</v>
      </c>
      <c r="G725" s="19">
        <v>46224</v>
      </c>
      <c r="H725" s="18" t="s">
        <v>540</v>
      </c>
      <c r="I725" s="18" t="s">
        <v>1136</v>
      </c>
      <c r="J725" s="18" t="s">
        <v>5322</v>
      </c>
      <c r="K725" s="18" t="s">
        <v>2028</v>
      </c>
      <c r="L725" s="18" t="s">
        <v>5322</v>
      </c>
      <c r="M725" s="19">
        <v>46224</v>
      </c>
      <c r="N725" s="18" t="s">
        <v>1146</v>
      </c>
      <c r="O725" s="18" t="s">
        <v>1147</v>
      </c>
      <c r="P725" s="18" t="s">
        <v>1147</v>
      </c>
      <c r="Q725" s="18" t="s">
        <v>1148</v>
      </c>
      <c r="R725" s="18" t="s">
        <v>1149</v>
      </c>
      <c r="S725" s="18">
        <v>22279.48</v>
      </c>
      <c r="T725" s="18">
        <v>4343630.76</v>
      </c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</row>
    <row r="726" spans="6:39" x14ac:dyDescent="0.35">
      <c r="F726" s="18" t="s">
        <v>1109</v>
      </c>
      <c r="G726" s="19">
        <v>46224</v>
      </c>
      <c r="H726" s="18" t="s">
        <v>814</v>
      </c>
      <c r="I726" s="18" t="s">
        <v>1150</v>
      </c>
      <c r="J726" s="18" t="s">
        <v>5323</v>
      </c>
      <c r="K726" s="18" t="s">
        <v>3850</v>
      </c>
      <c r="L726" s="18" t="s">
        <v>5323</v>
      </c>
      <c r="M726" s="19">
        <v>46224</v>
      </c>
      <c r="N726" s="18" t="s">
        <v>1133</v>
      </c>
      <c r="O726" s="18" t="s">
        <v>1134</v>
      </c>
      <c r="P726" s="18" t="s">
        <v>1141</v>
      </c>
      <c r="Q726" s="18" t="s">
        <v>1142</v>
      </c>
      <c r="R726" s="18" t="s">
        <v>5858</v>
      </c>
      <c r="S726" s="18">
        <v>5000</v>
      </c>
      <c r="T726" s="18">
        <v>575000</v>
      </c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</row>
    <row r="727" spans="6:39" x14ac:dyDescent="0.35">
      <c r="F727" s="18" t="s">
        <v>1109</v>
      </c>
      <c r="G727" s="19">
        <v>46224</v>
      </c>
      <c r="H727" s="18" t="s">
        <v>814</v>
      </c>
      <c r="I727" s="18" t="s">
        <v>1150</v>
      </c>
      <c r="J727" s="18" t="s">
        <v>5323</v>
      </c>
      <c r="K727" s="18" t="s">
        <v>3850</v>
      </c>
      <c r="L727" s="18" t="s">
        <v>5323</v>
      </c>
      <c r="M727" s="19">
        <v>46224</v>
      </c>
      <c r="N727" s="18" t="s">
        <v>1133</v>
      </c>
      <c r="O727" s="18" t="s">
        <v>1134</v>
      </c>
      <c r="P727" s="18" t="s">
        <v>1164</v>
      </c>
      <c r="Q727" s="18" t="s">
        <v>1157</v>
      </c>
      <c r="R727" s="18" t="s">
        <v>4917</v>
      </c>
      <c r="S727" s="18">
        <v>100</v>
      </c>
      <c r="T727" s="18">
        <v>18100</v>
      </c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</row>
    <row r="728" spans="6:39" x14ac:dyDescent="0.35">
      <c r="F728" s="18" t="s">
        <v>1109</v>
      </c>
      <c r="G728" s="19">
        <v>46224</v>
      </c>
      <c r="H728" s="18" t="s">
        <v>814</v>
      </c>
      <c r="I728" s="18" t="s">
        <v>1150</v>
      </c>
      <c r="J728" s="18" t="s">
        <v>5323</v>
      </c>
      <c r="K728" s="18" t="s">
        <v>3850</v>
      </c>
      <c r="L728" s="18" t="s">
        <v>5323</v>
      </c>
      <c r="M728" s="19">
        <v>46224</v>
      </c>
      <c r="N728" s="18" t="s">
        <v>1133</v>
      </c>
      <c r="O728" s="18" t="s">
        <v>1134</v>
      </c>
      <c r="P728" s="18" t="s">
        <v>1164</v>
      </c>
      <c r="Q728" s="18" t="s">
        <v>1157</v>
      </c>
      <c r="R728" s="18" t="s">
        <v>5007</v>
      </c>
      <c r="S728" s="18">
        <v>275</v>
      </c>
      <c r="T728" s="18">
        <v>42625</v>
      </c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</row>
    <row r="729" spans="6:39" x14ac:dyDescent="0.35">
      <c r="F729" s="18" t="s">
        <v>1109</v>
      </c>
      <c r="G729" s="19">
        <v>46224</v>
      </c>
      <c r="H729" s="18" t="s">
        <v>125</v>
      </c>
      <c r="I729" s="18" t="s">
        <v>1110</v>
      </c>
      <c r="J729" s="18">
        <v>1132</v>
      </c>
      <c r="K729" s="18" t="s">
        <v>1111</v>
      </c>
      <c r="L729" s="18" t="s">
        <v>5523</v>
      </c>
      <c r="M729" s="19">
        <v>46224</v>
      </c>
      <c r="N729" s="18" t="s">
        <v>1112</v>
      </c>
      <c r="O729" s="18" t="s">
        <v>1117</v>
      </c>
      <c r="P729" s="18" t="s">
        <v>1118</v>
      </c>
      <c r="Q729" s="18" t="s">
        <v>1119</v>
      </c>
      <c r="R729" s="18" t="s">
        <v>1120</v>
      </c>
      <c r="S729" s="18">
        <v>1145</v>
      </c>
      <c r="T729" s="18">
        <v>165441.04999999999</v>
      </c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</row>
    <row r="730" spans="6:39" x14ac:dyDescent="0.35">
      <c r="F730" s="18" t="s">
        <v>1109</v>
      </c>
      <c r="G730" s="19">
        <v>46224</v>
      </c>
      <c r="H730" s="18" t="s">
        <v>125</v>
      </c>
      <c r="I730" s="18" t="s">
        <v>1110</v>
      </c>
      <c r="J730" s="18">
        <v>1132</v>
      </c>
      <c r="K730" s="18" t="s">
        <v>1111</v>
      </c>
      <c r="L730" s="18" t="s">
        <v>5523</v>
      </c>
      <c r="M730" s="19">
        <v>46224</v>
      </c>
      <c r="N730" s="18" t="s">
        <v>1112</v>
      </c>
      <c r="O730" s="18" t="s">
        <v>1131</v>
      </c>
      <c r="P730" s="18" t="s">
        <v>1132</v>
      </c>
      <c r="Q730" s="18" t="s">
        <v>1132</v>
      </c>
      <c r="R730" s="18" t="s">
        <v>1131</v>
      </c>
      <c r="S730" s="18">
        <v>519.5</v>
      </c>
      <c r="T730" s="18">
        <v>76101.56</v>
      </c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</row>
    <row r="731" spans="6:39" x14ac:dyDescent="0.35">
      <c r="F731" s="18" t="s">
        <v>1109</v>
      </c>
      <c r="G731" s="19">
        <v>46224</v>
      </c>
      <c r="H731" s="18" t="s">
        <v>125</v>
      </c>
      <c r="I731" s="18" t="s">
        <v>1110</v>
      </c>
      <c r="J731" s="18">
        <v>1135</v>
      </c>
      <c r="K731" s="18" t="s">
        <v>1121</v>
      </c>
      <c r="L731" s="18" t="s">
        <v>5524</v>
      </c>
      <c r="M731" s="19">
        <v>46224</v>
      </c>
      <c r="N731" s="18" t="s">
        <v>1133</v>
      </c>
      <c r="O731" s="18" t="s">
        <v>1134</v>
      </c>
      <c r="P731" s="18" t="s">
        <v>5008</v>
      </c>
      <c r="Q731" s="18" t="s">
        <v>5009</v>
      </c>
      <c r="R731" s="18" t="s">
        <v>5010</v>
      </c>
      <c r="S731" s="18">
        <v>6000</v>
      </c>
      <c r="T731" s="18">
        <v>234000</v>
      </c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</row>
    <row r="732" spans="6:39" x14ac:dyDescent="0.35">
      <c r="F732" s="18" t="s">
        <v>1109</v>
      </c>
      <c r="G732" s="19">
        <v>46224</v>
      </c>
      <c r="H732" s="18" t="s">
        <v>125</v>
      </c>
      <c r="I732" s="18" t="s">
        <v>1110</v>
      </c>
      <c r="J732" s="18">
        <v>1139</v>
      </c>
      <c r="K732" s="18" t="s">
        <v>1121</v>
      </c>
      <c r="L732" s="18" t="s">
        <v>4032</v>
      </c>
      <c r="M732" s="19">
        <v>46224</v>
      </c>
      <c r="N732" s="18" t="s">
        <v>1122</v>
      </c>
      <c r="O732" s="18" t="s">
        <v>1123</v>
      </c>
      <c r="P732" s="18" t="s">
        <v>1124</v>
      </c>
      <c r="Q732" s="18" t="s">
        <v>1125</v>
      </c>
      <c r="R732" s="18" t="s">
        <v>1126</v>
      </c>
      <c r="S732" s="18">
        <v>194</v>
      </c>
      <c r="T732" s="18">
        <v>9312</v>
      </c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</row>
    <row r="733" spans="6:39" x14ac:dyDescent="0.35">
      <c r="F733" s="18" t="s">
        <v>1109</v>
      </c>
      <c r="G733" s="19">
        <v>46224</v>
      </c>
      <c r="H733" s="18" t="s">
        <v>125</v>
      </c>
      <c r="I733" s="18" t="s">
        <v>1110</v>
      </c>
      <c r="J733" s="18">
        <v>1140</v>
      </c>
      <c r="K733" s="18" t="s">
        <v>1111</v>
      </c>
      <c r="L733" s="18" t="s">
        <v>5525</v>
      </c>
      <c r="M733" s="19">
        <v>46224</v>
      </c>
      <c r="N733" s="18" t="s">
        <v>1112</v>
      </c>
      <c r="O733" s="18" t="s">
        <v>1117</v>
      </c>
      <c r="P733" s="18" t="s">
        <v>1118</v>
      </c>
      <c r="Q733" s="18" t="s">
        <v>1119</v>
      </c>
      <c r="R733" s="18" t="s">
        <v>1120</v>
      </c>
      <c r="S733" s="18">
        <v>5478</v>
      </c>
      <c r="T733" s="18">
        <v>818906.22</v>
      </c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</row>
    <row r="734" spans="6:39" x14ac:dyDescent="0.35">
      <c r="F734" s="18" t="s">
        <v>1109</v>
      </c>
      <c r="G734" s="19">
        <v>46224</v>
      </c>
      <c r="H734" s="18" t="s">
        <v>125</v>
      </c>
      <c r="I734" s="18" t="s">
        <v>1110</v>
      </c>
      <c r="J734" s="18">
        <v>1140</v>
      </c>
      <c r="K734" s="18" t="s">
        <v>1111</v>
      </c>
      <c r="L734" s="18" t="s">
        <v>5525</v>
      </c>
      <c r="M734" s="19">
        <v>46224</v>
      </c>
      <c r="N734" s="18" t="s">
        <v>1112</v>
      </c>
      <c r="O734" s="18" t="s">
        <v>1131</v>
      </c>
      <c r="P734" s="18" t="s">
        <v>1132</v>
      </c>
      <c r="Q734" s="18" t="s">
        <v>1132</v>
      </c>
      <c r="R734" s="18" t="s">
        <v>1131</v>
      </c>
      <c r="S734" s="18">
        <v>559.1</v>
      </c>
      <c r="T734" s="18">
        <v>83579.86</v>
      </c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</row>
    <row r="735" spans="6:39" x14ac:dyDescent="0.35">
      <c r="F735" s="18" t="s">
        <v>1109</v>
      </c>
      <c r="G735" s="19">
        <v>46224</v>
      </c>
      <c r="H735" s="18" t="s">
        <v>125</v>
      </c>
      <c r="I735" s="18" t="s">
        <v>1110</v>
      </c>
      <c r="J735" s="18">
        <v>1140</v>
      </c>
      <c r="K735" s="18" t="s">
        <v>1111</v>
      </c>
      <c r="L735" s="18" t="s">
        <v>5525</v>
      </c>
      <c r="M735" s="19">
        <v>46224</v>
      </c>
      <c r="N735" s="18" t="s">
        <v>1112</v>
      </c>
      <c r="O735" s="18" t="s">
        <v>1131</v>
      </c>
      <c r="P735" s="18" t="s">
        <v>1132</v>
      </c>
      <c r="Q735" s="18" t="s">
        <v>1132</v>
      </c>
      <c r="R735" s="18" t="s">
        <v>1131</v>
      </c>
      <c r="S735" s="18">
        <v>750.4</v>
      </c>
      <c r="T735" s="18">
        <v>109926.1</v>
      </c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</row>
    <row r="736" spans="6:39" x14ac:dyDescent="0.35">
      <c r="F736" s="18" t="s">
        <v>1109</v>
      </c>
      <c r="G736" s="19">
        <v>46224</v>
      </c>
      <c r="H736" s="18" t="s">
        <v>125</v>
      </c>
      <c r="I736" s="18" t="s">
        <v>1110</v>
      </c>
      <c r="J736" s="18">
        <v>1140</v>
      </c>
      <c r="K736" s="18" t="s">
        <v>1111</v>
      </c>
      <c r="L736" s="18" t="s">
        <v>5525</v>
      </c>
      <c r="M736" s="19">
        <v>46224</v>
      </c>
      <c r="N736" s="18" t="s">
        <v>1112</v>
      </c>
      <c r="O736" s="18" t="s">
        <v>1153</v>
      </c>
      <c r="P736" s="18" t="s">
        <v>1154</v>
      </c>
      <c r="Q736" s="18" t="s">
        <v>1155</v>
      </c>
      <c r="R736" s="18" t="s">
        <v>1154</v>
      </c>
      <c r="S736" s="18">
        <v>91</v>
      </c>
      <c r="T736" s="18">
        <v>12511.59</v>
      </c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</row>
    <row r="737" spans="6:39" x14ac:dyDescent="0.35">
      <c r="F737" s="18" t="s">
        <v>1109</v>
      </c>
      <c r="G737" s="19">
        <v>46224</v>
      </c>
      <c r="H737" s="18" t="s">
        <v>3797</v>
      </c>
      <c r="I737" s="18" t="s">
        <v>1136</v>
      </c>
      <c r="J737" s="18" t="s">
        <v>5324</v>
      </c>
      <c r="K737" s="18" t="s">
        <v>2028</v>
      </c>
      <c r="L737" s="18" t="s">
        <v>5324</v>
      </c>
      <c r="M737" s="19">
        <v>46224</v>
      </c>
      <c r="N737" s="18" t="s">
        <v>1146</v>
      </c>
      <c r="O737" s="18" t="s">
        <v>1147</v>
      </c>
      <c r="P737" s="18" t="s">
        <v>1147</v>
      </c>
      <c r="Q737" s="18" t="s">
        <v>1148</v>
      </c>
      <c r="R737" s="18" t="s">
        <v>1149</v>
      </c>
      <c r="S737" s="18">
        <v>22727</v>
      </c>
      <c r="T737" s="18">
        <v>4793672.9000000004</v>
      </c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</row>
    <row r="738" spans="6:39" x14ac:dyDescent="0.35">
      <c r="F738" s="18" t="s">
        <v>1109</v>
      </c>
      <c r="G738" s="19">
        <v>46225</v>
      </c>
      <c r="H738" s="18" t="s">
        <v>1159</v>
      </c>
      <c r="I738" s="18" t="s">
        <v>1110</v>
      </c>
      <c r="J738" s="18" t="s">
        <v>5859</v>
      </c>
      <c r="K738" s="18" t="s">
        <v>3760</v>
      </c>
      <c r="L738" s="18" t="s">
        <v>5859</v>
      </c>
      <c r="M738" s="19">
        <v>46225</v>
      </c>
      <c r="N738" s="18" t="s">
        <v>1112</v>
      </c>
      <c r="O738" s="18" t="s">
        <v>1127</v>
      </c>
      <c r="P738" s="18" t="s">
        <v>1128</v>
      </c>
      <c r="Q738" s="18" t="s">
        <v>1129</v>
      </c>
      <c r="R738" s="18" t="s">
        <v>1130</v>
      </c>
      <c r="S738" s="18">
        <v>17192</v>
      </c>
      <c r="T738" s="18">
        <v>5899950.5599999996</v>
      </c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</row>
    <row r="739" spans="6:39" x14ac:dyDescent="0.35">
      <c r="F739" s="18" t="s">
        <v>1109</v>
      </c>
      <c r="G739" s="19">
        <v>46225</v>
      </c>
      <c r="H739" s="18" t="s">
        <v>3790</v>
      </c>
      <c r="I739" s="18" t="s">
        <v>1110</v>
      </c>
      <c r="J739" s="18">
        <v>1146</v>
      </c>
      <c r="K739" s="18" t="s">
        <v>1111</v>
      </c>
      <c r="L739" s="18" t="s">
        <v>5860</v>
      </c>
      <c r="M739" s="19">
        <v>46225</v>
      </c>
      <c r="N739" s="18" t="s">
        <v>1112</v>
      </c>
      <c r="O739" s="18" t="s">
        <v>1117</v>
      </c>
      <c r="P739" s="18" t="s">
        <v>1138</v>
      </c>
      <c r="Q739" s="18" t="s">
        <v>1139</v>
      </c>
      <c r="R739" s="18" t="s">
        <v>1140</v>
      </c>
      <c r="S739" s="18">
        <v>263</v>
      </c>
      <c r="T739" s="18">
        <v>39052.870000000003</v>
      </c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</row>
    <row r="740" spans="6:39" x14ac:dyDescent="0.35">
      <c r="F740" s="18" t="s">
        <v>1109</v>
      </c>
      <c r="G740" s="19">
        <v>46225</v>
      </c>
      <c r="H740" s="18" t="s">
        <v>3790</v>
      </c>
      <c r="I740" s="18" t="s">
        <v>1110</v>
      </c>
      <c r="J740" s="18">
        <v>1146</v>
      </c>
      <c r="K740" s="18" t="s">
        <v>1111</v>
      </c>
      <c r="L740" s="18" t="s">
        <v>5860</v>
      </c>
      <c r="M740" s="19">
        <v>46225</v>
      </c>
      <c r="N740" s="18" t="s">
        <v>1112</v>
      </c>
      <c r="O740" s="18" t="s">
        <v>1117</v>
      </c>
      <c r="P740" s="18" t="s">
        <v>1118</v>
      </c>
      <c r="Q740" s="18" t="s">
        <v>1119</v>
      </c>
      <c r="R740" s="18" t="s">
        <v>1120</v>
      </c>
      <c r="S740" s="18">
        <v>760</v>
      </c>
      <c r="T740" s="18">
        <v>111332.4</v>
      </c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</row>
    <row r="741" spans="6:39" x14ac:dyDescent="0.35">
      <c r="F741" s="18" t="s">
        <v>1109</v>
      </c>
      <c r="G741" s="19">
        <v>46225</v>
      </c>
      <c r="H741" s="18" t="s">
        <v>3790</v>
      </c>
      <c r="I741" s="18" t="s">
        <v>1110</v>
      </c>
      <c r="J741" s="18">
        <v>1146</v>
      </c>
      <c r="K741" s="18" t="s">
        <v>1111</v>
      </c>
      <c r="L741" s="18" t="s">
        <v>5860</v>
      </c>
      <c r="M741" s="19">
        <v>46225</v>
      </c>
      <c r="N741" s="18" t="s">
        <v>1112</v>
      </c>
      <c r="O741" s="18" t="s">
        <v>1117</v>
      </c>
      <c r="P741" s="18" t="s">
        <v>1118</v>
      </c>
      <c r="Q741" s="18" t="s">
        <v>1119</v>
      </c>
      <c r="R741" s="18" t="s">
        <v>1120</v>
      </c>
      <c r="S741" s="18">
        <v>5288</v>
      </c>
      <c r="T741" s="18">
        <v>764063.12</v>
      </c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</row>
    <row r="742" spans="6:39" x14ac:dyDescent="0.35">
      <c r="F742" s="18" t="s">
        <v>1109</v>
      </c>
      <c r="G742" s="19">
        <v>46225</v>
      </c>
      <c r="H742" s="18" t="s">
        <v>3790</v>
      </c>
      <c r="I742" s="18" t="s">
        <v>1110</v>
      </c>
      <c r="J742" s="18">
        <v>1146</v>
      </c>
      <c r="K742" s="18" t="s">
        <v>1111</v>
      </c>
      <c r="L742" s="18" t="s">
        <v>5860</v>
      </c>
      <c r="M742" s="19">
        <v>46225</v>
      </c>
      <c r="N742" s="18" t="s">
        <v>1112</v>
      </c>
      <c r="O742" s="18" t="s">
        <v>1117</v>
      </c>
      <c r="P742" s="18" t="s">
        <v>1118</v>
      </c>
      <c r="Q742" s="18" t="s">
        <v>1119</v>
      </c>
      <c r="R742" s="18" t="s">
        <v>1120</v>
      </c>
      <c r="S742" s="18">
        <v>318</v>
      </c>
      <c r="T742" s="18">
        <v>46901.82</v>
      </c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</row>
    <row r="743" spans="6:39" x14ac:dyDescent="0.35">
      <c r="F743" s="18" t="s">
        <v>1109</v>
      </c>
      <c r="G743" s="19">
        <v>46225</v>
      </c>
      <c r="H743" s="18" t="s">
        <v>3790</v>
      </c>
      <c r="I743" s="18" t="s">
        <v>1110</v>
      </c>
      <c r="J743" s="18">
        <v>1146</v>
      </c>
      <c r="K743" s="18" t="s">
        <v>1111</v>
      </c>
      <c r="L743" s="18" t="s">
        <v>5860</v>
      </c>
      <c r="M743" s="19">
        <v>46225</v>
      </c>
      <c r="N743" s="18" t="s">
        <v>1112</v>
      </c>
      <c r="O743" s="18" t="s">
        <v>1117</v>
      </c>
      <c r="P743" s="18" t="s">
        <v>1138</v>
      </c>
      <c r="Q743" s="18" t="s">
        <v>1139</v>
      </c>
      <c r="R743" s="18" t="s">
        <v>1140</v>
      </c>
      <c r="S743" s="18">
        <v>1345</v>
      </c>
      <c r="T743" s="18">
        <v>203754.05</v>
      </c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</row>
    <row r="744" spans="6:39" x14ac:dyDescent="0.35">
      <c r="F744" s="18" t="s">
        <v>1109</v>
      </c>
      <c r="G744" s="19">
        <v>46225</v>
      </c>
      <c r="H744" s="18" t="s">
        <v>3790</v>
      </c>
      <c r="I744" s="18" t="s">
        <v>1110</v>
      </c>
      <c r="J744" s="18">
        <v>1147</v>
      </c>
      <c r="K744" s="18" t="s">
        <v>1111</v>
      </c>
      <c r="L744" s="18" t="s">
        <v>5861</v>
      </c>
      <c r="M744" s="19">
        <v>46225</v>
      </c>
      <c r="N744" s="18" t="s">
        <v>1112</v>
      </c>
      <c r="O744" s="18" t="s">
        <v>1131</v>
      </c>
      <c r="P744" s="18" t="s">
        <v>1132</v>
      </c>
      <c r="Q744" s="18" t="s">
        <v>1132</v>
      </c>
      <c r="R744" s="18" t="s">
        <v>1131</v>
      </c>
      <c r="S744" s="18">
        <v>167</v>
      </c>
      <c r="T744" s="18">
        <v>28471.83</v>
      </c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</row>
    <row r="745" spans="6:39" x14ac:dyDescent="0.35">
      <c r="F745" s="18" t="s">
        <v>1109</v>
      </c>
      <c r="G745" s="19">
        <v>46225</v>
      </c>
      <c r="H745" s="18" t="s">
        <v>3790</v>
      </c>
      <c r="I745" s="18" t="s">
        <v>1110</v>
      </c>
      <c r="J745" s="18">
        <v>1147</v>
      </c>
      <c r="K745" s="18" t="s">
        <v>1111</v>
      </c>
      <c r="L745" s="18" t="s">
        <v>5861</v>
      </c>
      <c r="M745" s="19">
        <v>46225</v>
      </c>
      <c r="N745" s="18" t="s">
        <v>1112</v>
      </c>
      <c r="O745" s="18" t="s">
        <v>1131</v>
      </c>
      <c r="P745" s="18" t="s">
        <v>1132</v>
      </c>
      <c r="Q745" s="18" t="s">
        <v>1132</v>
      </c>
      <c r="R745" s="18" t="s">
        <v>1131</v>
      </c>
      <c r="S745" s="18">
        <v>377.2</v>
      </c>
      <c r="T745" s="18">
        <v>56387.63</v>
      </c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</row>
    <row r="746" spans="6:39" x14ac:dyDescent="0.35">
      <c r="F746" s="18" t="s">
        <v>1109</v>
      </c>
      <c r="G746" s="19">
        <v>46225</v>
      </c>
      <c r="H746" s="18" t="s">
        <v>3790</v>
      </c>
      <c r="I746" s="18" t="s">
        <v>1110</v>
      </c>
      <c r="J746" s="18">
        <v>1147</v>
      </c>
      <c r="K746" s="18" t="s">
        <v>1111</v>
      </c>
      <c r="L746" s="18" t="s">
        <v>5861</v>
      </c>
      <c r="M746" s="19">
        <v>46225</v>
      </c>
      <c r="N746" s="18" t="s">
        <v>1112</v>
      </c>
      <c r="O746" s="18" t="s">
        <v>1131</v>
      </c>
      <c r="P746" s="18" t="s">
        <v>1132</v>
      </c>
      <c r="Q746" s="18" t="s">
        <v>1132</v>
      </c>
      <c r="R746" s="18" t="s">
        <v>1131</v>
      </c>
      <c r="S746" s="18">
        <v>515.29999999999995</v>
      </c>
      <c r="T746" s="18">
        <v>75486.3</v>
      </c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</row>
    <row r="747" spans="6:39" x14ac:dyDescent="0.35">
      <c r="F747" s="18" t="s">
        <v>1109</v>
      </c>
      <c r="G747" s="19">
        <v>46225</v>
      </c>
      <c r="H747" s="18" t="s">
        <v>3790</v>
      </c>
      <c r="I747" s="18" t="s">
        <v>1110</v>
      </c>
      <c r="J747" s="18">
        <v>1147</v>
      </c>
      <c r="K747" s="18" t="s">
        <v>1111</v>
      </c>
      <c r="L747" s="18" t="s">
        <v>5861</v>
      </c>
      <c r="M747" s="19">
        <v>46225</v>
      </c>
      <c r="N747" s="18" t="s">
        <v>1112</v>
      </c>
      <c r="O747" s="18" t="s">
        <v>1127</v>
      </c>
      <c r="P747" s="18" t="s">
        <v>1128</v>
      </c>
      <c r="Q747" s="18" t="s">
        <v>1129</v>
      </c>
      <c r="R747" s="18" t="s">
        <v>1130</v>
      </c>
      <c r="S747" s="18">
        <v>2186</v>
      </c>
      <c r="T747" s="18">
        <v>399557.08</v>
      </c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</row>
    <row r="748" spans="6:39" x14ac:dyDescent="0.35">
      <c r="F748" s="18" t="s">
        <v>1109</v>
      </c>
      <c r="G748" s="19">
        <v>46225</v>
      </c>
      <c r="H748" s="18" t="s">
        <v>3790</v>
      </c>
      <c r="I748" s="18" t="s">
        <v>1110</v>
      </c>
      <c r="J748" s="18">
        <v>1147</v>
      </c>
      <c r="K748" s="18" t="s">
        <v>1111</v>
      </c>
      <c r="L748" s="18" t="s">
        <v>5861</v>
      </c>
      <c r="M748" s="19">
        <v>46225</v>
      </c>
      <c r="N748" s="18" t="s">
        <v>1112</v>
      </c>
      <c r="O748" s="18" t="s">
        <v>1127</v>
      </c>
      <c r="P748" s="18" t="s">
        <v>1128</v>
      </c>
      <c r="Q748" s="18" t="s">
        <v>1129</v>
      </c>
      <c r="R748" s="18" t="s">
        <v>1130</v>
      </c>
      <c r="S748" s="18">
        <v>588</v>
      </c>
      <c r="T748" s="18">
        <v>109826.64</v>
      </c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</row>
    <row r="749" spans="6:39" x14ac:dyDescent="0.35">
      <c r="F749" s="18" t="s">
        <v>1109</v>
      </c>
      <c r="G749" s="19">
        <v>46225</v>
      </c>
      <c r="H749" s="18" t="s">
        <v>3790</v>
      </c>
      <c r="I749" s="18" t="s">
        <v>1110</v>
      </c>
      <c r="J749" s="18">
        <v>1147</v>
      </c>
      <c r="K749" s="18" t="s">
        <v>1111</v>
      </c>
      <c r="L749" s="18" t="s">
        <v>5861</v>
      </c>
      <c r="M749" s="19">
        <v>46225</v>
      </c>
      <c r="N749" s="18" t="s">
        <v>1112</v>
      </c>
      <c r="O749" s="18" t="s">
        <v>1117</v>
      </c>
      <c r="P749" s="18" t="s">
        <v>1118</v>
      </c>
      <c r="Q749" s="18" t="s">
        <v>1119</v>
      </c>
      <c r="R749" s="18" t="s">
        <v>1120</v>
      </c>
      <c r="S749" s="18">
        <v>215</v>
      </c>
      <c r="T749" s="18">
        <v>31710.35</v>
      </c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</row>
    <row r="750" spans="6:39" x14ac:dyDescent="0.35">
      <c r="F750" s="18" t="s">
        <v>1109</v>
      </c>
      <c r="G750" s="19">
        <v>46225</v>
      </c>
      <c r="H750" s="18" t="s">
        <v>3790</v>
      </c>
      <c r="I750" s="18" t="s">
        <v>1110</v>
      </c>
      <c r="J750" s="18">
        <v>1147</v>
      </c>
      <c r="K750" s="18" t="s">
        <v>1111</v>
      </c>
      <c r="L750" s="18" t="s">
        <v>5861</v>
      </c>
      <c r="M750" s="19">
        <v>46225</v>
      </c>
      <c r="N750" s="18" t="s">
        <v>1112</v>
      </c>
      <c r="O750" s="18" t="s">
        <v>1117</v>
      </c>
      <c r="P750" s="18" t="s">
        <v>1118</v>
      </c>
      <c r="Q750" s="18" t="s">
        <v>1119</v>
      </c>
      <c r="R750" s="18" t="s">
        <v>1120</v>
      </c>
      <c r="S750" s="18">
        <v>3002</v>
      </c>
      <c r="T750" s="18">
        <v>433758.98</v>
      </c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</row>
    <row r="751" spans="6:39" x14ac:dyDescent="0.35">
      <c r="F751" s="18" t="s">
        <v>1109</v>
      </c>
      <c r="G751" s="19">
        <v>46225</v>
      </c>
      <c r="H751" s="18" t="s">
        <v>3790</v>
      </c>
      <c r="I751" s="18" t="s">
        <v>1110</v>
      </c>
      <c r="J751" s="18">
        <v>1147</v>
      </c>
      <c r="K751" s="18" t="s">
        <v>1111</v>
      </c>
      <c r="L751" s="18" t="s">
        <v>5861</v>
      </c>
      <c r="M751" s="19">
        <v>46225</v>
      </c>
      <c r="N751" s="18" t="s">
        <v>1112</v>
      </c>
      <c r="O751" s="18" t="s">
        <v>1117</v>
      </c>
      <c r="P751" s="18" t="s">
        <v>1118</v>
      </c>
      <c r="Q751" s="18" t="s">
        <v>1119</v>
      </c>
      <c r="R751" s="18" t="s">
        <v>1120</v>
      </c>
      <c r="S751" s="18">
        <v>633</v>
      </c>
      <c r="T751" s="18">
        <v>92728.17</v>
      </c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</row>
    <row r="752" spans="6:39" x14ac:dyDescent="0.35">
      <c r="F752" s="18" t="s">
        <v>1109</v>
      </c>
      <c r="G752" s="19">
        <v>46225</v>
      </c>
      <c r="H752" s="18" t="s">
        <v>3790</v>
      </c>
      <c r="I752" s="18" t="s">
        <v>1110</v>
      </c>
      <c r="J752" s="18">
        <v>1148</v>
      </c>
      <c r="K752" s="18" t="s">
        <v>1121</v>
      </c>
      <c r="L752" s="18" t="s">
        <v>5862</v>
      </c>
      <c r="M752" s="19">
        <v>46225</v>
      </c>
      <c r="N752" s="18" t="s">
        <v>1122</v>
      </c>
      <c r="O752" s="18" t="s">
        <v>1123</v>
      </c>
      <c r="P752" s="18" t="s">
        <v>1124</v>
      </c>
      <c r="Q752" s="18" t="s">
        <v>1125</v>
      </c>
      <c r="R752" s="18" t="s">
        <v>1126</v>
      </c>
      <c r="S752" s="18">
        <v>357</v>
      </c>
      <c r="T752" s="18">
        <v>17136</v>
      </c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</row>
    <row r="753" spans="6:39" x14ac:dyDescent="0.35">
      <c r="F753" s="18" t="s">
        <v>1109</v>
      </c>
      <c r="G753" s="19">
        <v>46225</v>
      </c>
      <c r="H753" s="18" t="s">
        <v>3790</v>
      </c>
      <c r="I753" s="18" t="s">
        <v>1110</v>
      </c>
      <c r="J753" s="18">
        <v>1149</v>
      </c>
      <c r="K753" s="18" t="s">
        <v>1111</v>
      </c>
      <c r="L753" s="18" t="s">
        <v>5863</v>
      </c>
      <c r="M753" s="19">
        <v>46225</v>
      </c>
      <c r="N753" s="18" t="s">
        <v>1112</v>
      </c>
      <c r="O753" s="18" t="s">
        <v>1117</v>
      </c>
      <c r="P753" s="18" t="s">
        <v>1118</v>
      </c>
      <c r="Q753" s="18" t="s">
        <v>1119</v>
      </c>
      <c r="R753" s="18" t="s">
        <v>1120</v>
      </c>
      <c r="S753" s="18">
        <v>1220</v>
      </c>
      <c r="T753" s="18">
        <v>176277.8</v>
      </c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</row>
    <row r="754" spans="6:39" x14ac:dyDescent="0.35">
      <c r="F754" s="18" t="s">
        <v>1109</v>
      </c>
      <c r="G754" s="19">
        <v>46225</v>
      </c>
      <c r="H754" s="18" t="s">
        <v>3790</v>
      </c>
      <c r="I754" s="18" t="s">
        <v>1110</v>
      </c>
      <c r="J754" s="18">
        <v>1155</v>
      </c>
      <c r="K754" s="18" t="s">
        <v>1111</v>
      </c>
      <c r="L754" s="18" t="s">
        <v>5864</v>
      </c>
      <c r="M754" s="19">
        <v>46225</v>
      </c>
      <c r="N754" s="18" t="s">
        <v>1112</v>
      </c>
      <c r="O754" s="18" t="s">
        <v>1117</v>
      </c>
      <c r="P754" s="18" t="s">
        <v>1118</v>
      </c>
      <c r="Q754" s="18" t="s">
        <v>1119</v>
      </c>
      <c r="R754" s="18" t="s">
        <v>1120</v>
      </c>
      <c r="S754" s="18">
        <v>2652</v>
      </c>
      <c r="T754" s="18">
        <v>388491.48</v>
      </c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</row>
    <row r="755" spans="6:39" x14ac:dyDescent="0.35">
      <c r="F755" s="18" t="s">
        <v>1109</v>
      </c>
      <c r="G755" s="19">
        <v>46225</v>
      </c>
      <c r="H755" s="18" t="s">
        <v>1135</v>
      </c>
      <c r="I755" s="18" t="s">
        <v>1136</v>
      </c>
      <c r="J755" s="18" t="s">
        <v>5865</v>
      </c>
      <c r="K755" s="18" t="s">
        <v>1137</v>
      </c>
      <c r="L755" s="18" t="s">
        <v>5865</v>
      </c>
      <c r="M755" s="19">
        <v>46225</v>
      </c>
      <c r="N755" s="18" t="s">
        <v>1112</v>
      </c>
      <c r="O755" s="18" t="s">
        <v>1127</v>
      </c>
      <c r="P755" s="18" t="s">
        <v>1128</v>
      </c>
      <c r="Q755" s="18" t="s">
        <v>1129</v>
      </c>
      <c r="R755" s="18" t="s">
        <v>1130</v>
      </c>
      <c r="S755" s="18">
        <v>382</v>
      </c>
      <c r="T755" s="18">
        <v>66698.225000000006</v>
      </c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</row>
    <row r="756" spans="6:39" x14ac:dyDescent="0.35">
      <c r="F756" s="18" t="s">
        <v>1109</v>
      </c>
      <c r="G756" s="19">
        <v>46225</v>
      </c>
      <c r="H756" s="18" t="s">
        <v>1135</v>
      </c>
      <c r="I756" s="18" t="s">
        <v>1136</v>
      </c>
      <c r="J756" s="18" t="s">
        <v>5866</v>
      </c>
      <c r="K756" s="18" t="s">
        <v>1137</v>
      </c>
      <c r="L756" s="18" t="s">
        <v>5866</v>
      </c>
      <c r="M756" s="19">
        <v>46225</v>
      </c>
      <c r="N756" s="18" t="s">
        <v>1112</v>
      </c>
      <c r="O756" s="18" t="s">
        <v>1117</v>
      </c>
      <c r="P756" s="18" t="s">
        <v>1138</v>
      </c>
      <c r="Q756" s="18" t="s">
        <v>1139</v>
      </c>
      <c r="R756" s="18" t="s">
        <v>1140</v>
      </c>
      <c r="S756" s="18">
        <v>2479</v>
      </c>
      <c r="T756" s="18">
        <v>352037.78500000003</v>
      </c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</row>
    <row r="757" spans="6:39" x14ac:dyDescent="0.35">
      <c r="F757" s="18" t="s">
        <v>1109</v>
      </c>
      <c r="G757" s="19">
        <v>46225</v>
      </c>
      <c r="H757" s="18" t="s">
        <v>5663</v>
      </c>
      <c r="I757" s="18" t="s">
        <v>1110</v>
      </c>
      <c r="J757" s="18">
        <v>1152</v>
      </c>
      <c r="K757" s="18" t="s">
        <v>1165</v>
      </c>
      <c r="L757" s="18" t="s">
        <v>5867</v>
      </c>
      <c r="M757" s="19">
        <v>46225</v>
      </c>
      <c r="N757" s="18" t="s">
        <v>5665</v>
      </c>
      <c r="O757" s="18" t="s">
        <v>1166</v>
      </c>
      <c r="P757" s="18" t="s">
        <v>5666</v>
      </c>
      <c r="Q757" s="18" t="s">
        <v>5667</v>
      </c>
      <c r="R757" s="18" t="s">
        <v>5668</v>
      </c>
      <c r="S757" s="18">
        <v>2020</v>
      </c>
      <c r="T757" s="18">
        <v>8080</v>
      </c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</row>
    <row r="758" spans="6:39" x14ac:dyDescent="0.35">
      <c r="F758" s="18" t="s">
        <v>1109</v>
      </c>
      <c r="G758" s="19">
        <v>46225</v>
      </c>
      <c r="H758" s="18" t="s">
        <v>814</v>
      </c>
      <c r="I758" s="18" t="s">
        <v>1150</v>
      </c>
      <c r="J758" s="18" t="s">
        <v>5325</v>
      </c>
      <c r="K758" s="18" t="s">
        <v>3850</v>
      </c>
      <c r="L758" s="18" t="s">
        <v>5325</v>
      </c>
      <c r="M758" s="19">
        <v>46225</v>
      </c>
      <c r="N758" s="18" t="s">
        <v>1133</v>
      </c>
      <c r="O758" s="18" t="s">
        <v>1134</v>
      </c>
      <c r="P758" s="18" t="s">
        <v>1141</v>
      </c>
      <c r="Q758" s="18" t="s">
        <v>1142</v>
      </c>
      <c r="R758" s="18" t="s">
        <v>5695</v>
      </c>
      <c r="S758" s="18">
        <v>400</v>
      </c>
      <c r="T758" s="18">
        <v>54532.4</v>
      </c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</row>
    <row r="759" spans="6:39" x14ac:dyDescent="0.35">
      <c r="F759" s="18" t="s">
        <v>1109</v>
      </c>
      <c r="G759" s="19">
        <v>46225</v>
      </c>
      <c r="H759" s="18" t="s">
        <v>125</v>
      </c>
      <c r="I759" s="18" t="s">
        <v>1110</v>
      </c>
      <c r="J759" s="18">
        <v>1150</v>
      </c>
      <c r="K759" s="18" t="s">
        <v>1121</v>
      </c>
      <c r="L759" s="18" t="s">
        <v>5526</v>
      </c>
      <c r="M759" s="19">
        <v>46225</v>
      </c>
      <c r="N759" s="18" t="s">
        <v>1122</v>
      </c>
      <c r="O759" s="18" t="s">
        <v>1123</v>
      </c>
      <c r="P759" s="18" t="s">
        <v>1124</v>
      </c>
      <c r="Q759" s="18" t="s">
        <v>1125</v>
      </c>
      <c r="R759" s="18" t="s">
        <v>1126</v>
      </c>
      <c r="S759" s="18">
        <v>32</v>
      </c>
      <c r="T759" s="18">
        <v>1536</v>
      </c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</row>
    <row r="760" spans="6:39" x14ac:dyDescent="0.35">
      <c r="F760" s="18" t="s">
        <v>1109</v>
      </c>
      <c r="G760" s="19">
        <v>46225</v>
      </c>
      <c r="H760" s="18" t="s">
        <v>125</v>
      </c>
      <c r="I760" s="18" t="s">
        <v>1110</v>
      </c>
      <c r="J760" s="18">
        <v>1151</v>
      </c>
      <c r="K760" s="18" t="s">
        <v>1111</v>
      </c>
      <c r="L760" s="18" t="s">
        <v>5527</v>
      </c>
      <c r="M760" s="19">
        <v>46225</v>
      </c>
      <c r="N760" s="18" t="s">
        <v>1112</v>
      </c>
      <c r="O760" s="18" t="s">
        <v>1131</v>
      </c>
      <c r="P760" s="18" t="s">
        <v>1132</v>
      </c>
      <c r="Q760" s="18" t="s">
        <v>1132</v>
      </c>
      <c r="R760" s="18" t="s">
        <v>1131</v>
      </c>
      <c r="S760" s="18">
        <v>1253.5999999999999</v>
      </c>
      <c r="T760" s="18">
        <v>187400.66</v>
      </c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</row>
    <row r="761" spans="6:39" x14ac:dyDescent="0.35">
      <c r="F761" s="18" t="s">
        <v>1109</v>
      </c>
      <c r="G761" s="19">
        <v>46225</v>
      </c>
      <c r="H761" s="18" t="s">
        <v>125</v>
      </c>
      <c r="I761" s="18" t="s">
        <v>1110</v>
      </c>
      <c r="J761" s="18">
        <v>1151</v>
      </c>
      <c r="K761" s="18" t="s">
        <v>1111</v>
      </c>
      <c r="L761" s="18" t="s">
        <v>5527</v>
      </c>
      <c r="M761" s="19">
        <v>46225</v>
      </c>
      <c r="N761" s="18" t="s">
        <v>1112</v>
      </c>
      <c r="O761" s="18" t="s">
        <v>1131</v>
      </c>
      <c r="P761" s="18" t="s">
        <v>1132</v>
      </c>
      <c r="Q761" s="18" t="s">
        <v>1132</v>
      </c>
      <c r="R761" s="18" t="s">
        <v>1131</v>
      </c>
      <c r="S761" s="18">
        <v>1165.3</v>
      </c>
      <c r="T761" s="18">
        <v>170704.8</v>
      </c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</row>
    <row r="762" spans="6:39" x14ac:dyDescent="0.35">
      <c r="F762" s="18" t="s">
        <v>1109</v>
      </c>
      <c r="G762" s="19">
        <v>46225</v>
      </c>
      <c r="H762" s="18" t="s">
        <v>125</v>
      </c>
      <c r="I762" s="18" t="s">
        <v>1110</v>
      </c>
      <c r="J762" s="18">
        <v>1151</v>
      </c>
      <c r="K762" s="18" t="s">
        <v>1111</v>
      </c>
      <c r="L762" s="18" t="s">
        <v>5527</v>
      </c>
      <c r="M762" s="19">
        <v>46225</v>
      </c>
      <c r="N762" s="18" t="s">
        <v>1112</v>
      </c>
      <c r="O762" s="18" t="s">
        <v>1117</v>
      </c>
      <c r="P762" s="18" t="s">
        <v>1118</v>
      </c>
      <c r="Q762" s="18" t="s">
        <v>1119</v>
      </c>
      <c r="R762" s="18" t="s">
        <v>1120</v>
      </c>
      <c r="S762" s="18">
        <v>1412</v>
      </c>
      <c r="T762" s="18">
        <v>211079.88</v>
      </c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</row>
    <row r="763" spans="6:39" x14ac:dyDescent="0.35">
      <c r="F763" s="18" t="s">
        <v>1109</v>
      </c>
      <c r="G763" s="19">
        <v>46225</v>
      </c>
      <c r="H763" s="18" t="s">
        <v>125</v>
      </c>
      <c r="I763" s="18" t="s">
        <v>1110</v>
      </c>
      <c r="J763" s="18">
        <v>1153</v>
      </c>
      <c r="K763" s="18" t="s">
        <v>1121</v>
      </c>
      <c r="L763" s="18" t="s">
        <v>5528</v>
      </c>
      <c r="M763" s="19">
        <v>46225</v>
      </c>
      <c r="N763" s="18" t="s">
        <v>1133</v>
      </c>
      <c r="O763" s="18" t="s">
        <v>1134</v>
      </c>
      <c r="P763" s="18" t="s">
        <v>1164</v>
      </c>
      <c r="Q763" s="18" t="s">
        <v>1157</v>
      </c>
      <c r="R763" s="18" t="s">
        <v>5007</v>
      </c>
      <c r="S763" s="18">
        <v>100</v>
      </c>
      <c r="T763" s="18">
        <v>15500</v>
      </c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</row>
    <row r="764" spans="6:39" x14ac:dyDescent="0.35">
      <c r="F764" s="18" t="s">
        <v>1109</v>
      </c>
      <c r="G764" s="19">
        <v>46225</v>
      </c>
      <c r="H764" s="18" t="s">
        <v>125</v>
      </c>
      <c r="I764" s="18" t="s">
        <v>1110</v>
      </c>
      <c r="J764" s="18">
        <v>1154</v>
      </c>
      <c r="K764" s="18" t="s">
        <v>1111</v>
      </c>
      <c r="L764" s="18" t="s">
        <v>5529</v>
      </c>
      <c r="M764" s="19">
        <v>46225</v>
      </c>
      <c r="N764" s="18" t="s">
        <v>1112</v>
      </c>
      <c r="O764" s="18" t="s">
        <v>1117</v>
      </c>
      <c r="P764" s="18" t="s">
        <v>1118</v>
      </c>
      <c r="Q764" s="18" t="s">
        <v>1119</v>
      </c>
      <c r="R764" s="18" t="s">
        <v>1120</v>
      </c>
      <c r="S764" s="18">
        <v>1026</v>
      </c>
      <c r="T764" s="18">
        <v>148246.74</v>
      </c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</row>
    <row r="765" spans="6:39" x14ac:dyDescent="0.35">
      <c r="F765" s="18" t="s">
        <v>1109</v>
      </c>
      <c r="G765" s="19">
        <v>46225</v>
      </c>
      <c r="H765" s="18" t="s">
        <v>125</v>
      </c>
      <c r="I765" s="18" t="s">
        <v>1110</v>
      </c>
      <c r="J765" s="18">
        <v>1154</v>
      </c>
      <c r="K765" s="18" t="s">
        <v>1111</v>
      </c>
      <c r="L765" s="18" t="s">
        <v>5529</v>
      </c>
      <c r="M765" s="19">
        <v>46225</v>
      </c>
      <c r="N765" s="18" t="s">
        <v>1112</v>
      </c>
      <c r="O765" s="18" t="s">
        <v>1131</v>
      </c>
      <c r="P765" s="18" t="s">
        <v>1132</v>
      </c>
      <c r="Q765" s="18" t="s">
        <v>1132</v>
      </c>
      <c r="R765" s="18" t="s">
        <v>1131</v>
      </c>
      <c r="S765" s="18">
        <v>494</v>
      </c>
      <c r="T765" s="18">
        <v>72366.06</v>
      </c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</row>
    <row r="766" spans="6:39" x14ac:dyDescent="0.35">
      <c r="F766" s="18" t="s">
        <v>1109</v>
      </c>
      <c r="G766" s="19">
        <v>46226</v>
      </c>
      <c r="H766" s="18" t="s">
        <v>1838</v>
      </c>
      <c r="I766" s="18" t="s">
        <v>1110</v>
      </c>
      <c r="J766" s="18">
        <v>1160</v>
      </c>
      <c r="K766" s="18" t="s">
        <v>1111</v>
      </c>
      <c r="L766" s="18" t="s">
        <v>5326</v>
      </c>
      <c r="M766" s="19">
        <v>46226</v>
      </c>
      <c r="N766" s="18" t="s">
        <v>1146</v>
      </c>
      <c r="O766" s="18" t="s">
        <v>1170</v>
      </c>
      <c r="P766" s="18" t="s">
        <v>1171</v>
      </c>
      <c r="Q766" s="18" t="s">
        <v>3759</v>
      </c>
      <c r="R766" s="18" t="s">
        <v>4741</v>
      </c>
      <c r="S766" s="18">
        <v>252.4</v>
      </c>
      <c r="T766" s="18">
        <v>66886</v>
      </c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</row>
    <row r="767" spans="6:39" x14ac:dyDescent="0.35">
      <c r="F767" s="18" t="s">
        <v>1109</v>
      </c>
      <c r="G767" s="19">
        <v>46226</v>
      </c>
      <c r="H767" s="18" t="s">
        <v>600</v>
      </c>
      <c r="I767" s="18" t="s">
        <v>1136</v>
      </c>
      <c r="J767" s="18" t="s">
        <v>5327</v>
      </c>
      <c r="K767" s="18" t="s">
        <v>2028</v>
      </c>
      <c r="L767" s="18" t="s">
        <v>5327</v>
      </c>
      <c r="M767" s="19">
        <v>46226</v>
      </c>
      <c r="N767" s="18" t="s">
        <v>1146</v>
      </c>
      <c r="O767" s="18" t="s">
        <v>1147</v>
      </c>
      <c r="P767" s="18" t="s">
        <v>1147</v>
      </c>
      <c r="Q767" s="18" t="s">
        <v>1148</v>
      </c>
      <c r="R767" s="18" t="s">
        <v>1149</v>
      </c>
      <c r="S767" s="18">
        <v>21759</v>
      </c>
      <c r="T767" s="18">
        <v>4910329.8</v>
      </c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</row>
    <row r="768" spans="6:39" x14ac:dyDescent="0.35">
      <c r="F768" s="18" t="s">
        <v>1109</v>
      </c>
      <c r="G768" s="19">
        <v>46226</v>
      </c>
      <c r="H768" s="18" t="s">
        <v>1159</v>
      </c>
      <c r="I768" s="18" t="s">
        <v>1110</v>
      </c>
      <c r="J768" s="18">
        <v>1164</v>
      </c>
      <c r="K768" s="18" t="s">
        <v>1121</v>
      </c>
      <c r="L768" s="18" t="s">
        <v>5868</v>
      </c>
      <c r="M768" s="19">
        <v>46226</v>
      </c>
      <c r="N768" s="18" t="s">
        <v>1122</v>
      </c>
      <c r="O768" s="18" t="s">
        <v>1123</v>
      </c>
      <c r="P768" s="18" t="s">
        <v>1124</v>
      </c>
      <c r="Q768" s="18" t="s">
        <v>1125</v>
      </c>
      <c r="R768" s="18" t="s">
        <v>1126</v>
      </c>
      <c r="S768" s="18">
        <v>102</v>
      </c>
      <c r="T768" s="18">
        <v>4896</v>
      </c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</row>
    <row r="769" spans="6:39" x14ac:dyDescent="0.35">
      <c r="F769" s="18" t="s">
        <v>1109</v>
      </c>
      <c r="G769" s="19">
        <v>46226</v>
      </c>
      <c r="H769" s="18" t="s">
        <v>3790</v>
      </c>
      <c r="I769" s="18" t="s">
        <v>1110</v>
      </c>
      <c r="J769" s="18">
        <v>1156</v>
      </c>
      <c r="K769" s="18" t="s">
        <v>1111</v>
      </c>
      <c r="L769" s="18" t="s">
        <v>5869</v>
      </c>
      <c r="M769" s="19">
        <v>46226</v>
      </c>
      <c r="N769" s="18" t="s">
        <v>1112</v>
      </c>
      <c r="O769" s="18" t="s">
        <v>1117</v>
      </c>
      <c r="P769" s="18" t="s">
        <v>1118</v>
      </c>
      <c r="Q769" s="18" t="s">
        <v>1119</v>
      </c>
      <c r="R769" s="18" t="s">
        <v>1120</v>
      </c>
      <c r="S769" s="18">
        <v>1171</v>
      </c>
      <c r="T769" s="18">
        <v>171539.79</v>
      </c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</row>
    <row r="770" spans="6:39" x14ac:dyDescent="0.35">
      <c r="F770" s="18" t="s">
        <v>1109</v>
      </c>
      <c r="G770" s="19">
        <v>46226</v>
      </c>
      <c r="H770" s="18" t="s">
        <v>3790</v>
      </c>
      <c r="I770" s="18" t="s">
        <v>1110</v>
      </c>
      <c r="J770" s="18">
        <v>1156</v>
      </c>
      <c r="K770" s="18" t="s">
        <v>1111</v>
      </c>
      <c r="L770" s="18" t="s">
        <v>5869</v>
      </c>
      <c r="M770" s="19">
        <v>46226</v>
      </c>
      <c r="N770" s="18" t="s">
        <v>1112</v>
      </c>
      <c r="O770" s="18" t="s">
        <v>1117</v>
      </c>
      <c r="P770" s="18" t="s">
        <v>1118</v>
      </c>
      <c r="Q770" s="18" t="s">
        <v>1119</v>
      </c>
      <c r="R770" s="18" t="s">
        <v>1120</v>
      </c>
      <c r="S770" s="18">
        <v>272</v>
      </c>
      <c r="T770" s="18">
        <v>40117.279999999999</v>
      </c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</row>
    <row r="771" spans="6:39" x14ac:dyDescent="0.35">
      <c r="F771" s="18" t="s">
        <v>1109</v>
      </c>
      <c r="G771" s="19">
        <v>46226</v>
      </c>
      <c r="H771" s="18" t="s">
        <v>3790</v>
      </c>
      <c r="I771" s="18" t="s">
        <v>1110</v>
      </c>
      <c r="J771" s="18">
        <v>1156</v>
      </c>
      <c r="K771" s="18" t="s">
        <v>1111</v>
      </c>
      <c r="L771" s="18" t="s">
        <v>5869</v>
      </c>
      <c r="M771" s="19">
        <v>46226</v>
      </c>
      <c r="N771" s="18" t="s">
        <v>1112</v>
      </c>
      <c r="O771" s="18" t="s">
        <v>1117</v>
      </c>
      <c r="P771" s="18" t="s">
        <v>1118</v>
      </c>
      <c r="Q771" s="18" t="s">
        <v>1119</v>
      </c>
      <c r="R771" s="18" t="s">
        <v>1120</v>
      </c>
      <c r="S771" s="18">
        <v>6034</v>
      </c>
      <c r="T771" s="18">
        <v>871852.66</v>
      </c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</row>
    <row r="772" spans="6:39" x14ac:dyDescent="0.35">
      <c r="F772" s="18" t="s">
        <v>1109</v>
      </c>
      <c r="G772" s="19">
        <v>46226</v>
      </c>
      <c r="H772" s="18" t="s">
        <v>3790</v>
      </c>
      <c r="I772" s="18" t="s">
        <v>1110</v>
      </c>
      <c r="J772" s="18">
        <v>1157</v>
      </c>
      <c r="K772" s="18" t="s">
        <v>1111</v>
      </c>
      <c r="L772" s="18" t="s">
        <v>5870</v>
      </c>
      <c r="M772" s="19">
        <v>46226</v>
      </c>
      <c r="N772" s="18" t="s">
        <v>1146</v>
      </c>
      <c r="O772" s="18" t="s">
        <v>1147</v>
      </c>
      <c r="P772" s="18" t="s">
        <v>1147</v>
      </c>
      <c r="Q772" s="18" t="s">
        <v>1148</v>
      </c>
      <c r="R772" s="18" t="s">
        <v>1149</v>
      </c>
      <c r="S772" s="18">
        <v>789</v>
      </c>
      <c r="T772" s="18">
        <v>150738.45000000001</v>
      </c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</row>
    <row r="773" spans="6:39" x14ac:dyDescent="0.35">
      <c r="F773" s="18" t="s">
        <v>1109</v>
      </c>
      <c r="G773" s="19">
        <v>46226</v>
      </c>
      <c r="H773" s="18" t="s">
        <v>3790</v>
      </c>
      <c r="I773" s="18" t="s">
        <v>1110</v>
      </c>
      <c r="J773" s="18">
        <v>1157</v>
      </c>
      <c r="K773" s="18" t="s">
        <v>1111</v>
      </c>
      <c r="L773" s="18" t="s">
        <v>5870</v>
      </c>
      <c r="M773" s="19">
        <v>46226</v>
      </c>
      <c r="N773" s="18" t="s">
        <v>1146</v>
      </c>
      <c r="O773" s="18" t="s">
        <v>1147</v>
      </c>
      <c r="P773" s="18" t="s">
        <v>1147</v>
      </c>
      <c r="Q773" s="18" t="s">
        <v>1148</v>
      </c>
      <c r="R773" s="18" t="s">
        <v>1149</v>
      </c>
      <c r="S773" s="18">
        <v>1180</v>
      </c>
      <c r="T773" s="18">
        <v>258113.2</v>
      </c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</row>
    <row r="774" spans="6:39" x14ac:dyDescent="0.35">
      <c r="F774" s="18" t="s">
        <v>1109</v>
      </c>
      <c r="G774" s="19">
        <v>46226</v>
      </c>
      <c r="H774" s="18" t="s">
        <v>3790</v>
      </c>
      <c r="I774" s="18" t="s">
        <v>1110</v>
      </c>
      <c r="J774" s="18">
        <v>1157</v>
      </c>
      <c r="K774" s="18" t="s">
        <v>1111</v>
      </c>
      <c r="L774" s="18" t="s">
        <v>5870</v>
      </c>
      <c r="M774" s="19">
        <v>46226</v>
      </c>
      <c r="N774" s="18" t="s">
        <v>1146</v>
      </c>
      <c r="O774" s="18" t="s">
        <v>1147</v>
      </c>
      <c r="P774" s="18" t="s">
        <v>1147</v>
      </c>
      <c r="Q774" s="18" t="s">
        <v>1148</v>
      </c>
      <c r="R774" s="18" t="s">
        <v>1149</v>
      </c>
      <c r="S774" s="18">
        <v>2767</v>
      </c>
      <c r="T774" s="18">
        <v>540588.79</v>
      </c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</row>
    <row r="775" spans="6:39" x14ac:dyDescent="0.35">
      <c r="F775" s="18" t="s">
        <v>1109</v>
      </c>
      <c r="G775" s="19">
        <v>46226</v>
      </c>
      <c r="H775" s="18" t="s">
        <v>3790</v>
      </c>
      <c r="I775" s="18" t="s">
        <v>1110</v>
      </c>
      <c r="J775" s="18">
        <v>1157</v>
      </c>
      <c r="K775" s="18" t="s">
        <v>1111</v>
      </c>
      <c r="L775" s="18" t="s">
        <v>5870</v>
      </c>
      <c r="M775" s="19">
        <v>46226</v>
      </c>
      <c r="N775" s="18" t="s">
        <v>1146</v>
      </c>
      <c r="O775" s="18" t="s">
        <v>1147</v>
      </c>
      <c r="P775" s="18" t="s">
        <v>1147</v>
      </c>
      <c r="Q775" s="18" t="s">
        <v>1148</v>
      </c>
      <c r="R775" s="18" t="s">
        <v>1149</v>
      </c>
      <c r="S775" s="18">
        <v>1183</v>
      </c>
      <c r="T775" s="18">
        <v>242526.83</v>
      </c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</row>
    <row r="776" spans="6:39" x14ac:dyDescent="0.35">
      <c r="F776" s="18" t="s">
        <v>1109</v>
      </c>
      <c r="G776" s="19">
        <v>46226</v>
      </c>
      <c r="H776" s="18" t="s">
        <v>3790</v>
      </c>
      <c r="I776" s="18" t="s">
        <v>1110</v>
      </c>
      <c r="J776" s="18">
        <v>1157</v>
      </c>
      <c r="K776" s="18" t="s">
        <v>1111</v>
      </c>
      <c r="L776" s="18" t="s">
        <v>5870</v>
      </c>
      <c r="M776" s="19">
        <v>46226</v>
      </c>
      <c r="N776" s="18" t="s">
        <v>1146</v>
      </c>
      <c r="O776" s="18" t="s">
        <v>1147</v>
      </c>
      <c r="P776" s="18" t="s">
        <v>1147</v>
      </c>
      <c r="Q776" s="18" t="s">
        <v>1148</v>
      </c>
      <c r="R776" s="18" t="s">
        <v>1149</v>
      </c>
      <c r="S776" s="18">
        <v>52</v>
      </c>
      <c r="T776" s="18">
        <v>9301.24</v>
      </c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</row>
    <row r="777" spans="6:39" x14ac:dyDescent="0.35">
      <c r="F777" s="18" t="s">
        <v>1109</v>
      </c>
      <c r="G777" s="19">
        <v>46226</v>
      </c>
      <c r="H777" s="18" t="s">
        <v>3790</v>
      </c>
      <c r="I777" s="18" t="s">
        <v>1110</v>
      </c>
      <c r="J777" s="18">
        <v>1158</v>
      </c>
      <c r="K777" s="18" t="s">
        <v>1121</v>
      </c>
      <c r="L777" s="18" t="s">
        <v>5871</v>
      </c>
      <c r="M777" s="19">
        <v>46226</v>
      </c>
      <c r="N777" s="18" t="s">
        <v>1122</v>
      </c>
      <c r="O777" s="18" t="s">
        <v>1123</v>
      </c>
      <c r="P777" s="18" t="s">
        <v>1124</v>
      </c>
      <c r="Q777" s="18" t="s">
        <v>1125</v>
      </c>
      <c r="R777" s="18" t="s">
        <v>1126</v>
      </c>
      <c r="S777" s="18">
        <v>314</v>
      </c>
      <c r="T777" s="18">
        <v>15072</v>
      </c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</row>
    <row r="778" spans="6:39" x14ac:dyDescent="0.35">
      <c r="F778" s="18" t="s">
        <v>1109</v>
      </c>
      <c r="G778" s="19">
        <v>46226</v>
      </c>
      <c r="H778" s="18" t="s">
        <v>3790</v>
      </c>
      <c r="I778" s="18" t="s">
        <v>1110</v>
      </c>
      <c r="J778" s="18">
        <v>1159</v>
      </c>
      <c r="K778" s="18" t="s">
        <v>1111</v>
      </c>
      <c r="L778" s="18" t="s">
        <v>5872</v>
      </c>
      <c r="M778" s="19">
        <v>46226</v>
      </c>
      <c r="N778" s="18" t="s">
        <v>1112</v>
      </c>
      <c r="O778" s="18" t="s">
        <v>1113</v>
      </c>
      <c r="P778" s="18" t="s">
        <v>1114</v>
      </c>
      <c r="Q778" s="18" t="s">
        <v>1115</v>
      </c>
      <c r="R778" s="18" t="s">
        <v>3793</v>
      </c>
      <c r="S778" s="18">
        <v>830.8</v>
      </c>
      <c r="T778" s="18">
        <v>132504.29</v>
      </c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</row>
    <row r="779" spans="6:39" x14ac:dyDescent="0.35">
      <c r="F779" s="18" t="s">
        <v>1109</v>
      </c>
      <c r="G779" s="19">
        <v>46226</v>
      </c>
      <c r="H779" s="18" t="s">
        <v>3790</v>
      </c>
      <c r="I779" s="18" t="s">
        <v>1110</v>
      </c>
      <c r="J779" s="18">
        <v>1159</v>
      </c>
      <c r="K779" s="18" t="s">
        <v>1111</v>
      </c>
      <c r="L779" s="18" t="s">
        <v>5872</v>
      </c>
      <c r="M779" s="19">
        <v>46226</v>
      </c>
      <c r="N779" s="18" t="s">
        <v>1112</v>
      </c>
      <c r="O779" s="18" t="s">
        <v>1117</v>
      </c>
      <c r="P779" s="18" t="s">
        <v>1118</v>
      </c>
      <c r="Q779" s="18" t="s">
        <v>1119</v>
      </c>
      <c r="R779" s="18" t="s">
        <v>1120</v>
      </c>
      <c r="S779" s="18">
        <v>1638</v>
      </c>
      <c r="T779" s="18">
        <v>236674.62</v>
      </c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</row>
    <row r="780" spans="6:39" x14ac:dyDescent="0.35">
      <c r="F780" s="18" t="s">
        <v>1109</v>
      </c>
      <c r="G780" s="19">
        <v>46226</v>
      </c>
      <c r="H780" s="18" t="s">
        <v>3790</v>
      </c>
      <c r="I780" s="18" t="s">
        <v>1110</v>
      </c>
      <c r="J780" s="18">
        <v>1159</v>
      </c>
      <c r="K780" s="18" t="s">
        <v>1111</v>
      </c>
      <c r="L780" s="18" t="s">
        <v>5872</v>
      </c>
      <c r="M780" s="19">
        <v>46226</v>
      </c>
      <c r="N780" s="18" t="s">
        <v>1112</v>
      </c>
      <c r="O780" s="18" t="s">
        <v>1113</v>
      </c>
      <c r="P780" s="18" t="s">
        <v>1114</v>
      </c>
      <c r="Q780" s="18" t="s">
        <v>1115</v>
      </c>
      <c r="R780" s="18" t="s">
        <v>1161</v>
      </c>
      <c r="S780" s="18">
        <v>754.7</v>
      </c>
      <c r="T780" s="18">
        <v>118103</v>
      </c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</row>
    <row r="781" spans="6:39" x14ac:dyDescent="0.35">
      <c r="F781" s="18" t="s">
        <v>1109</v>
      </c>
      <c r="G781" s="19">
        <v>46226</v>
      </c>
      <c r="H781" s="18" t="s">
        <v>3790</v>
      </c>
      <c r="I781" s="18" t="s">
        <v>1110</v>
      </c>
      <c r="J781" s="18">
        <v>1159</v>
      </c>
      <c r="K781" s="18" t="s">
        <v>1111</v>
      </c>
      <c r="L781" s="18" t="s">
        <v>5872</v>
      </c>
      <c r="M781" s="19">
        <v>46226</v>
      </c>
      <c r="N781" s="18" t="s">
        <v>1112</v>
      </c>
      <c r="O781" s="18" t="s">
        <v>1117</v>
      </c>
      <c r="P781" s="18" t="s">
        <v>1138</v>
      </c>
      <c r="Q781" s="18" t="s">
        <v>1139</v>
      </c>
      <c r="R781" s="18" t="s">
        <v>1140</v>
      </c>
      <c r="S781" s="18">
        <v>268</v>
      </c>
      <c r="T781" s="18">
        <v>39795.32</v>
      </c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</row>
    <row r="782" spans="6:39" x14ac:dyDescent="0.35">
      <c r="F782" s="18" t="s">
        <v>1109</v>
      </c>
      <c r="G782" s="19">
        <v>46226</v>
      </c>
      <c r="H782" s="18" t="s">
        <v>3790</v>
      </c>
      <c r="I782" s="18" t="s">
        <v>1110</v>
      </c>
      <c r="J782" s="18">
        <v>1159</v>
      </c>
      <c r="K782" s="18" t="s">
        <v>1111</v>
      </c>
      <c r="L782" s="18" t="s">
        <v>5872</v>
      </c>
      <c r="M782" s="19">
        <v>46226</v>
      </c>
      <c r="N782" s="18" t="s">
        <v>1112</v>
      </c>
      <c r="O782" s="18" t="s">
        <v>1131</v>
      </c>
      <c r="P782" s="18" t="s">
        <v>1132</v>
      </c>
      <c r="Q782" s="18" t="s">
        <v>1132</v>
      </c>
      <c r="R782" s="18" t="s">
        <v>1131</v>
      </c>
      <c r="S782" s="18">
        <v>163.4</v>
      </c>
      <c r="T782" s="18">
        <v>27858.07</v>
      </c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</row>
    <row r="783" spans="6:39" x14ac:dyDescent="0.35">
      <c r="F783" s="18" t="s">
        <v>1109</v>
      </c>
      <c r="G783" s="19">
        <v>46226</v>
      </c>
      <c r="H783" s="18" t="s">
        <v>3790</v>
      </c>
      <c r="I783" s="18" t="s">
        <v>1110</v>
      </c>
      <c r="J783" s="18">
        <v>1159</v>
      </c>
      <c r="K783" s="18" t="s">
        <v>1111</v>
      </c>
      <c r="L783" s="18" t="s">
        <v>5872</v>
      </c>
      <c r="M783" s="19">
        <v>46226</v>
      </c>
      <c r="N783" s="18" t="s">
        <v>1112</v>
      </c>
      <c r="O783" s="18" t="s">
        <v>1131</v>
      </c>
      <c r="P783" s="18" t="s">
        <v>1132</v>
      </c>
      <c r="Q783" s="18" t="s">
        <v>1132</v>
      </c>
      <c r="R783" s="18" t="s">
        <v>1131</v>
      </c>
      <c r="S783" s="18">
        <v>391.7</v>
      </c>
      <c r="T783" s="18">
        <v>58555.23</v>
      </c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</row>
    <row r="784" spans="6:39" x14ac:dyDescent="0.35">
      <c r="F784" s="18" t="s">
        <v>1109</v>
      </c>
      <c r="G784" s="19">
        <v>46226</v>
      </c>
      <c r="H784" s="18" t="s">
        <v>3790</v>
      </c>
      <c r="I784" s="18" t="s">
        <v>1110</v>
      </c>
      <c r="J784" s="18">
        <v>1159</v>
      </c>
      <c r="K784" s="18" t="s">
        <v>1111</v>
      </c>
      <c r="L784" s="18" t="s">
        <v>5872</v>
      </c>
      <c r="M784" s="19">
        <v>46226</v>
      </c>
      <c r="N784" s="18" t="s">
        <v>1112</v>
      </c>
      <c r="O784" s="18" t="s">
        <v>1131</v>
      </c>
      <c r="P784" s="18" t="s">
        <v>1132</v>
      </c>
      <c r="Q784" s="18" t="s">
        <v>1132</v>
      </c>
      <c r="R784" s="18" t="s">
        <v>1131</v>
      </c>
      <c r="S784" s="18">
        <v>568</v>
      </c>
      <c r="T784" s="18">
        <v>83206.320000000007</v>
      </c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</row>
    <row r="785" spans="6:39" x14ac:dyDescent="0.35">
      <c r="F785" s="18" t="s">
        <v>1109</v>
      </c>
      <c r="G785" s="19">
        <v>46226</v>
      </c>
      <c r="H785" s="18" t="s">
        <v>1135</v>
      </c>
      <c r="I785" s="18" t="s">
        <v>1136</v>
      </c>
      <c r="J785" s="18" t="s">
        <v>5873</v>
      </c>
      <c r="K785" s="18" t="s">
        <v>1137</v>
      </c>
      <c r="L785" s="18" t="s">
        <v>5873</v>
      </c>
      <c r="M785" s="19">
        <v>46226</v>
      </c>
      <c r="N785" s="18" t="s">
        <v>1146</v>
      </c>
      <c r="O785" s="18" t="s">
        <v>1147</v>
      </c>
      <c r="P785" s="18" t="s">
        <v>1147</v>
      </c>
      <c r="Q785" s="18" t="s">
        <v>1148</v>
      </c>
      <c r="R785" s="18" t="s">
        <v>1149</v>
      </c>
      <c r="S785" s="18">
        <v>465</v>
      </c>
      <c r="T785" s="18">
        <v>116250.42</v>
      </c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</row>
    <row r="786" spans="6:39" x14ac:dyDescent="0.35">
      <c r="F786" s="18" t="s">
        <v>1109</v>
      </c>
      <c r="G786" s="19">
        <v>46226</v>
      </c>
      <c r="H786" s="18" t="s">
        <v>1135</v>
      </c>
      <c r="I786" s="18" t="s">
        <v>1136</v>
      </c>
      <c r="J786" s="18" t="s">
        <v>5873</v>
      </c>
      <c r="K786" s="18" t="s">
        <v>1137</v>
      </c>
      <c r="L786" s="18" t="s">
        <v>5873</v>
      </c>
      <c r="M786" s="19">
        <v>46226</v>
      </c>
      <c r="N786" s="18" t="s">
        <v>1146</v>
      </c>
      <c r="O786" s="18" t="s">
        <v>1147</v>
      </c>
      <c r="P786" s="18" t="s">
        <v>1147</v>
      </c>
      <c r="Q786" s="18" t="s">
        <v>1148</v>
      </c>
      <c r="R786" s="18" t="s">
        <v>1169</v>
      </c>
      <c r="S786" s="18">
        <v>5314.8</v>
      </c>
      <c r="T786" s="18">
        <v>1328701.385</v>
      </c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</row>
    <row r="787" spans="6:39" x14ac:dyDescent="0.35">
      <c r="F787" s="18" t="s">
        <v>1109</v>
      </c>
      <c r="G787" s="19">
        <v>46226</v>
      </c>
      <c r="H787" s="18" t="s">
        <v>485</v>
      </c>
      <c r="I787" s="18" t="s">
        <v>1110</v>
      </c>
      <c r="J787" s="18">
        <v>1161</v>
      </c>
      <c r="K787" s="18" t="s">
        <v>1121</v>
      </c>
      <c r="L787" s="18" t="s">
        <v>5874</v>
      </c>
      <c r="M787" s="19">
        <v>46226</v>
      </c>
      <c r="N787" s="18" t="s">
        <v>1122</v>
      </c>
      <c r="O787" s="18" t="s">
        <v>1123</v>
      </c>
      <c r="P787" s="18" t="s">
        <v>1124</v>
      </c>
      <c r="Q787" s="18" t="s">
        <v>1125</v>
      </c>
      <c r="R787" s="18" t="s">
        <v>1126</v>
      </c>
      <c r="S787" s="18">
        <v>304</v>
      </c>
      <c r="T787" s="18">
        <v>14592</v>
      </c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</row>
    <row r="788" spans="6:39" x14ac:dyDescent="0.35">
      <c r="F788" s="18" t="s">
        <v>1109</v>
      </c>
      <c r="G788" s="19">
        <v>46226</v>
      </c>
      <c r="H788" s="18" t="s">
        <v>485</v>
      </c>
      <c r="I788" s="18" t="s">
        <v>1110</v>
      </c>
      <c r="J788" s="18">
        <v>1162</v>
      </c>
      <c r="K788" s="18" t="s">
        <v>1111</v>
      </c>
      <c r="L788" s="18" t="s">
        <v>5875</v>
      </c>
      <c r="M788" s="19">
        <v>46226</v>
      </c>
      <c r="N788" s="18" t="s">
        <v>1112</v>
      </c>
      <c r="O788" s="18" t="s">
        <v>1117</v>
      </c>
      <c r="P788" s="18" t="s">
        <v>1118</v>
      </c>
      <c r="Q788" s="18" t="s">
        <v>1119</v>
      </c>
      <c r="R788" s="18" t="s">
        <v>1120</v>
      </c>
      <c r="S788" s="18">
        <v>2540</v>
      </c>
      <c r="T788" s="18">
        <v>367004.6</v>
      </c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</row>
    <row r="789" spans="6:39" x14ac:dyDescent="0.35">
      <c r="F789" s="18" t="s">
        <v>1109</v>
      </c>
      <c r="G789" s="19">
        <v>46226</v>
      </c>
      <c r="H789" s="18" t="s">
        <v>485</v>
      </c>
      <c r="I789" s="18" t="s">
        <v>1110</v>
      </c>
      <c r="J789" s="18">
        <v>1162</v>
      </c>
      <c r="K789" s="18" t="s">
        <v>1111</v>
      </c>
      <c r="L789" s="18" t="s">
        <v>5875</v>
      </c>
      <c r="M789" s="19">
        <v>46226</v>
      </c>
      <c r="N789" s="18" t="s">
        <v>1112</v>
      </c>
      <c r="O789" s="18" t="s">
        <v>1117</v>
      </c>
      <c r="P789" s="18" t="s">
        <v>1118</v>
      </c>
      <c r="Q789" s="18" t="s">
        <v>1119</v>
      </c>
      <c r="R789" s="18" t="s">
        <v>1120</v>
      </c>
      <c r="S789" s="18">
        <v>512</v>
      </c>
      <c r="T789" s="18">
        <v>75514.880000000005</v>
      </c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</row>
    <row r="790" spans="6:39" x14ac:dyDescent="0.35">
      <c r="F790" s="18" t="s">
        <v>1109</v>
      </c>
      <c r="G790" s="19">
        <v>46226</v>
      </c>
      <c r="H790" s="18" t="s">
        <v>485</v>
      </c>
      <c r="I790" s="18" t="s">
        <v>1110</v>
      </c>
      <c r="J790" s="18">
        <v>1162</v>
      </c>
      <c r="K790" s="18" t="s">
        <v>1111</v>
      </c>
      <c r="L790" s="18" t="s">
        <v>5875</v>
      </c>
      <c r="M790" s="19">
        <v>46226</v>
      </c>
      <c r="N790" s="18" t="s">
        <v>1112</v>
      </c>
      <c r="O790" s="18" t="s">
        <v>1117</v>
      </c>
      <c r="P790" s="18" t="s">
        <v>1118</v>
      </c>
      <c r="Q790" s="18" t="s">
        <v>1119</v>
      </c>
      <c r="R790" s="18" t="s">
        <v>1120</v>
      </c>
      <c r="S790" s="18">
        <v>3363</v>
      </c>
      <c r="T790" s="18">
        <v>502734.87</v>
      </c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</row>
    <row r="791" spans="6:39" x14ac:dyDescent="0.35">
      <c r="F791" s="18" t="s">
        <v>1109</v>
      </c>
      <c r="G791" s="19">
        <v>46226</v>
      </c>
      <c r="H791" s="18" t="s">
        <v>485</v>
      </c>
      <c r="I791" s="18" t="s">
        <v>1110</v>
      </c>
      <c r="J791" s="18">
        <v>1162</v>
      </c>
      <c r="K791" s="18" t="s">
        <v>1111</v>
      </c>
      <c r="L791" s="18" t="s">
        <v>5875</v>
      </c>
      <c r="M791" s="19">
        <v>46226</v>
      </c>
      <c r="N791" s="18" t="s">
        <v>1112</v>
      </c>
      <c r="O791" s="18" t="s">
        <v>1117</v>
      </c>
      <c r="P791" s="18" t="s">
        <v>1118</v>
      </c>
      <c r="Q791" s="18" t="s">
        <v>1119</v>
      </c>
      <c r="R791" s="18" t="s">
        <v>1120</v>
      </c>
      <c r="S791" s="18">
        <v>324</v>
      </c>
      <c r="T791" s="18">
        <v>57182.76</v>
      </c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</row>
    <row r="792" spans="6:39" x14ac:dyDescent="0.35">
      <c r="F792" s="18" t="s">
        <v>1109</v>
      </c>
      <c r="G792" s="19">
        <v>46226</v>
      </c>
      <c r="H792" s="18" t="s">
        <v>485</v>
      </c>
      <c r="I792" s="18" t="s">
        <v>1110</v>
      </c>
      <c r="J792" s="18">
        <v>1162</v>
      </c>
      <c r="K792" s="18" t="s">
        <v>1111</v>
      </c>
      <c r="L792" s="18" t="s">
        <v>5875</v>
      </c>
      <c r="M792" s="19">
        <v>46226</v>
      </c>
      <c r="N792" s="18" t="s">
        <v>1112</v>
      </c>
      <c r="O792" s="18" t="s">
        <v>1117</v>
      </c>
      <c r="P792" s="18" t="s">
        <v>1118</v>
      </c>
      <c r="Q792" s="18" t="s">
        <v>1119</v>
      </c>
      <c r="R792" s="18" t="s">
        <v>1120</v>
      </c>
      <c r="S792" s="18">
        <v>437</v>
      </c>
      <c r="T792" s="18">
        <v>74941.13</v>
      </c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</row>
    <row r="793" spans="6:39" x14ac:dyDescent="0.35">
      <c r="F793" s="18" t="s">
        <v>1109</v>
      </c>
      <c r="G793" s="19">
        <v>46226</v>
      </c>
      <c r="H793" s="18" t="s">
        <v>485</v>
      </c>
      <c r="I793" s="18" t="s">
        <v>1110</v>
      </c>
      <c r="J793" s="18">
        <v>1162</v>
      </c>
      <c r="K793" s="18" t="s">
        <v>1111</v>
      </c>
      <c r="L793" s="18" t="s">
        <v>5875</v>
      </c>
      <c r="M793" s="19">
        <v>46226</v>
      </c>
      <c r="N793" s="18" t="s">
        <v>1112</v>
      </c>
      <c r="O793" s="18" t="s">
        <v>1113</v>
      </c>
      <c r="P793" s="18" t="s">
        <v>1114</v>
      </c>
      <c r="Q793" s="18" t="s">
        <v>1115</v>
      </c>
      <c r="R793" s="18" t="s">
        <v>1160</v>
      </c>
      <c r="S793" s="18">
        <v>337</v>
      </c>
      <c r="T793" s="18">
        <v>53748.13</v>
      </c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</row>
    <row r="794" spans="6:39" x14ac:dyDescent="0.35">
      <c r="F794" s="18" t="s">
        <v>1109</v>
      </c>
      <c r="G794" s="19">
        <v>46226</v>
      </c>
      <c r="H794" s="18" t="s">
        <v>485</v>
      </c>
      <c r="I794" s="18" t="s">
        <v>1110</v>
      </c>
      <c r="J794" s="18">
        <v>1162</v>
      </c>
      <c r="K794" s="18" t="s">
        <v>1111</v>
      </c>
      <c r="L794" s="18" t="s">
        <v>5875</v>
      </c>
      <c r="M794" s="19">
        <v>46226</v>
      </c>
      <c r="N794" s="18" t="s">
        <v>1112</v>
      </c>
      <c r="O794" s="18" t="s">
        <v>1117</v>
      </c>
      <c r="P794" s="18" t="s">
        <v>1138</v>
      </c>
      <c r="Q794" s="18" t="s">
        <v>1139</v>
      </c>
      <c r="R794" s="18" t="s">
        <v>1140</v>
      </c>
      <c r="S794" s="18">
        <v>1371</v>
      </c>
      <c r="T794" s="18">
        <v>211805.79</v>
      </c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</row>
    <row r="795" spans="6:39" x14ac:dyDescent="0.35">
      <c r="F795" s="18" t="s">
        <v>1109</v>
      </c>
      <c r="G795" s="19">
        <v>46226</v>
      </c>
      <c r="H795" s="18" t="s">
        <v>485</v>
      </c>
      <c r="I795" s="18" t="s">
        <v>1110</v>
      </c>
      <c r="J795" s="18">
        <v>1162</v>
      </c>
      <c r="K795" s="18" t="s">
        <v>1111</v>
      </c>
      <c r="L795" s="18" t="s">
        <v>5875</v>
      </c>
      <c r="M795" s="19">
        <v>46226</v>
      </c>
      <c r="N795" s="18" t="s">
        <v>1112</v>
      </c>
      <c r="O795" s="18" t="s">
        <v>1117</v>
      </c>
      <c r="P795" s="18" t="s">
        <v>1138</v>
      </c>
      <c r="Q795" s="18" t="s">
        <v>1139</v>
      </c>
      <c r="R795" s="18" t="s">
        <v>1140</v>
      </c>
      <c r="S795" s="18">
        <v>696</v>
      </c>
      <c r="T795" s="18">
        <v>105437.04</v>
      </c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</row>
    <row r="796" spans="6:39" x14ac:dyDescent="0.35">
      <c r="F796" s="18" t="s">
        <v>1109</v>
      </c>
      <c r="G796" s="19">
        <v>46226</v>
      </c>
      <c r="H796" s="18" t="s">
        <v>485</v>
      </c>
      <c r="I796" s="18" t="s">
        <v>1110</v>
      </c>
      <c r="J796" s="18">
        <v>1162</v>
      </c>
      <c r="K796" s="18" t="s">
        <v>1111</v>
      </c>
      <c r="L796" s="18" t="s">
        <v>5875</v>
      </c>
      <c r="M796" s="19">
        <v>46226</v>
      </c>
      <c r="N796" s="18" t="s">
        <v>1112</v>
      </c>
      <c r="O796" s="18" t="s">
        <v>1113</v>
      </c>
      <c r="P796" s="18" t="s">
        <v>1114</v>
      </c>
      <c r="Q796" s="18" t="s">
        <v>1115</v>
      </c>
      <c r="R796" s="18" t="s">
        <v>1116</v>
      </c>
      <c r="S796" s="18">
        <v>415.2</v>
      </c>
      <c r="T796" s="18">
        <v>64974.65</v>
      </c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</row>
    <row r="797" spans="6:39" x14ac:dyDescent="0.35">
      <c r="F797" s="18" t="s">
        <v>1109</v>
      </c>
      <c r="G797" s="19">
        <v>46226</v>
      </c>
      <c r="H797" s="18" t="s">
        <v>814</v>
      </c>
      <c r="I797" s="18" t="s">
        <v>1150</v>
      </c>
      <c r="J797" s="18" t="s">
        <v>5328</v>
      </c>
      <c r="K797" s="18" t="s">
        <v>3850</v>
      </c>
      <c r="L797" s="18" t="s">
        <v>5328</v>
      </c>
      <c r="M797" s="19">
        <v>46226</v>
      </c>
      <c r="N797" s="18" t="s">
        <v>1133</v>
      </c>
      <c r="O797" s="18" t="s">
        <v>1134</v>
      </c>
      <c r="P797" s="18" t="s">
        <v>1141</v>
      </c>
      <c r="Q797" s="18" t="s">
        <v>1142</v>
      </c>
      <c r="R797" s="18" t="s">
        <v>5876</v>
      </c>
      <c r="S797" s="18">
        <v>1000</v>
      </c>
      <c r="T797" s="18">
        <v>136331</v>
      </c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</row>
    <row r="798" spans="6:39" x14ac:dyDescent="0.35">
      <c r="F798" s="18" t="s">
        <v>1109</v>
      </c>
      <c r="G798" s="19">
        <v>46226</v>
      </c>
      <c r="H798" s="18" t="s">
        <v>125</v>
      </c>
      <c r="I798" s="18" t="s">
        <v>1110</v>
      </c>
      <c r="J798" s="18">
        <v>1163</v>
      </c>
      <c r="K798" s="18" t="s">
        <v>1111</v>
      </c>
      <c r="L798" s="18" t="s">
        <v>5530</v>
      </c>
      <c r="M798" s="19">
        <v>46226</v>
      </c>
      <c r="N798" s="18" t="s">
        <v>1112</v>
      </c>
      <c r="O798" s="18" t="s">
        <v>1131</v>
      </c>
      <c r="P798" s="18" t="s">
        <v>1132</v>
      </c>
      <c r="Q798" s="18" t="s">
        <v>1132</v>
      </c>
      <c r="R798" s="18" t="s">
        <v>1131</v>
      </c>
      <c r="S798" s="18">
        <v>1207.3</v>
      </c>
      <c r="T798" s="18">
        <v>180479.28</v>
      </c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</row>
    <row r="799" spans="6:39" x14ac:dyDescent="0.35">
      <c r="F799" s="18" t="s">
        <v>1109</v>
      </c>
      <c r="G799" s="19">
        <v>46226</v>
      </c>
      <c r="H799" s="18" t="s">
        <v>125</v>
      </c>
      <c r="I799" s="18" t="s">
        <v>1110</v>
      </c>
      <c r="J799" s="18">
        <v>1163</v>
      </c>
      <c r="K799" s="18" t="s">
        <v>1111</v>
      </c>
      <c r="L799" s="18" t="s">
        <v>5530</v>
      </c>
      <c r="M799" s="19">
        <v>46226</v>
      </c>
      <c r="N799" s="18" t="s">
        <v>1112</v>
      </c>
      <c r="O799" s="18" t="s">
        <v>1131</v>
      </c>
      <c r="P799" s="18" t="s">
        <v>1132</v>
      </c>
      <c r="Q799" s="18" t="s">
        <v>1132</v>
      </c>
      <c r="R799" s="18" t="s">
        <v>1131</v>
      </c>
      <c r="S799" s="18">
        <v>1123.7</v>
      </c>
      <c r="T799" s="18">
        <v>164610.81</v>
      </c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</row>
    <row r="800" spans="6:39" x14ac:dyDescent="0.35">
      <c r="F800" s="18" t="s">
        <v>1109</v>
      </c>
      <c r="G800" s="19">
        <v>46226</v>
      </c>
      <c r="H800" s="18" t="s">
        <v>125</v>
      </c>
      <c r="I800" s="18" t="s">
        <v>1110</v>
      </c>
      <c r="J800" s="18">
        <v>1163</v>
      </c>
      <c r="K800" s="18" t="s">
        <v>1111</v>
      </c>
      <c r="L800" s="18" t="s">
        <v>5530</v>
      </c>
      <c r="M800" s="19">
        <v>46226</v>
      </c>
      <c r="N800" s="18" t="s">
        <v>1112</v>
      </c>
      <c r="O800" s="18" t="s">
        <v>1113</v>
      </c>
      <c r="P800" s="18" t="s">
        <v>1114</v>
      </c>
      <c r="Q800" s="18" t="s">
        <v>1115</v>
      </c>
      <c r="R800" s="18" t="s">
        <v>1144</v>
      </c>
      <c r="S800" s="18">
        <v>160.69999999999999</v>
      </c>
      <c r="T800" s="18">
        <v>25871.09</v>
      </c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</row>
    <row r="801" spans="6:39" x14ac:dyDescent="0.35">
      <c r="F801" s="18" t="s">
        <v>1109</v>
      </c>
      <c r="G801" s="19">
        <v>46227</v>
      </c>
      <c r="H801" s="18" t="s">
        <v>600</v>
      </c>
      <c r="I801" s="18" t="s">
        <v>1136</v>
      </c>
      <c r="J801" s="18" t="s">
        <v>5329</v>
      </c>
      <c r="K801" s="18" t="s">
        <v>2028</v>
      </c>
      <c r="L801" s="18" t="s">
        <v>5329</v>
      </c>
      <c r="M801" s="19">
        <v>46227</v>
      </c>
      <c r="N801" s="18" t="s">
        <v>1146</v>
      </c>
      <c r="O801" s="18" t="s">
        <v>1147</v>
      </c>
      <c r="P801" s="18" t="s">
        <v>1147</v>
      </c>
      <c r="Q801" s="18" t="s">
        <v>1148</v>
      </c>
      <c r="R801" s="18" t="s">
        <v>1169</v>
      </c>
      <c r="S801" s="18">
        <v>1653</v>
      </c>
      <c r="T801" s="18">
        <v>472160.70761977159</v>
      </c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</row>
    <row r="802" spans="6:39" x14ac:dyDescent="0.35">
      <c r="F802" s="18" t="s">
        <v>1109</v>
      </c>
      <c r="G802" s="19">
        <v>46227</v>
      </c>
      <c r="H802" s="18" t="s">
        <v>600</v>
      </c>
      <c r="I802" s="18" t="s">
        <v>1136</v>
      </c>
      <c r="J802" s="18" t="s">
        <v>5329</v>
      </c>
      <c r="K802" s="18" t="s">
        <v>2028</v>
      </c>
      <c r="L802" s="18" t="s">
        <v>5329</v>
      </c>
      <c r="M802" s="19">
        <v>46227</v>
      </c>
      <c r="N802" s="18" t="s">
        <v>1146</v>
      </c>
      <c r="O802" s="18" t="s">
        <v>1147</v>
      </c>
      <c r="P802" s="18" t="s">
        <v>1147</v>
      </c>
      <c r="Q802" s="18" t="s">
        <v>1148</v>
      </c>
      <c r="R802" s="18" t="s">
        <v>1149</v>
      </c>
      <c r="S802" s="18">
        <v>18072</v>
      </c>
      <c r="T802" s="18">
        <v>5162061.8923802273</v>
      </c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</row>
    <row r="803" spans="6:39" x14ac:dyDescent="0.35">
      <c r="F803" s="18" t="s">
        <v>1109</v>
      </c>
      <c r="G803" s="19">
        <v>46227</v>
      </c>
      <c r="H803" s="18" t="s">
        <v>3790</v>
      </c>
      <c r="I803" s="18" t="s">
        <v>1110</v>
      </c>
      <c r="J803" s="18">
        <v>1167</v>
      </c>
      <c r="K803" s="18" t="s">
        <v>1111</v>
      </c>
      <c r="L803" s="18" t="s">
        <v>5877</v>
      </c>
      <c r="M803" s="19">
        <v>46227</v>
      </c>
      <c r="N803" s="18" t="s">
        <v>1112</v>
      </c>
      <c r="O803" s="18" t="s">
        <v>1117</v>
      </c>
      <c r="P803" s="18" t="s">
        <v>1118</v>
      </c>
      <c r="Q803" s="18" t="s">
        <v>1119</v>
      </c>
      <c r="R803" s="18" t="s">
        <v>1120</v>
      </c>
      <c r="S803" s="18">
        <v>5651</v>
      </c>
      <c r="T803" s="18">
        <v>816512.99</v>
      </c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</row>
    <row r="804" spans="6:39" x14ac:dyDescent="0.35">
      <c r="F804" s="18" t="s">
        <v>1109</v>
      </c>
      <c r="G804" s="19">
        <v>46227</v>
      </c>
      <c r="H804" s="18" t="s">
        <v>3790</v>
      </c>
      <c r="I804" s="18" t="s">
        <v>1110</v>
      </c>
      <c r="J804" s="18">
        <v>1167</v>
      </c>
      <c r="K804" s="18" t="s">
        <v>1111</v>
      </c>
      <c r="L804" s="18" t="s">
        <v>5877</v>
      </c>
      <c r="M804" s="19">
        <v>46227</v>
      </c>
      <c r="N804" s="18" t="s">
        <v>1112</v>
      </c>
      <c r="O804" s="18" t="s">
        <v>1117</v>
      </c>
      <c r="P804" s="18" t="s">
        <v>1118</v>
      </c>
      <c r="Q804" s="18" t="s">
        <v>1119</v>
      </c>
      <c r="R804" s="18" t="s">
        <v>1120</v>
      </c>
      <c r="S804" s="18">
        <v>339</v>
      </c>
      <c r="T804" s="18">
        <v>49999.11</v>
      </c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</row>
    <row r="805" spans="6:39" x14ac:dyDescent="0.35">
      <c r="F805" s="18" t="s">
        <v>1109</v>
      </c>
      <c r="G805" s="19">
        <v>46227</v>
      </c>
      <c r="H805" s="18" t="s">
        <v>3790</v>
      </c>
      <c r="I805" s="18" t="s">
        <v>1110</v>
      </c>
      <c r="J805" s="18">
        <v>1167</v>
      </c>
      <c r="K805" s="18" t="s">
        <v>1111</v>
      </c>
      <c r="L805" s="18" t="s">
        <v>5877</v>
      </c>
      <c r="M805" s="19">
        <v>46227</v>
      </c>
      <c r="N805" s="18" t="s">
        <v>1112</v>
      </c>
      <c r="O805" s="18" t="s">
        <v>1117</v>
      </c>
      <c r="P805" s="18" t="s">
        <v>1118</v>
      </c>
      <c r="Q805" s="18" t="s">
        <v>1119</v>
      </c>
      <c r="R805" s="18" t="s">
        <v>1120</v>
      </c>
      <c r="S805" s="18">
        <v>1085</v>
      </c>
      <c r="T805" s="18">
        <v>158941.65</v>
      </c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</row>
    <row r="806" spans="6:39" x14ac:dyDescent="0.35">
      <c r="F806" s="18" t="s">
        <v>1109</v>
      </c>
      <c r="G806" s="19">
        <v>46227</v>
      </c>
      <c r="H806" s="18" t="s">
        <v>3790</v>
      </c>
      <c r="I806" s="18" t="s">
        <v>1110</v>
      </c>
      <c r="J806" s="18">
        <v>1167</v>
      </c>
      <c r="K806" s="18" t="s">
        <v>1111</v>
      </c>
      <c r="L806" s="18" t="s">
        <v>5877</v>
      </c>
      <c r="M806" s="19">
        <v>46227</v>
      </c>
      <c r="N806" s="18" t="s">
        <v>1112</v>
      </c>
      <c r="O806" s="18" t="s">
        <v>1117</v>
      </c>
      <c r="P806" s="18" t="s">
        <v>1138</v>
      </c>
      <c r="Q806" s="18" t="s">
        <v>1139</v>
      </c>
      <c r="R806" s="18" t="s">
        <v>1140</v>
      </c>
      <c r="S806" s="18">
        <v>1652</v>
      </c>
      <c r="T806" s="18">
        <v>250261.48</v>
      </c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</row>
    <row r="807" spans="6:39" x14ac:dyDescent="0.35">
      <c r="F807" s="18" t="s">
        <v>1109</v>
      </c>
      <c r="G807" s="19">
        <v>46227</v>
      </c>
      <c r="H807" s="18" t="s">
        <v>3790</v>
      </c>
      <c r="I807" s="18" t="s">
        <v>1110</v>
      </c>
      <c r="J807" s="18">
        <v>1168</v>
      </c>
      <c r="K807" s="18" t="s">
        <v>1121</v>
      </c>
      <c r="L807" s="18" t="s">
        <v>5878</v>
      </c>
      <c r="M807" s="19">
        <v>46227</v>
      </c>
      <c r="N807" s="18" t="s">
        <v>1122</v>
      </c>
      <c r="O807" s="18" t="s">
        <v>1123</v>
      </c>
      <c r="P807" s="18" t="s">
        <v>1124</v>
      </c>
      <c r="Q807" s="18" t="s">
        <v>1125</v>
      </c>
      <c r="R807" s="18" t="s">
        <v>1126</v>
      </c>
      <c r="S807" s="18">
        <v>478</v>
      </c>
      <c r="T807" s="18">
        <v>22944</v>
      </c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</row>
    <row r="808" spans="6:39" x14ac:dyDescent="0.35">
      <c r="F808" s="18" t="s">
        <v>1109</v>
      </c>
      <c r="G808" s="19">
        <v>46227</v>
      </c>
      <c r="H808" s="18" t="s">
        <v>3790</v>
      </c>
      <c r="I808" s="18" t="s">
        <v>1110</v>
      </c>
      <c r="J808" s="18">
        <v>1169</v>
      </c>
      <c r="K808" s="18" t="s">
        <v>1111</v>
      </c>
      <c r="L808" s="18" t="s">
        <v>5879</v>
      </c>
      <c r="M808" s="19">
        <v>46227</v>
      </c>
      <c r="N808" s="18" t="s">
        <v>1112</v>
      </c>
      <c r="O808" s="18" t="s">
        <v>1117</v>
      </c>
      <c r="P808" s="18" t="s">
        <v>1138</v>
      </c>
      <c r="Q808" s="18" t="s">
        <v>1139</v>
      </c>
      <c r="R808" s="18" t="s">
        <v>1140</v>
      </c>
      <c r="S808" s="18">
        <v>357</v>
      </c>
      <c r="T808" s="18">
        <v>53010.93</v>
      </c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</row>
    <row r="809" spans="6:39" x14ac:dyDescent="0.35">
      <c r="F809" s="18" t="s">
        <v>1109</v>
      </c>
      <c r="G809" s="19">
        <v>46227</v>
      </c>
      <c r="H809" s="18" t="s">
        <v>3790</v>
      </c>
      <c r="I809" s="18" t="s">
        <v>1110</v>
      </c>
      <c r="J809" s="18">
        <v>1169</v>
      </c>
      <c r="K809" s="18" t="s">
        <v>1111</v>
      </c>
      <c r="L809" s="18" t="s">
        <v>5879</v>
      </c>
      <c r="M809" s="19">
        <v>46227</v>
      </c>
      <c r="N809" s="18" t="s">
        <v>1112</v>
      </c>
      <c r="O809" s="18" t="s">
        <v>1117</v>
      </c>
      <c r="P809" s="18" t="s">
        <v>1118</v>
      </c>
      <c r="Q809" s="18" t="s">
        <v>1119</v>
      </c>
      <c r="R809" s="18" t="s">
        <v>1120</v>
      </c>
      <c r="S809" s="18">
        <v>4703</v>
      </c>
      <c r="T809" s="18">
        <v>679536.47</v>
      </c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</row>
    <row r="810" spans="6:39" x14ac:dyDescent="0.35">
      <c r="F810" s="18" t="s">
        <v>1109</v>
      </c>
      <c r="G810" s="19">
        <v>46227</v>
      </c>
      <c r="H810" s="18" t="s">
        <v>3790</v>
      </c>
      <c r="I810" s="18" t="s">
        <v>1110</v>
      </c>
      <c r="J810" s="18">
        <v>1169</v>
      </c>
      <c r="K810" s="18" t="s">
        <v>1111</v>
      </c>
      <c r="L810" s="18" t="s">
        <v>5879</v>
      </c>
      <c r="M810" s="19">
        <v>46227</v>
      </c>
      <c r="N810" s="18" t="s">
        <v>1112</v>
      </c>
      <c r="O810" s="18" t="s">
        <v>1131</v>
      </c>
      <c r="P810" s="18" t="s">
        <v>1132</v>
      </c>
      <c r="Q810" s="18" t="s">
        <v>1132</v>
      </c>
      <c r="R810" s="18" t="s">
        <v>1131</v>
      </c>
      <c r="S810" s="18">
        <v>448.8</v>
      </c>
      <c r="T810" s="18">
        <v>65744.710000000006</v>
      </c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</row>
    <row r="811" spans="6:39" x14ac:dyDescent="0.35">
      <c r="F811" s="18" t="s">
        <v>1109</v>
      </c>
      <c r="G811" s="19">
        <v>46227</v>
      </c>
      <c r="H811" s="18" t="s">
        <v>3790</v>
      </c>
      <c r="I811" s="18" t="s">
        <v>1110</v>
      </c>
      <c r="J811" s="18">
        <v>1169</v>
      </c>
      <c r="K811" s="18" t="s">
        <v>1111</v>
      </c>
      <c r="L811" s="18" t="s">
        <v>5879</v>
      </c>
      <c r="M811" s="19">
        <v>46227</v>
      </c>
      <c r="N811" s="18" t="s">
        <v>1112</v>
      </c>
      <c r="O811" s="18" t="s">
        <v>1131</v>
      </c>
      <c r="P811" s="18" t="s">
        <v>1132</v>
      </c>
      <c r="Q811" s="18" t="s">
        <v>1132</v>
      </c>
      <c r="R811" s="18" t="s">
        <v>1131</v>
      </c>
      <c r="S811" s="18">
        <v>305.5</v>
      </c>
      <c r="T811" s="18">
        <v>45669.2</v>
      </c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</row>
    <row r="812" spans="6:39" x14ac:dyDescent="0.35">
      <c r="F812" s="18" t="s">
        <v>1109</v>
      </c>
      <c r="G812" s="19">
        <v>46227</v>
      </c>
      <c r="H812" s="18" t="s">
        <v>538</v>
      </c>
      <c r="I812" s="18" t="s">
        <v>1136</v>
      </c>
      <c r="J812" s="18" t="s">
        <v>5330</v>
      </c>
      <c r="K812" s="18" t="s">
        <v>2028</v>
      </c>
      <c r="L812" s="18" t="s">
        <v>5330</v>
      </c>
      <c r="M812" s="19">
        <v>46227</v>
      </c>
      <c r="N812" s="18" t="s">
        <v>1146</v>
      </c>
      <c r="O812" s="18" t="s">
        <v>1147</v>
      </c>
      <c r="P812" s="18" t="s">
        <v>1147</v>
      </c>
      <c r="Q812" s="18" t="s">
        <v>1148</v>
      </c>
      <c r="R812" s="18" t="s">
        <v>1169</v>
      </c>
      <c r="S812" s="18">
        <v>18467</v>
      </c>
      <c r="T812" s="18">
        <v>4065984</v>
      </c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</row>
    <row r="813" spans="6:39" x14ac:dyDescent="0.35">
      <c r="F813" s="18" t="s">
        <v>1109</v>
      </c>
      <c r="G813" s="19">
        <v>46227</v>
      </c>
      <c r="H813" s="18" t="s">
        <v>1135</v>
      </c>
      <c r="I813" s="18" t="s">
        <v>1136</v>
      </c>
      <c r="J813" s="18" t="s">
        <v>5880</v>
      </c>
      <c r="K813" s="18" t="s">
        <v>1137</v>
      </c>
      <c r="L813" s="18" t="s">
        <v>5880</v>
      </c>
      <c r="M813" s="19">
        <v>46227</v>
      </c>
      <c r="N813" s="18" t="s">
        <v>1112</v>
      </c>
      <c r="O813" s="18" t="s">
        <v>3407</v>
      </c>
      <c r="P813" s="18" t="s">
        <v>5881</v>
      </c>
      <c r="Q813" s="18" t="s">
        <v>1162</v>
      </c>
      <c r="R813" s="18" t="s">
        <v>5882</v>
      </c>
      <c r="S813" s="18">
        <v>104</v>
      </c>
      <c r="T813" s="18">
        <v>16701.904999999999</v>
      </c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</row>
    <row r="814" spans="6:39" x14ac:dyDescent="0.35">
      <c r="F814" s="18" t="s">
        <v>1109</v>
      </c>
      <c r="G814" s="19">
        <v>46227</v>
      </c>
      <c r="H814" s="18" t="s">
        <v>1135</v>
      </c>
      <c r="I814" s="18" t="s">
        <v>1136</v>
      </c>
      <c r="J814" s="18" t="s">
        <v>5883</v>
      </c>
      <c r="K814" s="18" t="s">
        <v>1137</v>
      </c>
      <c r="L814" s="18" t="s">
        <v>5883</v>
      </c>
      <c r="M814" s="19">
        <v>46227</v>
      </c>
      <c r="N814" s="18" t="s">
        <v>1112</v>
      </c>
      <c r="O814" s="18" t="s">
        <v>1127</v>
      </c>
      <c r="P814" s="18" t="s">
        <v>1128</v>
      </c>
      <c r="Q814" s="18" t="s">
        <v>1129</v>
      </c>
      <c r="R814" s="18" t="s">
        <v>5701</v>
      </c>
      <c r="S814" s="18">
        <v>1010</v>
      </c>
      <c r="T814" s="18">
        <v>176347.54499999998</v>
      </c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</row>
    <row r="815" spans="6:39" x14ac:dyDescent="0.35">
      <c r="F815" s="18" t="s">
        <v>1109</v>
      </c>
      <c r="G815" s="19">
        <v>46227</v>
      </c>
      <c r="H815" s="18" t="s">
        <v>1135</v>
      </c>
      <c r="I815" s="18" t="s">
        <v>1136</v>
      </c>
      <c r="J815" s="18" t="s">
        <v>5884</v>
      </c>
      <c r="K815" s="18" t="s">
        <v>1137</v>
      </c>
      <c r="L815" s="18" t="s">
        <v>5884</v>
      </c>
      <c r="M815" s="19">
        <v>46227</v>
      </c>
      <c r="N815" s="18" t="s">
        <v>1112</v>
      </c>
      <c r="O815" s="18" t="s">
        <v>1117</v>
      </c>
      <c r="P815" s="18" t="s">
        <v>1118</v>
      </c>
      <c r="Q815" s="18" t="s">
        <v>1119</v>
      </c>
      <c r="R815" s="18" t="s">
        <v>1120</v>
      </c>
      <c r="S815" s="18">
        <v>2698</v>
      </c>
      <c r="T815" s="18">
        <v>374863.005</v>
      </c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</row>
    <row r="816" spans="6:39" x14ac:dyDescent="0.35">
      <c r="F816" s="18" t="s">
        <v>1109</v>
      </c>
      <c r="G816" s="19">
        <v>46227</v>
      </c>
      <c r="H816" s="18" t="s">
        <v>1135</v>
      </c>
      <c r="I816" s="18" t="s">
        <v>1136</v>
      </c>
      <c r="J816" s="18" t="s">
        <v>5885</v>
      </c>
      <c r="K816" s="18" t="s">
        <v>1137</v>
      </c>
      <c r="L816" s="18" t="s">
        <v>5885</v>
      </c>
      <c r="M816" s="19">
        <v>46227</v>
      </c>
      <c r="N816" s="18" t="s">
        <v>1112</v>
      </c>
      <c r="O816" s="18" t="s">
        <v>1117</v>
      </c>
      <c r="P816" s="18" t="s">
        <v>1138</v>
      </c>
      <c r="Q816" s="18" t="s">
        <v>1139</v>
      </c>
      <c r="R816" s="18" t="s">
        <v>1140</v>
      </c>
      <c r="S816" s="18">
        <v>4164</v>
      </c>
      <c r="T816" s="18">
        <v>591320.17999999993</v>
      </c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</row>
    <row r="817" spans="6:39" x14ac:dyDescent="0.35">
      <c r="F817" s="18" t="s">
        <v>1109</v>
      </c>
      <c r="G817" s="19">
        <v>46227</v>
      </c>
      <c r="H817" s="18" t="s">
        <v>1135</v>
      </c>
      <c r="I817" s="18" t="s">
        <v>1136</v>
      </c>
      <c r="J817" s="18" t="s">
        <v>5886</v>
      </c>
      <c r="K817" s="18" t="s">
        <v>1137</v>
      </c>
      <c r="L817" s="18" t="s">
        <v>5886</v>
      </c>
      <c r="M817" s="19">
        <v>46227</v>
      </c>
      <c r="N817" s="18" t="s">
        <v>1112</v>
      </c>
      <c r="O817" s="18" t="s">
        <v>1113</v>
      </c>
      <c r="P817" s="18" t="s">
        <v>1114</v>
      </c>
      <c r="Q817" s="18" t="s">
        <v>1115</v>
      </c>
      <c r="R817" s="18" t="s">
        <v>5887</v>
      </c>
      <c r="S817" s="18">
        <v>874.2</v>
      </c>
      <c r="T817" s="18">
        <v>130020.08100000001</v>
      </c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</row>
    <row r="818" spans="6:39" x14ac:dyDescent="0.35">
      <c r="F818" s="18" t="s">
        <v>1109</v>
      </c>
      <c r="G818" s="19">
        <v>46227</v>
      </c>
      <c r="H818" s="18" t="s">
        <v>1135</v>
      </c>
      <c r="I818" s="18" t="s">
        <v>1136</v>
      </c>
      <c r="J818" s="18" t="s">
        <v>5886</v>
      </c>
      <c r="K818" s="18" t="s">
        <v>1137</v>
      </c>
      <c r="L818" s="18" t="s">
        <v>5886</v>
      </c>
      <c r="M818" s="19">
        <v>46227</v>
      </c>
      <c r="N818" s="18" t="s">
        <v>1112</v>
      </c>
      <c r="O818" s="18" t="s">
        <v>1113</v>
      </c>
      <c r="P818" s="18" t="s">
        <v>1114</v>
      </c>
      <c r="Q818" s="18" t="s">
        <v>1115</v>
      </c>
      <c r="R818" s="18" t="s">
        <v>1160</v>
      </c>
      <c r="S818" s="18">
        <v>1292</v>
      </c>
      <c r="T818" s="18">
        <v>192158.98550000001</v>
      </c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</row>
    <row r="819" spans="6:39" x14ac:dyDescent="0.35">
      <c r="F819" s="18" t="s">
        <v>1109</v>
      </c>
      <c r="G819" s="19">
        <v>46227</v>
      </c>
      <c r="H819" s="18" t="s">
        <v>1135</v>
      </c>
      <c r="I819" s="18" t="s">
        <v>1136</v>
      </c>
      <c r="J819" s="18" t="s">
        <v>5888</v>
      </c>
      <c r="K819" s="18" t="s">
        <v>1137</v>
      </c>
      <c r="L819" s="18" t="s">
        <v>5888</v>
      </c>
      <c r="M819" s="19">
        <v>46227</v>
      </c>
      <c r="N819" s="18" t="s">
        <v>1112</v>
      </c>
      <c r="O819" s="18" t="s">
        <v>1127</v>
      </c>
      <c r="P819" s="18" t="s">
        <v>1128</v>
      </c>
      <c r="Q819" s="18" t="s">
        <v>1129</v>
      </c>
      <c r="R819" s="18" t="s">
        <v>1130</v>
      </c>
      <c r="S819" s="18">
        <v>4029.4</v>
      </c>
      <c r="T819" s="18">
        <v>703540.75</v>
      </c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</row>
    <row r="820" spans="6:39" x14ac:dyDescent="0.35">
      <c r="F820" s="18" t="s">
        <v>1109</v>
      </c>
      <c r="G820" s="19">
        <v>46227</v>
      </c>
      <c r="H820" s="18" t="s">
        <v>1135</v>
      </c>
      <c r="I820" s="18" t="s">
        <v>1136</v>
      </c>
      <c r="J820" s="18" t="s">
        <v>5889</v>
      </c>
      <c r="K820" s="18" t="s">
        <v>1137</v>
      </c>
      <c r="L820" s="18" t="s">
        <v>5889</v>
      </c>
      <c r="M820" s="19">
        <v>46227</v>
      </c>
      <c r="N820" s="18" t="s">
        <v>1112</v>
      </c>
      <c r="O820" s="18" t="s">
        <v>1127</v>
      </c>
      <c r="P820" s="18" t="s">
        <v>1128</v>
      </c>
      <c r="Q820" s="18" t="s">
        <v>1129</v>
      </c>
      <c r="R820" s="18" t="s">
        <v>1130</v>
      </c>
      <c r="S820" s="18">
        <v>1941</v>
      </c>
      <c r="T820" s="18">
        <v>338901.97</v>
      </c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</row>
    <row r="821" spans="6:39" x14ac:dyDescent="0.35">
      <c r="F821" s="18" t="s">
        <v>1109</v>
      </c>
      <c r="G821" s="19">
        <v>46227</v>
      </c>
      <c r="H821" s="18" t="s">
        <v>485</v>
      </c>
      <c r="I821" s="18" t="s">
        <v>1110</v>
      </c>
      <c r="J821" s="18">
        <v>1171</v>
      </c>
      <c r="K821" s="18" t="s">
        <v>1121</v>
      </c>
      <c r="L821" s="18" t="s">
        <v>5890</v>
      </c>
      <c r="M821" s="19">
        <v>46227</v>
      </c>
      <c r="N821" s="18" t="s">
        <v>1122</v>
      </c>
      <c r="O821" s="18" t="s">
        <v>1123</v>
      </c>
      <c r="P821" s="18" t="s">
        <v>1124</v>
      </c>
      <c r="Q821" s="18" t="s">
        <v>1125</v>
      </c>
      <c r="R821" s="18" t="s">
        <v>1126</v>
      </c>
      <c r="S821" s="18">
        <v>206</v>
      </c>
      <c r="T821" s="18">
        <v>9888</v>
      </c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</row>
    <row r="822" spans="6:39" x14ac:dyDescent="0.35">
      <c r="F822" s="18" t="s">
        <v>1109</v>
      </c>
      <c r="G822" s="19">
        <v>46227</v>
      </c>
      <c r="H822" s="18" t="s">
        <v>485</v>
      </c>
      <c r="I822" s="18" t="s">
        <v>1110</v>
      </c>
      <c r="J822" s="18">
        <v>1172</v>
      </c>
      <c r="K822" s="18" t="s">
        <v>1111</v>
      </c>
      <c r="L822" s="18" t="s">
        <v>5891</v>
      </c>
      <c r="M822" s="19">
        <v>46227</v>
      </c>
      <c r="N822" s="18" t="s">
        <v>1112</v>
      </c>
      <c r="O822" s="18" t="s">
        <v>1127</v>
      </c>
      <c r="P822" s="18" t="s">
        <v>1128</v>
      </c>
      <c r="Q822" s="18" t="s">
        <v>1129</v>
      </c>
      <c r="R822" s="18" t="s">
        <v>1130</v>
      </c>
      <c r="S822" s="18">
        <v>3477</v>
      </c>
      <c r="T822" s="18">
        <v>718974.06</v>
      </c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</row>
    <row r="823" spans="6:39" x14ac:dyDescent="0.35">
      <c r="F823" s="18" t="s">
        <v>1109</v>
      </c>
      <c r="G823" s="19">
        <v>46227</v>
      </c>
      <c r="H823" s="18" t="s">
        <v>485</v>
      </c>
      <c r="I823" s="18" t="s">
        <v>1110</v>
      </c>
      <c r="J823" s="18">
        <v>1172</v>
      </c>
      <c r="K823" s="18" t="s">
        <v>1111</v>
      </c>
      <c r="L823" s="18" t="s">
        <v>5891</v>
      </c>
      <c r="M823" s="19">
        <v>46227</v>
      </c>
      <c r="N823" s="18" t="s">
        <v>1112</v>
      </c>
      <c r="O823" s="18" t="s">
        <v>1117</v>
      </c>
      <c r="P823" s="18" t="s">
        <v>1118</v>
      </c>
      <c r="Q823" s="18" t="s">
        <v>1119</v>
      </c>
      <c r="R823" s="18" t="s">
        <v>1120</v>
      </c>
      <c r="S823" s="18">
        <v>2926</v>
      </c>
      <c r="T823" s="18">
        <v>422777.74</v>
      </c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</row>
    <row r="824" spans="6:39" x14ac:dyDescent="0.35">
      <c r="F824" s="18" t="s">
        <v>1109</v>
      </c>
      <c r="G824" s="19">
        <v>46227</v>
      </c>
      <c r="H824" s="18" t="s">
        <v>485</v>
      </c>
      <c r="I824" s="18" t="s">
        <v>1110</v>
      </c>
      <c r="J824" s="18">
        <v>1172</v>
      </c>
      <c r="K824" s="18" t="s">
        <v>1111</v>
      </c>
      <c r="L824" s="18" t="s">
        <v>5891</v>
      </c>
      <c r="M824" s="19">
        <v>46227</v>
      </c>
      <c r="N824" s="18" t="s">
        <v>1112</v>
      </c>
      <c r="O824" s="18" t="s">
        <v>1117</v>
      </c>
      <c r="P824" s="18" t="s">
        <v>1118</v>
      </c>
      <c r="Q824" s="18" t="s">
        <v>1119</v>
      </c>
      <c r="R824" s="18" t="s">
        <v>1120</v>
      </c>
      <c r="S824" s="18">
        <v>300</v>
      </c>
      <c r="T824" s="18">
        <v>44247</v>
      </c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</row>
    <row r="825" spans="6:39" x14ac:dyDescent="0.35">
      <c r="F825" s="18" t="s">
        <v>1109</v>
      </c>
      <c r="G825" s="19">
        <v>46227</v>
      </c>
      <c r="H825" s="18" t="s">
        <v>485</v>
      </c>
      <c r="I825" s="18" t="s">
        <v>1110</v>
      </c>
      <c r="J825" s="18">
        <v>1172</v>
      </c>
      <c r="K825" s="18" t="s">
        <v>1111</v>
      </c>
      <c r="L825" s="18" t="s">
        <v>5891</v>
      </c>
      <c r="M825" s="19">
        <v>46227</v>
      </c>
      <c r="N825" s="18" t="s">
        <v>1112</v>
      </c>
      <c r="O825" s="18" t="s">
        <v>1117</v>
      </c>
      <c r="P825" s="18" t="s">
        <v>1118</v>
      </c>
      <c r="Q825" s="18" t="s">
        <v>1119</v>
      </c>
      <c r="R825" s="18" t="s">
        <v>1120</v>
      </c>
      <c r="S825" s="18">
        <v>296</v>
      </c>
      <c r="T825" s="18">
        <v>50761.04</v>
      </c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</row>
    <row r="826" spans="6:39" x14ac:dyDescent="0.35">
      <c r="F826" s="18" t="s">
        <v>1109</v>
      </c>
      <c r="G826" s="19">
        <v>46227</v>
      </c>
      <c r="H826" s="18" t="s">
        <v>485</v>
      </c>
      <c r="I826" s="18" t="s">
        <v>1110</v>
      </c>
      <c r="J826" s="18">
        <v>1172</v>
      </c>
      <c r="K826" s="18" t="s">
        <v>1111</v>
      </c>
      <c r="L826" s="18" t="s">
        <v>5891</v>
      </c>
      <c r="M826" s="19">
        <v>46227</v>
      </c>
      <c r="N826" s="18" t="s">
        <v>1112</v>
      </c>
      <c r="O826" s="18" t="s">
        <v>1117</v>
      </c>
      <c r="P826" s="18" t="s">
        <v>1118</v>
      </c>
      <c r="Q826" s="18" t="s">
        <v>1119</v>
      </c>
      <c r="R826" s="18" t="s">
        <v>1120</v>
      </c>
      <c r="S826" s="18">
        <v>681</v>
      </c>
      <c r="T826" s="18">
        <v>101802.69</v>
      </c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</row>
    <row r="827" spans="6:39" x14ac:dyDescent="0.35">
      <c r="F827" s="18" t="s">
        <v>1109</v>
      </c>
      <c r="G827" s="19">
        <v>46227</v>
      </c>
      <c r="H827" s="18" t="s">
        <v>485</v>
      </c>
      <c r="I827" s="18" t="s">
        <v>1110</v>
      </c>
      <c r="J827" s="18">
        <v>1172</v>
      </c>
      <c r="K827" s="18" t="s">
        <v>1111</v>
      </c>
      <c r="L827" s="18" t="s">
        <v>5891</v>
      </c>
      <c r="M827" s="19">
        <v>46227</v>
      </c>
      <c r="N827" s="18" t="s">
        <v>1112</v>
      </c>
      <c r="O827" s="18" t="s">
        <v>1117</v>
      </c>
      <c r="P827" s="18" t="s">
        <v>1118</v>
      </c>
      <c r="Q827" s="18" t="s">
        <v>1119</v>
      </c>
      <c r="R827" s="18" t="s">
        <v>1120</v>
      </c>
      <c r="S827" s="18">
        <v>1052</v>
      </c>
      <c r="T827" s="18">
        <v>185667.48</v>
      </c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</row>
    <row r="828" spans="6:39" x14ac:dyDescent="0.35">
      <c r="F828" s="18" t="s">
        <v>1109</v>
      </c>
      <c r="G828" s="19">
        <v>46227</v>
      </c>
      <c r="H828" s="18" t="s">
        <v>485</v>
      </c>
      <c r="I828" s="18" t="s">
        <v>1150</v>
      </c>
      <c r="J828" s="18" t="s">
        <v>5892</v>
      </c>
      <c r="K828" s="18" t="s">
        <v>1111</v>
      </c>
      <c r="L828" s="18" t="s">
        <v>5892</v>
      </c>
      <c r="M828" s="19">
        <v>46227</v>
      </c>
      <c r="N828" s="18" t="s">
        <v>1112</v>
      </c>
      <c r="O828" s="18" t="s">
        <v>1117</v>
      </c>
      <c r="P828" s="18" t="s">
        <v>1118</v>
      </c>
      <c r="Q828" s="18" t="s">
        <v>1119</v>
      </c>
      <c r="R828" s="18" t="s">
        <v>1120</v>
      </c>
      <c r="S828" s="18">
        <v>181</v>
      </c>
      <c r="T828" s="18">
        <v>71495</v>
      </c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</row>
    <row r="829" spans="6:39" x14ac:dyDescent="0.35">
      <c r="F829" s="18" t="s">
        <v>1109</v>
      </c>
      <c r="G829" s="19">
        <v>46227</v>
      </c>
      <c r="H829" s="18" t="s">
        <v>631</v>
      </c>
      <c r="I829" s="18" t="s">
        <v>1136</v>
      </c>
      <c r="J829" s="18" t="s">
        <v>5331</v>
      </c>
      <c r="K829" s="18" t="s">
        <v>2028</v>
      </c>
      <c r="L829" s="18" t="s">
        <v>5331</v>
      </c>
      <c r="M829" s="19">
        <v>46227</v>
      </c>
      <c r="N829" s="18" t="s">
        <v>1146</v>
      </c>
      <c r="O829" s="18" t="s">
        <v>1147</v>
      </c>
      <c r="P829" s="18" t="s">
        <v>1147</v>
      </c>
      <c r="Q829" s="18" t="s">
        <v>1148</v>
      </c>
      <c r="R829" s="18" t="s">
        <v>1149</v>
      </c>
      <c r="S829" s="18">
        <v>20711</v>
      </c>
      <c r="T829" s="18">
        <v>4863368.4000000004</v>
      </c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</row>
    <row r="830" spans="6:39" x14ac:dyDescent="0.35">
      <c r="F830" s="18" t="s">
        <v>1109</v>
      </c>
      <c r="G830" s="19">
        <v>46227</v>
      </c>
      <c r="H830" s="18" t="s">
        <v>125</v>
      </c>
      <c r="I830" s="18" t="s">
        <v>1110</v>
      </c>
      <c r="J830" s="18">
        <v>1166</v>
      </c>
      <c r="K830" s="18" t="s">
        <v>1111</v>
      </c>
      <c r="L830" s="18" t="s">
        <v>5531</v>
      </c>
      <c r="M830" s="19">
        <v>46227</v>
      </c>
      <c r="N830" s="18" t="s">
        <v>1112</v>
      </c>
      <c r="O830" s="18" t="s">
        <v>1117</v>
      </c>
      <c r="P830" s="18" t="s">
        <v>1118</v>
      </c>
      <c r="Q830" s="18" t="s">
        <v>1119</v>
      </c>
      <c r="R830" s="18" t="s">
        <v>1120</v>
      </c>
      <c r="S830" s="18">
        <v>892</v>
      </c>
      <c r="T830" s="18">
        <v>133345.07999999999</v>
      </c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</row>
    <row r="831" spans="6:39" x14ac:dyDescent="0.35">
      <c r="F831" s="18" t="s">
        <v>1109</v>
      </c>
      <c r="G831" s="19">
        <v>46227</v>
      </c>
      <c r="H831" s="18" t="s">
        <v>125</v>
      </c>
      <c r="I831" s="18" t="s">
        <v>1110</v>
      </c>
      <c r="J831" s="18">
        <v>1170</v>
      </c>
      <c r="K831" s="18" t="s">
        <v>1121</v>
      </c>
      <c r="L831" s="18" t="s">
        <v>5532</v>
      </c>
      <c r="M831" s="19">
        <v>46227</v>
      </c>
      <c r="N831" s="18" t="s">
        <v>1133</v>
      </c>
      <c r="O831" s="18" t="s">
        <v>1134</v>
      </c>
      <c r="P831" s="18" t="s">
        <v>5633</v>
      </c>
      <c r="Q831" s="18" t="s">
        <v>5634</v>
      </c>
      <c r="R831" s="18" t="s">
        <v>5816</v>
      </c>
      <c r="S831" s="18">
        <v>5000</v>
      </c>
      <c r="T831" s="18">
        <v>622000</v>
      </c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</row>
    <row r="832" spans="6:39" x14ac:dyDescent="0.35">
      <c r="F832" s="18" t="s">
        <v>1109</v>
      </c>
      <c r="G832" s="19">
        <v>46228</v>
      </c>
      <c r="H832" s="18" t="s">
        <v>3790</v>
      </c>
      <c r="I832" s="18" t="s">
        <v>1110</v>
      </c>
      <c r="J832" s="18">
        <v>1173</v>
      </c>
      <c r="K832" s="18" t="s">
        <v>1111</v>
      </c>
      <c r="L832" s="18" t="s">
        <v>5893</v>
      </c>
      <c r="M832" s="19">
        <v>46228</v>
      </c>
      <c r="N832" s="18" t="s">
        <v>1112</v>
      </c>
      <c r="O832" s="18" t="s">
        <v>1117</v>
      </c>
      <c r="P832" s="18" t="s">
        <v>1118</v>
      </c>
      <c r="Q832" s="18" t="s">
        <v>1119</v>
      </c>
      <c r="R832" s="18" t="s">
        <v>1120</v>
      </c>
      <c r="S832" s="18">
        <v>7719</v>
      </c>
      <c r="T832" s="18">
        <v>1115318.31</v>
      </c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</row>
    <row r="833" spans="6:39" x14ac:dyDescent="0.35">
      <c r="F833" s="18" t="s">
        <v>1109</v>
      </c>
      <c r="G833" s="19">
        <v>46228</v>
      </c>
      <c r="H833" s="18" t="s">
        <v>3790</v>
      </c>
      <c r="I833" s="18" t="s">
        <v>1110</v>
      </c>
      <c r="J833" s="18">
        <v>1173</v>
      </c>
      <c r="K833" s="18" t="s">
        <v>1111</v>
      </c>
      <c r="L833" s="18" t="s">
        <v>5893</v>
      </c>
      <c r="M833" s="19">
        <v>46228</v>
      </c>
      <c r="N833" s="18" t="s">
        <v>1112</v>
      </c>
      <c r="O833" s="18" t="s">
        <v>1117</v>
      </c>
      <c r="P833" s="18" t="s">
        <v>1118</v>
      </c>
      <c r="Q833" s="18" t="s">
        <v>1119</v>
      </c>
      <c r="R833" s="18" t="s">
        <v>1120</v>
      </c>
      <c r="S833" s="18">
        <v>518</v>
      </c>
      <c r="T833" s="18">
        <v>75881.820000000007</v>
      </c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</row>
    <row r="834" spans="6:39" x14ac:dyDescent="0.35">
      <c r="F834" s="18" t="s">
        <v>1109</v>
      </c>
      <c r="G834" s="19">
        <v>46228</v>
      </c>
      <c r="H834" s="18" t="s">
        <v>3790</v>
      </c>
      <c r="I834" s="18" t="s">
        <v>1110</v>
      </c>
      <c r="J834" s="18">
        <v>1174</v>
      </c>
      <c r="K834" s="18" t="s">
        <v>1121</v>
      </c>
      <c r="L834" s="18" t="s">
        <v>5894</v>
      </c>
      <c r="M834" s="19">
        <v>46228</v>
      </c>
      <c r="N834" s="18" t="s">
        <v>1122</v>
      </c>
      <c r="O834" s="18" t="s">
        <v>1123</v>
      </c>
      <c r="P834" s="18" t="s">
        <v>1124</v>
      </c>
      <c r="Q834" s="18" t="s">
        <v>1125</v>
      </c>
      <c r="R834" s="18" t="s">
        <v>1126</v>
      </c>
      <c r="S834" s="18">
        <v>341</v>
      </c>
      <c r="T834" s="18">
        <v>16368</v>
      </c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</row>
    <row r="835" spans="6:39" x14ac:dyDescent="0.35">
      <c r="F835" s="18" t="s">
        <v>1109</v>
      </c>
      <c r="G835" s="19">
        <v>46228</v>
      </c>
      <c r="H835" s="18" t="s">
        <v>3790</v>
      </c>
      <c r="I835" s="18" t="s">
        <v>1110</v>
      </c>
      <c r="J835" s="18">
        <v>1175</v>
      </c>
      <c r="K835" s="18" t="s">
        <v>1111</v>
      </c>
      <c r="L835" s="18" t="s">
        <v>5895</v>
      </c>
      <c r="M835" s="19">
        <v>46228</v>
      </c>
      <c r="N835" s="18" t="s">
        <v>1112</v>
      </c>
      <c r="O835" s="18" t="s">
        <v>1117</v>
      </c>
      <c r="P835" s="18" t="s">
        <v>1138</v>
      </c>
      <c r="Q835" s="18" t="s">
        <v>1139</v>
      </c>
      <c r="R835" s="18" t="s">
        <v>1140</v>
      </c>
      <c r="S835" s="18">
        <v>548</v>
      </c>
      <c r="T835" s="18">
        <v>81372.52</v>
      </c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</row>
    <row r="836" spans="6:39" x14ac:dyDescent="0.35">
      <c r="F836" s="18" t="s">
        <v>1109</v>
      </c>
      <c r="G836" s="19">
        <v>46228</v>
      </c>
      <c r="H836" s="18" t="s">
        <v>3790</v>
      </c>
      <c r="I836" s="18" t="s">
        <v>1110</v>
      </c>
      <c r="J836" s="18">
        <v>1175</v>
      </c>
      <c r="K836" s="18" t="s">
        <v>1111</v>
      </c>
      <c r="L836" s="18" t="s">
        <v>5895</v>
      </c>
      <c r="M836" s="19">
        <v>46228</v>
      </c>
      <c r="N836" s="18" t="s">
        <v>1112</v>
      </c>
      <c r="O836" s="18" t="s">
        <v>1131</v>
      </c>
      <c r="P836" s="18" t="s">
        <v>1132</v>
      </c>
      <c r="Q836" s="18" t="s">
        <v>1132</v>
      </c>
      <c r="R836" s="18" t="s">
        <v>1131</v>
      </c>
      <c r="S836" s="18">
        <v>1276.3</v>
      </c>
      <c r="T836" s="18">
        <v>190794.09</v>
      </c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</row>
    <row r="837" spans="6:39" x14ac:dyDescent="0.35">
      <c r="F837" s="18" t="s">
        <v>1109</v>
      </c>
      <c r="G837" s="19">
        <v>46228</v>
      </c>
      <c r="H837" s="18" t="s">
        <v>3790</v>
      </c>
      <c r="I837" s="18" t="s">
        <v>1110</v>
      </c>
      <c r="J837" s="18">
        <v>1175</v>
      </c>
      <c r="K837" s="18" t="s">
        <v>1111</v>
      </c>
      <c r="L837" s="18" t="s">
        <v>5895</v>
      </c>
      <c r="M837" s="19">
        <v>46228</v>
      </c>
      <c r="N837" s="18" t="s">
        <v>1112</v>
      </c>
      <c r="O837" s="18" t="s">
        <v>1131</v>
      </c>
      <c r="P837" s="18" t="s">
        <v>1132</v>
      </c>
      <c r="Q837" s="18" t="s">
        <v>1132</v>
      </c>
      <c r="R837" s="18" t="s">
        <v>1131</v>
      </c>
      <c r="S837" s="18">
        <v>770.4</v>
      </c>
      <c r="T837" s="18">
        <v>112855.9</v>
      </c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</row>
    <row r="838" spans="6:39" x14ac:dyDescent="0.35">
      <c r="F838" s="18" t="s">
        <v>1109</v>
      </c>
      <c r="G838" s="19">
        <v>46228</v>
      </c>
      <c r="H838" s="18" t="s">
        <v>3790</v>
      </c>
      <c r="I838" s="18" t="s">
        <v>1110</v>
      </c>
      <c r="J838" s="18">
        <v>1175</v>
      </c>
      <c r="K838" s="18" t="s">
        <v>1111</v>
      </c>
      <c r="L838" s="18" t="s">
        <v>5895</v>
      </c>
      <c r="M838" s="19">
        <v>46228</v>
      </c>
      <c r="N838" s="18" t="s">
        <v>1112</v>
      </c>
      <c r="O838" s="18" t="s">
        <v>1117</v>
      </c>
      <c r="P838" s="18" t="s">
        <v>1118</v>
      </c>
      <c r="Q838" s="18" t="s">
        <v>1119</v>
      </c>
      <c r="R838" s="18" t="s">
        <v>1120</v>
      </c>
      <c r="S838" s="18">
        <v>1109</v>
      </c>
      <c r="T838" s="18">
        <v>160239.41</v>
      </c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</row>
    <row r="839" spans="6:39" x14ac:dyDescent="0.35">
      <c r="F839" s="18" t="s">
        <v>1109</v>
      </c>
      <c r="G839" s="19">
        <v>46228</v>
      </c>
      <c r="H839" s="18" t="s">
        <v>5623</v>
      </c>
      <c r="I839" s="18" t="s">
        <v>1110</v>
      </c>
      <c r="J839" s="18">
        <v>1176</v>
      </c>
      <c r="K839" s="18" t="s">
        <v>1121</v>
      </c>
      <c r="L839" s="18" t="s">
        <v>5896</v>
      </c>
      <c r="M839" s="19">
        <v>46228</v>
      </c>
      <c r="N839" s="18" t="s">
        <v>1122</v>
      </c>
      <c r="O839" s="18" t="s">
        <v>1123</v>
      </c>
      <c r="P839" s="18" t="s">
        <v>1124</v>
      </c>
      <c r="Q839" s="18" t="s">
        <v>1125</v>
      </c>
      <c r="R839" s="18" t="s">
        <v>1126</v>
      </c>
      <c r="S839" s="18">
        <v>249</v>
      </c>
      <c r="T839" s="18">
        <v>11952</v>
      </c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</row>
    <row r="840" spans="6:39" x14ac:dyDescent="0.35">
      <c r="F840" s="18" t="s">
        <v>1109</v>
      </c>
      <c r="G840" s="19">
        <v>46228</v>
      </c>
      <c r="H840" s="18" t="s">
        <v>5623</v>
      </c>
      <c r="I840" s="18" t="s">
        <v>1110</v>
      </c>
      <c r="J840" s="18">
        <v>1177</v>
      </c>
      <c r="K840" s="18" t="s">
        <v>1111</v>
      </c>
      <c r="L840" s="18" t="s">
        <v>2394</v>
      </c>
      <c r="M840" s="19">
        <v>46228</v>
      </c>
      <c r="N840" s="18" t="s">
        <v>1112</v>
      </c>
      <c r="O840" s="18" t="s">
        <v>1117</v>
      </c>
      <c r="P840" s="18" t="s">
        <v>1138</v>
      </c>
      <c r="Q840" s="18" t="s">
        <v>1139</v>
      </c>
      <c r="R840" s="18" t="s">
        <v>1140</v>
      </c>
      <c r="S840" s="18">
        <v>4460</v>
      </c>
      <c r="T840" s="18">
        <v>689025.4</v>
      </c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</row>
    <row r="841" spans="6:39" x14ac:dyDescent="0.35">
      <c r="F841" s="18" t="s">
        <v>1109</v>
      </c>
      <c r="G841" s="19">
        <v>46228</v>
      </c>
      <c r="H841" s="18" t="s">
        <v>5623</v>
      </c>
      <c r="I841" s="18" t="s">
        <v>1110</v>
      </c>
      <c r="J841" s="18">
        <v>1177</v>
      </c>
      <c r="K841" s="18" t="s">
        <v>1111</v>
      </c>
      <c r="L841" s="18" t="s">
        <v>2394</v>
      </c>
      <c r="M841" s="19">
        <v>46228</v>
      </c>
      <c r="N841" s="18" t="s">
        <v>1112</v>
      </c>
      <c r="O841" s="18" t="s">
        <v>1117</v>
      </c>
      <c r="P841" s="18" t="s">
        <v>1138</v>
      </c>
      <c r="Q841" s="18" t="s">
        <v>1139</v>
      </c>
      <c r="R841" s="18" t="s">
        <v>1140</v>
      </c>
      <c r="S841" s="18">
        <v>402</v>
      </c>
      <c r="T841" s="18">
        <v>59692.98</v>
      </c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</row>
    <row r="842" spans="6:39" x14ac:dyDescent="0.35">
      <c r="F842" s="18" t="s">
        <v>1109</v>
      </c>
      <c r="G842" s="19">
        <v>46228</v>
      </c>
      <c r="H842" s="18" t="s">
        <v>5623</v>
      </c>
      <c r="I842" s="18" t="s">
        <v>1110</v>
      </c>
      <c r="J842" s="18">
        <v>1177</v>
      </c>
      <c r="K842" s="18" t="s">
        <v>1111</v>
      </c>
      <c r="L842" s="18" t="s">
        <v>2394</v>
      </c>
      <c r="M842" s="19">
        <v>46228</v>
      </c>
      <c r="N842" s="18" t="s">
        <v>1112</v>
      </c>
      <c r="O842" s="18" t="s">
        <v>1117</v>
      </c>
      <c r="P842" s="18" t="s">
        <v>1118</v>
      </c>
      <c r="Q842" s="18" t="s">
        <v>1119</v>
      </c>
      <c r="R842" s="18" t="s">
        <v>1120</v>
      </c>
      <c r="S842" s="18">
        <v>1749</v>
      </c>
      <c r="T842" s="18">
        <v>261458.01</v>
      </c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</row>
    <row r="843" spans="6:39" x14ac:dyDescent="0.35">
      <c r="F843" s="18" t="s">
        <v>1109</v>
      </c>
      <c r="G843" s="19">
        <v>46228</v>
      </c>
      <c r="H843" s="18" t="s">
        <v>5623</v>
      </c>
      <c r="I843" s="18" t="s">
        <v>1110</v>
      </c>
      <c r="J843" s="18">
        <v>1177</v>
      </c>
      <c r="K843" s="18" t="s">
        <v>1111</v>
      </c>
      <c r="L843" s="18" t="s">
        <v>2394</v>
      </c>
      <c r="M843" s="19">
        <v>46228</v>
      </c>
      <c r="N843" s="18" t="s">
        <v>1112</v>
      </c>
      <c r="O843" s="18" t="s">
        <v>1127</v>
      </c>
      <c r="P843" s="18" t="s">
        <v>1128</v>
      </c>
      <c r="Q843" s="18" t="s">
        <v>1129</v>
      </c>
      <c r="R843" s="18" t="s">
        <v>1130</v>
      </c>
      <c r="S843" s="18">
        <v>815</v>
      </c>
      <c r="T843" s="18">
        <v>148965.70000000001</v>
      </c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</row>
    <row r="844" spans="6:39" x14ac:dyDescent="0.35">
      <c r="F844" s="18" t="s">
        <v>1109</v>
      </c>
      <c r="G844" s="19">
        <v>46228</v>
      </c>
      <c r="H844" s="18" t="s">
        <v>538</v>
      </c>
      <c r="I844" s="18" t="s">
        <v>1136</v>
      </c>
      <c r="J844" s="18" t="s">
        <v>5332</v>
      </c>
      <c r="K844" s="18" t="s">
        <v>2028</v>
      </c>
      <c r="L844" s="18" t="s">
        <v>5332</v>
      </c>
      <c r="M844" s="19">
        <v>46228</v>
      </c>
      <c r="N844" s="18" t="s">
        <v>1146</v>
      </c>
      <c r="O844" s="18" t="s">
        <v>1147</v>
      </c>
      <c r="P844" s="18" t="s">
        <v>1147</v>
      </c>
      <c r="Q844" s="18" t="s">
        <v>1148</v>
      </c>
      <c r="R844" s="18" t="s">
        <v>1169</v>
      </c>
      <c r="S844" s="18">
        <v>18482</v>
      </c>
      <c r="T844" s="18">
        <v>4065984</v>
      </c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</row>
    <row r="845" spans="6:39" x14ac:dyDescent="0.35">
      <c r="F845" s="18" t="s">
        <v>1109</v>
      </c>
      <c r="G845" s="19">
        <v>46228</v>
      </c>
      <c r="H845" s="18" t="s">
        <v>1135</v>
      </c>
      <c r="I845" s="18" t="s">
        <v>1136</v>
      </c>
      <c r="J845" s="18" t="s">
        <v>5897</v>
      </c>
      <c r="K845" s="18" t="s">
        <v>1137</v>
      </c>
      <c r="L845" s="18" t="s">
        <v>5897</v>
      </c>
      <c r="M845" s="19">
        <v>46228</v>
      </c>
      <c r="N845" s="18" t="s">
        <v>1112</v>
      </c>
      <c r="O845" s="18" t="s">
        <v>3407</v>
      </c>
      <c r="P845" s="18" t="s">
        <v>3792</v>
      </c>
      <c r="Q845" s="18" t="s">
        <v>1162</v>
      </c>
      <c r="R845" s="18" t="s">
        <v>1163</v>
      </c>
      <c r="S845" s="18">
        <v>311.8</v>
      </c>
      <c r="T845" s="18">
        <v>50073.924999999996</v>
      </c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</row>
    <row r="846" spans="6:39" x14ac:dyDescent="0.35">
      <c r="F846" s="18" t="s">
        <v>1109</v>
      </c>
      <c r="G846" s="19">
        <v>46228</v>
      </c>
      <c r="H846" s="18" t="s">
        <v>1135</v>
      </c>
      <c r="I846" s="18" t="s">
        <v>1136</v>
      </c>
      <c r="J846" s="18" t="s">
        <v>5898</v>
      </c>
      <c r="K846" s="18" t="s">
        <v>1137</v>
      </c>
      <c r="L846" s="18" t="s">
        <v>5898</v>
      </c>
      <c r="M846" s="19">
        <v>46228</v>
      </c>
      <c r="N846" s="18" t="s">
        <v>1112</v>
      </c>
      <c r="O846" s="18" t="s">
        <v>1117</v>
      </c>
      <c r="P846" s="18" t="s">
        <v>1138</v>
      </c>
      <c r="Q846" s="18" t="s">
        <v>1139</v>
      </c>
      <c r="R846" s="18" t="s">
        <v>1140</v>
      </c>
      <c r="S846" s="18">
        <v>3182</v>
      </c>
      <c r="T846" s="18">
        <v>451868.67</v>
      </c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</row>
    <row r="847" spans="6:39" x14ac:dyDescent="0.35">
      <c r="F847" s="18" t="s">
        <v>1109</v>
      </c>
      <c r="G847" s="19">
        <v>46228</v>
      </c>
      <c r="H847" s="18" t="s">
        <v>1135</v>
      </c>
      <c r="I847" s="18" t="s">
        <v>1136</v>
      </c>
      <c r="J847" s="18" t="s">
        <v>5899</v>
      </c>
      <c r="K847" s="18" t="s">
        <v>1137</v>
      </c>
      <c r="L847" s="18" t="s">
        <v>5899</v>
      </c>
      <c r="M847" s="19">
        <v>46228</v>
      </c>
      <c r="N847" s="18" t="s">
        <v>1112</v>
      </c>
      <c r="O847" s="18" t="s">
        <v>1153</v>
      </c>
      <c r="P847" s="18" t="s">
        <v>1154</v>
      </c>
      <c r="Q847" s="18" t="s">
        <v>1155</v>
      </c>
      <c r="R847" s="18" t="s">
        <v>1154</v>
      </c>
      <c r="S847" s="18">
        <v>495.8</v>
      </c>
      <c r="T847" s="18">
        <v>66685.135000000009</v>
      </c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</row>
    <row r="848" spans="6:39" x14ac:dyDescent="0.35">
      <c r="F848" s="18" t="s">
        <v>1109</v>
      </c>
      <c r="G848" s="19">
        <v>46228</v>
      </c>
      <c r="H848" s="18" t="s">
        <v>125</v>
      </c>
      <c r="I848" s="18" t="s">
        <v>1110</v>
      </c>
      <c r="J848" s="18">
        <v>1178</v>
      </c>
      <c r="K848" s="18" t="s">
        <v>1121</v>
      </c>
      <c r="L848" s="18" t="s">
        <v>5533</v>
      </c>
      <c r="M848" s="19">
        <v>46228</v>
      </c>
      <c r="N848" s="18" t="s">
        <v>1122</v>
      </c>
      <c r="O848" s="18" t="s">
        <v>1123</v>
      </c>
      <c r="P848" s="18" t="s">
        <v>1124</v>
      </c>
      <c r="Q848" s="18" t="s">
        <v>1125</v>
      </c>
      <c r="R848" s="18" t="s">
        <v>1126</v>
      </c>
      <c r="S848" s="18">
        <v>40</v>
      </c>
      <c r="T848" s="18">
        <v>1920</v>
      </c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</row>
    <row r="849" spans="6:39" x14ac:dyDescent="0.35">
      <c r="F849" s="18" t="s">
        <v>1109</v>
      </c>
      <c r="G849" s="19">
        <v>46228</v>
      </c>
      <c r="H849" s="18" t="s">
        <v>125</v>
      </c>
      <c r="I849" s="18" t="s">
        <v>1110</v>
      </c>
      <c r="J849" s="18">
        <v>1179</v>
      </c>
      <c r="K849" s="18" t="s">
        <v>1111</v>
      </c>
      <c r="L849" s="18" t="s">
        <v>5534</v>
      </c>
      <c r="M849" s="19">
        <v>46228</v>
      </c>
      <c r="N849" s="18" t="s">
        <v>1112</v>
      </c>
      <c r="O849" s="18" t="s">
        <v>1113</v>
      </c>
      <c r="P849" s="18" t="s">
        <v>1114</v>
      </c>
      <c r="Q849" s="18" t="s">
        <v>1115</v>
      </c>
      <c r="R849" s="18" t="s">
        <v>1144</v>
      </c>
      <c r="S849" s="18">
        <v>54</v>
      </c>
      <c r="T849" s="18">
        <v>8693.4599999999991</v>
      </c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</row>
    <row r="850" spans="6:39" x14ac:dyDescent="0.35">
      <c r="F850" s="18" t="s">
        <v>1109</v>
      </c>
      <c r="G850" s="19">
        <v>46228</v>
      </c>
      <c r="H850" s="18" t="s">
        <v>125</v>
      </c>
      <c r="I850" s="18" t="s">
        <v>1110</v>
      </c>
      <c r="J850" s="18">
        <v>1179</v>
      </c>
      <c r="K850" s="18" t="s">
        <v>1111</v>
      </c>
      <c r="L850" s="18" t="s">
        <v>5534</v>
      </c>
      <c r="M850" s="19">
        <v>46228</v>
      </c>
      <c r="N850" s="18" t="s">
        <v>1112</v>
      </c>
      <c r="O850" s="18" t="s">
        <v>1117</v>
      </c>
      <c r="P850" s="18" t="s">
        <v>1138</v>
      </c>
      <c r="Q850" s="18" t="s">
        <v>1139</v>
      </c>
      <c r="R850" s="18" t="s">
        <v>1140</v>
      </c>
      <c r="S850" s="18">
        <v>1289</v>
      </c>
      <c r="T850" s="18">
        <v>195270.61</v>
      </c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</row>
    <row r="851" spans="6:39" x14ac:dyDescent="0.35">
      <c r="F851" s="18" t="s">
        <v>1109</v>
      </c>
      <c r="G851" s="19">
        <v>46228</v>
      </c>
      <c r="H851" s="18" t="s">
        <v>125</v>
      </c>
      <c r="I851" s="18" t="s">
        <v>1110</v>
      </c>
      <c r="J851" s="18">
        <v>1179</v>
      </c>
      <c r="K851" s="18" t="s">
        <v>1111</v>
      </c>
      <c r="L851" s="18" t="s">
        <v>5534</v>
      </c>
      <c r="M851" s="19">
        <v>46228</v>
      </c>
      <c r="N851" s="18" t="s">
        <v>1112</v>
      </c>
      <c r="O851" s="18" t="s">
        <v>1131</v>
      </c>
      <c r="P851" s="18" t="s">
        <v>1132</v>
      </c>
      <c r="Q851" s="18" t="s">
        <v>1132</v>
      </c>
      <c r="R851" s="18" t="s">
        <v>1131</v>
      </c>
      <c r="S851" s="18">
        <v>1007.9</v>
      </c>
      <c r="T851" s="18">
        <v>150670.97</v>
      </c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</row>
    <row r="852" spans="6:39" x14ac:dyDescent="0.35">
      <c r="F852" s="18" t="s">
        <v>1109</v>
      </c>
      <c r="G852" s="19">
        <v>46228</v>
      </c>
      <c r="H852" s="18" t="s">
        <v>125</v>
      </c>
      <c r="I852" s="18" t="s">
        <v>1110</v>
      </c>
      <c r="J852" s="18">
        <v>1179</v>
      </c>
      <c r="K852" s="18" t="s">
        <v>1111</v>
      </c>
      <c r="L852" s="18" t="s">
        <v>5534</v>
      </c>
      <c r="M852" s="19">
        <v>46228</v>
      </c>
      <c r="N852" s="18" t="s">
        <v>1112</v>
      </c>
      <c r="O852" s="18" t="s">
        <v>1131</v>
      </c>
      <c r="P852" s="18" t="s">
        <v>1132</v>
      </c>
      <c r="Q852" s="18" t="s">
        <v>1132</v>
      </c>
      <c r="R852" s="18" t="s">
        <v>1131</v>
      </c>
      <c r="S852" s="18">
        <v>1107.5999999999999</v>
      </c>
      <c r="T852" s="18">
        <v>162252.32</v>
      </c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</row>
    <row r="853" spans="6:39" x14ac:dyDescent="0.35">
      <c r="F853" s="18" t="s">
        <v>1109</v>
      </c>
      <c r="G853" s="19">
        <v>46228</v>
      </c>
      <c r="H853" s="18" t="s">
        <v>125</v>
      </c>
      <c r="I853" s="18" t="s">
        <v>1110</v>
      </c>
      <c r="J853" s="18">
        <v>1179</v>
      </c>
      <c r="K853" s="18" t="s">
        <v>1111</v>
      </c>
      <c r="L853" s="18" t="s">
        <v>5534</v>
      </c>
      <c r="M853" s="19">
        <v>46228</v>
      </c>
      <c r="N853" s="18" t="s">
        <v>1112</v>
      </c>
      <c r="O853" s="18" t="s">
        <v>1113</v>
      </c>
      <c r="P853" s="18" t="s">
        <v>1114</v>
      </c>
      <c r="Q853" s="18" t="s">
        <v>1115</v>
      </c>
      <c r="R853" s="18" t="s">
        <v>1116</v>
      </c>
      <c r="S853" s="18">
        <v>948.6</v>
      </c>
      <c r="T853" s="18">
        <v>148446.41</v>
      </c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</row>
    <row r="854" spans="6:39" x14ac:dyDescent="0.35">
      <c r="F854" s="18" t="s">
        <v>1109</v>
      </c>
      <c r="G854" s="19">
        <v>46228</v>
      </c>
      <c r="H854" s="18" t="s">
        <v>125</v>
      </c>
      <c r="I854" s="18" t="s">
        <v>1110</v>
      </c>
      <c r="J854" s="18">
        <v>1179</v>
      </c>
      <c r="K854" s="18" t="s">
        <v>1111</v>
      </c>
      <c r="L854" s="18" t="s">
        <v>5534</v>
      </c>
      <c r="M854" s="19">
        <v>46228</v>
      </c>
      <c r="N854" s="18" t="s">
        <v>1112</v>
      </c>
      <c r="O854" s="18" t="s">
        <v>1127</v>
      </c>
      <c r="P854" s="18" t="s">
        <v>1128</v>
      </c>
      <c r="Q854" s="18" t="s">
        <v>1129</v>
      </c>
      <c r="R854" s="18" t="s">
        <v>1130</v>
      </c>
      <c r="S854" s="18">
        <v>1386</v>
      </c>
      <c r="T854" s="18">
        <v>253333.08</v>
      </c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</row>
    <row r="855" spans="6:39" x14ac:dyDescent="0.35">
      <c r="F855" s="18" t="s">
        <v>1109</v>
      </c>
      <c r="G855" s="19">
        <v>46229</v>
      </c>
      <c r="H855" s="18" t="s">
        <v>3790</v>
      </c>
      <c r="I855" s="18" t="s">
        <v>1110</v>
      </c>
      <c r="J855" s="18">
        <v>1180</v>
      </c>
      <c r="K855" s="18" t="s">
        <v>1111</v>
      </c>
      <c r="L855" s="18" t="s">
        <v>5900</v>
      </c>
      <c r="M855" s="19">
        <v>46229</v>
      </c>
      <c r="N855" s="18" t="s">
        <v>1146</v>
      </c>
      <c r="O855" s="18" t="s">
        <v>1179</v>
      </c>
      <c r="P855" s="18" t="s">
        <v>1179</v>
      </c>
      <c r="Q855" s="18" t="s">
        <v>1139</v>
      </c>
      <c r="R855" s="18" t="s">
        <v>1179</v>
      </c>
      <c r="S855" s="18">
        <v>597</v>
      </c>
      <c r="T855" s="18">
        <v>93424.53</v>
      </c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</row>
    <row r="856" spans="6:39" x14ac:dyDescent="0.35">
      <c r="F856" s="18" t="s">
        <v>1109</v>
      </c>
      <c r="G856" s="19">
        <v>46229</v>
      </c>
      <c r="H856" s="18" t="s">
        <v>3790</v>
      </c>
      <c r="I856" s="18" t="s">
        <v>1110</v>
      </c>
      <c r="J856" s="18">
        <v>1180</v>
      </c>
      <c r="K856" s="18" t="s">
        <v>1111</v>
      </c>
      <c r="L856" s="18" t="s">
        <v>5900</v>
      </c>
      <c r="M856" s="19">
        <v>46229</v>
      </c>
      <c r="N856" s="18" t="s">
        <v>1112</v>
      </c>
      <c r="O856" s="18" t="s">
        <v>1117</v>
      </c>
      <c r="P856" s="18" t="s">
        <v>1118</v>
      </c>
      <c r="Q856" s="18" t="s">
        <v>1119</v>
      </c>
      <c r="R856" s="18" t="s">
        <v>1120</v>
      </c>
      <c r="S856" s="18">
        <v>274</v>
      </c>
      <c r="T856" s="18">
        <v>40412.26</v>
      </c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</row>
    <row r="857" spans="6:39" x14ac:dyDescent="0.35">
      <c r="F857" s="18" t="s">
        <v>1109</v>
      </c>
      <c r="G857" s="19">
        <v>46229</v>
      </c>
      <c r="H857" s="18" t="s">
        <v>3790</v>
      </c>
      <c r="I857" s="18" t="s">
        <v>1110</v>
      </c>
      <c r="J857" s="18">
        <v>1180</v>
      </c>
      <c r="K857" s="18" t="s">
        <v>1111</v>
      </c>
      <c r="L857" s="18" t="s">
        <v>5900</v>
      </c>
      <c r="M857" s="19">
        <v>46229</v>
      </c>
      <c r="N857" s="18" t="s">
        <v>1112</v>
      </c>
      <c r="O857" s="18" t="s">
        <v>1117</v>
      </c>
      <c r="P857" s="18" t="s">
        <v>1118</v>
      </c>
      <c r="Q857" s="18" t="s">
        <v>1119</v>
      </c>
      <c r="R857" s="18" t="s">
        <v>1120</v>
      </c>
      <c r="S857" s="18">
        <v>5141</v>
      </c>
      <c r="T857" s="18">
        <v>742823.09</v>
      </c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</row>
    <row r="858" spans="6:39" x14ac:dyDescent="0.35">
      <c r="F858" s="18" t="s">
        <v>1109</v>
      </c>
      <c r="G858" s="19">
        <v>46229</v>
      </c>
      <c r="H858" s="18" t="s">
        <v>3790</v>
      </c>
      <c r="I858" s="18" t="s">
        <v>1110</v>
      </c>
      <c r="J858" s="18">
        <v>1180</v>
      </c>
      <c r="K858" s="18" t="s">
        <v>1111</v>
      </c>
      <c r="L858" s="18" t="s">
        <v>5900</v>
      </c>
      <c r="M858" s="19">
        <v>46229</v>
      </c>
      <c r="N858" s="18" t="s">
        <v>1112</v>
      </c>
      <c r="O858" s="18" t="s">
        <v>1117</v>
      </c>
      <c r="P858" s="18" t="s">
        <v>1118</v>
      </c>
      <c r="Q858" s="18" t="s">
        <v>1119</v>
      </c>
      <c r="R858" s="18" t="s">
        <v>1120</v>
      </c>
      <c r="S858" s="18">
        <v>737</v>
      </c>
      <c r="T858" s="18">
        <v>107963.13</v>
      </c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</row>
    <row r="859" spans="6:39" x14ac:dyDescent="0.35">
      <c r="F859" s="18" t="s">
        <v>1109</v>
      </c>
      <c r="G859" s="19">
        <v>46229</v>
      </c>
      <c r="H859" s="18" t="s">
        <v>3790</v>
      </c>
      <c r="I859" s="18" t="s">
        <v>1110</v>
      </c>
      <c r="J859" s="18">
        <v>1182</v>
      </c>
      <c r="K859" s="18" t="s">
        <v>1121</v>
      </c>
      <c r="L859" s="18" t="s">
        <v>5901</v>
      </c>
      <c r="M859" s="19">
        <v>46229</v>
      </c>
      <c r="N859" s="18" t="s">
        <v>1122</v>
      </c>
      <c r="O859" s="18" t="s">
        <v>1123</v>
      </c>
      <c r="P859" s="18" t="s">
        <v>1124</v>
      </c>
      <c r="Q859" s="18" t="s">
        <v>1125</v>
      </c>
      <c r="R859" s="18" t="s">
        <v>1126</v>
      </c>
      <c r="S859" s="18">
        <v>356</v>
      </c>
      <c r="T859" s="18">
        <v>17088</v>
      </c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</row>
    <row r="860" spans="6:39" x14ac:dyDescent="0.35">
      <c r="F860" s="18" t="s">
        <v>1109</v>
      </c>
      <c r="G860" s="19">
        <v>46229</v>
      </c>
      <c r="H860" s="18" t="s">
        <v>3790</v>
      </c>
      <c r="I860" s="18" t="s">
        <v>1110</v>
      </c>
      <c r="J860" s="18">
        <v>1183</v>
      </c>
      <c r="K860" s="18" t="s">
        <v>1111</v>
      </c>
      <c r="L860" s="18" t="s">
        <v>5902</v>
      </c>
      <c r="M860" s="19">
        <v>46229</v>
      </c>
      <c r="N860" s="18" t="s">
        <v>1112</v>
      </c>
      <c r="O860" s="18" t="s">
        <v>1127</v>
      </c>
      <c r="P860" s="18" t="s">
        <v>1128</v>
      </c>
      <c r="Q860" s="18" t="s">
        <v>1129</v>
      </c>
      <c r="R860" s="18" t="s">
        <v>1130</v>
      </c>
      <c r="S860" s="18">
        <v>4383.3999999999996</v>
      </c>
      <c r="T860" s="18">
        <v>801197.85</v>
      </c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</row>
    <row r="861" spans="6:39" x14ac:dyDescent="0.35">
      <c r="F861" s="18" t="s">
        <v>1109</v>
      </c>
      <c r="G861" s="19">
        <v>46229</v>
      </c>
      <c r="H861" s="18" t="s">
        <v>3790</v>
      </c>
      <c r="I861" s="18" t="s">
        <v>1110</v>
      </c>
      <c r="J861" s="18">
        <v>1183</v>
      </c>
      <c r="K861" s="18" t="s">
        <v>1111</v>
      </c>
      <c r="L861" s="18" t="s">
        <v>5902</v>
      </c>
      <c r="M861" s="19">
        <v>46229</v>
      </c>
      <c r="N861" s="18" t="s">
        <v>1112</v>
      </c>
      <c r="O861" s="18" t="s">
        <v>1127</v>
      </c>
      <c r="P861" s="18" t="s">
        <v>1128</v>
      </c>
      <c r="Q861" s="18" t="s">
        <v>1129</v>
      </c>
      <c r="R861" s="18" t="s">
        <v>1130</v>
      </c>
      <c r="S861" s="18">
        <v>133</v>
      </c>
      <c r="T861" s="18">
        <v>24708.74</v>
      </c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</row>
    <row r="862" spans="6:39" x14ac:dyDescent="0.35">
      <c r="F862" s="18" t="s">
        <v>1109</v>
      </c>
      <c r="G862" s="19">
        <v>46229</v>
      </c>
      <c r="H862" s="18" t="s">
        <v>3790</v>
      </c>
      <c r="I862" s="18" t="s">
        <v>1110</v>
      </c>
      <c r="J862" s="18">
        <v>1183</v>
      </c>
      <c r="K862" s="18" t="s">
        <v>1111</v>
      </c>
      <c r="L862" s="18" t="s">
        <v>5902</v>
      </c>
      <c r="M862" s="19">
        <v>46229</v>
      </c>
      <c r="N862" s="18" t="s">
        <v>1112</v>
      </c>
      <c r="O862" s="18" t="s">
        <v>1127</v>
      </c>
      <c r="P862" s="18" t="s">
        <v>1128</v>
      </c>
      <c r="Q862" s="18" t="s">
        <v>1129</v>
      </c>
      <c r="R862" s="18" t="s">
        <v>1130</v>
      </c>
      <c r="S862" s="18">
        <v>81</v>
      </c>
      <c r="T862" s="18">
        <v>15129.18</v>
      </c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</row>
    <row r="863" spans="6:39" x14ac:dyDescent="0.35">
      <c r="F863" s="18" t="s">
        <v>1109</v>
      </c>
      <c r="G863" s="19">
        <v>46229</v>
      </c>
      <c r="H863" s="18" t="s">
        <v>3790</v>
      </c>
      <c r="I863" s="18" t="s">
        <v>1110</v>
      </c>
      <c r="J863" s="18">
        <v>1183</v>
      </c>
      <c r="K863" s="18" t="s">
        <v>1111</v>
      </c>
      <c r="L863" s="18" t="s">
        <v>5902</v>
      </c>
      <c r="M863" s="19">
        <v>46229</v>
      </c>
      <c r="N863" s="18" t="s">
        <v>1112</v>
      </c>
      <c r="O863" s="18" t="s">
        <v>1131</v>
      </c>
      <c r="P863" s="18" t="s">
        <v>1132</v>
      </c>
      <c r="Q863" s="18" t="s">
        <v>1132</v>
      </c>
      <c r="R863" s="18" t="s">
        <v>1131</v>
      </c>
      <c r="S863" s="18">
        <v>1321.8</v>
      </c>
      <c r="T863" s="18">
        <v>197595.88</v>
      </c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</row>
    <row r="864" spans="6:39" x14ac:dyDescent="0.35">
      <c r="F864" s="18" t="s">
        <v>1109</v>
      </c>
      <c r="G864" s="19">
        <v>46229</v>
      </c>
      <c r="H864" s="18" t="s">
        <v>3790</v>
      </c>
      <c r="I864" s="18" t="s">
        <v>1110</v>
      </c>
      <c r="J864" s="18">
        <v>1183</v>
      </c>
      <c r="K864" s="18" t="s">
        <v>1111</v>
      </c>
      <c r="L864" s="18" t="s">
        <v>5902</v>
      </c>
      <c r="M864" s="19">
        <v>46229</v>
      </c>
      <c r="N864" s="18" t="s">
        <v>1112</v>
      </c>
      <c r="O864" s="18" t="s">
        <v>1131</v>
      </c>
      <c r="P864" s="18" t="s">
        <v>1132</v>
      </c>
      <c r="Q864" s="18" t="s">
        <v>1132</v>
      </c>
      <c r="R864" s="18" t="s">
        <v>1131</v>
      </c>
      <c r="S864" s="18">
        <v>1004.3</v>
      </c>
      <c r="T864" s="18">
        <v>147119.91</v>
      </c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</row>
    <row r="865" spans="6:39" x14ac:dyDescent="0.35">
      <c r="F865" s="18" t="s">
        <v>1109</v>
      </c>
      <c r="G865" s="19">
        <v>46229</v>
      </c>
      <c r="H865" s="18" t="s">
        <v>3790</v>
      </c>
      <c r="I865" s="18" t="s">
        <v>1110</v>
      </c>
      <c r="J865" s="18">
        <v>1183</v>
      </c>
      <c r="K865" s="18" t="s">
        <v>1111</v>
      </c>
      <c r="L865" s="18" t="s">
        <v>5902</v>
      </c>
      <c r="M865" s="19">
        <v>46229</v>
      </c>
      <c r="N865" s="18" t="s">
        <v>1112</v>
      </c>
      <c r="O865" s="18" t="s">
        <v>1117</v>
      </c>
      <c r="P865" s="18" t="s">
        <v>1118</v>
      </c>
      <c r="Q865" s="18" t="s">
        <v>1119</v>
      </c>
      <c r="R865" s="18" t="s">
        <v>1120</v>
      </c>
      <c r="S865" s="18">
        <v>1418</v>
      </c>
      <c r="T865" s="18">
        <v>204886.82</v>
      </c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</row>
    <row r="866" spans="6:39" x14ac:dyDescent="0.35">
      <c r="F866" s="18" t="s">
        <v>1109</v>
      </c>
      <c r="G866" s="19">
        <v>46229</v>
      </c>
      <c r="H866" s="18" t="s">
        <v>3790</v>
      </c>
      <c r="I866" s="18" t="s">
        <v>1110</v>
      </c>
      <c r="J866" s="18">
        <v>1183</v>
      </c>
      <c r="K866" s="18" t="s">
        <v>1111</v>
      </c>
      <c r="L866" s="18" t="s">
        <v>5902</v>
      </c>
      <c r="M866" s="19">
        <v>46229</v>
      </c>
      <c r="N866" s="18" t="s">
        <v>1112</v>
      </c>
      <c r="O866" s="18" t="s">
        <v>1117</v>
      </c>
      <c r="P866" s="18" t="s">
        <v>1138</v>
      </c>
      <c r="Q866" s="18" t="s">
        <v>1139</v>
      </c>
      <c r="R866" s="18" t="s">
        <v>1140</v>
      </c>
      <c r="S866" s="18">
        <v>2377</v>
      </c>
      <c r="T866" s="18">
        <v>360091.73</v>
      </c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</row>
    <row r="867" spans="6:39" x14ac:dyDescent="0.35">
      <c r="F867" s="18" t="s">
        <v>1109</v>
      </c>
      <c r="G867" s="19">
        <v>46229</v>
      </c>
      <c r="H867" s="18" t="s">
        <v>3790</v>
      </c>
      <c r="I867" s="18" t="s">
        <v>1110</v>
      </c>
      <c r="J867" s="18">
        <v>1183</v>
      </c>
      <c r="K867" s="18" t="s">
        <v>1111</v>
      </c>
      <c r="L867" s="18" t="s">
        <v>5902</v>
      </c>
      <c r="M867" s="19">
        <v>46229</v>
      </c>
      <c r="N867" s="18" t="s">
        <v>1112</v>
      </c>
      <c r="O867" s="18" t="s">
        <v>1117</v>
      </c>
      <c r="P867" s="18" t="s">
        <v>1138</v>
      </c>
      <c r="Q867" s="18" t="s">
        <v>1139</v>
      </c>
      <c r="R867" s="18" t="s">
        <v>1140</v>
      </c>
      <c r="S867" s="18">
        <v>604</v>
      </c>
      <c r="T867" s="18">
        <v>89687.96</v>
      </c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</row>
    <row r="868" spans="6:39" x14ac:dyDescent="0.35">
      <c r="F868" s="18" t="s">
        <v>1109</v>
      </c>
      <c r="G868" s="19">
        <v>46229</v>
      </c>
      <c r="H868" s="18" t="s">
        <v>3790</v>
      </c>
      <c r="I868" s="18" t="s">
        <v>1110</v>
      </c>
      <c r="J868" s="18">
        <v>1186</v>
      </c>
      <c r="K868" s="18" t="s">
        <v>1111</v>
      </c>
      <c r="L868" s="18" t="s">
        <v>5903</v>
      </c>
      <c r="M868" s="19">
        <v>46229</v>
      </c>
      <c r="N868" s="18" t="s">
        <v>1112</v>
      </c>
      <c r="O868" s="18" t="s">
        <v>1117</v>
      </c>
      <c r="P868" s="18" t="s">
        <v>1118</v>
      </c>
      <c r="Q868" s="18" t="s">
        <v>1119</v>
      </c>
      <c r="R868" s="18" t="s">
        <v>1120</v>
      </c>
      <c r="S868" s="18">
        <v>576</v>
      </c>
      <c r="T868" s="18">
        <v>83226.240000000005</v>
      </c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</row>
    <row r="869" spans="6:39" x14ac:dyDescent="0.35">
      <c r="F869" s="18" t="s">
        <v>1109</v>
      </c>
      <c r="G869" s="19">
        <v>46229</v>
      </c>
      <c r="H869" s="18" t="s">
        <v>3790</v>
      </c>
      <c r="I869" s="18" t="s">
        <v>1110</v>
      </c>
      <c r="J869" s="18">
        <v>1186</v>
      </c>
      <c r="K869" s="18" t="s">
        <v>1111</v>
      </c>
      <c r="L869" s="18" t="s">
        <v>5903</v>
      </c>
      <c r="M869" s="19">
        <v>46229</v>
      </c>
      <c r="N869" s="18" t="s">
        <v>1112</v>
      </c>
      <c r="O869" s="18" t="s">
        <v>1117</v>
      </c>
      <c r="P869" s="18" t="s">
        <v>1118</v>
      </c>
      <c r="Q869" s="18" t="s">
        <v>1119</v>
      </c>
      <c r="R869" s="18" t="s">
        <v>1120</v>
      </c>
      <c r="S869" s="18">
        <v>292</v>
      </c>
      <c r="T869" s="18">
        <v>43067.08</v>
      </c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</row>
    <row r="870" spans="6:39" x14ac:dyDescent="0.35">
      <c r="F870" s="18" t="s">
        <v>1109</v>
      </c>
      <c r="G870" s="19">
        <v>46229</v>
      </c>
      <c r="H870" s="18" t="s">
        <v>1135</v>
      </c>
      <c r="I870" s="18" t="s">
        <v>1136</v>
      </c>
      <c r="J870" s="18" t="s">
        <v>5904</v>
      </c>
      <c r="K870" s="18" t="s">
        <v>1137</v>
      </c>
      <c r="L870" s="18" t="s">
        <v>5904</v>
      </c>
      <c r="M870" s="19">
        <v>46229</v>
      </c>
      <c r="N870" s="18" t="s">
        <v>1112</v>
      </c>
      <c r="O870" s="18" t="s">
        <v>1117</v>
      </c>
      <c r="P870" s="18" t="s">
        <v>1118</v>
      </c>
      <c r="Q870" s="18" t="s">
        <v>1119</v>
      </c>
      <c r="R870" s="18" t="s">
        <v>1120</v>
      </c>
      <c r="S870" s="18">
        <v>5258</v>
      </c>
      <c r="T870" s="18">
        <v>730551.96500000008</v>
      </c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</row>
    <row r="871" spans="6:39" x14ac:dyDescent="0.35">
      <c r="F871" s="18" t="s">
        <v>1109</v>
      </c>
      <c r="G871" s="19">
        <v>46229</v>
      </c>
      <c r="H871" s="18" t="s">
        <v>1135</v>
      </c>
      <c r="I871" s="18" t="s">
        <v>1136</v>
      </c>
      <c r="J871" s="18" t="s">
        <v>5905</v>
      </c>
      <c r="K871" s="18" t="s">
        <v>1137</v>
      </c>
      <c r="L871" s="18" t="s">
        <v>5905</v>
      </c>
      <c r="M871" s="19">
        <v>46229</v>
      </c>
      <c r="N871" s="18" t="s">
        <v>1112</v>
      </c>
      <c r="O871" s="18" t="s">
        <v>1127</v>
      </c>
      <c r="P871" s="18" t="s">
        <v>1128</v>
      </c>
      <c r="Q871" s="18" t="s">
        <v>1129</v>
      </c>
      <c r="R871" s="18" t="s">
        <v>5701</v>
      </c>
      <c r="S871" s="18">
        <v>164</v>
      </c>
      <c r="T871" s="18">
        <v>28634.375</v>
      </c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</row>
    <row r="872" spans="6:39" x14ac:dyDescent="0.35">
      <c r="F872" s="18" t="s">
        <v>1109</v>
      </c>
      <c r="G872" s="19">
        <v>46229</v>
      </c>
      <c r="H872" s="18" t="s">
        <v>1135</v>
      </c>
      <c r="I872" s="18" t="s">
        <v>1136</v>
      </c>
      <c r="J872" s="18" t="s">
        <v>5906</v>
      </c>
      <c r="K872" s="18" t="s">
        <v>1137</v>
      </c>
      <c r="L872" s="18" t="s">
        <v>5906</v>
      </c>
      <c r="M872" s="19">
        <v>46229</v>
      </c>
      <c r="N872" s="18" t="s">
        <v>1112</v>
      </c>
      <c r="O872" s="18" t="s">
        <v>3407</v>
      </c>
      <c r="P872" s="18" t="s">
        <v>5881</v>
      </c>
      <c r="Q872" s="18" t="s">
        <v>1162</v>
      </c>
      <c r="R872" s="18" t="s">
        <v>5882</v>
      </c>
      <c r="S872" s="18">
        <v>187</v>
      </c>
      <c r="T872" s="18">
        <v>30031.264999999999</v>
      </c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</row>
    <row r="873" spans="6:39" x14ac:dyDescent="0.35">
      <c r="F873" s="18" t="s">
        <v>1109</v>
      </c>
      <c r="G873" s="19">
        <v>46229</v>
      </c>
      <c r="H873" s="18" t="s">
        <v>485</v>
      </c>
      <c r="I873" s="18" t="s">
        <v>1110</v>
      </c>
      <c r="J873" s="18">
        <v>1187</v>
      </c>
      <c r="K873" s="18" t="s">
        <v>1121</v>
      </c>
      <c r="L873" s="18" t="s">
        <v>5907</v>
      </c>
      <c r="M873" s="19">
        <v>46229</v>
      </c>
      <c r="N873" s="18" t="s">
        <v>1122</v>
      </c>
      <c r="O873" s="18" t="s">
        <v>1123</v>
      </c>
      <c r="P873" s="18" t="s">
        <v>1124</v>
      </c>
      <c r="Q873" s="18" t="s">
        <v>1125</v>
      </c>
      <c r="R873" s="18" t="s">
        <v>1126</v>
      </c>
      <c r="S873" s="18">
        <v>197</v>
      </c>
      <c r="T873" s="18">
        <v>9456</v>
      </c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</row>
    <row r="874" spans="6:39" x14ac:dyDescent="0.35">
      <c r="F874" s="18" t="s">
        <v>1109</v>
      </c>
      <c r="G874" s="19">
        <v>46229</v>
      </c>
      <c r="H874" s="18" t="s">
        <v>485</v>
      </c>
      <c r="I874" s="18" t="s">
        <v>1110</v>
      </c>
      <c r="J874" s="18">
        <v>1188</v>
      </c>
      <c r="K874" s="18" t="s">
        <v>1111</v>
      </c>
      <c r="L874" s="18" t="s">
        <v>5908</v>
      </c>
      <c r="M874" s="19">
        <v>46229</v>
      </c>
      <c r="N874" s="18" t="s">
        <v>1112</v>
      </c>
      <c r="O874" s="18" t="s">
        <v>1113</v>
      </c>
      <c r="P874" s="18" t="s">
        <v>1114</v>
      </c>
      <c r="Q874" s="18" t="s">
        <v>1115</v>
      </c>
      <c r="R874" s="18" t="s">
        <v>1116</v>
      </c>
      <c r="S874" s="18">
        <v>1828.15</v>
      </c>
      <c r="T874" s="18">
        <v>286087.19</v>
      </c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</row>
    <row r="875" spans="6:39" x14ac:dyDescent="0.35">
      <c r="F875" s="18" t="s">
        <v>1109</v>
      </c>
      <c r="G875" s="19">
        <v>46229</v>
      </c>
      <c r="H875" s="18" t="s">
        <v>485</v>
      </c>
      <c r="I875" s="18" t="s">
        <v>1110</v>
      </c>
      <c r="J875" s="18">
        <v>1188</v>
      </c>
      <c r="K875" s="18" t="s">
        <v>1111</v>
      </c>
      <c r="L875" s="18" t="s">
        <v>5908</v>
      </c>
      <c r="M875" s="19">
        <v>46229</v>
      </c>
      <c r="N875" s="18" t="s">
        <v>1112</v>
      </c>
      <c r="O875" s="18" t="s">
        <v>1117</v>
      </c>
      <c r="P875" s="18" t="s">
        <v>1118</v>
      </c>
      <c r="Q875" s="18" t="s">
        <v>1119</v>
      </c>
      <c r="R875" s="18" t="s">
        <v>1120</v>
      </c>
      <c r="S875" s="18">
        <v>362</v>
      </c>
      <c r="T875" s="18">
        <v>53391.38</v>
      </c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</row>
    <row r="876" spans="6:39" x14ac:dyDescent="0.35">
      <c r="F876" s="18" t="s">
        <v>1109</v>
      </c>
      <c r="G876" s="19">
        <v>46229</v>
      </c>
      <c r="H876" s="18" t="s">
        <v>485</v>
      </c>
      <c r="I876" s="18" t="s">
        <v>1110</v>
      </c>
      <c r="J876" s="18">
        <v>1188</v>
      </c>
      <c r="K876" s="18" t="s">
        <v>1111</v>
      </c>
      <c r="L876" s="18" t="s">
        <v>5908</v>
      </c>
      <c r="M876" s="19">
        <v>46229</v>
      </c>
      <c r="N876" s="18" t="s">
        <v>1112</v>
      </c>
      <c r="O876" s="18" t="s">
        <v>1117</v>
      </c>
      <c r="P876" s="18" t="s">
        <v>1118</v>
      </c>
      <c r="Q876" s="18" t="s">
        <v>1119</v>
      </c>
      <c r="R876" s="18" t="s">
        <v>1120</v>
      </c>
      <c r="S876" s="18">
        <v>561</v>
      </c>
      <c r="T876" s="18">
        <v>81058.89</v>
      </c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</row>
    <row r="877" spans="6:39" x14ac:dyDescent="0.35">
      <c r="F877" s="18" t="s">
        <v>1109</v>
      </c>
      <c r="G877" s="19">
        <v>46229</v>
      </c>
      <c r="H877" s="18" t="s">
        <v>485</v>
      </c>
      <c r="I877" s="18" t="s">
        <v>1110</v>
      </c>
      <c r="J877" s="18">
        <v>1188</v>
      </c>
      <c r="K877" s="18" t="s">
        <v>1111</v>
      </c>
      <c r="L877" s="18" t="s">
        <v>5908</v>
      </c>
      <c r="M877" s="19">
        <v>46229</v>
      </c>
      <c r="N877" s="18" t="s">
        <v>1112</v>
      </c>
      <c r="O877" s="18" t="s">
        <v>1117</v>
      </c>
      <c r="P877" s="18" t="s">
        <v>1118</v>
      </c>
      <c r="Q877" s="18" t="s">
        <v>1119</v>
      </c>
      <c r="R877" s="18" t="s">
        <v>1120</v>
      </c>
      <c r="S877" s="18">
        <v>621</v>
      </c>
      <c r="T877" s="18">
        <v>92833.29</v>
      </c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</row>
    <row r="878" spans="6:39" x14ac:dyDescent="0.35">
      <c r="F878" s="18" t="s">
        <v>1109</v>
      </c>
      <c r="G878" s="19">
        <v>46229</v>
      </c>
      <c r="H878" s="18" t="s">
        <v>485</v>
      </c>
      <c r="I878" s="18" t="s">
        <v>1110</v>
      </c>
      <c r="J878" s="18">
        <v>1188</v>
      </c>
      <c r="K878" s="18" t="s">
        <v>1111</v>
      </c>
      <c r="L878" s="18" t="s">
        <v>5908</v>
      </c>
      <c r="M878" s="19">
        <v>46229</v>
      </c>
      <c r="N878" s="18" t="s">
        <v>1112</v>
      </c>
      <c r="O878" s="18" t="s">
        <v>1117</v>
      </c>
      <c r="P878" s="18" t="s">
        <v>1138</v>
      </c>
      <c r="Q878" s="18" t="s">
        <v>1139</v>
      </c>
      <c r="R878" s="18" t="s">
        <v>1140</v>
      </c>
      <c r="S878" s="18">
        <v>1389</v>
      </c>
      <c r="T878" s="18">
        <v>210419.61</v>
      </c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</row>
    <row r="879" spans="6:39" x14ac:dyDescent="0.35">
      <c r="F879" s="18" t="s">
        <v>1109</v>
      </c>
      <c r="G879" s="19">
        <v>46229</v>
      </c>
      <c r="H879" s="18" t="s">
        <v>485</v>
      </c>
      <c r="I879" s="18" t="s">
        <v>1110</v>
      </c>
      <c r="J879" s="18">
        <v>1188</v>
      </c>
      <c r="K879" s="18" t="s">
        <v>1111</v>
      </c>
      <c r="L879" s="18" t="s">
        <v>5908</v>
      </c>
      <c r="M879" s="19">
        <v>46229</v>
      </c>
      <c r="N879" s="18" t="s">
        <v>1112</v>
      </c>
      <c r="O879" s="18" t="s">
        <v>1117</v>
      </c>
      <c r="P879" s="18" t="s">
        <v>1138</v>
      </c>
      <c r="Q879" s="18" t="s">
        <v>1139</v>
      </c>
      <c r="R879" s="18" t="s">
        <v>1140</v>
      </c>
      <c r="S879" s="18">
        <v>1967</v>
      </c>
      <c r="T879" s="18">
        <v>303881.83</v>
      </c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</row>
    <row r="880" spans="6:39" x14ac:dyDescent="0.35">
      <c r="F880" s="18" t="s">
        <v>1109</v>
      </c>
      <c r="G880" s="19">
        <v>46229</v>
      </c>
      <c r="H880" s="18" t="s">
        <v>485</v>
      </c>
      <c r="I880" s="18" t="s">
        <v>1110</v>
      </c>
      <c r="J880" s="18">
        <v>1188</v>
      </c>
      <c r="K880" s="18" t="s">
        <v>1111</v>
      </c>
      <c r="L880" s="18" t="s">
        <v>5908</v>
      </c>
      <c r="M880" s="19">
        <v>46229</v>
      </c>
      <c r="N880" s="18" t="s">
        <v>1112</v>
      </c>
      <c r="O880" s="18" t="s">
        <v>1117</v>
      </c>
      <c r="P880" s="18" t="s">
        <v>1138</v>
      </c>
      <c r="Q880" s="18" t="s">
        <v>1139</v>
      </c>
      <c r="R880" s="18" t="s">
        <v>1140</v>
      </c>
      <c r="S880" s="18">
        <v>914</v>
      </c>
      <c r="T880" s="18">
        <v>135719.85999999999</v>
      </c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</row>
    <row r="881" spans="6:39" x14ac:dyDescent="0.35">
      <c r="F881" s="18" t="s">
        <v>1109</v>
      </c>
      <c r="G881" s="19">
        <v>46229</v>
      </c>
      <c r="H881" s="18" t="s">
        <v>485</v>
      </c>
      <c r="I881" s="18" t="s">
        <v>1110</v>
      </c>
      <c r="J881" s="18">
        <v>1188</v>
      </c>
      <c r="K881" s="18" t="s">
        <v>1111</v>
      </c>
      <c r="L881" s="18" t="s">
        <v>5908</v>
      </c>
      <c r="M881" s="19">
        <v>46229</v>
      </c>
      <c r="N881" s="18" t="s">
        <v>1112</v>
      </c>
      <c r="O881" s="18" t="s">
        <v>1127</v>
      </c>
      <c r="P881" s="18" t="s">
        <v>1128</v>
      </c>
      <c r="Q881" s="18" t="s">
        <v>1129</v>
      </c>
      <c r="R881" s="18" t="s">
        <v>1130</v>
      </c>
      <c r="S881" s="18">
        <v>5</v>
      </c>
      <c r="T881" s="18">
        <v>933.9</v>
      </c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</row>
    <row r="882" spans="6:39" x14ac:dyDescent="0.35">
      <c r="F882" s="18" t="s">
        <v>1109</v>
      </c>
      <c r="G882" s="19">
        <v>46229</v>
      </c>
      <c r="H882" s="18" t="s">
        <v>485</v>
      </c>
      <c r="I882" s="18" t="s">
        <v>1110</v>
      </c>
      <c r="J882" s="18">
        <v>1188</v>
      </c>
      <c r="K882" s="18" t="s">
        <v>1111</v>
      </c>
      <c r="L882" s="18" t="s">
        <v>5908</v>
      </c>
      <c r="M882" s="19">
        <v>46229</v>
      </c>
      <c r="N882" s="18" t="s">
        <v>1112</v>
      </c>
      <c r="O882" s="18" t="s">
        <v>1127</v>
      </c>
      <c r="P882" s="18" t="s">
        <v>1128</v>
      </c>
      <c r="Q882" s="18" t="s">
        <v>1129</v>
      </c>
      <c r="R882" s="18" t="s">
        <v>1130</v>
      </c>
      <c r="S882" s="18">
        <v>1198</v>
      </c>
      <c r="T882" s="18">
        <v>247722.44</v>
      </c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</row>
    <row r="883" spans="6:39" x14ac:dyDescent="0.35">
      <c r="F883" s="18" t="s">
        <v>1109</v>
      </c>
      <c r="G883" s="19">
        <v>46229</v>
      </c>
      <c r="H883" s="18" t="s">
        <v>485</v>
      </c>
      <c r="I883" s="18" t="s">
        <v>1110</v>
      </c>
      <c r="J883" s="18">
        <v>1188</v>
      </c>
      <c r="K883" s="18" t="s">
        <v>1111</v>
      </c>
      <c r="L883" s="18" t="s">
        <v>5908</v>
      </c>
      <c r="M883" s="19">
        <v>46229</v>
      </c>
      <c r="N883" s="18" t="s">
        <v>1112</v>
      </c>
      <c r="O883" s="18" t="s">
        <v>1127</v>
      </c>
      <c r="P883" s="18" t="s">
        <v>1128</v>
      </c>
      <c r="Q883" s="18" t="s">
        <v>1129</v>
      </c>
      <c r="R883" s="18" t="s">
        <v>1130</v>
      </c>
      <c r="S883" s="18">
        <v>571</v>
      </c>
      <c r="T883" s="18">
        <v>135315.57999999999</v>
      </c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</row>
    <row r="884" spans="6:39" x14ac:dyDescent="0.35">
      <c r="F884" s="18" t="s">
        <v>1109</v>
      </c>
      <c r="G884" s="19">
        <v>46229</v>
      </c>
      <c r="H884" s="18" t="s">
        <v>125</v>
      </c>
      <c r="I884" s="18" t="s">
        <v>1110</v>
      </c>
      <c r="J884" s="18">
        <v>1181</v>
      </c>
      <c r="K884" s="18" t="s">
        <v>1111</v>
      </c>
      <c r="L884" s="18" t="s">
        <v>5535</v>
      </c>
      <c r="M884" s="19">
        <v>46229</v>
      </c>
      <c r="N884" s="18" t="s">
        <v>1112</v>
      </c>
      <c r="O884" s="18" t="s">
        <v>1117</v>
      </c>
      <c r="P884" s="18" t="s">
        <v>1118</v>
      </c>
      <c r="Q884" s="18" t="s">
        <v>1119</v>
      </c>
      <c r="R884" s="18" t="s">
        <v>1120</v>
      </c>
      <c r="S884" s="18">
        <v>412</v>
      </c>
      <c r="T884" s="18">
        <v>59529.88</v>
      </c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</row>
    <row r="885" spans="6:39" x14ac:dyDescent="0.35">
      <c r="F885" s="18" t="s">
        <v>1109</v>
      </c>
      <c r="G885" s="19">
        <v>46229</v>
      </c>
      <c r="H885" s="18" t="s">
        <v>125</v>
      </c>
      <c r="I885" s="18" t="s">
        <v>1110</v>
      </c>
      <c r="J885" s="18">
        <v>1184</v>
      </c>
      <c r="K885" s="18" t="s">
        <v>1121</v>
      </c>
      <c r="L885" s="18" t="s">
        <v>5536</v>
      </c>
      <c r="M885" s="19">
        <v>46229</v>
      </c>
      <c r="N885" s="18" t="s">
        <v>1122</v>
      </c>
      <c r="O885" s="18" t="s">
        <v>1123</v>
      </c>
      <c r="P885" s="18" t="s">
        <v>1124</v>
      </c>
      <c r="Q885" s="18" t="s">
        <v>1125</v>
      </c>
      <c r="R885" s="18" t="s">
        <v>1126</v>
      </c>
      <c r="S885" s="18">
        <v>102</v>
      </c>
      <c r="T885" s="18">
        <v>4896</v>
      </c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</row>
    <row r="886" spans="6:39" x14ac:dyDescent="0.35">
      <c r="F886" s="18" t="s">
        <v>1109</v>
      </c>
      <c r="G886" s="19">
        <v>46229</v>
      </c>
      <c r="H886" s="18" t="s">
        <v>125</v>
      </c>
      <c r="I886" s="18" t="s">
        <v>1110</v>
      </c>
      <c r="J886" s="18">
        <v>1185</v>
      </c>
      <c r="K886" s="18" t="s">
        <v>1111</v>
      </c>
      <c r="L886" s="18" t="s">
        <v>5537</v>
      </c>
      <c r="M886" s="19">
        <v>46229</v>
      </c>
      <c r="N886" s="18" t="s">
        <v>1112</v>
      </c>
      <c r="O886" s="18" t="s">
        <v>1117</v>
      </c>
      <c r="P886" s="18" t="s">
        <v>1118</v>
      </c>
      <c r="Q886" s="18" t="s">
        <v>1119</v>
      </c>
      <c r="R886" s="18" t="s">
        <v>1120</v>
      </c>
      <c r="S886" s="18">
        <v>1266</v>
      </c>
      <c r="T886" s="18">
        <v>185456.34</v>
      </c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</row>
    <row r="887" spans="6:39" x14ac:dyDescent="0.35">
      <c r="F887" s="18" t="s">
        <v>1109</v>
      </c>
      <c r="G887" s="19">
        <v>46229</v>
      </c>
      <c r="H887" s="18" t="s">
        <v>125</v>
      </c>
      <c r="I887" s="18" t="s">
        <v>1110</v>
      </c>
      <c r="J887" s="18">
        <v>1185</v>
      </c>
      <c r="K887" s="18" t="s">
        <v>1111</v>
      </c>
      <c r="L887" s="18" t="s">
        <v>5537</v>
      </c>
      <c r="M887" s="19">
        <v>46229</v>
      </c>
      <c r="N887" s="18" t="s">
        <v>1112</v>
      </c>
      <c r="O887" s="18" t="s">
        <v>1117</v>
      </c>
      <c r="P887" s="18" t="s">
        <v>1138</v>
      </c>
      <c r="Q887" s="18" t="s">
        <v>1139</v>
      </c>
      <c r="R887" s="18" t="s">
        <v>1140</v>
      </c>
      <c r="S887" s="18">
        <v>1368</v>
      </c>
      <c r="T887" s="18">
        <v>207238.32</v>
      </c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</row>
    <row r="888" spans="6:39" x14ac:dyDescent="0.35">
      <c r="F888" s="18" t="s">
        <v>1109</v>
      </c>
      <c r="G888" s="19">
        <v>46229</v>
      </c>
      <c r="H888" s="18" t="s">
        <v>125</v>
      </c>
      <c r="I888" s="18" t="s">
        <v>1110</v>
      </c>
      <c r="J888" s="18">
        <v>1185</v>
      </c>
      <c r="K888" s="18" t="s">
        <v>1111</v>
      </c>
      <c r="L888" s="18" t="s">
        <v>5537</v>
      </c>
      <c r="M888" s="19">
        <v>46229</v>
      </c>
      <c r="N888" s="18" t="s">
        <v>1112</v>
      </c>
      <c r="O888" s="18" t="s">
        <v>1131</v>
      </c>
      <c r="P888" s="18" t="s">
        <v>1132</v>
      </c>
      <c r="Q888" s="18" t="s">
        <v>1132</v>
      </c>
      <c r="R888" s="18" t="s">
        <v>1131</v>
      </c>
      <c r="S888" s="18">
        <v>276.10000000000002</v>
      </c>
      <c r="T888" s="18">
        <v>40445.89</v>
      </c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</row>
    <row r="889" spans="6:39" x14ac:dyDescent="0.35">
      <c r="F889" s="18" t="s">
        <v>1109</v>
      </c>
      <c r="G889" s="19">
        <v>46229</v>
      </c>
      <c r="H889" s="18" t="s">
        <v>125</v>
      </c>
      <c r="I889" s="18" t="s">
        <v>1110</v>
      </c>
      <c r="J889" s="18">
        <v>1185</v>
      </c>
      <c r="K889" s="18" t="s">
        <v>1111</v>
      </c>
      <c r="L889" s="18" t="s">
        <v>5537</v>
      </c>
      <c r="M889" s="19">
        <v>46229</v>
      </c>
      <c r="N889" s="18" t="s">
        <v>1112</v>
      </c>
      <c r="O889" s="18" t="s">
        <v>1131</v>
      </c>
      <c r="P889" s="18" t="s">
        <v>1132</v>
      </c>
      <c r="Q889" s="18" t="s">
        <v>1132</v>
      </c>
      <c r="R889" s="18" t="s">
        <v>1131</v>
      </c>
      <c r="S889" s="18">
        <v>279.2</v>
      </c>
      <c r="T889" s="18">
        <v>41737.61</v>
      </c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</row>
    <row r="890" spans="6:39" x14ac:dyDescent="0.35">
      <c r="F890" s="18" t="s">
        <v>1109</v>
      </c>
      <c r="G890" s="19">
        <v>46230</v>
      </c>
      <c r="H890" s="18" t="s">
        <v>1838</v>
      </c>
      <c r="I890" s="18" t="s">
        <v>1110</v>
      </c>
      <c r="J890" s="18">
        <v>1195</v>
      </c>
      <c r="K890" s="18" t="s">
        <v>1111</v>
      </c>
      <c r="L890" s="18" t="s">
        <v>5333</v>
      </c>
      <c r="M890" s="19">
        <v>46230</v>
      </c>
      <c r="N890" s="18" t="s">
        <v>1146</v>
      </c>
      <c r="O890" s="18" t="s">
        <v>1170</v>
      </c>
      <c r="P890" s="18" t="s">
        <v>1171</v>
      </c>
      <c r="Q890" s="18" t="s">
        <v>3759</v>
      </c>
      <c r="R890" s="18" t="s">
        <v>4741</v>
      </c>
      <c r="S890" s="18">
        <v>178.3</v>
      </c>
      <c r="T890" s="18">
        <v>52598.5</v>
      </c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</row>
    <row r="891" spans="6:39" x14ac:dyDescent="0.35">
      <c r="F891" s="18" t="s">
        <v>1109</v>
      </c>
      <c r="G891" s="19">
        <v>46230</v>
      </c>
      <c r="H891" s="18" t="s">
        <v>1838</v>
      </c>
      <c r="I891" s="18" t="s">
        <v>1110</v>
      </c>
      <c r="J891" s="18">
        <v>1195</v>
      </c>
      <c r="K891" s="18" t="s">
        <v>1111</v>
      </c>
      <c r="L891" s="18" t="s">
        <v>5333</v>
      </c>
      <c r="M891" s="19">
        <v>46230</v>
      </c>
      <c r="N891" s="18" t="s">
        <v>1146</v>
      </c>
      <c r="O891" s="18" t="s">
        <v>1170</v>
      </c>
      <c r="P891" s="18" t="s">
        <v>1171</v>
      </c>
      <c r="Q891" s="18" t="s">
        <v>3759</v>
      </c>
      <c r="R891" s="18" t="s">
        <v>4741</v>
      </c>
      <c r="S891" s="18">
        <v>457.8</v>
      </c>
      <c r="T891" s="18">
        <v>121317</v>
      </c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</row>
    <row r="892" spans="6:39" x14ac:dyDescent="0.35">
      <c r="F892" s="18" t="s">
        <v>1109</v>
      </c>
      <c r="G892" s="19">
        <v>46230</v>
      </c>
      <c r="H892" s="18" t="s">
        <v>3790</v>
      </c>
      <c r="I892" s="18" t="s">
        <v>1110</v>
      </c>
      <c r="J892" s="18">
        <v>1189</v>
      </c>
      <c r="K892" s="18" t="s">
        <v>1111</v>
      </c>
      <c r="L892" s="18" t="s">
        <v>5909</v>
      </c>
      <c r="M892" s="19">
        <v>46230</v>
      </c>
      <c r="N892" s="18" t="s">
        <v>1112</v>
      </c>
      <c r="O892" s="18" t="s">
        <v>1117</v>
      </c>
      <c r="P892" s="18" t="s">
        <v>1118</v>
      </c>
      <c r="Q892" s="18" t="s">
        <v>1119</v>
      </c>
      <c r="R892" s="18" t="s">
        <v>1120</v>
      </c>
      <c r="S892" s="18">
        <v>773</v>
      </c>
      <c r="T892" s="18">
        <v>113236.77</v>
      </c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</row>
    <row r="893" spans="6:39" x14ac:dyDescent="0.35">
      <c r="F893" s="18" t="s">
        <v>1109</v>
      </c>
      <c r="G893" s="19">
        <v>46230</v>
      </c>
      <c r="H893" s="18" t="s">
        <v>3790</v>
      </c>
      <c r="I893" s="18" t="s">
        <v>1110</v>
      </c>
      <c r="J893" s="18">
        <v>1189</v>
      </c>
      <c r="K893" s="18" t="s">
        <v>1111</v>
      </c>
      <c r="L893" s="18" t="s">
        <v>5909</v>
      </c>
      <c r="M893" s="19">
        <v>46230</v>
      </c>
      <c r="N893" s="18" t="s">
        <v>1112</v>
      </c>
      <c r="O893" s="18" t="s">
        <v>1117</v>
      </c>
      <c r="P893" s="18" t="s">
        <v>1118</v>
      </c>
      <c r="Q893" s="18" t="s">
        <v>1119</v>
      </c>
      <c r="R893" s="18" t="s">
        <v>1120</v>
      </c>
      <c r="S893" s="18">
        <v>5977</v>
      </c>
      <c r="T893" s="18">
        <v>863616.73</v>
      </c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</row>
    <row r="894" spans="6:39" x14ac:dyDescent="0.35">
      <c r="F894" s="18" t="s">
        <v>1109</v>
      </c>
      <c r="G894" s="19">
        <v>46230</v>
      </c>
      <c r="H894" s="18" t="s">
        <v>3790</v>
      </c>
      <c r="I894" s="18" t="s">
        <v>1110</v>
      </c>
      <c r="J894" s="18">
        <v>1190</v>
      </c>
      <c r="K894" s="18" t="s">
        <v>1121</v>
      </c>
      <c r="L894" s="18" t="s">
        <v>5910</v>
      </c>
      <c r="M894" s="19">
        <v>46230</v>
      </c>
      <c r="N894" s="18" t="s">
        <v>1122</v>
      </c>
      <c r="O894" s="18" t="s">
        <v>1123</v>
      </c>
      <c r="P894" s="18" t="s">
        <v>1124</v>
      </c>
      <c r="Q894" s="18" t="s">
        <v>1125</v>
      </c>
      <c r="R894" s="18" t="s">
        <v>1126</v>
      </c>
      <c r="S894" s="18">
        <v>432</v>
      </c>
      <c r="T894" s="18">
        <v>20736</v>
      </c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</row>
    <row r="895" spans="6:39" x14ac:dyDescent="0.35">
      <c r="F895" s="18" t="s">
        <v>1109</v>
      </c>
      <c r="G895" s="19">
        <v>46230</v>
      </c>
      <c r="H895" s="18" t="s">
        <v>3790</v>
      </c>
      <c r="I895" s="18" t="s">
        <v>1110</v>
      </c>
      <c r="J895" s="18">
        <v>1191</v>
      </c>
      <c r="K895" s="18" t="s">
        <v>1111</v>
      </c>
      <c r="L895" s="18" t="s">
        <v>2395</v>
      </c>
      <c r="M895" s="19">
        <v>46230</v>
      </c>
      <c r="N895" s="18" t="s">
        <v>1112</v>
      </c>
      <c r="O895" s="18" t="s">
        <v>1117</v>
      </c>
      <c r="P895" s="18" t="s">
        <v>1138</v>
      </c>
      <c r="Q895" s="18" t="s">
        <v>1139</v>
      </c>
      <c r="R895" s="18" t="s">
        <v>1140</v>
      </c>
      <c r="S895" s="18">
        <v>1281</v>
      </c>
      <c r="T895" s="18">
        <v>187653.69</v>
      </c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</row>
    <row r="896" spans="6:39" x14ac:dyDescent="0.35">
      <c r="F896" s="18" t="s">
        <v>1109</v>
      </c>
      <c r="G896" s="19">
        <v>46230</v>
      </c>
      <c r="H896" s="18" t="s">
        <v>3790</v>
      </c>
      <c r="I896" s="18" t="s">
        <v>1110</v>
      </c>
      <c r="J896" s="18">
        <v>1191</v>
      </c>
      <c r="K896" s="18" t="s">
        <v>1111</v>
      </c>
      <c r="L896" s="18" t="s">
        <v>2395</v>
      </c>
      <c r="M896" s="19">
        <v>46230</v>
      </c>
      <c r="N896" s="18" t="s">
        <v>1112</v>
      </c>
      <c r="O896" s="18" t="s">
        <v>1117</v>
      </c>
      <c r="P896" s="18" t="s">
        <v>1138</v>
      </c>
      <c r="Q896" s="18" t="s">
        <v>1139</v>
      </c>
      <c r="R896" s="18" t="s">
        <v>1140</v>
      </c>
      <c r="S896" s="18">
        <v>793</v>
      </c>
      <c r="T896" s="18">
        <v>120131.57</v>
      </c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</row>
    <row r="897" spans="6:39" x14ac:dyDescent="0.35">
      <c r="F897" s="18" t="s">
        <v>1109</v>
      </c>
      <c r="G897" s="19">
        <v>46230</v>
      </c>
      <c r="H897" s="18" t="s">
        <v>3790</v>
      </c>
      <c r="I897" s="18" t="s">
        <v>1110</v>
      </c>
      <c r="J897" s="18">
        <v>1191</v>
      </c>
      <c r="K897" s="18" t="s">
        <v>1111</v>
      </c>
      <c r="L897" s="18" t="s">
        <v>2395</v>
      </c>
      <c r="M897" s="19">
        <v>46230</v>
      </c>
      <c r="N897" s="18" t="s">
        <v>1112</v>
      </c>
      <c r="O897" s="18" t="s">
        <v>1117</v>
      </c>
      <c r="P897" s="18" t="s">
        <v>1138</v>
      </c>
      <c r="Q897" s="18" t="s">
        <v>1139</v>
      </c>
      <c r="R897" s="18" t="s">
        <v>1140</v>
      </c>
      <c r="S897" s="18">
        <v>1602</v>
      </c>
      <c r="T897" s="18">
        <v>242686.98</v>
      </c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</row>
    <row r="898" spans="6:39" x14ac:dyDescent="0.35">
      <c r="F898" s="18" t="s">
        <v>1109</v>
      </c>
      <c r="G898" s="19">
        <v>46230</v>
      </c>
      <c r="H898" s="18" t="s">
        <v>3790</v>
      </c>
      <c r="I898" s="18" t="s">
        <v>1110</v>
      </c>
      <c r="J898" s="18">
        <v>1191</v>
      </c>
      <c r="K898" s="18" t="s">
        <v>1111</v>
      </c>
      <c r="L898" s="18" t="s">
        <v>2395</v>
      </c>
      <c r="M898" s="19">
        <v>46230</v>
      </c>
      <c r="N898" s="18" t="s">
        <v>1112</v>
      </c>
      <c r="O898" s="18" t="s">
        <v>1117</v>
      </c>
      <c r="P898" s="18" t="s">
        <v>1118</v>
      </c>
      <c r="Q898" s="18" t="s">
        <v>1119</v>
      </c>
      <c r="R898" s="18" t="s">
        <v>1120</v>
      </c>
      <c r="S898" s="18">
        <v>3102</v>
      </c>
      <c r="T898" s="18">
        <v>448207.98</v>
      </c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</row>
    <row r="899" spans="6:39" x14ac:dyDescent="0.35">
      <c r="F899" s="18" t="s">
        <v>1109</v>
      </c>
      <c r="G899" s="19">
        <v>46230</v>
      </c>
      <c r="H899" s="18" t="s">
        <v>3790</v>
      </c>
      <c r="I899" s="18" t="s">
        <v>1110</v>
      </c>
      <c r="J899" s="18">
        <v>1191</v>
      </c>
      <c r="K899" s="18" t="s">
        <v>1111</v>
      </c>
      <c r="L899" s="18" t="s">
        <v>2395</v>
      </c>
      <c r="M899" s="19">
        <v>46230</v>
      </c>
      <c r="N899" s="18" t="s">
        <v>1112</v>
      </c>
      <c r="O899" s="18" t="s">
        <v>1127</v>
      </c>
      <c r="P899" s="18" t="s">
        <v>1128</v>
      </c>
      <c r="Q899" s="18" t="s">
        <v>1129</v>
      </c>
      <c r="R899" s="18" t="s">
        <v>1130</v>
      </c>
      <c r="S899" s="18">
        <v>1041</v>
      </c>
      <c r="T899" s="18">
        <v>190273.98</v>
      </c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</row>
    <row r="900" spans="6:39" x14ac:dyDescent="0.35">
      <c r="F900" s="18" t="s">
        <v>1109</v>
      </c>
      <c r="G900" s="19">
        <v>46230</v>
      </c>
      <c r="H900" s="18" t="s">
        <v>3790</v>
      </c>
      <c r="I900" s="18" t="s">
        <v>1110</v>
      </c>
      <c r="J900" s="18">
        <v>1191</v>
      </c>
      <c r="K900" s="18" t="s">
        <v>1111</v>
      </c>
      <c r="L900" s="18" t="s">
        <v>2395</v>
      </c>
      <c r="M900" s="19">
        <v>46230</v>
      </c>
      <c r="N900" s="18" t="s">
        <v>1112</v>
      </c>
      <c r="O900" s="18" t="s">
        <v>1127</v>
      </c>
      <c r="P900" s="18" t="s">
        <v>1128</v>
      </c>
      <c r="Q900" s="18" t="s">
        <v>1129</v>
      </c>
      <c r="R900" s="18" t="s">
        <v>1130</v>
      </c>
      <c r="S900" s="18">
        <v>80</v>
      </c>
      <c r="T900" s="18">
        <v>14942.4</v>
      </c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</row>
    <row r="901" spans="6:39" x14ac:dyDescent="0.35">
      <c r="F901" s="18" t="s">
        <v>1109</v>
      </c>
      <c r="G901" s="19">
        <v>46230</v>
      </c>
      <c r="H901" s="18" t="s">
        <v>3790</v>
      </c>
      <c r="I901" s="18" t="s">
        <v>1110</v>
      </c>
      <c r="J901" s="18">
        <v>1191</v>
      </c>
      <c r="K901" s="18" t="s">
        <v>1111</v>
      </c>
      <c r="L901" s="18" t="s">
        <v>2395</v>
      </c>
      <c r="M901" s="19">
        <v>46230</v>
      </c>
      <c r="N901" s="18" t="s">
        <v>1112</v>
      </c>
      <c r="O901" s="18" t="s">
        <v>1131</v>
      </c>
      <c r="P901" s="18" t="s">
        <v>1132</v>
      </c>
      <c r="Q901" s="18" t="s">
        <v>1132</v>
      </c>
      <c r="R901" s="18" t="s">
        <v>1131</v>
      </c>
      <c r="S901" s="18">
        <v>1201.2</v>
      </c>
      <c r="T901" s="18">
        <v>179567.39</v>
      </c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</row>
    <row r="902" spans="6:39" x14ac:dyDescent="0.35">
      <c r="F902" s="18" t="s">
        <v>1109</v>
      </c>
      <c r="G902" s="19">
        <v>46230</v>
      </c>
      <c r="H902" s="18" t="s">
        <v>3790</v>
      </c>
      <c r="I902" s="18" t="s">
        <v>1110</v>
      </c>
      <c r="J902" s="18">
        <v>1191</v>
      </c>
      <c r="K902" s="18" t="s">
        <v>1111</v>
      </c>
      <c r="L902" s="18" t="s">
        <v>2395</v>
      </c>
      <c r="M902" s="19">
        <v>46230</v>
      </c>
      <c r="N902" s="18" t="s">
        <v>1112</v>
      </c>
      <c r="O902" s="18" t="s">
        <v>1131</v>
      </c>
      <c r="P902" s="18" t="s">
        <v>1132</v>
      </c>
      <c r="Q902" s="18" t="s">
        <v>1132</v>
      </c>
      <c r="R902" s="18" t="s">
        <v>1131</v>
      </c>
      <c r="S902" s="18">
        <v>675</v>
      </c>
      <c r="T902" s="18">
        <v>98880.75</v>
      </c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</row>
    <row r="903" spans="6:39" x14ac:dyDescent="0.35">
      <c r="F903" s="18" t="s">
        <v>1109</v>
      </c>
      <c r="G903" s="19">
        <v>46230</v>
      </c>
      <c r="H903" s="18" t="s">
        <v>3790</v>
      </c>
      <c r="I903" s="18" t="s">
        <v>1110</v>
      </c>
      <c r="J903" s="18">
        <v>1198</v>
      </c>
      <c r="K903" s="18" t="s">
        <v>1121</v>
      </c>
      <c r="L903" s="18" t="s">
        <v>5911</v>
      </c>
      <c r="M903" s="19">
        <v>46230</v>
      </c>
      <c r="N903" s="18" t="s">
        <v>1122</v>
      </c>
      <c r="O903" s="18" t="s">
        <v>3533</v>
      </c>
      <c r="P903" s="18" t="s">
        <v>1124</v>
      </c>
      <c r="Q903" s="18" t="s">
        <v>1125</v>
      </c>
      <c r="R903" s="18" t="s">
        <v>5912</v>
      </c>
      <c r="S903" s="18">
        <v>3</v>
      </c>
      <c r="T903" s="18">
        <v>915</v>
      </c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</row>
    <row r="904" spans="6:39" x14ac:dyDescent="0.35">
      <c r="F904" s="18" t="s">
        <v>1109</v>
      </c>
      <c r="G904" s="19">
        <v>46230</v>
      </c>
      <c r="H904" s="18" t="s">
        <v>3790</v>
      </c>
      <c r="I904" s="18" t="s">
        <v>1110</v>
      </c>
      <c r="J904" s="18">
        <v>1198</v>
      </c>
      <c r="K904" s="18" t="s">
        <v>1121</v>
      </c>
      <c r="L904" s="18" t="s">
        <v>5911</v>
      </c>
      <c r="M904" s="19">
        <v>46230</v>
      </c>
      <c r="N904" s="18" t="s">
        <v>1122</v>
      </c>
      <c r="O904" s="18" t="s">
        <v>3533</v>
      </c>
      <c r="P904" s="18" t="s">
        <v>1124</v>
      </c>
      <c r="Q904" s="18" t="s">
        <v>1125</v>
      </c>
      <c r="R904" s="18" t="s">
        <v>5913</v>
      </c>
      <c r="S904" s="18">
        <v>2</v>
      </c>
      <c r="T904" s="18">
        <v>1310</v>
      </c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</row>
    <row r="905" spans="6:39" x14ac:dyDescent="0.35">
      <c r="F905" s="18" t="s">
        <v>1109</v>
      </c>
      <c r="G905" s="19">
        <v>46230</v>
      </c>
      <c r="H905" s="18" t="s">
        <v>1135</v>
      </c>
      <c r="I905" s="18" t="s">
        <v>1136</v>
      </c>
      <c r="J905" s="18" t="s">
        <v>5914</v>
      </c>
      <c r="K905" s="18" t="s">
        <v>1137</v>
      </c>
      <c r="L905" s="18" t="s">
        <v>5914</v>
      </c>
      <c r="M905" s="19">
        <v>46230</v>
      </c>
      <c r="N905" s="18" t="s">
        <v>1112</v>
      </c>
      <c r="O905" s="18" t="s">
        <v>1127</v>
      </c>
      <c r="P905" s="18" t="s">
        <v>1128</v>
      </c>
      <c r="Q905" s="18" t="s">
        <v>1129</v>
      </c>
      <c r="R905" s="18" t="s">
        <v>1130</v>
      </c>
      <c r="S905" s="18">
        <v>3381.5</v>
      </c>
      <c r="T905" s="18">
        <v>590416.03499999992</v>
      </c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</row>
    <row r="906" spans="6:39" x14ac:dyDescent="0.35">
      <c r="F906" s="18" t="s">
        <v>1109</v>
      </c>
      <c r="G906" s="19">
        <v>46230</v>
      </c>
      <c r="H906" s="18" t="s">
        <v>1135</v>
      </c>
      <c r="I906" s="18" t="s">
        <v>1136</v>
      </c>
      <c r="J906" s="18" t="s">
        <v>5915</v>
      </c>
      <c r="K906" s="18" t="s">
        <v>1137</v>
      </c>
      <c r="L906" s="18" t="s">
        <v>5915</v>
      </c>
      <c r="M906" s="19">
        <v>46230</v>
      </c>
      <c r="N906" s="18" t="s">
        <v>1112</v>
      </c>
      <c r="O906" s="18" t="s">
        <v>1117</v>
      </c>
      <c r="P906" s="18" t="s">
        <v>1118</v>
      </c>
      <c r="Q906" s="18" t="s">
        <v>1119</v>
      </c>
      <c r="R906" s="18" t="s">
        <v>3791</v>
      </c>
      <c r="S906" s="18">
        <v>30</v>
      </c>
      <c r="T906" s="18">
        <v>4168.2299999999996</v>
      </c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</row>
    <row r="907" spans="6:39" x14ac:dyDescent="0.35">
      <c r="F907" s="18" t="s">
        <v>1109</v>
      </c>
      <c r="G907" s="19">
        <v>46230</v>
      </c>
      <c r="H907" s="18" t="s">
        <v>1135</v>
      </c>
      <c r="I907" s="18" t="s">
        <v>1136</v>
      </c>
      <c r="J907" s="18" t="s">
        <v>5916</v>
      </c>
      <c r="K907" s="18" t="s">
        <v>1137</v>
      </c>
      <c r="L907" s="18" t="s">
        <v>5916</v>
      </c>
      <c r="M907" s="19">
        <v>46230</v>
      </c>
      <c r="N907" s="18" t="s">
        <v>1112</v>
      </c>
      <c r="O907" s="18" t="s">
        <v>1153</v>
      </c>
      <c r="P907" s="18" t="s">
        <v>1154</v>
      </c>
      <c r="Q907" s="18" t="s">
        <v>1155</v>
      </c>
      <c r="R907" s="18" t="s">
        <v>1154</v>
      </c>
      <c r="S907" s="18">
        <v>1092</v>
      </c>
      <c r="T907" s="18">
        <v>146873.53999999998</v>
      </c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</row>
    <row r="908" spans="6:39" x14ac:dyDescent="0.35">
      <c r="F908" s="18" t="s">
        <v>1109</v>
      </c>
      <c r="G908" s="19">
        <v>46230</v>
      </c>
      <c r="H908" s="18" t="s">
        <v>1135</v>
      </c>
      <c r="I908" s="18" t="s">
        <v>1136</v>
      </c>
      <c r="J908" s="18" t="s">
        <v>5917</v>
      </c>
      <c r="K908" s="18" t="s">
        <v>1137</v>
      </c>
      <c r="L908" s="18" t="s">
        <v>5917</v>
      </c>
      <c r="M908" s="19">
        <v>46230</v>
      </c>
      <c r="N908" s="18" t="s">
        <v>1112</v>
      </c>
      <c r="O908" s="18" t="s">
        <v>1117</v>
      </c>
      <c r="P908" s="18" t="s">
        <v>1138</v>
      </c>
      <c r="Q908" s="18" t="s">
        <v>1139</v>
      </c>
      <c r="R908" s="18" t="s">
        <v>1140</v>
      </c>
      <c r="S908" s="18">
        <v>6300</v>
      </c>
      <c r="T908" s="18">
        <v>894649.14</v>
      </c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</row>
    <row r="909" spans="6:39" x14ac:dyDescent="0.35">
      <c r="F909" s="18" t="s">
        <v>1109</v>
      </c>
      <c r="G909" s="19">
        <v>46230</v>
      </c>
      <c r="H909" s="18" t="s">
        <v>1135</v>
      </c>
      <c r="I909" s="18" t="s">
        <v>1136</v>
      </c>
      <c r="J909" s="18" t="s">
        <v>5918</v>
      </c>
      <c r="K909" s="18" t="s">
        <v>1137</v>
      </c>
      <c r="L909" s="18" t="s">
        <v>5918</v>
      </c>
      <c r="M909" s="19">
        <v>46230</v>
      </c>
      <c r="N909" s="18" t="s">
        <v>1112</v>
      </c>
      <c r="O909" s="18" t="s">
        <v>1117</v>
      </c>
      <c r="P909" s="18" t="s">
        <v>1138</v>
      </c>
      <c r="Q909" s="18" t="s">
        <v>1139</v>
      </c>
      <c r="R909" s="18" t="s">
        <v>1140</v>
      </c>
      <c r="S909" s="18">
        <v>251</v>
      </c>
      <c r="T909" s="18">
        <v>35641.984500000006</v>
      </c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</row>
    <row r="910" spans="6:39" x14ac:dyDescent="0.35">
      <c r="F910" s="18" t="s">
        <v>1109</v>
      </c>
      <c r="G910" s="19">
        <v>46230</v>
      </c>
      <c r="H910" s="18" t="s">
        <v>485</v>
      </c>
      <c r="I910" s="18" t="s">
        <v>1110</v>
      </c>
      <c r="J910" s="18">
        <v>1196</v>
      </c>
      <c r="K910" s="18" t="s">
        <v>1121</v>
      </c>
      <c r="L910" s="18" t="s">
        <v>5919</v>
      </c>
      <c r="M910" s="19">
        <v>46230</v>
      </c>
      <c r="N910" s="18" t="s">
        <v>1122</v>
      </c>
      <c r="O910" s="18" t="s">
        <v>1123</v>
      </c>
      <c r="P910" s="18" t="s">
        <v>1124</v>
      </c>
      <c r="Q910" s="18" t="s">
        <v>1125</v>
      </c>
      <c r="R910" s="18" t="s">
        <v>1126</v>
      </c>
      <c r="S910" s="18">
        <v>157</v>
      </c>
      <c r="T910" s="18">
        <v>7536</v>
      </c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</row>
    <row r="911" spans="6:39" x14ac:dyDescent="0.35">
      <c r="F911" s="18" t="s">
        <v>1109</v>
      </c>
      <c r="G911" s="19">
        <v>46230</v>
      </c>
      <c r="H911" s="18" t="s">
        <v>485</v>
      </c>
      <c r="I911" s="18" t="s">
        <v>1110</v>
      </c>
      <c r="J911" s="18">
        <v>1197</v>
      </c>
      <c r="K911" s="18" t="s">
        <v>1111</v>
      </c>
      <c r="L911" s="18" t="s">
        <v>4033</v>
      </c>
      <c r="M911" s="19">
        <v>46230</v>
      </c>
      <c r="N911" s="18" t="s">
        <v>1112</v>
      </c>
      <c r="O911" s="18" t="s">
        <v>1127</v>
      </c>
      <c r="P911" s="18" t="s">
        <v>1128</v>
      </c>
      <c r="Q911" s="18" t="s">
        <v>1129</v>
      </c>
      <c r="R911" s="18" t="s">
        <v>1130</v>
      </c>
      <c r="S911" s="18">
        <v>3511</v>
      </c>
      <c r="T911" s="18">
        <v>726004.58</v>
      </c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</row>
    <row r="912" spans="6:39" x14ac:dyDescent="0.35">
      <c r="F912" s="18" t="s">
        <v>1109</v>
      </c>
      <c r="G912" s="19">
        <v>46230</v>
      </c>
      <c r="H912" s="18" t="s">
        <v>485</v>
      </c>
      <c r="I912" s="18" t="s">
        <v>1110</v>
      </c>
      <c r="J912" s="18">
        <v>1197</v>
      </c>
      <c r="K912" s="18" t="s">
        <v>1111</v>
      </c>
      <c r="L912" s="18" t="s">
        <v>4033</v>
      </c>
      <c r="M912" s="19">
        <v>46230</v>
      </c>
      <c r="N912" s="18" t="s">
        <v>1112</v>
      </c>
      <c r="O912" s="18" t="s">
        <v>1127</v>
      </c>
      <c r="P912" s="18" t="s">
        <v>1128</v>
      </c>
      <c r="Q912" s="18" t="s">
        <v>1129</v>
      </c>
      <c r="R912" s="18" t="s">
        <v>1130</v>
      </c>
      <c r="S912" s="18">
        <v>471</v>
      </c>
      <c r="T912" s="18">
        <v>87973.38</v>
      </c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</row>
    <row r="913" spans="6:39" x14ac:dyDescent="0.35">
      <c r="F913" s="18" t="s">
        <v>1109</v>
      </c>
      <c r="G913" s="19">
        <v>46230</v>
      </c>
      <c r="H913" s="18" t="s">
        <v>485</v>
      </c>
      <c r="I913" s="18" t="s">
        <v>1110</v>
      </c>
      <c r="J913" s="18">
        <v>1197</v>
      </c>
      <c r="K913" s="18" t="s">
        <v>1111</v>
      </c>
      <c r="L913" s="18" t="s">
        <v>4033</v>
      </c>
      <c r="M913" s="19">
        <v>46230</v>
      </c>
      <c r="N913" s="18" t="s">
        <v>1112</v>
      </c>
      <c r="O913" s="18" t="s">
        <v>1127</v>
      </c>
      <c r="P913" s="18" t="s">
        <v>1128</v>
      </c>
      <c r="Q913" s="18" t="s">
        <v>1129</v>
      </c>
      <c r="R913" s="18" t="s">
        <v>1130</v>
      </c>
      <c r="S913" s="18">
        <v>528</v>
      </c>
      <c r="T913" s="18">
        <v>125125.44</v>
      </c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</row>
    <row r="914" spans="6:39" x14ac:dyDescent="0.35">
      <c r="F914" s="18" t="s">
        <v>1109</v>
      </c>
      <c r="G914" s="19">
        <v>46230</v>
      </c>
      <c r="H914" s="18" t="s">
        <v>485</v>
      </c>
      <c r="I914" s="18" t="s">
        <v>1110</v>
      </c>
      <c r="J914" s="18">
        <v>1197</v>
      </c>
      <c r="K914" s="18" t="s">
        <v>1111</v>
      </c>
      <c r="L914" s="18" t="s">
        <v>4033</v>
      </c>
      <c r="M914" s="19">
        <v>46230</v>
      </c>
      <c r="N914" s="18" t="s">
        <v>1112</v>
      </c>
      <c r="O914" s="18" t="s">
        <v>1117</v>
      </c>
      <c r="P914" s="18" t="s">
        <v>1118</v>
      </c>
      <c r="Q914" s="18" t="s">
        <v>1119</v>
      </c>
      <c r="R914" s="18" t="s">
        <v>1120</v>
      </c>
      <c r="S914" s="18">
        <v>3624</v>
      </c>
      <c r="T914" s="18">
        <v>541751.76</v>
      </c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</row>
    <row r="915" spans="6:39" x14ac:dyDescent="0.35">
      <c r="F915" s="18" t="s">
        <v>1109</v>
      </c>
      <c r="G915" s="19">
        <v>46230</v>
      </c>
      <c r="H915" s="18" t="s">
        <v>485</v>
      </c>
      <c r="I915" s="18" t="s">
        <v>1110</v>
      </c>
      <c r="J915" s="18">
        <v>1197</v>
      </c>
      <c r="K915" s="18" t="s">
        <v>1111</v>
      </c>
      <c r="L915" s="18" t="s">
        <v>4033</v>
      </c>
      <c r="M915" s="19">
        <v>46230</v>
      </c>
      <c r="N915" s="18" t="s">
        <v>1112</v>
      </c>
      <c r="O915" s="18" t="s">
        <v>1117</v>
      </c>
      <c r="P915" s="18" t="s">
        <v>1118</v>
      </c>
      <c r="Q915" s="18" t="s">
        <v>1119</v>
      </c>
      <c r="R915" s="18" t="s">
        <v>1120</v>
      </c>
      <c r="S915" s="18">
        <v>398</v>
      </c>
      <c r="T915" s="18">
        <v>57507.02</v>
      </c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</row>
    <row r="916" spans="6:39" x14ac:dyDescent="0.35">
      <c r="F916" s="18" t="s">
        <v>1109</v>
      </c>
      <c r="G916" s="19">
        <v>46230</v>
      </c>
      <c r="H916" s="18" t="s">
        <v>485</v>
      </c>
      <c r="I916" s="18" t="s">
        <v>1110</v>
      </c>
      <c r="J916" s="18">
        <v>1197</v>
      </c>
      <c r="K916" s="18" t="s">
        <v>1111</v>
      </c>
      <c r="L916" s="18" t="s">
        <v>4033</v>
      </c>
      <c r="M916" s="19">
        <v>46230</v>
      </c>
      <c r="N916" s="18" t="s">
        <v>1112</v>
      </c>
      <c r="O916" s="18" t="s">
        <v>1113</v>
      </c>
      <c r="P916" s="18" t="s">
        <v>1114</v>
      </c>
      <c r="Q916" s="18" t="s">
        <v>1115</v>
      </c>
      <c r="R916" s="18" t="s">
        <v>1116</v>
      </c>
      <c r="S916" s="18">
        <v>1042</v>
      </c>
      <c r="T916" s="18">
        <v>163062.57999999999</v>
      </c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</row>
    <row r="917" spans="6:39" x14ac:dyDescent="0.35">
      <c r="F917" s="18" t="s">
        <v>1109</v>
      </c>
      <c r="G917" s="19">
        <v>46230</v>
      </c>
      <c r="H917" s="18" t="s">
        <v>125</v>
      </c>
      <c r="I917" s="18" t="s">
        <v>1110</v>
      </c>
      <c r="J917" s="18">
        <v>1192</v>
      </c>
      <c r="K917" s="18" t="s">
        <v>1121</v>
      </c>
      <c r="L917" s="18" t="s">
        <v>2396</v>
      </c>
      <c r="M917" s="19">
        <v>46230</v>
      </c>
      <c r="N917" s="18" t="s">
        <v>1122</v>
      </c>
      <c r="O917" s="18" t="s">
        <v>3533</v>
      </c>
      <c r="P917" s="18" t="s">
        <v>1124</v>
      </c>
      <c r="Q917" s="18" t="s">
        <v>1125</v>
      </c>
      <c r="R917" s="18" t="s">
        <v>5006</v>
      </c>
      <c r="S917" s="18">
        <v>2</v>
      </c>
      <c r="T917" s="18">
        <v>2110</v>
      </c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</row>
    <row r="918" spans="6:39" x14ac:dyDescent="0.35">
      <c r="F918" s="18" t="s">
        <v>1109</v>
      </c>
      <c r="G918" s="19">
        <v>46230</v>
      </c>
      <c r="H918" s="18" t="s">
        <v>125</v>
      </c>
      <c r="I918" s="18" t="s">
        <v>1110</v>
      </c>
      <c r="J918" s="18">
        <v>1193</v>
      </c>
      <c r="K918" s="18" t="s">
        <v>1121</v>
      </c>
      <c r="L918" s="18" t="s">
        <v>5538</v>
      </c>
      <c r="M918" s="19">
        <v>46230</v>
      </c>
      <c r="N918" s="18" t="s">
        <v>1122</v>
      </c>
      <c r="O918" s="18" t="s">
        <v>1123</v>
      </c>
      <c r="P918" s="18" t="s">
        <v>1124</v>
      </c>
      <c r="Q918" s="18" t="s">
        <v>1125</v>
      </c>
      <c r="R918" s="18" t="s">
        <v>1126</v>
      </c>
      <c r="S918" s="18">
        <v>272</v>
      </c>
      <c r="T918" s="18">
        <v>13056</v>
      </c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</row>
    <row r="919" spans="6:39" x14ac:dyDescent="0.35">
      <c r="F919" s="18" t="s">
        <v>1109</v>
      </c>
      <c r="G919" s="19">
        <v>46230</v>
      </c>
      <c r="H919" s="18" t="s">
        <v>125</v>
      </c>
      <c r="I919" s="18" t="s">
        <v>1110</v>
      </c>
      <c r="J919" s="18">
        <v>1194</v>
      </c>
      <c r="K919" s="18" t="s">
        <v>1111</v>
      </c>
      <c r="L919" s="18" t="s">
        <v>5539</v>
      </c>
      <c r="M919" s="19">
        <v>46230</v>
      </c>
      <c r="N919" s="18" t="s">
        <v>1112</v>
      </c>
      <c r="O919" s="18" t="s">
        <v>1131</v>
      </c>
      <c r="P919" s="18" t="s">
        <v>1132</v>
      </c>
      <c r="Q919" s="18" t="s">
        <v>1132</v>
      </c>
      <c r="R919" s="18" t="s">
        <v>1131</v>
      </c>
      <c r="S919" s="18">
        <v>243.5</v>
      </c>
      <c r="T919" s="18">
        <v>35670.32</v>
      </c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</row>
    <row r="920" spans="6:39" x14ac:dyDescent="0.35">
      <c r="F920" s="18" t="s">
        <v>1109</v>
      </c>
      <c r="G920" s="19">
        <v>46230</v>
      </c>
      <c r="H920" s="18" t="s">
        <v>125</v>
      </c>
      <c r="I920" s="18" t="s">
        <v>1110</v>
      </c>
      <c r="J920" s="18">
        <v>1194</v>
      </c>
      <c r="K920" s="18" t="s">
        <v>1111</v>
      </c>
      <c r="L920" s="18" t="s">
        <v>5539</v>
      </c>
      <c r="M920" s="19">
        <v>46230</v>
      </c>
      <c r="N920" s="18" t="s">
        <v>1112</v>
      </c>
      <c r="O920" s="18" t="s">
        <v>1131</v>
      </c>
      <c r="P920" s="18" t="s">
        <v>1132</v>
      </c>
      <c r="Q920" s="18" t="s">
        <v>1132</v>
      </c>
      <c r="R920" s="18" t="s">
        <v>1131</v>
      </c>
      <c r="S920" s="18">
        <v>113.5</v>
      </c>
      <c r="T920" s="18">
        <v>16967.12</v>
      </c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</row>
    <row r="921" spans="6:39" x14ac:dyDescent="0.35">
      <c r="F921" s="18" t="s">
        <v>1109</v>
      </c>
      <c r="G921" s="19">
        <v>46230</v>
      </c>
      <c r="H921" s="18" t="s">
        <v>125</v>
      </c>
      <c r="I921" s="18" t="s">
        <v>1110</v>
      </c>
      <c r="J921" s="18">
        <v>1194</v>
      </c>
      <c r="K921" s="18" t="s">
        <v>1111</v>
      </c>
      <c r="L921" s="18" t="s">
        <v>5539</v>
      </c>
      <c r="M921" s="19">
        <v>46230</v>
      </c>
      <c r="N921" s="18" t="s">
        <v>1112</v>
      </c>
      <c r="O921" s="18" t="s">
        <v>1117</v>
      </c>
      <c r="P921" s="18" t="s">
        <v>1138</v>
      </c>
      <c r="Q921" s="18" t="s">
        <v>1139</v>
      </c>
      <c r="R921" s="18" t="s">
        <v>1140</v>
      </c>
      <c r="S921" s="18">
        <v>6510</v>
      </c>
      <c r="T921" s="18">
        <v>986199.9</v>
      </c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</row>
    <row r="922" spans="6:39" x14ac:dyDescent="0.35">
      <c r="F922" s="18" t="s">
        <v>1109</v>
      </c>
      <c r="G922" s="19">
        <v>46230</v>
      </c>
      <c r="H922" s="18" t="s">
        <v>125</v>
      </c>
      <c r="I922" s="18" t="s">
        <v>1110</v>
      </c>
      <c r="J922" s="18">
        <v>1194</v>
      </c>
      <c r="K922" s="18" t="s">
        <v>1111</v>
      </c>
      <c r="L922" s="18" t="s">
        <v>5539</v>
      </c>
      <c r="M922" s="19">
        <v>46230</v>
      </c>
      <c r="N922" s="18" t="s">
        <v>1112</v>
      </c>
      <c r="O922" s="18" t="s">
        <v>1117</v>
      </c>
      <c r="P922" s="18" t="s">
        <v>1118</v>
      </c>
      <c r="Q922" s="18" t="s">
        <v>1119</v>
      </c>
      <c r="R922" s="18" t="s">
        <v>1120</v>
      </c>
      <c r="S922" s="18">
        <v>2048</v>
      </c>
      <c r="T922" s="18">
        <v>306155.52000000002</v>
      </c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</row>
    <row r="923" spans="6:39" x14ac:dyDescent="0.35">
      <c r="F923" s="18" t="s">
        <v>1109</v>
      </c>
      <c r="G923" s="19">
        <v>46231</v>
      </c>
      <c r="H923" s="18" t="s">
        <v>1159</v>
      </c>
      <c r="I923" s="18" t="s">
        <v>1110</v>
      </c>
      <c r="J923" s="18">
        <v>1205</v>
      </c>
      <c r="K923" s="18" t="s">
        <v>1121</v>
      </c>
      <c r="L923" s="18" t="s">
        <v>5920</v>
      </c>
      <c r="M923" s="19">
        <v>46231</v>
      </c>
      <c r="N923" s="18" t="s">
        <v>1122</v>
      </c>
      <c r="O923" s="18" t="s">
        <v>1123</v>
      </c>
      <c r="P923" s="18" t="s">
        <v>1124</v>
      </c>
      <c r="Q923" s="18" t="s">
        <v>1125</v>
      </c>
      <c r="R923" s="18" t="s">
        <v>1126</v>
      </c>
      <c r="S923" s="18">
        <v>30</v>
      </c>
      <c r="T923" s="18">
        <v>1440</v>
      </c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</row>
    <row r="924" spans="6:39" x14ac:dyDescent="0.35">
      <c r="F924" s="18" t="s">
        <v>1109</v>
      </c>
      <c r="G924" s="19">
        <v>46231</v>
      </c>
      <c r="H924" s="18" t="s">
        <v>3790</v>
      </c>
      <c r="I924" s="18" t="s">
        <v>1110</v>
      </c>
      <c r="J924" s="18">
        <v>1200</v>
      </c>
      <c r="K924" s="18" t="s">
        <v>1111</v>
      </c>
      <c r="L924" s="18" t="s">
        <v>5921</v>
      </c>
      <c r="M924" s="19">
        <v>46231</v>
      </c>
      <c r="N924" s="18" t="s">
        <v>1112</v>
      </c>
      <c r="O924" s="18" t="s">
        <v>1117</v>
      </c>
      <c r="P924" s="18" t="s">
        <v>1118</v>
      </c>
      <c r="Q924" s="18" t="s">
        <v>1119</v>
      </c>
      <c r="R924" s="18" t="s">
        <v>1120</v>
      </c>
      <c r="S924" s="18">
        <v>97</v>
      </c>
      <c r="T924" s="18">
        <v>14209.53</v>
      </c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</row>
    <row r="925" spans="6:39" x14ac:dyDescent="0.35">
      <c r="F925" s="18" t="s">
        <v>1109</v>
      </c>
      <c r="G925" s="19">
        <v>46231</v>
      </c>
      <c r="H925" s="18" t="s">
        <v>3790</v>
      </c>
      <c r="I925" s="18" t="s">
        <v>1110</v>
      </c>
      <c r="J925" s="18">
        <v>1201</v>
      </c>
      <c r="K925" s="18" t="s">
        <v>1111</v>
      </c>
      <c r="L925" s="18" t="s">
        <v>5922</v>
      </c>
      <c r="M925" s="19">
        <v>46231</v>
      </c>
      <c r="N925" s="18" t="s">
        <v>1112</v>
      </c>
      <c r="O925" s="18" t="s">
        <v>1117</v>
      </c>
      <c r="P925" s="18" t="s">
        <v>1118</v>
      </c>
      <c r="Q925" s="18" t="s">
        <v>1119</v>
      </c>
      <c r="R925" s="18" t="s">
        <v>1120</v>
      </c>
      <c r="S925" s="18">
        <v>7183</v>
      </c>
      <c r="T925" s="18">
        <v>1037871.67</v>
      </c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</row>
    <row r="926" spans="6:39" x14ac:dyDescent="0.35">
      <c r="F926" s="18" t="s">
        <v>1109</v>
      </c>
      <c r="G926" s="19">
        <v>46231</v>
      </c>
      <c r="H926" s="18" t="s">
        <v>3790</v>
      </c>
      <c r="I926" s="18" t="s">
        <v>1110</v>
      </c>
      <c r="J926" s="18">
        <v>1201</v>
      </c>
      <c r="K926" s="18" t="s">
        <v>1111</v>
      </c>
      <c r="L926" s="18" t="s">
        <v>5922</v>
      </c>
      <c r="M926" s="19">
        <v>46231</v>
      </c>
      <c r="N926" s="18" t="s">
        <v>1112</v>
      </c>
      <c r="O926" s="18" t="s">
        <v>1117</v>
      </c>
      <c r="P926" s="18" t="s">
        <v>1118</v>
      </c>
      <c r="Q926" s="18" t="s">
        <v>1119</v>
      </c>
      <c r="R926" s="18" t="s">
        <v>1120</v>
      </c>
      <c r="S926" s="18">
        <v>146</v>
      </c>
      <c r="T926" s="18">
        <v>21533.54</v>
      </c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</row>
    <row r="927" spans="6:39" x14ac:dyDescent="0.35">
      <c r="F927" s="18" t="s">
        <v>1109</v>
      </c>
      <c r="G927" s="19">
        <v>46231</v>
      </c>
      <c r="H927" s="18" t="s">
        <v>3790</v>
      </c>
      <c r="I927" s="18" t="s">
        <v>1110</v>
      </c>
      <c r="J927" s="18">
        <v>1201</v>
      </c>
      <c r="K927" s="18" t="s">
        <v>1111</v>
      </c>
      <c r="L927" s="18" t="s">
        <v>5922</v>
      </c>
      <c r="M927" s="19">
        <v>46231</v>
      </c>
      <c r="N927" s="18" t="s">
        <v>1112</v>
      </c>
      <c r="O927" s="18" t="s">
        <v>1117</v>
      </c>
      <c r="P927" s="18" t="s">
        <v>1118</v>
      </c>
      <c r="Q927" s="18" t="s">
        <v>1119</v>
      </c>
      <c r="R927" s="18" t="s">
        <v>1120</v>
      </c>
      <c r="S927" s="18">
        <v>1161</v>
      </c>
      <c r="T927" s="18">
        <v>170074.89</v>
      </c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</row>
    <row r="928" spans="6:39" x14ac:dyDescent="0.35">
      <c r="F928" s="18" t="s">
        <v>1109</v>
      </c>
      <c r="G928" s="19">
        <v>46231</v>
      </c>
      <c r="H928" s="18" t="s">
        <v>3790</v>
      </c>
      <c r="I928" s="18" t="s">
        <v>1110</v>
      </c>
      <c r="J928" s="18">
        <v>1202</v>
      </c>
      <c r="K928" s="18" t="s">
        <v>1111</v>
      </c>
      <c r="L928" s="18" t="s">
        <v>5923</v>
      </c>
      <c r="M928" s="19">
        <v>46231</v>
      </c>
      <c r="N928" s="18" t="s">
        <v>1112</v>
      </c>
      <c r="O928" s="18" t="s">
        <v>1117</v>
      </c>
      <c r="P928" s="18" t="s">
        <v>1138</v>
      </c>
      <c r="Q928" s="18" t="s">
        <v>1139</v>
      </c>
      <c r="R928" s="18" t="s">
        <v>1140</v>
      </c>
      <c r="S928" s="18">
        <v>829</v>
      </c>
      <c r="T928" s="18">
        <v>125585.21</v>
      </c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</row>
    <row r="929" spans="6:39" x14ac:dyDescent="0.35">
      <c r="F929" s="18" t="s">
        <v>1109</v>
      </c>
      <c r="G929" s="19">
        <v>46231</v>
      </c>
      <c r="H929" s="18" t="s">
        <v>3790</v>
      </c>
      <c r="I929" s="18" t="s">
        <v>1110</v>
      </c>
      <c r="J929" s="18">
        <v>1202</v>
      </c>
      <c r="K929" s="18" t="s">
        <v>1111</v>
      </c>
      <c r="L929" s="18" t="s">
        <v>5923</v>
      </c>
      <c r="M929" s="19">
        <v>46231</v>
      </c>
      <c r="N929" s="18" t="s">
        <v>1112</v>
      </c>
      <c r="O929" s="18" t="s">
        <v>1127</v>
      </c>
      <c r="P929" s="18" t="s">
        <v>1128</v>
      </c>
      <c r="Q929" s="18" t="s">
        <v>1129</v>
      </c>
      <c r="R929" s="18" t="s">
        <v>1130</v>
      </c>
      <c r="S929" s="18">
        <v>3256</v>
      </c>
      <c r="T929" s="18">
        <v>595131.68000000005</v>
      </c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</row>
    <row r="930" spans="6:39" x14ac:dyDescent="0.35">
      <c r="F930" s="18" t="s">
        <v>1109</v>
      </c>
      <c r="G930" s="19">
        <v>46231</v>
      </c>
      <c r="H930" s="18" t="s">
        <v>3790</v>
      </c>
      <c r="I930" s="18" t="s">
        <v>1110</v>
      </c>
      <c r="J930" s="18">
        <v>1202</v>
      </c>
      <c r="K930" s="18" t="s">
        <v>1111</v>
      </c>
      <c r="L930" s="18" t="s">
        <v>5923</v>
      </c>
      <c r="M930" s="19">
        <v>46231</v>
      </c>
      <c r="N930" s="18" t="s">
        <v>1112</v>
      </c>
      <c r="O930" s="18" t="s">
        <v>1127</v>
      </c>
      <c r="P930" s="18" t="s">
        <v>1128</v>
      </c>
      <c r="Q930" s="18" t="s">
        <v>1129</v>
      </c>
      <c r="R930" s="18" t="s">
        <v>1130</v>
      </c>
      <c r="S930" s="18">
        <v>58</v>
      </c>
      <c r="T930" s="18">
        <v>10601.24</v>
      </c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</row>
    <row r="931" spans="6:39" x14ac:dyDescent="0.35">
      <c r="F931" s="18" t="s">
        <v>1109</v>
      </c>
      <c r="G931" s="19">
        <v>46231</v>
      </c>
      <c r="H931" s="18" t="s">
        <v>3790</v>
      </c>
      <c r="I931" s="18" t="s">
        <v>1110</v>
      </c>
      <c r="J931" s="18">
        <v>1202</v>
      </c>
      <c r="K931" s="18" t="s">
        <v>1111</v>
      </c>
      <c r="L931" s="18" t="s">
        <v>5923</v>
      </c>
      <c r="M931" s="19">
        <v>46231</v>
      </c>
      <c r="N931" s="18" t="s">
        <v>1112</v>
      </c>
      <c r="O931" s="18" t="s">
        <v>1131</v>
      </c>
      <c r="P931" s="18" t="s">
        <v>1132</v>
      </c>
      <c r="Q931" s="18" t="s">
        <v>1132</v>
      </c>
      <c r="R931" s="18" t="s">
        <v>1131</v>
      </c>
      <c r="S931" s="18">
        <v>870.7</v>
      </c>
      <c r="T931" s="18">
        <v>130160.94</v>
      </c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</row>
    <row r="932" spans="6:39" x14ac:dyDescent="0.35">
      <c r="F932" s="18" t="s">
        <v>1109</v>
      </c>
      <c r="G932" s="19">
        <v>46231</v>
      </c>
      <c r="H932" s="18" t="s">
        <v>3790</v>
      </c>
      <c r="I932" s="18" t="s">
        <v>1110</v>
      </c>
      <c r="J932" s="18">
        <v>1202</v>
      </c>
      <c r="K932" s="18" t="s">
        <v>1111</v>
      </c>
      <c r="L932" s="18" t="s">
        <v>5923</v>
      </c>
      <c r="M932" s="19">
        <v>46231</v>
      </c>
      <c r="N932" s="18" t="s">
        <v>1112</v>
      </c>
      <c r="O932" s="18" t="s">
        <v>1131</v>
      </c>
      <c r="P932" s="18" t="s">
        <v>1132</v>
      </c>
      <c r="Q932" s="18" t="s">
        <v>1132</v>
      </c>
      <c r="R932" s="18" t="s">
        <v>1131</v>
      </c>
      <c r="S932" s="18">
        <v>585.20000000000005</v>
      </c>
      <c r="T932" s="18">
        <v>85725.95</v>
      </c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</row>
    <row r="933" spans="6:39" x14ac:dyDescent="0.35">
      <c r="F933" s="18" t="s">
        <v>1109</v>
      </c>
      <c r="G933" s="19">
        <v>46231</v>
      </c>
      <c r="H933" s="18" t="s">
        <v>3790</v>
      </c>
      <c r="I933" s="18" t="s">
        <v>1110</v>
      </c>
      <c r="J933" s="18">
        <v>1203</v>
      </c>
      <c r="K933" s="18" t="s">
        <v>1121</v>
      </c>
      <c r="L933" s="18" t="s">
        <v>4034</v>
      </c>
      <c r="M933" s="19">
        <v>46231</v>
      </c>
      <c r="N933" s="18" t="s">
        <v>1122</v>
      </c>
      <c r="O933" s="18" t="s">
        <v>1123</v>
      </c>
      <c r="P933" s="18" t="s">
        <v>1124</v>
      </c>
      <c r="Q933" s="18" t="s">
        <v>1125</v>
      </c>
      <c r="R933" s="18" t="s">
        <v>1126</v>
      </c>
      <c r="S933" s="18">
        <v>351</v>
      </c>
      <c r="T933" s="18">
        <v>16848</v>
      </c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</row>
    <row r="934" spans="6:39" x14ac:dyDescent="0.35">
      <c r="F934" s="18" t="s">
        <v>1109</v>
      </c>
      <c r="G934" s="19">
        <v>46231</v>
      </c>
      <c r="H934" s="18" t="s">
        <v>3790</v>
      </c>
      <c r="I934" s="18" t="s">
        <v>1110</v>
      </c>
      <c r="J934" s="18">
        <v>1204</v>
      </c>
      <c r="K934" s="18" t="s">
        <v>1111</v>
      </c>
      <c r="L934" s="18" t="s">
        <v>2397</v>
      </c>
      <c r="M934" s="19">
        <v>46231</v>
      </c>
      <c r="N934" s="18" t="s">
        <v>1112</v>
      </c>
      <c r="O934" s="18" t="s">
        <v>1127</v>
      </c>
      <c r="P934" s="18" t="s">
        <v>1128</v>
      </c>
      <c r="Q934" s="18" t="s">
        <v>1129</v>
      </c>
      <c r="R934" s="18" t="s">
        <v>1130</v>
      </c>
      <c r="S934" s="18">
        <v>656</v>
      </c>
      <c r="T934" s="18">
        <v>121871.67999999999</v>
      </c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</row>
    <row r="935" spans="6:39" x14ac:dyDescent="0.35">
      <c r="F935" s="18" t="s">
        <v>1109</v>
      </c>
      <c r="G935" s="19">
        <v>46231</v>
      </c>
      <c r="H935" s="18" t="s">
        <v>3790</v>
      </c>
      <c r="I935" s="18" t="s">
        <v>1110</v>
      </c>
      <c r="J935" s="18">
        <v>1204</v>
      </c>
      <c r="K935" s="18" t="s">
        <v>1111</v>
      </c>
      <c r="L935" s="18" t="s">
        <v>2397</v>
      </c>
      <c r="M935" s="19">
        <v>46231</v>
      </c>
      <c r="N935" s="18" t="s">
        <v>1112</v>
      </c>
      <c r="O935" s="18" t="s">
        <v>1127</v>
      </c>
      <c r="P935" s="18" t="s">
        <v>1128</v>
      </c>
      <c r="Q935" s="18" t="s">
        <v>1129</v>
      </c>
      <c r="R935" s="18" t="s">
        <v>1130</v>
      </c>
      <c r="S935" s="18">
        <v>558</v>
      </c>
      <c r="T935" s="18">
        <v>101991.24</v>
      </c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</row>
    <row r="936" spans="6:39" x14ac:dyDescent="0.35">
      <c r="F936" s="18" t="s">
        <v>1109</v>
      </c>
      <c r="G936" s="19">
        <v>46231</v>
      </c>
      <c r="H936" s="18" t="s">
        <v>3790</v>
      </c>
      <c r="I936" s="18" t="s">
        <v>1110</v>
      </c>
      <c r="J936" s="18">
        <v>1204</v>
      </c>
      <c r="K936" s="18" t="s">
        <v>1111</v>
      </c>
      <c r="L936" s="18" t="s">
        <v>2397</v>
      </c>
      <c r="M936" s="19">
        <v>46231</v>
      </c>
      <c r="N936" s="18" t="s">
        <v>1112</v>
      </c>
      <c r="O936" s="18" t="s">
        <v>1117</v>
      </c>
      <c r="P936" s="18" t="s">
        <v>1118</v>
      </c>
      <c r="Q936" s="18" t="s">
        <v>1119</v>
      </c>
      <c r="R936" s="18" t="s">
        <v>1120</v>
      </c>
      <c r="S936" s="18">
        <v>1988</v>
      </c>
      <c r="T936" s="18">
        <v>287246.12</v>
      </c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</row>
    <row r="937" spans="6:39" x14ac:dyDescent="0.35">
      <c r="F937" s="18" t="s">
        <v>1109</v>
      </c>
      <c r="G937" s="19">
        <v>46231</v>
      </c>
      <c r="H937" s="18" t="s">
        <v>3790</v>
      </c>
      <c r="I937" s="18" t="s">
        <v>1110</v>
      </c>
      <c r="J937" s="18">
        <v>1204</v>
      </c>
      <c r="K937" s="18" t="s">
        <v>1111</v>
      </c>
      <c r="L937" s="18" t="s">
        <v>2397</v>
      </c>
      <c r="M937" s="19">
        <v>46231</v>
      </c>
      <c r="N937" s="18" t="s">
        <v>1112</v>
      </c>
      <c r="O937" s="18" t="s">
        <v>1131</v>
      </c>
      <c r="P937" s="18" t="s">
        <v>1132</v>
      </c>
      <c r="Q937" s="18" t="s">
        <v>1132</v>
      </c>
      <c r="R937" s="18" t="s">
        <v>1131</v>
      </c>
      <c r="S937" s="18">
        <v>31.5</v>
      </c>
      <c r="T937" s="18">
        <v>4708.9399999999996</v>
      </c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</row>
    <row r="938" spans="6:39" x14ac:dyDescent="0.35">
      <c r="F938" s="18" t="s">
        <v>1109</v>
      </c>
      <c r="G938" s="19">
        <v>46231</v>
      </c>
      <c r="H938" s="18" t="s">
        <v>1135</v>
      </c>
      <c r="I938" s="18" t="s">
        <v>1136</v>
      </c>
      <c r="J938" s="18" t="s">
        <v>5924</v>
      </c>
      <c r="K938" s="18" t="s">
        <v>1137</v>
      </c>
      <c r="L938" s="18" t="s">
        <v>5924</v>
      </c>
      <c r="M938" s="19">
        <v>46231</v>
      </c>
      <c r="N938" s="18" t="s">
        <v>1112</v>
      </c>
      <c r="O938" s="18" t="s">
        <v>1113</v>
      </c>
      <c r="P938" s="18" t="s">
        <v>1114</v>
      </c>
      <c r="Q938" s="18" t="s">
        <v>1115</v>
      </c>
      <c r="R938" s="18" t="s">
        <v>1116</v>
      </c>
      <c r="S938" s="18">
        <v>1185.23</v>
      </c>
      <c r="T938" s="18">
        <v>174220.11250000002</v>
      </c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</row>
    <row r="939" spans="6:39" x14ac:dyDescent="0.35">
      <c r="F939" s="18" t="s">
        <v>1109</v>
      </c>
      <c r="G939" s="19">
        <v>46231</v>
      </c>
      <c r="H939" s="18" t="s">
        <v>1135</v>
      </c>
      <c r="I939" s="18" t="s">
        <v>1136</v>
      </c>
      <c r="J939" s="18" t="s">
        <v>5925</v>
      </c>
      <c r="K939" s="18" t="s">
        <v>1137</v>
      </c>
      <c r="L939" s="18" t="s">
        <v>5925</v>
      </c>
      <c r="M939" s="19">
        <v>46231</v>
      </c>
      <c r="N939" s="18" t="s">
        <v>1112</v>
      </c>
      <c r="O939" s="18" t="s">
        <v>1127</v>
      </c>
      <c r="P939" s="18" t="s">
        <v>1128</v>
      </c>
      <c r="Q939" s="18" t="s">
        <v>1129</v>
      </c>
      <c r="R939" s="18" t="s">
        <v>1130</v>
      </c>
      <c r="S939" s="18">
        <v>930</v>
      </c>
      <c r="T939" s="18">
        <v>162379.58000000002</v>
      </c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</row>
    <row r="940" spans="6:39" x14ac:dyDescent="0.35">
      <c r="F940" s="18" t="s">
        <v>1109</v>
      </c>
      <c r="G940" s="19">
        <v>46231</v>
      </c>
      <c r="H940" s="18" t="s">
        <v>1135</v>
      </c>
      <c r="I940" s="18" t="s">
        <v>1136</v>
      </c>
      <c r="J940" s="18" t="s">
        <v>5926</v>
      </c>
      <c r="K940" s="18" t="s">
        <v>1137</v>
      </c>
      <c r="L940" s="18" t="s">
        <v>5926</v>
      </c>
      <c r="M940" s="19">
        <v>46231</v>
      </c>
      <c r="N940" s="18" t="s">
        <v>1112</v>
      </c>
      <c r="O940" s="18" t="s">
        <v>1117</v>
      </c>
      <c r="P940" s="18" t="s">
        <v>1138</v>
      </c>
      <c r="Q940" s="18" t="s">
        <v>1139</v>
      </c>
      <c r="R940" s="18" t="s">
        <v>1140</v>
      </c>
      <c r="S940" s="18">
        <v>2382</v>
      </c>
      <c r="T940" s="18">
        <v>338246.16499999998</v>
      </c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</row>
    <row r="941" spans="6:39" x14ac:dyDescent="0.35">
      <c r="F941" s="18" t="s">
        <v>1109</v>
      </c>
      <c r="G941" s="19">
        <v>46231</v>
      </c>
      <c r="H941" s="18" t="s">
        <v>485</v>
      </c>
      <c r="I941" s="18" t="s">
        <v>1110</v>
      </c>
      <c r="J941" s="18" t="s">
        <v>5927</v>
      </c>
      <c r="K941" s="18" t="s">
        <v>3760</v>
      </c>
      <c r="L941" s="18" t="s">
        <v>5927</v>
      </c>
      <c r="M941" s="19">
        <v>46231</v>
      </c>
      <c r="N941" s="18" t="s">
        <v>1146</v>
      </c>
      <c r="O941" s="18" t="s">
        <v>1147</v>
      </c>
      <c r="P941" s="18" t="s">
        <v>1147</v>
      </c>
      <c r="Q941" s="18" t="s">
        <v>1148</v>
      </c>
      <c r="R941" s="18" t="s">
        <v>1169</v>
      </c>
      <c r="S941" s="18">
        <v>21689</v>
      </c>
      <c r="T941" s="18">
        <v>4590476.8499999996</v>
      </c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</row>
    <row r="942" spans="6:39" x14ac:dyDescent="0.35">
      <c r="F942" s="18" t="s">
        <v>1109</v>
      </c>
      <c r="G942" s="19">
        <v>46231</v>
      </c>
      <c r="H942" s="18" t="s">
        <v>485</v>
      </c>
      <c r="I942" s="18" t="s">
        <v>1110</v>
      </c>
      <c r="J942" s="18" t="s">
        <v>5928</v>
      </c>
      <c r="K942" s="18" t="s">
        <v>3760</v>
      </c>
      <c r="L942" s="18" t="s">
        <v>5928</v>
      </c>
      <c r="M942" s="19">
        <v>46231</v>
      </c>
      <c r="N942" s="18" t="s">
        <v>1146</v>
      </c>
      <c r="O942" s="18" t="s">
        <v>1147</v>
      </c>
      <c r="P942" s="18" t="s">
        <v>1147</v>
      </c>
      <c r="Q942" s="18" t="s">
        <v>1148</v>
      </c>
      <c r="R942" s="18" t="s">
        <v>1149</v>
      </c>
      <c r="S942" s="18">
        <v>2228</v>
      </c>
      <c r="T942" s="18">
        <v>448585.52</v>
      </c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</row>
    <row r="943" spans="6:39" x14ac:dyDescent="0.35">
      <c r="F943" s="18" t="s">
        <v>1109</v>
      </c>
      <c r="G943" s="19">
        <v>46231</v>
      </c>
      <c r="H943" s="18" t="s">
        <v>485</v>
      </c>
      <c r="I943" s="18" t="s">
        <v>1110</v>
      </c>
      <c r="J943" s="18" t="s">
        <v>5928</v>
      </c>
      <c r="K943" s="18" t="s">
        <v>3760</v>
      </c>
      <c r="L943" s="18" t="s">
        <v>5928</v>
      </c>
      <c r="M943" s="19">
        <v>46231</v>
      </c>
      <c r="N943" s="18" t="s">
        <v>1146</v>
      </c>
      <c r="O943" s="18" t="s">
        <v>1147</v>
      </c>
      <c r="P943" s="18" t="s">
        <v>1147</v>
      </c>
      <c r="Q943" s="18" t="s">
        <v>1148</v>
      </c>
      <c r="R943" s="18" t="s">
        <v>1149</v>
      </c>
      <c r="S943" s="18">
        <v>1031</v>
      </c>
      <c r="T943" s="18">
        <v>201117.17</v>
      </c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</row>
    <row r="944" spans="6:39" x14ac:dyDescent="0.35">
      <c r="F944" s="18" t="s">
        <v>1109</v>
      </c>
      <c r="G944" s="19">
        <v>46231</v>
      </c>
      <c r="H944" s="18" t="s">
        <v>485</v>
      </c>
      <c r="I944" s="18" t="s">
        <v>1110</v>
      </c>
      <c r="J944" s="18" t="s">
        <v>5928</v>
      </c>
      <c r="K944" s="18" t="s">
        <v>3760</v>
      </c>
      <c r="L944" s="18" t="s">
        <v>5928</v>
      </c>
      <c r="M944" s="19">
        <v>46231</v>
      </c>
      <c r="N944" s="18" t="s">
        <v>1146</v>
      </c>
      <c r="O944" s="18" t="s">
        <v>1147</v>
      </c>
      <c r="P944" s="18" t="s">
        <v>1147</v>
      </c>
      <c r="Q944" s="18" t="s">
        <v>1148</v>
      </c>
      <c r="R944" s="18" t="s">
        <v>1149</v>
      </c>
      <c r="S944" s="18">
        <v>14538</v>
      </c>
      <c r="T944" s="18">
        <v>3103717.62</v>
      </c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</row>
    <row r="945" spans="6:39" x14ac:dyDescent="0.35">
      <c r="F945" s="18" t="s">
        <v>1109</v>
      </c>
      <c r="G945" s="19">
        <v>46231</v>
      </c>
      <c r="H945" s="18" t="s">
        <v>485</v>
      </c>
      <c r="I945" s="18" t="s">
        <v>1110</v>
      </c>
      <c r="J945" s="18" t="s">
        <v>5928</v>
      </c>
      <c r="K945" s="18" t="s">
        <v>3760</v>
      </c>
      <c r="L945" s="18" t="s">
        <v>5928</v>
      </c>
      <c r="M945" s="19">
        <v>46231</v>
      </c>
      <c r="N945" s="18" t="s">
        <v>1146</v>
      </c>
      <c r="O945" s="18" t="s">
        <v>1147</v>
      </c>
      <c r="P945" s="18" t="s">
        <v>1147</v>
      </c>
      <c r="Q945" s="18" t="s">
        <v>1148</v>
      </c>
      <c r="R945" s="18" t="s">
        <v>1149</v>
      </c>
      <c r="S945" s="18">
        <v>788</v>
      </c>
      <c r="T945" s="18">
        <v>177300</v>
      </c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</row>
    <row r="946" spans="6:39" x14ac:dyDescent="0.35">
      <c r="F946" s="18" t="s">
        <v>1109</v>
      </c>
      <c r="G946" s="19">
        <v>46231</v>
      </c>
      <c r="H946" s="18" t="s">
        <v>485</v>
      </c>
      <c r="I946" s="18" t="s">
        <v>1110</v>
      </c>
      <c r="J946" s="18" t="s">
        <v>5928</v>
      </c>
      <c r="K946" s="18" t="s">
        <v>3760</v>
      </c>
      <c r="L946" s="18" t="s">
        <v>5928</v>
      </c>
      <c r="M946" s="19">
        <v>46231</v>
      </c>
      <c r="N946" s="18" t="s">
        <v>1146</v>
      </c>
      <c r="O946" s="18" t="s">
        <v>1147</v>
      </c>
      <c r="P946" s="18" t="s">
        <v>1147</v>
      </c>
      <c r="Q946" s="18" t="s">
        <v>1148</v>
      </c>
      <c r="R946" s="18" t="s">
        <v>1149</v>
      </c>
      <c r="S946" s="18">
        <v>778</v>
      </c>
      <c r="T946" s="18">
        <v>157194.9</v>
      </c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</row>
    <row r="947" spans="6:39" x14ac:dyDescent="0.35">
      <c r="F947" s="18" t="s">
        <v>1109</v>
      </c>
      <c r="G947" s="19">
        <v>46231</v>
      </c>
      <c r="H947" s="18" t="s">
        <v>5663</v>
      </c>
      <c r="I947" s="18" t="s">
        <v>1110</v>
      </c>
      <c r="J947" s="18">
        <v>1207</v>
      </c>
      <c r="K947" s="18" t="s">
        <v>1165</v>
      </c>
      <c r="L947" s="18" t="s">
        <v>5929</v>
      </c>
      <c r="M947" s="19">
        <v>46231</v>
      </c>
      <c r="N947" s="18" t="s">
        <v>5665</v>
      </c>
      <c r="O947" s="18" t="s">
        <v>1166</v>
      </c>
      <c r="P947" s="18" t="s">
        <v>5666</v>
      </c>
      <c r="Q947" s="18" t="s">
        <v>5667</v>
      </c>
      <c r="R947" s="18" t="s">
        <v>5668</v>
      </c>
      <c r="S947" s="18">
        <v>1700</v>
      </c>
      <c r="T947" s="18">
        <v>6800</v>
      </c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</row>
    <row r="948" spans="6:39" x14ac:dyDescent="0.35">
      <c r="F948" s="18" t="s">
        <v>1109</v>
      </c>
      <c r="G948" s="19">
        <v>46231</v>
      </c>
      <c r="H948" s="18" t="s">
        <v>125</v>
      </c>
      <c r="I948" s="18" t="s">
        <v>1110</v>
      </c>
      <c r="J948" s="18">
        <v>1199</v>
      </c>
      <c r="K948" s="18" t="s">
        <v>1111</v>
      </c>
      <c r="L948" s="18" t="s">
        <v>5540</v>
      </c>
      <c r="M948" s="19">
        <v>46231</v>
      </c>
      <c r="N948" s="18" t="s">
        <v>1112</v>
      </c>
      <c r="O948" s="18" t="s">
        <v>1117</v>
      </c>
      <c r="P948" s="18" t="s">
        <v>1118</v>
      </c>
      <c r="Q948" s="18" t="s">
        <v>1119</v>
      </c>
      <c r="R948" s="18" t="s">
        <v>1120</v>
      </c>
      <c r="S948" s="18">
        <v>961</v>
      </c>
      <c r="T948" s="18">
        <v>138960.6</v>
      </c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</row>
    <row r="949" spans="6:39" x14ac:dyDescent="0.35">
      <c r="F949" s="18" t="s">
        <v>1109</v>
      </c>
      <c r="G949" s="19">
        <v>46232</v>
      </c>
      <c r="H949" s="18" t="s">
        <v>3790</v>
      </c>
      <c r="I949" s="18" t="s">
        <v>1110</v>
      </c>
      <c r="J949" s="18">
        <v>1208</v>
      </c>
      <c r="K949" s="18" t="s">
        <v>1111</v>
      </c>
      <c r="L949" s="18" t="s">
        <v>5930</v>
      </c>
      <c r="M949" s="19">
        <v>46232</v>
      </c>
      <c r="N949" s="18" t="s">
        <v>1112</v>
      </c>
      <c r="O949" s="18" t="s">
        <v>1117</v>
      </c>
      <c r="P949" s="18" t="s">
        <v>1138</v>
      </c>
      <c r="Q949" s="18" t="s">
        <v>1139</v>
      </c>
      <c r="R949" s="18" t="s">
        <v>1140</v>
      </c>
      <c r="S949" s="18">
        <v>525</v>
      </c>
      <c r="T949" s="18">
        <v>77957.25</v>
      </c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</row>
    <row r="950" spans="6:39" x14ac:dyDescent="0.35">
      <c r="F950" s="18" t="s">
        <v>1109</v>
      </c>
      <c r="G950" s="19">
        <v>46232</v>
      </c>
      <c r="H950" s="18" t="s">
        <v>3790</v>
      </c>
      <c r="I950" s="18" t="s">
        <v>1110</v>
      </c>
      <c r="J950" s="18">
        <v>1208</v>
      </c>
      <c r="K950" s="18" t="s">
        <v>1111</v>
      </c>
      <c r="L950" s="18" t="s">
        <v>5930</v>
      </c>
      <c r="M950" s="19">
        <v>46232</v>
      </c>
      <c r="N950" s="18" t="s">
        <v>1112</v>
      </c>
      <c r="O950" s="18" t="s">
        <v>1117</v>
      </c>
      <c r="P950" s="18" t="s">
        <v>1118</v>
      </c>
      <c r="Q950" s="18" t="s">
        <v>1119</v>
      </c>
      <c r="R950" s="18" t="s">
        <v>1120</v>
      </c>
      <c r="S950" s="18">
        <v>1325</v>
      </c>
      <c r="T950" s="18">
        <v>194099.25</v>
      </c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</row>
    <row r="951" spans="6:39" x14ac:dyDescent="0.35">
      <c r="F951" s="18" t="s">
        <v>1109</v>
      </c>
      <c r="G951" s="19">
        <v>46232</v>
      </c>
      <c r="H951" s="18" t="s">
        <v>3790</v>
      </c>
      <c r="I951" s="18" t="s">
        <v>1110</v>
      </c>
      <c r="J951" s="18">
        <v>1208</v>
      </c>
      <c r="K951" s="18" t="s">
        <v>1111</v>
      </c>
      <c r="L951" s="18" t="s">
        <v>5930</v>
      </c>
      <c r="M951" s="19">
        <v>46232</v>
      </c>
      <c r="N951" s="18" t="s">
        <v>1112</v>
      </c>
      <c r="O951" s="18" t="s">
        <v>1117</v>
      </c>
      <c r="P951" s="18" t="s">
        <v>1118</v>
      </c>
      <c r="Q951" s="18" t="s">
        <v>1119</v>
      </c>
      <c r="R951" s="18" t="s">
        <v>1120</v>
      </c>
      <c r="S951" s="18">
        <v>8039</v>
      </c>
      <c r="T951" s="18">
        <v>1161555.1100000001</v>
      </c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</row>
    <row r="952" spans="6:39" x14ac:dyDescent="0.35">
      <c r="F952" s="18" t="s">
        <v>1109</v>
      </c>
      <c r="G952" s="19">
        <v>46232</v>
      </c>
      <c r="H952" s="18" t="s">
        <v>3790</v>
      </c>
      <c r="I952" s="18" t="s">
        <v>1110</v>
      </c>
      <c r="J952" s="18">
        <v>1209</v>
      </c>
      <c r="K952" s="18" t="s">
        <v>1121</v>
      </c>
      <c r="L952" s="18" t="s">
        <v>5931</v>
      </c>
      <c r="M952" s="19">
        <v>46232</v>
      </c>
      <c r="N952" s="18" t="s">
        <v>1122</v>
      </c>
      <c r="O952" s="18" t="s">
        <v>1123</v>
      </c>
      <c r="P952" s="18" t="s">
        <v>1124</v>
      </c>
      <c r="Q952" s="18" t="s">
        <v>1125</v>
      </c>
      <c r="R952" s="18" t="s">
        <v>1126</v>
      </c>
      <c r="S952" s="18">
        <v>320</v>
      </c>
      <c r="T952" s="18">
        <v>15360</v>
      </c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</row>
    <row r="953" spans="6:39" x14ac:dyDescent="0.35">
      <c r="F953" s="18" t="s">
        <v>1109</v>
      </c>
      <c r="G953" s="19">
        <v>46232</v>
      </c>
      <c r="H953" s="18" t="s">
        <v>3790</v>
      </c>
      <c r="I953" s="18" t="s">
        <v>1110</v>
      </c>
      <c r="J953" s="18">
        <v>1210</v>
      </c>
      <c r="K953" s="18" t="s">
        <v>1111</v>
      </c>
      <c r="L953" s="18" t="s">
        <v>5932</v>
      </c>
      <c r="M953" s="19">
        <v>46232</v>
      </c>
      <c r="N953" s="18" t="s">
        <v>1112</v>
      </c>
      <c r="O953" s="18" t="s">
        <v>1127</v>
      </c>
      <c r="P953" s="18" t="s">
        <v>1128</v>
      </c>
      <c r="Q953" s="18" t="s">
        <v>1129</v>
      </c>
      <c r="R953" s="18" t="s">
        <v>1130</v>
      </c>
      <c r="S953" s="18">
        <v>7940</v>
      </c>
      <c r="T953" s="18">
        <v>1451273.2</v>
      </c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</row>
    <row r="954" spans="6:39" x14ac:dyDescent="0.35">
      <c r="F954" s="18" t="s">
        <v>1109</v>
      </c>
      <c r="G954" s="19">
        <v>46232</v>
      </c>
      <c r="H954" s="18" t="s">
        <v>3790</v>
      </c>
      <c r="I954" s="18" t="s">
        <v>1110</v>
      </c>
      <c r="J954" s="18">
        <v>1210</v>
      </c>
      <c r="K954" s="18" t="s">
        <v>1111</v>
      </c>
      <c r="L954" s="18" t="s">
        <v>5932</v>
      </c>
      <c r="M954" s="19">
        <v>46232</v>
      </c>
      <c r="N954" s="18" t="s">
        <v>1112</v>
      </c>
      <c r="O954" s="18" t="s">
        <v>1131</v>
      </c>
      <c r="P954" s="18" t="s">
        <v>1132</v>
      </c>
      <c r="Q954" s="18" t="s">
        <v>1132</v>
      </c>
      <c r="R954" s="18" t="s">
        <v>1131</v>
      </c>
      <c r="S954" s="18">
        <v>97.1</v>
      </c>
      <c r="T954" s="18">
        <v>14224.18</v>
      </c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</row>
    <row r="955" spans="6:39" x14ac:dyDescent="0.35">
      <c r="F955" s="18" t="s">
        <v>1109</v>
      </c>
      <c r="G955" s="19">
        <v>46232</v>
      </c>
      <c r="H955" s="18" t="s">
        <v>3790</v>
      </c>
      <c r="I955" s="18" t="s">
        <v>1110</v>
      </c>
      <c r="J955" s="18">
        <v>1210</v>
      </c>
      <c r="K955" s="18" t="s">
        <v>1111</v>
      </c>
      <c r="L955" s="18" t="s">
        <v>5932</v>
      </c>
      <c r="M955" s="19">
        <v>46232</v>
      </c>
      <c r="N955" s="18" t="s">
        <v>1112</v>
      </c>
      <c r="O955" s="18" t="s">
        <v>1131</v>
      </c>
      <c r="P955" s="18" t="s">
        <v>1132</v>
      </c>
      <c r="Q955" s="18" t="s">
        <v>1132</v>
      </c>
      <c r="R955" s="18" t="s">
        <v>1131</v>
      </c>
      <c r="S955" s="18">
        <v>1132.7</v>
      </c>
      <c r="T955" s="18">
        <v>169327.32</v>
      </c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</row>
    <row r="956" spans="6:39" x14ac:dyDescent="0.35">
      <c r="F956" s="18" t="s">
        <v>1109</v>
      </c>
      <c r="G956" s="19">
        <v>46232</v>
      </c>
      <c r="H956" s="18" t="s">
        <v>3790</v>
      </c>
      <c r="I956" s="18" t="s">
        <v>1110</v>
      </c>
      <c r="J956" s="18">
        <v>1213</v>
      </c>
      <c r="K956" s="18" t="s">
        <v>1111</v>
      </c>
      <c r="L956" s="18" t="s">
        <v>5933</v>
      </c>
      <c r="M956" s="19">
        <v>46232</v>
      </c>
      <c r="N956" s="18" t="s">
        <v>1112</v>
      </c>
      <c r="O956" s="18" t="s">
        <v>1117</v>
      </c>
      <c r="P956" s="18" t="s">
        <v>1118</v>
      </c>
      <c r="Q956" s="18" t="s">
        <v>1119</v>
      </c>
      <c r="R956" s="18" t="s">
        <v>1120</v>
      </c>
      <c r="S956" s="18">
        <v>1400</v>
      </c>
      <c r="T956" s="18">
        <v>202286</v>
      </c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</row>
    <row r="957" spans="6:39" x14ac:dyDescent="0.35">
      <c r="F957" s="18" t="s">
        <v>1109</v>
      </c>
      <c r="G957" s="19">
        <v>46232</v>
      </c>
      <c r="H957" s="18" t="s">
        <v>3790</v>
      </c>
      <c r="I957" s="18" t="s">
        <v>1110</v>
      </c>
      <c r="J957" s="18">
        <v>1217</v>
      </c>
      <c r="K957" s="18" t="s">
        <v>1111</v>
      </c>
      <c r="L957" s="18" t="s">
        <v>5934</v>
      </c>
      <c r="M957" s="19">
        <v>46232</v>
      </c>
      <c r="N957" s="18" t="s">
        <v>1112</v>
      </c>
      <c r="O957" s="18" t="s">
        <v>1117</v>
      </c>
      <c r="P957" s="18" t="s">
        <v>1118</v>
      </c>
      <c r="Q957" s="18" t="s">
        <v>1119</v>
      </c>
      <c r="R957" s="18" t="s">
        <v>1120</v>
      </c>
      <c r="S957" s="18">
        <v>1175</v>
      </c>
      <c r="T957" s="18">
        <v>169775.75</v>
      </c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</row>
    <row r="958" spans="6:39" x14ac:dyDescent="0.35">
      <c r="F958" s="18" t="s">
        <v>1109</v>
      </c>
      <c r="G958" s="19">
        <v>46232</v>
      </c>
      <c r="H958" s="18" t="s">
        <v>1135</v>
      </c>
      <c r="I958" s="18" t="s">
        <v>1136</v>
      </c>
      <c r="J958" s="18" t="s">
        <v>5935</v>
      </c>
      <c r="K958" s="18" t="s">
        <v>1137</v>
      </c>
      <c r="L958" s="18" t="s">
        <v>5935</v>
      </c>
      <c r="M958" s="19">
        <v>46232</v>
      </c>
      <c r="N958" s="18" t="s">
        <v>1112</v>
      </c>
      <c r="O958" s="18" t="s">
        <v>1117</v>
      </c>
      <c r="P958" s="18" t="s">
        <v>1138</v>
      </c>
      <c r="Q958" s="18" t="s">
        <v>1139</v>
      </c>
      <c r="R958" s="18" t="s">
        <v>1140</v>
      </c>
      <c r="S958" s="18">
        <v>4404</v>
      </c>
      <c r="T958" s="18">
        <v>625372.17350000003</v>
      </c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</row>
    <row r="959" spans="6:39" x14ac:dyDescent="0.35">
      <c r="F959" s="18" t="s">
        <v>1109</v>
      </c>
      <c r="G959" s="19">
        <v>46232</v>
      </c>
      <c r="H959" s="18" t="s">
        <v>485</v>
      </c>
      <c r="I959" s="18" t="s">
        <v>1110</v>
      </c>
      <c r="J959" s="18">
        <v>1215</v>
      </c>
      <c r="K959" s="18" t="s">
        <v>1121</v>
      </c>
      <c r="L959" s="18" t="s">
        <v>2399</v>
      </c>
      <c r="M959" s="19">
        <v>46232</v>
      </c>
      <c r="N959" s="18" t="s">
        <v>1122</v>
      </c>
      <c r="O959" s="18" t="s">
        <v>1123</v>
      </c>
      <c r="P959" s="18" t="s">
        <v>1124</v>
      </c>
      <c r="Q959" s="18" t="s">
        <v>1125</v>
      </c>
      <c r="R959" s="18" t="s">
        <v>1126</v>
      </c>
      <c r="S959" s="18">
        <v>317</v>
      </c>
      <c r="T959" s="18">
        <v>15216</v>
      </c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</row>
    <row r="960" spans="6:39" x14ac:dyDescent="0.35">
      <c r="F960" s="18" t="s">
        <v>1109</v>
      </c>
      <c r="G960" s="19">
        <v>46232</v>
      </c>
      <c r="H960" s="18" t="s">
        <v>485</v>
      </c>
      <c r="I960" s="18" t="s">
        <v>1110</v>
      </c>
      <c r="J960" s="18">
        <v>1216</v>
      </c>
      <c r="K960" s="18" t="s">
        <v>1111</v>
      </c>
      <c r="L960" s="18" t="s">
        <v>2400</v>
      </c>
      <c r="M960" s="19">
        <v>46232</v>
      </c>
      <c r="N960" s="18" t="s">
        <v>1112</v>
      </c>
      <c r="O960" s="18" t="s">
        <v>1117</v>
      </c>
      <c r="P960" s="18" t="s">
        <v>1118</v>
      </c>
      <c r="Q960" s="18" t="s">
        <v>1119</v>
      </c>
      <c r="R960" s="18" t="s">
        <v>1120</v>
      </c>
      <c r="S960" s="18">
        <v>1677</v>
      </c>
      <c r="T960" s="18">
        <v>242309.73</v>
      </c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</row>
    <row r="961" spans="6:39" x14ac:dyDescent="0.35">
      <c r="F961" s="18" t="s">
        <v>1109</v>
      </c>
      <c r="G961" s="19">
        <v>46232</v>
      </c>
      <c r="H961" s="18" t="s">
        <v>485</v>
      </c>
      <c r="I961" s="18" t="s">
        <v>1110</v>
      </c>
      <c r="J961" s="18">
        <v>1216</v>
      </c>
      <c r="K961" s="18" t="s">
        <v>1111</v>
      </c>
      <c r="L961" s="18" t="s">
        <v>2400</v>
      </c>
      <c r="M961" s="19">
        <v>46232</v>
      </c>
      <c r="N961" s="18" t="s">
        <v>1112</v>
      </c>
      <c r="O961" s="18" t="s">
        <v>1117</v>
      </c>
      <c r="P961" s="18" t="s">
        <v>1118</v>
      </c>
      <c r="Q961" s="18" t="s">
        <v>1119</v>
      </c>
      <c r="R961" s="18" t="s">
        <v>1120</v>
      </c>
      <c r="S961" s="18">
        <v>2970</v>
      </c>
      <c r="T961" s="18">
        <v>438045.3</v>
      </c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</row>
    <row r="962" spans="6:39" x14ac:dyDescent="0.35">
      <c r="F962" s="18" t="s">
        <v>1109</v>
      </c>
      <c r="G962" s="19">
        <v>46232</v>
      </c>
      <c r="H962" s="18" t="s">
        <v>485</v>
      </c>
      <c r="I962" s="18" t="s">
        <v>1110</v>
      </c>
      <c r="J962" s="18">
        <v>1216</v>
      </c>
      <c r="K962" s="18" t="s">
        <v>1111</v>
      </c>
      <c r="L962" s="18" t="s">
        <v>2400</v>
      </c>
      <c r="M962" s="19">
        <v>46232</v>
      </c>
      <c r="N962" s="18" t="s">
        <v>1112</v>
      </c>
      <c r="O962" s="18" t="s">
        <v>1117</v>
      </c>
      <c r="P962" s="18" t="s">
        <v>1118</v>
      </c>
      <c r="Q962" s="18" t="s">
        <v>1119</v>
      </c>
      <c r="R962" s="18" t="s">
        <v>1120</v>
      </c>
      <c r="S962" s="18">
        <v>3156</v>
      </c>
      <c r="T962" s="18">
        <v>471790.44</v>
      </c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</row>
    <row r="963" spans="6:39" x14ac:dyDescent="0.35">
      <c r="F963" s="18" t="s">
        <v>1109</v>
      </c>
      <c r="G963" s="19">
        <v>46232</v>
      </c>
      <c r="H963" s="18" t="s">
        <v>485</v>
      </c>
      <c r="I963" s="18" t="s">
        <v>1110</v>
      </c>
      <c r="J963" s="18">
        <v>1216</v>
      </c>
      <c r="K963" s="18" t="s">
        <v>1111</v>
      </c>
      <c r="L963" s="18" t="s">
        <v>2400</v>
      </c>
      <c r="M963" s="19">
        <v>46232</v>
      </c>
      <c r="N963" s="18" t="s">
        <v>1112</v>
      </c>
      <c r="O963" s="18" t="s">
        <v>1117</v>
      </c>
      <c r="P963" s="18" t="s">
        <v>1138</v>
      </c>
      <c r="Q963" s="18" t="s">
        <v>1139</v>
      </c>
      <c r="R963" s="18" t="s">
        <v>1140</v>
      </c>
      <c r="S963" s="18">
        <v>676</v>
      </c>
      <c r="T963" s="18">
        <v>102407.24</v>
      </c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</row>
    <row r="964" spans="6:39" x14ac:dyDescent="0.35">
      <c r="F964" s="18" t="s">
        <v>1109</v>
      </c>
      <c r="G964" s="19">
        <v>46232</v>
      </c>
      <c r="H964" s="18" t="s">
        <v>485</v>
      </c>
      <c r="I964" s="18" t="s">
        <v>1150</v>
      </c>
      <c r="J964" s="18" t="s">
        <v>5936</v>
      </c>
      <c r="K964" s="18" t="s">
        <v>1111</v>
      </c>
      <c r="L964" s="18" t="s">
        <v>5936</v>
      </c>
      <c r="M964" s="19">
        <v>46232</v>
      </c>
      <c r="N964" s="18" t="s">
        <v>1112</v>
      </c>
      <c r="O964" s="18" t="s">
        <v>1117</v>
      </c>
      <c r="P964" s="18" t="s">
        <v>1118</v>
      </c>
      <c r="Q964" s="18" t="s">
        <v>1119</v>
      </c>
      <c r="R964" s="18" t="s">
        <v>1120</v>
      </c>
      <c r="S964" s="18">
        <v>617</v>
      </c>
      <c r="T964" s="18">
        <v>243715</v>
      </c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</row>
    <row r="965" spans="6:39" x14ac:dyDescent="0.35">
      <c r="F965" s="18" t="s">
        <v>1109</v>
      </c>
      <c r="G965" s="19">
        <v>46232</v>
      </c>
      <c r="H965" s="18" t="s">
        <v>485</v>
      </c>
      <c r="I965" s="18" t="s">
        <v>1110</v>
      </c>
      <c r="J965" s="18" t="s">
        <v>5937</v>
      </c>
      <c r="K965" s="18" t="s">
        <v>3760</v>
      </c>
      <c r="L965" s="18" t="s">
        <v>5937</v>
      </c>
      <c r="M965" s="19">
        <v>46232</v>
      </c>
      <c r="N965" s="18" t="s">
        <v>1146</v>
      </c>
      <c r="O965" s="18" t="s">
        <v>1147</v>
      </c>
      <c r="P965" s="18" t="s">
        <v>1147</v>
      </c>
      <c r="Q965" s="18" t="s">
        <v>1148</v>
      </c>
      <c r="R965" s="18" t="s">
        <v>1149</v>
      </c>
      <c r="S965" s="18">
        <v>3310.3</v>
      </c>
      <c r="T965" s="18">
        <v>639152.72</v>
      </c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</row>
    <row r="966" spans="6:39" x14ac:dyDescent="0.35">
      <c r="F966" s="18" t="s">
        <v>1109</v>
      </c>
      <c r="G966" s="19">
        <v>46232</v>
      </c>
      <c r="H966" s="18" t="s">
        <v>485</v>
      </c>
      <c r="I966" s="18" t="s">
        <v>1110</v>
      </c>
      <c r="J966" s="18" t="s">
        <v>5937</v>
      </c>
      <c r="K966" s="18" t="s">
        <v>3760</v>
      </c>
      <c r="L966" s="18" t="s">
        <v>5937</v>
      </c>
      <c r="M966" s="19">
        <v>46232</v>
      </c>
      <c r="N966" s="18" t="s">
        <v>1146</v>
      </c>
      <c r="O966" s="18" t="s">
        <v>1147</v>
      </c>
      <c r="P966" s="18" t="s">
        <v>1147</v>
      </c>
      <c r="Q966" s="18" t="s">
        <v>1148</v>
      </c>
      <c r="R966" s="18" t="s">
        <v>1149</v>
      </c>
      <c r="S966" s="18">
        <v>835.3</v>
      </c>
      <c r="T966" s="18">
        <v>164804.69</v>
      </c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</row>
    <row r="967" spans="6:39" x14ac:dyDescent="0.35">
      <c r="F967" s="18" t="s">
        <v>1109</v>
      </c>
      <c r="G967" s="19">
        <v>46232</v>
      </c>
      <c r="H967" s="18" t="s">
        <v>485</v>
      </c>
      <c r="I967" s="18" t="s">
        <v>1110</v>
      </c>
      <c r="J967" s="18" t="s">
        <v>5937</v>
      </c>
      <c r="K967" s="18" t="s">
        <v>3760</v>
      </c>
      <c r="L967" s="18" t="s">
        <v>5937</v>
      </c>
      <c r="M967" s="19">
        <v>46232</v>
      </c>
      <c r="N967" s="18" t="s">
        <v>1146</v>
      </c>
      <c r="O967" s="18" t="s">
        <v>1147</v>
      </c>
      <c r="P967" s="18" t="s">
        <v>1147</v>
      </c>
      <c r="Q967" s="18" t="s">
        <v>1148</v>
      </c>
      <c r="R967" s="18" t="s">
        <v>1149</v>
      </c>
      <c r="S967" s="18">
        <v>1647</v>
      </c>
      <c r="T967" s="18">
        <v>335790.36</v>
      </c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</row>
    <row r="968" spans="6:39" x14ac:dyDescent="0.35">
      <c r="F968" s="18" t="s">
        <v>1109</v>
      </c>
      <c r="G968" s="19">
        <v>46232</v>
      </c>
      <c r="H968" s="18" t="s">
        <v>485</v>
      </c>
      <c r="I968" s="18" t="s">
        <v>1110</v>
      </c>
      <c r="J968" s="18" t="s">
        <v>5937</v>
      </c>
      <c r="K968" s="18" t="s">
        <v>3760</v>
      </c>
      <c r="L968" s="18" t="s">
        <v>5937</v>
      </c>
      <c r="M968" s="19">
        <v>46232</v>
      </c>
      <c r="N968" s="18" t="s">
        <v>1146</v>
      </c>
      <c r="O968" s="18" t="s">
        <v>1147</v>
      </c>
      <c r="P968" s="18" t="s">
        <v>1147</v>
      </c>
      <c r="Q968" s="18" t="s">
        <v>1148</v>
      </c>
      <c r="R968" s="18" t="s">
        <v>1149</v>
      </c>
      <c r="S968" s="18">
        <v>1941</v>
      </c>
      <c r="T968" s="18">
        <v>384356.82</v>
      </c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</row>
    <row r="969" spans="6:39" x14ac:dyDescent="0.35">
      <c r="F969" s="18" t="s">
        <v>1109</v>
      </c>
      <c r="G969" s="19">
        <v>46232</v>
      </c>
      <c r="H969" s="18" t="s">
        <v>485</v>
      </c>
      <c r="I969" s="18" t="s">
        <v>1110</v>
      </c>
      <c r="J969" s="18" t="s">
        <v>5937</v>
      </c>
      <c r="K969" s="18" t="s">
        <v>3760</v>
      </c>
      <c r="L969" s="18" t="s">
        <v>5937</v>
      </c>
      <c r="M969" s="19">
        <v>46232</v>
      </c>
      <c r="N969" s="18" t="s">
        <v>1146</v>
      </c>
      <c r="O969" s="18" t="s">
        <v>1147</v>
      </c>
      <c r="P969" s="18" t="s">
        <v>1147</v>
      </c>
      <c r="Q969" s="18" t="s">
        <v>1148</v>
      </c>
      <c r="R969" s="18" t="s">
        <v>1149</v>
      </c>
      <c r="S969" s="18">
        <v>2738</v>
      </c>
      <c r="T969" s="18">
        <v>561290</v>
      </c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</row>
    <row r="970" spans="6:39" x14ac:dyDescent="0.35">
      <c r="F970" s="18" t="s">
        <v>1109</v>
      </c>
      <c r="G970" s="19">
        <v>46232</v>
      </c>
      <c r="H970" s="18" t="s">
        <v>485</v>
      </c>
      <c r="I970" s="18" t="s">
        <v>1110</v>
      </c>
      <c r="J970" s="18" t="s">
        <v>5937</v>
      </c>
      <c r="K970" s="18" t="s">
        <v>3760</v>
      </c>
      <c r="L970" s="18" t="s">
        <v>5937</v>
      </c>
      <c r="M970" s="19">
        <v>46232</v>
      </c>
      <c r="N970" s="18" t="s">
        <v>1146</v>
      </c>
      <c r="O970" s="18" t="s">
        <v>1147</v>
      </c>
      <c r="P970" s="18" t="s">
        <v>1147</v>
      </c>
      <c r="Q970" s="18" t="s">
        <v>1148</v>
      </c>
      <c r="R970" s="18" t="s">
        <v>1149</v>
      </c>
      <c r="S970" s="18">
        <v>2281</v>
      </c>
      <c r="T970" s="18">
        <v>460944.48</v>
      </c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</row>
    <row r="971" spans="6:39" x14ac:dyDescent="0.35">
      <c r="F971" s="18" t="s">
        <v>1109</v>
      </c>
      <c r="G971" s="19">
        <v>46232</v>
      </c>
      <c r="H971" s="18" t="s">
        <v>485</v>
      </c>
      <c r="I971" s="18" t="s">
        <v>1110</v>
      </c>
      <c r="J971" s="18" t="s">
        <v>5937</v>
      </c>
      <c r="K971" s="18" t="s">
        <v>3760</v>
      </c>
      <c r="L971" s="18" t="s">
        <v>5937</v>
      </c>
      <c r="M971" s="19">
        <v>46232</v>
      </c>
      <c r="N971" s="18" t="s">
        <v>1146</v>
      </c>
      <c r="O971" s="18" t="s">
        <v>1147</v>
      </c>
      <c r="P971" s="18" t="s">
        <v>1147</v>
      </c>
      <c r="Q971" s="18" t="s">
        <v>1148</v>
      </c>
      <c r="R971" s="18" t="s">
        <v>1149</v>
      </c>
      <c r="S971" s="18">
        <v>3941</v>
      </c>
      <c r="T971" s="18">
        <v>801559.99</v>
      </c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</row>
    <row r="972" spans="6:39" x14ac:dyDescent="0.35">
      <c r="F972" s="18" t="s">
        <v>1109</v>
      </c>
      <c r="G972" s="19">
        <v>46232</v>
      </c>
      <c r="H972" s="18" t="s">
        <v>485</v>
      </c>
      <c r="I972" s="18" t="s">
        <v>1110</v>
      </c>
      <c r="J972" s="18" t="s">
        <v>5937</v>
      </c>
      <c r="K972" s="18" t="s">
        <v>3760</v>
      </c>
      <c r="L972" s="18" t="s">
        <v>5937</v>
      </c>
      <c r="M972" s="19">
        <v>46232</v>
      </c>
      <c r="N972" s="18" t="s">
        <v>1146</v>
      </c>
      <c r="O972" s="18" t="s">
        <v>1147</v>
      </c>
      <c r="P972" s="18" t="s">
        <v>1147</v>
      </c>
      <c r="Q972" s="18" t="s">
        <v>1148</v>
      </c>
      <c r="R972" s="18" t="s">
        <v>1149</v>
      </c>
      <c r="S972" s="18">
        <v>2072</v>
      </c>
      <c r="T972" s="18">
        <v>417818.8</v>
      </c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</row>
    <row r="973" spans="6:39" x14ac:dyDescent="0.35">
      <c r="F973" s="18" t="s">
        <v>1109</v>
      </c>
      <c r="G973" s="19">
        <v>46232</v>
      </c>
      <c r="H973" s="18" t="s">
        <v>485</v>
      </c>
      <c r="I973" s="18" t="s">
        <v>1110</v>
      </c>
      <c r="J973" s="18" t="s">
        <v>5938</v>
      </c>
      <c r="K973" s="18" t="s">
        <v>3760</v>
      </c>
      <c r="L973" s="18" t="s">
        <v>5938</v>
      </c>
      <c r="M973" s="19">
        <v>46232</v>
      </c>
      <c r="N973" s="18" t="s">
        <v>1146</v>
      </c>
      <c r="O973" s="18" t="s">
        <v>1147</v>
      </c>
      <c r="P973" s="18" t="s">
        <v>1147</v>
      </c>
      <c r="Q973" s="18" t="s">
        <v>1148</v>
      </c>
      <c r="R973" s="18" t="s">
        <v>1149</v>
      </c>
      <c r="S973" s="18">
        <v>9685</v>
      </c>
      <c r="T973" s="18">
        <v>1890512</v>
      </c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</row>
    <row r="974" spans="6:39" x14ac:dyDescent="0.35">
      <c r="F974" s="18" t="s">
        <v>1109</v>
      </c>
      <c r="G974" s="19">
        <v>46232</v>
      </c>
      <c r="H974" s="18" t="s">
        <v>485</v>
      </c>
      <c r="I974" s="18" t="s">
        <v>1110</v>
      </c>
      <c r="J974" s="18" t="s">
        <v>5938</v>
      </c>
      <c r="K974" s="18" t="s">
        <v>3760</v>
      </c>
      <c r="L974" s="18" t="s">
        <v>5938</v>
      </c>
      <c r="M974" s="19">
        <v>46232</v>
      </c>
      <c r="N974" s="18" t="s">
        <v>1146</v>
      </c>
      <c r="O974" s="18" t="s">
        <v>1147</v>
      </c>
      <c r="P974" s="18" t="s">
        <v>1147</v>
      </c>
      <c r="Q974" s="18" t="s">
        <v>1148</v>
      </c>
      <c r="R974" s="18" t="s">
        <v>1149</v>
      </c>
      <c r="S974" s="18">
        <v>9735</v>
      </c>
      <c r="T974" s="18">
        <v>1914387.75</v>
      </c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</row>
    <row r="975" spans="6:39" x14ac:dyDescent="0.35">
      <c r="F975" s="18" t="s">
        <v>1109</v>
      </c>
      <c r="G975" s="19">
        <v>46232</v>
      </c>
      <c r="H975" s="18" t="s">
        <v>125</v>
      </c>
      <c r="I975" s="18" t="s">
        <v>1110</v>
      </c>
      <c r="J975" s="18">
        <v>1211</v>
      </c>
      <c r="K975" s="18" t="s">
        <v>1111</v>
      </c>
      <c r="L975" s="18" t="s">
        <v>2398</v>
      </c>
      <c r="M975" s="19">
        <v>46232</v>
      </c>
      <c r="N975" s="18" t="s">
        <v>1112</v>
      </c>
      <c r="O975" s="18" t="s">
        <v>1117</v>
      </c>
      <c r="P975" s="18" t="s">
        <v>1118</v>
      </c>
      <c r="Q975" s="18" t="s">
        <v>1119</v>
      </c>
      <c r="R975" s="18" t="s">
        <v>1120</v>
      </c>
      <c r="S975" s="18">
        <v>299</v>
      </c>
      <c r="T975" s="18">
        <v>43800.51</v>
      </c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</row>
    <row r="976" spans="6:39" x14ac:dyDescent="0.35">
      <c r="F976" s="18" t="s">
        <v>1109</v>
      </c>
      <c r="G976" s="19">
        <v>46232</v>
      </c>
      <c r="H976" s="18" t="s">
        <v>125</v>
      </c>
      <c r="I976" s="18" t="s">
        <v>1110</v>
      </c>
      <c r="J976" s="18">
        <v>1211</v>
      </c>
      <c r="K976" s="18" t="s">
        <v>1111</v>
      </c>
      <c r="L976" s="18" t="s">
        <v>2398</v>
      </c>
      <c r="M976" s="19">
        <v>46232</v>
      </c>
      <c r="N976" s="18" t="s">
        <v>1112</v>
      </c>
      <c r="O976" s="18" t="s">
        <v>1131</v>
      </c>
      <c r="P976" s="18" t="s">
        <v>1132</v>
      </c>
      <c r="Q976" s="18" t="s">
        <v>1132</v>
      </c>
      <c r="R976" s="18" t="s">
        <v>1131</v>
      </c>
      <c r="S976" s="18">
        <v>1039.5</v>
      </c>
      <c r="T976" s="18">
        <v>152276.35999999999</v>
      </c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</row>
    <row r="977" spans="6:39" x14ac:dyDescent="0.35">
      <c r="F977" s="18" t="s">
        <v>1109</v>
      </c>
      <c r="G977" s="19">
        <v>46232</v>
      </c>
      <c r="H977" s="18" t="s">
        <v>125</v>
      </c>
      <c r="I977" s="18" t="s">
        <v>1110</v>
      </c>
      <c r="J977" s="18">
        <v>1211</v>
      </c>
      <c r="K977" s="18" t="s">
        <v>1111</v>
      </c>
      <c r="L977" s="18" t="s">
        <v>2398</v>
      </c>
      <c r="M977" s="19">
        <v>46232</v>
      </c>
      <c r="N977" s="18" t="s">
        <v>1112</v>
      </c>
      <c r="O977" s="18" t="s">
        <v>1131</v>
      </c>
      <c r="P977" s="18" t="s">
        <v>1132</v>
      </c>
      <c r="Q977" s="18" t="s">
        <v>1132</v>
      </c>
      <c r="R977" s="18" t="s">
        <v>1131</v>
      </c>
      <c r="S977" s="18">
        <v>152</v>
      </c>
      <c r="T977" s="18">
        <v>22722.48</v>
      </c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</row>
    <row r="978" spans="6:39" x14ac:dyDescent="0.35">
      <c r="F978" s="18" t="s">
        <v>1109</v>
      </c>
      <c r="G978" s="19">
        <v>46232</v>
      </c>
      <c r="H978" s="18" t="s">
        <v>125</v>
      </c>
      <c r="I978" s="18" t="s">
        <v>1110</v>
      </c>
      <c r="J978" s="18">
        <v>1211</v>
      </c>
      <c r="K978" s="18" t="s">
        <v>1111</v>
      </c>
      <c r="L978" s="18" t="s">
        <v>2398</v>
      </c>
      <c r="M978" s="19">
        <v>46232</v>
      </c>
      <c r="N978" s="18" t="s">
        <v>1112</v>
      </c>
      <c r="O978" s="18" t="s">
        <v>1127</v>
      </c>
      <c r="P978" s="18" t="s">
        <v>1128</v>
      </c>
      <c r="Q978" s="18" t="s">
        <v>1129</v>
      </c>
      <c r="R978" s="18" t="s">
        <v>1130</v>
      </c>
      <c r="S978" s="18">
        <v>1096.5</v>
      </c>
      <c r="T978" s="18">
        <v>204804.27</v>
      </c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</row>
    <row r="979" spans="6:39" x14ac:dyDescent="0.35">
      <c r="F979" s="18" t="s">
        <v>1109</v>
      </c>
      <c r="G979" s="19">
        <v>46232</v>
      </c>
      <c r="H979" s="18" t="s">
        <v>125</v>
      </c>
      <c r="I979" s="18" t="s">
        <v>1110</v>
      </c>
      <c r="J979" s="18">
        <v>1211</v>
      </c>
      <c r="K979" s="18" t="s">
        <v>1111</v>
      </c>
      <c r="L979" s="18" t="s">
        <v>2398</v>
      </c>
      <c r="M979" s="19">
        <v>46232</v>
      </c>
      <c r="N979" s="18" t="s">
        <v>1112</v>
      </c>
      <c r="O979" s="18" t="s">
        <v>1113</v>
      </c>
      <c r="P979" s="18" t="s">
        <v>1114</v>
      </c>
      <c r="Q979" s="18" t="s">
        <v>1115</v>
      </c>
      <c r="R979" s="18" t="s">
        <v>1144</v>
      </c>
      <c r="S979" s="18">
        <v>186.4</v>
      </c>
      <c r="T979" s="18">
        <v>30008.54</v>
      </c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</row>
    <row r="980" spans="6:39" x14ac:dyDescent="0.35">
      <c r="F980" s="18" t="s">
        <v>1109</v>
      </c>
      <c r="G980" s="19">
        <v>46232</v>
      </c>
      <c r="H980" s="18" t="s">
        <v>125</v>
      </c>
      <c r="I980" s="18" t="s">
        <v>1110</v>
      </c>
      <c r="J980" s="18">
        <v>1212</v>
      </c>
      <c r="K980" s="18" t="s">
        <v>1121</v>
      </c>
      <c r="L980" s="18" t="s">
        <v>5541</v>
      </c>
      <c r="M980" s="19">
        <v>46232</v>
      </c>
      <c r="N980" s="18" t="s">
        <v>1122</v>
      </c>
      <c r="O980" s="18" t="s">
        <v>1123</v>
      </c>
      <c r="P980" s="18" t="s">
        <v>1124</v>
      </c>
      <c r="Q980" s="18" t="s">
        <v>1125</v>
      </c>
      <c r="R980" s="18" t="s">
        <v>1126</v>
      </c>
      <c r="S980" s="18">
        <v>11</v>
      </c>
      <c r="T980" s="18">
        <v>528</v>
      </c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</row>
    <row r="981" spans="6:39" x14ac:dyDescent="0.35">
      <c r="F981" s="18" t="s">
        <v>1109</v>
      </c>
      <c r="G981" s="19">
        <v>46232</v>
      </c>
      <c r="H981" s="18" t="s">
        <v>125</v>
      </c>
      <c r="I981" s="18" t="s">
        <v>1110</v>
      </c>
      <c r="J981" s="18">
        <v>1214</v>
      </c>
      <c r="K981" s="18" t="s">
        <v>1111</v>
      </c>
      <c r="L981" s="18" t="s">
        <v>5542</v>
      </c>
      <c r="M981" s="19">
        <v>46232</v>
      </c>
      <c r="N981" s="18" t="s">
        <v>1112</v>
      </c>
      <c r="O981" s="18" t="s">
        <v>1113</v>
      </c>
      <c r="P981" s="18" t="s">
        <v>1114</v>
      </c>
      <c r="Q981" s="18" t="s">
        <v>1115</v>
      </c>
      <c r="R981" s="18" t="s">
        <v>1161</v>
      </c>
      <c r="S981" s="18">
        <v>464.3</v>
      </c>
      <c r="T981" s="18">
        <v>72658.31</v>
      </c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</row>
    <row r="982" spans="6:39" x14ac:dyDescent="0.35">
      <c r="F982" s="18" t="s">
        <v>1109</v>
      </c>
      <c r="G982" s="19">
        <v>46232</v>
      </c>
      <c r="H982" s="18" t="s">
        <v>125</v>
      </c>
      <c r="I982" s="18" t="s">
        <v>1110</v>
      </c>
      <c r="J982" s="18">
        <v>1214</v>
      </c>
      <c r="K982" s="18" t="s">
        <v>1111</v>
      </c>
      <c r="L982" s="18" t="s">
        <v>5542</v>
      </c>
      <c r="M982" s="19">
        <v>46232</v>
      </c>
      <c r="N982" s="18" t="s">
        <v>1112</v>
      </c>
      <c r="O982" s="18" t="s">
        <v>1113</v>
      </c>
      <c r="P982" s="18" t="s">
        <v>1114</v>
      </c>
      <c r="Q982" s="18" t="s">
        <v>1115</v>
      </c>
      <c r="R982" s="18" t="s">
        <v>1116</v>
      </c>
      <c r="S982" s="18">
        <v>969.1</v>
      </c>
      <c r="T982" s="18">
        <v>151654.46</v>
      </c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</row>
    <row r="983" spans="6:39" x14ac:dyDescent="0.35">
      <c r="F983" s="18" t="s">
        <v>1109</v>
      </c>
      <c r="G983" s="19">
        <v>46232</v>
      </c>
      <c r="H983" s="18" t="s">
        <v>573</v>
      </c>
      <c r="I983" s="18" t="s">
        <v>1136</v>
      </c>
      <c r="J983" s="18" t="s">
        <v>1778</v>
      </c>
      <c r="K983" s="18" t="s">
        <v>1145</v>
      </c>
      <c r="L983" s="18" t="s">
        <v>1778</v>
      </c>
      <c r="M983" s="19">
        <v>46232</v>
      </c>
      <c r="N983" s="18" t="s">
        <v>1146</v>
      </c>
      <c r="O983" s="18" t="s">
        <v>1147</v>
      </c>
      <c r="P983" s="18" t="s">
        <v>1147</v>
      </c>
      <c r="Q983" s="18" t="s">
        <v>1148</v>
      </c>
      <c r="R983" s="18" t="s">
        <v>1149</v>
      </c>
      <c r="S983" s="18">
        <v>19810</v>
      </c>
      <c r="T983" s="18">
        <v>5314827.8118421845</v>
      </c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</row>
    <row r="984" spans="6:39" x14ac:dyDescent="0.35">
      <c r="F984" s="18" t="s">
        <v>1109</v>
      </c>
      <c r="G984" s="19">
        <v>46233</v>
      </c>
      <c r="H984" s="18" t="s">
        <v>1159</v>
      </c>
      <c r="I984" s="18" t="s">
        <v>1110</v>
      </c>
      <c r="J984" s="18" t="s">
        <v>5939</v>
      </c>
      <c r="K984" s="18" t="s">
        <v>3760</v>
      </c>
      <c r="L984" s="18" t="s">
        <v>5939</v>
      </c>
      <c r="M984" s="19">
        <v>46233</v>
      </c>
      <c r="N984" s="18" t="s">
        <v>1146</v>
      </c>
      <c r="O984" s="18" t="s">
        <v>1171</v>
      </c>
      <c r="P984" s="18" t="s">
        <v>1171</v>
      </c>
      <c r="Q984" s="18" t="s">
        <v>1171</v>
      </c>
      <c r="R984" s="18" t="s">
        <v>4763</v>
      </c>
      <c r="S984" s="18">
        <v>8305.4</v>
      </c>
      <c r="T984" s="18">
        <v>1988146.65</v>
      </c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</row>
    <row r="985" spans="6:39" x14ac:dyDescent="0.35">
      <c r="F985" s="18" t="s">
        <v>1109</v>
      </c>
      <c r="G985" s="19">
        <v>46233</v>
      </c>
      <c r="H985" s="18" t="s">
        <v>3790</v>
      </c>
      <c r="I985" s="18" t="s">
        <v>1110</v>
      </c>
      <c r="J985" s="18">
        <v>1219</v>
      </c>
      <c r="K985" s="18" t="s">
        <v>1111</v>
      </c>
      <c r="L985" s="18" t="s">
        <v>59</v>
      </c>
      <c r="M985" s="19">
        <v>46233</v>
      </c>
      <c r="N985" s="18" t="s">
        <v>1112</v>
      </c>
      <c r="O985" s="18" t="s">
        <v>1117</v>
      </c>
      <c r="P985" s="18" t="s">
        <v>1118</v>
      </c>
      <c r="Q985" s="18" t="s">
        <v>1119</v>
      </c>
      <c r="R985" s="18" t="s">
        <v>1120</v>
      </c>
      <c r="S985" s="18">
        <v>747</v>
      </c>
      <c r="T985" s="18">
        <v>109428.03</v>
      </c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</row>
    <row r="986" spans="6:39" x14ac:dyDescent="0.35">
      <c r="F986" s="18" t="s">
        <v>1109</v>
      </c>
      <c r="G986" s="19">
        <v>46233</v>
      </c>
      <c r="H986" s="18" t="s">
        <v>3790</v>
      </c>
      <c r="I986" s="18" t="s">
        <v>1110</v>
      </c>
      <c r="J986" s="18">
        <v>1219</v>
      </c>
      <c r="K986" s="18" t="s">
        <v>1111</v>
      </c>
      <c r="L986" s="18" t="s">
        <v>59</v>
      </c>
      <c r="M986" s="19">
        <v>46233</v>
      </c>
      <c r="N986" s="18" t="s">
        <v>1112</v>
      </c>
      <c r="O986" s="18" t="s">
        <v>1117</v>
      </c>
      <c r="P986" s="18" t="s">
        <v>1118</v>
      </c>
      <c r="Q986" s="18" t="s">
        <v>1119</v>
      </c>
      <c r="R986" s="18" t="s">
        <v>1120</v>
      </c>
      <c r="S986" s="18">
        <v>6983</v>
      </c>
      <c r="T986" s="18">
        <v>1008973.67</v>
      </c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</row>
    <row r="987" spans="6:39" x14ac:dyDescent="0.35">
      <c r="F987" s="18" t="s">
        <v>1109</v>
      </c>
      <c r="G987" s="19">
        <v>46233</v>
      </c>
      <c r="H987" s="18" t="s">
        <v>3790</v>
      </c>
      <c r="I987" s="18" t="s">
        <v>1110</v>
      </c>
      <c r="J987" s="18">
        <v>1219</v>
      </c>
      <c r="K987" s="18" t="s">
        <v>1111</v>
      </c>
      <c r="L987" s="18" t="s">
        <v>59</v>
      </c>
      <c r="M987" s="19">
        <v>46233</v>
      </c>
      <c r="N987" s="18" t="s">
        <v>1112</v>
      </c>
      <c r="O987" s="18" t="s">
        <v>1117</v>
      </c>
      <c r="P987" s="18" t="s">
        <v>1138</v>
      </c>
      <c r="Q987" s="18" t="s">
        <v>1139</v>
      </c>
      <c r="R987" s="18" t="s">
        <v>1140</v>
      </c>
      <c r="S987" s="18">
        <v>564</v>
      </c>
      <c r="T987" s="18">
        <v>85440.36</v>
      </c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</row>
    <row r="988" spans="6:39" x14ac:dyDescent="0.35">
      <c r="F988" s="18" t="s">
        <v>1109</v>
      </c>
      <c r="G988" s="19">
        <v>46233</v>
      </c>
      <c r="H988" s="18" t="s">
        <v>3790</v>
      </c>
      <c r="I988" s="18" t="s">
        <v>1110</v>
      </c>
      <c r="J988" s="18">
        <v>1220</v>
      </c>
      <c r="K988" s="18" t="s">
        <v>1121</v>
      </c>
      <c r="L988" s="18" t="s">
        <v>60</v>
      </c>
      <c r="M988" s="19">
        <v>46233</v>
      </c>
      <c r="N988" s="18" t="s">
        <v>1122</v>
      </c>
      <c r="O988" s="18" t="s">
        <v>1123</v>
      </c>
      <c r="P988" s="18" t="s">
        <v>1124</v>
      </c>
      <c r="Q988" s="18" t="s">
        <v>1125</v>
      </c>
      <c r="R988" s="18" t="s">
        <v>1126</v>
      </c>
      <c r="S988" s="18">
        <v>265</v>
      </c>
      <c r="T988" s="18">
        <v>12720</v>
      </c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</row>
    <row r="989" spans="6:39" x14ac:dyDescent="0.35">
      <c r="F989" s="18" t="s">
        <v>1109</v>
      </c>
      <c r="G989" s="19">
        <v>46233</v>
      </c>
      <c r="H989" s="18" t="s">
        <v>3790</v>
      </c>
      <c r="I989" s="18" t="s">
        <v>1110</v>
      </c>
      <c r="J989" s="18">
        <v>1221</v>
      </c>
      <c r="K989" s="18" t="s">
        <v>1111</v>
      </c>
      <c r="L989" s="18" t="s">
        <v>5940</v>
      </c>
      <c r="M989" s="19">
        <v>46233</v>
      </c>
      <c r="N989" s="18" t="s">
        <v>1112</v>
      </c>
      <c r="O989" s="18" t="s">
        <v>1131</v>
      </c>
      <c r="P989" s="18" t="s">
        <v>1132</v>
      </c>
      <c r="Q989" s="18" t="s">
        <v>1132</v>
      </c>
      <c r="R989" s="18" t="s">
        <v>1131</v>
      </c>
      <c r="S989" s="18">
        <v>634</v>
      </c>
      <c r="T989" s="18">
        <v>92874.66</v>
      </c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</row>
    <row r="990" spans="6:39" x14ac:dyDescent="0.35">
      <c r="F990" s="18" t="s">
        <v>1109</v>
      </c>
      <c r="G990" s="19">
        <v>46233</v>
      </c>
      <c r="H990" s="18" t="s">
        <v>3790</v>
      </c>
      <c r="I990" s="18" t="s">
        <v>1110</v>
      </c>
      <c r="J990" s="18">
        <v>1221</v>
      </c>
      <c r="K990" s="18" t="s">
        <v>1111</v>
      </c>
      <c r="L990" s="18" t="s">
        <v>5940</v>
      </c>
      <c r="M990" s="19">
        <v>46233</v>
      </c>
      <c r="N990" s="18" t="s">
        <v>1112</v>
      </c>
      <c r="O990" s="18" t="s">
        <v>1131</v>
      </c>
      <c r="P990" s="18" t="s">
        <v>1132</v>
      </c>
      <c r="Q990" s="18" t="s">
        <v>1132</v>
      </c>
      <c r="R990" s="18" t="s">
        <v>1131</v>
      </c>
      <c r="S990" s="18">
        <v>1133.5</v>
      </c>
      <c r="T990" s="18">
        <v>169446.92</v>
      </c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</row>
    <row r="991" spans="6:39" x14ac:dyDescent="0.35">
      <c r="F991" s="18" t="s">
        <v>1109</v>
      </c>
      <c r="G991" s="19">
        <v>46233</v>
      </c>
      <c r="H991" s="18" t="s">
        <v>3790</v>
      </c>
      <c r="I991" s="18" t="s">
        <v>1110</v>
      </c>
      <c r="J991" s="18">
        <v>1221</v>
      </c>
      <c r="K991" s="18" t="s">
        <v>1111</v>
      </c>
      <c r="L991" s="18" t="s">
        <v>5940</v>
      </c>
      <c r="M991" s="19">
        <v>46233</v>
      </c>
      <c r="N991" s="18" t="s">
        <v>1112</v>
      </c>
      <c r="O991" s="18" t="s">
        <v>1117</v>
      </c>
      <c r="P991" s="18" t="s">
        <v>1138</v>
      </c>
      <c r="Q991" s="18" t="s">
        <v>1139</v>
      </c>
      <c r="R991" s="18" t="s">
        <v>1140</v>
      </c>
      <c r="S991" s="18">
        <v>694</v>
      </c>
      <c r="T991" s="18">
        <v>105134.06</v>
      </c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</row>
    <row r="992" spans="6:39" x14ac:dyDescent="0.35">
      <c r="F992" s="18" t="s">
        <v>1109</v>
      </c>
      <c r="G992" s="19">
        <v>46233</v>
      </c>
      <c r="H992" s="18" t="s">
        <v>3790</v>
      </c>
      <c r="I992" s="18" t="s">
        <v>1110</v>
      </c>
      <c r="J992" s="18">
        <v>1221</v>
      </c>
      <c r="K992" s="18" t="s">
        <v>1111</v>
      </c>
      <c r="L992" s="18" t="s">
        <v>5940</v>
      </c>
      <c r="M992" s="19">
        <v>46233</v>
      </c>
      <c r="N992" s="18" t="s">
        <v>1112</v>
      </c>
      <c r="O992" s="18" t="s">
        <v>1113</v>
      </c>
      <c r="P992" s="18" t="s">
        <v>1114</v>
      </c>
      <c r="Q992" s="18" t="s">
        <v>1115</v>
      </c>
      <c r="R992" s="18" t="s">
        <v>1161</v>
      </c>
      <c r="S992" s="18">
        <v>470.5</v>
      </c>
      <c r="T992" s="18">
        <v>73628.539999999994</v>
      </c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</row>
    <row r="993" spans="6:39" x14ac:dyDescent="0.35">
      <c r="F993" s="18" t="s">
        <v>1109</v>
      </c>
      <c r="G993" s="19">
        <v>46233</v>
      </c>
      <c r="H993" s="18" t="s">
        <v>3790</v>
      </c>
      <c r="I993" s="18" t="s">
        <v>1110</v>
      </c>
      <c r="J993" s="18">
        <v>1221</v>
      </c>
      <c r="K993" s="18" t="s">
        <v>1111</v>
      </c>
      <c r="L993" s="18" t="s">
        <v>5940</v>
      </c>
      <c r="M993" s="19">
        <v>46233</v>
      </c>
      <c r="N993" s="18" t="s">
        <v>1112</v>
      </c>
      <c r="O993" s="18" t="s">
        <v>1113</v>
      </c>
      <c r="P993" s="18" t="s">
        <v>1114</v>
      </c>
      <c r="Q993" s="18" t="s">
        <v>1115</v>
      </c>
      <c r="R993" s="18" t="s">
        <v>3793</v>
      </c>
      <c r="S993" s="18">
        <v>800.66</v>
      </c>
      <c r="T993" s="18">
        <v>127697.26</v>
      </c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</row>
    <row r="994" spans="6:39" x14ac:dyDescent="0.35">
      <c r="F994" s="18" t="s">
        <v>1109</v>
      </c>
      <c r="G994" s="19">
        <v>46233</v>
      </c>
      <c r="H994" s="18" t="s">
        <v>3790</v>
      </c>
      <c r="I994" s="18" t="s">
        <v>1110</v>
      </c>
      <c r="J994" s="18">
        <v>1221</v>
      </c>
      <c r="K994" s="18" t="s">
        <v>1111</v>
      </c>
      <c r="L994" s="18" t="s">
        <v>5940</v>
      </c>
      <c r="M994" s="19">
        <v>46233</v>
      </c>
      <c r="N994" s="18" t="s">
        <v>1112</v>
      </c>
      <c r="O994" s="18" t="s">
        <v>1117</v>
      </c>
      <c r="P994" s="18" t="s">
        <v>1118</v>
      </c>
      <c r="Q994" s="18" t="s">
        <v>1119</v>
      </c>
      <c r="R994" s="18" t="s">
        <v>1120</v>
      </c>
      <c r="S994" s="18">
        <v>1173</v>
      </c>
      <c r="T994" s="18">
        <v>169486.77</v>
      </c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</row>
    <row r="995" spans="6:39" x14ac:dyDescent="0.35">
      <c r="F995" s="18" t="s">
        <v>1109</v>
      </c>
      <c r="G995" s="19">
        <v>46233</v>
      </c>
      <c r="H995" s="18" t="s">
        <v>3790</v>
      </c>
      <c r="I995" s="18" t="s">
        <v>1110</v>
      </c>
      <c r="J995" s="18">
        <v>1221</v>
      </c>
      <c r="K995" s="18" t="s">
        <v>1111</v>
      </c>
      <c r="L995" s="18" t="s">
        <v>5940</v>
      </c>
      <c r="M995" s="19">
        <v>46233</v>
      </c>
      <c r="N995" s="18" t="s">
        <v>1112</v>
      </c>
      <c r="O995" s="18" t="s">
        <v>1127</v>
      </c>
      <c r="P995" s="18" t="s">
        <v>1128</v>
      </c>
      <c r="Q995" s="18" t="s">
        <v>1129</v>
      </c>
      <c r="R995" s="18" t="s">
        <v>1130</v>
      </c>
      <c r="S995" s="18">
        <v>3340.5</v>
      </c>
      <c r="T995" s="18">
        <v>610576.59</v>
      </c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</row>
    <row r="996" spans="6:39" x14ac:dyDescent="0.35">
      <c r="F996" s="18" t="s">
        <v>1109</v>
      </c>
      <c r="G996" s="19">
        <v>46233</v>
      </c>
      <c r="H996" s="18" t="s">
        <v>3790</v>
      </c>
      <c r="I996" s="18" t="s">
        <v>1110</v>
      </c>
      <c r="J996" s="18">
        <v>1221</v>
      </c>
      <c r="K996" s="18" t="s">
        <v>1111</v>
      </c>
      <c r="L996" s="18" t="s">
        <v>5940</v>
      </c>
      <c r="M996" s="19">
        <v>46233</v>
      </c>
      <c r="N996" s="18" t="s">
        <v>1146</v>
      </c>
      <c r="O996" s="18" t="s">
        <v>1179</v>
      </c>
      <c r="P996" s="18" t="s">
        <v>1179</v>
      </c>
      <c r="Q996" s="18" t="s">
        <v>1139</v>
      </c>
      <c r="R996" s="18" t="s">
        <v>1179</v>
      </c>
      <c r="S996" s="18">
        <v>280</v>
      </c>
      <c r="T996" s="18">
        <v>42417.2</v>
      </c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</row>
    <row r="997" spans="6:39" x14ac:dyDescent="0.35">
      <c r="F997" s="18" t="s">
        <v>1109</v>
      </c>
      <c r="G997" s="19">
        <v>46233</v>
      </c>
      <c r="H997" s="18" t="s">
        <v>3790</v>
      </c>
      <c r="I997" s="18" t="s">
        <v>1110</v>
      </c>
      <c r="J997" s="18">
        <v>1226</v>
      </c>
      <c r="K997" s="18" t="s">
        <v>1111</v>
      </c>
      <c r="L997" s="18" t="s">
        <v>65</v>
      </c>
      <c r="M997" s="19">
        <v>46233</v>
      </c>
      <c r="N997" s="18" t="s">
        <v>1146</v>
      </c>
      <c r="O997" s="18" t="s">
        <v>1179</v>
      </c>
      <c r="P997" s="18" t="s">
        <v>1179</v>
      </c>
      <c r="Q997" s="18" t="s">
        <v>1139</v>
      </c>
      <c r="R997" s="18" t="s">
        <v>1179</v>
      </c>
      <c r="S997" s="18">
        <v>1534</v>
      </c>
      <c r="T997" s="18">
        <v>240055.66</v>
      </c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</row>
    <row r="998" spans="6:39" x14ac:dyDescent="0.35">
      <c r="F998" s="18" t="s">
        <v>1109</v>
      </c>
      <c r="G998" s="19">
        <v>46233</v>
      </c>
      <c r="H998" s="18" t="s">
        <v>3790</v>
      </c>
      <c r="I998" s="18" t="s">
        <v>1110</v>
      </c>
      <c r="J998" s="18">
        <v>1226</v>
      </c>
      <c r="K998" s="18" t="s">
        <v>1111</v>
      </c>
      <c r="L998" s="18" t="s">
        <v>65</v>
      </c>
      <c r="M998" s="19">
        <v>46233</v>
      </c>
      <c r="N998" s="18" t="s">
        <v>1146</v>
      </c>
      <c r="O998" s="18" t="s">
        <v>1179</v>
      </c>
      <c r="P998" s="18" t="s">
        <v>1179</v>
      </c>
      <c r="Q998" s="18" t="s">
        <v>1132</v>
      </c>
      <c r="R998" s="18" t="s">
        <v>1179</v>
      </c>
      <c r="S998" s="18">
        <v>46</v>
      </c>
      <c r="T998" s="18">
        <v>7934.54</v>
      </c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</row>
    <row r="999" spans="6:39" x14ac:dyDescent="0.35">
      <c r="F999" s="18" t="s">
        <v>1109</v>
      </c>
      <c r="G999" s="19">
        <v>46233</v>
      </c>
      <c r="H999" s="18" t="s">
        <v>3790</v>
      </c>
      <c r="I999" s="18" t="s">
        <v>1110</v>
      </c>
      <c r="J999" s="18">
        <v>1227</v>
      </c>
      <c r="K999" s="18" t="s">
        <v>1111</v>
      </c>
      <c r="L999" s="18" t="s">
        <v>66</v>
      </c>
      <c r="M999" s="19">
        <v>46233</v>
      </c>
      <c r="N999" s="18" t="s">
        <v>1112</v>
      </c>
      <c r="O999" s="18" t="s">
        <v>1117</v>
      </c>
      <c r="P999" s="18" t="s">
        <v>1138</v>
      </c>
      <c r="Q999" s="18" t="s">
        <v>1139</v>
      </c>
      <c r="R999" s="18" t="s">
        <v>1140</v>
      </c>
      <c r="S999" s="18">
        <v>347</v>
      </c>
      <c r="T999" s="18">
        <v>52567.03</v>
      </c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</row>
    <row r="1000" spans="6:39" x14ac:dyDescent="0.35">
      <c r="F1000" s="18" t="s">
        <v>1109</v>
      </c>
      <c r="G1000" s="19">
        <v>46233</v>
      </c>
      <c r="H1000" s="18" t="s">
        <v>3790</v>
      </c>
      <c r="I1000" s="18" t="s">
        <v>1110</v>
      </c>
      <c r="J1000" s="18">
        <v>1227</v>
      </c>
      <c r="K1000" s="18" t="s">
        <v>1111</v>
      </c>
      <c r="L1000" s="18" t="s">
        <v>66</v>
      </c>
      <c r="M1000" s="19">
        <v>46233</v>
      </c>
      <c r="N1000" s="18" t="s">
        <v>1112</v>
      </c>
      <c r="O1000" s="18" t="s">
        <v>1117</v>
      </c>
      <c r="P1000" s="18" t="s">
        <v>1118</v>
      </c>
      <c r="Q1000" s="18" t="s">
        <v>1119</v>
      </c>
      <c r="R1000" s="18" t="s">
        <v>1120</v>
      </c>
      <c r="S1000" s="18">
        <v>682</v>
      </c>
      <c r="T1000" s="18">
        <v>99906.18</v>
      </c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</row>
    <row r="1001" spans="6:39" x14ac:dyDescent="0.35">
      <c r="F1001" s="18" t="s">
        <v>1109</v>
      </c>
      <c r="G1001" s="19">
        <v>46233</v>
      </c>
      <c r="H1001" s="18" t="s">
        <v>3790</v>
      </c>
      <c r="I1001" s="18" t="s">
        <v>1110</v>
      </c>
      <c r="J1001" s="18">
        <v>1227</v>
      </c>
      <c r="K1001" s="18" t="s">
        <v>1111</v>
      </c>
      <c r="L1001" s="18" t="s">
        <v>66</v>
      </c>
      <c r="M1001" s="19">
        <v>46233</v>
      </c>
      <c r="N1001" s="18" t="s">
        <v>1112</v>
      </c>
      <c r="O1001" s="18" t="s">
        <v>1117</v>
      </c>
      <c r="P1001" s="18" t="s">
        <v>1118</v>
      </c>
      <c r="Q1001" s="18" t="s">
        <v>1119</v>
      </c>
      <c r="R1001" s="18" t="s">
        <v>1120</v>
      </c>
      <c r="S1001" s="18">
        <v>510</v>
      </c>
      <c r="T1001" s="18">
        <v>73689.899999999994</v>
      </c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</row>
    <row r="1002" spans="6:39" x14ac:dyDescent="0.35">
      <c r="F1002" s="18" t="s">
        <v>1109</v>
      </c>
      <c r="G1002" s="19">
        <v>46233</v>
      </c>
      <c r="H1002" s="18" t="s">
        <v>485</v>
      </c>
      <c r="I1002" s="18" t="s">
        <v>1110</v>
      </c>
      <c r="J1002" s="18">
        <v>1228</v>
      </c>
      <c r="K1002" s="18" t="s">
        <v>1121</v>
      </c>
      <c r="L1002" s="18" t="s">
        <v>67</v>
      </c>
      <c r="M1002" s="19">
        <v>46233</v>
      </c>
      <c r="N1002" s="18" t="s">
        <v>1122</v>
      </c>
      <c r="O1002" s="18" t="s">
        <v>1123</v>
      </c>
      <c r="P1002" s="18" t="s">
        <v>1124</v>
      </c>
      <c r="Q1002" s="18" t="s">
        <v>1125</v>
      </c>
      <c r="R1002" s="18" t="s">
        <v>1126</v>
      </c>
      <c r="S1002" s="18">
        <v>172</v>
      </c>
      <c r="T1002" s="18">
        <v>8256</v>
      </c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</row>
    <row r="1003" spans="6:39" x14ac:dyDescent="0.35">
      <c r="F1003" s="18" t="s">
        <v>1109</v>
      </c>
      <c r="G1003" s="19">
        <v>46233</v>
      </c>
      <c r="H1003" s="18" t="s">
        <v>485</v>
      </c>
      <c r="I1003" s="18" t="s">
        <v>1110</v>
      </c>
      <c r="J1003" s="18">
        <v>1229</v>
      </c>
      <c r="K1003" s="18" t="s">
        <v>1111</v>
      </c>
      <c r="L1003" s="18" t="s">
        <v>5941</v>
      </c>
      <c r="M1003" s="19">
        <v>46233</v>
      </c>
      <c r="N1003" s="18" t="s">
        <v>1112</v>
      </c>
      <c r="O1003" s="18" t="s">
        <v>1117</v>
      </c>
      <c r="P1003" s="18" t="s">
        <v>1118</v>
      </c>
      <c r="Q1003" s="18" t="s">
        <v>1119</v>
      </c>
      <c r="R1003" s="18" t="s">
        <v>1120</v>
      </c>
      <c r="S1003" s="18">
        <v>1381</v>
      </c>
      <c r="T1003" s="18">
        <v>199540.69</v>
      </c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</row>
    <row r="1004" spans="6:39" x14ac:dyDescent="0.35">
      <c r="F1004" s="18" t="s">
        <v>1109</v>
      </c>
      <c r="G1004" s="19">
        <v>46233</v>
      </c>
      <c r="H1004" s="18" t="s">
        <v>485</v>
      </c>
      <c r="I1004" s="18" t="s">
        <v>1110</v>
      </c>
      <c r="J1004" s="18">
        <v>1229</v>
      </c>
      <c r="K1004" s="18" t="s">
        <v>1111</v>
      </c>
      <c r="L1004" s="18" t="s">
        <v>5941</v>
      </c>
      <c r="M1004" s="19">
        <v>46233</v>
      </c>
      <c r="N1004" s="18" t="s">
        <v>1112</v>
      </c>
      <c r="O1004" s="18" t="s">
        <v>1117</v>
      </c>
      <c r="P1004" s="18" t="s">
        <v>1118</v>
      </c>
      <c r="Q1004" s="18" t="s">
        <v>1119</v>
      </c>
      <c r="R1004" s="18" t="s">
        <v>1120</v>
      </c>
      <c r="S1004" s="18">
        <v>3321</v>
      </c>
      <c r="T1004" s="18">
        <v>496456.29</v>
      </c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</row>
    <row r="1005" spans="6:39" x14ac:dyDescent="0.35">
      <c r="F1005" s="18" t="s">
        <v>1109</v>
      </c>
      <c r="G1005" s="19">
        <v>46233</v>
      </c>
      <c r="H1005" s="18" t="s">
        <v>485</v>
      </c>
      <c r="I1005" s="18" t="s">
        <v>1110</v>
      </c>
      <c r="J1005" s="18">
        <v>1229</v>
      </c>
      <c r="K1005" s="18" t="s">
        <v>1111</v>
      </c>
      <c r="L1005" s="18" t="s">
        <v>5941</v>
      </c>
      <c r="M1005" s="19">
        <v>46233</v>
      </c>
      <c r="N1005" s="18" t="s">
        <v>1112</v>
      </c>
      <c r="O1005" s="18" t="s">
        <v>1117</v>
      </c>
      <c r="P1005" s="18" t="s">
        <v>1118</v>
      </c>
      <c r="Q1005" s="18" t="s">
        <v>1119</v>
      </c>
      <c r="R1005" s="18" t="s">
        <v>1120</v>
      </c>
      <c r="S1005" s="18">
        <v>64</v>
      </c>
      <c r="T1005" s="18">
        <v>9439.36</v>
      </c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</row>
    <row r="1006" spans="6:39" x14ac:dyDescent="0.35">
      <c r="F1006" s="18" t="s">
        <v>1109</v>
      </c>
      <c r="G1006" s="19">
        <v>46233</v>
      </c>
      <c r="H1006" s="18" t="s">
        <v>485</v>
      </c>
      <c r="I1006" s="18" t="s">
        <v>1110</v>
      </c>
      <c r="J1006" s="18">
        <v>1229</v>
      </c>
      <c r="K1006" s="18" t="s">
        <v>1111</v>
      </c>
      <c r="L1006" s="18" t="s">
        <v>5941</v>
      </c>
      <c r="M1006" s="19">
        <v>46233</v>
      </c>
      <c r="N1006" s="18" t="s">
        <v>1112</v>
      </c>
      <c r="O1006" s="18" t="s">
        <v>1127</v>
      </c>
      <c r="P1006" s="18" t="s">
        <v>1128</v>
      </c>
      <c r="Q1006" s="18" t="s">
        <v>1129</v>
      </c>
      <c r="R1006" s="18" t="s">
        <v>1130</v>
      </c>
      <c r="S1006" s="18">
        <v>1299</v>
      </c>
      <c r="T1006" s="18">
        <v>333817.02</v>
      </c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</row>
    <row r="1007" spans="6:39" x14ac:dyDescent="0.35">
      <c r="F1007" s="18" t="s">
        <v>1109</v>
      </c>
      <c r="G1007" s="19">
        <v>46233</v>
      </c>
      <c r="H1007" s="18" t="s">
        <v>485</v>
      </c>
      <c r="I1007" s="18" t="s">
        <v>1110</v>
      </c>
      <c r="J1007" s="18">
        <v>1229</v>
      </c>
      <c r="K1007" s="18" t="s">
        <v>1111</v>
      </c>
      <c r="L1007" s="18" t="s">
        <v>5941</v>
      </c>
      <c r="M1007" s="19">
        <v>46233</v>
      </c>
      <c r="N1007" s="18" t="s">
        <v>1112</v>
      </c>
      <c r="O1007" s="18" t="s">
        <v>1127</v>
      </c>
      <c r="P1007" s="18" t="s">
        <v>1128</v>
      </c>
      <c r="Q1007" s="18" t="s">
        <v>1129</v>
      </c>
      <c r="R1007" s="18" t="s">
        <v>1130</v>
      </c>
      <c r="S1007" s="18">
        <v>7</v>
      </c>
      <c r="T1007" s="18">
        <v>1307.46</v>
      </c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</row>
    <row r="1008" spans="6:39" x14ac:dyDescent="0.35">
      <c r="F1008" s="18" t="s">
        <v>1109</v>
      </c>
      <c r="G1008" s="19">
        <v>46233</v>
      </c>
      <c r="H1008" s="18" t="s">
        <v>485</v>
      </c>
      <c r="I1008" s="18" t="s">
        <v>1110</v>
      </c>
      <c r="J1008" s="18">
        <v>1229</v>
      </c>
      <c r="K1008" s="18" t="s">
        <v>1111</v>
      </c>
      <c r="L1008" s="18" t="s">
        <v>5941</v>
      </c>
      <c r="M1008" s="19">
        <v>46233</v>
      </c>
      <c r="N1008" s="18" t="s">
        <v>1112</v>
      </c>
      <c r="O1008" s="18" t="s">
        <v>1113</v>
      </c>
      <c r="P1008" s="18" t="s">
        <v>1114</v>
      </c>
      <c r="Q1008" s="18" t="s">
        <v>1115</v>
      </c>
      <c r="R1008" s="18" t="s">
        <v>1116</v>
      </c>
      <c r="S1008" s="18">
        <v>1978.3</v>
      </c>
      <c r="T1008" s="18">
        <v>309584.17</v>
      </c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</row>
    <row r="1009" spans="6:39" x14ac:dyDescent="0.35">
      <c r="F1009" s="18" t="s">
        <v>1109</v>
      </c>
      <c r="G1009" s="19">
        <v>46233</v>
      </c>
      <c r="H1009" s="18" t="s">
        <v>485</v>
      </c>
      <c r="I1009" s="18" t="s">
        <v>1110</v>
      </c>
      <c r="J1009" s="18">
        <v>1229</v>
      </c>
      <c r="K1009" s="18" t="s">
        <v>1111</v>
      </c>
      <c r="L1009" s="18" t="s">
        <v>5941</v>
      </c>
      <c r="M1009" s="19">
        <v>46233</v>
      </c>
      <c r="N1009" s="18" t="s">
        <v>1112</v>
      </c>
      <c r="O1009" s="18" t="s">
        <v>1113</v>
      </c>
      <c r="P1009" s="18" t="s">
        <v>1114</v>
      </c>
      <c r="Q1009" s="18" t="s">
        <v>1115</v>
      </c>
      <c r="R1009" s="18" t="s">
        <v>1160</v>
      </c>
      <c r="S1009" s="18">
        <v>1299.8</v>
      </c>
      <c r="T1009" s="18">
        <v>207305.1</v>
      </c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</row>
    <row r="1010" spans="6:39" x14ac:dyDescent="0.35">
      <c r="F1010" s="18" t="s">
        <v>1109</v>
      </c>
      <c r="G1010" s="19">
        <v>46233</v>
      </c>
      <c r="H1010" s="18" t="s">
        <v>485</v>
      </c>
      <c r="I1010" s="18" t="s">
        <v>1150</v>
      </c>
      <c r="J1010" s="18" t="s">
        <v>5942</v>
      </c>
      <c r="K1010" s="18" t="s">
        <v>1111</v>
      </c>
      <c r="L1010" s="18" t="s">
        <v>5942</v>
      </c>
      <c r="M1010" s="19">
        <v>46233</v>
      </c>
      <c r="N1010" s="18" t="s">
        <v>1112</v>
      </c>
      <c r="O1010" s="18" t="s">
        <v>1117</v>
      </c>
      <c r="P1010" s="18" t="s">
        <v>1118</v>
      </c>
      <c r="Q1010" s="18" t="s">
        <v>1119</v>
      </c>
      <c r="R1010" s="18" t="s">
        <v>1120</v>
      </c>
      <c r="S1010" s="18">
        <v>342</v>
      </c>
      <c r="T1010" s="18">
        <v>135090</v>
      </c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</row>
    <row r="1011" spans="6:39" x14ac:dyDescent="0.35">
      <c r="F1011" s="18" t="s">
        <v>1109</v>
      </c>
      <c r="G1011" s="19">
        <v>46233</v>
      </c>
      <c r="H1011" s="18" t="s">
        <v>125</v>
      </c>
      <c r="I1011" s="18" t="s">
        <v>1110</v>
      </c>
      <c r="J1011" s="18">
        <v>1218</v>
      </c>
      <c r="K1011" s="18" t="s">
        <v>1111</v>
      </c>
      <c r="L1011" s="18" t="s">
        <v>5543</v>
      </c>
      <c r="M1011" s="19">
        <v>46233</v>
      </c>
      <c r="N1011" s="18" t="s">
        <v>1112</v>
      </c>
      <c r="O1011" s="18" t="s">
        <v>1117</v>
      </c>
      <c r="P1011" s="18" t="s">
        <v>1118</v>
      </c>
      <c r="Q1011" s="18" t="s">
        <v>1119</v>
      </c>
      <c r="R1011" s="18" t="s">
        <v>1120</v>
      </c>
      <c r="S1011" s="18">
        <v>2090</v>
      </c>
      <c r="T1011" s="18">
        <v>358414.1</v>
      </c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</row>
    <row r="1012" spans="6:39" x14ac:dyDescent="0.35">
      <c r="F1012" s="18" t="s">
        <v>1109</v>
      </c>
      <c r="G1012" s="19">
        <v>46233</v>
      </c>
      <c r="H1012" s="18" t="s">
        <v>125</v>
      </c>
      <c r="I1012" s="18" t="s">
        <v>1110</v>
      </c>
      <c r="J1012" s="18">
        <v>1218</v>
      </c>
      <c r="K1012" s="18" t="s">
        <v>1111</v>
      </c>
      <c r="L1012" s="18" t="s">
        <v>5543</v>
      </c>
      <c r="M1012" s="19">
        <v>46233</v>
      </c>
      <c r="N1012" s="18" t="s">
        <v>1112</v>
      </c>
      <c r="O1012" s="18" t="s">
        <v>1117</v>
      </c>
      <c r="P1012" s="18" t="s">
        <v>1118</v>
      </c>
      <c r="Q1012" s="18" t="s">
        <v>1119</v>
      </c>
      <c r="R1012" s="18" t="s">
        <v>1120</v>
      </c>
      <c r="S1012" s="18">
        <v>4063</v>
      </c>
      <c r="T1012" s="18">
        <v>587062.87</v>
      </c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</row>
    <row r="1013" spans="6:39" x14ac:dyDescent="0.35">
      <c r="F1013" s="18" t="s">
        <v>1109</v>
      </c>
      <c r="G1013" s="19">
        <v>46233</v>
      </c>
      <c r="H1013" s="18" t="s">
        <v>125</v>
      </c>
      <c r="I1013" s="18" t="s">
        <v>1110</v>
      </c>
      <c r="J1013" s="18">
        <v>1223</v>
      </c>
      <c r="K1013" s="18" t="s">
        <v>1121</v>
      </c>
      <c r="L1013" s="18" t="s">
        <v>63</v>
      </c>
      <c r="M1013" s="19">
        <v>46233</v>
      </c>
      <c r="N1013" s="18" t="s">
        <v>1122</v>
      </c>
      <c r="O1013" s="18" t="s">
        <v>1123</v>
      </c>
      <c r="P1013" s="18" t="s">
        <v>1124</v>
      </c>
      <c r="Q1013" s="18" t="s">
        <v>1125</v>
      </c>
      <c r="R1013" s="18" t="s">
        <v>1126</v>
      </c>
      <c r="S1013" s="18">
        <v>50</v>
      </c>
      <c r="T1013" s="18">
        <v>2400</v>
      </c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</row>
    <row r="1014" spans="6:39" x14ac:dyDescent="0.35">
      <c r="F1014" s="18" t="s">
        <v>1109</v>
      </c>
      <c r="G1014" s="19">
        <v>46233</v>
      </c>
      <c r="H1014" s="18" t="s">
        <v>125</v>
      </c>
      <c r="I1014" s="18" t="s">
        <v>1110</v>
      </c>
      <c r="J1014" s="18">
        <v>1224</v>
      </c>
      <c r="K1014" s="18" t="s">
        <v>1111</v>
      </c>
      <c r="L1014" s="18" t="s">
        <v>64</v>
      </c>
      <c r="M1014" s="19">
        <v>46233</v>
      </c>
      <c r="N1014" s="18" t="s">
        <v>1112</v>
      </c>
      <c r="O1014" s="18" t="s">
        <v>1117</v>
      </c>
      <c r="P1014" s="18" t="s">
        <v>1118</v>
      </c>
      <c r="Q1014" s="18" t="s">
        <v>1119</v>
      </c>
      <c r="R1014" s="18" t="s">
        <v>1120</v>
      </c>
      <c r="S1014" s="18">
        <v>1256</v>
      </c>
      <c r="T1014" s="18">
        <v>187759.44</v>
      </c>
      <c r="U1014" s="163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  <c r="AI1014" s="18"/>
      <c r="AJ1014" s="18"/>
      <c r="AK1014" s="18"/>
      <c r="AL1014" s="18"/>
      <c r="AM1014" s="18"/>
    </row>
    <row r="1015" spans="6:39" x14ac:dyDescent="0.35">
      <c r="F1015" s="18" t="s">
        <v>1109</v>
      </c>
      <c r="G1015" s="19">
        <v>46233</v>
      </c>
      <c r="H1015" s="18" t="s">
        <v>125</v>
      </c>
      <c r="I1015" s="18" t="s">
        <v>1110</v>
      </c>
      <c r="J1015" s="18">
        <v>1224</v>
      </c>
      <c r="K1015" s="18" t="s">
        <v>1111</v>
      </c>
      <c r="L1015" s="18" t="s">
        <v>64</v>
      </c>
      <c r="M1015" s="19">
        <v>46233</v>
      </c>
      <c r="N1015" s="18" t="s">
        <v>1112</v>
      </c>
      <c r="O1015" s="18" t="s">
        <v>1131</v>
      </c>
      <c r="P1015" s="18" t="s">
        <v>1132</v>
      </c>
      <c r="Q1015" s="18" t="s">
        <v>1132</v>
      </c>
      <c r="R1015" s="18" t="s">
        <v>1131</v>
      </c>
      <c r="S1015" s="18">
        <v>237.5</v>
      </c>
      <c r="T1015" s="18">
        <v>35503.879999999997</v>
      </c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</row>
    <row r="1016" spans="6:39" x14ac:dyDescent="0.35">
      <c r="F1016" s="18" t="s">
        <v>1109</v>
      </c>
      <c r="G1016" s="19">
        <v>46233</v>
      </c>
      <c r="H1016" s="18" t="s">
        <v>125</v>
      </c>
      <c r="I1016" s="18" t="s">
        <v>1110</v>
      </c>
      <c r="J1016" s="18">
        <v>1224</v>
      </c>
      <c r="K1016" s="18" t="s">
        <v>1111</v>
      </c>
      <c r="L1016" s="18" t="s">
        <v>64</v>
      </c>
      <c r="M1016" s="19">
        <v>46233</v>
      </c>
      <c r="N1016" s="18" t="s">
        <v>1112</v>
      </c>
      <c r="O1016" s="18" t="s">
        <v>1131</v>
      </c>
      <c r="P1016" s="18" t="s">
        <v>1132</v>
      </c>
      <c r="Q1016" s="18" t="s">
        <v>1132</v>
      </c>
      <c r="R1016" s="18" t="s">
        <v>1131</v>
      </c>
      <c r="S1016" s="18">
        <v>275.7</v>
      </c>
      <c r="T1016" s="18">
        <v>40387.29</v>
      </c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</row>
    <row r="1017" spans="6:39" x14ac:dyDescent="0.35">
      <c r="F1017" s="18" t="s">
        <v>1109</v>
      </c>
      <c r="G1017" s="19">
        <v>46233</v>
      </c>
      <c r="H1017" s="18" t="s">
        <v>125</v>
      </c>
      <c r="I1017" s="18" t="s">
        <v>1110</v>
      </c>
      <c r="J1017" s="18">
        <v>1224</v>
      </c>
      <c r="K1017" s="18" t="s">
        <v>1111</v>
      </c>
      <c r="L1017" s="18" t="s">
        <v>64</v>
      </c>
      <c r="M1017" s="19">
        <v>46233</v>
      </c>
      <c r="N1017" s="18" t="s">
        <v>1112</v>
      </c>
      <c r="O1017" s="18" t="s">
        <v>1113</v>
      </c>
      <c r="P1017" s="18" t="s">
        <v>1114</v>
      </c>
      <c r="Q1017" s="18" t="s">
        <v>1115</v>
      </c>
      <c r="R1017" s="18" t="s">
        <v>1144</v>
      </c>
      <c r="S1017" s="18">
        <v>149.30000000000001</v>
      </c>
      <c r="T1017" s="18">
        <v>24035.81</v>
      </c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</row>
    <row r="1018" spans="6:39" x14ac:dyDescent="0.35">
      <c r="F1018" s="18" t="s">
        <v>1109</v>
      </c>
      <c r="G1018" s="19">
        <v>46233</v>
      </c>
      <c r="H1018" s="18" t="s">
        <v>125</v>
      </c>
      <c r="I1018" s="18" t="s">
        <v>1110</v>
      </c>
      <c r="J1018" s="18">
        <v>1225</v>
      </c>
      <c r="K1018" s="18" t="s">
        <v>1121</v>
      </c>
      <c r="L1018" s="18" t="s">
        <v>4035</v>
      </c>
      <c r="M1018" s="19">
        <v>46233</v>
      </c>
      <c r="N1018" s="18" t="s">
        <v>1133</v>
      </c>
      <c r="O1018" s="18" t="s">
        <v>1134</v>
      </c>
      <c r="P1018" s="18" t="s">
        <v>5008</v>
      </c>
      <c r="Q1018" s="18" t="s">
        <v>5009</v>
      </c>
      <c r="R1018" s="18" t="s">
        <v>5011</v>
      </c>
      <c r="S1018" s="18">
        <v>4500</v>
      </c>
      <c r="T1018" s="18">
        <v>168750</v>
      </c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</row>
    <row r="1019" spans="6:39" x14ac:dyDescent="0.35">
      <c r="F1019" s="18" t="s">
        <v>1109</v>
      </c>
      <c r="G1019" s="19">
        <v>46233</v>
      </c>
      <c r="H1019" s="18" t="s">
        <v>573</v>
      </c>
      <c r="I1019" s="18" t="s">
        <v>1136</v>
      </c>
      <c r="J1019" s="18" t="s">
        <v>1794</v>
      </c>
      <c r="K1019" s="18" t="s">
        <v>1145</v>
      </c>
      <c r="L1019" s="18" t="s">
        <v>1794</v>
      </c>
      <c r="M1019" s="19">
        <v>46233</v>
      </c>
      <c r="N1019" s="18" t="s">
        <v>1146</v>
      </c>
      <c r="O1019" s="18" t="s">
        <v>1147</v>
      </c>
      <c r="P1019" s="18" t="s">
        <v>1147</v>
      </c>
      <c r="Q1019" s="18" t="s">
        <v>1148</v>
      </c>
      <c r="R1019" s="18" t="s">
        <v>1149</v>
      </c>
      <c r="S1019" s="18">
        <v>20002</v>
      </c>
      <c r="T1019" s="18">
        <v>5041034.2581605148</v>
      </c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</row>
    <row r="1020" spans="6:39" x14ac:dyDescent="0.35">
      <c r="F1020" s="18" t="s">
        <v>1109</v>
      </c>
      <c r="G1020" s="19">
        <v>46234</v>
      </c>
      <c r="H1020" s="18" t="s">
        <v>1159</v>
      </c>
      <c r="I1020" s="18" t="s">
        <v>1110</v>
      </c>
      <c r="J1020" s="18">
        <v>1234</v>
      </c>
      <c r="K1020" s="18" t="s">
        <v>1111</v>
      </c>
      <c r="L1020" s="18" t="s">
        <v>5943</v>
      </c>
      <c r="M1020" s="19">
        <v>46234</v>
      </c>
      <c r="N1020" s="18" t="s">
        <v>1146</v>
      </c>
      <c r="O1020" s="18" t="s">
        <v>1179</v>
      </c>
      <c r="P1020" s="18" t="s">
        <v>1179</v>
      </c>
      <c r="Q1020" s="18" t="s">
        <v>5944</v>
      </c>
      <c r="R1020" s="18" t="s">
        <v>1179</v>
      </c>
      <c r="S1020" s="18">
        <v>205.6</v>
      </c>
      <c r="T1020" s="18">
        <v>27447.599999999999</v>
      </c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8"/>
      <c r="AK1020" s="18"/>
      <c r="AL1020" s="18"/>
      <c r="AM1020" s="18"/>
    </row>
    <row r="1021" spans="6:39" x14ac:dyDescent="0.35">
      <c r="F1021" s="18" t="s">
        <v>1109</v>
      </c>
      <c r="G1021" s="19">
        <v>46234</v>
      </c>
      <c r="H1021" s="18" t="s">
        <v>1159</v>
      </c>
      <c r="I1021" s="18" t="s">
        <v>1110</v>
      </c>
      <c r="J1021" s="18">
        <v>1238</v>
      </c>
      <c r="K1021" s="18" t="s">
        <v>1121</v>
      </c>
      <c r="L1021" s="18" t="s">
        <v>70</v>
      </c>
      <c r="M1021" s="19">
        <v>46234</v>
      </c>
      <c r="N1021" s="18" t="s">
        <v>1133</v>
      </c>
      <c r="O1021" s="18" t="s">
        <v>1134</v>
      </c>
      <c r="P1021" s="18" t="s">
        <v>5768</v>
      </c>
      <c r="Q1021" s="18" t="s">
        <v>5769</v>
      </c>
      <c r="R1021" s="18" t="s">
        <v>5945</v>
      </c>
      <c r="S1021" s="18">
        <v>24750</v>
      </c>
      <c r="T1021" s="18">
        <v>2722500</v>
      </c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</row>
    <row r="1022" spans="6:39" x14ac:dyDescent="0.35">
      <c r="F1022" s="18" t="s">
        <v>1109</v>
      </c>
      <c r="G1022" s="19">
        <v>46234</v>
      </c>
      <c r="H1022" s="18" t="s">
        <v>3790</v>
      </c>
      <c r="I1022" s="18" t="s">
        <v>1110</v>
      </c>
      <c r="J1022" s="18">
        <v>1230</v>
      </c>
      <c r="K1022" s="18" t="s">
        <v>1111</v>
      </c>
      <c r="L1022" s="18" t="s">
        <v>5946</v>
      </c>
      <c r="M1022" s="19">
        <v>46234</v>
      </c>
      <c r="N1022" s="18" t="s">
        <v>1112</v>
      </c>
      <c r="O1022" s="18" t="s">
        <v>1117</v>
      </c>
      <c r="P1022" s="18" t="s">
        <v>1118</v>
      </c>
      <c r="Q1022" s="18" t="s">
        <v>1119</v>
      </c>
      <c r="R1022" s="18" t="s">
        <v>1120</v>
      </c>
      <c r="S1022" s="18">
        <v>8062</v>
      </c>
      <c r="T1022" s="18">
        <v>1164878.3799999999</v>
      </c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  <c r="AI1022" s="18"/>
      <c r="AJ1022" s="18"/>
      <c r="AK1022" s="18"/>
      <c r="AL1022" s="18"/>
      <c r="AM1022" s="18"/>
    </row>
    <row r="1023" spans="6:39" x14ac:dyDescent="0.35">
      <c r="F1023" s="18" t="s">
        <v>1109</v>
      </c>
      <c r="G1023" s="19">
        <v>46234</v>
      </c>
      <c r="H1023" s="18" t="s">
        <v>3790</v>
      </c>
      <c r="I1023" s="18" t="s">
        <v>1110</v>
      </c>
      <c r="J1023" s="18">
        <v>1230</v>
      </c>
      <c r="K1023" s="18" t="s">
        <v>1111</v>
      </c>
      <c r="L1023" s="18" t="s">
        <v>5946</v>
      </c>
      <c r="M1023" s="19">
        <v>46234</v>
      </c>
      <c r="N1023" s="18" t="s">
        <v>1112</v>
      </c>
      <c r="O1023" s="18" t="s">
        <v>1131</v>
      </c>
      <c r="P1023" s="18" t="s">
        <v>1132</v>
      </c>
      <c r="Q1023" s="18" t="s">
        <v>1132</v>
      </c>
      <c r="R1023" s="18" t="s">
        <v>1131</v>
      </c>
      <c r="S1023" s="18">
        <v>70.2</v>
      </c>
      <c r="T1023" s="18">
        <v>10494.2</v>
      </c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</row>
    <row r="1024" spans="6:39" x14ac:dyDescent="0.35">
      <c r="F1024" s="18" t="s">
        <v>1109</v>
      </c>
      <c r="G1024" s="19">
        <v>46234</v>
      </c>
      <c r="H1024" s="18" t="s">
        <v>3790</v>
      </c>
      <c r="I1024" s="18" t="s">
        <v>1110</v>
      </c>
      <c r="J1024" s="18">
        <v>1231</v>
      </c>
      <c r="K1024" s="18" t="s">
        <v>1121</v>
      </c>
      <c r="L1024" s="18" t="s">
        <v>5947</v>
      </c>
      <c r="M1024" s="19">
        <v>46234</v>
      </c>
      <c r="N1024" s="18" t="s">
        <v>1122</v>
      </c>
      <c r="O1024" s="18" t="s">
        <v>1123</v>
      </c>
      <c r="P1024" s="18" t="s">
        <v>1124</v>
      </c>
      <c r="Q1024" s="18" t="s">
        <v>1125</v>
      </c>
      <c r="R1024" s="18" t="s">
        <v>1126</v>
      </c>
      <c r="S1024" s="18">
        <v>314</v>
      </c>
      <c r="T1024" s="18">
        <v>15072</v>
      </c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  <c r="AI1024" s="18"/>
      <c r="AJ1024" s="18"/>
      <c r="AK1024" s="18"/>
      <c r="AL1024" s="18"/>
      <c r="AM1024" s="18"/>
    </row>
    <row r="1025" spans="6:39" x14ac:dyDescent="0.35">
      <c r="F1025" s="18" t="s">
        <v>1109</v>
      </c>
      <c r="G1025" s="19">
        <v>46234</v>
      </c>
      <c r="H1025" s="18" t="s">
        <v>3790</v>
      </c>
      <c r="I1025" s="18" t="s">
        <v>1110</v>
      </c>
      <c r="J1025" s="18">
        <v>1233</v>
      </c>
      <c r="K1025" s="18" t="s">
        <v>1111</v>
      </c>
      <c r="L1025" s="18" t="s">
        <v>5948</v>
      </c>
      <c r="M1025" s="19">
        <v>46234</v>
      </c>
      <c r="N1025" s="18" t="s">
        <v>1146</v>
      </c>
      <c r="O1025" s="18" t="s">
        <v>1179</v>
      </c>
      <c r="P1025" s="18" t="s">
        <v>1179</v>
      </c>
      <c r="Q1025" s="18" t="s">
        <v>1139</v>
      </c>
      <c r="R1025" s="18" t="s">
        <v>1179</v>
      </c>
      <c r="S1025" s="18">
        <v>251</v>
      </c>
      <c r="T1025" s="18">
        <v>39278.99</v>
      </c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</row>
    <row r="1026" spans="6:39" x14ac:dyDescent="0.35">
      <c r="F1026" s="18" t="s">
        <v>1109</v>
      </c>
      <c r="G1026" s="19">
        <v>46234</v>
      </c>
      <c r="H1026" s="18" t="s">
        <v>3790</v>
      </c>
      <c r="I1026" s="18" t="s">
        <v>1110</v>
      </c>
      <c r="J1026" s="18">
        <v>1233</v>
      </c>
      <c r="K1026" s="18" t="s">
        <v>1111</v>
      </c>
      <c r="L1026" s="18" t="s">
        <v>5948</v>
      </c>
      <c r="M1026" s="19">
        <v>46234</v>
      </c>
      <c r="N1026" s="18" t="s">
        <v>1112</v>
      </c>
      <c r="O1026" s="18" t="s">
        <v>1117</v>
      </c>
      <c r="P1026" s="18" t="s">
        <v>1138</v>
      </c>
      <c r="Q1026" s="18" t="s">
        <v>1139</v>
      </c>
      <c r="R1026" s="18" t="s">
        <v>1140</v>
      </c>
      <c r="S1026" s="18">
        <v>1012</v>
      </c>
      <c r="T1026" s="18">
        <v>150271.88</v>
      </c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/>
      <c r="AM1026" s="18"/>
    </row>
    <row r="1027" spans="6:39" x14ac:dyDescent="0.35">
      <c r="F1027" s="18" t="s">
        <v>1109</v>
      </c>
      <c r="G1027" s="19">
        <v>46234</v>
      </c>
      <c r="H1027" s="18" t="s">
        <v>3790</v>
      </c>
      <c r="I1027" s="18" t="s">
        <v>1110</v>
      </c>
      <c r="J1027" s="18">
        <v>1233</v>
      </c>
      <c r="K1027" s="18" t="s">
        <v>1111</v>
      </c>
      <c r="L1027" s="18" t="s">
        <v>5948</v>
      </c>
      <c r="M1027" s="19">
        <v>46234</v>
      </c>
      <c r="N1027" s="18" t="s">
        <v>1112</v>
      </c>
      <c r="O1027" s="18" t="s">
        <v>1117</v>
      </c>
      <c r="P1027" s="18" t="s">
        <v>1138</v>
      </c>
      <c r="Q1027" s="18" t="s">
        <v>1139</v>
      </c>
      <c r="R1027" s="18" t="s">
        <v>1140</v>
      </c>
      <c r="S1027" s="18">
        <v>1084</v>
      </c>
      <c r="T1027" s="18">
        <v>158795.16</v>
      </c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/>
      <c r="AI1027" s="18"/>
      <c r="AJ1027" s="18"/>
      <c r="AK1027" s="18"/>
      <c r="AL1027" s="18"/>
      <c r="AM1027" s="18"/>
    </row>
    <row r="1028" spans="6:39" x14ac:dyDescent="0.35">
      <c r="F1028" s="18" t="s">
        <v>1109</v>
      </c>
      <c r="G1028" s="19">
        <v>46234</v>
      </c>
      <c r="H1028" s="18" t="s">
        <v>3790</v>
      </c>
      <c r="I1028" s="18" t="s">
        <v>1110</v>
      </c>
      <c r="J1028" s="18">
        <v>1233</v>
      </c>
      <c r="K1028" s="18" t="s">
        <v>1111</v>
      </c>
      <c r="L1028" s="18" t="s">
        <v>5948</v>
      </c>
      <c r="M1028" s="19">
        <v>46234</v>
      </c>
      <c r="N1028" s="18" t="s">
        <v>1112</v>
      </c>
      <c r="O1028" s="18" t="s">
        <v>1117</v>
      </c>
      <c r="P1028" s="18" t="s">
        <v>1138</v>
      </c>
      <c r="Q1028" s="18" t="s">
        <v>1139</v>
      </c>
      <c r="R1028" s="18" t="s">
        <v>1140</v>
      </c>
      <c r="S1028" s="18">
        <v>1590</v>
      </c>
      <c r="T1028" s="18">
        <v>240869.1</v>
      </c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  <c r="AI1028" s="18"/>
      <c r="AJ1028" s="18"/>
      <c r="AK1028" s="18"/>
      <c r="AL1028" s="18"/>
      <c r="AM1028" s="18"/>
    </row>
    <row r="1029" spans="6:39" x14ac:dyDescent="0.35">
      <c r="F1029" s="18" t="s">
        <v>1109</v>
      </c>
      <c r="G1029" s="19">
        <v>46234</v>
      </c>
      <c r="H1029" s="18" t="s">
        <v>3790</v>
      </c>
      <c r="I1029" s="18" t="s">
        <v>1110</v>
      </c>
      <c r="J1029" s="18">
        <v>1233</v>
      </c>
      <c r="K1029" s="18" t="s">
        <v>1111</v>
      </c>
      <c r="L1029" s="18" t="s">
        <v>5948</v>
      </c>
      <c r="M1029" s="19">
        <v>46234</v>
      </c>
      <c r="N1029" s="18" t="s">
        <v>1112</v>
      </c>
      <c r="O1029" s="18" t="s">
        <v>1131</v>
      </c>
      <c r="P1029" s="18" t="s">
        <v>1132</v>
      </c>
      <c r="Q1029" s="18" t="s">
        <v>1132</v>
      </c>
      <c r="R1029" s="18" t="s">
        <v>1131</v>
      </c>
      <c r="S1029" s="18">
        <v>1044.0999999999999</v>
      </c>
      <c r="T1029" s="18">
        <v>156082.51</v>
      </c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8"/>
      <c r="AI1029" s="18"/>
      <c r="AJ1029" s="18"/>
      <c r="AK1029" s="18"/>
      <c r="AL1029" s="18"/>
      <c r="AM1029" s="18"/>
    </row>
    <row r="1030" spans="6:39" x14ac:dyDescent="0.35">
      <c r="F1030" s="18" t="s">
        <v>1109</v>
      </c>
      <c r="G1030" s="19">
        <v>46234</v>
      </c>
      <c r="H1030" s="18" t="s">
        <v>3790</v>
      </c>
      <c r="I1030" s="18" t="s">
        <v>1110</v>
      </c>
      <c r="J1030" s="18">
        <v>1233</v>
      </c>
      <c r="K1030" s="18" t="s">
        <v>1111</v>
      </c>
      <c r="L1030" s="18" t="s">
        <v>5948</v>
      </c>
      <c r="M1030" s="19">
        <v>46234</v>
      </c>
      <c r="N1030" s="18" t="s">
        <v>1112</v>
      </c>
      <c r="O1030" s="18" t="s">
        <v>1131</v>
      </c>
      <c r="P1030" s="18" t="s">
        <v>1132</v>
      </c>
      <c r="Q1030" s="18" t="s">
        <v>1132</v>
      </c>
      <c r="R1030" s="18" t="s">
        <v>1131</v>
      </c>
      <c r="S1030" s="18">
        <v>753.1</v>
      </c>
      <c r="T1030" s="18">
        <v>110321.62</v>
      </c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8"/>
      <c r="AI1030" s="18"/>
      <c r="AJ1030" s="18"/>
      <c r="AK1030" s="18"/>
      <c r="AL1030" s="18"/>
      <c r="AM1030" s="18"/>
    </row>
    <row r="1031" spans="6:39" x14ac:dyDescent="0.35">
      <c r="F1031" s="18" t="s">
        <v>1109</v>
      </c>
      <c r="G1031" s="19">
        <v>46234</v>
      </c>
      <c r="H1031" s="18" t="s">
        <v>3790</v>
      </c>
      <c r="I1031" s="18" t="s">
        <v>1110</v>
      </c>
      <c r="J1031" s="18">
        <v>1233</v>
      </c>
      <c r="K1031" s="18" t="s">
        <v>1111</v>
      </c>
      <c r="L1031" s="18" t="s">
        <v>5948</v>
      </c>
      <c r="M1031" s="19">
        <v>46234</v>
      </c>
      <c r="N1031" s="18" t="s">
        <v>1112</v>
      </c>
      <c r="O1031" s="18" t="s">
        <v>1127</v>
      </c>
      <c r="P1031" s="18" t="s">
        <v>1128</v>
      </c>
      <c r="Q1031" s="18" t="s">
        <v>1129</v>
      </c>
      <c r="R1031" s="18" t="s">
        <v>1130</v>
      </c>
      <c r="S1031" s="18">
        <v>375</v>
      </c>
      <c r="T1031" s="18">
        <v>68542.5</v>
      </c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18"/>
      <c r="AG1031" s="18"/>
      <c r="AH1031" s="18"/>
      <c r="AI1031" s="18"/>
      <c r="AJ1031" s="18"/>
      <c r="AK1031" s="18"/>
      <c r="AL1031" s="18"/>
      <c r="AM1031" s="18"/>
    </row>
    <row r="1032" spans="6:39" x14ac:dyDescent="0.35">
      <c r="F1032" s="18" t="s">
        <v>1109</v>
      </c>
      <c r="G1032" s="19">
        <v>46234</v>
      </c>
      <c r="H1032" s="18" t="s">
        <v>3790</v>
      </c>
      <c r="I1032" s="18" t="s">
        <v>1110</v>
      </c>
      <c r="J1032" s="18">
        <v>1233</v>
      </c>
      <c r="K1032" s="18" t="s">
        <v>1111</v>
      </c>
      <c r="L1032" s="18" t="s">
        <v>5948</v>
      </c>
      <c r="M1032" s="19">
        <v>46234</v>
      </c>
      <c r="N1032" s="18" t="s">
        <v>1112</v>
      </c>
      <c r="O1032" s="18" t="s">
        <v>1127</v>
      </c>
      <c r="P1032" s="18" t="s">
        <v>1128</v>
      </c>
      <c r="Q1032" s="18" t="s">
        <v>1129</v>
      </c>
      <c r="R1032" s="18" t="s">
        <v>1130</v>
      </c>
      <c r="S1032" s="18">
        <v>1136.26</v>
      </c>
      <c r="T1032" s="18">
        <v>207685.6</v>
      </c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/>
      <c r="AI1032" s="18"/>
      <c r="AJ1032" s="18"/>
      <c r="AK1032" s="18"/>
      <c r="AL1032" s="18"/>
      <c r="AM1032" s="18"/>
    </row>
    <row r="1033" spans="6:39" x14ac:dyDescent="0.35">
      <c r="F1033" s="18" t="s">
        <v>1109</v>
      </c>
      <c r="G1033" s="19">
        <v>46234</v>
      </c>
      <c r="H1033" s="18" t="s">
        <v>3790</v>
      </c>
      <c r="I1033" s="18" t="s">
        <v>1110</v>
      </c>
      <c r="J1033" s="18">
        <v>1233</v>
      </c>
      <c r="K1033" s="18" t="s">
        <v>1111</v>
      </c>
      <c r="L1033" s="18" t="s">
        <v>5948</v>
      </c>
      <c r="M1033" s="19">
        <v>46234</v>
      </c>
      <c r="N1033" s="18" t="s">
        <v>1112</v>
      </c>
      <c r="O1033" s="18" t="s">
        <v>1117</v>
      </c>
      <c r="P1033" s="18" t="s">
        <v>1118</v>
      </c>
      <c r="Q1033" s="18" t="s">
        <v>1119</v>
      </c>
      <c r="R1033" s="18" t="s">
        <v>1120</v>
      </c>
      <c r="S1033" s="18">
        <v>663</v>
      </c>
      <c r="T1033" s="18">
        <v>97122.87</v>
      </c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  <c r="AF1033" s="18"/>
      <c r="AG1033" s="18"/>
      <c r="AH1033" s="18"/>
      <c r="AI1033" s="18"/>
      <c r="AJ1033" s="18"/>
      <c r="AK1033" s="18"/>
      <c r="AL1033" s="18"/>
      <c r="AM1033" s="18"/>
    </row>
    <row r="1034" spans="6:39" x14ac:dyDescent="0.35">
      <c r="F1034" s="18" t="s">
        <v>1109</v>
      </c>
      <c r="G1034" s="19">
        <v>46234</v>
      </c>
      <c r="H1034" s="18" t="s">
        <v>3790</v>
      </c>
      <c r="I1034" s="18" t="s">
        <v>1110</v>
      </c>
      <c r="J1034" s="18">
        <v>1233</v>
      </c>
      <c r="K1034" s="18" t="s">
        <v>1111</v>
      </c>
      <c r="L1034" s="18" t="s">
        <v>5948</v>
      </c>
      <c r="M1034" s="19">
        <v>46234</v>
      </c>
      <c r="N1034" s="18" t="s">
        <v>1112</v>
      </c>
      <c r="O1034" s="18" t="s">
        <v>1117</v>
      </c>
      <c r="P1034" s="18" t="s">
        <v>1118</v>
      </c>
      <c r="Q1034" s="18" t="s">
        <v>1119</v>
      </c>
      <c r="R1034" s="18" t="s">
        <v>1120</v>
      </c>
      <c r="S1034" s="18">
        <v>565</v>
      </c>
      <c r="T1034" s="18">
        <v>81636.850000000006</v>
      </c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/>
      <c r="AI1034" s="18"/>
      <c r="AJ1034" s="18"/>
      <c r="AK1034" s="18"/>
      <c r="AL1034" s="18"/>
      <c r="AM1034" s="18"/>
    </row>
    <row r="1035" spans="6:39" x14ac:dyDescent="0.35">
      <c r="F1035" s="18" t="s">
        <v>1109</v>
      </c>
      <c r="G1035" s="19">
        <v>46234</v>
      </c>
      <c r="H1035" s="18" t="s">
        <v>3790</v>
      </c>
      <c r="I1035" s="18" t="s">
        <v>1110</v>
      </c>
      <c r="J1035" s="18">
        <v>1237</v>
      </c>
      <c r="K1035" s="18" t="s">
        <v>1111</v>
      </c>
      <c r="L1035" s="18" t="s">
        <v>69</v>
      </c>
      <c r="M1035" s="19">
        <v>46234</v>
      </c>
      <c r="N1035" s="18" t="s">
        <v>1112</v>
      </c>
      <c r="O1035" s="18" t="s">
        <v>1117</v>
      </c>
      <c r="P1035" s="18" t="s">
        <v>1118</v>
      </c>
      <c r="Q1035" s="18" t="s">
        <v>1119</v>
      </c>
      <c r="R1035" s="18" t="s">
        <v>1120</v>
      </c>
      <c r="S1035" s="18">
        <v>1289</v>
      </c>
      <c r="T1035" s="18">
        <v>186247.61</v>
      </c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  <c r="AF1035" s="18"/>
      <c r="AG1035" s="18"/>
      <c r="AH1035" s="18"/>
      <c r="AI1035" s="18"/>
      <c r="AJ1035" s="18"/>
      <c r="AK1035" s="18"/>
      <c r="AL1035" s="18"/>
      <c r="AM1035" s="18"/>
    </row>
    <row r="1036" spans="6:39" x14ac:dyDescent="0.35">
      <c r="F1036" s="18" t="s">
        <v>1109</v>
      </c>
      <c r="G1036" s="19">
        <v>46234</v>
      </c>
      <c r="H1036" s="18" t="s">
        <v>3790</v>
      </c>
      <c r="I1036" s="18" t="s">
        <v>1110</v>
      </c>
      <c r="J1036" s="18">
        <v>1237</v>
      </c>
      <c r="K1036" s="18" t="s">
        <v>1111</v>
      </c>
      <c r="L1036" s="18" t="s">
        <v>69</v>
      </c>
      <c r="M1036" s="19">
        <v>46234</v>
      </c>
      <c r="N1036" s="18" t="s">
        <v>1112</v>
      </c>
      <c r="O1036" s="18" t="s">
        <v>1131</v>
      </c>
      <c r="P1036" s="18" t="s">
        <v>1132</v>
      </c>
      <c r="Q1036" s="18" t="s">
        <v>1132</v>
      </c>
      <c r="R1036" s="18" t="s">
        <v>1131</v>
      </c>
      <c r="S1036" s="18">
        <v>47.6</v>
      </c>
      <c r="T1036" s="18">
        <v>7115.72</v>
      </c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8"/>
      <c r="AI1036" s="18"/>
      <c r="AJ1036" s="18"/>
      <c r="AK1036" s="18"/>
      <c r="AL1036" s="18"/>
      <c r="AM1036" s="18"/>
    </row>
    <row r="1037" spans="6:39" x14ac:dyDescent="0.35">
      <c r="F1037" s="18" t="s">
        <v>1109</v>
      </c>
      <c r="G1037" s="19">
        <v>46234</v>
      </c>
      <c r="H1037" s="18" t="s">
        <v>5949</v>
      </c>
      <c r="I1037" s="18" t="s">
        <v>1110</v>
      </c>
      <c r="J1037" s="18">
        <v>1232</v>
      </c>
      <c r="K1037" s="18" t="s">
        <v>1165</v>
      </c>
      <c r="L1037" s="18" t="s">
        <v>5950</v>
      </c>
      <c r="M1037" s="19">
        <v>46234</v>
      </c>
      <c r="N1037" s="18" t="s">
        <v>5665</v>
      </c>
      <c r="O1037" s="18" t="s">
        <v>1166</v>
      </c>
      <c r="P1037" s="18" t="s">
        <v>5666</v>
      </c>
      <c r="Q1037" s="18" t="s">
        <v>5667</v>
      </c>
      <c r="R1037" s="18" t="s">
        <v>5951</v>
      </c>
      <c r="S1037" s="18">
        <v>3630</v>
      </c>
      <c r="T1037" s="18">
        <v>18150</v>
      </c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/>
      <c r="AM1037" s="18"/>
    </row>
    <row r="1038" spans="6:39" x14ac:dyDescent="0.35">
      <c r="F1038" s="18" t="s">
        <v>1109</v>
      </c>
      <c r="G1038" s="19">
        <v>46234</v>
      </c>
      <c r="H1038" s="18" t="s">
        <v>1135</v>
      </c>
      <c r="I1038" s="18" t="s">
        <v>1136</v>
      </c>
      <c r="J1038" s="18" t="s">
        <v>5952</v>
      </c>
      <c r="K1038" s="18" t="s">
        <v>1137</v>
      </c>
      <c r="L1038" s="18" t="s">
        <v>5952</v>
      </c>
      <c r="M1038" s="19">
        <v>46234</v>
      </c>
      <c r="N1038" s="18" t="s">
        <v>1112</v>
      </c>
      <c r="O1038" s="18" t="s">
        <v>1117</v>
      </c>
      <c r="P1038" s="18" t="s">
        <v>1118</v>
      </c>
      <c r="Q1038" s="18" t="s">
        <v>1119</v>
      </c>
      <c r="R1038" s="18" t="s">
        <v>1120</v>
      </c>
      <c r="S1038" s="18">
        <v>3403</v>
      </c>
      <c r="T1038" s="18">
        <v>472816.41</v>
      </c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  <c r="AI1038" s="18"/>
      <c r="AJ1038" s="18"/>
      <c r="AK1038" s="18"/>
      <c r="AL1038" s="18"/>
      <c r="AM1038" s="18"/>
    </row>
    <row r="1039" spans="6:39" x14ac:dyDescent="0.35">
      <c r="F1039" s="18" t="s">
        <v>1109</v>
      </c>
      <c r="G1039" s="19">
        <v>46234</v>
      </c>
      <c r="H1039" s="18" t="s">
        <v>1135</v>
      </c>
      <c r="I1039" s="18" t="s">
        <v>1136</v>
      </c>
      <c r="J1039" s="18" t="s">
        <v>5953</v>
      </c>
      <c r="K1039" s="18" t="s">
        <v>1137</v>
      </c>
      <c r="L1039" s="18" t="s">
        <v>5953</v>
      </c>
      <c r="M1039" s="19">
        <v>46234</v>
      </c>
      <c r="N1039" s="18" t="s">
        <v>1112</v>
      </c>
      <c r="O1039" s="18" t="s">
        <v>1153</v>
      </c>
      <c r="P1039" s="18" t="s">
        <v>1154</v>
      </c>
      <c r="Q1039" s="18" t="s">
        <v>1155</v>
      </c>
      <c r="R1039" s="18" t="s">
        <v>1154</v>
      </c>
      <c r="S1039" s="18">
        <v>930.5</v>
      </c>
      <c r="T1039" s="18">
        <v>125151.62</v>
      </c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8"/>
      <c r="AI1039" s="18"/>
      <c r="AJ1039" s="18"/>
      <c r="AK1039" s="18"/>
      <c r="AL1039" s="18"/>
      <c r="AM1039" s="18"/>
    </row>
    <row r="1040" spans="6:39" x14ac:dyDescent="0.35">
      <c r="F1040" s="18" t="s">
        <v>1109</v>
      </c>
      <c r="G1040" s="19">
        <v>46234</v>
      </c>
      <c r="H1040" s="18" t="s">
        <v>1135</v>
      </c>
      <c r="I1040" s="18" t="s">
        <v>1136</v>
      </c>
      <c r="J1040" s="18" t="s">
        <v>5954</v>
      </c>
      <c r="K1040" s="18" t="s">
        <v>1137</v>
      </c>
      <c r="L1040" s="18" t="s">
        <v>5954</v>
      </c>
      <c r="M1040" s="19">
        <v>46234</v>
      </c>
      <c r="N1040" s="18" t="s">
        <v>1146</v>
      </c>
      <c r="O1040" s="18" t="s">
        <v>1147</v>
      </c>
      <c r="P1040" s="18" t="s">
        <v>1147</v>
      </c>
      <c r="Q1040" s="18" t="s">
        <v>1148</v>
      </c>
      <c r="R1040" s="18" t="s">
        <v>1149</v>
      </c>
      <c r="S1040" s="18">
        <v>3530.1</v>
      </c>
      <c r="T1040" s="18">
        <v>882525.93</v>
      </c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8"/>
      <c r="AI1040" s="18"/>
      <c r="AJ1040" s="18"/>
      <c r="AK1040" s="18"/>
      <c r="AL1040" s="18"/>
      <c r="AM1040" s="18"/>
    </row>
    <row r="1041" spans="6:39" x14ac:dyDescent="0.35">
      <c r="F1041" s="18" t="s">
        <v>1109</v>
      </c>
      <c r="G1041" s="19">
        <v>46234</v>
      </c>
      <c r="H1041" s="18" t="s">
        <v>1135</v>
      </c>
      <c r="I1041" s="18" t="s">
        <v>1136</v>
      </c>
      <c r="J1041" s="18" t="s">
        <v>5955</v>
      </c>
      <c r="K1041" s="18" t="s">
        <v>1137</v>
      </c>
      <c r="L1041" s="18" t="s">
        <v>5955</v>
      </c>
      <c r="M1041" s="19">
        <v>46234</v>
      </c>
      <c r="N1041" s="18" t="s">
        <v>1112</v>
      </c>
      <c r="O1041" s="18" t="s">
        <v>1117</v>
      </c>
      <c r="P1041" s="18" t="s">
        <v>1138</v>
      </c>
      <c r="Q1041" s="18" t="s">
        <v>1139</v>
      </c>
      <c r="R1041" s="18" t="s">
        <v>1140</v>
      </c>
      <c r="S1041" s="18">
        <v>5252</v>
      </c>
      <c r="T1041" s="18">
        <v>745789.03</v>
      </c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  <c r="AF1041" s="18"/>
      <c r="AG1041" s="18"/>
      <c r="AH1041" s="18"/>
      <c r="AI1041" s="18"/>
      <c r="AJ1041" s="18"/>
      <c r="AK1041" s="18"/>
      <c r="AL1041" s="18"/>
      <c r="AM1041" s="18"/>
    </row>
    <row r="1042" spans="6:39" x14ac:dyDescent="0.35">
      <c r="F1042" s="18" t="s">
        <v>1109</v>
      </c>
      <c r="G1042" s="19">
        <v>46234</v>
      </c>
      <c r="H1042" s="18" t="s">
        <v>1135</v>
      </c>
      <c r="I1042" s="18" t="s">
        <v>1136</v>
      </c>
      <c r="J1042" s="18" t="s">
        <v>5956</v>
      </c>
      <c r="K1042" s="18" t="s">
        <v>1137</v>
      </c>
      <c r="L1042" s="18" t="s">
        <v>5956</v>
      </c>
      <c r="M1042" s="19">
        <v>46234</v>
      </c>
      <c r="N1042" s="18" t="s">
        <v>1112</v>
      </c>
      <c r="O1042" s="18" t="s">
        <v>1127</v>
      </c>
      <c r="P1042" s="18" t="s">
        <v>1128</v>
      </c>
      <c r="Q1042" s="18" t="s">
        <v>1129</v>
      </c>
      <c r="R1042" s="18" t="s">
        <v>1130</v>
      </c>
      <c r="S1042" s="18">
        <v>2594</v>
      </c>
      <c r="T1042" s="18">
        <v>452917.74</v>
      </c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/>
      <c r="AI1042" s="18"/>
      <c r="AJ1042" s="18"/>
      <c r="AK1042" s="18"/>
      <c r="AL1042" s="18"/>
      <c r="AM1042" s="18"/>
    </row>
    <row r="1043" spans="6:39" x14ac:dyDescent="0.35">
      <c r="F1043" s="18" t="s">
        <v>1109</v>
      </c>
      <c r="G1043" s="19">
        <v>46234</v>
      </c>
      <c r="H1043" s="18" t="s">
        <v>1135</v>
      </c>
      <c r="I1043" s="18" t="s">
        <v>1136</v>
      </c>
      <c r="J1043" s="18" t="s">
        <v>5957</v>
      </c>
      <c r="K1043" s="18" t="s">
        <v>1137</v>
      </c>
      <c r="L1043" s="18" t="s">
        <v>5957</v>
      </c>
      <c r="M1043" s="19">
        <v>46234</v>
      </c>
      <c r="N1043" s="18" t="s">
        <v>1112</v>
      </c>
      <c r="O1043" s="18" t="s">
        <v>1113</v>
      </c>
      <c r="P1043" s="18" t="s">
        <v>1114</v>
      </c>
      <c r="Q1043" s="18" t="s">
        <v>1115</v>
      </c>
      <c r="R1043" s="18" t="s">
        <v>1160</v>
      </c>
      <c r="S1043" s="18">
        <v>586.20000000000005</v>
      </c>
      <c r="T1043" s="18">
        <v>87084.762000000002</v>
      </c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  <c r="AF1043" s="18"/>
      <c r="AG1043" s="18"/>
      <c r="AH1043" s="18"/>
      <c r="AI1043" s="18"/>
      <c r="AJ1043" s="18"/>
      <c r="AK1043" s="18"/>
      <c r="AL1043" s="18"/>
      <c r="AM1043" s="18"/>
    </row>
    <row r="1044" spans="6:39" x14ac:dyDescent="0.35">
      <c r="F1044" s="18" t="s">
        <v>1109</v>
      </c>
      <c r="G1044" s="19">
        <v>46234</v>
      </c>
      <c r="H1044" s="18" t="s">
        <v>1135</v>
      </c>
      <c r="I1044" s="18" t="s">
        <v>1136</v>
      </c>
      <c r="J1044" s="18" t="s">
        <v>5957</v>
      </c>
      <c r="K1044" s="18" t="s">
        <v>1137</v>
      </c>
      <c r="L1044" s="18" t="s">
        <v>5957</v>
      </c>
      <c r="M1044" s="19">
        <v>46234</v>
      </c>
      <c r="N1044" s="18" t="s">
        <v>1112</v>
      </c>
      <c r="O1044" s="18" t="s">
        <v>1113</v>
      </c>
      <c r="P1044" s="18" t="s">
        <v>1114</v>
      </c>
      <c r="Q1044" s="18" t="s">
        <v>1115</v>
      </c>
      <c r="R1044" s="18" t="s">
        <v>1116</v>
      </c>
      <c r="S1044" s="18">
        <v>542.6</v>
      </c>
      <c r="T1044" s="18">
        <v>80607.525000000009</v>
      </c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18"/>
      <c r="AF1044" s="18"/>
      <c r="AG1044" s="18"/>
      <c r="AH1044" s="18"/>
      <c r="AI1044" s="18"/>
      <c r="AJ1044" s="18"/>
      <c r="AK1044" s="18"/>
      <c r="AL1044" s="18"/>
      <c r="AM1044" s="18"/>
    </row>
    <row r="1045" spans="6:39" x14ac:dyDescent="0.35">
      <c r="F1045" s="18" t="s">
        <v>1109</v>
      </c>
      <c r="G1045" s="19">
        <v>46234</v>
      </c>
      <c r="H1045" s="18" t="s">
        <v>125</v>
      </c>
      <c r="I1045" s="18" t="s">
        <v>1110</v>
      </c>
      <c r="J1045" s="18">
        <v>1235</v>
      </c>
      <c r="K1045" s="18" t="s">
        <v>1121</v>
      </c>
      <c r="L1045" s="18" t="s">
        <v>5544</v>
      </c>
      <c r="M1045" s="19">
        <v>46234</v>
      </c>
      <c r="N1045" s="18" t="s">
        <v>1122</v>
      </c>
      <c r="O1045" s="18" t="s">
        <v>1123</v>
      </c>
      <c r="P1045" s="18" t="s">
        <v>1124</v>
      </c>
      <c r="Q1045" s="18" t="s">
        <v>1125</v>
      </c>
      <c r="R1045" s="18" t="s">
        <v>1126</v>
      </c>
      <c r="S1045" s="18">
        <v>170</v>
      </c>
      <c r="T1045" s="18">
        <v>8160</v>
      </c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  <c r="AF1045" s="18"/>
      <c r="AG1045" s="18"/>
      <c r="AH1045" s="18"/>
      <c r="AI1045" s="18"/>
      <c r="AJ1045" s="18"/>
      <c r="AK1045" s="18"/>
      <c r="AL1045" s="18"/>
      <c r="AM1045" s="18"/>
    </row>
    <row r="1046" spans="6:39" x14ac:dyDescent="0.35">
      <c r="F1046" s="18" t="s">
        <v>1109</v>
      </c>
      <c r="G1046" s="19">
        <v>46234</v>
      </c>
      <c r="H1046" s="18" t="s">
        <v>125</v>
      </c>
      <c r="I1046" s="18" t="s">
        <v>1110</v>
      </c>
      <c r="J1046" s="18">
        <v>1236</v>
      </c>
      <c r="K1046" s="18" t="s">
        <v>1111</v>
      </c>
      <c r="L1046" s="18" t="s">
        <v>68</v>
      </c>
      <c r="M1046" s="19">
        <v>46234</v>
      </c>
      <c r="N1046" s="18" t="s">
        <v>1112</v>
      </c>
      <c r="O1046" s="18" t="s">
        <v>1117</v>
      </c>
      <c r="P1046" s="18" t="s">
        <v>1138</v>
      </c>
      <c r="Q1046" s="18" t="s">
        <v>1139</v>
      </c>
      <c r="R1046" s="18" t="s">
        <v>1140</v>
      </c>
      <c r="S1046" s="18">
        <v>3211</v>
      </c>
      <c r="T1046" s="18">
        <v>486434.39</v>
      </c>
      <c r="U1046" s="18"/>
      <c r="V1046" s="18"/>
      <c r="W1046" s="18"/>
      <c r="X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J1046" s="18"/>
      <c r="AK1046" s="18"/>
      <c r="AL1046" s="18"/>
      <c r="AM1046" s="18"/>
    </row>
    <row r="1047" spans="6:39" x14ac:dyDescent="0.35">
      <c r="F1047" s="18" t="s">
        <v>1109</v>
      </c>
      <c r="G1047" s="19">
        <v>46234</v>
      </c>
      <c r="H1047" s="18" t="s">
        <v>125</v>
      </c>
      <c r="I1047" s="18" t="s">
        <v>1110</v>
      </c>
      <c r="J1047" s="18">
        <v>1236</v>
      </c>
      <c r="K1047" s="18" t="s">
        <v>1111</v>
      </c>
      <c r="L1047" s="18" t="s">
        <v>68</v>
      </c>
      <c r="M1047" s="19">
        <v>46234</v>
      </c>
      <c r="N1047" s="18" t="s">
        <v>1112</v>
      </c>
      <c r="O1047" s="18" t="s">
        <v>1131</v>
      </c>
      <c r="P1047" s="18" t="s">
        <v>1132</v>
      </c>
      <c r="Q1047" s="18" t="s">
        <v>1132</v>
      </c>
      <c r="R1047" s="18" t="s">
        <v>1131</v>
      </c>
      <c r="S1047" s="18">
        <v>433.4</v>
      </c>
      <c r="T1047" s="18">
        <v>64788.97</v>
      </c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  <c r="AF1047" s="18"/>
      <c r="AG1047" s="18"/>
      <c r="AH1047" s="18"/>
      <c r="AI1047" s="18"/>
      <c r="AJ1047" s="18"/>
      <c r="AK1047" s="18"/>
      <c r="AL1047" s="18"/>
      <c r="AM1047" s="18"/>
    </row>
    <row r="1048" spans="6:39" x14ac:dyDescent="0.35">
      <c r="F1048" s="18" t="s">
        <v>1109</v>
      </c>
      <c r="G1048" s="19">
        <v>46234</v>
      </c>
      <c r="H1048" s="18" t="s">
        <v>125</v>
      </c>
      <c r="I1048" s="18" t="s">
        <v>1110</v>
      </c>
      <c r="J1048" s="18">
        <v>1236</v>
      </c>
      <c r="K1048" s="18" t="s">
        <v>1111</v>
      </c>
      <c r="L1048" s="18" t="s">
        <v>68</v>
      </c>
      <c r="M1048" s="19">
        <v>46234</v>
      </c>
      <c r="N1048" s="18" t="s">
        <v>1112</v>
      </c>
      <c r="O1048" s="18" t="s">
        <v>1113</v>
      </c>
      <c r="P1048" s="18" t="s">
        <v>1114</v>
      </c>
      <c r="Q1048" s="18" t="s">
        <v>1115</v>
      </c>
      <c r="R1048" s="18" t="s">
        <v>1144</v>
      </c>
      <c r="S1048" s="18">
        <v>44.9</v>
      </c>
      <c r="T1048" s="18">
        <v>7228.45</v>
      </c>
      <c r="U1048" s="18"/>
      <c r="V1048" s="18"/>
      <c r="W1048" s="18"/>
      <c r="X1048" s="18"/>
      <c r="Y1048" s="18"/>
      <c r="Z1048" s="18"/>
      <c r="AA1048" s="18"/>
      <c r="AB1048" s="18"/>
      <c r="AC1048" s="18"/>
      <c r="AD1048" s="18"/>
      <c r="AE1048" s="18"/>
      <c r="AF1048" s="18"/>
      <c r="AG1048" s="18"/>
      <c r="AH1048" s="18"/>
      <c r="AI1048" s="18"/>
      <c r="AJ1048" s="18"/>
      <c r="AK1048" s="18"/>
      <c r="AL1048" s="18"/>
      <c r="AM1048" s="18"/>
    </row>
    <row r="1049" spans="6:39" x14ac:dyDescent="0.35">
      <c r="F1049" s="18" t="s">
        <v>1109</v>
      </c>
      <c r="G1049" s="19">
        <v>46234</v>
      </c>
      <c r="H1049" s="18" t="s">
        <v>125</v>
      </c>
      <c r="I1049" s="18" t="s">
        <v>1110</v>
      </c>
      <c r="J1049" s="18">
        <v>1236</v>
      </c>
      <c r="K1049" s="18" t="s">
        <v>1111</v>
      </c>
      <c r="L1049" s="18" t="s">
        <v>68</v>
      </c>
      <c r="M1049" s="19">
        <v>46234</v>
      </c>
      <c r="N1049" s="18" t="s">
        <v>1112</v>
      </c>
      <c r="O1049" s="18" t="s">
        <v>1127</v>
      </c>
      <c r="P1049" s="18" t="s">
        <v>1128</v>
      </c>
      <c r="Q1049" s="18" t="s">
        <v>1129</v>
      </c>
      <c r="R1049" s="18" t="s">
        <v>1130</v>
      </c>
      <c r="S1049" s="18">
        <v>108</v>
      </c>
      <c r="T1049" s="18">
        <v>19740.240000000002</v>
      </c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  <c r="AF1049" s="18"/>
      <c r="AG1049" s="18"/>
      <c r="AH1049" s="18"/>
      <c r="AI1049" s="18"/>
      <c r="AJ1049" s="18"/>
      <c r="AK1049" s="18"/>
      <c r="AL1049" s="18"/>
      <c r="AM1049" s="18"/>
    </row>
    <row r="1050" spans="6:39" x14ac:dyDescent="0.35">
      <c r="F1050" s="18" t="s">
        <v>1109</v>
      </c>
      <c r="G1050" s="19">
        <v>46234</v>
      </c>
      <c r="H1050" s="18" t="s">
        <v>125</v>
      </c>
      <c r="I1050" s="18" t="s">
        <v>1110</v>
      </c>
      <c r="J1050" s="18">
        <v>1236</v>
      </c>
      <c r="K1050" s="18" t="s">
        <v>1111</v>
      </c>
      <c r="L1050" s="18" t="s">
        <v>68</v>
      </c>
      <c r="M1050" s="19">
        <v>46234</v>
      </c>
      <c r="N1050" s="18" t="s">
        <v>1112</v>
      </c>
      <c r="O1050" s="18" t="s">
        <v>1117</v>
      </c>
      <c r="P1050" s="18" t="s">
        <v>1118</v>
      </c>
      <c r="Q1050" s="18" t="s">
        <v>1119</v>
      </c>
      <c r="R1050" s="18" t="s">
        <v>1120</v>
      </c>
      <c r="S1050" s="18">
        <v>1949</v>
      </c>
      <c r="T1050" s="18">
        <v>291356.01</v>
      </c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/>
      <c r="AI1050" s="18"/>
      <c r="AJ1050" s="18"/>
      <c r="AK1050" s="18"/>
      <c r="AL1050" s="18"/>
      <c r="AM1050" s="18"/>
    </row>
    <row r="1051" spans="6:39" x14ac:dyDescent="0.35">
      <c r="F1051" s="18" t="s">
        <v>1109</v>
      </c>
      <c r="G1051" s="19">
        <v>46234</v>
      </c>
      <c r="H1051" s="18" t="s">
        <v>573</v>
      </c>
      <c r="I1051" s="18" t="s">
        <v>1136</v>
      </c>
      <c r="J1051" s="18" t="s">
        <v>1795</v>
      </c>
      <c r="K1051" s="18" t="s">
        <v>1145</v>
      </c>
      <c r="L1051" s="18" t="s">
        <v>1795</v>
      </c>
      <c r="M1051" s="19">
        <v>46234</v>
      </c>
      <c r="N1051" s="18" t="s">
        <v>1146</v>
      </c>
      <c r="O1051" s="18" t="s">
        <v>1147</v>
      </c>
      <c r="P1051" s="18" t="s">
        <v>1147</v>
      </c>
      <c r="Q1051" s="18" t="s">
        <v>1148</v>
      </c>
      <c r="R1051" s="18" t="s">
        <v>1149</v>
      </c>
      <c r="S1051" s="18">
        <v>19809</v>
      </c>
      <c r="T1051" s="18">
        <v>5276771.8971848506</v>
      </c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/>
      <c r="AI1051" s="18"/>
      <c r="AJ1051" s="18"/>
      <c r="AK1051" s="18"/>
      <c r="AL1051" s="18"/>
      <c r="AM1051" s="18"/>
    </row>
    <row r="1052" spans="6:39" x14ac:dyDescent="0.35">
      <c r="F1052" s="18" t="s">
        <v>1172</v>
      </c>
      <c r="G1052" s="19">
        <v>46204</v>
      </c>
      <c r="H1052" s="18" t="s">
        <v>814</v>
      </c>
      <c r="I1052" s="18" t="s">
        <v>1136</v>
      </c>
      <c r="J1052" s="18" t="s">
        <v>5334</v>
      </c>
      <c r="K1052" s="18" t="s">
        <v>3850</v>
      </c>
      <c r="L1052" s="18" t="s">
        <v>5334</v>
      </c>
      <c r="M1052" s="19">
        <v>46204</v>
      </c>
      <c r="N1052" s="18" t="s">
        <v>1112</v>
      </c>
      <c r="O1052" s="18" t="s">
        <v>1113</v>
      </c>
      <c r="P1052" s="18" t="s">
        <v>1114</v>
      </c>
      <c r="Q1052" s="18" t="s">
        <v>1180</v>
      </c>
      <c r="R1052" s="18" t="s">
        <v>1143</v>
      </c>
      <c r="S1052" s="18">
        <v>6000</v>
      </c>
      <c r="T1052" s="18">
        <v>720600</v>
      </c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/>
      <c r="AI1052" s="18"/>
      <c r="AJ1052" s="18"/>
      <c r="AK1052" s="18"/>
      <c r="AL1052" s="18"/>
      <c r="AM1052" s="18"/>
    </row>
    <row r="1053" spans="6:39" x14ac:dyDescent="0.35">
      <c r="F1053" s="18" t="s">
        <v>1172</v>
      </c>
      <c r="G1053" s="19">
        <v>46205</v>
      </c>
      <c r="H1053" s="18" t="s">
        <v>1159</v>
      </c>
      <c r="I1053" s="18" t="s">
        <v>1110</v>
      </c>
      <c r="J1053" s="18">
        <v>331</v>
      </c>
      <c r="K1053" s="18" t="s">
        <v>1111</v>
      </c>
      <c r="L1053" s="18" t="s">
        <v>2216</v>
      </c>
      <c r="M1053" s="19">
        <v>46205</v>
      </c>
      <c r="N1053" s="18" t="s">
        <v>1133</v>
      </c>
      <c r="O1053" s="18" t="s">
        <v>1134</v>
      </c>
      <c r="P1053" s="18" t="s">
        <v>5008</v>
      </c>
      <c r="Q1053" s="18" t="s">
        <v>5008</v>
      </c>
      <c r="R1053" s="18" t="s">
        <v>5010</v>
      </c>
      <c r="S1053" s="18">
        <v>4000</v>
      </c>
      <c r="T1053" s="18">
        <v>158000</v>
      </c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8"/>
      <c r="AI1053" s="18"/>
      <c r="AJ1053" s="18"/>
      <c r="AK1053" s="18"/>
      <c r="AL1053" s="18"/>
      <c r="AM1053" s="18"/>
    </row>
    <row r="1054" spans="6:39" x14ac:dyDescent="0.35">
      <c r="F1054" s="18" t="s">
        <v>1172</v>
      </c>
      <c r="G1054" s="19">
        <v>46205</v>
      </c>
      <c r="H1054" s="18" t="s">
        <v>1159</v>
      </c>
      <c r="I1054" s="18" t="s">
        <v>1110</v>
      </c>
      <c r="J1054" s="18">
        <v>331</v>
      </c>
      <c r="K1054" s="18" t="s">
        <v>1111</v>
      </c>
      <c r="L1054" s="18" t="s">
        <v>2216</v>
      </c>
      <c r="M1054" s="19">
        <v>46205</v>
      </c>
      <c r="N1054" s="18" t="s">
        <v>1133</v>
      </c>
      <c r="O1054" s="18" t="s">
        <v>1134</v>
      </c>
      <c r="P1054" s="18" t="s">
        <v>1141</v>
      </c>
      <c r="Q1054" s="18" t="s">
        <v>5958</v>
      </c>
      <c r="R1054" s="18" t="s">
        <v>5959</v>
      </c>
      <c r="S1054" s="18">
        <v>4000</v>
      </c>
      <c r="T1054" s="18">
        <v>608360</v>
      </c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18"/>
      <c r="AG1054" s="18"/>
      <c r="AH1054" s="18"/>
      <c r="AI1054" s="18"/>
      <c r="AJ1054" s="18"/>
      <c r="AK1054" s="18"/>
      <c r="AL1054" s="18"/>
      <c r="AM1054" s="18"/>
    </row>
    <row r="1055" spans="6:39" x14ac:dyDescent="0.35">
      <c r="F1055" s="18" t="s">
        <v>1172</v>
      </c>
      <c r="G1055" s="19">
        <v>46205</v>
      </c>
      <c r="H1055" s="18" t="s">
        <v>1159</v>
      </c>
      <c r="I1055" s="18" t="s">
        <v>1110</v>
      </c>
      <c r="J1055" s="18">
        <v>331</v>
      </c>
      <c r="K1055" s="18" t="s">
        <v>1111</v>
      </c>
      <c r="L1055" s="18" t="s">
        <v>2216</v>
      </c>
      <c r="M1055" s="19">
        <v>46205</v>
      </c>
      <c r="N1055" s="18" t="s">
        <v>1112</v>
      </c>
      <c r="O1055" s="18" t="s">
        <v>1117</v>
      </c>
      <c r="P1055" s="18" t="s">
        <v>1138</v>
      </c>
      <c r="Q1055" s="18" t="s">
        <v>1139</v>
      </c>
      <c r="R1055" s="18" t="s">
        <v>1140</v>
      </c>
      <c r="S1055" s="18">
        <v>442</v>
      </c>
      <c r="T1055" s="18">
        <v>48885.2</v>
      </c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/>
      <c r="AI1055" s="18"/>
      <c r="AJ1055" s="18"/>
      <c r="AK1055" s="18"/>
      <c r="AL1055" s="18"/>
      <c r="AM1055" s="18"/>
    </row>
    <row r="1056" spans="6:39" x14ac:dyDescent="0.35">
      <c r="F1056" s="18" t="s">
        <v>1172</v>
      </c>
      <c r="G1056" s="19">
        <v>46205</v>
      </c>
      <c r="H1056" s="18" t="s">
        <v>5623</v>
      </c>
      <c r="I1056" s="18" t="s">
        <v>1110</v>
      </c>
      <c r="J1056" s="18">
        <v>329</v>
      </c>
      <c r="K1056" s="18" t="s">
        <v>1111</v>
      </c>
      <c r="L1056" s="18" t="s">
        <v>5960</v>
      </c>
      <c r="M1056" s="19">
        <v>46205</v>
      </c>
      <c r="N1056" s="18" t="s">
        <v>1112</v>
      </c>
      <c r="O1056" s="18" t="s">
        <v>1117</v>
      </c>
      <c r="P1056" s="18" t="s">
        <v>1138</v>
      </c>
      <c r="Q1056" s="18" t="s">
        <v>3534</v>
      </c>
      <c r="R1056" s="18" t="s">
        <v>1140</v>
      </c>
      <c r="S1056" s="18">
        <v>947</v>
      </c>
      <c r="T1056" s="18">
        <v>217412.26</v>
      </c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/>
      <c r="AI1056" s="18"/>
      <c r="AJ1056" s="18"/>
      <c r="AK1056" s="18"/>
      <c r="AL1056" s="18"/>
      <c r="AM1056" s="18"/>
    </row>
    <row r="1057" spans="6:39" x14ac:dyDescent="0.35">
      <c r="F1057" s="18" t="s">
        <v>1172</v>
      </c>
      <c r="G1057" s="19">
        <v>46205</v>
      </c>
      <c r="H1057" s="18" t="s">
        <v>5623</v>
      </c>
      <c r="I1057" s="18" t="s">
        <v>1110</v>
      </c>
      <c r="J1057" s="18">
        <v>329</v>
      </c>
      <c r="K1057" s="18" t="s">
        <v>1111</v>
      </c>
      <c r="L1057" s="18" t="s">
        <v>5960</v>
      </c>
      <c r="M1057" s="19">
        <v>46205</v>
      </c>
      <c r="N1057" s="18" t="s">
        <v>1112</v>
      </c>
      <c r="O1057" s="18" t="s">
        <v>1117</v>
      </c>
      <c r="P1057" s="18" t="s">
        <v>1118</v>
      </c>
      <c r="Q1057" s="18" t="s">
        <v>1174</v>
      </c>
      <c r="R1057" s="18" t="s">
        <v>1120</v>
      </c>
      <c r="S1057" s="18">
        <v>783</v>
      </c>
      <c r="T1057" s="18">
        <v>131215.14000000001</v>
      </c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18"/>
      <c r="AH1057" s="18"/>
      <c r="AI1057" s="18"/>
      <c r="AJ1057" s="18"/>
      <c r="AK1057" s="18"/>
      <c r="AL1057" s="18"/>
      <c r="AM1057" s="18"/>
    </row>
    <row r="1058" spans="6:39" x14ac:dyDescent="0.35">
      <c r="F1058" s="18" t="s">
        <v>1172</v>
      </c>
      <c r="G1058" s="19">
        <v>46205</v>
      </c>
      <c r="H1058" s="18" t="s">
        <v>5623</v>
      </c>
      <c r="I1058" s="18" t="s">
        <v>1110</v>
      </c>
      <c r="J1058" s="18">
        <v>330</v>
      </c>
      <c r="K1058" s="18" t="s">
        <v>1121</v>
      </c>
      <c r="L1058" s="18" t="s">
        <v>2215</v>
      </c>
      <c r="M1058" s="19">
        <v>46205</v>
      </c>
      <c r="N1058" s="18" t="s">
        <v>1122</v>
      </c>
      <c r="O1058" s="18" t="s">
        <v>1123</v>
      </c>
      <c r="P1058" s="18" t="s">
        <v>1175</v>
      </c>
      <c r="Q1058" s="18" t="s">
        <v>1176</v>
      </c>
      <c r="R1058" s="18" t="s">
        <v>1177</v>
      </c>
      <c r="S1058" s="18">
        <v>66</v>
      </c>
      <c r="T1058" s="18">
        <v>3168</v>
      </c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/>
      <c r="AF1058" s="18"/>
      <c r="AG1058" s="18"/>
      <c r="AH1058" s="18"/>
      <c r="AI1058" s="18"/>
      <c r="AJ1058" s="18"/>
      <c r="AK1058" s="18"/>
      <c r="AL1058" s="18"/>
      <c r="AM1058" s="18"/>
    </row>
    <row r="1059" spans="6:39" x14ac:dyDescent="0.35">
      <c r="F1059" s="18" t="s">
        <v>1172</v>
      </c>
      <c r="G1059" s="19">
        <v>46206</v>
      </c>
      <c r="H1059" s="18" t="s">
        <v>1159</v>
      </c>
      <c r="I1059" s="18" t="s">
        <v>1110</v>
      </c>
      <c r="J1059" s="18">
        <v>332</v>
      </c>
      <c r="K1059" s="18" t="s">
        <v>1111</v>
      </c>
      <c r="L1059" s="18" t="s">
        <v>5961</v>
      </c>
      <c r="M1059" s="19">
        <v>46206</v>
      </c>
      <c r="N1059" s="18" t="s">
        <v>1112</v>
      </c>
      <c r="O1059" s="18" t="s">
        <v>1117</v>
      </c>
      <c r="P1059" s="18" t="s">
        <v>1118</v>
      </c>
      <c r="Q1059" s="18" t="s">
        <v>3534</v>
      </c>
      <c r="R1059" s="18" t="s">
        <v>3791</v>
      </c>
      <c r="S1059" s="18">
        <v>1265</v>
      </c>
      <c r="T1059" s="18">
        <v>137379</v>
      </c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  <c r="AF1059" s="18"/>
      <c r="AG1059" s="18"/>
      <c r="AH1059" s="18"/>
      <c r="AI1059" s="18"/>
      <c r="AJ1059" s="18"/>
      <c r="AK1059" s="18"/>
      <c r="AL1059" s="18"/>
      <c r="AM1059" s="18"/>
    </row>
    <row r="1060" spans="6:39" x14ac:dyDescent="0.35">
      <c r="F1060" s="18" t="s">
        <v>1172</v>
      </c>
      <c r="G1060" s="19">
        <v>46206</v>
      </c>
      <c r="H1060" s="18" t="s">
        <v>1159</v>
      </c>
      <c r="I1060" s="18" t="s">
        <v>1110</v>
      </c>
      <c r="J1060" s="18">
        <v>333</v>
      </c>
      <c r="K1060" s="18" t="s">
        <v>1121</v>
      </c>
      <c r="L1060" s="18" t="s">
        <v>5962</v>
      </c>
      <c r="M1060" s="19">
        <v>46206</v>
      </c>
      <c r="N1060" s="18" t="s">
        <v>1122</v>
      </c>
      <c r="O1060" s="18" t="s">
        <v>1123</v>
      </c>
      <c r="P1060" s="18" t="s">
        <v>1175</v>
      </c>
      <c r="Q1060" s="18" t="s">
        <v>1176</v>
      </c>
      <c r="R1060" s="18" t="s">
        <v>5963</v>
      </c>
      <c r="S1060" s="18">
        <v>43</v>
      </c>
      <c r="T1060" s="18">
        <v>2064</v>
      </c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8"/>
      <c r="AI1060" s="18"/>
      <c r="AJ1060" s="18"/>
      <c r="AK1060" s="18"/>
      <c r="AL1060" s="18"/>
      <c r="AM1060" s="18"/>
    </row>
    <row r="1061" spans="6:39" x14ac:dyDescent="0.35">
      <c r="F1061" s="18" t="s">
        <v>1172</v>
      </c>
      <c r="G1061" s="19">
        <v>46207</v>
      </c>
      <c r="H1061" s="18" t="s">
        <v>485</v>
      </c>
      <c r="I1061" s="18" t="s">
        <v>1110</v>
      </c>
      <c r="J1061" s="18">
        <v>335</v>
      </c>
      <c r="K1061" s="18" t="s">
        <v>1111</v>
      </c>
      <c r="L1061" s="18" t="s">
        <v>5964</v>
      </c>
      <c r="M1061" s="19">
        <v>46207</v>
      </c>
      <c r="N1061" s="18" t="s">
        <v>1133</v>
      </c>
      <c r="O1061" s="18" t="s">
        <v>1134</v>
      </c>
      <c r="P1061" s="18" t="s">
        <v>1141</v>
      </c>
      <c r="Q1061" s="18" t="s">
        <v>5958</v>
      </c>
      <c r="R1061" s="18" t="s">
        <v>5959</v>
      </c>
      <c r="S1061" s="18">
        <v>5000</v>
      </c>
      <c r="T1061" s="18">
        <v>696750</v>
      </c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8"/>
      <c r="AI1061" s="18"/>
      <c r="AJ1061" s="18"/>
      <c r="AK1061" s="18"/>
      <c r="AL1061" s="18"/>
      <c r="AM1061" s="18"/>
    </row>
    <row r="1062" spans="6:39" x14ac:dyDescent="0.35">
      <c r="F1062" s="18" t="s">
        <v>1172</v>
      </c>
      <c r="G1062" s="19">
        <v>46207</v>
      </c>
      <c r="H1062" s="18" t="s">
        <v>5297</v>
      </c>
      <c r="I1062" s="18" t="s">
        <v>1110</v>
      </c>
      <c r="J1062" s="18">
        <v>334</v>
      </c>
      <c r="K1062" s="18" t="s">
        <v>1111</v>
      </c>
      <c r="L1062" s="18" t="s">
        <v>5965</v>
      </c>
      <c r="M1062" s="19">
        <v>46207</v>
      </c>
      <c r="N1062" s="18" t="s">
        <v>1112</v>
      </c>
      <c r="O1062" s="18" t="s">
        <v>1117</v>
      </c>
      <c r="P1062" s="18" t="s">
        <v>1118</v>
      </c>
      <c r="Q1062" s="18" t="s">
        <v>3534</v>
      </c>
      <c r="R1062" s="18" t="s">
        <v>5966</v>
      </c>
      <c r="S1062" s="18">
        <v>971</v>
      </c>
      <c r="T1062" s="18">
        <v>161000</v>
      </c>
      <c r="U1062" s="18"/>
      <c r="V1062" s="18"/>
      <c r="W1062" s="18"/>
      <c r="X1062" s="18"/>
      <c r="Y1062" s="18"/>
      <c r="Z1062" s="18"/>
      <c r="AA1062" s="18"/>
      <c r="AB1062" s="18"/>
      <c r="AC1062" s="18"/>
      <c r="AD1062" s="18"/>
      <c r="AE1062" s="18"/>
      <c r="AF1062" s="18"/>
      <c r="AG1062" s="18"/>
      <c r="AH1062" s="18"/>
      <c r="AI1062" s="18"/>
      <c r="AJ1062" s="18"/>
      <c r="AK1062" s="18"/>
      <c r="AL1062" s="18"/>
      <c r="AM1062" s="18"/>
    </row>
    <row r="1063" spans="6:39" x14ac:dyDescent="0.35">
      <c r="F1063" s="18" t="s">
        <v>1172</v>
      </c>
      <c r="G1063" s="19">
        <v>46207</v>
      </c>
      <c r="H1063" s="18" t="s">
        <v>5297</v>
      </c>
      <c r="I1063" s="18" t="s">
        <v>1110</v>
      </c>
      <c r="J1063" s="18">
        <v>334</v>
      </c>
      <c r="K1063" s="18" t="s">
        <v>1111</v>
      </c>
      <c r="L1063" s="18" t="s">
        <v>5965</v>
      </c>
      <c r="M1063" s="19">
        <v>46207</v>
      </c>
      <c r="N1063" s="18" t="s">
        <v>1112</v>
      </c>
      <c r="O1063" s="18" t="s">
        <v>1117</v>
      </c>
      <c r="P1063" s="18" t="s">
        <v>1118</v>
      </c>
      <c r="Q1063" s="18" t="s">
        <v>3534</v>
      </c>
      <c r="R1063" s="18" t="s">
        <v>5966</v>
      </c>
      <c r="S1063" s="18">
        <v>390.24</v>
      </c>
      <c r="T1063" s="18">
        <v>64400</v>
      </c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  <c r="AF1063" s="18"/>
      <c r="AG1063" s="18"/>
      <c r="AH1063" s="18"/>
      <c r="AI1063" s="18"/>
      <c r="AJ1063" s="18"/>
      <c r="AK1063" s="18"/>
      <c r="AL1063" s="18"/>
      <c r="AM1063" s="18"/>
    </row>
    <row r="1064" spans="6:39" x14ac:dyDescent="0.35">
      <c r="F1064" s="18" t="s">
        <v>1172</v>
      </c>
      <c r="G1064" s="19">
        <v>46207</v>
      </c>
      <c r="H1064" s="18" t="s">
        <v>5297</v>
      </c>
      <c r="I1064" s="18" t="s">
        <v>1110</v>
      </c>
      <c r="J1064" s="18">
        <v>334</v>
      </c>
      <c r="K1064" s="18" t="s">
        <v>1111</v>
      </c>
      <c r="L1064" s="18" t="s">
        <v>5965</v>
      </c>
      <c r="M1064" s="19">
        <v>46207</v>
      </c>
      <c r="N1064" s="18" t="s">
        <v>1112</v>
      </c>
      <c r="O1064" s="18" t="s">
        <v>1117</v>
      </c>
      <c r="P1064" s="18" t="s">
        <v>1118</v>
      </c>
      <c r="Q1064" s="18" t="s">
        <v>3534</v>
      </c>
      <c r="R1064" s="18" t="s">
        <v>5966</v>
      </c>
      <c r="S1064" s="18">
        <v>585.36</v>
      </c>
      <c r="T1064" s="18">
        <v>96600</v>
      </c>
      <c r="U1064" s="18"/>
      <c r="V1064" s="18"/>
      <c r="W1064" s="18"/>
      <c r="X1064" s="18"/>
      <c r="Y1064" s="18"/>
      <c r="Z1064" s="18"/>
      <c r="AA1064" s="18"/>
      <c r="AB1064" s="18"/>
      <c r="AC1064" s="18"/>
      <c r="AD1064" s="18"/>
      <c r="AE1064" s="18"/>
      <c r="AF1064" s="18"/>
      <c r="AG1064" s="18"/>
      <c r="AH1064" s="18"/>
      <c r="AI1064" s="18"/>
      <c r="AJ1064" s="18"/>
      <c r="AK1064" s="18"/>
      <c r="AL1064" s="18"/>
      <c r="AM1064" s="18"/>
    </row>
    <row r="1065" spans="6:39" x14ac:dyDescent="0.35">
      <c r="F1065" s="18" t="s">
        <v>1172</v>
      </c>
      <c r="G1065" s="19">
        <v>46207</v>
      </c>
      <c r="H1065" s="18" t="s">
        <v>5411</v>
      </c>
      <c r="I1065" s="18" t="s">
        <v>1110</v>
      </c>
      <c r="J1065" s="18">
        <v>336</v>
      </c>
      <c r="K1065" s="18" t="s">
        <v>1111</v>
      </c>
      <c r="L1065" s="18" t="s">
        <v>5967</v>
      </c>
      <c r="M1065" s="19">
        <v>46207</v>
      </c>
      <c r="N1065" s="18" t="s">
        <v>1112</v>
      </c>
      <c r="O1065" s="18" t="s">
        <v>1117</v>
      </c>
      <c r="P1065" s="18" t="s">
        <v>1118</v>
      </c>
      <c r="Q1065" s="18" t="s">
        <v>1174</v>
      </c>
      <c r="R1065" s="18" t="s">
        <v>1120</v>
      </c>
      <c r="S1065" s="18">
        <v>3960</v>
      </c>
      <c r="T1065" s="18">
        <v>649440</v>
      </c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  <c r="AF1065" s="18"/>
      <c r="AG1065" s="18"/>
      <c r="AH1065" s="18"/>
      <c r="AI1065" s="18"/>
      <c r="AJ1065" s="18"/>
      <c r="AK1065" s="18"/>
      <c r="AL1065" s="18"/>
      <c r="AM1065" s="18"/>
    </row>
    <row r="1066" spans="6:39" x14ac:dyDescent="0.35">
      <c r="F1066" s="18" t="s">
        <v>1172</v>
      </c>
      <c r="G1066" s="19">
        <v>46207</v>
      </c>
      <c r="H1066" s="18" t="s">
        <v>5411</v>
      </c>
      <c r="I1066" s="18" t="s">
        <v>1110</v>
      </c>
      <c r="J1066" s="18">
        <v>337</v>
      </c>
      <c r="K1066" s="18" t="s">
        <v>1121</v>
      </c>
      <c r="L1066" s="18" t="s">
        <v>5968</v>
      </c>
      <c r="M1066" s="19">
        <v>46207</v>
      </c>
      <c r="N1066" s="18" t="s">
        <v>1122</v>
      </c>
      <c r="O1066" s="18" t="s">
        <v>1123</v>
      </c>
      <c r="P1066" s="18" t="s">
        <v>1175</v>
      </c>
      <c r="Q1066" s="18" t="s">
        <v>1176</v>
      </c>
      <c r="R1066" s="18" t="s">
        <v>1177</v>
      </c>
      <c r="S1066" s="18">
        <v>63</v>
      </c>
      <c r="T1066" s="18">
        <v>3024</v>
      </c>
      <c r="U1066" s="18"/>
      <c r="V1066" s="18"/>
      <c r="W1066" s="18"/>
      <c r="X1066" s="18"/>
      <c r="Y1066" s="18"/>
      <c r="Z1066" s="18"/>
      <c r="AA1066" s="18"/>
      <c r="AB1066" s="18"/>
      <c r="AC1066" s="18"/>
      <c r="AD1066" s="18"/>
      <c r="AE1066" s="18"/>
      <c r="AF1066" s="18"/>
      <c r="AG1066" s="18"/>
      <c r="AH1066" s="18"/>
      <c r="AI1066" s="18"/>
      <c r="AJ1066" s="18"/>
      <c r="AK1066" s="18"/>
      <c r="AL1066" s="18"/>
      <c r="AM1066" s="18"/>
    </row>
    <row r="1067" spans="6:39" x14ac:dyDescent="0.35">
      <c r="F1067" s="18" t="s">
        <v>1172</v>
      </c>
      <c r="G1067" s="19">
        <v>46208</v>
      </c>
      <c r="H1067" s="18" t="s">
        <v>1086</v>
      </c>
      <c r="I1067" s="18" t="s">
        <v>1136</v>
      </c>
      <c r="J1067" s="18" t="s">
        <v>5335</v>
      </c>
      <c r="K1067" s="18" t="s">
        <v>1145</v>
      </c>
      <c r="L1067" s="18" t="s">
        <v>5335</v>
      </c>
      <c r="M1067" s="19">
        <v>46208</v>
      </c>
      <c r="N1067" s="18" t="s">
        <v>1146</v>
      </c>
      <c r="O1067" s="18" t="s">
        <v>1147</v>
      </c>
      <c r="P1067" s="18" t="s">
        <v>1147</v>
      </c>
      <c r="Q1067" s="18" t="s">
        <v>1173</v>
      </c>
      <c r="R1067" s="18" t="s">
        <v>1149</v>
      </c>
      <c r="S1067" s="18">
        <v>9167</v>
      </c>
      <c r="T1067" s="18">
        <v>1513241.4</v>
      </c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/>
      <c r="AF1067" s="18"/>
      <c r="AG1067" s="18"/>
      <c r="AH1067" s="18"/>
      <c r="AI1067" s="18"/>
      <c r="AJ1067" s="18"/>
      <c r="AK1067" s="18"/>
      <c r="AL1067" s="18"/>
      <c r="AM1067" s="18"/>
    </row>
    <row r="1068" spans="6:39" x14ac:dyDescent="0.35">
      <c r="F1068" s="18" t="s">
        <v>1172</v>
      </c>
      <c r="G1068" s="19">
        <v>46208</v>
      </c>
      <c r="H1068" s="18" t="s">
        <v>1086</v>
      </c>
      <c r="I1068" s="18" t="s">
        <v>1136</v>
      </c>
      <c r="J1068" s="18" t="s">
        <v>5336</v>
      </c>
      <c r="K1068" s="18" t="s">
        <v>1145</v>
      </c>
      <c r="L1068" s="18" t="s">
        <v>5336</v>
      </c>
      <c r="M1068" s="19">
        <v>46208</v>
      </c>
      <c r="N1068" s="18" t="s">
        <v>1146</v>
      </c>
      <c r="O1068" s="18" t="s">
        <v>1170</v>
      </c>
      <c r="P1068" s="18" t="s">
        <v>1171</v>
      </c>
      <c r="Q1068" s="18" t="s">
        <v>5015</v>
      </c>
      <c r="R1068" s="18" t="s">
        <v>5969</v>
      </c>
      <c r="S1068" s="18">
        <v>7472.6</v>
      </c>
      <c r="T1068" s="18">
        <v>1383932.77</v>
      </c>
      <c r="U1068" s="18"/>
      <c r="V1068" s="18"/>
      <c r="W1068" s="18"/>
      <c r="X1068" s="18"/>
      <c r="Y1068" s="18"/>
      <c r="Z1068" s="18"/>
      <c r="AA1068" s="18"/>
      <c r="AB1068" s="18"/>
      <c r="AC1068" s="18"/>
      <c r="AD1068" s="18"/>
      <c r="AE1068" s="18"/>
      <c r="AF1068" s="18"/>
      <c r="AG1068" s="18"/>
      <c r="AH1068" s="18"/>
      <c r="AI1068" s="18"/>
      <c r="AJ1068" s="18"/>
      <c r="AK1068" s="18"/>
      <c r="AL1068" s="18"/>
      <c r="AM1068" s="18"/>
    </row>
    <row r="1069" spans="6:39" x14ac:dyDescent="0.35">
      <c r="F1069" s="18" t="s">
        <v>1172</v>
      </c>
      <c r="G1069" s="19">
        <v>46208</v>
      </c>
      <c r="H1069" s="18" t="s">
        <v>1086</v>
      </c>
      <c r="I1069" s="18" t="s">
        <v>1136</v>
      </c>
      <c r="J1069" s="18" t="s">
        <v>5337</v>
      </c>
      <c r="K1069" s="18" t="s">
        <v>1145</v>
      </c>
      <c r="L1069" s="18" t="s">
        <v>5337</v>
      </c>
      <c r="M1069" s="19">
        <v>46208</v>
      </c>
      <c r="N1069" s="18" t="s">
        <v>1112</v>
      </c>
      <c r="O1069" s="18" t="s">
        <v>1117</v>
      </c>
      <c r="P1069" s="18" t="s">
        <v>1118</v>
      </c>
      <c r="Q1069" s="18" t="s">
        <v>3534</v>
      </c>
      <c r="R1069" s="18" t="s">
        <v>1120</v>
      </c>
      <c r="S1069" s="18">
        <v>2982</v>
      </c>
      <c r="T1069" s="18">
        <v>385580.10561273998</v>
      </c>
      <c r="U1069" s="18"/>
      <c r="V1069" s="18"/>
      <c r="W1069" s="18"/>
      <c r="X1069" s="18"/>
      <c r="Y1069" s="18"/>
      <c r="Z1069" s="18"/>
      <c r="AA1069" s="18"/>
      <c r="AB1069" s="18"/>
      <c r="AC1069" s="18"/>
      <c r="AD1069" s="18"/>
      <c r="AE1069" s="18"/>
      <c r="AF1069" s="18"/>
      <c r="AG1069" s="18"/>
      <c r="AH1069" s="18"/>
      <c r="AI1069" s="18"/>
      <c r="AJ1069" s="18"/>
      <c r="AK1069" s="18"/>
      <c r="AL1069" s="18"/>
      <c r="AM1069" s="18"/>
    </row>
    <row r="1070" spans="6:39" x14ac:dyDescent="0.35">
      <c r="F1070" s="18" t="s">
        <v>1172</v>
      </c>
      <c r="G1070" s="19">
        <v>46208</v>
      </c>
      <c r="H1070" s="18" t="s">
        <v>1086</v>
      </c>
      <c r="I1070" s="18" t="s">
        <v>1136</v>
      </c>
      <c r="J1070" s="18" t="s">
        <v>5337</v>
      </c>
      <c r="K1070" s="18" t="s">
        <v>1145</v>
      </c>
      <c r="L1070" s="18" t="s">
        <v>5337</v>
      </c>
      <c r="M1070" s="19">
        <v>46208</v>
      </c>
      <c r="N1070" s="18" t="s">
        <v>1112</v>
      </c>
      <c r="O1070" s="18" t="s">
        <v>1131</v>
      </c>
      <c r="P1070" s="18" t="s">
        <v>1132</v>
      </c>
      <c r="Q1070" s="18" t="s">
        <v>1132</v>
      </c>
      <c r="R1070" s="18" t="s">
        <v>1762</v>
      </c>
      <c r="S1070" s="18">
        <v>214.3</v>
      </c>
      <c r="T1070" s="18">
        <v>27709.529387260238</v>
      </c>
      <c r="U1070" s="18"/>
      <c r="V1070" s="18"/>
      <c r="W1070" s="18"/>
      <c r="X1070" s="18"/>
      <c r="Y1070" s="18"/>
      <c r="Z1070" s="18"/>
      <c r="AA1070" s="18"/>
      <c r="AB1070" s="18"/>
      <c r="AC1070" s="18"/>
      <c r="AD1070" s="18"/>
      <c r="AE1070" s="18"/>
      <c r="AF1070" s="18"/>
      <c r="AG1070" s="18"/>
      <c r="AH1070" s="18"/>
      <c r="AI1070" s="18"/>
      <c r="AJ1070" s="18"/>
      <c r="AK1070" s="18"/>
      <c r="AL1070" s="18"/>
      <c r="AM1070" s="18"/>
    </row>
    <row r="1071" spans="6:39" x14ac:dyDescent="0.35">
      <c r="F1071" s="18" t="s">
        <v>1172</v>
      </c>
      <c r="G1071" s="19">
        <v>46208</v>
      </c>
      <c r="H1071" s="18" t="s">
        <v>1086</v>
      </c>
      <c r="I1071" s="18" t="s">
        <v>1136</v>
      </c>
      <c r="J1071" s="18" t="s">
        <v>5338</v>
      </c>
      <c r="K1071" s="18" t="s">
        <v>2028</v>
      </c>
      <c r="L1071" s="18" t="s">
        <v>5338</v>
      </c>
      <c r="M1071" s="19">
        <v>46208</v>
      </c>
      <c r="N1071" s="18" t="s">
        <v>1146</v>
      </c>
      <c r="O1071" s="18" t="s">
        <v>1147</v>
      </c>
      <c r="P1071" s="18" t="s">
        <v>1147</v>
      </c>
      <c r="Q1071" s="18" t="s">
        <v>1173</v>
      </c>
      <c r="R1071" s="18" t="s">
        <v>1169</v>
      </c>
      <c r="S1071" s="18">
        <v>14899</v>
      </c>
      <c r="T1071" s="18">
        <v>3278056.7050000001</v>
      </c>
      <c r="U1071" s="18"/>
      <c r="V1071" s="18"/>
      <c r="W1071" s="18"/>
      <c r="X1071" s="18"/>
      <c r="Y1071" s="18"/>
      <c r="Z1071" s="18"/>
      <c r="AA1071" s="18"/>
      <c r="AB1071" s="18"/>
      <c r="AC1071" s="18"/>
      <c r="AD1071" s="18"/>
      <c r="AE1071" s="18"/>
      <c r="AF1071" s="18"/>
      <c r="AG1071" s="18"/>
      <c r="AH1071" s="18"/>
      <c r="AI1071" s="18"/>
      <c r="AJ1071" s="18"/>
      <c r="AK1071" s="18"/>
      <c r="AL1071" s="18"/>
      <c r="AM1071" s="18"/>
    </row>
    <row r="1072" spans="6:39" x14ac:dyDescent="0.35">
      <c r="F1072" s="18" t="s">
        <v>1172</v>
      </c>
      <c r="G1072" s="19">
        <v>46208</v>
      </c>
      <c r="H1072" s="18" t="s">
        <v>3096</v>
      </c>
      <c r="I1072" s="18" t="s">
        <v>1110</v>
      </c>
      <c r="J1072" s="18">
        <v>338</v>
      </c>
      <c r="K1072" s="18" t="s">
        <v>1111</v>
      </c>
      <c r="L1072" s="18" t="s">
        <v>5339</v>
      </c>
      <c r="M1072" s="19">
        <v>46208</v>
      </c>
      <c r="N1072" s="18" t="s">
        <v>1146</v>
      </c>
      <c r="O1072" s="18" t="s">
        <v>1147</v>
      </c>
      <c r="P1072" s="18" t="s">
        <v>1147</v>
      </c>
      <c r="Q1072" s="18" t="s">
        <v>1173</v>
      </c>
      <c r="R1072" s="18" t="s">
        <v>1149</v>
      </c>
      <c r="S1072" s="18">
        <v>2214</v>
      </c>
      <c r="T1072" s="18">
        <v>556155</v>
      </c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/>
      <c r="AF1072" s="18"/>
      <c r="AG1072" s="18"/>
      <c r="AH1072" s="18"/>
      <c r="AI1072" s="18"/>
      <c r="AJ1072" s="18"/>
      <c r="AK1072" s="18"/>
      <c r="AL1072" s="18"/>
      <c r="AM1072" s="18"/>
    </row>
    <row r="1073" spans="6:39" x14ac:dyDescent="0.35">
      <c r="F1073" s="18" t="s">
        <v>1172</v>
      </c>
      <c r="G1073" s="19">
        <v>46208</v>
      </c>
      <c r="H1073" s="18" t="s">
        <v>485</v>
      </c>
      <c r="I1073" s="18" t="s">
        <v>1110</v>
      </c>
      <c r="J1073" s="18">
        <v>339</v>
      </c>
      <c r="K1073" s="18" t="s">
        <v>1111</v>
      </c>
      <c r="L1073" s="18" t="s">
        <v>2059</v>
      </c>
      <c r="M1073" s="19">
        <v>46208</v>
      </c>
      <c r="N1073" s="18" t="s">
        <v>1112</v>
      </c>
      <c r="O1073" s="18" t="s">
        <v>1117</v>
      </c>
      <c r="P1073" s="18" t="s">
        <v>1118</v>
      </c>
      <c r="Q1073" s="18" t="s">
        <v>1174</v>
      </c>
      <c r="R1073" s="18" t="s">
        <v>1120</v>
      </c>
      <c r="S1073" s="18">
        <v>5793</v>
      </c>
      <c r="T1073" s="18">
        <v>617533.80000000005</v>
      </c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  <c r="AF1073" s="18"/>
      <c r="AG1073" s="18"/>
      <c r="AH1073" s="18"/>
      <c r="AI1073" s="18"/>
      <c r="AJ1073" s="18"/>
      <c r="AK1073" s="18"/>
      <c r="AL1073" s="18"/>
      <c r="AM1073" s="18"/>
    </row>
    <row r="1074" spans="6:39" x14ac:dyDescent="0.35">
      <c r="F1074" s="18" t="s">
        <v>1172</v>
      </c>
      <c r="G1074" s="19">
        <v>46208</v>
      </c>
      <c r="H1074" s="18" t="s">
        <v>485</v>
      </c>
      <c r="I1074" s="18" t="s">
        <v>1110</v>
      </c>
      <c r="J1074" s="18">
        <v>339</v>
      </c>
      <c r="K1074" s="18" t="s">
        <v>1111</v>
      </c>
      <c r="L1074" s="18" t="s">
        <v>2059</v>
      </c>
      <c r="M1074" s="19">
        <v>46208</v>
      </c>
      <c r="N1074" s="18" t="s">
        <v>1112</v>
      </c>
      <c r="O1074" s="18" t="s">
        <v>1131</v>
      </c>
      <c r="P1074" s="18" t="s">
        <v>1132</v>
      </c>
      <c r="Q1074" s="18" t="s">
        <v>1178</v>
      </c>
      <c r="R1074" s="18" t="s">
        <v>1210</v>
      </c>
      <c r="S1074" s="18">
        <v>1014.2</v>
      </c>
      <c r="T1074" s="18">
        <v>131440.32000000001</v>
      </c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/>
      <c r="AI1074" s="18"/>
      <c r="AJ1074" s="18"/>
      <c r="AK1074" s="18"/>
      <c r="AL1074" s="18"/>
      <c r="AM1074" s="18"/>
    </row>
    <row r="1075" spans="6:39" x14ac:dyDescent="0.35">
      <c r="F1075" s="18" t="s">
        <v>1172</v>
      </c>
      <c r="G1075" s="19">
        <v>46208</v>
      </c>
      <c r="H1075" s="18" t="s">
        <v>485</v>
      </c>
      <c r="I1075" s="18" t="s">
        <v>1110</v>
      </c>
      <c r="J1075" s="18">
        <v>340</v>
      </c>
      <c r="K1075" s="18" t="s">
        <v>1121</v>
      </c>
      <c r="L1075" s="18" t="s">
        <v>5970</v>
      </c>
      <c r="M1075" s="19">
        <v>46208</v>
      </c>
      <c r="N1075" s="18" t="s">
        <v>1122</v>
      </c>
      <c r="O1075" s="18" t="s">
        <v>1123</v>
      </c>
      <c r="P1075" s="18" t="s">
        <v>1175</v>
      </c>
      <c r="Q1075" s="18" t="s">
        <v>1176</v>
      </c>
      <c r="R1075" s="18" t="s">
        <v>1177</v>
      </c>
      <c r="S1075" s="18">
        <v>196</v>
      </c>
      <c r="T1075" s="18">
        <v>9408</v>
      </c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  <c r="AF1075" s="18"/>
      <c r="AG1075" s="18"/>
      <c r="AH1075" s="18"/>
      <c r="AI1075" s="18"/>
      <c r="AJ1075" s="18"/>
      <c r="AK1075" s="18"/>
      <c r="AL1075" s="18"/>
      <c r="AM1075" s="18"/>
    </row>
    <row r="1076" spans="6:39" x14ac:dyDescent="0.35">
      <c r="F1076" s="18" t="s">
        <v>1172</v>
      </c>
      <c r="G1076" s="19">
        <v>46209</v>
      </c>
      <c r="H1076" s="18" t="s">
        <v>4944</v>
      </c>
      <c r="I1076" s="18" t="s">
        <v>1110</v>
      </c>
      <c r="J1076" s="18">
        <v>342</v>
      </c>
      <c r="K1076" s="18" t="s">
        <v>5013</v>
      </c>
      <c r="L1076" s="18" t="s">
        <v>5340</v>
      </c>
      <c r="M1076" s="19">
        <v>46209</v>
      </c>
      <c r="N1076" s="18" t="s">
        <v>1112</v>
      </c>
      <c r="O1076" s="18" t="s">
        <v>1113</v>
      </c>
      <c r="P1076" s="18" t="s">
        <v>1114</v>
      </c>
      <c r="Q1076" s="18" t="s">
        <v>1180</v>
      </c>
      <c r="R1076" s="18" t="s">
        <v>1143</v>
      </c>
      <c r="S1076" s="18">
        <v>6091.78</v>
      </c>
      <c r="T1076" s="18">
        <v>1096520.3999999999</v>
      </c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/>
      <c r="AF1076" s="18"/>
      <c r="AG1076" s="18"/>
      <c r="AH1076" s="18"/>
      <c r="AI1076" s="18"/>
      <c r="AJ1076" s="18"/>
      <c r="AK1076" s="18"/>
      <c r="AL1076" s="18"/>
      <c r="AM1076" s="18"/>
    </row>
    <row r="1077" spans="6:39" x14ac:dyDescent="0.35">
      <c r="F1077" s="18" t="s">
        <v>1172</v>
      </c>
      <c r="G1077" s="19">
        <v>46209</v>
      </c>
      <c r="H1077" s="18" t="s">
        <v>545</v>
      </c>
      <c r="I1077" s="18" t="s">
        <v>1136</v>
      </c>
      <c r="J1077" s="18" t="s">
        <v>5341</v>
      </c>
      <c r="K1077" s="18" t="s">
        <v>2028</v>
      </c>
      <c r="L1077" s="18" t="s">
        <v>5341</v>
      </c>
      <c r="M1077" s="19">
        <v>46209</v>
      </c>
      <c r="N1077" s="18" t="s">
        <v>1146</v>
      </c>
      <c r="O1077" s="18" t="s">
        <v>1147</v>
      </c>
      <c r="P1077" s="18" t="s">
        <v>1147</v>
      </c>
      <c r="Q1077" s="18" t="s">
        <v>1173</v>
      </c>
      <c r="R1077" s="18" t="s">
        <v>1149</v>
      </c>
      <c r="S1077" s="18">
        <v>20787</v>
      </c>
      <c r="T1077" s="18">
        <v>4552024.125</v>
      </c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  <c r="AF1077" s="18"/>
      <c r="AG1077" s="18"/>
      <c r="AH1077" s="18"/>
      <c r="AI1077" s="18"/>
      <c r="AJ1077" s="18"/>
      <c r="AK1077" s="18"/>
      <c r="AL1077" s="18"/>
      <c r="AM1077" s="18"/>
    </row>
    <row r="1078" spans="6:39" x14ac:dyDescent="0.35">
      <c r="F1078" s="18" t="s">
        <v>1172</v>
      </c>
      <c r="G1078" s="19">
        <v>46210</v>
      </c>
      <c r="H1078" s="18" t="s">
        <v>5298</v>
      </c>
      <c r="I1078" s="18" t="s">
        <v>1110</v>
      </c>
      <c r="J1078" s="18">
        <v>345</v>
      </c>
      <c r="K1078" s="18" t="s">
        <v>1111</v>
      </c>
      <c r="L1078" s="18" t="s">
        <v>5342</v>
      </c>
      <c r="M1078" s="19">
        <v>46210</v>
      </c>
      <c r="N1078" s="18" t="s">
        <v>1146</v>
      </c>
      <c r="O1078" s="18" t="s">
        <v>1147</v>
      </c>
      <c r="P1078" s="18" t="s">
        <v>1147</v>
      </c>
      <c r="Q1078" s="18" t="s">
        <v>1173</v>
      </c>
      <c r="R1078" s="18" t="s">
        <v>1149</v>
      </c>
      <c r="S1078" s="18">
        <v>919.1</v>
      </c>
      <c r="T1078" s="18">
        <v>235000</v>
      </c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/>
      <c r="AF1078" s="18"/>
      <c r="AG1078" s="18"/>
      <c r="AH1078" s="18"/>
      <c r="AI1078" s="18"/>
      <c r="AJ1078" s="18"/>
      <c r="AK1078" s="18"/>
      <c r="AL1078" s="18"/>
      <c r="AM1078" s="18"/>
    </row>
    <row r="1079" spans="6:39" x14ac:dyDescent="0.35">
      <c r="F1079" s="18" t="s">
        <v>1172</v>
      </c>
      <c r="G1079" s="19">
        <v>46210</v>
      </c>
      <c r="H1079" s="18" t="s">
        <v>1086</v>
      </c>
      <c r="I1079" s="18" t="s">
        <v>1136</v>
      </c>
      <c r="J1079" s="18" t="s">
        <v>5343</v>
      </c>
      <c r="K1079" s="18" t="s">
        <v>2028</v>
      </c>
      <c r="L1079" s="18" t="s">
        <v>5343</v>
      </c>
      <c r="M1079" s="19">
        <v>46210</v>
      </c>
      <c r="N1079" s="18" t="s">
        <v>1112</v>
      </c>
      <c r="O1079" s="18" t="s">
        <v>1117</v>
      </c>
      <c r="P1079" s="18" t="s">
        <v>1118</v>
      </c>
      <c r="Q1079" s="18" t="s">
        <v>1173</v>
      </c>
      <c r="R1079" s="18" t="s">
        <v>1120</v>
      </c>
      <c r="S1079" s="18">
        <v>20037</v>
      </c>
      <c r="T1079" s="18">
        <v>2919915.24</v>
      </c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  <c r="AF1079" s="18"/>
      <c r="AG1079" s="18"/>
      <c r="AH1079" s="18"/>
      <c r="AI1079" s="18"/>
      <c r="AJ1079" s="18"/>
      <c r="AK1079" s="18"/>
      <c r="AL1079" s="18"/>
      <c r="AM1079" s="18"/>
    </row>
    <row r="1080" spans="6:39" x14ac:dyDescent="0.35">
      <c r="F1080" s="18" t="s">
        <v>1172</v>
      </c>
      <c r="G1080" s="19">
        <v>46210</v>
      </c>
      <c r="H1080" s="18" t="s">
        <v>1159</v>
      </c>
      <c r="I1080" s="18" t="s">
        <v>1110</v>
      </c>
      <c r="J1080" s="18">
        <v>346</v>
      </c>
      <c r="K1080" s="18" t="s">
        <v>1121</v>
      </c>
      <c r="L1080" s="18" t="s">
        <v>4151</v>
      </c>
      <c r="M1080" s="19">
        <v>46210</v>
      </c>
      <c r="N1080" s="18" t="s">
        <v>1133</v>
      </c>
      <c r="O1080" s="18" t="s">
        <v>1134</v>
      </c>
      <c r="P1080" s="18" t="s">
        <v>1156</v>
      </c>
      <c r="Q1080" s="18" t="s">
        <v>1157</v>
      </c>
      <c r="R1080" s="18" t="s">
        <v>1158</v>
      </c>
      <c r="S1080" s="18">
        <v>8000</v>
      </c>
      <c r="T1080" s="18">
        <v>1440000</v>
      </c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  <c r="AI1080" s="18"/>
      <c r="AJ1080" s="18"/>
      <c r="AK1080" s="18"/>
      <c r="AL1080" s="18"/>
      <c r="AM1080" s="18"/>
    </row>
    <row r="1081" spans="6:39" x14ac:dyDescent="0.35">
      <c r="F1081" s="18" t="s">
        <v>1172</v>
      </c>
      <c r="G1081" s="19">
        <v>46210</v>
      </c>
      <c r="H1081" s="18" t="s">
        <v>3790</v>
      </c>
      <c r="I1081" s="18" t="s">
        <v>1110</v>
      </c>
      <c r="J1081" s="18">
        <v>344</v>
      </c>
      <c r="K1081" s="18" t="s">
        <v>1111</v>
      </c>
      <c r="L1081" s="18" t="s">
        <v>5971</v>
      </c>
      <c r="M1081" s="19">
        <v>46210</v>
      </c>
      <c r="N1081" s="18" t="s">
        <v>1112</v>
      </c>
      <c r="O1081" s="18" t="s">
        <v>1117</v>
      </c>
      <c r="P1081" s="18" t="s">
        <v>1118</v>
      </c>
      <c r="Q1081" s="18" t="s">
        <v>1174</v>
      </c>
      <c r="R1081" s="18" t="s">
        <v>1120</v>
      </c>
      <c r="S1081" s="18">
        <v>8789.9</v>
      </c>
      <c r="T1081" s="18">
        <v>980952.84</v>
      </c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  <c r="AF1081" s="18"/>
      <c r="AG1081" s="18"/>
      <c r="AH1081" s="18"/>
      <c r="AI1081" s="18"/>
      <c r="AJ1081" s="18"/>
      <c r="AK1081" s="18"/>
      <c r="AL1081" s="18"/>
      <c r="AM1081" s="18"/>
    </row>
    <row r="1082" spans="6:39" x14ac:dyDescent="0.35">
      <c r="F1082" s="18" t="s">
        <v>1172</v>
      </c>
      <c r="G1082" s="19">
        <v>46210</v>
      </c>
      <c r="H1082" s="18" t="s">
        <v>5297</v>
      </c>
      <c r="I1082" s="18" t="s">
        <v>1110</v>
      </c>
      <c r="J1082" s="18">
        <v>343</v>
      </c>
      <c r="K1082" s="18" t="s">
        <v>1111</v>
      </c>
      <c r="L1082" s="18" t="s">
        <v>5344</v>
      </c>
      <c r="M1082" s="19">
        <v>46210</v>
      </c>
      <c r="N1082" s="18" t="s">
        <v>1112</v>
      </c>
      <c r="O1082" s="18" t="s">
        <v>1117</v>
      </c>
      <c r="P1082" s="18" t="s">
        <v>1118</v>
      </c>
      <c r="Q1082" s="18" t="s">
        <v>3534</v>
      </c>
      <c r="R1082" s="18" t="s">
        <v>5966</v>
      </c>
      <c r="S1082" s="18">
        <v>777.8</v>
      </c>
      <c r="T1082" s="18">
        <v>120750</v>
      </c>
      <c r="U1082" s="18"/>
      <c r="V1082" s="18"/>
      <c r="W1082" s="18"/>
      <c r="X1082" s="18"/>
      <c r="Y1082" s="18"/>
      <c r="Z1082" s="18"/>
      <c r="AA1082" s="18"/>
      <c r="AB1082" s="18"/>
      <c r="AC1082" s="18"/>
      <c r="AD1082" s="18"/>
      <c r="AE1082" s="18"/>
      <c r="AF1082" s="18"/>
      <c r="AG1082" s="18"/>
      <c r="AH1082" s="18"/>
      <c r="AI1082" s="18"/>
      <c r="AJ1082" s="18"/>
      <c r="AK1082" s="18"/>
      <c r="AL1082" s="18"/>
      <c r="AM1082" s="18"/>
    </row>
    <row r="1083" spans="6:39" x14ac:dyDescent="0.35">
      <c r="F1083" s="18" t="s">
        <v>1172</v>
      </c>
      <c r="G1083" s="19">
        <v>46210</v>
      </c>
      <c r="H1083" s="18" t="s">
        <v>5297</v>
      </c>
      <c r="I1083" s="18" t="s">
        <v>1110</v>
      </c>
      <c r="J1083" s="18">
        <v>343</v>
      </c>
      <c r="K1083" s="18" t="s">
        <v>1111</v>
      </c>
      <c r="L1083" s="18" t="s">
        <v>5344</v>
      </c>
      <c r="M1083" s="19">
        <v>46210</v>
      </c>
      <c r="N1083" s="18" t="s">
        <v>1112</v>
      </c>
      <c r="O1083" s="18" t="s">
        <v>1117</v>
      </c>
      <c r="P1083" s="18" t="s">
        <v>1118</v>
      </c>
      <c r="Q1083" s="18" t="s">
        <v>3534</v>
      </c>
      <c r="R1083" s="18" t="s">
        <v>5966</v>
      </c>
      <c r="S1083" s="18">
        <v>426.9</v>
      </c>
      <c r="T1083" s="18">
        <v>67620</v>
      </c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  <c r="AF1083" s="18"/>
      <c r="AG1083" s="18"/>
      <c r="AH1083" s="18"/>
      <c r="AI1083" s="18"/>
      <c r="AJ1083" s="18"/>
      <c r="AK1083" s="18"/>
      <c r="AL1083" s="18"/>
      <c r="AM1083" s="18"/>
    </row>
    <row r="1084" spans="6:39" x14ac:dyDescent="0.35">
      <c r="F1084" s="18" t="s">
        <v>1172</v>
      </c>
      <c r="G1084" s="19">
        <v>46210</v>
      </c>
      <c r="H1084" s="18" t="s">
        <v>125</v>
      </c>
      <c r="I1084" s="18" t="s">
        <v>1110</v>
      </c>
      <c r="J1084" s="18">
        <v>347</v>
      </c>
      <c r="K1084" s="18" t="s">
        <v>1111</v>
      </c>
      <c r="L1084" s="18" t="s">
        <v>5545</v>
      </c>
      <c r="M1084" s="19">
        <v>46210</v>
      </c>
      <c r="N1084" s="18" t="s">
        <v>1146</v>
      </c>
      <c r="O1084" s="18" t="s">
        <v>1147</v>
      </c>
      <c r="P1084" s="18" t="s">
        <v>1147</v>
      </c>
      <c r="Q1084" s="18" t="s">
        <v>1173</v>
      </c>
      <c r="R1084" s="18" t="s">
        <v>1149</v>
      </c>
      <c r="S1084" s="18">
        <v>1022</v>
      </c>
      <c r="T1084" s="18">
        <v>256440.24</v>
      </c>
      <c r="U1084" s="18"/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18"/>
      <c r="AF1084" s="18"/>
      <c r="AG1084" s="18"/>
      <c r="AH1084" s="18"/>
      <c r="AI1084" s="18"/>
      <c r="AJ1084" s="18"/>
      <c r="AK1084" s="18"/>
      <c r="AL1084" s="18"/>
      <c r="AM1084" s="18"/>
    </row>
    <row r="1085" spans="6:39" x14ac:dyDescent="0.35">
      <c r="F1085" s="18" t="s">
        <v>1172</v>
      </c>
      <c r="G1085" s="19">
        <v>46210</v>
      </c>
      <c r="H1085" s="18" t="s">
        <v>125</v>
      </c>
      <c r="I1085" s="18" t="s">
        <v>1110</v>
      </c>
      <c r="J1085" s="18">
        <v>347</v>
      </c>
      <c r="K1085" s="18" t="s">
        <v>1111</v>
      </c>
      <c r="L1085" s="18" t="s">
        <v>5545</v>
      </c>
      <c r="M1085" s="19">
        <v>46210</v>
      </c>
      <c r="N1085" s="18" t="s">
        <v>1146</v>
      </c>
      <c r="O1085" s="18" t="s">
        <v>1147</v>
      </c>
      <c r="P1085" s="18" t="s">
        <v>1147</v>
      </c>
      <c r="Q1085" s="18" t="s">
        <v>1173</v>
      </c>
      <c r="R1085" s="18" t="s">
        <v>1149</v>
      </c>
      <c r="S1085" s="18">
        <v>401</v>
      </c>
      <c r="T1085" s="18">
        <v>109288.54</v>
      </c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/>
      <c r="AF1085" s="18"/>
      <c r="AG1085" s="18"/>
      <c r="AH1085" s="18"/>
      <c r="AI1085" s="18"/>
      <c r="AJ1085" s="18"/>
      <c r="AK1085" s="18"/>
      <c r="AL1085" s="18"/>
      <c r="AM1085" s="18"/>
    </row>
    <row r="1086" spans="6:39" x14ac:dyDescent="0.35">
      <c r="F1086" s="18" t="s">
        <v>1172</v>
      </c>
      <c r="G1086" s="19">
        <v>46210</v>
      </c>
      <c r="H1086" s="18" t="s">
        <v>125</v>
      </c>
      <c r="I1086" s="18" t="s">
        <v>1110</v>
      </c>
      <c r="J1086" s="18">
        <v>347</v>
      </c>
      <c r="K1086" s="18" t="s">
        <v>1111</v>
      </c>
      <c r="L1086" s="18" t="s">
        <v>5545</v>
      </c>
      <c r="M1086" s="19">
        <v>46210</v>
      </c>
      <c r="N1086" s="18" t="s">
        <v>1112</v>
      </c>
      <c r="O1086" s="18" t="s">
        <v>1117</v>
      </c>
      <c r="P1086" s="18" t="s">
        <v>1118</v>
      </c>
      <c r="Q1086" s="18" t="s">
        <v>1174</v>
      </c>
      <c r="R1086" s="18" t="s">
        <v>1120</v>
      </c>
      <c r="S1086" s="18">
        <v>2676</v>
      </c>
      <c r="T1086" s="18">
        <v>326472</v>
      </c>
      <c r="U1086" s="18"/>
      <c r="V1086" s="18"/>
      <c r="W1086" s="18"/>
      <c r="X1086" s="18"/>
      <c r="Y1086" s="18"/>
      <c r="Z1086" s="18"/>
      <c r="AA1086" s="18"/>
      <c r="AB1086" s="18"/>
      <c r="AC1086" s="18"/>
      <c r="AD1086" s="18"/>
      <c r="AE1086" s="18"/>
      <c r="AF1086" s="18"/>
      <c r="AG1086" s="18"/>
      <c r="AH1086" s="18"/>
      <c r="AI1086" s="18"/>
      <c r="AJ1086" s="18"/>
      <c r="AK1086" s="18"/>
      <c r="AL1086" s="18"/>
      <c r="AM1086" s="18"/>
    </row>
    <row r="1087" spans="6:39" x14ac:dyDescent="0.35">
      <c r="F1087" s="18" t="s">
        <v>1172</v>
      </c>
      <c r="G1087" s="19">
        <v>46210</v>
      </c>
      <c r="H1087" s="18" t="s">
        <v>125</v>
      </c>
      <c r="I1087" s="18" t="s">
        <v>1110</v>
      </c>
      <c r="J1087" s="18">
        <v>348</v>
      </c>
      <c r="K1087" s="18" t="s">
        <v>1121</v>
      </c>
      <c r="L1087" s="18" t="s">
        <v>2217</v>
      </c>
      <c r="M1087" s="19">
        <v>46210</v>
      </c>
      <c r="N1087" s="18" t="s">
        <v>1122</v>
      </c>
      <c r="O1087" s="18" t="s">
        <v>1123</v>
      </c>
      <c r="P1087" s="18" t="s">
        <v>1175</v>
      </c>
      <c r="Q1087" s="18" t="s">
        <v>1176</v>
      </c>
      <c r="R1087" s="18" t="s">
        <v>5963</v>
      </c>
      <c r="S1087" s="18">
        <v>75</v>
      </c>
      <c r="T1087" s="18">
        <v>3600</v>
      </c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18"/>
      <c r="AF1087" s="18"/>
      <c r="AG1087" s="18"/>
      <c r="AH1087" s="18"/>
      <c r="AI1087" s="18"/>
      <c r="AJ1087" s="18"/>
      <c r="AK1087" s="18"/>
      <c r="AL1087" s="18"/>
      <c r="AM1087" s="18"/>
    </row>
    <row r="1088" spans="6:39" x14ac:dyDescent="0.35">
      <c r="F1088" s="18" t="s">
        <v>1172</v>
      </c>
      <c r="G1088" s="19">
        <v>46211</v>
      </c>
      <c r="H1088" s="18" t="s">
        <v>545</v>
      </c>
      <c r="I1088" s="18" t="s">
        <v>1136</v>
      </c>
      <c r="J1088" s="18" t="s">
        <v>5345</v>
      </c>
      <c r="K1088" s="18" t="s">
        <v>2028</v>
      </c>
      <c r="L1088" s="18" t="s">
        <v>5345</v>
      </c>
      <c r="M1088" s="19">
        <v>46211</v>
      </c>
      <c r="N1088" s="18" t="s">
        <v>1146</v>
      </c>
      <c r="O1088" s="18" t="s">
        <v>1147</v>
      </c>
      <c r="P1088" s="18" t="s">
        <v>1147</v>
      </c>
      <c r="Q1088" s="18" t="s">
        <v>1173</v>
      </c>
      <c r="R1088" s="18" t="s">
        <v>1149</v>
      </c>
      <c r="S1088" s="18">
        <v>20787</v>
      </c>
      <c r="T1088" s="18">
        <v>4852439.625</v>
      </c>
      <c r="U1088" s="18"/>
      <c r="V1088" s="18"/>
      <c r="W1088" s="18"/>
      <c r="X1088" s="18"/>
      <c r="Y1088" s="18"/>
      <c r="Z1088" s="18"/>
      <c r="AA1088" s="18"/>
      <c r="AB1088" s="18"/>
      <c r="AC1088" s="18"/>
      <c r="AD1088" s="18"/>
      <c r="AE1088" s="18"/>
      <c r="AF1088" s="18"/>
      <c r="AG1088" s="18"/>
      <c r="AH1088" s="18"/>
      <c r="AI1088" s="18"/>
      <c r="AJ1088" s="18"/>
      <c r="AK1088" s="18"/>
      <c r="AL1088" s="18"/>
      <c r="AM1088" s="18"/>
    </row>
    <row r="1089" spans="6:39" x14ac:dyDescent="0.35">
      <c r="F1089" s="18" t="s">
        <v>1172</v>
      </c>
      <c r="G1089" s="19">
        <v>46212</v>
      </c>
      <c r="H1089" s="18" t="s">
        <v>1159</v>
      </c>
      <c r="I1089" s="18" t="s">
        <v>1110</v>
      </c>
      <c r="J1089" s="18">
        <v>349</v>
      </c>
      <c r="K1089" s="18" t="s">
        <v>1121</v>
      </c>
      <c r="L1089" s="18" t="s">
        <v>5972</v>
      </c>
      <c r="M1089" s="19">
        <v>46212</v>
      </c>
      <c r="N1089" s="18" t="s">
        <v>1146</v>
      </c>
      <c r="O1089" s="18" t="s">
        <v>1179</v>
      </c>
      <c r="P1089" s="18" t="s">
        <v>1179</v>
      </c>
      <c r="Q1089" s="18" t="s">
        <v>4075</v>
      </c>
      <c r="R1089" s="18" t="s">
        <v>1179</v>
      </c>
      <c r="S1089" s="18">
        <v>22.4</v>
      </c>
      <c r="T1089" s="18">
        <v>6930</v>
      </c>
      <c r="U1089" s="18"/>
      <c r="V1089" s="18"/>
      <c r="W1089" s="18"/>
      <c r="X1089" s="18"/>
      <c r="Y1089" s="18"/>
      <c r="Z1089" s="18"/>
      <c r="AA1089" s="18"/>
      <c r="AB1089" s="18"/>
      <c r="AC1089" s="18"/>
      <c r="AD1089" s="18"/>
      <c r="AE1089" s="18"/>
      <c r="AF1089" s="18"/>
      <c r="AG1089" s="18"/>
      <c r="AH1089" s="18"/>
      <c r="AI1089" s="18"/>
      <c r="AJ1089" s="18"/>
      <c r="AK1089" s="18"/>
      <c r="AL1089" s="18"/>
      <c r="AM1089" s="18"/>
    </row>
    <row r="1090" spans="6:39" x14ac:dyDescent="0.35">
      <c r="F1090" s="18" t="s">
        <v>1172</v>
      </c>
      <c r="G1090" s="19">
        <v>46212</v>
      </c>
      <c r="H1090" s="18" t="s">
        <v>5623</v>
      </c>
      <c r="I1090" s="18" t="s">
        <v>1110</v>
      </c>
      <c r="J1090" s="18">
        <v>353</v>
      </c>
      <c r="K1090" s="18" t="s">
        <v>1111</v>
      </c>
      <c r="L1090" s="18" t="s">
        <v>2060</v>
      </c>
      <c r="M1090" s="19">
        <v>46212</v>
      </c>
      <c r="N1090" s="18" t="s">
        <v>1112</v>
      </c>
      <c r="O1090" s="18" t="s">
        <v>1117</v>
      </c>
      <c r="P1090" s="18" t="s">
        <v>1118</v>
      </c>
      <c r="Q1090" s="18" t="s">
        <v>1174</v>
      </c>
      <c r="R1090" s="18" t="s">
        <v>1120</v>
      </c>
      <c r="S1090" s="18">
        <v>1260</v>
      </c>
      <c r="T1090" s="18">
        <v>194103</v>
      </c>
      <c r="U1090" s="18"/>
      <c r="V1090" s="18"/>
      <c r="W1090" s="18"/>
      <c r="X1090" s="18"/>
      <c r="Y1090" s="18"/>
      <c r="Z1090" s="18"/>
      <c r="AA1090" s="18"/>
      <c r="AB1090" s="18"/>
      <c r="AC1090" s="18"/>
      <c r="AD1090" s="18"/>
      <c r="AE1090" s="18"/>
      <c r="AF1090" s="18"/>
      <c r="AG1090" s="18"/>
      <c r="AH1090" s="18"/>
      <c r="AI1090" s="18"/>
      <c r="AJ1090" s="18"/>
      <c r="AK1090" s="18"/>
      <c r="AL1090" s="18"/>
      <c r="AM1090" s="18"/>
    </row>
    <row r="1091" spans="6:39" x14ac:dyDescent="0.35">
      <c r="F1091" s="18" t="s">
        <v>1172</v>
      </c>
      <c r="G1091" s="19">
        <v>46212</v>
      </c>
      <c r="H1091" s="18" t="s">
        <v>5623</v>
      </c>
      <c r="I1091" s="18" t="s">
        <v>1110</v>
      </c>
      <c r="J1091" s="18">
        <v>353</v>
      </c>
      <c r="K1091" s="18" t="s">
        <v>1111</v>
      </c>
      <c r="L1091" s="18" t="s">
        <v>2060</v>
      </c>
      <c r="M1091" s="19">
        <v>46212</v>
      </c>
      <c r="N1091" s="18" t="s">
        <v>1112</v>
      </c>
      <c r="O1091" s="18" t="s">
        <v>1117</v>
      </c>
      <c r="P1091" s="18" t="s">
        <v>1138</v>
      </c>
      <c r="Q1091" s="18" t="s">
        <v>1139</v>
      </c>
      <c r="R1091" s="18" t="s">
        <v>1140</v>
      </c>
      <c r="S1091" s="18">
        <v>1436.1</v>
      </c>
      <c r="T1091" s="18">
        <v>224103.4</v>
      </c>
      <c r="U1091" s="18"/>
      <c r="V1091" s="18"/>
      <c r="W1091" s="18"/>
      <c r="X1091" s="18"/>
      <c r="Y1091" s="18"/>
      <c r="Z1091" s="18"/>
      <c r="AA1091" s="18"/>
      <c r="AB1091" s="18"/>
      <c r="AC1091" s="18"/>
      <c r="AD1091" s="18"/>
      <c r="AE1091" s="18"/>
      <c r="AF1091" s="18"/>
      <c r="AG1091" s="18"/>
      <c r="AH1091" s="18"/>
      <c r="AI1091" s="18"/>
      <c r="AJ1091" s="18"/>
      <c r="AK1091" s="18"/>
      <c r="AL1091" s="18"/>
      <c r="AM1091" s="18"/>
    </row>
    <row r="1092" spans="6:39" x14ac:dyDescent="0.35">
      <c r="F1092" s="18" t="s">
        <v>1172</v>
      </c>
      <c r="G1092" s="19">
        <v>46212</v>
      </c>
      <c r="H1092" s="18" t="s">
        <v>5623</v>
      </c>
      <c r="I1092" s="18" t="s">
        <v>1110</v>
      </c>
      <c r="J1092" s="18">
        <v>353</v>
      </c>
      <c r="K1092" s="18" t="s">
        <v>1111</v>
      </c>
      <c r="L1092" s="18" t="s">
        <v>2060</v>
      </c>
      <c r="M1092" s="19">
        <v>46212</v>
      </c>
      <c r="N1092" s="18" t="s">
        <v>1112</v>
      </c>
      <c r="O1092" s="18" t="s">
        <v>1117</v>
      </c>
      <c r="P1092" s="18" t="s">
        <v>1138</v>
      </c>
      <c r="Q1092" s="18" t="s">
        <v>1139</v>
      </c>
      <c r="R1092" s="18" t="s">
        <v>1140</v>
      </c>
      <c r="S1092" s="18">
        <v>1010.5</v>
      </c>
      <c r="T1092" s="18">
        <v>218318.53</v>
      </c>
      <c r="U1092" s="18"/>
      <c r="V1092" s="18"/>
      <c r="W1092" s="18"/>
      <c r="X1092" s="18"/>
      <c r="Y1092" s="18"/>
      <c r="Z1092" s="18"/>
      <c r="AA1092" s="18"/>
      <c r="AB1092" s="18"/>
      <c r="AC1092" s="18"/>
      <c r="AD1092" s="18"/>
      <c r="AE1092" s="18"/>
      <c r="AF1092" s="18"/>
      <c r="AG1092" s="18"/>
      <c r="AH1092" s="18"/>
      <c r="AI1092" s="18"/>
      <c r="AJ1092" s="18"/>
      <c r="AK1092" s="18"/>
      <c r="AL1092" s="18"/>
      <c r="AM1092" s="18"/>
    </row>
    <row r="1093" spans="6:39" x14ac:dyDescent="0.35">
      <c r="F1093" s="18" t="s">
        <v>1172</v>
      </c>
      <c r="G1093" s="19">
        <v>46212</v>
      </c>
      <c r="H1093" s="18" t="s">
        <v>5623</v>
      </c>
      <c r="I1093" s="18" t="s">
        <v>1110</v>
      </c>
      <c r="J1093" s="18">
        <v>353</v>
      </c>
      <c r="K1093" s="18" t="s">
        <v>1111</v>
      </c>
      <c r="L1093" s="18" t="s">
        <v>2060</v>
      </c>
      <c r="M1093" s="19">
        <v>46212</v>
      </c>
      <c r="N1093" s="18" t="s">
        <v>1112</v>
      </c>
      <c r="O1093" s="18" t="s">
        <v>1131</v>
      </c>
      <c r="P1093" s="18" t="s">
        <v>1132</v>
      </c>
      <c r="Q1093" s="18" t="s">
        <v>1178</v>
      </c>
      <c r="R1093" s="18" t="s">
        <v>1131</v>
      </c>
      <c r="S1093" s="18">
        <v>479.4</v>
      </c>
      <c r="T1093" s="18">
        <v>74810.37</v>
      </c>
      <c r="U1093" s="18"/>
      <c r="V1093" s="18"/>
      <c r="W1093" s="18"/>
      <c r="X1093" s="18"/>
      <c r="Y1093" s="18"/>
      <c r="Z1093" s="18"/>
      <c r="AA1093" s="18"/>
      <c r="AB1093" s="18"/>
      <c r="AC1093" s="18"/>
      <c r="AD1093" s="18"/>
      <c r="AE1093" s="18"/>
      <c r="AF1093" s="18"/>
      <c r="AG1093" s="18"/>
      <c r="AH1093" s="18"/>
      <c r="AI1093" s="18"/>
      <c r="AJ1093" s="18"/>
      <c r="AK1093" s="18"/>
      <c r="AL1093" s="18"/>
      <c r="AM1093" s="18"/>
    </row>
    <row r="1094" spans="6:39" x14ac:dyDescent="0.35">
      <c r="F1094" s="18" t="s">
        <v>1172</v>
      </c>
      <c r="G1094" s="19">
        <v>46212</v>
      </c>
      <c r="H1094" s="18" t="s">
        <v>5623</v>
      </c>
      <c r="I1094" s="18" t="s">
        <v>1110</v>
      </c>
      <c r="J1094" s="18">
        <v>353</v>
      </c>
      <c r="K1094" s="18" t="s">
        <v>1111</v>
      </c>
      <c r="L1094" s="18" t="s">
        <v>2060</v>
      </c>
      <c r="M1094" s="19">
        <v>46212</v>
      </c>
      <c r="N1094" s="18" t="s">
        <v>1112</v>
      </c>
      <c r="O1094" s="18" t="s">
        <v>1131</v>
      </c>
      <c r="P1094" s="18" t="s">
        <v>1132</v>
      </c>
      <c r="Q1094" s="18" t="s">
        <v>1178</v>
      </c>
      <c r="R1094" s="18" t="s">
        <v>1131</v>
      </c>
      <c r="S1094" s="18">
        <v>978.9</v>
      </c>
      <c r="T1094" s="18">
        <v>155694.04999999999</v>
      </c>
      <c r="U1094" s="18"/>
      <c r="V1094" s="18"/>
      <c r="W1094" s="18"/>
      <c r="X1094" s="18"/>
      <c r="Y1094" s="18"/>
      <c r="Z1094" s="18"/>
      <c r="AA1094" s="18"/>
      <c r="AB1094" s="18"/>
      <c r="AC1094" s="18"/>
      <c r="AD1094" s="18"/>
      <c r="AE1094" s="18"/>
      <c r="AF1094" s="18"/>
      <c r="AG1094" s="18"/>
      <c r="AH1094" s="18"/>
      <c r="AI1094" s="18"/>
      <c r="AJ1094" s="18"/>
      <c r="AK1094" s="18"/>
      <c r="AL1094" s="18"/>
      <c r="AM1094" s="18"/>
    </row>
    <row r="1095" spans="6:39" x14ac:dyDescent="0.35">
      <c r="F1095" s="18" t="s">
        <v>1172</v>
      </c>
      <c r="G1095" s="19">
        <v>46212</v>
      </c>
      <c r="H1095" s="18" t="s">
        <v>5623</v>
      </c>
      <c r="I1095" s="18" t="s">
        <v>1110</v>
      </c>
      <c r="J1095" s="18">
        <v>353</v>
      </c>
      <c r="K1095" s="18" t="s">
        <v>1111</v>
      </c>
      <c r="L1095" s="18" t="s">
        <v>2060</v>
      </c>
      <c r="M1095" s="19">
        <v>46212</v>
      </c>
      <c r="N1095" s="18" t="s">
        <v>1112</v>
      </c>
      <c r="O1095" s="18" t="s">
        <v>1131</v>
      </c>
      <c r="P1095" s="18" t="s">
        <v>1132</v>
      </c>
      <c r="Q1095" s="18" t="s">
        <v>1178</v>
      </c>
      <c r="R1095" s="18" t="s">
        <v>1131</v>
      </c>
      <c r="S1095" s="18">
        <v>96.3</v>
      </c>
      <c r="T1095" s="18">
        <v>16761.02</v>
      </c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18"/>
      <c r="AF1095" s="18"/>
      <c r="AG1095" s="18"/>
      <c r="AH1095" s="18"/>
      <c r="AI1095" s="18"/>
      <c r="AJ1095" s="18"/>
      <c r="AK1095" s="18"/>
      <c r="AL1095" s="18"/>
      <c r="AM1095" s="18"/>
    </row>
    <row r="1096" spans="6:39" x14ac:dyDescent="0.35">
      <c r="F1096" s="18" t="s">
        <v>1172</v>
      </c>
      <c r="G1096" s="19">
        <v>46212</v>
      </c>
      <c r="H1096" s="18" t="s">
        <v>5623</v>
      </c>
      <c r="I1096" s="18" t="s">
        <v>1110</v>
      </c>
      <c r="J1096" s="18">
        <v>354</v>
      </c>
      <c r="K1096" s="18" t="s">
        <v>1121</v>
      </c>
      <c r="L1096" s="18" t="s">
        <v>5973</v>
      </c>
      <c r="M1096" s="19">
        <v>46212</v>
      </c>
      <c r="N1096" s="18" t="s">
        <v>1122</v>
      </c>
      <c r="O1096" s="18" t="s">
        <v>1123</v>
      </c>
      <c r="P1096" s="18" t="s">
        <v>1175</v>
      </c>
      <c r="Q1096" s="18" t="s">
        <v>1176</v>
      </c>
      <c r="R1096" s="18" t="s">
        <v>1177</v>
      </c>
      <c r="S1096" s="18">
        <v>120.5</v>
      </c>
      <c r="T1096" s="18">
        <v>5784</v>
      </c>
      <c r="U1096" s="18"/>
      <c r="V1096" s="18"/>
      <c r="W1096" s="18"/>
      <c r="X1096" s="18"/>
      <c r="Y1096" s="18"/>
      <c r="Z1096" s="18"/>
      <c r="AA1096" s="18"/>
      <c r="AB1096" s="18"/>
      <c r="AC1096" s="18"/>
      <c r="AD1096" s="18"/>
      <c r="AE1096" s="18"/>
      <c r="AF1096" s="18"/>
      <c r="AG1096" s="18"/>
      <c r="AH1096" s="18"/>
      <c r="AI1096" s="18"/>
      <c r="AJ1096" s="18"/>
      <c r="AK1096" s="18"/>
      <c r="AL1096" s="18"/>
      <c r="AM1096" s="18"/>
    </row>
    <row r="1097" spans="6:39" x14ac:dyDescent="0.35">
      <c r="F1097" s="18" t="s">
        <v>1172</v>
      </c>
      <c r="G1097" s="19">
        <v>46212</v>
      </c>
      <c r="H1097" s="18" t="s">
        <v>485</v>
      </c>
      <c r="I1097" s="18" t="s">
        <v>1110</v>
      </c>
      <c r="J1097" s="18">
        <v>351</v>
      </c>
      <c r="K1097" s="18" t="s">
        <v>1121</v>
      </c>
      <c r="L1097" s="18" t="s">
        <v>5974</v>
      </c>
      <c r="M1097" s="19">
        <v>46212</v>
      </c>
      <c r="N1097" s="18" t="s">
        <v>1146</v>
      </c>
      <c r="O1097" s="18" t="s">
        <v>1179</v>
      </c>
      <c r="P1097" s="18" t="s">
        <v>1179</v>
      </c>
      <c r="Q1097" s="18" t="s">
        <v>4075</v>
      </c>
      <c r="R1097" s="18" t="s">
        <v>1179</v>
      </c>
      <c r="S1097" s="18">
        <v>31.4</v>
      </c>
      <c r="T1097" s="18">
        <v>9400</v>
      </c>
      <c r="U1097" s="18"/>
      <c r="V1097" s="18"/>
      <c r="W1097" s="18"/>
      <c r="X1097" s="18"/>
      <c r="Y1097" s="18"/>
      <c r="Z1097" s="18"/>
      <c r="AA1097" s="18"/>
      <c r="AB1097" s="18"/>
      <c r="AC1097" s="18"/>
      <c r="AD1097" s="18"/>
      <c r="AE1097" s="18"/>
      <c r="AF1097" s="18"/>
      <c r="AG1097" s="18"/>
      <c r="AH1097" s="18"/>
      <c r="AI1097" s="18"/>
      <c r="AJ1097" s="18"/>
      <c r="AK1097" s="18"/>
      <c r="AL1097" s="18"/>
      <c r="AM1097" s="18"/>
    </row>
    <row r="1098" spans="6:39" x14ac:dyDescent="0.35">
      <c r="F1098" s="18" t="s">
        <v>1172</v>
      </c>
      <c r="G1098" s="19">
        <v>46212</v>
      </c>
      <c r="H1098" s="18" t="s">
        <v>485</v>
      </c>
      <c r="I1098" s="18" t="s">
        <v>1110</v>
      </c>
      <c r="J1098" s="18">
        <v>352</v>
      </c>
      <c r="K1098" s="18" t="s">
        <v>1121</v>
      </c>
      <c r="L1098" s="18" t="s">
        <v>5975</v>
      </c>
      <c r="M1098" s="19">
        <v>46212</v>
      </c>
      <c r="N1098" s="18" t="s">
        <v>4996</v>
      </c>
      <c r="O1098" s="18" t="s">
        <v>4998</v>
      </c>
      <c r="P1098" s="18" t="s">
        <v>5976</v>
      </c>
      <c r="Q1098" s="18" t="s">
        <v>5977</v>
      </c>
      <c r="R1098" s="18" t="s">
        <v>5978</v>
      </c>
      <c r="S1098" s="18">
        <v>5</v>
      </c>
      <c r="T1098" s="18">
        <v>2610</v>
      </c>
      <c r="U1098" s="18"/>
      <c r="V1098" s="18"/>
      <c r="W1098" s="18"/>
      <c r="X1098" s="18"/>
      <c r="Y1098" s="18"/>
      <c r="Z1098" s="18"/>
      <c r="AA1098" s="18"/>
      <c r="AB1098" s="18"/>
      <c r="AC1098" s="18"/>
      <c r="AD1098" s="18"/>
      <c r="AE1098" s="18"/>
      <c r="AF1098" s="18"/>
      <c r="AG1098" s="18"/>
      <c r="AH1098" s="18"/>
      <c r="AI1098" s="18"/>
      <c r="AJ1098" s="18"/>
      <c r="AK1098" s="18"/>
      <c r="AL1098" s="18"/>
      <c r="AM1098" s="18"/>
    </row>
    <row r="1099" spans="6:39" x14ac:dyDescent="0.35">
      <c r="F1099" s="18" t="s">
        <v>1172</v>
      </c>
      <c r="G1099" s="19">
        <v>46212</v>
      </c>
      <c r="H1099" s="18" t="s">
        <v>485</v>
      </c>
      <c r="I1099" s="18" t="s">
        <v>1110</v>
      </c>
      <c r="J1099" s="18">
        <v>352</v>
      </c>
      <c r="K1099" s="18" t="s">
        <v>1121</v>
      </c>
      <c r="L1099" s="18" t="s">
        <v>5975</v>
      </c>
      <c r="M1099" s="19">
        <v>46212</v>
      </c>
      <c r="N1099" s="18" t="s">
        <v>4996</v>
      </c>
      <c r="O1099" s="18" t="s">
        <v>4997</v>
      </c>
      <c r="P1099" s="18" t="s">
        <v>5976</v>
      </c>
      <c r="Q1099" s="18" t="s">
        <v>5977</v>
      </c>
      <c r="R1099" s="18" t="s">
        <v>5979</v>
      </c>
      <c r="S1099" s="18">
        <v>2</v>
      </c>
      <c r="T1099" s="18">
        <v>1900</v>
      </c>
      <c r="U1099" s="18"/>
      <c r="V1099" s="18"/>
      <c r="W1099" s="18"/>
      <c r="X1099" s="18"/>
      <c r="Y1099" s="18"/>
      <c r="Z1099" s="18"/>
      <c r="AA1099" s="18"/>
      <c r="AB1099" s="18"/>
      <c r="AC1099" s="18"/>
      <c r="AD1099" s="18"/>
      <c r="AE1099" s="18"/>
      <c r="AF1099" s="18"/>
      <c r="AG1099" s="18"/>
      <c r="AH1099" s="18"/>
      <c r="AI1099" s="18"/>
      <c r="AJ1099" s="18"/>
      <c r="AK1099" s="18"/>
      <c r="AL1099" s="18"/>
      <c r="AM1099" s="18"/>
    </row>
    <row r="1100" spans="6:39" x14ac:dyDescent="0.35">
      <c r="F1100" s="18" t="s">
        <v>1172</v>
      </c>
      <c r="G1100" s="19">
        <v>46213</v>
      </c>
      <c r="H1100" s="18" t="s">
        <v>5980</v>
      </c>
      <c r="I1100" s="18" t="s">
        <v>1110</v>
      </c>
      <c r="J1100" s="18">
        <v>359</v>
      </c>
      <c r="K1100" s="18" t="s">
        <v>1165</v>
      </c>
      <c r="L1100" s="18" t="s">
        <v>5981</v>
      </c>
      <c r="M1100" s="19">
        <v>46213</v>
      </c>
      <c r="N1100" s="18" t="s">
        <v>5665</v>
      </c>
      <c r="O1100" s="18" t="s">
        <v>1166</v>
      </c>
      <c r="P1100" s="18" t="s">
        <v>5982</v>
      </c>
      <c r="Q1100" s="18" t="s">
        <v>4226</v>
      </c>
      <c r="R1100" s="18" t="s">
        <v>5951</v>
      </c>
      <c r="S1100" s="18">
        <v>3730</v>
      </c>
      <c r="T1100" s="18">
        <v>7460</v>
      </c>
      <c r="U1100" s="18"/>
      <c r="V1100" s="18"/>
      <c r="W1100" s="18"/>
      <c r="X1100" s="18"/>
      <c r="Y1100" s="18"/>
      <c r="Z1100" s="18"/>
      <c r="AA1100" s="18"/>
      <c r="AB1100" s="18"/>
      <c r="AC1100" s="18"/>
      <c r="AD1100" s="18"/>
      <c r="AE1100" s="18"/>
      <c r="AF1100" s="18"/>
      <c r="AG1100" s="18"/>
      <c r="AH1100" s="18"/>
      <c r="AI1100" s="18"/>
      <c r="AJ1100" s="18"/>
      <c r="AK1100" s="18"/>
      <c r="AL1100" s="18"/>
      <c r="AM1100" s="18"/>
    </row>
    <row r="1101" spans="6:39" x14ac:dyDescent="0.35">
      <c r="F1101" s="18" t="s">
        <v>1172</v>
      </c>
      <c r="G1101" s="19">
        <v>46213</v>
      </c>
      <c r="H1101" s="18" t="s">
        <v>485</v>
      </c>
      <c r="I1101" s="18" t="s">
        <v>1110</v>
      </c>
      <c r="J1101" s="18">
        <v>357</v>
      </c>
      <c r="K1101" s="18" t="s">
        <v>1111</v>
      </c>
      <c r="L1101" s="18" t="s">
        <v>5983</v>
      </c>
      <c r="M1101" s="19">
        <v>46213</v>
      </c>
      <c r="N1101" s="18" t="s">
        <v>1112</v>
      </c>
      <c r="O1101" s="18" t="s">
        <v>1131</v>
      </c>
      <c r="P1101" s="18" t="s">
        <v>1132</v>
      </c>
      <c r="Q1101" s="18" t="s">
        <v>1178</v>
      </c>
      <c r="R1101" s="18" t="s">
        <v>1210</v>
      </c>
      <c r="S1101" s="18">
        <v>879.8</v>
      </c>
      <c r="T1101" s="18">
        <v>111382.68</v>
      </c>
      <c r="U1101" s="18"/>
      <c r="V1101" s="18"/>
      <c r="W1101" s="18"/>
      <c r="X1101" s="18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/>
      <c r="AI1101" s="18"/>
      <c r="AJ1101" s="18"/>
      <c r="AK1101" s="18"/>
      <c r="AL1101" s="18"/>
      <c r="AM1101" s="18"/>
    </row>
    <row r="1102" spans="6:39" x14ac:dyDescent="0.35">
      <c r="F1102" s="18" t="s">
        <v>1172</v>
      </c>
      <c r="G1102" s="19">
        <v>46213</v>
      </c>
      <c r="H1102" s="18" t="s">
        <v>485</v>
      </c>
      <c r="I1102" s="18" t="s">
        <v>1110</v>
      </c>
      <c r="J1102" s="18">
        <v>357</v>
      </c>
      <c r="K1102" s="18" t="s">
        <v>1111</v>
      </c>
      <c r="L1102" s="18" t="s">
        <v>5983</v>
      </c>
      <c r="M1102" s="19">
        <v>46213</v>
      </c>
      <c r="N1102" s="18" t="s">
        <v>1112</v>
      </c>
      <c r="O1102" s="18" t="s">
        <v>1131</v>
      </c>
      <c r="P1102" s="18" t="s">
        <v>1132</v>
      </c>
      <c r="Q1102" s="18" t="s">
        <v>1178</v>
      </c>
      <c r="R1102" s="18" t="s">
        <v>1210</v>
      </c>
      <c r="S1102" s="18">
        <v>546.20000000000005</v>
      </c>
      <c r="T1102" s="18">
        <v>72426.12</v>
      </c>
      <c r="U1102" s="18"/>
      <c r="V1102" s="18"/>
      <c r="W1102" s="18"/>
      <c r="X1102" s="18"/>
      <c r="Y1102" s="18"/>
      <c r="Z1102" s="18"/>
      <c r="AA1102" s="18"/>
      <c r="AB1102" s="18"/>
      <c r="AC1102" s="18"/>
      <c r="AD1102" s="18"/>
      <c r="AE1102" s="18"/>
      <c r="AF1102" s="18"/>
      <c r="AG1102" s="18"/>
      <c r="AH1102" s="18"/>
      <c r="AI1102" s="18"/>
      <c r="AJ1102" s="18"/>
      <c r="AK1102" s="18"/>
      <c r="AL1102" s="18"/>
      <c r="AM1102" s="18"/>
    </row>
    <row r="1103" spans="6:39" x14ac:dyDescent="0.35">
      <c r="F1103" s="18" t="s">
        <v>1172</v>
      </c>
      <c r="G1103" s="19">
        <v>46213</v>
      </c>
      <c r="H1103" s="18" t="s">
        <v>485</v>
      </c>
      <c r="I1103" s="18" t="s">
        <v>1110</v>
      </c>
      <c r="J1103" s="18">
        <v>357</v>
      </c>
      <c r="K1103" s="18" t="s">
        <v>1111</v>
      </c>
      <c r="L1103" s="18" t="s">
        <v>5983</v>
      </c>
      <c r="M1103" s="19">
        <v>46213</v>
      </c>
      <c r="N1103" s="18" t="s">
        <v>1112</v>
      </c>
      <c r="O1103" s="18" t="s">
        <v>1131</v>
      </c>
      <c r="P1103" s="18" t="s">
        <v>1132</v>
      </c>
      <c r="Q1103" s="18" t="s">
        <v>1178</v>
      </c>
      <c r="R1103" s="18" t="s">
        <v>1210</v>
      </c>
      <c r="S1103" s="18">
        <v>300.60000000000002</v>
      </c>
      <c r="T1103" s="18">
        <v>38055.96</v>
      </c>
      <c r="U1103" s="18"/>
      <c r="V1103" s="18"/>
      <c r="W1103" s="18"/>
      <c r="X1103" s="18"/>
      <c r="Y1103" s="18"/>
      <c r="Z1103" s="18"/>
      <c r="AA1103" s="18"/>
      <c r="AB1103" s="18"/>
      <c r="AC1103" s="18"/>
      <c r="AD1103" s="18"/>
      <c r="AE1103" s="18"/>
      <c r="AF1103" s="18"/>
      <c r="AG1103" s="18"/>
      <c r="AH1103" s="18"/>
      <c r="AI1103" s="18"/>
      <c r="AJ1103" s="18"/>
      <c r="AK1103" s="18"/>
      <c r="AL1103" s="18"/>
      <c r="AM1103" s="18"/>
    </row>
    <row r="1104" spans="6:39" x14ac:dyDescent="0.35">
      <c r="F1104" s="18" t="s">
        <v>1172</v>
      </c>
      <c r="G1104" s="19">
        <v>46213</v>
      </c>
      <c r="H1104" s="18" t="s">
        <v>485</v>
      </c>
      <c r="I1104" s="18" t="s">
        <v>1110</v>
      </c>
      <c r="J1104" s="18">
        <v>357</v>
      </c>
      <c r="K1104" s="18" t="s">
        <v>1111</v>
      </c>
      <c r="L1104" s="18" t="s">
        <v>5983</v>
      </c>
      <c r="M1104" s="19">
        <v>46213</v>
      </c>
      <c r="N1104" s="18" t="s">
        <v>1112</v>
      </c>
      <c r="O1104" s="18" t="s">
        <v>1117</v>
      </c>
      <c r="P1104" s="18" t="s">
        <v>1118</v>
      </c>
      <c r="Q1104" s="18" t="s">
        <v>1174</v>
      </c>
      <c r="R1104" s="18" t="s">
        <v>1120</v>
      </c>
      <c r="S1104" s="18">
        <v>3968</v>
      </c>
      <c r="T1104" s="18">
        <v>422988.79999999999</v>
      </c>
      <c r="U1104" s="18"/>
      <c r="V1104" s="18"/>
      <c r="W1104" s="18"/>
      <c r="X1104" s="18"/>
      <c r="Y1104" s="18"/>
      <c r="Z1104" s="18"/>
      <c r="AA1104" s="18"/>
      <c r="AB1104" s="18"/>
      <c r="AC1104" s="18"/>
      <c r="AD1104" s="18"/>
      <c r="AE1104" s="18"/>
      <c r="AF1104" s="18"/>
      <c r="AG1104" s="18"/>
      <c r="AH1104" s="18"/>
      <c r="AI1104" s="18"/>
      <c r="AJ1104" s="18"/>
      <c r="AK1104" s="18"/>
      <c r="AL1104" s="18"/>
      <c r="AM1104" s="18"/>
    </row>
    <row r="1105" spans="6:39" x14ac:dyDescent="0.35">
      <c r="F1105" s="18" t="s">
        <v>1172</v>
      </c>
      <c r="G1105" s="19">
        <v>46213</v>
      </c>
      <c r="H1105" s="18" t="s">
        <v>485</v>
      </c>
      <c r="I1105" s="18" t="s">
        <v>1110</v>
      </c>
      <c r="J1105" s="18">
        <v>357</v>
      </c>
      <c r="K1105" s="18" t="s">
        <v>1111</v>
      </c>
      <c r="L1105" s="18" t="s">
        <v>5983</v>
      </c>
      <c r="M1105" s="19">
        <v>46213</v>
      </c>
      <c r="N1105" s="18" t="s">
        <v>1133</v>
      </c>
      <c r="O1105" s="18" t="s">
        <v>1134</v>
      </c>
      <c r="P1105" s="18" t="s">
        <v>1156</v>
      </c>
      <c r="Q1105" s="18" t="s">
        <v>1157</v>
      </c>
      <c r="R1105" s="18" t="s">
        <v>4918</v>
      </c>
      <c r="S1105" s="18">
        <v>2100</v>
      </c>
      <c r="T1105" s="18">
        <v>504000</v>
      </c>
      <c r="U1105" s="18"/>
      <c r="V1105" s="18"/>
      <c r="W1105" s="18"/>
      <c r="X1105" s="18"/>
      <c r="Y1105" s="18"/>
      <c r="Z1105" s="18"/>
      <c r="AA1105" s="18"/>
      <c r="AB1105" s="18"/>
      <c r="AC1105" s="18"/>
      <c r="AD1105" s="18"/>
      <c r="AE1105" s="18"/>
      <c r="AF1105" s="18"/>
      <c r="AG1105" s="18"/>
      <c r="AH1105" s="18"/>
      <c r="AI1105" s="18"/>
      <c r="AJ1105" s="18"/>
      <c r="AK1105" s="18"/>
      <c r="AL1105" s="18"/>
      <c r="AM1105" s="18"/>
    </row>
    <row r="1106" spans="6:39" x14ac:dyDescent="0.35">
      <c r="F1106" s="18" t="s">
        <v>1172</v>
      </c>
      <c r="G1106" s="19">
        <v>46213</v>
      </c>
      <c r="H1106" s="18" t="s">
        <v>485</v>
      </c>
      <c r="I1106" s="18" t="s">
        <v>1110</v>
      </c>
      <c r="J1106" s="18">
        <v>358</v>
      </c>
      <c r="K1106" s="18" t="s">
        <v>1121</v>
      </c>
      <c r="L1106" s="18" t="s">
        <v>5984</v>
      </c>
      <c r="M1106" s="19">
        <v>46213</v>
      </c>
      <c r="N1106" s="18" t="s">
        <v>1122</v>
      </c>
      <c r="O1106" s="18" t="s">
        <v>1123</v>
      </c>
      <c r="P1106" s="18" t="s">
        <v>1175</v>
      </c>
      <c r="Q1106" s="18" t="s">
        <v>1176</v>
      </c>
      <c r="R1106" s="18" t="s">
        <v>1177</v>
      </c>
      <c r="S1106" s="18">
        <v>115</v>
      </c>
      <c r="T1106" s="18">
        <v>5520</v>
      </c>
      <c r="U1106" s="18"/>
      <c r="V1106" s="18"/>
      <c r="W1106" s="18"/>
      <c r="X1106" s="18"/>
      <c r="Y1106" s="18"/>
      <c r="Z1106" s="18"/>
      <c r="AA1106" s="18"/>
      <c r="AB1106" s="18"/>
      <c r="AC1106" s="18"/>
      <c r="AD1106" s="18"/>
      <c r="AE1106" s="18"/>
      <c r="AF1106" s="18"/>
      <c r="AG1106" s="18"/>
      <c r="AH1106" s="18"/>
      <c r="AI1106" s="18"/>
      <c r="AJ1106" s="18"/>
      <c r="AK1106" s="18"/>
      <c r="AL1106" s="18"/>
      <c r="AM1106" s="18"/>
    </row>
    <row r="1107" spans="6:39" x14ac:dyDescent="0.35">
      <c r="F1107" s="18" t="s">
        <v>1172</v>
      </c>
      <c r="G1107" s="19">
        <v>46213</v>
      </c>
      <c r="H1107" s="18" t="s">
        <v>125</v>
      </c>
      <c r="I1107" s="18" t="s">
        <v>1110</v>
      </c>
      <c r="J1107" s="18">
        <v>356</v>
      </c>
      <c r="K1107" s="18" t="s">
        <v>1111</v>
      </c>
      <c r="L1107" s="18" t="s">
        <v>2219</v>
      </c>
      <c r="M1107" s="19">
        <v>46213</v>
      </c>
      <c r="N1107" s="18" t="s">
        <v>1146</v>
      </c>
      <c r="O1107" s="18" t="s">
        <v>1147</v>
      </c>
      <c r="P1107" s="18" t="s">
        <v>1147</v>
      </c>
      <c r="Q1107" s="18" t="s">
        <v>1173</v>
      </c>
      <c r="R1107" s="18" t="s">
        <v>1149</v>
      </c>
      <c r="S1107" s="18">
        <v>7549</v>
      </c>
      <c r="T1107" s="18">
        <v>1732872.95</v>
      </c>
      <c r="U1107" s="18"/>
      <c r="V1107" s="18"/>
      <c r="W1107" s="18"/>
      <c r="X1107" s="18"/>
      <c r="Y1107" s="18"/>
      <c r="Z1107" s="18"/>
      <c r="AA1107" s="18"/>
      <c r="AB1107" s="18"/>
      <c r="AC1107" s="18"/>
      <c r="AD1107" s="18"/>
      <c r="AE1107" s="18"/>
      <c r="AF1107" s="18"/>
      <c r="AG1107" s="18"/>
      <c r="AH1107" s="18"/>
      <c r="AI1107" s="18"/>
      <c r="AJ1107" s="18"/>
      <c r="AK1107" s="18"/>
      <c r="AL1107" s="18"/>
      <c r="AM1107" s="18"/>
    </row>
    <row r="1108" spans="6:39" x14ac:dyDescent="0.35">
      <c r="F1108" s="18" t="s">
        <v>1172</v>
      </c>
      <c r="G1108" s="19">
        <v>46214</v>
      </c>
      <c r="H1108" s="18" t="s">
        <v>5980</v>
      </c>
      <c r="I1108" s="18" t="s">
        <v>1110</v>
      </c>
      <c r="J1108" s="18">
        <v>360</v>
      </c>
      <c r="K1108" s="18" t="s">
        <v>1165</v>
      </c>
      <c r="L1108" s="18" t="s">
        <v>5985</v>
      </c>
      <c r="M1108" s="19">
        <v>46214</v>
      </c>
      <c r="N1108" s="18" t="s">
        <v>5665</v>
      </c>
      <c r="O1108" s="18" t="s">
        <v>1166</v>
      </c>
      <c r="P1108" s="18" t="s">
        <v>5982</v>
      </c>
      <c r="Q1108" s="18" t="s">
        <v>4226</v>
      </c>
      <c r="R1108" s="18" t="s">
        <v>5951</v>
      </c>
      <c r="S1108" s="18">
        <v>2890</v>
      </c>
      <c r="T1108" s="18">
        <v>5780</v>
      </c>
      <c r="U1108" s="18"/>
      <c r="V1108" s="18"/>
      <c r="W1108" s="18"/>
      <c r="X1108" s="18"/>
      <c r="Y1108" s="18"/>
      <c r="Z1108" s="18"/>
      <c r="AA1108" s="18"/>
      <c r="AB1108" s="18"/>
      <c r="AC1108" s="18"/>
      <c r="AD1108" s="18"/>
      <c r="AE1108" s="18"/>
      <c r="AF1108" s="18"/>
      <c r="AG1108" s="18"/>
      <c r="AH1108" s="18"/>
      <c r="AI1108" s="18"/>
      <c r="AJ1108" s="18"/>
      <c r="AK1108" s="18"/>
      <c r="AL1108" s="18"/>
      <c r="AM1108" s="18"/>
    </row>
    <row r="1109" spans="6:39" x14ac:dyDescent="0.35">
      <c r="F1109" s="18" t="s">
        <v>1172</v>
      </c>
      <c r="G1109" s="19">
        <v>46214</v>
      </c>
      <c r="H1109" s="18" t="s">
        <v>3790</v>
      </c>
      <c r="I1109" s="18" t="s">
        <v>1110</v>
      </c>
      <c r="J1109" s="18">
        <v>361</v>
      </c>
      <c r="K1109" s="18" t="s">
        <v>1111</v>
      </c>
      <c r="L1109" s="18" t="s">
        <v>5986</v>
      </c>
      <c r="M1109" s="19">
        <v>46214</v>
      </c>
      <c r="N1109" s="18" t="s">
        <v>1146</v>
      </c>
      <c r="O1109" s="18" t="s">
        <v>1147</v>
      </c>
      <c r="P1109" s="18" t="s">
        <v>1147</v>
      </c>
      <c r="Q1109" s="18" t="s">
        <v>1173</v>
      </c>
      <c r="R1109" s="18" t="s">
        <v>1149</v>
      </c>
      <c r="S1109" s="18">
        <v>3287</v>
      </c>
      <c r="T1109" s="18">
        <v>640077.51</v>
      </c>
      <c r="U1109" s="18"/>
      <c r="V1109" s="18"/>
      <c r="W1109" s="18"/>
      <c r="X1109" s="18"/>
      <c r="Y1109" s="18"/>
      <c r="Z1109" s="18"/>
      <c r="AA1109" s="18"/>
      <c r="AB1109" s="18"/>
      <c r="AC1109" s="18"/>
      <c r="AD1109" s="18"/>
      <c r="AE1109" s="18"/>
      <c r="AF1109" s="18"/>
      <c r="AG1109" s="18"/>
      <c r="AH1109" s="18"/>
      <c r="AI1109" s="18"/>
      <c r="AJ1109" s="18"/>
      <c r="AK1109" s="18"/>
      <c r="AL1109" s="18"/>
      <c r="AM1109" s="18"/>
    </row>
    <row r="1110" spans="6:39" x14ac:dyDescent="0.35">
      <c r="F1110" s="18" t="s">
        <v>1172</v>
      </c>
      <c r="G1110" s="19">
        <v>46214</v>
      </c>
      <c r="H1110" s="18" t="s">
        <v>485</v>
      </c>
      <c r="I1110" s="18" t="s">
        <v>1110</v>
      </c>
      <c r="J1110" s="18">
        <v>362</v>
      </c>
      <c r="K1110" s="18" t="s">
        <v>1111</v>
      </c>
      <c r="L1110" s="18" t="s">
        <v>5987</v>
      </c>
      <c r="M1110" s="19">
        <v>46214</v>
      </c>
      <c r="N1110" s="18" t="s">
        <v>1146</v>
      </c>
      <c r="O1110" s="18" t="s">
        <v>1147</v>
      </c>
      <c r="P1110" s="18" t="s">
        <v>1147</v>
      </c>
      <c r="Q1110" s="18" t="s">
        <v>1173</v>
      </c>
      <c r="R1110" s="18" t="s">
        <v>1149</v>
      </c>
      <c r="S1110" s="18">
        <v>20053</v>
      </c>
      <c r="T1110" s="18">
        <v>4044088.51</v>
      </c>
      <c r="U1110" s="18"/>
      <c r="V1110" s="18"/>
      <c r="W1110" s="18"/>
      <c r="X1110" s="18"/>
      <c r="Y1110" s="18"/>
      <c r="Z1110" s="18"/>
      <c r="AA1110" s="18"/>
      <c r="AB1110" s="18"/>
      <c r="AC1110" s="18"/>
      <c r="AD1110" s="18"/>
      <c r="AE1110" s="18"/>
      <c r="AF1110" s="18"/>
      <c r="AG1110" s="18"/>
      <c r="AH1110" s="18"/>
      <c r="AI1110" s="18"/>
      <c r="AJ1110" s="18"/>
      <c r="AK1110" s="18"/>
      <c r="AL1110" s="18"/>
      <c r="AM1110" s="18"/>
    </row>
    <row r="1111" spans="6:39" x14ac:dyDescent="0.35">
      <c r="F1111" s="18" t="s">
        <v>1172</v>
      </c>
      <c r="G1111" s="19">
        <v>46214</v>
      </c>
      <c r="H1111" s="18" t="s">
        <v>5988</v>
      </c>
      <c r="I1111" s="18" t="s">
        <v>1110</v>
      </c>
      <c r="J1111" s="18">
        <v>363</v>
      </c>
      <c r="K1111" s="18" t="s">
        <v>1165</v>
      </c>
      <c r="L1111" s="18" t="s">
        <v>2220</v>
      </c>
      <c r="M1111" s="19">
        <v>46214</v>
      </c>
      <c r="N1111" s="18" t="s">
        <v>5665</v>
      </c>
      <c r="O1111" s="18" t="s">
        <v>1166</v>
      </c>
      <c r="P1111" s="18" t="s">
        <v>1175</v>
      </c>
      <c r="Q1111" s="18" t="s">
        <v>5989</v>
      </c>
      <c r="R1111" s="18" t="s">
        <v>5754</v>
      </c>
      <c r="S1111" s="18">
        <v>970</v>
      </c>
      <c r="T1111" s="18">
        <v>4850</v>
      </c>
      <c r="U1111" s="18"/>
      <c r="V1111" s="18"/>
      <c r="W1111" s="18"/>
      <c r="X1111" s="18"/>
      <c r="Y1111" s="18"/>
      <c r="Z1111" s="18"/>
      <c r="AA1111" s="18"/>
      <c r="AB1111" s="18"/>
      <c r="AC1111" s="18"/>
      <c r="AD1111" s="18"/>
      <c r="AE1111" s="18"/>
      <c r="AF1111" s="18"/>
      <c r="AG1111" s="18"/>
      <c r="AH1111" s="18"/>
      <c r="AI1111" s="18"/>
      <c r="AJ1111" s="18"/>
      <c r="AK1111" s="18"/>
      <c r="AL1111" s="18"/>
      <c r="AM1111" s="18"/>
    </row>
    <row r="1112" spans="6:39" x14ac:dyDescent="0.35">
      <c r="F1112" s="18" t="s">
        <v>1172</v>
      </c>
      <c r="G1112" s="19">
        <v>46215</v>
      </c>
      <c r="H1112" s="18" t="s">
        <v>1159</v>
      </c>
      <c r="I1112" s="18" t="s">
        <v>1110</v>
      </c>
      <c r="J1112" s="18">
        <v>364</v>
      </c>
      <c r="K1112" s="18" t="s">
        <v>1121</v>
      </c>
      <c r="L1112" s="18" t="s">
        <v>5990</v>
      </c>
      <c r="M1112" s="19">
        <v>46215</v>
      </c>
      <c r="N1112" s="18" t="s">
        <v>3408</v>
      </c>
      <c r="O1112" s="18" t="s">
        <v>4742</v>
      </c>
      <c r="P1112" s="18" t="s">
        <v>1175</v>
      </c>
      <c r="Q1112" s="18" t="s">
        <v>1176</v>
      </c>
      <c r="R1112" s="18" t="s">
        <v>5991</v>
      </c>
      <c r="S1112" s="18">
        <v>100</v>
      </c>
      <c r="T1112" s="18">
        <v>1600</v>
      </c>
      <c r="U1112" s="18"/>
      <c r="V1112" s="18"/>
      <c r="W1112" s="18"/>
      <c r="X1112" s="18"/>
      <c r="Y1112" s="18"/>
      <c r="Z1112" s="18"/>
      <c r="AA1112" s="18"/>
      <c r="AB1112" s="18"/>
      <c r="AC1112" s="18"/>
      <c r="AD1112" s="18"/>
      <c r="AE1112" s="18"/>
      <c r="AF1112" s="18"/>
      <c r="AG1112" s="18"/>
      <c r="AH1112" s="18"/>
      <c r="AI1112" s="18"/>
      <c r="AJ1112" s="18"/>
      <c r="AK1112" s="18"/>
      <c r="AL1112" s="18"/>
      <c r="AM1112" s="18"/>
    </row>
    <row r="1113" spans="6:39" x14ac:dyDescent="0.35">
      <c r="F1113" s="18" t="s">
        <v>1172</v>
      </c>
      <c r="G1113" s="19">
        <v>46215</v>
      </c>
      <c r="H1113" s="18" t="s">
        <v>1159</v>
      </c>
      <c r="I1113" s="18" t="s">
        <v>1110</v>
      </c>
      <c r="J1113" s="18">
        <v>365</v>
      </c>
      <c r="K1113" s="18" t="s">
        <v>1121</v>
      </c>
      <c r="L1113" s="18" t="s">
        <v>5992</v>
      </c>
      <c r="M1113" s="19">
        <v>46215</v>
      </c>
      <c r="N1113" s="18" t="s">
        <v>3408</v>
      </c>
      <c r="O1113" s="18" t="s">
        <v>5713</v>
      </c>
      <c r="P1113" s="18" t="s">
        <v>5776</v>
      </c>
      <c r="Q1113" s="18" t="s">
        <v>5776</v>
      </c>
      <c r="R1113" s="18" t="s">
        <v>5777</v>
      </c>
      <c r="S1113" s="18">
        <v>170</v>
      </c>
      <c r="T1113" s="18">
        <v>18360</v>
      </c>
      <c r="U1113" s="18"/>
      <c r="V1113" s="18"/>
      <c r="W1113" s="18"/>
      <c r="X1113" s="18"/>
      <c r="Y1113" s="18"/>
      <c r="Z1113" s="18"/>
      <c r="AA1113" s="18"/>
      <c r="AB1113" s="18"/>
      <c r="AC1113" s="18"/>
      <c r="AD1113" s="18"/>
      <c r="AE1113" s="18"/>
      <c r="AF1113" s="18"/>
      <c r="AG1113" s="18"/>
      <c r="AH1113" s="18"/>
      <c r="AI1113" s="18"/>
      <c r="AJ1113" s="18"/>
      <c r="AK1113" s="18"/>
      <c r="AL1113" s="18"/>
      <c r="AM1113" s="18"/>
    </row>
    <row r="1114" spans="6:39" x14ac:dyDescent="0.35">
      <c r="F1114" s="18" t="s">
        <v>1172</v>
      </c>
      <c r="G1114" s="19">
        <v>46215</v>
      </c>
      <c r="H1114" s="18" t="s">
        <v>1159</v>
      </c>
      <c r="I1114" s="18" t="s">
        <v>1110</v>
      </c>
      <c r="J1114" s="18">
        <v>366</v>
      </c>
      <c r="K1114" s="18" t="s">
        <v>1111</v>
      </c>
      <c r="L1114" s="18" t="s">
        <v>5993</v>
      </c>
      <c r="M1114" s="19">
        <v>46215</v>
      </c>
      <c r="N1114" s="18" t="s">
        <v>1112</v>
      </c>
      <c r="O1114" s="18" t="s">
        <v>1131</v>
      </c>
      <c r="P1114" s="18" t="s">
        <v>1132</v>
      </c>
      <c r="Q1114" s="18" t="s">
        <v>1178</v>
      </c>
      <c r="R1114" s="18" t="s">
        <v>1131</v>
      </c>
      <c r="S1114" s="18">
        <v>105.5</v>
      </c>
      <c r="T1114" s="18">
        <v>11773.8</v>
      </c>
      <c r="U1114" s="18"/>
      <c r="V1114" s="18"/>
      <c r="W1114" s="18"/>
      <c r="X1114" s="18"/>
      <c r="Y1114" s="18"/>
      <c r="Z1114" s="18"/>
      <c r="AA1114" s="18"/>
      <c r="AB1114" s="18"/>
      <c r="AC1114" s="18"/>
      <c r="AD1114" s="18"/>
      <c r="AE1114" s="18"/>
      <c r="AF1114" s="18"/>
      <c r="AG1114" s="18"/>
      <c r="AH1114" s="18"/>
      <c r="AI1114" s="18"/>
      <c r="AJ1114" s="18"/>
      <c r="AK1114" s="18"/>
      <c r="AL1114" s="18"/>
      <c r="AM1114" s="18"/>
    </row>
    <row r="1115" spans="6:39" x14ac:dyDescent="0.35">
      <c r="F1115" s="18" t="s">
        <v>1172</v>
      </c>
      <c r="G1115" s="19">
        <v>46215</v>
      </c>
      <c r="H1115" s="18" t="s">
        <v>1159</v>
      </c>
      <c r="I1115" s="18" t="s">
        <v>1110</v>
      </c>
      <c r="J1115" s="18">
        <v>366</v>
      </c>
      <c r="K1115" s="18" t="s">
        <v>1111</v>
      </c>
      <c r="L1115" s="18" t="s">
        <v>5993</v>
      </c>
      <c r="M1115" s="19">
        <v>46215</v>
      </c>
      <c r="N1115" s="18" t="s">
        <v>1112</v>
      </c>
      <c r="O1115" s="18" t="s">
        <v>1131</v>
      </c>
      <c r="P1115" s="18" t="s">
        <v>1132</v>
      </c>
      <c r="Q1115" s="18" t="s">
        <v>1178</v>
      </c>
      <c r="R1115" s="18" t="s">
        <v>1762</v>
      </c>
      <c r="S1115" s="18">
        <v>106.4</v>
      </c>
      <c r="T1115" s="18">
        <v>13789.44</v>
      </c>
      <c r="U1115" s="18"/>
      <c r="V1115" s="18"/>
      <c r="W1115" s="18"/>
      <c r="X1115" s="18"/>
      <c r="Y1115" s="18"/>
      <c r="Z1115" s="18"/>
      <c r="AA1115" s="18"/>
      <c r="AB1115" s="18"/>
      <c r="AC1115" s="18"/>
      <c r="AD1115" s="18"/>
      <c r="AE1115" s="18"/>
      <c r="AF1115" s="18"/>
      <c r="AG1115" s="18"/>
      <c r="AH1115" s="18"/>
      <c r="AI1115" s="18"/>
      <c r="AJ1115" s="18"/>
      <c r="AK1115" s="18"/>
      <c r="AL1115" s="18"/>
      <c r="AM1115" s="18"/>
    </row>
    <row r="1116" spans="6:39" x14ac:dyDescent="0.35">
      <c r="F1116" s="18" t="s">
        <v>1172</v>
      </c>
      <c r="G1116" s="19">
        <v>46215</v>
      </c>
      <c r="H1116" s="18" t="s">
        <v>1159</v>
      </c>
      <c r="I1116" s="18" t="s">
        <v>1110</v>
      </c>
      <c r="J1116" s="18">
        <v>366</v>
      </c>
      <c r="K1116" s="18" t="s">
        <v>1111</v>
      </c>
      <c r="L1116" s="18" t="s">
        <v>5993</v>
      </c>
      <c r="M1116" s="19">
        <v>46215</v>
      </c>
      <c r="N1116" s="18" t="s">
        <v>1112</v>
      </c>
      <c r="O1116" s="18" t="s">
        <v>1113</v>
      </c>
      <c r="P1116" s="18" t="s">
        <v>1114</v>
      </c>
      <c r="Q1116" s="18" t="s">
        <v>1115</v>
      </c>
      <c r="R1116" s="18" t="s">
        <v>1144</v>
      </c>
      <c r="S1116" s="18">
        <v>130.80000000000001</v>
      </c>
      <c r="T1116" s="18">
        <v>16101.48</v>
      </c>
      <c r="U1116" s="18"/>
      <c r="V1116" s="18"/>
      <c r="W1116" s="18"/>
      <c r="X1116" s="18"/>
      <c r="Y1116" s="18"/>
      <c r="Z1116" s="18"/>
      <c r="AA1116" s="18"/>
      <c r="AB1116" s="18"/>
      <c r="AC1116" s="18"/>
      <c r="AD1116" s="18"/>
      <c r="AE1116" s="18"/>
      <c r="AF1116" s="18"/>
      <c r="AG1116" s="18"/>
      <c r="AH1116" s="18"/>
      <c r="AI1116" s="18"/>
      <c r="AJ1116" s="18"/>
      <c r="AK1116" s="18"/>
      <c r="AL1116" s="18"/>
      <c r="AM1116" s="18"/>
    </row>
    <row r="1117" spans="6:39" x14ac:dyDescent="0.35">
      <c r="F1117" s="18" t="s">
        <v>1172</v>
      </c>
      <c r="G1117" s="19">
        <v>46215</v>
      </c>
      <c r="H1117" s="18" t="s">
        <v>3790</v>
      </c>
      <c r="I1117" s="18" t="s">
        <v>1110</v>
      </c>
      <c r="J1117" s="18">
        <v>369</v>
      </c>
      <c r="K1117" s="18" t="s">
        <v>1111</v>
      </c>
      <c r="L1117" s="18" t="s">
        <v>2221</v>
      </c>
      <c r="M1117" s="19">
        <v>46215</v>
      </c>
      <c r="N1117" s="18" t="s">
        <v>1112</v>
      </c>
      <c r="O1117" s="18" t="s">
        <v>1117</v>
      </c>
      <c r="P1117" s="18" t="s">
        <v>1118</v>
      </c>
      <c r="Q1117" s="18" t="s">
        <v>1174</v>
      </c>
      <c r="R1117" s="18" t="s">
        <v>1120</v>
      </c>
      <c r="S1117" s="18">
        <v>914</v>
      </c>
      <c r="T1117" s="18">
        <v>102002.4</v>
      </c>
      <c r="U1117" s="18"/>
      <c r="V1117" s="18"/>
      <c r="W1117" s="18"/>
      <c r="X1117" s="18"/>
      <c r="Y1117" s="18"/>
      <c r="Z1117" s="18"/>
      <c r="AA1117" s="18"/>
      <c r="AB1117" s="18"/>
      <c r="AC1117" s="18"/>
      <c r="AD1117" s="18"/>
      <c r="AE1117" s="18"/>
      <c r="AF1117" s="18"/>
      <c r="AG1117" s="18"/>
      <c r="AH1117" s="18"/>
      <c r="AI1117" s="18"/>
      <c r="AJ1117" s="18"/>
      <c r="AK1117" s="18"/>
      <c r="AL1117" s="18"/>
      <c r="AM1117" s="18"/>
    </row>
    <row r="1118" spans="6:39" x14ac:dyDescent="0.35">
      <c r="F1118" s="18" t="s">
        <v>1172</v>
      </c>
      <c r="G1118" s="19">
        <v>46215</v>
      </c>
      <c r="H1118" s="18" t="s">
        <v>3790</v>
      </c>
      <c r="I1118" s="18" t="s">
        <v>1110</v>
      </c>
      <c r="J1118" s="18">
        <v>370</v>
      </c>
      <c r="K1118" s="18" t="s">
        <v>1121</v>
      </c>
      <c r="L1118" s="18" t="s">
        <v>5994</v>
      </c>
      <c r="M1118" s="19">
        <v>46215</v>
      </c>
      <c r="N1118" s="18" t="s">
        <v>1122</v>
      </c>
      <c r="O1118" s="18" t="s">
        <v>1123</v>
      </c>
      <c r="P1118" s="18" t="s">
        <v>1175</v>
      </c>
      <c r="Q1118" s="18" t="s">
        <v>1176</v>
      </c>
      <c r="R1118" s="18" t="s">
        <v>1177</v>
      </c>
      <c r="S1118" s="18">
        <v>19</v>
      </c>
      <c r="T1118" s="18">
        <v>912</v>
      </c>
      <c r="U1118" s="18"/>
      <c r="V1118" s="18"/>
      <c r="W1118" s="18"/>
      <c r="X1118" s="18"/>
      <c r="Y1118" s="18"/>
      <c r="Z1118" s="18"/>
      <c r="AA1118" s="18"/>
      <c r="AB1118" s="18"/>
      <c r="AC1118" s="18"/>
      <c r="AD1118" s="18"/>
      <c r="AE1118" s="18"/>
      <c r="AF1118" s="18"/>
      <c r="AG1118" s="18"/>
      <c r="AH1118" s="18"/>
      <c r="AI1118" s="18"/>
      <c r="AJ1118" s="18"/>
      <c r="AK1118" s="18"/>
      <c r="AL1118" s="18"/>
      <c r="AM1118" s="18"/>
    </row>
    <row r="1119" spans="6:39" x14ac:dyDescent="0.35">
      <c r="F1119" s="18" t="s">
        <v>1172</v>
      </c>
      <c r="G1119" s="19">
        <v>46215</v>
      </c>
      <c r="H1119" s="18" t="s">
        <v>1135</v>
      </c>
      <c r="I1119" s="18" t="s">
        <v>1136</v>
      </c>
      <c r="J1119" s="18" t="s">
        <v>5995</v>
      </c>
      <c r="K1119" s="18" t="s">
        <v>1137</v>
      </c>
      <c r="L1119" s="18" t="s">
        <v>5995</v>
      </c>
      <c r="M1119" s="19">
        <v>46215</v>
      </c>
      <c r="N1119" s="18" t="s">
        <v>1112</v>
      </c>
      <c r="O1119" s="18" t="s">
        <v>1117</v>
      </c>
      <c r="P1119" s="18" t="s">
        <v>1118</v>
      </c>
      <c r="Q1119" s="18" t="s">
        <v>3534</v>
      </c>
      <c r="R1119" s="18" t="s">
        <v>1120</v>
      </c>
      <c r="S1119" s="18">
        <v>1653</v>
      </c>
      <c r="T1119" s="18">
        <v>170011.05</v>
      </c>
      <c r="U1119" s="18"/>
      <c r="V1119" s="18"/>
      <c r="W1119" s="18"/>
      <c r="X1119" s="18"/>
      <c r="Y1119" s="18"/>
      <c r="Z1119" s="18"/>
      <c r="AA1119" s="18"/>
      <c r="AB1119" s="18"/>
      <c r="AC1119" s="18"/>
      <c r="AD1119" s="18"/>
      <c r="AE1119" s="18"/>
      <c r="AF1119" s="18"/>
      <c r="AG1119" s="18"/>
      <c r="AH1119" s="18"/>
      <c r="AI1119" s="18"/>
      <c r="AJ1119" s="18"/>
      <c r="AK1119" s="18"/>
      <c r="AL1119" s="18"/>
      <c r="AM1119" s="18"/>
    </row>
    <row r="1120" spans="6:39" x14ac:dyDescent="0.35">
      <c r="F1120" s="18" t="s">
        <v>1172</v>
      </c>
      <c r="G1120" s="19">
        <v>46215</v>
      </c>
      <c r="H1120" s="18" t="s">
        <v>125</v>
      </c>
      <c r="I1120" s="18" t="s">
        <v>1110</v>
      </c>
      <c r="J1120" s="18">
        <v>367</v>
      </c>
      <c r="K1120" s="18" t="s">
        <v>1111</v>
      </c>
      <c r="L1120" s="18" t="s">
        <v>5546</v>
      </c>
      <c r="M1120" s="19">
        <v>46215</v>
      </c>
      <c r="N1120" s="18" t="s">
        <v>1112</v>
      </c>
      <c r="O1120" s="18" t="s">
        <v>1117</v>
      </c>
      <c r="P1120" s="18" t="s">
        <v>1118</v>
      </c>
      <c r="Q1120" s="18" t="s">
        <v>1174</v>
      </c>
      <c r="R1120" s="18" t="s">
        <v>1120</v>
      </c>
      <c r="S1120" s="18">
        <v>1640</v>
      </c>
      <c r="T1120" s="18">
        <v>200080</v>
      </c>
      <c r="U1120" s="18"/>
      <c r="V1120" s="18"/>
      <c r="W1120" s="18"/>
      <c r="X1120" s="18"/>
      <c r="Y1120" s="18"/>
      <c r="Z1120" s="18"/>
      <c r="AA1120" s="18"/>
      <c r="AB1120" s="18"/>
      <c r="AC1120" s="18"/>
      <c r="AD1120" s="18"/>
      <c r="AE1120" s="18"/>
      <c r="AF1120" s="18"/>
      <c r="AG1120" s="18"/>
      <c r="AH1120" s="18"/>
      <c r="AI1120" s="18"/>
      <c r="AJ1120" s="18"/>
      <c r="AK1120" s="18"/>
      <c r="AL1120" s="18"/>
      <c r="AM1120" s="18"/>
    </row>
    <row r="1121" spans="6:39" x14ac:dyDescent="0.35">
      <c r="F1121" s="18" t="s">
        <v>1172</v>
      </c>
      <c r="G1121" s="19">
        <v>46215</v>
      </c>
      <c r="H1121" s="18" t="s">
        <v>125</v>
      </c>
      <c r="I1121" s="18" t="s">
        <v>1110</v>
      </c>
      <c r="J1121" s="18">
        <v>368</v>
      </c>
      <c r="K1121" s="18" t="s">
        <v>1121</v>
      </c>
      <c r="L1121" s="18" t="s">
        <v>5547</v>
      </c>
      <c r="M1121" s="19">
        <v>46215</v>
      </c>
      <c r="N1121" s="18" t="s">
        <v>1122</v>
      </c>
      <c r="O1121" s="18" t="s">
        <v>1123</v>
      </c>
      <c r="P1121" s="18" t="s">
        <v>1175</v>
      </c>
      <c r="Q1121" s="18" t="s">
        <v>1176</v>
      </c>
      <c r="R1121" s="18" t="s">
        <v>1177</v>
      </c>
      <c r="S1121" s="18">
        <v>44</v>
      </c>
      <c r="T1121" s="18">
        <v>2112</v>
      </c>
      <c r="U1121" s="18"/>
      <c r="V1121" s="18"/>
      <c r="W1121" s="18"/>
      <c r="X1121" s="18"/>
      <c r="Y1121" s="18"/>
      <c r="Z1121" s="18"/>
      <c r="AA1121" s="18"/>
      <c r="AB1121" s="18"/>
      <c r="AC1121" s="18"/>
      <c r="AD1121" s="18"/>
      <c r="AE1121" s="18"/>
      <c r="AF1121" s="18"/>
      <c r="AG1121" s="18"/>
      <c r="AH1121" s="18"/>
      <c r="AI1121" s="18"/>
      <c r="AJ1121" s="18"/>
      <c r="AK1121" s="18"/>
      <c r="AL1121" s="18"/>
      <c r="AM1121" s="18"/>
    </row>
    <row r="1122" spans="6:39" x14ac:dyDescent="0.35">
      <c r="F1122" s="18" t="s">
        <v>1172</v>
      </c>
      <c r="G1122" s="19">
        <v>46216</v>
      </c>
      <c r="H1122" s="18" t="s">
        <v>1497</v>
      </c>
      <c r="I1122" s="18" t="s">
        <v>1136</v>
      </c>
      <c r="J1122" s="18" t="s">
        <v>5346</v>
      </c>
      <c r="K1122" s="18" t="s">
        <v>1137</v>
      </c>
      <c r="L1122" s="18" t="s">
        <v>5346</v>
      </c>
      <c r="M1122" s="19">
        <v>46216</v>
      </c>
      <c r="N1122" s="18" t="s">
        <v>1146</v>
      </c>
      <c r="O1122" s="18" t="s">
        <v>1147</v>
      </c>
      <c r="P1122" s="18" t="s">
        <v>1147</v>
      </c>
      <c r="Q1122" s="18" t="s">
        <v>1173</v>
      </c>
      <c r="R1122" s="18" t="s">
        <v>1169</v>
      </c>
      <c r="S1122" s="18">
        <v>3968.4</v>
      </c>
      <c r="T1122" s="18">
        <v>1203300</v>
      </c>
      <c r="U1122" s="18"/>
      <c r="V1122" s="18"/>
      <c r="W1122" s="18"/>
      <c r="X1122" s="18"/>
      <c r="Y1122" s="18"/>
      <c r="Z1122" s="18"/>
      <c r="AA1122" s="18"/>
      <c r="AB1122" s="18"/>
      <c r="AC1122" s="18"/>
      <c r="AD1122" s="18"/>
      <c r="AE1122" s="18"/>
      <c r="AF1122" s="18"/>
      <c r="AG1122" s="18"/>
      <c r="AH1122" s="18"/>
      <c r="AI1122" s="18"/>
      <c r="AJ1122" s="18"/>
      <c r="AK1122" s="18"/>
      <c r="AL1122" s="18"/>
      <c r="AM1122" s="18"/>
    </row>
    <row r="1123" spans="6:39" x14ac:dyDescent="0.35">
      <c r="F1123" s="18" t="s">
        <v>1172</v>
      </c>
      <c r="G1123" s="19">
        <v>46216</v>
      </c>
      <c r="H1123" s="18" t="s">
        <v>1497</v>
      </c>
      <c r="I1123" s="18" t="s">
        <v>1136</v>
      </c>
      <c r="J1123" s="18" t="s">
        <v>5347</v>
      </c>
      <c r="K1123" s="18" t="s">
        <v>1137</v>
      </c>
      <c r="L1123" s="18" t="s">
        <v>5347</v>
      </c>
      <c r="M1123" s="19">
        <v>46216</v>
      </c>
      <c r="N1123" s="18" t="s">
        <v>1146</v>
      </c>
      <c r="O1123" s="18" t="s">
        <v>1147</v>
      </c>
      <c r="P1123" s="18" t="s">
        <v>1147</v>
      </c>
      <c r="Q1123" s="18" t="s">
        <v>1173</v>
      </c>
      <c r="R1123" s="18" t="s">
        <v>1169</v>
      </c>
      <c r="S1123" s="18">
        <v>3582.9</v>
      </c>
      <c r="T1123" s="18">
        <v>1090992</v>
      </c>
      <c r="U1123" s="18"/>
      <c r="V1123" s="18"/>
      <c r="W1123" s="18"/>
      <c r="X1123" s="18"/>
      <c r="Y1123" s="18"/>
      <c r="Z1123" s="18"/>
      <c r="AA1123" s="18"/>
      <c r="AB1123" s="18"/>
      <c r="AC1123" s="18"/>
      <c r="AD1123" s="18"/>
      <c r="AE1123" s="18"/>
      <c r="AF1123" s="18"/>
      <c r="AG1123" s="18"/>
      <c r="AH1123" s="18"/>
      <c r="AI1123" s="18"/>
      <c r="AJ1123" s="18"/>
      <c r="AK1123" s="18"/>
      <c r="AL1123" s="18"/>
      <c r="AM1123" s="18"/>
    </row>
    <row r="1124" spans="6:39" x14ac:dyDescent="0.35">
      <c r="F1124" s="18" t="s">
        <v>1172</v>
      </c>
      <c r="G1124" s="19">
        <v>46216</v>
      </c>
      <c r="H1124" s="18" t="s">
        <v>1135</v>
      </c>
      <c r="I1124" s="18" t="s">
        <v>1136</v>
      </c>
      <c r="J1124" s="18" t="s">
        <v>5996</v>
      </c>
      <c r="K1124" s="18" t="s">
        <v>1137</v>
      </c>
      <c r="L1124" s="18" t="s">
        <v>5996</v>
      </c>
      <c r="M1124" s="19">
        <v>46216</v>
      </c>
      <c r="N1124" s="18" t="s">
        <v>1146</v>
      </c>
      <c r="O1124" s="18" t="s">
        <v>1147</v>
      </c>
      <c r="P1124" s="18" t="s">
        <v>1147</v>
      </c>
      <c r="Q1124" s="18" t="s">
        <v>1173</v>
      </c>
      <c r="R1124" s="18" t="s">
        <v>1169</v>
      </c>
      <c r="S1124" s="18">
        <v>817</v>
      </c>
      <c r="T1124" s="18">
        <v>193833.25</v>
      </c>
      <c r="U1124" s="18"/>
      <c r="V1124" s="18"/>
      <c r="W1124" s="18"/>
      <c r="X1124" s="18"/>
      <c r="Y1124" s="18"/>
      <c r="Z1124" s="18"/>
      <c r="AA1124" s="18"/>
      <c r="AB1124" s="18"/>
      <c r="AC1124" s="18"/>
      <c r="AD1124" s="18"/>
      <c r="AE1124" s="18"/>
      <c r="AF1124" s="18"/>
      <c r="AG1124" s="18"/>
      <c r="AH1124" s="18"/>
      <c r="AI1124" s="18"/>
      <c r="AJ1124" s="18"/>
      <c r="AK1124" s="18"/>
      <c r="AL1124" s="18"/>
      <c r="AM1124" s="18"/>
    </row>
    <row r="1125" spans="6:39" x14ac:dyDescent="0.35">
      <c r="F1125" s="18" t="s">
        <v>1172</v>
      </c>
      <c r="G1125" s="19">
        <v>46216</v>
      </c>
      <c r="H1125" s="18" t="s">
        <v>1135</v>
      </c>
      <c r="I1125" s="18" t="s">
        <v>1136</v>
      </c>
      <c r="J1125" s="18" t="s">
        <v>5996</v>
      </c>
      <c r="K1125" s="18" t="s">
        <v>1137</v>
      </c>
      <c r="L1125" s="18" t="s">
        <v>5996</v>
      </c>
      <c r="M1125" s="19">
        <v>46216</v>
      </c>
      <c r="N1125" s="18" t="s">
        <v>1146</v>
      </c>
      <c r="O1125" s="18" t="s">
        <v>1147</v>
      </c>
      <c r="P1125" s="18" t="s">
        <v>1147</v>
      </c>
      <c r="Q1125" s="18" t="s">
        <v>1173</v>
      </c>
      <c r="R1125" s="18" t="s">
        <v>1149</v>
      </c>
      <c r="S1125" s="18">
        <v>6914</v>
      </c>
      <c r="T1125" s="18">
        <v>1640346.5</v>
      </c>
      <c r="U1125" s="18"/>
      <c r="V1125" s="18"/>
      <c r="W1125" s="18"/>
      <c r="X1125" s="18"/>
      <c r="Y1125" s="18"/>
      <c r="Z1125" s="18"/>
      <c r="AA1125" s="18"/>
      <c r="AB1125" s="18"/>
      <c r="AC1125" s="18"/>
      <c r="AD1125" s="18"/>
      <c r="AE1125" s="18"/>
      <c r="AF1125" s="18"/>
      <c r="AG1125" s="18"/>
      <c r="AH1125" s="18"/>
      <c r="AI1125" s="18"/>
      <c r="AJ1125" s="18"/>
      <c r="AK1125" s="18"/>
      <c r="AL1125" s="18"/>
      <c r="AM1125" s="18"/>
    </row>
    <row r="1126" spans="6:39" x14ac:dyDescent="0.35">
      <c r="F1126" s="18" t="s">
        <v>1172</v>
      </c>
      <c r="G1126" s="19">
        <v>46216</v>
      </c>
      <c r="H1126" s="18" t="s">
        <v>1135</v>
      </c>
      <c r="I1126" s="18" t="s">
        <v>1136</v>
      </c>
      <c r="J1126" s="18" t="s">
        <v>5997</v>
      </c>
      <c r="K1126" s="18" t="s">
        <v>1137</v>
      </c>
      <c r="L1126" s="18" t="s">
        <v>5997</v>
      </c>
      <c r="M1126" s="19">
        <v>46216</v>
      </c>
      <c r="N1126" s="18" t="s">
        <v>1146</v>
      </c>
      <c r="O1126" s="18" t="s">
        <v>1147</v>
      </c>
      <c r="P1126" s="18" t="s">
        <v>1147</v>
      </c>
      <c r="Q1126" s="18" t="s">
        <v>1173</v>
      </c>
      <c r="R1126" s="18" t="s">
        <v>1169</v>
      </c>
      <c r="S1126" s="18">
        <v>2039</v>
      </c>
      <c r="T1126" s="18">
        <v>483752.75</v>
      </c>
      <c r="U1126" s="18"/>
      <c r="V1126" s="18"/>
      <c r="W1126" s="18"/>
      <c r="X1126" s="18"/>
      <c r="Y1126" s="18"/>
      <c r="Z1126" s="18"/>
      <c r="AA1126" s="18"/>
      <c r="AB1126" s="18"/>
      <c r="AC1126" s="18"/>
      <c r="AD1126" s="18"/>
      <c r="AE1126" s="18"/>
      <c r="AF1126" s="18"/>
      <c r="AG1126" s="18"/>
      <c r="AH1126" s="18"/>
      <c r="AI1126" s="18"/>
      <c r="AJ1126" s="18"/>
      <c r="AK1126" s="18"/>
      <c r="AL1126" s="18"/>
      <c r="AM1126" s="18"/>
    </row>
    <row r="1127" spans="6:39" x14ac:dyDescent="0.35">
      <c r="F1127" s="18" t="s">
        <v>1172</v>
      </c>
      <c r="G1127" s="19">
        <v>46217</v>
      </c>
      <c r="H1127" s="18" t="s">
        <v>1159</v>
      </c>
      <c r="I1127" s="18" t="s">
        <v>1110</v>
      </c>
      <c r="J1127" s="18">
        <v>376</v>
      </c>
      <c r="K1127" s="18" t="s">
        <v>1121</v>
      </c>
      <c r="L1127" s="18" t="s">
        <v>2061</v>
      </c>
      <c r="M1127" s="19">
        <v>46217</v>
      </c>
      <c r="N1127" s="18" t="s">
        <v>1133</v>
      </c>
      <c r="O1127" s="18" t="s">
        <v>1134</v>
      </c>
      <c r="P1127" s="18" t="s">
        <v>1141</v>
      </c>
      <c r="Q1127" s="18" t="s">
        <v>5958</v>
      </c>
      <c r="R1127" s="18" t="s">
        <v>5695</v>
      </c>
      <c r="S1127" s="18">
        <v>1000</v>
      </c>
      <c r="T1127" s="18">
        <v>136631</v>
      </c>
      <c r="U1127" s="18"/>
      <c r="V1127" s="18"/>
      <c r="W1127" s="18"/>
      <c r="X1127" s="18"/>
      <c r="Y1127" s="18"/>
      <c r="Z1127" s="18"/>
      <c r="AA1127" s="18"/>
      <c r="AB1127" s="18"/>
      <c r="AC1127" s="18"/>
      <c r="AD1127" s="18"/>
      <c r="AE1127" s="18"/>
      <c r="AF1127" s="18"/>
      <c r="AG1127" s="18"/>
      <c r="AH1127" s="18"/>
      <c r="AI1127" s="18"/>
      <c r="AJ1127" s="18"/>
      <c r="AK1127" s="18"/>
      <c r="AL1127" s="18"/>
      <c r="AM1127" s="18"/>
    </row>
    <row r="1128" spans="6:39" x14ac:dyDescent="0.35">
      <c r="F1128" s="18" t="s">
        <v>1172</v>
      </c>
      <c r="G1128" s="19">
        <v>46217</v>
      </c>
      <c r="H1128" s="18" t="s">
        <v>1159</v>
      </c>
      <c r="I1128" s="18" t="s">
        <v>1110</v>
      </c>
      <c r="J1128" s="18">
        <v>377</v>
      </c>
      <c r="K1128" s="18" t="s">
        <v>1121</v>
      </c>
      <c r="L1128" s="18" t="s">
        <v>5998</v>
      </c>
      <c r="M1128" s="19">
        <v>46217</v>
      </c>
      <c r="N1128" s="18" t="s">
        <v>1122</v>
      </c>
      <c r="O1128" s="18" t="s">
        <v>1123</v>
      </c>
      <c r="P1128" s="18" t="s">
        <v>1175</v>
      </c>
      <c r="Q1128" s="18" t="s">
        <v>1176</v>
      </c>
      <c r="R1128" s="18" t="s">
        <v>1177</v>
      </c>
      <c r="S1128" s="18">
        <v>360</v>
      </c>
      <c r="T1128" s="18">
        <v>17280</v>
      </c>
      <c r="U1128" s="18"/>
      <c r="V1128" s="18"/>
      <c r="W1128" s="18"/>
      <c r="X1128" s="18"/>
      <c r="Y1128" s="18"/>
      <c r="Z1128" s="18"/>
      <c r="AA1128" s="18"/>
      <c r="AB1128" s="18"/>
      <c r="AC1128" s="18"/>
      <c r="AD1128" s="18"/>
      <c r="AE1128" s="18"/>
      <c r="AF1128" s="18"/>
      <c r="AG1128" s="18"/>
      <c r="AH1128" s="18"/>
      <c r="AI1128" s="18"/>
      <c r="AJ1128" s="18"/>
      <c r="AK1128" s="18"/>
      <c r="AL1128" s="18"/>
      <c r="AM1128" s="18"/>
    </row>
    <row r="1129" spans="6:39" x14ac:dyDescent="0.35">
      <c r="F1129" s="18" t="s">
        <v>1172</v>
      </c>
      <c r="G1129" s="19">
        <v>46217</v>
      </c>
      <c r="H1129" s="18" t="s">
        <v>5623</v>
      </c>
      <c r="I1129" s="18" t="s">
        <v>1110</v>
      </c>
      <c r="J1129" s="18">
        <v>373</v>
      </c>
      <c r="K1129" s="18" t="s">
        <v>1111</v>
      </c>
      <c r="L1129" s="18" t="s">
        <v>2222</v>
      </c>
      <c r="M1129" s="19">
        <v>46217</v>
      </c>
      <c r="N1129" s="18" t="s">
        <v>1112</v>
      </c>
      <c r="O1129" s="18" t="s">
        <v>1117</v>
      </c>
      <c r="P1129" s="18" t="s">
        <v>1118</v>
      </c>
      <c r="Q1129" s="18" t="s">
        <v>1174</v>
      </c>
      <c r="R1129" s="18" t="s">
        <v>1120</v>
      </c>
      <c r="S1129" s="18">
        <v>1338</v>
      </c>
      <c r="T1129" s="18">
        <v>206132.28</v>
      </c>
      <c r="U1129" s="18"/>
      <c r="V1129" s="18"/>
      <c r="W1129" s="18"/>
      <c r="X1129" s="18"/>
      <c r="Y1129" s="18"/>
      <c r="Z1129" s="18"/>
      <c r="AA1129" s="18"/>
      <c r="AB1129" s="18"/>
      <c r="AC1129" s="18"/>
      <c r="AD1129" s="18"/>
      <c r="AE1129" s="18"/>
      <c r="AF1129" s="18"/>
      <c r="AG1129" s="18"/>
      <c r="AH1129" s="18"/>
      <c r="AI1129" s="18"/>
      <c r="AJ1129" s="18"/>
      <c r="AK1129" s="18"/>
      <c r="AL1129" s="18"/>
      <c r="AM1129" s="18"/>
    </row>
    <row r="1130" spans="6:39" x14ac:dyDescent="0.35">
      <c r="F1130" s="18" t="s">
        <v>1172</v>
      </c>
      <c r="G1130" s="19">
        <v>46217</v>
      </c>
      <c r="H1130" s="18" t="s">
        <v>5623</v>
      </c>
      <c r="I1130" s="18" t="s">
        <v>1110</v>
      </c>
      <c r="J1130" s="18">
        <v>373</v>
      </c>
      <c r="K1130" s="18" t="s">
        <v>1111</v>
      </c>
      <c r="L1130" s="18" t="s">
        <v>2222</v>
      </c>
      <c r="M1130" s="19">
        <v>46217</v>
      </c>
      <c r="N1130" s="18" t="s">
        <v>1112</v>
      </c>
      <c r="O1130" s="18" t="s">
        <v>1117</v>
      </c>
      <c r="P1130" s="18" t="s">
        <v>1138</v>
      </c>
      <c r="Q1130" s="18" t="s">
        <v>3534</v>
      </c>
      <c r="R1130" s="18" t="s">
        <v>1140</v>
      </c>
      <c r="S1130" s="18">
        <v>2777.1</v>
      </c>
      <c r="T1130" s="18">
        <v>600020.23</v>
      </c>
      <c r="U1130" s="18"/>
      <c r="V1130" s="18"/>
      <c r="W1130" s="18"/>
      <c r="X1130" s="18"/>
      <c r="Y1130" s="18"/>
      <c r="Z1130" s="18"/>
      <c r="AA1130" s="18"/>
      <c r="AB1130" s="18"/>
      <c r="AC1130" s="18"/>
      <c r="AD1130" s="18"/>
      <c r="AE1130" s="18"/>
      <c r="AF1130" s="18"/>
      <c r="AG1130" s="18"/>
      <c r="AH1130" s="18"/>
      <c r="AI1130" s="18"/>
      <c r="AJ1130" s="18"/>
      <c r="AK1130" s="18"/>
      <c r="AL1130" s="18"/>
      <c r="AM1130" s="18"/>
    </row>
    <row r="1131" spans="6:39" x14ac:dyDescent="0.35">
      <c r="F1131" s="18" t="s">
        <v>1172</v>
      </c>
      <c r="G1131" s="19">
        <v>46217</v>
      </c>
      <c r="H1131" s="18" t="s">
        <v>5623</v>
      </c>
      <c r="I1131" s="18" t="s">
        <v>1110</v>
      </c>
      <c r="J1131" s="18">
        <v>373</v>
      </c>
      <c r="K1131" s="18" t="s">
        <v>1111</v>
      </c>
      <c r="L1131" s="18" t="s">
        <v>2222</v>
      </c>
      <c r="M1131" s="19">
        <v>46217</v>
      </c>
      <c r="N1131" s="18" t="s">
        <v>1112</v>
      </c>
      <c r="O1131" s="18" t="s">
        <v>1131</v>
      </c>
      <c r="P1131" s="18" t="s">
        <v>1132</v>
      </c>
      <c r="Q1131" s="18" t="s">
        <v>1178</v>
      </c>
      <c r="R1131" s="18" t="s">
        <v>1131</v>
      </c>
      <c r="S1131" s="18">
        <v>1811.1</v>
      </c>
      <c r="T1131" s="18">
        <v>288073.57</v>
      </c>
      <c r="U1131" s="18"/>
      <c r="V1131" s="18"/>
      <c r="W1131" s="18"/>
      <c r="X1131" s="18"/>
      <c r="Y1131" s="18"/>
      <c r="Z1131" s="18"/>
      <c r="AA1131" s="18"/>
      <c r="AB1131" s="18"/>
      <c r="AC1131" s="18"/>
      <c r="AD1131" s="18"/>
      <c r="AE1131" s="18"/>
      <c r="AF1131" s="18"/>
      <c r="AG1131" s="18"/>
      <c r="AH1131" s="18"/>
      <c r="AI1131" s="18"/>
      <c r="AJ1131" s="18"/>
      <c r="AK1131" s="18"/>
      <c r="AL1131" s="18"/>
      <c r="AM1131" s="18"/>
    </row>
    <row r="1132" spans="6:39" x14ac:dyDescent="0.35">
      <c r="F1132" s="18" t="s">
        <v>1172</v>
      </c>
      <c r="G1132" s="19">
        <v>46217</v>
      </c>
      <c r="H1132" s="18" t="s">
        <v>5623</v>
      </c>
      <c r="I1132" s="18" t="s">
        <v>1110</v>
      </c>
      <c r="J1132" s="18">
        <v>373</v>
      </c>
      <c r="K1132" s="18" t="s">
        <v>1111</v>
      </c>
      <c r="L1132" s="18" t="s">
        <v>2222</v>
      </c>
      <c r="M1132" s="19">
        <v>46217</v>
      </c>
      <c r="N1132" s="18" t="s">
        <v>1112</v>
      </c>
      <c r="O1132" s="18" t="s">
        <v>1131</v>
      </c>
      <c r="P1132" s="18" t="s">
        <v>1132</v>
      </c>
      <c r="Q1132" s="18" t="s">
        <v>1178</v>
      </c>
      <c r="R1132" s="18" t="s">
        <v>1131</v>
      </c>
      <c r="S1132" s="18">
        <v>1955.5</v>
      </c>
      <c r="T1132" s="18">
        <v>305175.33</v>
      </c>
      <c r="U1132" s="18"/>
      <c r="V1132" s="18"/>
      <c r="W1132" s="18"/>
      <c r="X1132" s="18"/>
      <c r="Y1132" s="18"/>
      <c r="Z1132" s="18"/>
      <c r="AA1132" s="18"/>
      <c r="AB1132" s="18"/>
      <c r="AC1132" s="18"/>
      <c r="AD1132" s="18"/>
      <c r="AE1132" s="18"/>
      <c r="AF1132" s="18"/>
      <c r="AG1132" s="18"/>
      <c r="AH1132" s="18"/>
      <c r="AI1132" s="18"/>
      <c r="AJ1132" s="18"/>
      <c r="AK1132" s="18"/>
      <c r="AL1132" s="18"/>
      <c r="AM1132" s="18"/>
    </row>
    <row r="1133" spans="6:39" x14ac:dyDescent="0.35">
      <c r="F1133" s="18" t="s">
        <v>1172</v>
      </c>
      <c r="G1133" s="19">
        <v>46217</v>
      </c>
      <c r="H1133" s="18" t="s">
        <v>5623</v>
      </c>
      <c r="I1133" s="18" t="s">
        <v>1110</v>
      </c>
      <c r="J1133" s="18">
        <v>374</v>
      </c>
      <c r="K1133" s="18" t="s">
        <v>1121</v>
      </c>
      <c r="L1133" s="18" t="s">
        <v>2223</v>
      </c>
      <c r="M1133" s="19">
        <v>46217</v>
      </c>
      <c r="N1133" s="18" t="s">
        <v>1122</v>
      </c>
      <c r="O1133" s="18" t="s">
        <v>1123</v>
      </c>
      <c r="P1133" s="18" t="s">
        <v>1175</v>
      </c>
      <c r="Q1133" s="18" t="s">
        <v>1176</v>
      </c>
      <c r="R1133" s="18" t="s">
        <v>5963</v>
      </c>
      <c r="S1133" s="18">
        <v>88</v>
      </c>
      <c r="T1133" s="18">
        <v>4224</v>
      </c>
      <c r="U1133" s="18"/>
      <c r="V1133" s="18"/>
      <c r="W1133" s="18"/>
      <c r="X1133" s="18"/>
      <c r="Y1133" s="18"/>
      <c r="Z1133" s="18"/>
      <c r="AA1133" s="18"/>
      <c r="AB1133" s="18"/>
      <c r="AC1133" s="18"/>
      <c r="AD1133" s="18"/>
      <c r="AE1133" s="18"/>
      <c r="AF1133" s="18"/>
      <c r="AG1133" s="18"/>
      <c r="AH1133" s="18"/>
      <c r="AI1133" s="18"/>
      <c r="AJ1133" s="18"/>
      <c r="AK1133" s="18"/>
      <c r="AL1133" s="18"/>
      <c r="AM1133" s="18"/>
    </row>
    <row r="1134" spans="6:39" x14ac:dyDescent="0.35">
      <c r="F1134" s="18" t="s">
        <v>1172</v>
      </c>
      <c r="G1134" s="19">
        <v>46217</v>
      </c>
      <c r="H1134" s="18" t="s">
        <v>485</v>
      </c>
      <c r="I1134" s="18" t="s">
        <v>1110</v>
      </c>
      <c r="J1134" s="18">
        <v>371</v>
      </c>
      <c r="K1134" s="18" t="s">
        <v>1121</v>
      </c>
      <c r="L1134" s="18" t="s">
        <v>5999</v>
      </c>
      <c r="M1134" s="19">
        <v>46217</v>
      </c>
      <c r="N1134" s="18" t="s">
        <v>1112</v>
      </c>
      <c r="O1134" s="18" t="s">
        <v>1113</v>
      </c>
      <c r="P1134" s="18" t="s">
        <v>1114</v>
      </c>
      <c r="Q1134" s="18" t="s">
        <v>1180</v>
      </c>
      <c r="R1134" s="18" t="s">
        <v>1143</v>
      </c>
      <c r="S1134" s="18">
        <v>3405.28</v>
      </c>
      <c r="T1134" s="18">
        <v>408974.13</v>
      </c>
      <c r="U1134" s="18"/>
      <c r="V1134" s="18"/>
      <c r="W1134" s="18"/>
      <c r="X1134" s="18"/>
      <c r="Y1134" s="18"/>
      <c r="Z1134" s="18"/>
      <c r="AA1134" s="18"/>
      <c r="AB1134" s="18"/>
      <c r="AC1134" s="18"/>
      <c r="AD1134" s="18"/>
      <c r="AE1134" s="18"/>
      <c r="AF1134" s="18"/>
      <c r="AG1134" s="18"/>
      <c r="AH1134" s="18"/>
      <c r="AI1134" s="18"/>
      <c r="AJ1134" s="18"/>
      <c r="AK1134" s="18"/>
      <c r="AL1134" s="18"/>
      <c r="AM1134" s="18"/>
    </row>
    <row r="1135" spans="6:39" x14ac:dyDescent="0.35">
      <c r="F1135" s="18" t="s">
        <v>1172</v>
      </c>
      <c r="G1135" s="19">
        <v>46217</v>
      </c>
      <c r="H1135" s="18" t="s">
        <v>485</v>
      </c>
      <c r="I1135" s="18" t="s">
        <v>1110</v>
      </c>
      <c r="J1135" s="18">
        <v>375</v>
      </c>
      <c r="K1135" s="18" t="s">
        <v>1121</v>
      </c>
      <c r="L1135" s="18" t="s">
        <v>2224</v>
      </c>
      <c r="M1135" s="19">
        <v>46217</v>
      </c>
      <c r="N1135" s="18" t="s">
        <v>1133</v>
      </c>
      <c r="O1135" s="18" t="s">
        <v>1134</v>
      </c>
      <c r="P1135" s="18" t="s">
        <v>1141</v>
      </c>
      <c r="Q1135" s="18" t="s">
        <v>5958</v>
      </c>
      <c r="R1135" s="18" t="s">
        <v>5695</v>
      </c>
      <c r="S1135" s="18">
        <v>1000</v>
      </c>
      <c r="T1135" s="18">
        <v>136631</v>
      </c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  <c r="AF1135" s="18"/>
      <c r="AG1135" s="18"/>
      <c r="AH1135" s="18"/>
      <c r="AI1135" s="18"/>
      <c r="AJ1135" s="18"/>
      <c r="AK1135" s="18"/>
      <c r="AL1135" s="18"/>
      <c r="AM1135" s="18"/>
    </row>
    <row r="1136" spans="6:39" x14ac:dyDescent="0.35">
      <c r="F1136" s="18" t="s">
        <v>1172</v>
      </c>
      <c r="G1136" s="19">
        <v>46217</v>
      </c>
      <c r="H1136" s="18" t="s">
        <v>5988</v>
      </c>
      <c r="I1136" s="18" t="s">
        <v>1110</v>
      </c>
      <c r="J1136" s="18">
        <v>372</v>
      </c>
      <c r="K1136" s="18" t="s">
        <v>1165</v>
      </c>
      <c r="L1136" s="18" t="s">
        <v>4152</v>
      </c>
      <c r="M1136" s="19">
        <v>46217</v>
      </c>
      <c r="N1136" s="18" t="s">
        <v>5665</v>
      </c>
      <c r="O1136" s="18" t="s">
        <v>1166</v>
      </c>
      <c r="P1136" s="18" t="s">
        <v>1175</v>
      </c>
      <c r="Q1136" s="18" t="s">
        <v>5989</v>
      </c>
      <c r="R1136" s="18" t="s">
        <v>5754</v>
      </c>
      <c r="S1136" s="18">
        <v>1700</v>
      </c>
      <c r="T1136" s="18">
        <v>8500</v>
      </c>
      <c r="U1136" s="18"/>
      <c r="V1136" s="18"/>
      <c r="W1136" s="18"/>
      <c r="X1136" s="18"/>
      <c r="Y1136" s="18"/>
      <c r="Z1136" s="18"/>
      <c r="AA1136" s="18"/>
      <c r="AB1136" s="18"/>
      <c r="AC1136" s="18"/>
      <c r="AD1136" s="18"/>
      <c r="AE1136" s="18"/>
      <c r="AF1136" s="18"/>
      <c r="AG1136" s="18"/>
      <c r="AH1136" s="18"/>
      <c r="AI1136" s="18"/>
      <c r="AJ1136" s="18"/>
      <c r="AK1136" s="18"/>
      <c r="AL1136" s="18"/>
      <c r="AM1136" s="18"/>
    </row>
    <row r="1137" spans="6:39" x14ac:dyDescent="0.35">
      <c r="F1137" s="18" t="s">
        <v>1172</v>
      </c>
      <c r="G1137" s="19">
        <v>46218</v>
      </c>
      <c r="H1137" s="18" t="s">
        <v>1086</v>
      </c>
      <c r="I1137" s="18" t="s">
        <v>1136</v>
      </c>
      <c r="J1137" s="18" t="s">
        <v>5348</v>
      </c>
      <c r="K1137" s="18" t="s">
        <v>2028</v>
      </c>
      <c r="L1137" s="18" t="s">
        <v>5348</v>
      </c>
      <c r="M1137" s="19">
        <v>46218</v>
      </c>
      <c r="N1137" s="18" t="s">
        <v>1112</v>
      </c>
      <c r="O1137" s="18" t="s">
        <v>1131</v>
      </c>
      <c r="P1137" s="18" t="s">
        <v>1132</v>
      </c>
      <c r="Q1137" s="18" t="s">
        <v>1178</v>
      </c>
      <c r="R1137" s="18" t="s">
        <v>1131</v>
      </c>
      <c r="S1137" s="18">
        <v>4645.2</v>
      </c>
      <c r="T1137" s="18">
        <v>686278.0099373043</v>
      </c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  <c r="AF1137" s="18"/>
      <c r="AG1137" s="18"/>
      <c r="AH1137" s="18"/>
      <c r="AI1137" s="18"/>
      <c r="AJ1137" s="18"/>
      <c r="AK1137" s="18"/>
      <c r="AL1137" s="18"/>
      <c r="AM1137" s="18"/>
    </row>
    <row r="1138" spans="6:39" x14ac:dyDescent="0.35">
      <c r="F1138" s="18" t="s">
        <v>1172</v>
      </c>
      <c r="G1138" s="19">
        <v>46218</v>
      </c>
      <c r="H1138" s="18" t="s">
        <v>1086</v>
      </c>
      <c r="I1138" s="18" t="s">
        <v>1136</v>
      </c>
      <c r="J1138" s="18" t="s">
        <v>5348</v>
      </c>
      <c r="K1138" s="18" t="s">
        <v>2028</v>
      </c>
      <c r="L1138" s="18" t="s">
        <v>5348</v>
      </c>
      <c r="M1138" s="19">
        <v>46218</v>
      </c>
      <c r="N1138" s="18" t="s">
        <v>1112</v>
      </c>
      <c r="O1138" s="18" t="s">
        <v>1131</v>
      </c>
      <c r="P1138" s="18" t="s">
        <v>1132</v>
      </c>
      <c r="Q1138" s="18" t="s">
        <v>1178</v>
      </c>
      <c r="R1138" s="18" t="s">
        <v>1762</v>
      </c>
      <c r="S1138" s="18">
        <v>267.39999999999998</v>
      </c>
      <c r="T1138" s="18">
        <v>39505.455062695895</v>
      </c>
      <c r="U1138" s="18"/>
      <c r="V1138" s="18"/>
      <c r="W1138" s="18"/>
      <c r="X1138" s="18"/>
      <c r="Y1138" s="18"/>
      <c r="Z1138" s="18"/>
      <c r="AA1138" s="18"/>
      <c r="AB1138" s="18"/>
      <c r="AC1138" s="18"/>
      <c r="AD1138" s="18"/>
      <c r="AE1138" s="18"/>
      <c r="AF1138" s="18"/>
      <c r="AG1138" s="18"/>
      <c r="AH1138" s="18"/>
      <c r="AI1138" s="18"/>
      <c r="AJ1138" s="18"/>
      <c r="AK1138" s="18"/>
      <c r="AL1138" s="18"/>
      <c r="AM1138" s="18"/>
    </row>
    <row r="1139" spans="6:39" x14ac:dyDescent="0.35">
      <c r="F1139" s="18" t="s">
        <v>1172</v>
      </c>
      <c r="G1139" s="19">
        <v>46218</v>
      </c>
      <c r="H1139" s="18" t="s">
        <v>1086</v>
      </c>
      <c r="I1139" s="18" t="s">
        <v>1136</v>
      </c>
      <c r="J1139" s="18" t="s">
        <v>5349</v>
      </c>
      <c r="K1139" s="18" t="s">
        <v>2028</v>
      </c>
      <c r="L1139" s="18" t="s">
        <v>5349</v>
      </c>
      <c r="M1139" s="19">
        <v>46218</v>
      </c>
      <c r="N1139" s="18" t="s">
        <v>1146</v>
      </c>
      <c r="O1139" s="18" t="s">
        <v>1147</v>
      </c>
      <c r="P1139" s="18" t="s">
        <v>1147</v>
      </c>
      <c r="Q1139" s="18" t="s">
        <v>1173</v>
      </c>
      <c r="R1139" s="18" t="s">
        <v>1169</v>
      </c>
      <c r="S1139" s="18">
        <v>2639</v>
      </c>
      <c r="T1139" s="18">
        <v>409112.03398876416</v>
      </c>
      <c r="U1139" s="18"/>
      <c r="V1139" s="18"/>
      <c r="W1139" s="18"/>
      <c r="X1139" s="18"/>
      <c r="Y1139" s="18"/>
      <c r="Z1139" s="18"/>
      <c r="AA1139" s="18"/>
      <c r="AB1139" s="18"/>
      <c r="AC1139" s="18"/>
      <c r="AD1139" s="18"/>
      <c r="AE1139" s="18"/>
      <c r="AF1139" s="18"/>
      <c r="AG1139" s="18"/>
      <c r="AH1139" s="18"/>
      <c r="AI1139" s="18"/>
      <c r="AJ1139" s="18"/>
      <c r="AK1139" s="18"/>
      <c r="AL1139" s="18"/>
      <c r="AM1139" s="18"/>
    </row>
    <row r="1140" spans="6:39" x14ac:dyDescent="0.35">
      <c r="F1140" s="18" t="s">
        <v>1172</v>
      </c>
      <c r="G1140" s="19">
        <v>46218</v>
      </c>
      <c r="H1140" s="18" t="s">
        <v>1086</v>
      </c>
      <c r="I1140" s="18" t="s">
        <v>1136</v>
      </c>
      <c r="J1140" s="18" t="s">
        <v>5349</v>
      </c>
      <c r="K1140" s="18" t="s">
        <v>2028</v>
      </c>
      <c r="L1140" s="18" t="s">
        <v>5349</v>
      </c>
      <c r="M1140" s="19">
        <v>46218</v>
      </c>
      <c r="N1140" s="18" t="s">
        <v>1146</v>
      </c>
      <c r="O1140" s="18" t="s">
        <v>1147</v>
      </c>
      <c r="P1140" s="18" t="s">
        <v>1147</v>
      </c>
      <c r="Q1140" s="18" t="s">
        <v>1173</v>
      </c>
      <c r="R1140" s="18" t="s">
        <v>1149</v>
      </c>
      <c r="S1140" s="18">
        <v>1562</v>
      </c>
      <c r="T1140" s="18">
        <v>242149.67680577814</v>
      </c>
      <c r="U1140" s="18"/>
      <c r="V1140" s="18"/>
      <c r="W1140" s="18"/>
      <c r="X1140" s="18"/>
      <c r="Y1140" s="18"/>
      <c r="Z1140" s="18"/>
      <c r="AA1140" s="18"/>
      <c r="AB1140" s="18"/>
      <c r="AC1140" s="18"/>
      <c r="AD1140" s="18"/>
      <c r="AE1140" s="18"/>
      <c r="AF1140" s="18"/>
      <c r="AG1140" s="18"/>
      <c r="AH1140" s="18"/>
      <c r="AI1140" s="18"/>
      <c r="AJ1140" s="18"/>
      <c r="AK1140" s="18"/>
      <c r="AL1140" s="18"/>
      <c r="AM1140" s="18"/>
    </row>
    <row r="1141" spans="6:39" x14ac:dyDescent="0.35">
      <c r="F1141" s="18" t="s">
        <v>1172</v>
      </c>
      <c r="G1141" s="19">
        <v>46218</v>
      </c>
      <c r="H1141" s="18" t="s">
        <v>1086</v>
      </c>
      <c r="I1141" s="18" t="s">
        <v>1136</v>
      </c>
      <c r="J1141" s="18" t="s">
        <v>5349</v>
      </c>
      <c r="K1141" s="18" t="s">
        <v>2028</v>
      </c>
      <c r="L1141" s="18" t="s">
        <v>5349</v>
      </c>
      <c r="M1141" s="19">
        <v>46218</v>
      </c>
      <c r="N1141" s="18" t="s">
        <v>1146</v>
      </c>
      <c r="O1141" s="18" t="s">
        <v>1147</v>
      </c>
      <c r="P1141" s="18" t="s">
        <v>1147</v>
      </c>
      <c r="Q1141" s="18" t="s">
        <v>1173</v>
      </c>
      <c r="R1141" s="18" t="s">
        <v>1149</v>
      </c>
      <c r="S1141" s="18">
        <v>783</v>
      </c>
      <c r="T1141" s="18">
        <v>121384.88920545767</v>
      </c>
      <c r="U1141" s="18"/>
      <c r="V1141" s="18"/>
      <c r="W1141" s="18"/>
      <c r="X1141" s="18"/>
      <c r="Y1141" s="18"/>
      <c r="Z1141" s="18"/>
      <c r="AA1141" s="18"/>
      <c r="AB1141" s="18"/>
      <c r="AC1141" s="18"/>
      <c r="AD1141" s="18"/>
      <c r="AE1141" s="18"/>
      <c r="AF1141" s="18"/>
      <c r="AG1141" s="18"/>
      <c r="AH1141" s="18"/>
      <c r="AI1141" s="18"/>
      <c r="AJ1141" s="18"/>
      <c r="AK1141" s="18"/>
      <c r="AL1141" s="18"/>
      <c r="AM1141" s="18"/>
    </row>
    <row r="1142" spans="6:39" x14ac:dyDescent="0.35">
      <c r="F1142" s="18" t="s">
        <v>1172</v>
      </c>
      <c r="G1142" s="19">
        <v>46218</v>
      </c>
      <c r="H1142" s="18" t="s">
        <v>1086</v>
      </c>
      <c r="I1142" s="18" t="s">
        <v>1136</v>
      </c>
      <c r="J1142" s="18" t="s">
        <v>5350</v>
      </c>
      <c r="K1142" s="18" t="s">
        <v>2028</v>
      </c>
      <c r="L1142" s="18" t="s">
        <v>5350</v>
      </c>
      <c r="M1142" s="19">
        <v>46218</v>
      </c>
      <c r="N1142" s="18" t="s">
        <v>1112</v>
      </c>
      <c r="O1142" s="18" t="s">
        <v>1117</v>
      </c>
      <c r="P1142" s="18" t="s">
        <v>1118</v>
      </c>
      <c r="Q1142" s="18" t="s">
        <v>3534</v>
      </c>
      <c r="R1142" s="18" t="s">
        <v>1120</v>
      </c>
      <c r="S1142" s="18">
        <v>8624.5</v>
      </c>
      <c r="T1142" s="18">
        <v>1224470.3900000001</v>
      </c>
      <c r="U1142" s="18"/>
      <c r="V1142" s="18"/>
      <c r="W1142" s="18"/>
      <c r="X1142" s="18"/>
      <c r="Y1142" s="18"/>
      <c r="Z1142" s="18"/>
      <c r="AA1142" s="18"/>
      <c r="AB1142" s="18"/>
      <c r="AC1142" s="18"/>
      <c r="AD1142" s="18"/>
      <c r="AE1142" s="18"/>
      <c r="AF1142" s="18"/>
      <c r="AG1142" s="18"/>
      <c r="AH1142" s="18"/>
      <c r="AI1142" s="18"/>
      <c r="AJ1142" s="18"/>
      <c r="AK1142" s="18"/>
      <c r="AL1142" s="18"/>
      <c r="AM1142" s="18"/>
    </row>
    <row r="1143" spans="6:39" x14ac:dyDescent="0.35">
      <c r="F1143" s="18" t="s">
        <v>1172</v>
      </c>
      <c r="G1143" s="19">
        <v>46218</v>
      </c>
      <c r="H1143" s="18" t="s">
        <v>1159</v>
      </c>
      <c r="I1143" s="18" t="s">
        <v>1110</v>
      </c>
      <c r="J1143" s="18">
        <v>381</v>
      </c>
      <c r="K1143" s="18" t="s">
        <v>1111</v>
      </c>
      <c r="L1143" s="18" t="s">
        <v>6000</v>
      </c>
      <c r="M1143" s="19">
        <v>46218</v>
      </c>
      <c r="N1143" s="18" t="s">
        <v>1146</v>
      </c>
      <c r="O1143" s="18" t="s">
        <v>1179</v>
      </c>
      <c r="P1143" s="18" t="s">
        <v>1179</v>
      </c>
      <c r="Q1143" s="18" t="s">
        <v>4075</v>
      </c>
      <c r="R1143" s="18" t="s">
        <v>1179</v>
      </c>
      <c r="S1143" s="18">
        <v>20</v>
      </c>
      <c r="T1143" s="18">
        <v>6000</v>
      </c>
      <c r="U1143" s="18"/>
      <c r="V1143" s="18"/>
      <c r="W1143" s="18"/>
      <c r="X1143" s="18"/>
      <c r="Y1143" s="18"/>
      <c r="Z1143" s="18"/>
      <c r="AA1143" s="18"/>
      <c r="AB1143" s="18"/>
      <c r="AC1143" s="18"/>
      <c r="AD1143" s="18"/>
      <c r="AE1143" s="18"/>
      <c r="AF1143" s="18"/>
      <c r="AG1143" s="18"/>
      <c r="AH1143" s="18"/>
      <c r="AI1143" s="18"/>
      <c r="AJ1143" s="18"/>
      <c r="AK1143" s="18"/>
      <c r="AL1143" s="18"/>
      <c r="AM1143" s="18"/>
    </row>
    <row r="1144" spans="6:39" x14ac:dyDescent="0.35">
      <c r="F1144" s="18" t="s">
        <v>1172</v>
      </c>
      <c r="G1144" s="19">
        <v>46218</v>
      </c>
      <c r="H1144" s="18" t="s">
        <v>1159</v>
      </c>
      <c r="I1144" s="18" t="s">
        <v>1110</v>
      </c>
      <c r="J1144" s="18">
        <v>381</v>
      </c>
      <c r="K1144" s="18" t="s">
        <v>1111</v>
      </c>
      <c r="L1144" s="18" t="s">
        <v>6000</v>
      </c>
      <c r="M1144" s="19">
        <v>46218</v>
      </c>
      <c r="N1144" s="18" t="s">
        <v>1133</v>
      </c>
      <c r="O1144" s="18" t="s">
        <v>1134</v>
      </c>
      <c r="P1144" s="18" t="s">
        <v>1141</v>
      </c>
      <c r="Q1144" s="18" t="s">
        <v>5958</v>
      </c>
      <c r="R1144" s="18" t="s">
        <v>5695</v>
      </c>
      <c r="S1144" s="18">
        <v>3000</v>
      </c>
      <c r="T1144" s="18">
        <v>409893</v>
      </c>
      <c r="U1144" s="18"/>
      <c r="V1144" s="18"/>
      <c r="W1144" s="18"/>
      <c r="X1144" s="18"/>
      <c r="Y1144" s="18"/>
      <c r="Z1144" s="18"/>
      <c r="AA1144" s="18"/>
      <c r="AB1144" s="18"/>
      <c r="AC1144" s="18"/>
      <c r="AD1144" s="18"/>
      <c r="AE1144" s="18"/>
      <c r="AF1144" s="18"/>
      <c r="AG1144" s="18"/>
      <c r="AH1144" s="18"/>
      <c r="AI1144" s="18"/>
      <c r="AJ1144" s="18"/>
      <c r="AK1144" s="18"/>
      <c r="AL1144" s="18"/>
      <c r="AM1144" s="18"/>
    </row>
    <row r="1145" spans="6:39" x14ac:dyDescent="0.35">
      <c r="F1145" s="18" t="s">
        <v>1172</v>
      </c>
      <c r="G1145" s="19">
        <v>46218</v>
      </c>
      <c r="H1145" s="18" t="s">
        <v>3790</v>
      </c>
      <c r="I1145" s="18" t="s">
        <v>1110</v>
      </c>
      <c r="J1145" s="18">
        <v>380</v>
      </c>
      <c r="K1145" s="18" t="s">
        <v>1111</v>
      </c>
      <c r="L1145" s="18" t="s">
        <v>2225</v>
      </c>
      <c r="M1145" s="19">
        <v>46218</v>
      </c>
      <c r="N1145" s="18" t="s">
        <v>1146</v>
      </c>
      <c r="O1145" s="18" t="s">
        <v>1147</v>
      </c>
      <c r="P1145" s="18" t="s">
        <v>1147</v>
      </c>
      <c r="Q1145" s="18" t="s">
        <v>1173</v>
      </c>
      <c r="R1145" s="18" t="s">
        <v>1149</v>
      </c>
      <c r="S1145" s="18">
        <v>2365</v>
      </c>
      <c r="T1145" s="18">
        <v>486787.95</v>
      </c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  <c r="AF1145" s="18"/>
      <c r="AG1145" s="18"/>
      <c r="AH1145" s="18"/>
      <c r="AI1145" s="18"/>
      <c r="AJ1145" s="18"/>
      <c r="AK1145" s="18"/>
      <c r="AL1145" s="18"/>
      <c r="AM1145" s="18"/>
    </row>
    <row r="1146" spans="6:39" x14ac:dyDescent="0.35">
      <c r="F1146" s="18" t="s">
        <v>1172</v>
      </c>
      <c r="G1146" s="19">
        <v>46218</v>
      </c>
      <c r="H1146" s="18" t="s">
        <v>3790</v>
      </c>
      <c r="I1146" s="18" t="s">
        <v>1110</v>
      </c>
      <c r="J1146" s="18">
        <v>380</v>
      </c>
      <c r="K1146" s="18" t="s">
        <v>1111</v>
      </c>
      <c r="L1146" s="18" t="s">
        <v>2225</v>
      </c>
      <c r="M1146" s="19">
        <v>46218</v>
      </c>
      <c r="N1146" s="18" t="s">
        <v>1146</v>
      </c>
      <c r="O1146" s="18" t="s">
        <v>1147</v>
      </c>
      <c r="P1146" s="18" t="s">
        <v>1147</v>
      </c>
      <c r="Q1146" s="18" t="s">
        <v>1173</v>
      </c>
      <c r="R1146" s="18" t="s">
        <v>1149</v>
      </c>
      <c r="S1146" s="18">
        <v>2041</v>
      </c>
      <c r="T1146" s="18">
        <v>400321.74</v>
      </c>
      <c r="U1146" s="18"/>
      <c r="V1146" s="18"/>
      <c r="W1146" s="18"/>
      <c r="X1146" s="18"/>
      <c r="Y1146" s="18"/>
      <c r="Z1146" s="18"/>
      <c r="AA1146" s="18"/>
      <c r="AB1146" s="18"/>
      <c r="AC1146" s="18"/>
      <c r="AD1146" s="18"/>
      <c r="AE1146" s="18"/>
      <c r="AF1146" s="18"/>
      <c r="AG1146" s="18"/>
      <c r="AH1146" s="18"/>
      <c r="AI1146" s="18"/>
      <c r="AJ1146" s="18"/>
      <c r="AK1146" s="18"/>
      <c r="AL1146" s="18"/>
      <c r="AM1146" s="18"/>
    </row>
    <row r="1147" spans="6:39" x14ac:dyDescent="0.35">
      <c r="F1147" s="18" t="s">
        <v>1172</v>
      </c>
      <c r="G1147" s="19">
        <v>46218</v>
      </c>
      <c r="H1147" s="18" t="s">
        <v>3790</v>
      </c>
      <c r="I1147" s="18" t="s">
        <v>1110</v>
      </c>
      <c r="J1147" s="18">
        <v>380</v>
      </c>
      <c r="K1147" s="18" t="s">
        <v>1111</v>
      </c>
      <c r="L1147" s="18" t="s">
        <v>2225</v>
      </c>
      <c r="M1147" s="19">
        <v>46218</v>
      </c>
      <c r="N1147" s="18" t="s">
        <v>1146</v>
      </c>
      <c r="O1147" s="18" t="s">
        <v>1147</v>
      </c>
      <c r="P1147" s="18" t="s">
        <v>1147</v>
      </c>
      <c r="Q1147" s="18" t="s">
        <v>1173</v>
      </c>
      <c r="R1147" s="18" t="s">
        <v>1149</v>
      </c>
      <c r="S1147" s="18">
        <v>3590</v>
      </c>
      <c r="T1147" s="18">
        <v>697429.3</v>
      </c>
      <c r="U1147" s="18"/>
      <c r="V1147" s="18"/>
      <c r="W1147" s="18"/>
      <c r="X1147" s="18"/>
      <c r="Y1147" s="18"/>
      <c r="Z1147" s="18"/>
      <c r="AA1147" s="18"/>
      <c r="AB1147" s="18"/>
      <c r="AC1147" s="18"/>
      <c r="AD1147" s="18"/>
      <c r="AE1147" s="18"/>
      <c r="AF1147" s="18"/>
      <c r="AG1147" s="18"/>
      <c r="AH1147" s="18"/>
      <c r="AI1147" s="18"/>
      <c r="AJ1147" s="18"/>
      <c r="AK1147" s="18"/>
      <c r="AL1147" s="18"/>
      <c r="AM1147" s="18"/>
    </row>
    <row r="1148" spans="6:39" x14ac:dyDescent="0.35">
      <c r="F1148" s="18" t="s">
        <v>1172</v>
      </c>
      <c r="G1148" s="19">
        <v>46218</v>
      </c>
      <c r="H1148" s="18" t="s">
        <v>5988</v>
      </c>
      <c r="I1148" s="18" t="s">
        <v>1110</v>
      </c>
      <c r="J1148" s="18">
        <v>382</v>
      </c>
      <c r="K1148" s="18" t="s">
        <v>1165</v>
      </c>
      <c r="L1148" s="18" t="s">
        <v>6001</v>
      </c>
      <c r="M1148" s="19">
        <v>46218</v>
      </c>
      <c r="N1148" s="18" t="s">
        <v>5665</v>
      </c>
      <c r="O1148" s="18" t="s">
        <v>1166</v>
      </c>
      <c r="P1148" s="18" t="s">
        <v>1175</v>
      </c>
      <c r="Q1148" s="18" t="s">
        <v>5989</v>
      </c>
      <c r="R1148" s="18" t="s">
        <v>5754</v>
      </c>
      <c r="S1148" s="18">
        <v>1740</v>
      </c>
      <c r="T1148" s="18">
        <v>8700</v>
      </c>
      <c r="U1148" s="18"/>
      <c r="V1148" s="18"/>
      <c r="W1148" s="18"/>
      <c r="X1148" s="18"/>
      <c r="Y1148" s="18"/>
      <c r="Z1148" s="18"/>
      <c r="AA1148" s="18"/>
      <c r="AB1148" s="18"/>
      <c r="AC1148" s="18"/>
      <c r="AD1148" s="18"/>
      <c r="AE1148" s="18"/>
      <c r="AF1148" s="18"/>
      <c r="AG1148" s="18"/>
      <c r="AH1148" s="18"/>
      <c r="AI1148" s="18"/>
      <c r="AJ1148" s="18"/>
      <c r="AK1148" s="18"/>
      <c r="AL1148" s="18"/>
      <c r="AM1148" s="18"/>
    </row>
    <row r="1149" spans="6:39" x14ac:dyDescent="0.35">
      <c r="F1149" s="18" t="s">
        <v>1172</v>
      </c>
      <c r="G1149" s="19">
        <v>46218</v>
      </c>
      <c r="H1149" s="18" t="s">
        <v>125</v>
      </c>
      <c r="I1149" s="18" t="s">
        <v>1110</v>
      </c>
      <c r="J1149" s="18">
        <v>378</v>
      </c>
      <c r="K1149" s="18" t="s">
        <v>1111</v>
      </c>
      <c r="L1149" s="18" t="s">
        <v>5548</v>
      </c>
      <c r="M1149" s="19">
        <v>46218</v>
      </c>
      <c r="N1149" s="18" t="s">
        <v>1146</v>
      </c>
      <c r="O1149" s="18" t="s">
        <v>1147</v>
      </c>
      <c r="P1149" s="18" t="s">
        <v>1147</v>
      </c>
      <c r="Q1149" s="18" t="s">
        <v>1173</v>
      </c>
      <c r="R1149" s="18" t="s">
        <v>1149</v>
      </c>
      <c r="S1149" s="18">
        <v>5437</v>
      </c>
      <c r="T1149" s="18">
        <v>1264319.98</v>
      </c>
      <c r="U1149" s="18"/>
      <c r="V1149" s="18"/>
      <c r="W1149" s="18"/>
      <c r="X1149" s="18"/>
      <c r="Y1149" s="18"/>
      <c r="Z1149" s="18"/>
      <c r="AA1149" s="18"/>
      <c r="AB1149" s="18"/>
      <c r="AC1149" s="18"/>
      <c r="AD1149" s="18"/>
      <c r="AE1149" s="18"/>
      <c r="AF1149" s="18"/>
      <c r="AG1149" s="18"/>
      <c r="AH1149" s="18"/>
      <c r="AI1149" s="18"/>
      <c r="AJ1149" s="18"/>
      <c r="AK1149" s="18"/>
      <c r="AL1149" s="18"/>
      <c r="AM1149" s="18"/>
    </row>
    <row r="1150" spans="6:39" x14ac:dyDescent="0.35">
      <c r="F1150" s="18" t="s">
        <v>1172</v>
      </c>
      <c r="G1150" s="19">
        <v>46218</v>
      </c>
      <c r="H1150" s="18" t="s">
        <v>125</v>
      </c>
      <c r="I1150" s="18" t="s">
        <v>1110</v>
      </c>
      <c r="J1150" s="18">
        <v>379</v>
      </c>
      <c r="K1150" s="18" t="s">
        <v>1121</v>
      </c>
      <c r="L1150" s="18" t="s">
        <v>5549</v>
      </c>
      <c r="M1150" s="19">
        <v>46218</v>
      </c>
      <c r="N1150" s="18" t="s">
        <v>1133</v>
      </c>
      <c r="O1150" s="18" t="s">
        <v>1134</v>
      </c>
      <c r="P1150" s="18" t="s">
        <v>1156</v>
      </c>
      <c r="Q1150" s="18" t="s">
        <v>1157</v>
      </c>
      <c r="R1150" s="18" t="s">
        <v>1158</v>
      </c>
      <c r="S1150" s="18">
        <v>2500</v>
      </c>
      <c r="T1150" s="18">
        <v>450000</v>
      </c>
      <c r="U1150" s="18"/>
      <c r="V1150" s="18"/>
      <c r="W1150" s="18"/>
      <c r="X1150" s="18"/>
      <c r="Y1150" s="18"/>
      <c r="Z1150" s="18"/>
      <c r="AA1150" s="18"/>
      <c r="AB1150" s="18"/>
      <c r="AC1150" s="18"/>
      <c r="AD1150" s="18"/>
      <c r="AE1150" s="18"/>
      <c r="AF1150" s="18"/>
      <c r="AG1150" s="18"/>
      <c r="AH1150" s="18"/>
      <c r="AI1150" s="18"/>
      <c r="AJ1150" s="18"/>
      <c r="AK1150" s="18"/>
      <c r="AL1150" s="18"/>
      <c r="AM1150" s="18"/>
    </row>
    <row r="1151" spans="6:39" x14ac:dyDescent="0.35">
      <c r="F1151" s="18" t="s">
        <v>1172</v>
      </c>
      <c r="G1151" s="19">
        <v>46219</v>
      </c>
      <c r="H1151" s="18" t="s">
        <v>1135</v>
      </c>
      <c r="I1151" s="18" t="s">
        <v>1136</v>
      </c>
      <c r="J1151" s="18" t="s">
        <v>6002</v>
      </c>
      <c r="K1151" s="18" t="s">
        <v>1137</v>
      </c>
      <c r="L1151" s="18" t="s">
        <v>6002</v>
      </c>
      <c r="M1151" s="19">
        <v>46219</v>
      </c>
      <c r="N1151" s="18" t="s">
        <v>1146</v>
      </c>
      <c r="O1151" s="18" t="s">
        <v>1147</v>
      </c>
      <c r="P1151" s="18" t="s">
        <v>1147</v>
      </c>
      <c r="Q1151" s="18" t="s">
        <v>1173</v>
      </c>
      <c r="R1151" s="18" t="s">
        <v>1149</v>
      </c>
      <c r="S1151" s="18">
        <v>4326</v>
      </c>
      <c r="T1151" s="18">
        <v>1026343.5000000001</v>
      </c>
      <c r="U1151" s="18"/>
      <c r="V1151" s="18"/>
      <c r="W1151" s="18"/>
      <c r="X1151" s="18"/>
      <c r="Y1151" s="18"/>
      <c r="Z1151" s="18"/>
      <c r="AA1151" s="18"/>
      <c r="AB1151" s="18"/>
      <c r="AC1151" s="18"/>
      <c r="AD1151" s="18"/>
      <c r="AE1151" s="18"/>
      <c r="AF1151" s="18"/>
      <c r="AG1151" s="18"/>
      <c r="AH1151" s="18"/>
      <c r="AI1151" s="18"/>
      <c r="AJ1151" s="18"/>
      <c r="AK1151" s="18"/>
      <c r="AL1151" s="18"/>
      <c r="AM1151" s="18"/>
    </row>
    <row r="1152" spans="6:39" x14ac:dyDescent="0.35">
      <c r="F1152" s="18" t="s">
        <v>1172</v>
      </c>
      <c r="G1152" s="19">
        <v>46219</v>
      </c>
      <c r="H1152" s="18" t="s">
        <v>485</v>
      </c>
      <c r="I1152" s="18" t="s">
        <v>1110</v>
      </c>
      <c r="J1152" s="18">
        <v>383</v>
      </c>
      <c r="K1152" s="18" t="s">
        <v>1111</v>
      </c>
      <c r="L1152" s="18" t="s">
        <v>6003</v>
      </c>
      <c r="M1152" s="19">
        <v>46219</v>
      </c>
      <c r="N1152" s="18" t="s">
        <v>1112</v>
      </c>
      <c r="O1152" s="18" t="s">
        <v>1117</v>
      </c>
      <c r="P1152" s="18" t="s">
        <v>1118</v>
      </c>
      <c r="Q1152" s="18" t="s">
        <v>1174</v>
      </c>
      <c r="R1152" s="18" t="s">
        <v>1120</v>
      </c>
      <c r="S1152" s="18">
        <v>4339</v>
      </c>
      <c r="T1152" s="18">
        <v>462537.4</v>
      </c>
      <c r="U1152" s="18"/>
      <c r="V1152" s="18"/>
      <c r="W1152" s="18"/>
      <c r="X1152" s="18"/>
      <c r="Y1152" s="18"/>
      <c r="Z1152" s="18"/>
      <c r="AA1152" s="18"/>
      <c r="AB1152" s="18"/>
      <c r="AC1152" s="18"/>
      <c r="AD1152" s="18"/>
      <c r="AE1152" s="18"/>
      <c r="AF1152" s="18"/>
      <c r="AG1152" s="18"/>
      <c r="AH1152" s="18"/>
      <c r="AI1152" s="18"/>
      <c r="AJ1152" s="18"/>
      <c r="AK1152" s="18"/>
      <c r="AL1152" s="18"/>
      <c r="AM1152" s="18"/>
    </row>
    <row r="1153" spans="6:39" x14ac:dyDescent="0.35">
      <c r="F1153" s="18" t="s">
        <v>1172</v>
      </c>
      <c r="G1153" s="19">
        <v>46219</v>
      </c>
      <c r="H1153" s="18" t="s">
        <v>485</v>
      </c>
      <c r="I1153" s="18" t="s">
        <v>1110</v>
      </c>
      <c r="J1153" s="18">
        <v>383</v>
      </c>
      <c r="K1153" s="18" t="s">
        <v>1111</v>
      </c>
      <c r="L1153" s="18" t="s">
        <v>6003</v>
      </c>
      <c r="M1153" s="19">
        <v>46219</v>
      </c>
      <c r="N1153" s="18" t="s">
        <v>1112</v>
      </c>
      <c r="O1153" s="18" t="s">
        <v>1131</v>
      </c>
      <c r="P1153" s="18" t="s">
        <v>1132</v>
      </c>
      <c r="Q1153" s="18" t="s">
        <v>1178</v>
      </c>
      <c r="R1153" s="18" t="s">
        <v>1210</v>
      </c>
      <c r="S1153" s="18">
        <v>44.1</v>
      </c>
      <c r="T1153" s="18">
        <v>5583.06</v>
      </c>
      <c r="U1153" s="18"/>
      <c r="V1153" s="18"/>
      <c r="W1153" s="18"/>
      <c r="X1153" s="18"/>
      <c r="Y1153" s="18"/>
      <c r="Z1153" s="18"/>
      <c r="AA1153" s="18"/>
      <c r="AB1153" s="18"/>
      <c r="AC1153" s="18"/>
      <c r="AD1153" s="18"/>
      <c r="AE1153" s="18"/>
      <c r="AF1153" s="18"/>
      <c r="AG1153" s="18"/>
      <c r="AH1153" s="18"/>
      <c r="AI1153" s="18"/>
      <c r="AJ1153" s="18"/>
      <c r="AK1153" s="18"/>
      <c r="AL1153" s="18"/>
      <c r="AM1153" s="18"/>
    </row>
    <row r="1154" spans="6:39" x14ac:dyDescent="0.35">
      <c r="F1154" s="18" t="s">
        <v>1172</v>
      </c>
      <c r="G1154" s="19">
        <v>46219</v>
      </c>
      <c r="H1154" s="18" t="s">
        <v>485</v>
      </c>
      <c r="I1154" s="18" t="s">
        <v>1110</v>
      </c>
      <c r="J1154" s="18">
        <v>383</v>
      </c>
      <c r="K1154" s="18" t="s">
        <v>1111</v>
      </c>
      <c r="L1154" s="18" t="s">
        <v>6003</v>
      </c>
      <c r="M1154" s="19">
        <v>46219</v>
      </c>
      <c r="N1154" s="18" t="s">
        <v>1112</v>
      </c>
      <c r="O1154" s="18" t="s">
        <v>1131</v>
      </c>
      <c r="P1154" s="18" t="s">
        <v>1132</v>
      </c>
      <c r="Q1154" s="18" t="s">
        <v>1178</v>
      </c>
      <c r="R1154" s="18" t="s">
        <v>1210</v>
      </c>
      <c r="S1154" s="18">
        <v>2049.1</v>
      </c>
      <c r="T1154" s="18">
        <v>265563.36</v>
      </c>
      <c r="U1154" s="18"/>
      <c r="V1154" s="18"/>
      <c r="W1154" s="18"/>
      <c r="X1154" s="18"/>
      <c r="Y1154" s="18"/>
      <c r="Z1154" s="18"/>
      <c r="AA1154" s="18"/>
      <c r="AB1154" s="18"/>
      <c r="AC1154" s="18"/>
      <c r="AD1154" s="18"/>
      <c r="AE1154" s="18"/>
      <c r="AF1154" s="18"/>
      <c r="AG1154" s="18"/>
      <c r="AH1154" s="18"/>
      <c r="AI1154" s="18"/>
      <c r="AJ1154" s="18"/>
      <c r="AK1154" s="18"/>
      <c r="AL1154" s="18"/>
      <c r="AM1154" s="18"/>
    </row>
    <row r="1155" spans="6:39" x14ac:dyDescent="0.35">
      <c r="F1155" s="18" t="s">
        <v>1172</v>
      </c>
      <c r="G1155" s="19">
        <v>46219</v>
      </c>
      <c r="H1155" s="18" t="s">
        <v>485</v>
      </c>
      <c r="I1155" s="18" t="s">
        <v>1110</v>
      </c>
      <c r="J1155" s="18">
        <v>383</v>
      </c>
      <c r="K1155" s="18" t="s">
        <v>1111</v>
      </c>
      <c r="L1155" s="18" t="s">
        <v>6003</v>
      </c>
      <c r="M1155" s="19">
        <v>46219</v>
      </c>
      <c r="N1155" s="18" t="s">
        <v>1112</v>
      </c>
      <c r="O1155" s="18" t="s">
        <v>1131</v>
      </c>
      <c r="P1155" s="18" t="s">
        <v>1132</v>
      </c>
      <c r="Q1155" s="18" t="s">
        <v>1178</v>
      </c>
      <c r="R1155" s="18" t="s">
        <v>1210</v>
      </c>
      <c r="S1155" s="18">
        <v>220.9</v>
      </c>
      <c r="T1155" s="18">
        <v>29291.34</v>
      </c>
      <c r="U1155" s="18"/>
      <c r="V1155" s="18"/>
      <c r="W1155" s="18"/>
      <c r="X1155" s="18"/>
      <c r="Y1155" s="18"/>
      <c r="Z1155" s="18"/>
      <c r="AA1155" s="18"/>
      <c r="AB1155" s="18"/>
      <c r="AC1155" s="18"/>
      <c r="AD1155" s="18"/>
      <c r="AE1155" s="18"/>
      <c r="AF1155" s="18"/>
      <c r="AG1155" s="18"/>
      <c r="AH1155" s="18"/>
      <c r="AI1155" s="18"/>
      <c r="AJ1155" s="18"/>
      <c r="AK1155" s="18"/>
      <c r="AL1155" s="18"/>
      <c r="AM1155" s="18"/>
    </row>
    <row r="1156" spans="6:39" x14ac:dyDescent="0.35">
      <c r="F1156" s="18" t="s">
        <v>1172</v>
      </c>
      <c r="G1156" s="19">
        <v>46219</v>
      </c>
      <c r="H1156" s="18" t="s">
        <v>485</v>
      </c>
      <c r="I1156" s="18" t="s">
        <v>1110</v>
      </c>
      <c r="J1156" s="18">
        <v>383</v>
      </c>
      <c r="K1156" s="18" t="s">
        <v>1111</v>
      </c>
      <c r="L1156" s="18" t="s">
        <v>6003</v>
      </c>
      <c r="M1156" s="19">
        <v>46219</v>
      </c>
      <c r="N1156" s="18" t="s">
        <v>1146</v>
      </c>
      <c r="O1156" s="18" t="s">
        <v>1179</v>
      </c>
      <c r="P1156" s="18" t="s">
        <v>1179</v>
      </c>
      <c r="Q1156" s="18" t="s">
        <v>4075</v>
      </c>
      <c r="R1156" s="18" t="s">
        <v>1179</v>
      </c>
      <c r="S1156" s="18">
        <v>64.400000000000006</v>
      </c>
      <c r="T1156" s="18">
        <v>20004.3</v>
      </c>
      <c r="U1156" s="18"/>
      <c r="V1156" s="18"/>
      <c r="W1156" s="18"/>
      <c r="X1156" s="18"/>
      <c r="Y1156" s="18"/>
      <c r="Z1156" s="18"/>
      <c r="AA1156" s="18"/>
      <c r="AB1156" s="18"/>
      <c r="AC1156" s="18"/>
      <c r="AD1156" s="18"/>
      <c r="AE1156" s="18"/>
      <c r="AF1156" s="18"/>
      <c r="AG1156" s="18"/>
      <c r="AH1156" s="18"/>
      <c r="AI1156" s="18"/>
      <c r="AJ1156" s="18"/>
      <c r="AK1156" s="18"/>
      <c r="AL1156" s="18"/>
      <c r="AM1156" s="18"/>
    </row>
    <row r="1157" spans="6:39" x14ac:dyDescent="0.35">
      <c r="F1157" s="18" t="s">
        <v>1172</v>
      </c>
      <c r="G1157" s="19">
        <v>46219</v>
      </c>
      <c r="H1157" s="18" t="s">
        <v>485</v>
      </c>
      <c r="I1157" s="18" t="s">
        <v>1110</v>
      </c>
      <c r="J1157" s="18">
        <v>384</v>
      </c>
      <c r="K1157" s="18" t="s">
        <v>1121</v>
      </c>
      <c r="L1157" s="18" t="s">
        <v>6004</v>
      </c>
      <c r="M1157" s="19">
        <v>46219</v>
      </c>
      <c r="N1157" s="18" t="s">
        <v>1122</v>
      </c>
      <c r="O1157" s="18" t="s">
        <v>1123</v>
      </c>
      <c r="P1157" s="18" t="s">
        <v>1175</v>
      </c>
      <c r="Q1157" s="18" t="s">
        <v>1176</v>
      </c>
      <c r="R1157" s="18" t="s">
        <v>1177</v>
      </c>
      <c r="S1157" s="18">
        <v>158</v>
      </c>
      <c r="T1157" s="18">
        <v>7584</v>
      </c>
      <c r="U1157" s="18"/>
      <c r="V1157" s="18"/>
      <c r="W1157" s="18"/>
      <c r="X1157" s="18"/>
      <c r="Y1157" s="18"/>
      <c r="Z1157" s="18"/>
      <c r="AA1157" s="18"/>
      <c r="AB1157" s="18"/>
      <c r="AC1157" s="18"/>
      <c r="AD1157" s="18"/>
      <c r="AE1157" s="18"/>
      <c r="AF1157" s="18"/>
      <c r="AG1157" s="18"/>
      <c r="AH1157" s="18"/>
      <c r="AI1157" s="18"/>
      <c r="AJ1157" s="18"/>
      <c r="AK1157" s="18"/>
      <c r="AL1157" s="18"/>
      <c r="AM1157" s="18"/>
    </row>
    <row r="1158" spans="6:39" x14ac:dyDescent="0.35">
      <c r="F1158" s="18" t="s">
        <v>1172</v>
      </c>
      <c r="G1158" s="19">
        <v>46219</v>
      </c>
      <c r="H1158" s="18" t="s">
        <v>125</v>
      </c>
      <c r="I1158" s="18" t="s">
        <v>1110</v>
      </c>
      <c r="J1158" s="18">
        <v>385</v>
      </c>
      <c r="K1158" s="18" t="s">
        <v>1111</v>
      </c>
      <c r="L1158" s="18" t="s">
        <v>5550</v>
      </c>
      <c r="M1158" s="19">
        <v>46219</v>
      </c>
      <c r="N1158" s="18" t="s">
        <v>1133</v>
      </c>
      <c r="O1158" s="18" t="s">
        <v>1134</v>
      </c>
      <c r="P1158" s="18" t="s">
        <v>1156</v>
      </c>
      <c r="Q1158" s="18" t="s">
        <v>1157</v>
      </c>
      <c r="R1158" s="18" t="s">
        <v>1158</v>
      </c>
      <c r="S1158" s="18">
        <v>3000</v>
      </c>
      <c r="T1158" s="18">
        <v>540000</v>
      </c>
      <c r="U1158" s="18"/>
      <c r="V1158" s="18"/>
      <c r="W1158" s="18"/>
      <c r="X1158" s="18"/>
      <c r="Y1158" s="18"/>
      <c r="Z1158" s="18"/>
      <c r="AA1158" s="18"/>
      <c r="AB1158" s="18"/>
      <c r="AC1158" s="18"/>
      <c r="AD1158" s="18"/>
      <c r="AE1158" s="18"/>
      <c r="AF1158" s="18"/>
      <c r="AG1158" s="18"/>
      <c r="AH1158" s="18"/>
      <c r="AI1158" s="18"/>
      <c r="AJ1158" s="18"/>
      <c r="AK1158" s="18"/>
      <c r="AL1158" s="18"/>
      <c r="AM1158" s="18"/>
    </row>
    <row r="1159" spans="6:39" x14ac:dyDescent="0.35">
      <c r="F1159" s="18" t="s">
        <v>1172</v>
      </c>
      <c r="G1159" s="19">
        <v>46219</v>
      </c>
      <c r="H1159" s="18" t="s">
        <v>125</v>
      </c>
      <c r="I1159" s="18" t="s">
        <v>1110</v>
      </c>
      <c r="J1159" s="18">
        <v>385</v>
      </c>
      <c r="K1159" s="18" t="s">
        <v>1111</v>
      </c>
      <c r="L1159" s="18" t="s">
        <v>5550</v>
      </c>
      <c r="M1159" s="19">
        <v>46219</v>
      </c>
      <c r="N1159" s="18" t="s">
        <v>1146</v>
      </c>
      <c r="O1159" s="18" t="s">
        <v>1147</v>
      </c>
      <c r="P1159" s="18" t="s">
        <v>1147</v>
      </c>
      <c r="Q1159" s="18" t="s">
        <v>1173</v>
      </c>
      <c r="R1159" s="18" t="s">
        <v>1149</v>
      </c>
      <c r="S1159" s="18">
        <v>1485</v>
      </c>
      <c r="T1159" s="18">
        <v>309162.15000000002</v>
      </c>
      <c r="U1159" s="18"/>
      <c r="V1159" s="18"/>
      <c r="W1159" s="18"/>
      <c r="X1159" s="18"/>
      <c r="Y1159" s="18"/>
      <c r="Z1159" s="18"/>
      <c r="AA1159" s="18"/>
      <c r="AB1159" s="18"/>
      <c r="AC1159" s="18"/>
      <c r="AD1159" s="18"/>
      <c r="AE1159" s="18"/>
      <c r="AF1159" s="18"/>
      <c r="AG1159" s="18"/>
      <c r="AH1159" s="18"/>
      <c r="AI1159" s="18"/>
      <c r="AJ1159" s="18"/>
      <c r="AK1159" s="18"/>
      <c r="AL1159" s="18"/>
      <c r="AM1159" s="18"/>
    </row>
    <row r="1160" spans="6:39" x14ac:dyDescent="0.35">
      <c r="F1160" s="18" t="s">
        <v>1172</v>
      </c>
      <c r="G1160" s="19">
        <v>46219</v>
      </c>
      <c r="H1160" s="18" t="s">
        <v>125</v>
      </c>
      <c r="I1160" s="18" t="s">
        <v>1110</v>
      </c>
      <c r="J1160" s="18">
        <v>385</v>
      </c>
      <c r="K1160" s="18" t="s">
        <v>1111</v>
      </c>
      <c r="L1160" s="18" t="s">
        <v>5550</v>
      </c>
      <c r="M1160" s="19">
        <v>46219</v>
      </c>
      <c r="N1160" s="18" t="s">
        <v>1146</v>
      </c>
      <c r="O1160" s="18" t="s">
        <v>1147</v>
      </c>
      <c r="P1160" s="18" t="s">
        <v>1147</v>
      </c>
      <c r="Q1160" s="18" t="s">
        <v>1173</v>
      </c>
      <c r="R1160" s="18" t="s">
        <v>1149</v>
      </c>
      <c r="S1160" s="18">
        <v>826</v>
      </c>
      <c r="T1160" s="18">
        <v>170189.04</v>
      </c>
      <c r="U1160" s="18"/>
      <c r="V1160" s="18"/>
      <c r="W1160" s="18"/>
      <c r="X1160" s="18"/>
      <c r="Y1160" s="18"/>
      <c r="Z1160" s="18"/>
      <c r="AA1160" s="18"/>
      <c r="AB1160" s="18"/>
      <c r="AC1160" s="18"/>
      <c r="AD1160" s="18"/>
      <c r="AE1160" s="18"/>
      <c r="AF1160" s="18"/>
      <c r="AG1160" s="18"/>
      <c r="AH1160" s="18"/>
      <c r="AI1160" s="18"/>
      <c r="AJ1160" s="18"/>
      <c r="AK1160" s="18"/>
      <c r="AL1160" s="18"/>
      <c r="AM1160" s="18"/>
    </row>
    <row r="1161" spans="6:39" x14ac:dyDescent="0.35">
      <c r="F1161" s="18" t="s">
        <v>1172</v>
      </c>
      <c r="G1161" s="19">
        <v>46220</v>
      </c>
      <c r="H1161" s="18" t="s">
        <v>5623</v>
      </c>
      <c r="I1161" s="18" t="s">
        <v>1110</v>
      </c>
      <c r="J1161" s="18">
        <v>386</v>
      </c>
      <c r="K1161" s="18" t="s">
        <v>1111</v>
      </c>
      <c r="L1161" s="18" t="s">
        <v>6005</v>
      </c>
      <c r="M1161" s="19">
        <v>46220</v>
      </c>
      <c r="N1161" s="18" t="s">
        <v>1112</v>
      </c>
      <c r="O1161" s="18" t="s">
        <v>1117</v>
      </c>
      <c r="P1161" s="18" t="s">
        <v>1138</v>
      </c>
      <c r="Q1161" s="18" t="s">
        <v>1139</v>
      </c>
      <c r="R1161" s="18" t="s">
        <v>1140</v>
      </c>
      <c r="S1161" s="18">
        <v>463</v>
      </c>
      <c r="T1161" s="18">
        <v>97174.44</v>
      </c>
      <c r="U1161" s="18"/>
      <c r="V1161" s="18"/>
      <c r="W1161" s="18"/>
      <c r="X1161" s="18"/>
      <c r="Y1161" s="18"/>
      <c r="Z1161" s="18"/>
      <c r="AA1161" s="18"/>
      <c r="AB1161" s="18"/>
      <c r="AC1161" s="18"/>
      <c r="AD1161" s="18"/>
      <c r="AE1161" s="18"/>
      <c r="AF1161" s="18"/>
      <c r="AG1161" s="18"/>
      <c r="AH1161" s="18"/>
      <c r="AI1161" s="18"/>
      <c r="AJ1161" s="18"/>
      <c r="AK1161" s="18"/>
      <c r="AL1161" s="18"/>
      <c r="AM1161" s="18"/>
    </row>
    <row r="1162" spans="6:39" x14ac:dyDescent="0.35">
      <c r="F1162" s="18" t="s">
        <v>1172</v>
      </c>
      <c r="G1162" s="19">
        <v>46220</v>
      </c>
      <c r="H1162" s="18" t="s">
        <v>5623</v>
      </c>
      <c r="I1162" s="18" t="s">
        <v>1110</v>
      </c>
      <c r="J1162" s="18">
        <v>386</v>
      </c>
      <c r="K1162" s="18" t="s">
        <v>1111</v>
      </c>
      <c r="L1162" s="18" t="s">
        <v>6005</v>
      </c>
      <c r="M1162" s="19">
        <v>46220</v>
      </c>
      <c r="N1162" s="18" t="s">
        <v>1112</v>
      </c>
      <c r="O1162" s="18" t="s">
        <v>1117</v>
      </c>
      <c r="P1162" s="18" t="s">
        <v>1138</v>
      </c>
      <c r="Q1162" s="18" t="s">
        <v>1139</v>
      </c>
      <c r="R1162" s="18" t="s">
        <v>1140</v>
      </c>
      <c r="S1162" s="18">
        <v>1835</v>
      </c>
      <c r="T1162" s="18">
        <v>286039.8</v>
      </c>
      <c r="U1162" s="18"/>
      <c r="V1162" s="18"/>
      <c r="W1162" s="18"/>
      <c r="X1162" s="18"/>
      <c r="Y1162" s="18"/>
      <c r="Z1162" s="18"/>
      <c r="AA1162" s="18"/>
      <c r="AB1162" s="18"/>
      <c r="AC1162" s="18"/>
      <c r="AD1162" s="18"/>
      <c r="AE1162" s="18"/>
      <c r="AF1162" s="18"/>
      <c r="AG1162" s="18"/>
      <c r="AH1162" s="18"/>
      <c r="AI1162" s="18"/>
      <c r="AJ1162" s="18"/>
      <c r="AK1162" s="18"/>
      <c r="AL1162" s="18"/>
      <c r="AM1162" s="18"/>
    </row>
    <row r="1163" spans="6:39" x14ac:dyDescent="0.35">
      <c r="F1163" s="18" t="s">
        <v>1172</v>
      </c>
      <c r="G1163" s="19">
        <v>46220</v>
      </c>
      <c r="H1163" s="18" t="s">
        <v>5623</v>
      </c>
      <c r="I1163" s="18" t="s">
        <v>1110</v>
      </c>
      <c r="J1163" s="18">
        <v>386</v>
      </c>
      <c r="K1163" s="18" t="s">
        <v>1111</v>
      </c>
      <c r="L1163" s="18" t="s">
        <v>6005</v>
      </c>
      <c r="M1163" s="19">
        <v>46220</v>
      </c>
      <c r="N1163" s="18" t="s">
        <v>1112</v>
      </c>
      <c r="O1163" s="18" t="s">
        <v>1131</v>
      </c>
      <c r="P1163" s="18" t="s">
        <v>1132</v>
      </c>
      <c r="Q1163" s="18" t="s">
        <v>1178</v>
      </c>
      <c r="R1163" s="18" t="s">
        <v>1131</v>
      </c>
      <c r="S1163" s="18">
        <v>1039</v>
      </c>
      <c r="T1163" s="18">
        <v>158842.32</v>
      </c>
      <c r="U1163" s="18"/>
      <c r="V1163" s="18"/>
      <c r="W1163" s="18"/>
      <c r="X1163" s="18"/>
      <c r="Y1163" s="18"/>
      <c r="Z1163" s="18"/>
      <c r="AA1163" s="18"/>
      <c r="AB1163" s="18"/>
      <c r="AC1163" s="18"/>
      <c r="AD1163" s="18"/>
      <c r="AE1163" s="18"/>
      <c r="AF1163" s="18"/>
      <c r="AG1163" s="18"/>
      <c r="AH1163" s="18"/>
      <c r="AI1163" s="18"/>
      <c r="AJ1163" s="18"/>
      <c r="AK1163" s="18"/>
      <c r="AL1163" s="18"/>
      <c r="AM1163" s="18"/>
    </row>
    <row r="1164" spans="6:39" x14ac:dyDescent="0.35">
      <c r="F1164" s="18" t="s">
        <v>1172</v>
      </c>
      <c r="G1164" s="19">
        <v>46220</v>
      </c>
      <c r="H1164" s="18" t="s">
        <v>5623</v>
      </c>
      <c r="I1164" s="18" t="s">
        <v>1110</v>
      </c>
      <c r="J1164" s="18">
        <v>386</v>
      </c>
      <c r="K1164" s="18" t="s">
        <v>1111</v>
      </c>
      <c r="L1164" s="18" t="s">
        <v>6005</v>
      </c>
      <c r="M1164" s="19">
        <v>46220</v>
      </c>
      <c r="N1164" s="18" t="s">
        <v>1112</v>
      </c>
      <c r="O1164" s="18" t="s">
        <v>1113</v>
      </c>
      <c r="P1164" s="18" t="s">
        <v>1114</v>
      </c>
      <c r="Q1164" s="18" t="s">
        <v>6006</v>
      </c>
      <c r="R1164" s="18" t="s">
        <v>1144</v>
      </c>
      <c r="S1164" s="18">
        <v>245</v>
      </c>
      <c r="T1164" s="18">
        <v>40273.1</v>
      </c>
      <c r="U1164" s="18"/>
      <c r="V1164" s="18"/>
      <c r="W1164" s="18"/>
      <c r="X1164" s="18"/>
      <c r="Y1164" s="18"/>
      <c r="Z1164" s="18"/>
      <c r="AA1164" s="18"/>
      <c r="AB1164" s="18"/>
      <c r="AC1164" s="18"/>
      <c r="AD1164" s="18"/>
      <c r="AE1164" s="18"/>
      <c r="AF1164" s="18"/>
      <c r="AG1164" s="18"/>
      <c r="AH1164" s="18"/>
      <c r="AI1164" s="18"/>
      <c r="AJ1164" s="18"/>
      <c r="AK1164" s="18"/>
      <c r="AL1164" s="18"/>
      <c r="AM1164" s="18"/>
    </row>
    <row r="1165" spans="6:39" x14ac:dyDescent="0.35">
      <c r="F1165" s="18" t="s">
        <v>1172</v>
      </c>
      <c r="G1165" s="19">
        <v>46220</v>
      </c>
      <c r="H1165" s="18" t="s">
        <v>5623</v>
      </c>
      <c r="I1165" s="18" t="s">
        <v>1110</v>
      </c>
      <c r="J1165" s="18">
        <v>386</v>
      </c>
      <c r="K1165" s="18" t="s">
        <v>1111</v>
      </c>
      <c r="L1165" s="18" t="s">
        <v>6005</v>
      </c>
      <c r="M1165" s="19">
        <v>46220</v>
      </c>
      <c r="N1165" s="18" t="s">
        <v>1112</v>
      </c>
      <c r="O1165" s="18" t="s">
        <v>1117</v>
      </c>
      <c r="P1165" s="18" t="s">
        <v>1118</v>
      </c>
      <c r="Q1165" s="18" t="s">
        <v>1174</v>
      </c>
      <c r="R1165" s="18" t="s">
        <v>1120</v>
      </c>
      <c r="S1165" s="18">
        <v>3521</v>
      </c>
      <c r="T1165" s="18">
        <v>520685.48</v>
      </c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/>
      <c r="AE1165" s="18"/>
      <c r="AF1165" s="18"/>
      <c r="AG1165" s="18"/>
      <c r="AH1165" s="18"/>
      <c r="AI1165" s="18"/>
      <c r="AJ1165" s="18"/>
      <c r="AK1165" s="18"/>
      <c r="AL1165" s="18"/>
      <c r="AM1165" s="18"/>
    </row>
    <row r="1166" spans="6:39" x14ac:dyDescent="0.35">
      <c r="F1166" s="18" t="s">
        <v>1172</v>
      </c>
      <c r="G1166" s="19">
        <v>46220</v>
      </c>
      <c r="H1166" s="18" t="s">
        <v>5623</v>
      </c>
      <c r="I1166" s="18" t="s">
        <v>1110</v>
      </c>
      <c r="J1166" s="18">
        <v>387</v>
      </c>
      <c r="K1166" s="18" t="s">
        <v>1121</v>
      </c>
      <c r="L1166" s="18" t="s">
        <v>2226</v>
      </c>
      <c r="M1166" s="19">
        <v>46220</v>
      </c>
      <c r="N1166" s="18" t="s">
        <v>1122</v>
      </c>
      <c r="O1166" s="18" t="s">
        <v>1123</v>
      </c>
      <c r="P1166" s="18" t="s">
        <v>1175</v>
      </c>
      <c r="Q1166" s="18" t="s">
        <v>1176</v>
      </c>
      <c r="R1166" s="18" t="s">
        <v>1177</v>
      </c>
      <c r="S1166" s="18">
        <v>173</v>
      </c>
      <c r="T1166" s="18">
        <v>8304</v>
      </c>
      <c r="U1166" s="18"/>
      <c r="V1166" s="18"/>
      <c r="W1166" s="18"/>
      <c r="X1166" s="18"/>
      <c r="Y1166" s="18"/>
      <c r="Z1166" s="18"/>
      <c r="AA1166" s="18"/>
      <c r="AB1166" s="18"/>
      <c r="AC1166" s="18"/>
      <c r="AD1166" s="18"/>
      <c r="AE1166" s="18"/>
      <c r="AF1166" s="18"/>
      <c r="AG1166" s="18"/>
      <c r="AH1166" s="18"/>
      <c r="AI1166" s="18"/>
      <c r="AJ1166" s="18"/>
      <c r="AK1166" s="18"/>
      <c r="AL1166" s="18"/>
      <c r="AM1166" s="18"/>
    </row>
    <row r="1167" spans="6:39" x14ac:dyDescent="0.35">
      <c r="F1167" s="18" t="s">
        <v>1172</v>
      </c>
      <c r="G1167" s="19">
        <v>46220</v>
      </c>
      <c r="H1167" s="18" t="s">
        <v>650</v>
      </c>
      <c r="I1167" s="18" t="s">
        <v>1136</v>
      </c>
      <c r="J1167" s="18" t="s">
        <v>5351</v>
      </c>
      <c r="K1167" s="18" t="s">
        <v>1145</v>
      </c>
      <c r="L1167" s="18" t="s">
        <v>5351</v>
      </c>
      <c r="M1167" s="19">
        <v>46220</v>
      </c>
      <c r="N1167" s="18" t="s">
        <v>1146</v>
      </c>
      <c r="O1167" s="18" t="s">
        <v>1147</v>
      </c>
      <c r="P1167" s="18" t="s">
        <v>1147</v>
      </c>
      <c r="Q1167" s="18" t="s">
        <v>1173</v>
      </c>
      <c r="R1167" s="18" t="s">
        <v>1169</v>
      </c>
      <c r="S1167" s="18">
        <v>12058</v>
      </c>
      <c r="T1167" s="18">
        <v>4252098.3360000001</v>
      </c>
      <c r="U1167" s="18"/>
      <c r="V1167" s="18"/>
      <c r="W1167" s="18"/>
      <c r="X1167" s="18"/>
      <c r="Y1167" s="18"/>
      <c r="Z1167" s="18"/>
      <c r="AA1167" s="18"/>
      <c r="AB1167" s="18"/>
      <c r="AC1167" s="18"/>
      <c r="AD1167" s="18"/>
      <c r="AE1167" s="18"/>
      <c r="AF1167" s="18"/>
      <c r="AG1167" s="18"/>
      <c r="AH1167" s="18"/>
      <c r="AI1167" s="18"/>
      <c r="AJ1167" s="18"/>
      <c r="AK1167" s="18"/>
      <c r="AL1167" s="18"/>
      <c r="AM1167" s="18"/>
    </row>
    <row r="1168" spans="6:39" x14ac:dyDescent="0.35">
      <c r="F1168" s="18" t="s">
        <v>1172</v>
      </c>
      <c r="G1168" s="19">
        <v>46221</v>
      </c>
      <c r="H1168" s="18" t="s">
        <v>3790</v>
      </c>
      <c r="I1168" s="18" t="s">
        <v>1110</v>
      </c>
      <c r="J1168" s="18">
        <v>390</v>
      </c>
      <c r="K1168" s="18" t="s">
        <v>1111</v>
      </c>
      <c r="L1168" s="18" t="s">
        <v>6007</v>
      </c>
      <c r="M1168" s="19">
        <v>46221</v>
      </c>
      <c r="N1168" s="18" t="s">
        <v>1146</v>
      </c>
      <c r="O1168" s="18" t="s">
        <v>1147</v>
      </c>
      <c r="P1168" s="18" t="s">
        <v>1147</v>
      </c>
      <c r="Q1168" s="18" t="s">
        <v>1173</v>
      </c>
      <c r="R1168" s="18" t="s">
        <v>1149</v>
      </c>
      <c r="S1168" s="18">
        <v>1359</v>
      </c>
      <c r="T1168" s="18">
        <v>263292.65999999997</v>
      </c>
      <c r="U1168" s="18"/>
      <c r="V1168" s="18"/>
      <c r="W1168" s="18"/>
      <c r="X1168" s="18"/>
      <c r="Y1168" s="18"/>
      <c r="Z1168" s="18"/>
      <c r="AA1168" s="18"/>
      <c r="AB1168" s="18"/>
      <c r="AC1168" s="18"/>
      <c r="AD1168" s="18"/>
      <c r="AE1168" s="18"/>
      <c r="AF1168" s="18"/>
      <c r="AG1168" s="18"/>
      <c r="AH1168" s="18"/>
      <c r="AI1168" s="18"/>
      <c r="AJ1168" s="18"/>
      <c r="AK1168" s="18"/>
      <c r="AL1168" s="18"/>
      <c r="AM1168" s="18"/>
    </row>
    <row r="1169" spans="6:39" x14ac:dyDescent="0.35">
      <c r="F1169" s="18" t="s">
        <v>1172</v>
      </c>
      <c r="G1169" s="19">
        <v>46221</v>
      </c>
      <c r="H1169" s="18" t="s">
        <v>3790</v>
      </c>
      <c r="I1169" s="18" t="s">
        <v>1110</v>
      </c>
      <c r="J1169" s="18">
        <v>390</v>
      </c>
      <c r="K1169" s="18" t="s">
        <v>1111</v>
      </c>
      <c r="L1169" s="18" t="s">
        <v>6007</v>
      </c>
      <c r="M1169" s="19">
        <v>46221</v>
      </c>
      <c r="N1169" s="18" t="s">
        <v>1146</v>
      </c>
      <c r="O1169" s="18" t="s">
        <v>1147</v>
      </c>
      <c r="P1169" s="18" t="s">
        <v>1147</v>
      </c>
      <c r="Q1169" s="18" t="s">
        <v>1173</v>
      </c>
      <c r="R1169" s="18" t="s">
        <v>1149</v>
      </c>
      <c r="S1169" s="18">
        <v>4147</v>
      </c>
      <c r="T1169" s="18">
        <v>639508.87</v>
      </c>
      <c r="U1169" s="18"/>
      <c r="V1169" s="18"/>
      <c r="W1169" s="18"/>
      <c r="X1169" s="18"/>
      <c r="Y1169" s="18"/>
      <c r="Z1169" s="18"/>
      <c r="AA1169" s="18"/>
      <c r="AB1169" s="18"/>
      <c r="AC1169" s="18"/>
      <c r="AD1169" s="18"/>
      <c r="AE1169" s="18"/>
      <c r="AF1169" s="18"/>
      <c r="AG1169" s="18"/>
      <c r="AH1169" s="18"/>
      <c r="AI1169" s="18"/>
      <c r="AJ1169" s="18"/>
      <c r="AK1169" s="18"/>
      <c r="AL1169" s="18"/>
      <c r="AM1169" s="18"/>
    </row>
    <row r="1170" spans="6:39" x14ac:dyDescent="0.35">
      <c r="F1170" s="18" t="s">
        <v>1172</v>
      </c>
      <c r="G1170" s="19">
        <v>46221</v>
      </c>
      <c r="H1170" s="18" t="s">
        <v>485</v>
      </c>
      <c r="I1170" s="18" t="s">
        <v>1110</v>
      </c>
      <c r="J1170" s="18">
        <v>388</v>
      </c>
      <c r="K1170" s="18" t="s">
        <v>1121</v>
      </c>
      <c r="L1170" s="18" t="s">
        <v>2227</v>
      </c>
      <c r="M1170" s="19">
        <v>46221</v>
      </c>
      <c r="N1170" s="18" t="s">
        <v>1146</v>
      </c>
      <c r="O1170" s="18" t="s">
        <v>1179</v>
      </c>
      <c r="P1170" s="18" t="s">
        <v>1179</v>
      </c>
      <c r="Q1170" s="18" t="s">
        <v>4075</v>
      </c>
      <c r="R1170" s="18" t="s">
        <v>1179</v>
      </c>
      <c r="S1170" s="18">
        <v>21.6</v>
      </c>
      <c r="T1170" s="18">
        <v>6175</v>
      </c>
      <c r="U1170" s="18"/>
      <c r="V1170" s="18"/>
      <c r="W1170" s="18"/>
      <c r="X1170" s="18"/>
      <c r="Y1170" s="18"/>
      <c r="Z1170" s="18"/>
      <c r="AA1170" s="18"/>
      <c r="AB1170" s="18"/>
      <c r="AC1170" s="18"/>
      <c r="AD1170" s="18"/>
      <c r="AE1170" s="18"/>
      <c r="AF1170" s="18"/>
      <c r="AG1170" s="18"/>
      <c r="AH1170" s="18"/>
      <c r="AI1170" s="18"/>
      <c r="AJ1170" s="18"/>
      <c r="AK1170" s="18"/>
      <c r="AL1170" s="18"/>
      <c r="AM1170" s="18"/>
    </row>
    <row r="1171" spans="6:39" x14ac:dyDescent="0.35">
      <c r="F1171" s="18" t="s">
        <v>1172</v>
      </c>
      <c r="G1171" s="19">
        <v>46221</v>
      </c>
      <c r="H1171" s="18" t="s">
        <v>485</v>
      </c>
      <c r="I1171" s="18" t="s">
        <v>1110</v>
      </c>
      <c r="J1171" s="18">
        <v>389</v>
      </c>
      <c r="K1171" s="18" t="s">
        <v>1121</v>
      </c>
      <c r="L1171" s="18" t="s">
        <v>6008</v>
      </c>
      <c r="M1171" s="19">
        <v>46221</v>
      </c>
      <c r="N1171" s="18" t="s">
        <v>1112</v>
      </c>
      <c r="O1171" s="18" t="s">
        <v>1113</v>
      </c>
      <c r="P1171" s="18" t="s">
        <v>1114</v>
      </c>
      <c r="Q1171" s="18" t="s">
        <v>1180</v>
      </c>
      <c r="R1171" s="18" t="s">
        <v>1143</v>
      </c>
      <c r="S1171" s="18">
        <v>3448.96</v>
      </c>
      <c r="T1171" s="18">
        <v>414220.1</v>
      </c>
      <c r="U1171" s="18"/>
      <c r="V1171" s="18"/>
      <c r="W1171" s="18"/>
      <c r="X1171" s="18"/>
      <c r="Y1171" s="18"/>
      <c r="Z1171" s="18"/>
      <c r="AA1171" s="18"/>
      <c r="AB1171" s="18"/>
      <c r="AC1171" s="18"/>
      <c r="AD1171" s="18"/>
      <c r="AE1171" s="18"/>
      <c r="AF1171" s="18"/>
      <c r="AG1171" s="18"/>
      <c r="AH1171" s="18"/>
      <c r="AI1171" s="18"/>
      <c r="AJ1171" s="18"/>
      <c r="AK1171" s="18"/>
      <c r="AL1171" s="18"/>
      <c r="AM1171" s="18"/>
    </row>
    <row r="1172" spans="6:39" x14ac:dyDescent="0.35">
      <c r="F1172" s="18" t="s">
        <v>1172</v>
      </c>
      <c r="G1172" s="19">
        <v>46221</v>
      </c>
      <c r="H1172" s="18" t="s">
        <v>814</v>
      </c>
      <c r="I1172" s="18" t="s">
        <v>1136</v>
      </c>
      <c r="J1172" s="18" t="s">
        <v>5352</v>
      </c>
      <c r="K1172" s="18" t="s">
        <v>3850</v>
      </c>
      <c r="L1172" s="18" t="s">
        <v>5352</v>
      </c>
      <c r="M1172" s="19">
        <v>46221</v>
      </c>
      <c r="N1172" s="18" t="s">
        <v>1112</v>
      </c>
      <c r="O1172" s="18" t="s">
        <v>1113</v>
      </c>
      <c r="P1172" s="18" t="s">
        <v>4858</v>
      </c>
      <c r="Q1172" s="18" t="s">
        <v>1115</v>
      </c>
      <c r="R1172" s="18" t="s">
        <v>1494</v>
      </c>
      <c r="S1172" s="18">
        <v>1077.01</v>
      </c>
      <c r="T1172" s="18">
        <v>142165.32</v>
      </c>
      <c r="U1172" s="18"/>
      <c r="V1172" s="18"/>
      <c r="W1172" s="18"/>
      <c r="X1172" s="18"/>
      <c r="Y1172" s="18"/>
      <c r="Z1172" s="18"/>
      <c r="AA1172" s="18"/>
      <c r="AB1172" s="18"/>
      <c r="AC1172" s="18"/>
      <c r="AD1172" s="18"/>
      <c r="AE1172" s="18"/>
      <c r="AF1172" s="18"/>
      <c r="AG1172" s="18"/>
      <c r="AH1172" s="18"/>
      <c r="AI1172" s="18"/>
      <c r="AJ1172" s="18"/>
      <c r="AK1172" s="18"/>
      <c r="AL1172" s="18"/>
      <c r="AM1172" s="18"/>
    </row>
    <row r="1173" spans="6:39" x14ac:dyDescent="0.35">
      <c r="F1173" s="18" t="s">
        <v>1172</v>
      </c>
      <c r="G1173" s="19">
        <v>46221</v>
      </c>
      <c r="H1173" s="18" t="s">
        <v>814</v>
      </c>
      <c r="I1173" s="18" t="s">
        <v>1136</v>
      </c>
      <c r="J1173" s="18" t="s">
        <v>5352</v>
      </c>
      <c r="K1173" s="18" t="s">
        <v>3850</v>
      </c>
      <c r="L1173" s="18" t="s">
        <v>5352</v>
      </c>
      <c r="M1173" s="19">
        <v>46221</v>
      </c>
      <c r="N1173" s="18" t="s">
        <v>1112</v>
      </c>
      <c r="O1173" s="18" t="s">
        <v>1113</v>
      </c>
      <c r="P1173" s="18" t="s">
        <v>1114</v>
      </c>
      <c r="Q1173" s="18" t="s">
        <v>1180</v>
      </c>
      <c r="R1173" s="18" t="s">
        <v>1143</v>
      </c>
      <c r="S1173" s="18">
        <v>5025.5200000000004</v>
      </c>
      <c r="T1173" s="18">
        <v>603564.95200000005</v>
      </c>
      <c r="U1173" s="18"/>
      <c r="V1173" s="18"/>
      <c r="W1173" s="18"/>
      <c r="X1173" s="18"/>
      <c r="Y1173" s="18"/>
      <c r="Z1173" s="18"/>
      <c r="AA1173" s="18"/>
      <c r="AB1173" s="18"/>
      <c r="AC1173" s="18"/>
      <c r="AD1173" s="18"/>
      <c r="AE1173" s="18"/>
      <c r="AF1173" s="18"/>
      <c r="AG1173" s="18"/>
      <c r="AH1173" s="18"/>
      <c r="AI1173" s="18"/>
      <c r="AJ1173" s="18"/>
      <c r="AK1173" s="18"/>
      <c r="AL1173" s="18"/>
      <c r="AM1173" s="18"/>
    </row>
    <row r="1174" spans="6:39" x14ac:dyDescent="0.35">
      <c r="F1174" s="18" t="s">
        <v>1172</v>
      </c>
      <c r="G1174" s="19">
        <v>46221</v>
      </c>
      <c r="H1174" s="18" t="s">
        <v>125</v>
      </c>
      <c r="I1174" s="18" t="s">
        <v>1110</v>
      </c>
      <c r="J1174" s="18">
        <v>391</v>
      </c>
      <c r="K1174" s="18" t="s">
        <v>1111</v>
      </c>
      <c r="L1174" s="18" t="s">
        <v>5551</v>
      </c>
      <c r="M1174" s="19">
        <v>46221</v>
      </c>
      <c r="N1174" s="18" t="s">
        <v>1112</v>
      </c>
      <c r="O1174" s="18" t="s">
        <v>1131</v>
      </c>
      <c r="P1174" s="18" t="s">
        <v>1132</v>
      </c>
      <c r="Q1174" s="18" t="s">
        <v>1178</v>
      </c>
      <c r="R1174" s="18" t="s">
        <v>1131</v>
      </c>
      <c r="S1174" s="18">
        <v>1632.7</v>
      </c>
      <c r="T1174" s="18">
        <v>182209.32</v>
      </c>
      <c r="U1174" s="18"/>
      <c r="V1174" s="18"/>
      <c r="W1174" s="18"/>
      <c r="X1174" s="18"/>
      <c r="Y1174" s="18"/>
      <c r="Z1174" s="18"/>
      <c r="AA1174" s="18"/>
      <c r="AB1174" s="18"/>
      <c r="AC1174" s="18"/>
      <c r="AD1174" s="18"/>
      <c r="AE1174" s="18"/>
      <c r="AF1174" s="18"/>
      <c r="AG1174" s="18"/>
      <c r="AH1174" s="18"/>
      <c r="AI1174" s="18"/>
      <c r="AJ1174" s="18"/>
      <c r="AK1174" s="18"/>
      <c r="AL1174" s="18"/>
      <c r="AM1174" s="18"/>
    </row>
    <row r="1175" spans="6:39" x14ac:dyDescent="0.35">
      <c r="F1175" s="18" t="s">
        <v>1172</v>
      </c>
      <c r="G1175" s="19">
        <v>46221</v>
      </c>
      <c r="H1175" s="18" t="s">
        <v>125</v>
      </c>
      <c r="I1175" s="18" t="s">
        <v>1110</v>
      </c>
      <c r="J1175" s="18">
        <v>391</v>
      </c>
      <c r="K1175" s="18" t="s">
        <v>1111</v>
      </c>
      <c r="L1175" s="18" t="s">
        <v>5551</v>
      </c>
      <c r="M1175" s="19">
        <v>46221</v>
      </c>
      <c r="N1175" s="18" t="s">
        <v>1112</v>
      </c>
      <c r="O1175" s="18" t="s">
        <v>1131</v>
      </c>
      <c r="P1175" s="18" t="s">
        <v>1132</v>
      </c>
      <c r="Q1175" s="18" t="s">
        <v>1178</v>
      </c>
      <c r="R1175" s="18" t="s">
        <v>1131</v>
      </c>
      <c r="S1175" s="18">
        <v>999.5</v>
      </c>
      <c r="T1175" s="18">
        <v>108545.7</v>
      </c>
      <c r="U1175" s="18"/>
      <c r="V1175" s="18"/>
      <c r="W1175" s="18"/>
      <c r="X1175" s="18"/>
      <c r="Y1175" s="18"/>
      <c r="Z1175" s="18"/>
      <c r="AA1175" s="18"/>
      <c r="AB1175" s="18"/>
      <c r="AC1175" s="18"/>
      <c r="AD1175" s="18"/>
      <c r="AE1175" s="18"/>
      <c r="AF1175" s="18"/>
      <c r="AG1175" s="18"/>
      <c r="AH1175" s="18"/>
      <c r="AI1175" s="18"/>
      <c r="AJ1175" s="18"/>
      <c r="AK1175" s="18"/>
      <c r="AL1175" s="18"/>
      <c r="AM1175" s="18"/>
    </row>
    <row r="1176" spans="6:39" x14ac:dyDescent="0.35">
      <c r="F1176" s="18" t="s">
        <v>1172</v>
      </c>
      <c r="G1176" s="19">
        <v>46222</v>
      </c>
      <c r="H1176" s="18" t="s">
        <v>1159</v>
      </c>
      <c r="I1176" s="18" t="s">
        <v>1110</v>
      </c>
      <c r="J1176" s="18">
        <v>392</v>
      </c>
      <c r="K1176" s="18" t="s">
        <v>1111</v>
      </c>
      <c r="L1176" s="18" t="s">
        <v>6009</v>
      </c>
      <c r="M1176" s="19">
        <v>46222</v>
      </c>
      <c r="N1176" s="18" t="s">
        <v>1112</v>
      </c>
      <c r="O1176" s="18" t="s">
        <v>1117</v>
      </c>
      <c r="P1176" s="18" t="s">
        <v>1118</v>
      </c>
      <c r="Q1176" s="18" t="s">
        <v>1174</v>
      </c>
      <c r="R1176" s="18" t="s">
        <v>1120</v>
      </c>
      <c r="S1176" s="18">
        <v>6656</v>
      </c>
      <c r="T1176" s="18">
        <v>1057771.52</v>
      </c>
      <c r="U1176" s="18"/>
      <c r="V1176" s="18"/>
      <c r="W1176" s="18"/>
      <c r="X1176" s="18"/>
      <c r="Y1176" s="18"/>
      <c r="Z1176" s="18"/>
      <c r="AA1176" s="18"/>
      <c r="AB1176" s="18"/>
      <c r="AC1176" s="18"/>
      <c r="AD1176" s="18"/>
      <c r="AE1176" s="18"/>
      <c r="AF1176" s="18"/>
      <c r="AG1176" s="18"/>
      <c r="AH1176" s="18"/>
      <c r="AI1176" s="18"/>
      <c r="AJ1176" s="18"/>
      <c r="AK1176" s="18"/>
      <c r="AL1176" s="18"/>
      <c r="AM1176" s="18"/>
    </row>
    <row r="1177" spans="6:39" x14ac:dyDescent="0.35">
      <c r="F1177" s="18" t="s">
        <v>1172</v>
      </c>
      <c r="G1177" s="19">
        <v>46222</v>
      </c>
      <c r="H1177" s="18" t="s">
        <v>1159</v>
      </c>
      <c r="I1177" s="18" t="s">
        <v>1110</v>
      </c>
      <c r="J1177" s="18">
        <v>392</v>
      </c>
      <c r="K1177" s="18" t="s">
        <v>1111</v>
      </c>
      <c r="L1177" s="18" t="s">
        <v>6009</v>
      </c>
      <c r="M1177" s="19">
        <v>46222</v>
      </c>
      <c r="N1177" s="18" t="s">
        <v>1112</v>
      </c>
      <c r="O1177" s="18" t="s">
        <v>1131</v>
      </c>
      <c r="P1177" s="18" t="s">
        <v>1132</v>
      </c>
      <c r="Q1177" s="18" t="s">
        <v>1178</v>
      </c>
      <c r="R1177" s="18" t="s">
        <v>1762</v>
      </c>
      <c r="S1177" s="18">
        <v>99.2</v>
      </c>
      <c r="T1177" s="18">
        <v>14013.59</v>
      </c>
      <c r="U1177" s="18"/>
      <c r="V1177" s="18"/>
      <c r="W1177" s="18"/>
      <c r="X1177" s="18"/>
      <c r="Y1177" s="18"/>
      <c r="Z1177" s="18"/>
      <c r="AA1177" s="18"/>
      <c r="AB1177" s="18"/>
      <c r="AC1177" s="18"/>
      <c r="AD1177" s="18"/>
      <c r="AE1177" s="18"/>
      <c r="AF1177" s="18"/>
      <c r="AG1177" s="18"/>
      <c r="AH1177" s="18"/>
      <c r="AI1177" s="18"/>
      <c r="AJ1177" s="18"/>
      <c r="AK1177" s="18"/>
      <c r="AL1177" s="18"/>
      <c r="AM1177" s="18"/>
    </row>
    <row r="1178" spans="6:39" x14ac:dyDescent="0.35">
      <c r="F1178" s="18" t="s">
        <v>1172</v>
      </c>
      <c r="G1178" s="19">
        <v>46223</v>
      </c>
      <c r="H1178" s="18" t="s">
        <v>5054</v>
      </c>
      <c r="I1178" s="18" t="s">
        <v>1110</v>
      </c>
      <c r="J1178" s="18">
        <v>393</v>
      </c>
      <c r="K1178" s="18" t="s">
        <v>1121</v>
      </c>
      <c r="L1178" s="18" t="s">
        <v>2228</v>
      </c>
      <c r="M1178" s="19">
        <v>46223</v>
      </c>
      <c r="N1178" s="18" t="s">
        <v>1133</v>
      </c>
      <c r="O1178" s="18" t="s">
        <v>1134</v>
      </c>
      <c r="P1178" s="18" t="s">
        <v>1141</v>
      </c>
      <c r="Q1178" s="18" t="s">
        <v>5958</v>
      </c>
      <c r="R1178" s="18" t="s">
        <v>6010</v>
      </c>
      <c r="S1178" s="18">
        <v>10000</v>
      </c>
      <c r="T1178" s="18">
        <v>1320000</v>
      </c>
      <c r="U1178" s="18"/>
      <c r="V1178" s="18"/>
      <c r="W1178" s="18"/>
      <c r="X1178" s="18"/>
      <c r="Y1178" s="18"/>
      <c r="Z1178" s="18"/>
      <c r="AA1178" s="18"/>
      <c r="AB1178" s="18"/>
      <c r="AC1178" s="18"/>
      <c r="AD1178" s="18"/>
      <c r="AE1178" s="18"/>
      <c r="AF1178" s="18"/>
      <c r="AG1178" s="18"/>
      <c r="AH1178" s="18"/>
      <c r="AI1178" s="18"/>
      <c r="AJ1178" s="18"/>
      <c r="AK1178" s="18"/>
      <c r="AL1178" s="18"/>
      <c r="AM1178" s="18"/>
    </row>
    <row r="1179" spans="6:39" x14ac:dyDescent="0.35">
      <c r="F1179" s="18" t="s">
        <v>1172</v>
      </c>
      <c r="G1179" s="19">
        <v>46223</v>
      </c>
      <c r="H1179" s="18" t="s">
        <v>5054</v>
      </c>
      <c r="I1179" s="18" t="s">
        <v>1110</v>
      </c>
      <c r="J1179" s="18">
        <v>394</v>
      </c>
      <c r="K1179" s="18" t="s">
        <v>1121</v>
      </c>
      <c r="L1179" s="18" t="s">
        <v>2229</v>
      </c>
      <c r="M1179" s="19">
        <v>46223</v>
      </c>
      <c r="N1179" s="18" t="s">
        <v>1133</v>
      </c>
      <c r="O1179" s="18" t="s">
        <v>1134</v>
      </c>
      <c r="P1179" s="18" t="s">
        <v>1141</v>
      </c>
      <c r="Q1179" s="18" t="s">
        <v>5958</v>
      </c>
      <c r="R1179" s="18" t="s">
        <v>6010</v>
      </c>
      <c r="S1179" s="18">
        <v>10000</v>
      </c>
      <c r="T1179" s="18">
        <v>1320000</v>
      </c>
      <c r="U1179" s="18"/>
      <c r="V1179" s="18"/>
      <c r="W1179" s="18"/>
      <c r="X1179" s="18"/>
      <c r="Y1179" s="18"/>
      <c r="Z1179" s="18"/>
      <c r="AA1179" s="18"/>
      <c r="AB1179" s="18"/>
      <c r="AC1179" s="18"/>
      <c r="AD1179" s="18"/>
      <c r="AE1179" s="18"/>
      <c r="AF1179" s="18"/>
      <c r="AG1179" s="18"/>
      <c r="AH1179" s="18"/>
      <c r="AI1179" s="18"/>
      <c r="AJ1179" s="18"/>
      <c r="AK1179" s="18"/>
      <c r="AL1179" s="18"/>
      <c r="AM1179" s="18"/>
    </row>
    <row r="1180" spans="6:39" x14ac:dyDescent="0.35">
      <c r="F1180" s="18" t="s">
        <v>1172</v>
      </c>
      <c r="G1180" s="19">
        <v>46223</v>
      </c>
      <c r="H1180" s="18" t="s">
        <v>1159</v>
      </c>
      <c r="I1180" s="18" t="s">
        <v>1110</v>
      </c>
      <c r="J1180" s="18">
        <v>395</v>
      </c>
      <c r="K1180" s="18" t="s">
        <v>1121</v>
      </c>
      <c r="L1180" s="18" t="s">
        <v>2230</v>
      </c>
      <c r="M1180" s="19">
        <v>46223</v>
      </c>
      <c r="N1180" s="18" t="s">
        <v>1146</v>
      </c>
      <c r="O1180" s="18" t="s">
        <v>1179</v>
      </c>
      <c r="P1180" s="18" t="s">
        <v>1179</v>
      </c>
      <c r="Q1180" s="18" t="s">
        <v>4075</v>
      </c>
      <c r="R1180" s="18" t="s">
        <v>1179</v>
      </c>
      <c r="S1180" s="18">
        <v>25.4</v>
      </c>
      <c r="T1180" s="18">
        <v>7254</v>
      </c>
      <c r="U1180" s="18"/>
      <c r="V1180" s="18"/>
      <c r="W1180" s="18"/>
      <c r="X1180" s="18"/>
      <c r="Y1180" s="18"/>
      <c r="Z1180" s="18"/>
      <c r="AA1180" s="18"/>
      <c r="AB1180" s="18"/>
      <c r="AC1180" s="18"/>
      <c r="AD1180" s="18"/>
      <c r="AE1180" s="18"/>
      <c r="AF1180" s="18"/>
      <c r="AG1180" s="18"/>
      <c r="AH1180" s="18"/>
      <c r="AI1180" s="18"/>
      <c r="AJ1180" s="18"/>
      <c r="AK1180" s="18"/>
      <c r="AL1180" s="18"/>
      <c r="AM1180" s="18"/>
    </row>
    <row r="1181" spans="6:39" x14ac:dyDescent="0.35">
      <c r="F1181" s="18" t="s">
        <v>1172</v>
      </c>
      <c r="G1181" s="19">
        <v>46223</v>
      </c>
      <c r="H1181" s="18" t="s">
        <v>125</v>
      </c>
      <c r="I1181" s="18" t="s">
        <v>1110</v>
      </c>
      <c r="J1181" s="18">
        <v>396</v>
      </c>
      <c r="K1181" s="18" t="s">
        <v>1111</v>
      </c>
      <c r="L1181" s="18" t="s">
        <v>5552</v>
      </c>
      <c r="M1181" s="19">
        <v>46223</v>
      </c>
      <c r="N1181" s="18" t="s">
        <v>1112</v>
      </c>
      <c r="O1181" s="18" t="s">
        <v>1117</v>
      </c>
      <c r="P1181" s="18" t="s">
        <v>1118</v>
      </c>
      <c r="Q1181" s="18" t="s">
        <v>1174</v>
      </c>
      <c r="R1181" s="18" t="s">
        <v>1120</v>
      </c>
      <c r="S1181" s="18">
        <v>3239</v>
      </c>
      <c r="T1181" s="18">
        <v>395158</v>
      </c>
      <c r="U1181" s="18"/>
      <c r="V1181" s="18"/>
      <c r="W1181" s="18"/>
      <c r="X1181" s="18"/>
      <c r="Y1181" s="18"/>
      <c r="Z1181" s="18"/>
      <c r="AA1181" s="18"/>
      <c r="AB1181" s="18"/>
      <c r="AC1181" s="18"/>
      <c r="AD1181" s="18"/>
      <c r="AE1181" s="18"/>
      <c r="AF1181" s="18"/>
      <c r="AG1181" s="18"/>
      <c r="AH1181" s="18"/>
      <c r="AI1181" s="18"/>
      <c r="AJ1181" s="18"/>
      <c r="AK1181" s="18"/>
      <c r="AL1181" s="18"/>
      <c r="AM1181" s="18"/>
    </row>
    <row r="1182" spans="6:39" x14ac:dyDescent="0.35">
      <c r="F1182" s="18" t="s">
        <v>1172</v>
      </c>
      <c r="G1182" s="19">
        <v>46223</v>
      </c>
      <c r="H1182" s="18" t="s">
        <v>125</v>
      </c>
      <c r="I1182" s="18" t="s">
        <v>1110</v>
      </c>
      <c r="J1182" s="18">
        <v>396</v>
      </c>
      <c r="K1182" s="18" t="s">
        <v>1111</v>
      </c>
      <c r="L1182" s="18" t="s">
        <v>5552</v>
      </c>
      <c r="M1182" s="19">
        <v>46223</v>
      </c>
      <c r="N1182" s="18" t="s">
        <v>1112</v>
      </c>
      <c r="O1182" s="18" t="s">
        <v>1131</v>
      </c>
      <c r="P1182" s="18" t="s">
        <v>1132</v>
      </c>
      <c r="Q1182" s="18" t="s">
        <v>1178</v>
      </c>
      <c r="R1182" s="18" t="s">
        <v>1131</v>
      </c>
      <c r="S1182" s="18">
        <v>1064.2</v>
      </c>
      <c r="T1182" s="18">
        <v>115572.12</v>
      </c>
      <c r="U1182" s="18"/>
      <c r="V1182" s="18"/>
      <c r="W1182" s="18"/>
      <c r="X1182" s="18"/>
      <c r="Y1182" s="18"/>
      <c r="Z1182" s="18"/>
      <c r="AA1182" s="18"/>
      <c r="AB1182" s="18"/>
      <c r="AC1182" s="18"/>
      <c r="AD1182" s="18"/>
      <c r="AE1182" s="18"/>
      <c r="AF1182" s="18"/>
      <c r="AG1182" s="18"/>
      <c r="AH1182" s="18"/>
      <c r="AI1182" s="18"/>
      <c r="AJ1182" s="18"/>
      <c r="AK1182" s="18"/>
      <c r="AL1182" s="18"/>
      <c r="AM1182" s="18"/>
    </row>
    <row r="1183" spans="6:39" x14ac:dyDescent="0.35">
      <c r="F1183" s="18" t="s">
        <v>1172</v>
      </c>
      <c r="G1183" s="19">
        <v>46223</v>
      </c>
      <c r="H1183" s="18" t="s">
        <v>125</v>
      </c>
      <c r="I1183" s="18" t="s">
        <v>1110</v>
      </c>
      <c r="J1183" s="18">
        <v>396</v>
      </c>
      <c r="K1183" s="18" t="s">
        <v>1111</v>
      </c>
      <c r="L1183" s="18" t="s">
        <v>5552</v>
      </c>
      <c r="M1183" s="19">
        <v>46223</v>
      </c>
      <c r="N1183" s="18" t="s">
        <v>1112</v>
      </c>
      <c r="O1183" s="18" t="s">
        <v>1131</v>
      </c>
      <c r="P1183" s="18" t="s">
        <v>1132</v>
      </c>
      <c r="Q1183" s="18" t="s">
        <v>1178</v>
      </c>
      <c r="R1183" s="18" t="s">
        <v>1131</v>
      </c>
      <c r="S1183" s="18">
        <v>388.6</v>
      </c>
      <c r="T1183" s="18">
        <v>43367.76</v>
      </c>
      <c r="U1183" s="18"/>
      <c r="V1183" s="18"/>
      <c r="W1183" s="18"/>
      <c r="X1183" s="18"/>
      <c r="Y1183" s="18"/>
      <c r="Z1183" s="18"/>
      <c r="AA1183" s="18"/>
      <c r="AB1183" s="18"/>
      <c r="AC1183" s="18"/>
      <c r="AD1183" s="18"/>
      <c r="AE1183" s="18"/>
      <c r="AF1183" s="18"/>
      <c r="AG1183" s="18"/>
      <c r="AH1183" s="18"/>
      <c r="AI1183" s="18"/>
      <c r="AJ1183" s="18"/>
      <c r="AK1183" s="18"/>
      <c r="AL1183" s="18"/>
      <c r="AM1183" s="18"/>
    </row>
    <row r="1184" spans="6:39" x14ac:dyDescent="0.35">
      <c r="F1184" s="18" t="s">
        <v>1172</v>
      </c>
      <c r="G1184" s="19">
        <v>46223</v>
      </c>
      <c r="H1184" s="18" t="s">
        <v>125</v>
      </c>
      <c r="I1184" s="18" t="s">
        <v>1110</v>
      </c>
      <c r="J1184" s="18">
        <v>397</v>
      </c>
      <c r="K1184" s="18" t="s">
        <v>1121</v>
      </c>
      <c r="L1184" s="18" t="s">
        <v>5553</v>
      </c>
      <c r="M1184" s="19">
        <v>46223</v>
      </c>
      <c r="N1184" s="18" t="s">
        <v>1122</v>
      </c>
      <c r="O1184" s="18" t="s">
        <v>1123</v>
      </c>
      <c r="P1184" s="18" t="s">
        <v>1175</v>
      </c>
      <c r="Q1184" s="18" t="s">
        <v>1176</v>
      </c>
      <c r="R1184" s="18" t="s">
        <v>1177</v>
      </c>
      <c r="S1184" s="18">
        <v>82</v>
      </c>
      <c r="T1184" s="18">
        <v>3936</v>
      </c>
      <c r="U1184" s="18"/>
      <c r="V1184" s="18"/>
      <c r="W1184" s="18"/>
      <c r="X1184" s="18"/>
      <c r="Y1184" s="18"/>
      <c r="Z1184" s="18"/>
      <c r="AA1184" s="18"/>
      <c r="AB1184" s="18"/>
      <c r="AC1184" s="18"/>
      <c r="AD1184" s="18"/>
      <c r="AE1184" s="18"/>
      <c r="AF1184" s="18"/>
      <c r="AG1184" s="18"/>
      <c r="AH1184" s="18"/>
      <c r="AI1184" s="18"/>
      <c r="AJ1184" s="18"/>
      <c r="AK1184" s="18"/>
      <c r="AL1184" s="18"/>
      <c r="AM1184" s="18"/>
    </row>
    <row r="1185" spans="6:39" x14ac:dyDescent="0.35">
      <c r="F1185" s="18" t="s">
        <v>1172</v>
      </c>
      <c r="G1185" s="19">
        <v>46224</v>
      </c>
      <c r="H1185" s="18" t="s">
        <v>5623</v>
      </c>
      <c r="I1185" s="18" t="s">
        <v>1110</v>
      </c>
      <c r="J1185" s="18">
        <v>400</v>
      </c>
      <c r="K1185" s="18" t="s">
        <v>1111</v>
      </c>
      <c r="L1185" s="18" t="s">
        <v>2062</v>
      </c>
      <c r="M1185" s="19">
        <v>46224</v>
      </c>
      <c r="N1185" s="18" t="s">
        <v>1112</v>
      </c>
      <c r="O1185" s="18" t="s">
        <v>1117</v>
      </c>
      <c r="P1185" s="18" t="s">
        <v>1118</v>
      </c>
      <c r="Q1185" s="18" t="s">
        <v>1174</v>
      </c>
      <c r="R1185" s="18" t="s">
        <v>1120</v>
      </c>
      <c r="S1185" s="18">
        <v>2674</v>
      </c>
      <c r="T1185" s="18">
        <v>395431.12</v>
      </c>
      <c r="U1185" s="18"/>
      <c r="V1185" s="18"/>
      <c r="W1185" s="18"/>
      <c r="X1185" s="18"/>
      <c r="Y1185" s="18"/>
      <c r="Z1185" s="18"/>
      <c r="AA1185" s="18"/>
      <c r="AB1185" s="18"/>
      <c r="AC1185" s="18"/>
      <c r="AD1185" s="18"/>
      <c r="AE1185" s="18"/>
      <c r="AF1185" s="18"/>
      <c r="AG1185" s="18"/>
      <c r="AH1185" s="18"/>
      <c r="AI1185" s="18"/>
      <c r="AJ1185" s="18"/>
      <c r="AK1185" s="18"/>
      <c r="AL1185" s="18"/>
      <c r="AM1185" s="18"/>
    </row>
    <row r="1186" spans="6:39" x14ac:dyDescent="0.35">
      <c r="F1186" s="18" t="s">
        <v>1172</v>
      </c>
      <c r="G1186" s="19">
        <v>46224</v>
      </c>
      <c r="H1186" s="18" t="s">
        <v>5623</v>
      </c>
      <c r="I1186" s="18" t="s">
        <v>1110</v>
      </c>
      <c r="J1186" s="18">
        <v>400</v>
      </c>
      <c r="K1186" s="18" t="s">
        <v>1111</v>
      </c>
      <c r="L1186" s="18" t="s">
        <v>2062</v>
      </c>
      <c r="M1186" s="19">
        <v>46224</v>
      </c>
      <c r="N1186" s="18" t="s">
        <v>1112</v>
      </c>
      <c r="O1186" s="18" t="s">
        <v>1117</v>
      </c>
      <c r="P1186" s="18" t="s">
        <v>1138</v>
      </c>
      <c r="Q1186" s="18" t="s">
        <v>1139</v>
      </c>
      <c r="R1186" s="18" t="s">
        <v>1140</v>
      </c>
      <c r="S1186" s="18">
        <v>854</v>
      </c>
      <c r="T1186" s="18">
        <v>129705.52</v>
      </c>
      <c r="U1186" s="18"/>
      <c r="V1186" s="18"/>
      <c r="W1186" s="18"/>
      <c r="X1186" s="18"/>
      <c r="Y1186" s="18"/>
      <c r="Z1186" s="18"/>
      <c r="AA1186" s="18"/>
      <c r="AB1186" s="18"/>
      <c r="AC1186" s="18"/>
      <c r="AD1186" s="18"/>
      <c r="AE1186" s="18"/>
      <c r="AF1186" s="18"/>
      <c r="AG1186" s="18"/>
      <c r="AH1186" s="18"/>
      <c r="AI1186" s="18"/>
      <c r="AJ1186" s="18"/>
      <c r="AK1186" s="18"/>
      <c r="AL1186" s="18"/>
      <c r="AM1186" s="18"/>
    </row>
    <row r="1187" spans="6:39" x14ac:dyDescent="0.35">
      <c r="F1187" s="18" t="s">
        <v>1172</v>
      </c>
      <c r="G1187" s="19">
        <v>46224</v>
      </c>
      <c r="H1187" s="18" t="s">
        <v>5623</v>
      </c>
      <c r="I1187" s="18" t="s">
        <v>1110</v>
      </c>
      <c r="J1187" s="18">
        <v>400</v>
      </c>
      <c r="K1187" s="18" t="s">
        <v>1111</v>
      </c>
      <c r="L1187" s="18" t="s">
        <v>2062</v>
      </c>
      <c r="M1187" s="19">
        <v>46224</v>
      </c>
      <c r="N1187" s="18" t="s">
        <v>1112</v>
      </c>
      <c r="O1187" s="18" t="s">
        <v>1117</v>
      </c>
      <c r="P1187" s="18" t="s">
        <v>1138</v>
      </c>
      <c r="Q1187" s="18" t="s">
        <v>1139</v>
      </c>
      <c r="R1187" s="18" t="s">
        <v>1140</v>
      </c>
      <c r="S1187" s="18">
        <v>662</v>
      </c>
      <c r="T1187" s="18">
        <v>99220.56</v>
      </c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18"/>
      <c r="AF1187" s="18"/>
      <c r="AG1187" s="18"/>
      <c r="AH1187" s="18"/>
      <c r="AI1187" s="18"/>
      <c r="AJ1187" s="18"/>
      <c r="AK1187" s="18"/>
      <c r="AL1187" s="18"/>
      <c r="AM1187" s="18"/>
    </row>
    <row r="1188" spans="6:39" x14ac:dyDescent="0.35">
      <c r="F1188" s="18" t="s">
        <v>1172</v>
      </c>
      <c r="G1188" s="19">
        <v>46224</v>
      </c>
      <c r="H1188" s="18" t="s">
        <v>5623</v>
      </c>
      <c r="I1188" s="18" t="s">
        <v>1110</v>
      </c>
      <c r="J1188" s="18">
        <v>400</v>
      </c>
      <c r="K1188" s="18" t="s">
        <v>1111</v>
      </c>
      <c r="L1188" s="18" t="s">
        <v>2062</v>
      </c>
      <c r="M1188" s="19">
        <v>46224</v>
      </c>
      <c r="N1188" s="18" t="s">
        <v>1112</v>
      </c>
      <c r="O1188" s="18" t="s">
        <v>1131</v>
      </c>
      <c r="P1188" s="18" t="s">
        <v>1132</v>
      </c>
      <c r="Q1188" s="18" t="s">
        <v>1178</v>
      </c>
      <c r="R1188" s="18" t="s">
        <v>1131</v>
      </c>
      <c r="S1188" s="18">
        <v>2052.1999999999998</v>
      </c>
      <c r="T1188" s="18">
        <v>313740.34000000003</v>
      </c>
      <c r="U1188" s="18"/>
      <c r="V1188" s="18"/>
      <c r="W1188" s="18"/>
      <c r="X1188" s="18"/>
      <c r="Y1188" s="18"/>
      <c r="Z1188" s="18"/>
      <c r="AA1188" s="18"/>
      <c r="AB1188" s="18"/>
      <c r="AC1188" s="18"/>
      <c r="AD1188" s="18"/>
      <c r="AE1188" s="18"/>
      <c r="AF1188" s="18"/>
      <c r="AG1188" s="18"/>
      <c r="AH1188" s="18"/>
      <c r="AI1188" s="18"/>
      <c r="AJ1188" s="18"/>
      <c r="AK1188" s="18"/>
      <c r="AL1188" s="18"/>
      <c r="AM1188" s="18"/>
    </row>
    <row r="1189" spans="6:39" x14ac:dyDescent="0.35">
      <c r="F1189" s="18" t="s">
        <v>1172</v>
      </c>
      <c r="G1189" s="19">
        <v>46224</v>
      </c>
      <c r="H1189" s="18" t="s">
        <v>5623</v>
      </c>
      <c r="I1189" s="18" t="s">
        <v>1110</v>
      </c>
      <c r="J1189" s="18">
        <v>400</v>
      </c>
      <c r="K1189" s="18" t="s">
        <v>1111</v>
      </c>
      <c r="L1189" s="18" t="s">
        <v>2062</v>
      </c>
      <c r="M1189" s="19">
        <v>46224</v>
      </c>
      <c r="N1189" s="18" t="s">
        <v>1112</v>
      </c>
      <c r="O1189" s="18" t="s">
        <v>1113</v>
      </c>
      <c r="P1189" s="18" t="s">
        <v>1114</v>
      </c>
      <c r="Q1189" s="18" t="s">
        <v>6006</v>
      </c>
      <c r="R1189" s="18" t="s">
        <v>1144</v>
      </c>
      <c r="S1189" s="18">
        <v>100</v>
      </c>
      <c r="T1189" s="18">
        <v>16438</v>
      </c>
      <c r="U1189" s="18"/>
      <c r="V1189" s="18"/>
      <c r="W1189" s="18"/>
      <c r="X1189" s="18"/>
      <c r="Y1189" s="18"/>
      <c r="Z1189" s="18"/>
      <c r="AA1189" s="18"/>
      <c r="AB1189" s="18"/>
      <c r="AC1189" s="18"/>
      <c r="AD1189" s="18"/>
      <c r="AE1189" s="18"/>
      <c r="AF1189" s="18"/>
      <c r="AG1189" s="18"/>
      <c r="AH1189" s="18"/>
      <c r="AI1189" s="18"/>
      <c r="AJ1189" s="18"/>
      <c r="AK1189" s="18"/>
      <c r="AL1189" s="18"/>
      <c r="AM1189" s="18"/>
    </row>
    <row r="1190" spans="6:39" x14ac:dyDescent="0.35">
      <c r="F1190" s="18" t="s">
        <v>1172</v>
      </c>
      <c r="G1190" s="19">
        <v>46224</v>
      </c>
      <c r="H1190" s="18" t="s">
        <v>5623</v>
      </c>
      <c r="I1190" s="18" t="s">
        <v>1110</v>
      </c>
      <c r="J1190" s="18">
        <v>401</v>
      </c>
      <c r="K1190" s="18" t="s">
        <v>1121</v>
      </c>
      <c r="L1190" s="18" t="s">
        <v>2231</v>
      </c>
      <c r="M1190" s="19">
        <v>46224</v>
      </c>
      <c r="N1190" s="18" t="s">
        <v>1122</v>
      </c>
      <c r="O1190" s="18" t="s">
        <v>1123</v>
      </c>
      <c r="P1190" s="18" t="s">
        <v>1175</v>
      </c>
      <c r="Q1190" s="18" t="s">
        <v>1176</v>
      </c>
      <c r="R1190" s="18" t="s">
        <v>1177</v>
      </c>
      <c r="S1190" s="18">
        <v>135</v>
      </c>
      <c r="T1190" s="18">
        <v>6480</v>
      </c>
      <c r="U1190" s="18"/>
      <c r="V1190" s="18"/>
      <c r="W1190" s="18"/>
      <c r="X1190" s="18"/>
      <c r="Y1190" s="18"/>
      <c r="Z1190" s="18"/>
      <c r="AA1190" s="18"/>
      <c r="AB1190" s="18"/>
      <c r="AC1190" s="18"/>
      <c r="AD1190" s="18"/>
      <c r="AE1190" s="18"/>
      <c r="AF1190" s="18"/>
      <c r="AG1190" s="18"/>
      <c r="AH1190" s="18"/>
      <c r="AI1190" s="18"/>
      <c r="AJ1190" s="18"/>
      <c r="AK1190" s="18"/>
      <c r="AL1190" s="18"/>
      <c r="AM1190" s="18"/>
    </row>
    <row r="1191" spans="6:39" x14ac:dyDescent="0.35">
      <c r="F1191" s="18" t="s">
        <v>1172</v>
      </c>
      <c r="G1191" s="19">
        <v>46224</v>
      </c>
      <c r="H1191" s="18" t="s">
        <v>485</v>
      </c>
      <c r="I1191" s="18" t="s">
        <v>1110</v>
      </c>
      <c r="J1191" s="18">
        <v>398</v>
      </c>
      <c r="K1191" s="18" t="s">
        <v>1111</v>
      </c>
      <c r="L1191" s="18" t="s">
        <v>6011</v>
      </c>
      <c r="M1191" s="19">
        <v>46224</v>
      </c>
      <c r="N1191" s="18" t="s">
        <v>1112</v>
      </c>
      <c r="O1191" s="18" t="s">
        <v>1131</v>
      </c>
      <c r="P1191" s="18" t="s">
        <v>1132</v>
      </c>
      <c r="Q1191" s="18" t="s">
        <v>1178</v>
      </c>
      <c r="R1191" s="18" t="s">
        <v>1210</v>
      </c>
      <c r="S1191" s="18">
        <v>857.8</v>
      </c>
      <c r="T1191" s="18">
        <v>111170.88</v>
      </c>
      <c r="U1191" s="18"/>
      <c r="V1191" s="18"/>
      <c r="W1191" s="18"/>
      <c r="X1191" s="18"/>
      <c r="Y1191" s="18"/>
      <c r="Z1191" s="18"/>
      <c r="AA1191" s="18"/>
      <c r="AB1191" s="18"/>
      <c r="AC1191" s="18"/>
      <c r="AD1191" s="18"/>
      <c r="AE1191" s="18"/>
      <c r="AF1191" s="18"/>
      <c r="AG1191" s="18"/>
      <c r="AH1191" s="18"/>
      <c r="AI1191" s="18"/>
      <c r="AJ1191" s="18"/>
      <c r="AK1191" s="18"/>
      <c r="AL1191" s="18"/>
      <c r="AM1191" s="18"/>
    </row>
    <row r="1192" spans="6:39" x14ac:dyDescent="0.35">
      <c r="F1192" s="18" t="s">
        <v>1172</v>
      </c>
      <c r="G1192" s="19">
        <v>46224</v>
      </c>
      <c r="H1192" s="18" t="s">
        <v>485</v>
      </c>
      <c r="I1192" s="18" t="s">
        <v>1110</v>
      </c>
      <c r="J1192" s="18">
        <v>398</v>
      </c>
      <c r="K1192" s="18" t="s">
        <v>1111</v>
      </c>
      <c r="L1192" s="18" t="s">
        <v>6011</v>
      </c>
      <c r="M1192" s="19">
        <v>46224</v>
      </c>
      <c r="N1192" s="18" t="s">
        <v>1112</v>
      </c>
      <c r="O1192" s="18" t="s">
        <v>1117</v>
      </c>
      <c r="P1192" s="18" t="s">
        <v>1118</v>
      </c>
      <c r="Q1192" s="18" t="s">
        <v>1174</v>
      </c>
      <c r="R1192" s="18" t="s">
        <v>1120</v>
      </c>
      <c r="S1192" s="18">
        <v>3507</v>
      </c>
      <c r="T1192" s="18">
        <v>373846.2</v>
      </c>
      <c r="U1192" s="18"/>
      <c r="V1192" s="18"/>
      <c r="W1192" s="18"/>
      <c r="X1192" s="18"/>
      <c r="Y1192" s="18"/>
      <c r="Z1192" s="18"/>
      <c r="AA1192" s="18"/>
      <c r="AB1192" s="18"/>
      <c r="AC1192" s="18"/>
      <c r="AD1192" s="18"/>
      <c r="AE1192" s="18"/>
      <c r="AF1192" s="18"/>
      <c r="AG1192" s="18"/>
      <c r="AH1192" s="18"/>
      <c r="AI1192" s="18"/>
      <c r="AJ1192" s="18"/>
      <c r="AK1192" s="18"/>
      <c r="AL1192" s="18"/>
      <c r="AM1192" s="18"/>
    </row>
    <row r="1193" spans="6:39" x14ac:dyDescent="0.35">
      <c r="F1193" s="18" t="s">
        <v>1172</v>
      </c>
      <c r="G1193" s="19">
        <v>46224</v>
      </c>
      <c r="H1193" s="18" t="s">
        <v>485</v>
      </c>
      <c r="I1193" s="18" t="s">
        <v>1110</v>
      </c>
      <c r="J1193" s="18">
        <v>398</v>
      </c>
      <c r="K1193" s="18" t="s">
        <v>1111</v>
      </c>
      <c r="L1193" s="18" t="s">
        <v>6011</v>
      </c>
      <c r="M1193" s="19">
        <v>46224</v>
      </c>
      <c r="N1193" s="18" t="s">
        <v>1146</v>
      </c>
      <c r="O1193" s="18" t="s">
        <v>1179</v>
      </c>
      <c r="P1193" s="18" t="s">
        <v>1179</v>
      </c>
      <c r="Q1193" s="18" t="s">
        <v>4075</v>
      </c>
      <c r="R1193" s="18" t="s">
        <v>1179</v>
      </c>
      <c r="S1193" s="18">
        <v>42.4</v>
      </c>
      <c r="T1193" s="18">
        <v>12154.2</v>
      </c>
      <c r="U1193" s="18"/>
      <c r="V1193" s="18"/>
      <c r="W1193" s="18"/>
      <c r="X1193" s="18"/>
      <c r="Y1193" s="18"/>
      <c r="Z1193" s="18"/>
      <c r="AA1193" s="18"/>
      <c r="AB1193" s="18"/>
      <c r="AC1193" s="18"/>
      <c r="AD1193" s="18"/>
      <c r="AE1193" s="18"/>
      <c r="AF1193" s="18"/>
      <c r="AG1193" s="18"/>
      <c r="AH1193" s="18"/>
      <c r="AI1193" s="18"/>
      <c r="AJ1193" s="18"/>
      <c r="AK1193" s="18"/>
      <c r="AL1193" s="18"/>
      <c r="AM1193" s="18"/>
    </row>
    <row r="1194" spans="6:39" x14ac:dyDescent="0.35">
      <c r="F1194" s="18" t="s">
        <v>1172</v>
      </c>
      <c r="G1194" s="19">
        <v>46224</v>
      </c>
      <c r="H1194" s="18" t="s">
        <v>485</v>
      </c>
      <c r="I1194" s="18" t="s">
        <v>1110</v>
      </c>
      <c r="J1194" s="18">
        <v>399</v>
      </c>
      <c r="K1194" s="18" t="s">
        <v>1121</v>
      </c>
      <c r="L1194" s="18" t="s">
        <v>4153</v>
      </c>
      <c r="M1194" s="19">
        <v>46224</v>
      </c>
      <c r="N1194" s="18" t="s">
        <v>1122</v>
      </c>
      <c r="O1194" s="18" t="s">
        <v>1123</v>
      </c>
      <c r="P1194" s="18" t="s">
        <v>1175</v>
      </c>
      <c r="Q1194" s="18" t="s">
        <v>1176</v>
      </c>
      <c r="R1194" s="18" t="s">
        <v>1177</v>
      </c>
      <c r="S1194" s="18">
        <v>380</v>
      </c>
      <c r="T1194" s="18">
        <v>18240</v>
      </c>
      <c r="U1194" s="18"/>
      <c r="V1194" s="18"/>
      <c r="W1194" s="18"/>
      <c r="X1194" s="18"/>
      <c r="Y1194" s="18"/>
      <c r="Z1194" s="18"/>
      <c r="AA1194" s="18"/>
      <c r="AB1194" s="18"/>
      <c r="AC1194" s="18"/>
      <c r="AD1194" s="18"/>
      <c r="AE1194" s="18"/>
      <c r="AF1194" s="18"/>
      <c r="AG1194" s="18"/>
      <c r="AH1194" s="18"/>
      <c r="AI1194" s="18"/>
      <c r="AJ1194" s="18"/>
      <c r="AK1194" s="18"/>
      <c r="AL1194" s="18"/>
      <c r="AM1194" s="18"/>
    </row>
    <row r="1195" spans="6:39" x14ac:dyDescent="0.35">
      <c r="F1195" s="18" t="s">
        <v>1172</v>
      </c>
      <c r="G1195" s="19">
        <v>46224</v>
      </c>
      <c r="H1195" s="18" t="s">
        <v>485</v>
      </c>
      <c r="I1195" s="18" t="s">
        <v>1110</v>
      </c>
      <c r="J1195" s="18">
        <v>399</v>
      </c>
      <c r="K1195" s="18" t="s">
        <v>1121</v>
      </c>
      <c r="L1195" s="18" t="s">
        <v>4153</v>
      </c>
      <c r="M1195" s="19">
        <v>46224</v>
      </c>
      <c r="N1195" s="18" t="s">
        <v>1122</v>
      </c>
      <c r="O1195" s="18" t="s">
        <v>1123</v>
      </c>
      <c r="P1195" s="18" t="s">
        <v>1175</v>
      </c>
      <c r="Q1195" s="18" t="s">
        <v>1176</v>
      </c>
      <c r="R1195" s="18" t="s">
        <v>1177</v>
      </c>
      <c r="S1195" s="18">
        <v>168</v>
      </c>
      <c r="T1195" s="18">
        <v>8064</v>
      </c>
      <c r="U1195" s="18"/>
      <c r="V1195" s="18"/>
      <c r="W1195" s="18"/>
      <c r="X1195" s="18"/>
      <c r="Y1195" s="18"/>
      <c r="Z1195" s="18"/>
      <c r="AA1195" s="18"/>
      <c r="AB1195" s="18"/>
      <c r="AC1195" s="18"/>
      <c r="AD1195" s="18"/>
      <c r="AE1195" s="18"/>
      <c r="AF1195" s="18"/>
      <c r="AG1195" s="18"/>
      <c r="AH1195" s="18"/>
      <c r="AI1195" s="18"/>
      <c r="AJ1195" s="18"/>
      <c r="AK1195" s="18"/>
      <c r="AL1195" s="18"/>
      <c r="AM1195" s="18"/>
    </row>
    <row r="1196" spans="6:39" x14ac:dyDescent="0.35">
      <c r="F1196" s="18" t="s">
        <v>1172</v>
      </c>
      <c r="G1196" s="19">
        <v>46226</v>
      </c>
      <c r="H1196" s="18" t="s">
        <v>1159</v>
      </c>
      <c r="I1196" s="18" t="s">
        <v>1110</v>
      </c>
      <c r="J1196" s="18">
        <v>404</v>
      </c>
      <c r="K1196" s="18" t="s">
        <v>1111</v>
      </c>
      <c r="L1196" s="18" t="s">
        <v>2232</v>
      </c>
      <c r="M1196" s="19">
        <v>46226</v>
      </c>
      <c r="N1196" s="18" t="s">
        <v>1112</v>
      </c>
      <c r="O1196" s="18" t="s">
        <v>1113</v>
      </c>
      <c r="P1196" s="18" t="s">
        <v>1114</v>
      </c>
      <c r="Q1196" s="18" t="s">
        <v>6006</v>
      </c>
      <c r="R1196" s="18" t="s">
        <v>1144</v>
      </c>
      <c r="S1196" s="18">
        <v>201</v>
      </c>
      <c r="T1196" s="18">
        <v>24743.1</v>
      </c>
      <c r="U1196" s="18"/>
      <c r="V1196" s="18"/>
      <c r="W1196" s="18"/>
      <c r="X1196" s="18"/>
      <c r="Y1196" s="18"/>
      <c r="Z1196" s="18"/>
      <c r="AA1196" s="18"/>
      <c r="AB1196" s="18"/>
      <c r="AC1196" s="18"/>
      <c r="AD1196" s="18"/>
      <c r="AE1196" s="18"/>
      <c r="AF1196" s="18"/>
      <c r="AG1196" s="18"/>
      <c r="AH1196" s="18"/>
      <c r="AI1196" s="18"/>
      <c r="AJ1196" s="18"/>
      <c r="AK1196" s="18"/>
      <c r="AL1196" s="18"/>
      <c r="AM1196" s="18"/>
    </row>
    <row r="1197" spans="6:39" x14ac:dyDescent="0.35">
      <c r="F1197" s="18" t="s">
        <v>1172</v>
      </c>
      <c r="G1197" s="19">
        <v>46226</v>
      </c>
      <c r="H1197" s="18" t="s">
        <v>1159</v>
      </c>
      <c r="I1197" s="18" t="s">
        <v>1110</v>
      </c>
      <c r="J1197" s="18">
        <v>404</v>
      </c>
      <c r="K1197" s="18" t="s">
        <v>1111</v>
      </c>
      <c r="L1197" s="18" t="s">
        <v>2232</v>
      </c>
      <c r="M1197" s="19">
        <v>46226</v>
      </c>
      <c r="N1197" s="18" t="s">
        <v>1146</v>
      </c>
      <c r="O1197" s="18" t="s">
        <v>1179</v>
      </c>
      <c r="P1197" s="18" t="s">
        <v>1179</v>
      </c>
      <c r="Q1197" s="18" t="s">
        <v>4075</v>
      </c>
      <c r="R1197" s="18" t="s">
        <v>1179</v>
      </c>
      <c r="S1197" s="18">
        <v>19.600000000000001</v>
      </c>
      <c r="T1197" s="18">
        <v>5760</v>
      </c>
      <c r="U1197" s="18"/>
      <c r="V1197" s="18"/>
      <c r="W1197" s="18"/>
      <c r="X1197" s="18"/>
      <c r="Y1197" s="18"/>
      <c r="Z1197" s="18"/>
      <c r="AA1197" s="18"/>
      <c r="AB1197" s="18"/>
      <c r="AC1197" s="18"/>
      <c r="AD1197" s="18"/>
      <c r="AE1197" s="18"/>
      <c r="AF1197" s="18"/>
      <c r="AG1197" s="18"/>
      <c r="AH1197" s="18"/>
      <c r="AI1197" s="18"/>
      <c r="AJ1197" s="18"/>
      <c r="AK1197" s="18"/>
      <c r="AL1197" s="18"/>
      <c r="AM1197" s="18"/>
    </row>
    <row r="1198" spans="6:39" x14ac:dyDescent="0.35">
      <c r="F1198" s="18" t="s">
        <v>1172</v>
      </c>
      <c r="G1198" s="19">
        <v>46226</v>
      </c>
      <c r="H1198" s="18" t="s">
        <v>485</v>
      </c>
      <c r="I1198" s="18" t="s">
        <v>1110</v>
      </c>
      <c r="J1198" s="18">
        <v>402</v>
      </c>
      <c r="K1198" s="18" t="s">
        <v>1111</v>
      </c>
      <c r="L1198" s="18" t="s">
        <v>6012</v>
      </c>
      <c r="M1198" s="19">
        <v>46226</v>
      </c>
      <c r="N1198" s="18" t="s">
        <v>1146</v>
      </c>
      <c r="O1198" s="18" t="s">
        <v>1179</v>
      </c>
      <c r="P1198" s="18" t="s">
        <v>1179</v>
      </c>
      <c r="Q1198" s="18" t="s">
        <v>4075</v>
      </c>
      <c r="R1198" s="18" t="s">
        <v>1179</v>
      </c>
      <c r="S1198" s="18">
        <v>25.99</v>
      </c>
      <c r="T1198" s="18">
        <v>6500</v>
      </c>
      <c r="U1198" s="18"/>
      <c r="V1198" s="18"/>
      <c r="W1198" s="18"/>
      <c r="X1198" s="18"/>
      <c r="Y1198" s="18"/>
      <c r="Z1198" s="18"/>
      <c r="AA1198" s="18"/>
      <c r="AB1198" s="18"/>
      <c r="AC1198" s="18"/>
      <c r="AD1198" s="18"/>
      <c r="AE1198" s="18"/>
      <c r="AF1198" s="18"/>
      <c r="AG1198" s="18"/>
      <c r="AH1198" s="18"/>
      <c r="AI1198" s="18"/>
      <c r="AJ1198" s="18"/>
      <c r="AK1198" s="18"/>
      <c r="AL1198" s="18"/>
      <c r="AM1198" s="18"/>
    </row>
    <row r="1199" spans="6:39" x14ac:dyDescent="0.35">
      <c r="F1199" s="18" t="s">
        <v>1172</v>
      </c>
      <c r="G1199" s="19">
        <v>46226</v>
      </c>
      <c r="H1199" s="18" t="s">
        <v>485</v>
      </c>
      <c r="I1199" s="18" t="s">
        <v>1110</v>
      </c>
      <c r="J1199" s="18">
        <v>402</v>
      </c>
      <c r="K1199" s="18" t="s">
        <v>1111</v>
      </c>
      <c r="L1199" s="18" t="s">
        <v>6012</v>
      </c>
      <c r="M1199" s="19">
        <v>46226</v>
      </c>
      <c r="N1199" s="18" t="s">
        <v>1146</v>
      </c>
      <c r="O1199" s="18" t="s">
        <v>1179</v>
      </c>
      <c r="P1199" s="18" t="s">
        <v>1179</v>
      </c>
      <c r="Q1199" s="18" t="s">
        <v>4075</v>
      </c>
      <c r="R1199" s="18" t="s">
        <v>1179</v>
      </c>
      <c r="S1199" s="18">
        <v>12.21</v>
      </c>
      <c r="T1199" s="18">
        <v>3407.5</v>
      </c>
      <c r="U1199" s="18"/>
      <c r="V1199" s="18"/>
      <c r="W1199" s="18"/>
      <c r="X1199" s="18"/>
      <c r="Y1199" s="18"/>
      <c r="Z1199" s="18"/>
      <c r="AA1199" s="18"/>
      <c r="AB1199" s="18"/>
      <c r="AC1199" s="18"/>
      <c r="AD1199" s="18"/>
      <c r="AE1199" s="18"/>
      <c r="AF1199" s="18"/>
      <c r="AG1199" s="18"/>
      <c r="AH1199" s="18"/>
      <c r="AI1199" s="18"/>
      <c r="AJ1199" s="18"/>
      <c r="AK1199" s="18"/>
      <c r="AL1199" s="18"/>
      <c r="AM1199" s="18"/>
    </row>
    <row r="1200" spans="6:39" x14ac:dyDescent="0.35">
      <c r="F1200" s="18" t="s">
        <v>1172</v>
      </c>
      <c r="G1200" s="19">
        <v>46226</v>
      </c>
      <c r="H1200" s="18" t="s">
        <v>485</v>
      </c>
      <c r="I1200" s="18" t="s">
        <v>1110</v>
      </c>
      <c r="J1200" s="18">
        <v>402</v>
      </c>
      <c r="K1200" s="18" t="s">
        <v>1111</v>
      </c>
      <c r="L1200" s="18" t="s">
        <v>6012</v>
      </c>
      <c r="M1200" s="19">
        <v>46226</v>
      </c>
      <c r="N1200" s="18" t="s">
        <v>1146</v>
      </c>
      <c r="O1200" s="18" t="s">
        <v>1179</v>
      </c>
      <c r="P1200" s="18" t="s">
        <v>1179</v>
      </c>
      <c r="Q1200" s="18" t="s">
        <v>1174</v>
      </c>
      <c r="R1200" s="18" t="s">
        <v>1179</v>
      </c>
      <c r="S1200" s="18">
        <v>4.5999999999999996</v>
      </c>
      <c r="T1200" s="18">
        <v>490.36</v>
      </c>
      <c r="U1200" s="18"/>
      <c r="V1200" s="18"/>
      <c r="W1200" s="18"/>
      <c r="X1200" s="18"/>
      <c r="Y1200" s="18"/>
      <c r="Z1200" s="18"/>
      <c r="AA1200" s="18"/>
      <c r="AB1200" s="18"/>
      <c r="AC1200" s="18"/>
      <c r="AD1200" s="18"/>
      <c r="AE1200" s="18"/>
      <c r="AF1200" s="18"/>
      <c r="AG1200" s="18"/>
      <c r="AH1200" s="18"/>
      <c r="AI1200" s="18"/>
      <c r="AJ1200" s="18"/>
      <c r="AK1200" s="18"/>
      <c r="AL1200" s="18"/>
      <c r="AM1200" s="18"/>
    </row>
    <row r="1201" spans="6:39" x14ac:dyDescent="0.35">
      <c r="F1201" s="18" t="s">
        <v>1172</v>
      </c>
      <c r="G1201" s="19">
        <v>46226</v>
      </c>
      <c r="H1201" s="18" t="s">
        <v>5014</v>
      </c>
      <c r="I1201" s="18" t="s">
        <v>1110</v>
      </c>
      <c r="J1201" s="18">
        <v>403</v>
      </c>
      <c r="K1201" s="18" t="s">
        <v>1111</v>
      </c>
      <c r="L1201" s="18" t="s">
        <v>6013</v>
      </c>
      <c r="M1201" s="19">
        <v>46226</v>
      </c>
      <c r="N1201" s="18" t="s">
        <v>1146</v>
      </c>
      <c r="O1201" s="18" t="s">
        <v>1179</v>
      </c>
      <c r="P1201" s="18" t="s">
        <v>1179</v>
      </c>
      <c r="Q1201" s="18" t="s">
        <v>1173</v>
      </c>
      <c r="R1201" s="18" t="s">
        <v>1179</v>
      </c>
      <c r="S1201" s="18">
        <v>584</v>
      </c>
      <c r="T1201" s="18">
        <v>102200</v>
      </c>
      <c r="U1201" s="18"/>
      <c r="V1201" s="18"/>
      <c r="W1201" s="18"/>
      <c r="X1201" s="18"/>
      <c r="Y1201" s="18"/>
      <c r="Z1201" s="18"/>
      <c r="AA1201" s="18"/>
      <c r="AB1201" s="18"/>
      <c r="AC1201" s="18"/>
      <c r="AD1201" s="18"/>
      <c r="AE1201" s="18"/>
      <c r="AF1201" s="18"/>
      <c r="AG1201" s="18"/>
      <c r="AH1201" s="18"/>
      <c r="AI1201" s="18"/>
      <c r="AJ1201" s="18"/>
      <c r="AK1201" s="18"/>
      <c r="AL1201" s="18"/>
      <c r="AM1201" s="18"/>
    </row>
    <row r="1202" spans="6:39" x14ac:dyDescent="0.35">
      <c r="F1202" s="18" t="s">
        <v>1172</v>
      </c>
      <c r="G1202" s="19">
        <v>46228</v>
      </c>
      <c r="H1202" s="18" t="s">
        <v>1159</v>
      </c>
      <c r="I1202" s="18" t="s">
        <v>1110</v>
      </c>
      <c r="J1202" s="18">
        <v>405</v>
      </c>
      <c r="K1202" s="18" t="s">
        <v>1121</v>
      </c>
      <c r="L1202" s="18" t="s">
        <v>2233</v>
      </c>
      <c r="M1202" s="19">
        <v>46228</v>
      </c>
      <c r="N1202" s="18" t="s">
        <v>1133</v>
      </c>
      <c r="O1202" s="18" t="s">
        <v>1134</v>
      </c>
      <c r="P1202" s="18" t="s">
        <v>5008</v>
      </c>
      <c r="Q1202" s="18" t="s">
        <v>5008</v>
      </c>
      <c r="R1202" s="18" t="s">
        <v>5010</v>
      </c>
      <c r="S1202" s="18">
        <v>2500</v>
      </c>
      <c r="T1202" s="18">
        <v>97500</v>
      </c>
      <c r="U1202" s="18"/>
      <c r="V1202" s="18"/>
      <c r="W1202" s="18"/>
      <c r="X1202" s="18"/>
      <c r="Y1202" s="18"/>
      <c r="Z1202" s="18"/>
      <c r="AA1202" s="18"/>
      <c r="AB1202" s="18"/>
      <c r="AC1202" s="18"/>
      <c r="AD1202" s="18"/>
      <c r="AE1202" s="18"/>
      <c r="AF1202" s="18"/>
      <c r="AG1202" s="18"/>
      <c r="AH1202" s="18"/>
      <c r="AI1202" s="18"/>
      <c r="AJ1202" s="18"/>
      <c r="AK1202" s="18"/>
      <c r="AL1202" s="18"/>
      <c r="AM1202" s="18"/>
    </row>
    <row r="1203" spans="6:39" x14ac:dyDescent="0.35">
      <c r="F1203" s="18" t="s">
        <v>1172</v>
      </c>
      <c r="G1203" s="19">
        <v>46228</v>
      </c>
      <c r="H1203" s="18" t="s">
        <v>538</v>
      </c>
      <c r="I1203" s="18" t="s">
        <v>1136</v>
      </c>
      <c r="J1203" s="18" t="s">
        <v>5353</v>
      </c>
      <c r="K1203" s="18" t="s">
        <v>1145</v>
      </c>
      <c r="L1203" s="18" t="s">
        <v>5353</v>
      </c>
      <c r="M1203" s="19">
        <v>46228</v>
      </c>
      <c r="N1203" s="18" t="s">
        <v>1146</v>
      </c>
      <c r="O1203" s="18" t="s">
        <v>1147</v>
      </c>
      <c r="P1203" s="18" t="s">
        <v>1147</v>
      </c>
      <c r="Q1203" s="18" t="s">
        <v>1173</v>
      </c>
      <c r="R1203" s="18" t="s">
        <v>1149</v>
      </c>
      <c r="S1203" s="18">
        <v>17777</v>
      </c>
      <c r="T1203" s="18">
        <v>3909600</v>
      </c>
      <c r="U1203" s="18"/>
      <c r="V1203" s="18"/>
      <c r="W1203" s="18"/>
      <c r="X1203" s="18"/>
      <c r="Y1203" s="18"/>
      <c r="Z1203" s="18"/>
      <c r="AA1203" s="18"/>
      <c r="AB1203" s="18"/>
      <c r="AC1203" s="18"/>
      <c r="AD1203" s="18"/>
      <c r="AE1203" s="18"/>
      <c r="AF1203" s="18"/>
      <c r="AG1203" s="18"/>
      <c r="AH1203" s="18"/>
      <c r="AI1203" s="18"/>
      <c r="AJ1203" s="18"/>
      <c r="AK1203" s="18"/>
      <c r="AL1203" s="18"/>
      <c r="AM1203" s="18"/>
    </row>
    <row r="1204" spans="6:39" x14ac:dyDescent="0.35">
      <c r="F1204" s="18" t="s">
        <v>1172</v>
      </c>
      <c r="G1204" s="19">
        <v>46228</v>
      </c>
      <c r="H1204" s="18" t="s">
        <v>538</v>
      </c>
      <c r="I1204" s="18" t="s">
        <v>1136</v>
      </c>
      <c r="J1204" s="18" t="s">
        <v>5354</v>
      </c>
      <c r="K1204" s="18" t="s">
        <v>1145</v>
      </c>
      <c r="L1204" s="18" t="s">
        <v>5354</v>
      </c>
      <c r="M1204" s="19">
        <v>46228</v>
      </c>
      <c r="N1204" s="18" t="s">
        <v>1146</v>
      </c>
      <c r="O1204" s="18" t="s">
        <v>1147</v>
      </c>
      <c r="P1204" s="18" t="s">
        <v>1147</v>
      </c>
      <c r="Q1204" s="18" t="s">
        <v>1173</v>
      </c>
      <c r="R1204" s="18" t="s">
        <v>1169</v>
      </c>
      <c r="S1204" s="18">
        <v>18742</v>
      </c>
      <c r="T1204" s="18">
        <v>4065984</v>
      </c>
      <c r="U1204" s="18"/>
      <c r="V1204" s="18"/>
      <c r="W1204" s="18"/>
      <c r="X1204" s="18"/>
      <c r="Y1204" s="18"/>
      <c r="Z1204" s="18"/>
      <c r="AA1204" s="18"/>
      <c r="AB1204" s="18"/>
      <c r="AC1204" s="18"/>
      <c r="AD1204" s="18"/>
      <c r="AE1204" s="18"/>
      <c r="AF1204" s="18"/>
      <c r="AG1204" s="18"/>
      <c r="AH1204" s="18"/>
      <c r="AI1204" s="18"/>
      <c r="AJ1204" s="18"/>
      <c r="AK1204" s="18"/>
      <c r="AL1204" s="18"/>
      <c r="AM1204" s="18"/>
    </row>
    <row r="1205" spans="6:39" x14ac:dyDescent="0.35">
      <c r="F1205" s="18" t="s">
        <v>1172</v>
      </c>
      <c r="G1205" s="19">
        <v>46228</v>
      </c>
      <c r="H1205" s="18" t="s">
        <v>5299</v>
      </c>
      <c r="I1205" s="18" t="s">
        <v>1110</v>
      </c>
      <c r="J1205" s="18">
        <v>406</v>
      </c>
      <c r="K1205" s="18" t="s">
        <v>1121</v>
      </c>
      <c r="L1205" s="18" t="s">
        <v>6014</v>
      </c>
      <c r="M1205" s="19">
        <v>46228</v>
      </c>
      <c r="N1205" s="18" t="s">
        <v>1133</v>
      </c>
      <c r="O1205" s="18" t="s">
        <v>1134</v>
      </c>
      <c r="P1205" s="18" t="s">
        <v>1141</v>
      </c>
      <c r="Q1205" s="18" t="s">
        <v>5958</v>
      </c>
      <c r="R1205" s="18" t="s">
        <v>5695</v>
      </c>
      <c r="S1205" s="18">
        <v>5000</v>
      </c>
      <c r="T1205" s="18">
        <v>680000</v>
      </c>
      <c r="U1205" s="18"/>
      <c r="V1205" s="18"/>
      <c r="W1205" s="18"/>
      <c r="X1205" s="18"/>
      <c r="Y1205" s="18"/>
      <c r="Z1205" s="18"/>
      <c r="AA1205" s="18"/>
      <c r="AB1205" s="18"/>
      <c r="AC1205" s="18"/>
      <c r="AD1205" s="18"/>
      <c r="AE1205" s="18"/>
      <c r="AF1205" s="18"/>
      <c r="AG1205" s="18"/>
      <c r="AH1205" s="18"/>
      <c r="AI1205" s="18"/>
      <c r="AJ1205" s="18"/>
      <c r="AK1205" s="18"/>
      <c r="AL1205" s="18"/>
      <c r="AM1205" s="18"/>
    </row>
    <row r="1206" spans="6:39" x14ac:dyDescent="0.35">
      <c r="F1206" s="18" t="s">
        <v>1172</v>
      </c>
      <c r="G1206" s="19">
        <v>46229</v>
      </c>
      <c r="H1206" s="18" t="s">
        <v>538</v>
      </c>
      <c r="I1206" s="18" t="s">
        <v>1136</v>
      </c>
      <c r="J1206" s="18" t="s">
        <v>5355</v>
      </c>
      <c r="K1206" s="18" t="s">
        <v>1145</v>
      </c>
      <c r="L1206" s="18" t="s">
        <v>5355</v>
      </c>
      <c r="M1206" s="19">
        <v>46229</v>
      </c>
      <c r="N1206" s="18" t="s">
        <v>1146</v>
      </c>
      <c r="O1206" s="18" t="s">
        <v>1147</v>
      </c>
      <c r="P1206" s="18" t="s">
        <v>1147</v>
      </c>
      <c r="Q1206" s="18" t="s">
        <v>1173</v>
      </c>
      <c r="R1206" s="18" t="s">
        <v>1169</v>
      </c>
      <c r="S1206" s="18">
        <v>18715</v>
      </c>
      <c r="T1206" s="18">
        <v>4065984</v>
      </c>
      <c r="U1206" s="18"/>
      <c r="V1206" s="18"/>
      <c r="W1206" s="18"/>
      <c r="X1206" s="18"/>
      <c r="Y1206" s="18"/>
      <c r="Z1206" s="18"/>
      <c r="AA1206" s="18"/>
      <c r="AB1206" s="18"/>
      <c r="AC1206" s="18"/>
      <c r="AD1206" s="18"/>
      <c r="AE1206" s="18"/>
      <c r="AF1206" s="18"/>
      <c r="AG1206" s="18"/>
      <c r="AH1206" s="18"/>
      <c r="AI1206" s="18"/>
      <c r="AJ1206" s="18"/>
      <c r="AK1206" s="18"/>
      <c r="AL1206" s="18"/>
      <c r="AM1206" s="18"/>
    </row>
    <row r="1207" spans="6:39" x14ac:dyDescent="0.35">
      <c r="F1207" s="18" t="s">
        <v>1172</v>
      </c>
      <c r="G1207" s="19">
        <v>46229</v>
      </c>
      <c r="H1207" s="18" t="s">
        <v>485</v>
      </c>
      <c r="I1207" s="18" t="s">
        <v>1110</v>
      </c>
      <c r="J1207" s="18">
        <v>407</v>
      </c>
      <c r="K1207" s="18" t="s">
        <v>1111</v>
      </c>
      <c r="L1207" s="18" t="s">
        <v>6015</v>
      </c>
      <c r="M1207" s="19">
        <v>46229</v>
      </c>
      <c r="N1207" s="18" t="s">
        <v>1112</v>
      </c>
      <c r="O1207" s="18" t="s">
        <v>1113</v>
      </c>
      <c r="P1207" s="18" t="s">
        <v>1114</v>
      </c>
      <c r="Q1207" s="18" t="s">
        <v>1115</v>
      </c>
      <c r="R1207" s="18" t="s">
        <v>6016</v>
      </c>
      <c r="S1207" s="18">
        <v>200.6</v>
      </c>
      <c r="T1207" s="18">
        <v>37490.129999999997</v>
      </c>
      <c r="U1207" s="18"/>
      <c r="V1207" s="18"/>
      <c r="W1207" s="18"/>
      <c r="X1207" s="18"/>
      <c r="Y1207" s="18"/>
      <c r="Z1207" s="18"/>
      <c r="AA1207" s="18"/>
      <c r="AB1207" s="18"/>
      <c r="AC1207" s="18"/>
      <c r="AD1207" s="18"/>
      <c r="AE1207" s="18"/>
      <c r="AF1207" s="18"/>
      <c r="AG1207" s="18"/>
      <c r="AH1207" s="18"/>
      <c r="AI1207" s="18"/>
      <c r="AJ1207" s="18"/>
      <c r="AK1207" s="18"/>
      <c r="AL1207" s="18"/>
      <c r="AM1207" s="18"/>
    </row>
    <row r="1208" spans="6:39" x14ac:dyDescent="0.35">
      <c r="F1208" s="18" t="s">
        <v>1172</v>
      </c>
      <c r="G1208" s="19">
        <v>46229</v>
      </c>
      <c r="H1208" s="18" t="s">
        <v>485</v>
      </c>
      <c r="I1208" s="18" t="s">
        <v>1110</v>
      </c>
      <c r="J1208" s="18">
        <v>407</v>
      </c>
      <c r="K1208" s="18" t="s">
        <v>1111</v>
      </c>
      <c r="L1208" s="18" t="s">
        <v>6015</v>
      </c>
      <c r="M1208" s="19">
        <v>46229</v>
      </c>
      <c r="N1208" s="18" t="s">
        <v>1146</v>
      </c>
      <c r="O1208" s="18" t="s">
        <v>1179</v>
      </c>
      <c r="P1208" s="18" t="s">
        <v>1179</v>
      </c>
      <c r="Q1208" s="18" t="s">
        <v>4075</v>
      </c>
      <c r="R1208" s="18" t="s">
        <v>1179</v>
      </c>
      <c r="S1208" s="18">
        <v>19</v>
      </c>
      <c r="T1208" s="18">
        <v>4943.25</v>
      </c>
      <c r="U1208" s="18"/>
      <c r="V1208" s="18"/>
      <c r="W1208" s="18"/>
      <c r="X1208" s="18"/>
      <c r="Y1208" s="18"/>
      <c r="Z1208" s="18"/>
      <c r="AA1208" s="18"/>
      <c r="AB1208" s="18"/>
      <c r="AC1208" s="18"/>
      <c r="AD1208" s="18"/>
      <c r="AE1208" s="18"/>
      <c r="AF1208" s="18"/>
      <c r="AG1208" s="18"/>
      <c r="AH1208" s="18"/>
      <c r="AI1208" s="18"/>
      <c r="AJ1208" s="18"/>
      <c r="AK1208" s="18"/>
      <c r="AL1208" s="18"/>
      <c r="AM1208" s="18"/>
    </row>
    <row r="1209" spans="6:39" x14ac:dyDescent="0.35">
      <c r="F1209" s="18" t="s">
        <v>1172</v>
      </c>
      <c r="G1209" s="19">
        <v>46229</v>
      </c>
      <c r="H1209" s="18" t="s">
        <v>485</v>
      </c>
      <c r="I1209" s="18" t="s">
        <v>1110</v>
      </c>
      <c r="J1209" s="18">
        <v>407</v>
      </c>
      <c r="K1209" s="18" t="s">
        <v>1111</v>
      </c>
      <c r="L1209" s="18" t="s">
        <v>6015</v>
      </c>
      <c r="M1209" s="19">
        <v>46229</v>
      </c>
      <c r="N1209" s="18" t="s">
        <v>1112</v>
      </c>
      <c r="O1209" s="18" t="s">
        <v>1117</v>
      </c>
      <c r="P1209" s="18" t="s">
        <v>1118</v>
      </c>
      <c r="Q1209" s="18" t="s">
        <v>1174</v>
      </c>
      <c r="R1209" s="18" t="s">
        <v>1120</v>
      </c>
      <c r="S1209" s="18">
        <v>636</v>
      </c>
      <c r="T1209" s="18">
        <v>78126.240000000005</v>
      </c>
      <c r="U1209" s="18"/>
      <c r="V1209" s="18"/>
      <c r="W1209" s="18"/>
      <c r="X1209" s="18"/>
      <c r="Y1209" s="18"/>
      <c r="Z1209" s="18"/>
      <c r="AA1209" s="18"/>
      <c r="AB1209" s="18"/>
      <c r="AC1209" s="18"/>
      <c r="AD1209" s="18"/>
      <c r="AE1209" s="18"/>
      <c r="AF1209" s="18"/>
      <c r="AG1209" s="18"/>
      <c r="AH1209" s="18"/>
      <c r="AI1209" s="18"/>
      <c r="AJ1209" s="18"/>
      <c r="AK1209" s="18"/>
      <c r="AL1209" s="18"/>
      <c r="AM1209" s="18"/>
    </row>
    <row r="1210" spans="6:39" x14ac:dyDescent="0.35">
      <c r="F1210" s="18" t="s">
        <v>1172</v>
      </c>
      <c r="G1210" s="19">
        <v>46229</v>
      </c>
      <c r="H1210" s="18" t="s">
        <v>485</v>
      </c>
      <c r="I1210" s="18" t="s">
        <v>1110</v>
      </c>
      <c r="J1210" s="18">
        <v>407</v>
      </c>
      <c r="K1210" s="18" t="s">
        <v>1111</v>
      </c>
      <c r="L1210" s="18" t="s">
        <v>6015</v>
      </c>
      <c r="M1210" s="19">
        <v>46229</v>
      </c>
      <c r="N1210" s="18" t="s">
        <v>1112</v>
      </c>
      <c r="O1210" s="18" t="s">
        <v>1117</v>
      </c>
      <c r="P1210" s="18" t="s">
        <v>1138</v>
      </c>
      <c r="Q1210" s="18" t="s">
        <v>1139</v>
      </c>
      <c r="R1210" s="18" t="s">
        <v>1140</v>
      </c>
      <c r="S1210" s="18">
        <v>420</v>
      </c>
      <c r="T1210" s="18">
        <v>53272.800000000003</v>
      </c>
      <c r="U1210" s="18"/>
      <c r="V1210" s="18"/>
      <c r="W1210" s="18"/>
      <c r="X1210" s="18"/>
      <c r="Y1210" s="18"/>
      <c r="Z1210" s="18"/>
      <c r="AA1210" s="18"/>
      <c r="AB1210" s="18"/>
      <c r="AC1210" s="18"/>
      <c r="AD1210" s="18"/>
      <c r="AE1210" s="18"/>
      <c r="AF1210" s="18"/>
      <c r="AG1210" s="18"/>
      <c r="AH1210" s="18"/>
      <c r="AI1210" s="18"/>
      <c r="AJ1210" s="18"/>
      <c r="AK1210" s="18"/>
      <c r="AL1210" s="18"/>
      <c r="AM1210" s="18"/>
    </row>
    <row r="1211" spans="6:39" x14ac:dyDescent="0.35">
      <c r="F1211" s="18" t="s">
        <v>1172</v>
      </c>
      <c r="G1211" s="19">
        <v>46229</v>
      </c>
      <c r="H1211" s="18" t="s">
        <v>485</v>
      </c>
      <c r="I1211" s="18" t="s">
        <v>1110</v>
      </c>
      <c r="J1211" s="18">
        <v>408</v>
      </c>
      <c r="K1211" s="18" t="s">
        <v>1121</v>
      </c>
      <c r="L1211" s="18" t="s">
        <v>4303</v>
      </c>
      <c r="M1211" s="19">
        <v>46229</v>
      </c>
      <c r="N1211" s="18" t="s">
        <v>1122</v>
      </c>
      <c r="O1211" s="18" t="s">
        <v>1123</v>
      </c>
      <c r="P1211" s="18" t="s">
        <v>1175</v>
      </c>
      <c r="Q1211" s="18" t="s">
        <v>1176</v>
      </c>
      <c r="R1211" s="18" t="s">
        <v>1177</v>
      </c>
      <c r="S1211" s="18">
        <v>32</v>
      </c>
      <c r="T1211" s="18">
        <v>1536</v>
      </c>
      <c r="U1211" s="18"/>
      <c r="V1211" s="18"/>
      <c r="W1211" s="18"/>
      <c r="X1211" s="18"/>
      <c r="Y1211" s="18"/>
      <c r="Z1211" s="18"/>
      <c r="AA1211" s="18"/>
      <c r="AB1211" s="18"/>
      <c r="AC1211" s="18"/>
      <c r="AD1211" s="18"/>
      <c r="AE1211" s="18"/>
      <c r="AF1211" s="18"/>
      <c r="AG1211" s="18"/>
      <c r="AH1211" s="18"/>
      <c r="AI1211" s="18"/>
      <c r="AJ1211" s="18"/>
      <c r="AK1211" s="18"/>
      <c r="AL1211" s="18"/>
      <c r="AM1211" s="18"/>
    </row>
    <row r="1212" spans="6:39" x14ac:dyDescent="0.35">
      <c r="F1212" s="18" t="s">
        <v>1172</v>
      </c>
      <c r="G1212" s="19">
        <v>46229</v>
      </c>
      <c r="H1212" s="18" t="s">
        <v>526</v>
      </c>
      <c r="I1212" s="18" t="s">
        <v>1136</v>
      </c>
      <c r="J1212" s="18" t="s">
        <v>5356</v>
      </c>
      <c r="K1212" s="18" t="s">
        <v>1145</v>
      </c>
      <c r="L1212" s="18" t="s">
        <v>5356</v>
      </c>
      <c r="M1212" s="19">
        <v>46229</v>
      </c>
      <c r="N1212" s="18" t="s">
        <v>1146</v>
      </c>
      <c r="O1212" s="18" t="s">
        <v>1147</v>
      </c>
      <c r="P1212" s="18" t="s">
        <v>1147</v>
      </c>
      <c r="Q1212" s="18" t="s">
        <v>1173</v>
      </c>
      <c r="R1212" s="18" t="s">
        <v>1149</v>
      </c>
      <c r="S1212" s="18">
        <v>22394</v>
      </c>
      <c r="T1212" s="18">
        <v>6287176.9600000009</v>
      </c>
      <c r="U1212" s="18"/>
      <c r="V1212" s="18"/>
      <c r="W1212" s="18"/>
      <c r="X1212" s="18"/>
      <c r="Y1212" s="18"/>
      <c r="Z1212" s="18"/>
      <c r="AA1212" s="18"/>
      <c r="AB1212" s="18"/>
      <c r="AC1212" s="18"/>
      <c r="AD1212" s="18"/>
      <c r="AE1212" s="18"/>
      <c r="AF1212" s="18"/>
      <c r="AG1212" s="18"/>
      <c r="AH1212" s="18"/>
      <c r="AI1212" s="18"/>
      <c r="AJ1212" s="18"/>
      <c r="AK1212" s="18"/>
      <c r="AL1212" s="18"/>
      <c r="AM1212" s="18"/>
    </row>
    <row r="1213" spans="6:39" x14ac:dyDescent="0.35">
      <c r="F1213" s="18" t="s">
        <v>1172</v>
      </c>
      <c r="G1213" s="19">
        <v>46229</v>
      </c>
      <c r="H1213" s="18" t="s">
        <v>125</v>
      </c>
      <c r="I1213" s="18" t="s">
        <v>1110</v>
      </c>
      <c r="J1213" s="18">
        <v>409</v>
      </c>
      <c r="K1213" s="18" t="s">
        <v>1111</v>
      </c>
      <c r="L1213" s="18" t="s">
        <v>4304</v>
      </c>
      <c r="M1213" s="19">
        <v>46229</v>
      </c>
      <c r="N1213" s="18" t="s">
        <v>1146</v>
      </c>
      <c r="O1213" s="18" t="s">
        <v>1147</v>
      </c>
      <c r="P1213" s="18" t="s">
        <v>1147</v>
      </c>
      <c r="Q1213" s="18" t="s">
        <v>1173</v>
      </c>
      <c r="R1213" s="18" t="s">
        <v>1149</v>
      </c>
      <c r="S1213" s="18">
        <v>19608</v>
      </c>
      <c r="T1213" s="18">
        <v>4433760.96</v>
      </c>
      <c r="U1213" s="18"/>
      <c r="V1213" s="18"/>
      <c r="W1213" s="18"/>
      <c r="X1213" s="18"/>
      <c r="Y1213" s="18"/>
      <c r="Z1213" s="18"/>
      <c r="AA1213" s="18"/>
      <c r="AB1213" s="18"/>
      <c r="AC1213" s="18"/>
      <c r="AD1213" s="18"/>
      <c r="AE1213" s="18"/>
      <c r="AF1213" s="18"/>
      <c r="AG1213" s="18"/>
      <c r="AH1213" s="18"/>
      <c r="AI1213" s="18"/>
      <c r="AJ1213" s="18"/>
      <c r="AK1213" s="18"/>
      <c r="AL1213" s="18"/>
      <c r="AM1213" s="18"/>
    </row>
    <row r="1214" spans="6:39" x14ac:dyDescent="0.35">
      <c r="F1214" s="18" t="s">
        <v>1172</v>
      </c>
      <c r="G1214" s="19">
        <v>46230</v>
      </c>
      <c r="H1214" s="18" t="s">
        <v>5623</v>
      </c>
      <c r="I1214" s="18" t="s">
        <v>1110</v>
      </c>
      <c r="J1214" s="18">
        <v>410</v>
      </c>
      <c r="K1214" s="18" t="s">
        <v>1111</v>
      </c>
      <c r="L1214" s="18" t="s">
        <v>4305</v>
      </c>
      <c r="M1214" s="19">
        <v>46230</v>
      </c>
      <c r="N1214" s="18" t="s">
        <v>1112</v>
      </c>
      <c r="O1214" s="18" t="s">
        <v>1117</v>
      </c>
      <c r="P1214" s="18" t="s">
        <v>1118</v>
      </c>
      <c r="Q1214" s="18" t="s">
        <v>1174</v>
      </c>
      <c r="R1214" s="18" t="s">
        <v>1120</v>
      </c>
      <c r="S1214" s="18">
        <v>987</v>
      </c>
      <c r="T1214" s="18">
        <v>145681.20000000001</v>
      </c>
      <c r="U1214" s="18"/>
      <c r="V1214" s="18"/>
      <c r="W1214" s="18"/>
      <c r="X1214" s="18"/>
      <c r="Y1214" s="18"/>
      <c r="Z1214" s="18"/>
      <c r="AA1214" s="18"/>
      <c r="AB1214" s="18"/>
      <c r="AC1214" s="18"/>
      <c r="AD1214" s="18"/>
      <c r="AE1214" s="18"/>
      <c r="AF1214" s="18"/>
      <c r="AG1214" s="18"/>
      <c r="AH1214" s="18"/>
      <c r="AI1214" s="18"/>
      <c r="AJ1214" s="18"/>
      <c r="AK1214" s="18"/>
      <c r="AL1214" s="18"/>
      <c r="AM1214" s="18"/>
    </row>
    <row r="1215" spans="6:39" x14ac:dyDescent="0.35">
      <c r="F1215" s="18" t="s">
        <v>1172</v>
      </c>
      <c r="G1215" s="19">
        <v>46230</v>
      </c>
      <c r="H1215" s="18" t="s">
        <v>5623</v>
      </c>
      <c r="I1215" s="18" t="s">
        <v>1110</v>
      </c>
      <c r="J1215" s="18">
        <v>410</v>
      </c>
      <c r="K1215" s="18" t="s">
        <v>1111</v>
      </c>
      <c r="L1215" s="18" t="s">
        <v>4305</v>
      </c>
      <c r="M1215" s="19">
        <v>46230</v>
      </c>
      <c r="N1215" s="18" t="s">
        <v>1112</v>
      </c>
      <c r="O1215" s="18" t="s">
        <v>1117</v>
      </c>
      <c r="P1215" s="18" t="s">
        <v>1138</v>
      </c>
      <c r="Q1215" s="18" t="s">
        <v>1139</v>
      </c>
      <c r="R1215" s="18" t="s">
        <v>1140</v>
      </c>
      <c r="S1215" s="18">
        <v>1802.2</v>
      </c>
      <c r="T1215" s="18">
        <v>275015.71999999997</v>
      </c>
      <c r="U1215" s="18"/>
      <c r="V1215" s="18"/>
      <c r="W1215" s="18"/>
      <c r="X1215" s="18"/>
      <c r="Y1215" s="18"/>
      <c r="Z1215" s="18"/>
      <c r="AA1215" s="18"/>
      <c r="AB1215" s="18"/>
      <c r="AC1215" s="18"/>
      <c r="AD1215" s="18"/>
      <c r="AE1215" s="18"/>
      <c r="AF1215" s="18"/>
      <c r="AG1215" s="18"/>
      <c r="AH1215" s="18"/>
      <c r="AI1215" s="18"/>
      <c r="AJ1215" s="18"/>
      <c r="AK1215" s="18"/>
      <c r="AL1215" s="18"/>
      <c r="AM1215" s="18"/>
    </row>
    <row r="1216" spans="6:39" x14ac:dyDescent="0.35">
      <c r="F1216" s="18" t="s">
        <v>1172</v>
      </c>
      <c r="G1216" s="19">
        <v>46230</v>
      </c>
      <c r="H1216" s="18" t="s">
        <v>5623</v>
      </c>
      <c r="I1216" s="18" t="s">
        <v>1110</v>
      </c>
      <c r="J1216" s="18">
        <v>410</v>
      </c>
      <c r="K1216" s="18" t="s">
        <v>1111</v>
      </c>
      <c r="L1216" s="18" t="s">
        <v>4305</v>
      </c>
      <c r="M1216" s="19">
        <v>46230</v>
      </c>
      <c r="N1216" s="18" t="s">
        <v>1112</v>
      </c>
      <c r="O1216" s="18" t="s">
        <v>1117</v>
      </c>
      <c r="P1216" s="18" t="s">
        <v>1138</v>
      </c>
      <c r="Q1216" s="18" t="s">
        <v>1139</v>
      </c>
      <c r="R1216" s="18" t="s">
        <v>1140</v>
      </c>
      <c r="S1216" s="18">
        <v>435</v>
      </c>
      <c r="T1216" s="18">
        <v>65859</v>
      </c>
      <c r="U1216" s="18"/>
      <c r="V1216" s="18"/>
      <c r="W1216" s="18"/>
      <c r="X1216" s="18"/>
      <c r="Y1216" s="18"/>
      <c r="Z1216" s="18"/>
      <c r="AA1216" s="18"/>
      <c r="AB1216" s="18"/>
      <c r="AC1216" s="18"/>
      <c r="AD1216" s="18"/>
      <c r="AE1216" s="18"/>
      <c r="AF1216" s="18"/>
      <c r="AG1216" s="18"/>
      <c r="AH1216" s="18"/>
      <c r="AI1216" s="18"/>
      <c r="AJ1216" s="18"/>
      <c r="AK1216" s="18"/>
      <c r="AL1216" s="18"/>
      <c r="AM1216" s="18"/>
    </row>
    <row r="1217" spans="6:39" x14ac:dyDescent="0.35">
      <c r="F1217" s="18" t="s">
        <v>1172</v>
      </c>
      <c r="G1217" s="19">
        <v>46230</v>
      </c>
      <c r="H1217" s="18" t="s">
        <v>5623</v>
      </c>
      <c r="I1217" s="18" t="s">
        <v>1110</v>
      </c>
      <c r="J1217" s="18">
        <v>410</v>
      </c>
      <c r="K1217" s="18" t="s">
        <v>1111</v>
      </c>
      <c r="L1217" s="18" t="s">
        <v>4305</v>
      </c>
      <c r="M1217" s="19">
        <v>46230</v>
      </c>
      <c r="N1217" s="18" t="s">
        <v>1112</v>
      </c>
      <c r="O1217" s="18" t="s">
        <v>1131</v>
      </c>
      <c r="P1217" s="18" t="s">
        <v>1132</v>
      </c>
      <c r="Q1217" s="18" t="s">
        <v>1178</v>
      </c>
      <c r="R1217" s="18" t="s">
        <v>1131</v>
      </c>
      <c r="S1217" s="18">
        <v>2564.1</v>
      </c>
      <c r="T1217" s="18">
        <v>391281.66</v>
      </c>
      <c r="U1217" s="18"/>
      <c r="V1217" s="18"/>
      <c r="W1217" s="18"/>
      <c r="X1217" s="18"/>
      <c r="Y1217" s="18"/>
      <c r="Z1217" s="18"/>
      <c r="AA1217" s="18"/>
      <c r="AB1217" s="18"/>
      <c r="AC1217" s="18"/>
      <c r="AD1217" s="18"/>
      <c r="AE1217" s="18"/>
      <c r="AF1217" s="18"/>
      <c r="AG1217" s="18"/>
      <c r="AH1217" s="18"/>
      <c r="AI1217" s="18"/>
      <c r="AJ1217" s="18"/>
      <c r="AK1217" s="18"/>
      <c r="AL1217" s="18"/>
      <c r="AM1217" s="18"/>
    </row>
    <row r="1218" spans="6:39" x14ac:dyDescent="0.35">
      <c r="F1218" s="18" t="s">
        <v>1172</v>
      </c>
      <c r="G1218" s="19">
        <v>46230</v>
      </c>
      <c r="H1218" s="18" t="s">
        <v>5623</v>
      </c>
      <c r="I1218" s="18" t="s">
        <v>1110</v>
      </c>
      <c r="J1218" s="18">
        <v>411</v>
      </c>
      <c r="K1218" s="18" t="s">
        <v>1121</v>
      </c>
      <c r="L1218" s="18" t="s">
        <v>6017</v>
      </c>
      <c r="M1218" s="19">
        <v>46230</v>
      </c>
      <c r="N1218" s="18" t="s">
        <v>1122</v>
      </c>
      <c r="O1218" s="18" t="s">
        <v>1123</v>
      </c>
      <c r="P1218" s="18" t="s">
        <v>1175</v>
      </c>
      <c r="Q1218" s="18" t="s">
        <v>1176</v>
      </c>
      <c r="R1218" s="18" t="s">
        <v>1177</v>
      </c>
      <c r="S1218" s="18">
        <v>94</v>
      </c>
      <c r="T1218" s="18">
        <v>4512</v>
      </c>
      <c r="U1218" s="18"/>
      <c r="V1218" s="18"/>
      <c r="W1218" s="18"/>
      <c r="X1218" s="18"/>
      <c r="Y1218" s="18"/>
      <c r="Z1218" s="18"/>
      <c r="AA1218" s="18"/>
      <c r="AB1218" s="18"/>
      <c r="AC1218" s="18"/>
      <c r="AD1218" s="18"/>
      <c r="AE1218" s="18"/>
      <c r="AF1218" s="18"/>
      <c r="AG1218" s="18"/>
      <c r="AH1218" s="18"/>
      <c r="AI1218" s="18"/>
      <c r="AJ1218" s="18"/>
      <c r="AK1218" s="18"/>
      <c r="AL1218" s="18"/>
      <c r="AM1218" s="18"/>
    </row>
    <row r="1219" spans="6:39" x14ac:dyDescent="0.35">
      <c r="F1219" s="18" t="s">
        <v>1172</v>
      </c>
      <c r="G1219" s="19">
        <v>46230</v>
      </c>
      <c r="H1219" s="18" t="s">
        <v>485</v>
      </c>
      <c r="I1219" s="18" t="s">
        <v>1110</v>
      </c>
      <c r="J1219" s="18">
        <v>413</v>
      </c>
      <c r="K1219" s="18" t="s">
        <v>1121</v>
      </c>
      <c r="L1219" s="18" t="s">
        <v>2234</v>
      </c>
      <c r="M1219" s="19">
        <v>46230</v>
      </c>
      <c r="N1219" s="18" t="s">
        <v>1112</v>
      </c>
      <c r="O1219" s="18" t="s">
        <v>1113</v>
      </c>
      <c r="P1219" s="18" t="s">
        <v>1114</v>
      </c>
      <c r="Q1219" s="18" t="s">
        <v>1180</v>
      </c>
      <c r="R1219" s="18" t="s">
        <v>1143</v>
      </c>
      <c r="S1219" s="18">
        <v>3209.29</v>
      </c>
      <c r="T1219" s="18">
        <v>437554.6</v>
      </c>
      <c r="U1219" s="18"/>
      <c r="V1219" s="18"/>
      <c r="W1219" s="18"/>
      <c r="X1219" s="18"/>
      <c r="Y1219" s="18"/>
      <c r="Z1219" s="18"/>
      <c r="AA1219" s="18"/>
      <c r="AB1219" s="18"/>
      <c r="AC1219" s="18"/>
      <c r="AD1219" s="18"/>
      <c r="AE1219" s="18"/>
      <c r="AF1219" s="18"/>
      <c r="AG1219" s="18"/>
      <c r="AH1219" s="18"/>
      <c r="AI1219" s="18"/>
      <c r="AJ1219" s="18"/>
      <c r="AK1219" s="18"/>
      <c r="AL1219" s="18"/>
      <c r="AM1219" s="18"/>
    </row>
    <row r="1220" spans="6:39" x14ac:dyDescent="0.35">
      <c r="F1220" s="18" t="s">
        <v>1172</v>
      </c>
      <c r="G1220" s="19">
        <v>46230</v>
      </c>
      <c r="H1220" s="18" t="s">
        <v>526</v>
      </c>
      <c r="I1220" s="18" t="s">
        <v>1136</v>
      </c>
      <c r="J1220" s="18" t="s">
        <v>5357</v>
      </c>
      <c r="K1220" s="18" t="s">
        <v>1145</v>
      </c>
      <c r="L1220" s="18" t="s">
        <v>5357</v>
      </c>
      <c r="M1220" s="19">
        <v>46230</v>
      </c>
      <c r="N1220" s="18" t="s">
        <v>1146</v>
      </c>
      <c r="O1220" s="18" t="s">
        <v>1147</v>
      </c>
      <c r="P1220" s="18" t="s">
        <v>1147</v>
      </c>
      <c r="Q1220" s="18" t="s">
        <v>1173</v>
      </c>
      <c r="R1220" s="18" t="s">
        <v>1149</v>
      </c>
      <c r="S1220" s="18">
        <v>21904</v>
      </c>
      <c r="T1220" s="18">
        <v>6052942.6600000001</v>
      </c>
      <c r="U1220" s="18"/>
      <c r="V1220" s="18"/>
      <c r="W1220" s="18"/>
      <c r="X1220" s="18"/>
      <c r="Y1220" s="18"/>
      <c r="Z1220" s="18"/>
      <c r="AA1220" s="18"/>
      <c r="AB1220" s="18"/>
      <c r="AC1220" s="18"/>
      <c r="AD1220" s="18"/>
      <c r="AE1220" s="18"/>
      <c r="AF1220" s="18"/>
      <c r="AG1220" s="18"/>
      <c r="AH1220" s="18"/>
      <c r="AI1220" s="18"/>
      <c r="AJ1220" s="18"/>
      <c r="AK1220" s="18"/>
      <c r="AL1220" s="18"/>
      <c r="AM1220" s="18"/>
    </row>
    <row r="1221" spans="6:39" x14ac:dyDescent="0.35">
      <c r="F1221" s="18" t="s">
        <v>1172</v>
      </c>
      <c r="G1221" s="19">
        <v>46230</v>
      </c>
      <c r="H1221" s="18" t="s">
        <v>125</v>
      </c>
      <c r="I1221" s="18" t="s">
        <v>1110</v>
      </c>
      <c r="J1221" s="18">
        <v>412</v>
      </c>
      <c r="K1221" s="18" t="s">
        <v>1111</v>
      </c>
      <c r="L1221" s="18" t="s">
        <v>5554</v>
      </c>
      <c r="M1221" s="19">
        <v>46230</v>
      </c>
      <c r="N1221" s="18" t="s">
        <v>1112</v>
      </c>
      <c r="O1221" s="18" t="s">
        <v>1113</v>
      </c>
      <c r="P1221" s="18" t="s">
        <v>4858</v>
      </c>
      <c r="Q1221" s="18" t="s">
        <v>1115</v>
      </c>
      <c r="R1221" s="18" t="s">
        <v>1494</v>
      </c>
      <c r="S1221" s="18">
        <v>879.61</v>
      </c>
      <c r="T1221" s="18">
        <v>116108.52</v>
      </c>
      <c r="U1221" s="18"/>
      <c r="V1221" s="18"/>
      <c r="W1221" s="18"/>
      <c r="X1221" s="18"/>
      <c r="Y1221" s="18"/>
      <c r="Z1221" s="18"/>
      <c r="AA1221" s="18"/>
      <c r="AB1221" s="18"/>
      <c r="AC1221" s="18"/>
      <c r="AD1221" s="18"/>
      <c r="AE1221" s="18"/>
      <c r="AF1221" s="18"/>
      <c r="AG1221" s="18"/>
      <c r="AH1221" s="18"/>
      <c r="AI1221" s="18"/>
      <c r="AJ1221" s="18"/>
      <c r="AK1221" s="18"/>
      <c r="AL1221" s="18"/>
      <c r="AM1221" s="18"/>
    </row>
    <row r="1222" spans="6:39" x14ac:dyDescent="0.35">
      <c r="F1222" s="18" t="s">
        <v>1172</v>
      </c>
      <c r="G1222" s="19">
        <v>46230</v>
      </c>
      <c r="H1222" s="18" t="s">
        <v>125</v>
      </c>
      <c r="I1222" s="18" t="s">
        <v>1110</v>
      </c>
      <c r="J1222" s="18">
        <v>412</v>
      </c>
      <c r="K1222" s="18" t="s">
        <v>1111</v>
      </c>
      <c r="L1222" s="18" t="s">
        <v>5554</v>
      </c>
      <c r="M1222" s="19">
        <v>46230</v>
      </c>
      <c r="N1222" s="18" t="s">
        <v>1112</v>
      </c>
      <c r="O1222" s="18" t="s">
        <v>1113</v>
      </c>
      <c r="P1222" s="18" t="s">
        <v>1114</v>
      </c>
      <c r="Q1222" s="18" t="s">
        <v>1180</v>
      </c>
      <c r="R1222" s="18" t="s">
        <v>1143</v>
      </c>
      <c r="S1222" s="18">
        <v>6199.2</v>
      </c>
      <c r="T1222" s="18">
        <v>845198.93</v>
      </c>
      <c r="U1222" s="18"/>
      <c r="V1222" s="18"/>
      <c r="W1222" s="18"/>
      <c r="X1222" s="18"/>
      <c r="Y1222" s="18"/>
      <c r="Z1222" s="18"/>
      <c r="AA1222" s="18"/>
      <c r="AB1222" s="18"/>
      <c r="AC1222" s="18"/>
      <c r="AD1222" s="18"/>
      <c r="AE1222" s="18"/>
      <c r="AF1222" s="18"/>
      <c r="AG1222" s="18"/>
      <c r="AH1222" s="18"/>
      <c r="AI1222" s="18"/>
      <c r="AJ1222" s="18"/>
      <c r="AK1222" s="18"/>
      <c r="AL1222" s="18"/>
      <c r="AM1222" s="18"/>
    </row>
    <row r="1223" spans="6:39" x14ac:dyDescent="0.35">
      <c r="F1223" s="18" t="s">
        <v>1172</v>
      </c>
      <c r="G1223" s="19">
        <v>46231</v>
      </c>
      <c r="H1223" s="18" t="s">
        <v>10</v>
      </c>
      <c r="I1223" s="18" t="s">
        <v>1110</v>
      </c>
      <c r="J1223" s="18">
        <v>414</v>
      </c>
      <c r="K1223" s="18" t="s">
        <v>1165</v>
      </c>
      <c r="L1223" s="18" t="s">
        <v>2235</v>
      </c>
      <c r="M1223" s="19">
        <v>46231</v>
      </c>
      <c r="N1223" s="18" t="s">
        <v>1112</v>
      </c>
      <c r="O1223" s="18" t="s">
        <v>1166</v>
      </c>
      <c r="P1223" s="18" t="s">
        <v>1166</v>
      </c>
      <c r="Q1223" s="18" t="s">
        <v>4226</v>
      </c>
      <c r="R1223" s="18" t="s">
        <v>1168</v>
      </c>
      <c r="S1223" s="18">
        <v>2360</v>
      </c>
      <c r="T1223" s="18">
        <v>51920</v>
      </c>
      <c r="U1223" s="18"/>
      <c r="V1223" s="18"/>
      <c r="W1223" s="18"/>
      <c r="X1223" s="18"/>
      <c r="Y1223" s="18"/>
      <c r="Z1223" s="18"/>
      <c r="AA1223" s="18"/>
      <c r="AB1223" s="18"/>
      <c r="AC1223" s="18"/>
      <c r="AD1223" s="18"/>
      <c r="AE1223" s="18"/>
      <c r="AF1223" s="18"/>
      <c r="AG1223" s="18"/>
      <c r="AH1223" s="18"/>
      <c r="AI1223" s="18"/>
      <c r="AJ1223" s="18"/>
      <c r="AK1223" s="18"/>
      <c r="AL1223" s="18"/>
      <c r="AM1223" s="18"/>
    </row>
    <row r="1224" spans="6:39" x14ac:dyDescent="0.35">
      <c r="F1224" s="18" t="s">
        <v>1172</v>
      </c>
      <c r="G1224" s="19">
        <v>46231</v>
      </c>
      <c r="H1224" s="18" t="s">
        <v>1086</v>
      </c>
      <c r="I1224" s="18" t="s">
        <v>1136</v>
      </c>
      <c r="J1224" s="18" t="s">
        <v>5358</v>
      </c>
      <c r="K1224" s="18" t="s">
        <v>1145</v>
      </c>
      <c r="L1224" s="18" t="s">
        <v>5358</v>
      </c>
      <c r="M1224" s="19">
        <v>46231</v>
      </c>
      <c r="N1224" s="18" t="s">
        <v>1146</v>
      </c>
      <c r="O1224" s="18" t="s">
        <v>1147</v>
      </c>
      <c r="P1224" s="18" t="s">
        <v>1147</v>
      </c>
      <c r="Q1224" s="18" t="s">
        <v>1173</v>
      </c>
      <c r="R1224" s="18" t="s">
        <v>1149</v>
      </c>
      <c r="S1224" s="18">
        <v>3727.4</v>
      </c>
      <c r="T1224" s="18">
        <v>778642.92</v>
      </c>
      <c r="U1224" s="18"/>
      <c r="V1224" s="18"/>
      <c r="W1224" s="18"/>
      <c r="X1224" s="18"/>
      <c r="Y1224" s="18"/>
      <c r="Z1224" s="18"/>
      <c r="AA1224" s="18"/>
      <c r="AB1224" s="18"/>
      <c r="AC1224" s="18"/>
      <c r="AD1224" s="18"/>
      <c r="AE1224" s="18"/>
      <c r="AF1224" s="18"/>
      <c r="AG1224" s="18"/>
      <c r="AH1224" s="18"/>
      <c r="AI1224" s="18"/>
      <c r="AJ1224" s="18"/>
      <c r="AK1224" s="18"/>
      <c r="AL1224" s="18"/>
      <c r="AM1224" s="18"/>
    </row>
    <row r="1225" spans="6:39" x14ac:dyDescent="0.35">
      <c r="F1225" s="18" t="s">
        <v>1172</v>
      </c>
      <c r="G1225" s="19">
        <v>46231</v>
      </c>
      <c r="H1225" s="18" t="s">
        <v>1086</v>
      </c>
      <c r="I1225" s="18" t="s">
        <v>1136</v>
      </c>
      <c r="J1225" s="18" t="s">
        <v>5359</v>
      </c>
      <c r="K1225" s="18" t="s">
        <v>1145</v>
      </c>
      <c r="L1225" s="18" t="s">
        <v>5359</v>
      </c>
      <c r="M1225" s="19">
        <v>46231</v>
      </c>
      <c r="N1225" s="18" t="s">
        <v>1112</v>
      </c>
      <c r="O1225" s="18" t="s">
        <v>1131</v>
      </c>
      <c r="P1225" s="18" t="s">
        <v>1132</v>
      </c>
      <c r="Q1225" s="18" t="s">
        <v>1178</v>
      </c>
      <c r="R1225" s="18" t="s">
        <v>1131</v>
      </c>
      <c r="S1225" s="18">
        <v>4178.8999999999996</v>
      </c>
      <c r="T1225" s="18">
        <v>542970.86907798238</v>
      </c>
      <c r="U1225" s="18"/>
      <c r="V1225" s="18"/>
      <c r="W1225" s="18"/>
      <c r="X1225" s="18"/>
      <c r="Y1225" s="18"/>
      <c r="Z1225" s="18"/>
      <c r="AA1225" s="18"/>
      <c r="AB1225" s="18"/>
      <c r="AC1225" s="18"/>
      <c r="AD1225" s="18"/>
      <c r="AE1225" s="18"/>
      <c r="AF1225" s="18"/>
      <c r="AG1225" s="18"/>
      <c r="AH1225" s="18"/>
      <c r="AI1225" s="18"/>
      <c r="AJ1225" s="18"/>
      <c r="AK1225" s="18"/>
      <c r="AL1225" s="18"/>
      <c r="AM1225" s="18"/>
    </row>
    <row r="1226" spans="6:39" x14ac:dyDescent="0.35">
      <c r="F1226" s="18" t="s">
        <v>1172</v>
      </c>
      <c r="G1226" s="19">
        <v>46231</v>
      </c>
      <c r="H1226" s="18" t="s">
        <v>1086</v>
      </c>
      <c r="I1226" s="18" t="s">
        <v>1136</v>
      </c>
      <c r="J1226" s="18" t="s">
        <v>5359</v>
      </c>
      <c r="K1226" s="18" t="s">
        <v>1145</v>
      </c>
      <c r="L1226" s="18" t="s">
        <v>5359</v>
      </c>
      <c r="M1226" s="19">
        <v>46231</v>
      </c>
      <c r="N1226" s="18" t="s">
        <v>1112</v>
      </c>
      <c r="O1226" s="18" t="s">
        <v>1131</v>
      </c>
      <c r="P1226" s="18" t="s">
        <v>1132</v>
      </c>
      <c r="Q1226" s="18" t="s">
        <v>1178</v>
      </c>
      <c r="R1226" s="18" t="s">
        <v>1762</v>
      </c>
      <c r="S1226" s="18">
        <v>382.4</v>
      </c>
      <c r="T1226" s="18">
        <v>49685.816922017795</v>
      </c>
      <c r="U1226" s="18"/>
      <c r="V1226" s="18"/>
      <c r="W1226" s="18"/>
      <c r="X1226" s="18"/>
      <c r="Y1226" s="18"/>
      <c r="Z1226" s="18"/>
      <c r="AA1226" s="18"/>
      <c r="AB1226" s="18"/>
      <c r="AC1226" s="18"/>
      <c r="AD1226" s="18"/>
      <c r="AE1226" s="18"/>
      <c r="AF1226" s="18"/>
      <c r="AG1226" s="18"/>
      <c r="AH1226" s="18"/>
      <c r="AI1226" s="18"/>
      <c r="AJ1226" s="18"/>
      <c r="AK1226" s="18"/>
      <c r="AL1226" s="18"/>
      <c r="AM1226" s="18"/>
    </row>
    <row r="1227" spans="6:39" x14ac:dyDescent="0.35">
      <c r="F1227" s="18" t="s">
        <v>1172</v>
      </c>
      <c r="G1227" s="19">
        <v>46231</v>
      </c>
      <c r="H1227" s="18" t="s">
        <v>1086</v>
      </c>
      <c r="I1227" s="18" t="s">
        <v>1136</v>
      </c>
      <c r="J1227" s="18" t="s">
        <v>5360</v>
      </c>
      <c r="K1227" s="18" t="s">
        <v>1145</v>
      </c>
      <c r="L1227" s="18" t="s">
        <v>5360</v>
      </c>
      <c r="M1227" s="19">
        <v>46231</v>
      </c>
      <c r="N1227" s="18" t="s">
        <v>1112</v>
      </c>
      <c r="O1227" s="18" t="s">
        <v>1117</v>
      </c>
      <c r="P1227" s="18" t="s">
        <v>1118</v>
      </c>
      <c r="Q1227" s="18" t="s">
        <v>3534</v>
      </c>
      <c r="R1227" s="18" t="s">
        <v>1120</v>
      </c>
      <c r="S1227" s="18">
        <v>9076</v>
      </c>
      <c r="T1227" s="18">
        <v>1262245.5162368866</v>
      </c>
      <c r="U1227" s="18"/>
      <c r="V1227" s="18"/>
      <c r="W1227" s="18"/>
      <c r="X1227" s="18"/>
      <c r="Y1227" s="18"/>
      <c r="Z1227" s="18"/>
      <c r="AA1227" s="18"/>
      <c r="AB1227" s="18"/>
      <c r="AC1227" s="18"/>
      <c r="AD1227" s="18"/>
      <c r="AE1227" s="18"/>
      <c r="AF1227" s="18"/>
      <c r="AG1227" s="18"/>
      <c r="AH1227" s="18"/>
      <c r="AI1227" s="18"/>
      <c r="AJ1227" s="18"/>
      <c r="AK1227" s="18"/>
      <c r="AL1227" s="18"/>
      <c r="AM1227" s="18"/>
    </row>
    <row r="1228" spans="6:39" x14ac:dyDescent="0.35">
      <c r="F1228" s="18" t="s">
        <v>1172</v>
      </c>
      <c r="G1228" s="19">
        <v>46231</v>
      </c>
      <c r="H1228" s="18" t="s">
        <v>1086</v>
      </c>
      <c r="I1228" s="18" t="s">
        <v>1136</v>
      </c>
      <c r="J1228" s="18" t="s">
        <v>5360</v>
      </c>
      <c r="K1228" s="18" t="s">
        <v>1145</v>
      </c>
      <c r="L1228" s="18" t="s">
        <v>5360</v>
      </c>
      <c r="M1228" s="19">
        <v>46231</v>
      </c>
      <c r="N1228" s="18" t="s">
        <v>1112</v>
      </c>
      <c r="O1228" s="18" t="s">
        <v>1117</v>
      </c>
      <c r="P1228" s="18" t="s">
        <v>1138</v>
      </c>
      <c r="Q1228" s="18" t="s">
        <v>3534</v>
      </c>
      <c r="R1228" s="18" t="s">
        <v>1140</v>
      </c>
      <c r="S1228" s="18">
        <v>2060</v>
      </c>
      <c r="T1228" s="18">
        <v>286494.6852631105</v>
      </c>
      <c r="U1228" s="18"/>
      <c r="V1228" s="18"/>
      <c r="W1228" s="18"/>
      <c r="X1228" s="18"/>
      <c r="Y1228" s="18"/>
      <c r="Z1228" s="18"/>
      <c r="AA1228" s="18"/>
      <c r="AB1228" s="18"/>
      <c r="AC1228" s="18"/>
      <c r="AD1228" s="18"/>
      <c r="AE1228" s="18"/>
      <c r="AF1228" s="18"/>
      <c r="AG1228" s="18"/>
      <c r="AH1228" s="18"/>
      <c r="AI1228" s="18"/>
      <c r="AJ1228" s="18"/>
      <c r="AK1228" s="18"/>
      <c r="AL1228" s="18"/>
      <c r="AM1228" s="18"/>
    </row>
    <row r="1229" spans="6:39" x14ac:dyDescent="0.35">
      <c r="F1229" s="18" t="s">
        <v>1172</v>
      </c>
      <c r="G1229" s="19">
        <v>46231</v>
      </c>
      <c r="H1229" s="18" t="s">
        <v>1159</v>
      </c>
      <c r="I1229" s="18" t="s">
        <v>1110</v>
      </c>
      <c r="J1229" s="18">
        <v>416</v>
      </c>
      <c r="K1229" s="18" t="s">
        <v>1111</v>
      </c>
      <c r="L1229" s="18" t="s">
        <v>6018</v>
      </c>
      <c r="M1229" s="19">
        <v>46231</v>
      </c>
      <c r="N1229" s="18" t="s">
        <v>1146</v>
      </c>
      <c r="O1229" s="18" t="s">
        <v>1147</v>
      </c>
      <c r="P1229" s="18" t="s">
        <v>1147</v>
      </c>
      <c r="Q1229" s="18" t="s">
        <v>1173</v>
      </c>
      <c r="R1229" s="18" t="s">
        <v>1169</v>
      </c>
      <c r="S1229" s="18">
        <v>2241</v>
      </c>
      <c r="T1229" s="18">
        <v>574032.15</v>
      </c>
      <c r="U1229" s="18"/>
      <c r="V1229" s="18"/>
      <c r="W1229" s="18"/>
      <c r="X1229" s="18"/>
      <c r="Y1229" s="18"/>
      <c r="Z1229" s="18"/>
      <c r="AA1229" s="18"/>
      <c r="AB1229" s="18"/>
      <c r="AC1229" s="18"/>
      <c r="AD1229" s="18"/>
      <c r="AE1229" s="18"/>
      <c r="AF1229" s="18"/>
      <c r="AG1229" s="18"/>
      <c r="AH1229" s="18"/>
      <c r="AI1229" s="18"/>
      <c r="AJ1229" s="18"/>
      <c r="AK1229" s="18"/>
      <c r="AL1229" s="18"/>
      <c r="AM1229" s="18"/>
    </row>
    <row r="1230" spans="6:39" x14ac:dyDescent="0.35">
      <c r="F1230" s="18" t="s">
        <v>1172</v>
      </c>
      <c r="G1230" s="19">
        <v>46231</v>
      </c>
      <c r="H1230" s="18" t="s">
        <v>1159</v>
      </c>
      <c r="I1230" s="18" t="s">
        <v>1110</v>
      </c>
      <c r="J1230" s="18">
        <v>417</v>
      </c>
      <c r="K1230" s="18" t="s">
        <v>1121</v>
      </c>
      <c r="L1230" s="18" t="s">
        <v>2236</v>
      </c>
      <c r="M1230" s="19">
        <v>46231</v>
      </c>
      <c r="N1230" s="18" t="s">
        <v>1146</v>
      </c>
      <c r="O1230" s="18" t="s">
        <v>1179</v>
      </c>
      <c r="P1230" s="18" t="s">
        <v>1179</v>
      </c>
      <c r="Q1230" s="18" t="s">
        <v>4075</v>
      </c>
      <c r="R1230" s="18" t="s">
        <v>1179</v>
      </c>
      <c r="S1230" s="18">
        <v>10.4</v>
      </c>
      <c r="T1230" s="18">
        <v>3663</v>
      </c>
      <c r="U1230" s="18"/>
      <c r="V1230" s="18"/>
      <c r="W1230" s="18"/>
      <c r="X1230" s="18"/>
      <c r="Y1230" s="18"/>
      <c r="Z1230" s="18"/>
      <c r="AA1230" s="18"/>
      <c r="AB1230" s="18"/>
      <c r="AC1230" s="18"/>
      <c r="AD1230" s="18"/>
      <c r="AE1230" s="18"/>
      <c r="AF1230" s="18"/>
      <c r="AG1230" s="18"/>
      <c r="AH1230" s="18"/>
      <c r="AI1230" s="18"/>
      <c r="AJ1230" s="18"/>
      <c r="AK1230" s="18"/>
      <c r="AL1230" s="18"/>
      <c r="AM1230" s="18"/>
    </row>
    <row r="1231" spans="6:39" x14ac:dyDescent="0.35">
      <c r="F1231" s="18" t="s">
        <v>1172</v>
      </c>
      <c r="G1231" s="19">
        <v>46231</v>
      </c>
      <c r="H1231" s="18" t="s">
        <v>485</v>
      </c>
      <c r="I1231" s="18" t="s">
        <v>1110</v>
      </c>
      <c r="J1231" s="18">
        <v>415</v>
      </c>
      <c r="K1231" s="18" t="s">
        <v>1111</v>
      </c>
      <c r="L1231" s="18" t="s">
        <v>6019</v>
      </c>
      <c r="M1231" s="19">
        <v>46231</v>
      </c>
      <c r="N1231" s="18" t="s">
        <v>1112</v>
      </c>
      <c r="O1231" s="18" t="s">
        <v>1117</v>
      </c>
      <c r="P1231" s="18" t="s">
        <v>1118</v>
      </c>
      <c r="Q1231" s="18" t="s">
        <v>1174</v>
      </c>
      <c r="R1231" s="18" t="s">
        <v>1120</v>
      </c>
      <c r="S1231" s="18">
        <v>352</v>
      </c>
      <c r="T1231" s="18">
        <v>43239.68</v>
      </c>
      <c r="U1231" s="18"/>
      <c r="V1231" s="18"/>
      <c r="W1231" s="18"/>
      <c r="X1231" s="18"/>
      <c r="Y1231" s="18"/>
      <c r="Z1231" s="18"/>
      <c r="AA1231" s="18"/>
      <c r="AB1231" s="18"/>
      <c r="AC1231" s="18"/>
      <c r="AD1231" s="18"/>
      <c r="AE1231" s="18"/>
      <c r="AF1231" s="18"/>
      <c r="AG1231" s="18"/>
      <c r="AH1231" s="18"/>
      <c r="AI1231" s="18"/>
      <c r="AJ1231" s="18"/>
      <c r="AK1231" s="18"/>
      <c r="AL1231" s="18"/>
      <c r="AM1231" s="18"/>
    </row>
    <row r="1232" spans="6:39" x14ac:dyDescent="0.35">
      <c r="F1232" s="18" t="s">
        <v>1172</v>
      </c>
      <c r="G1232" s="19">
        <v>46231</v>
      </c>
      <c r="H1232" s="18" t="s">
        <v>485</v>
      </c>
      <c r="I1232" s="18" t="s">
        <v>1110</v>
      </c>
      <c r="J1232" s="18">
        <v>415</v>
      </c>
      <c r="K1232" s="18" t="s">
        <v>1111</v>
      </c>
      <c r="L1232" s="18" t="s">
        <v>6019</v>
      </c>
      <c r="M1232" s="19">
        <v>46231</v>
      </c>
      <c r="N1232" s="18" t="s">
        <v>1133</v>
      </c>
      <c r="O1232" s="18" t="s">
        <v>1134</v>
      </c>
      <c r="P1232" s="18" t="s">
        <v>1156</v>
      </c>
      <c r="Q1232" s="18" t="s">
        <v>1157</v>
      </c>
      <c r="R1232" s="18" t="s">
        <v>4918</v>
      </c>
      <c r="S1232" s="18">
        <v>3000</v>
      </c>
      <c r="T1232" s="18">
        <v>720000</v>
      </c>
      <c r="U1232" s="18"/>
      <c r="V1232" s="18"/>
      <c r="W1232" s="18"/>
      <c r="X1232" s="18"/>
      <c r="Y1232" s="18"/>
      <c r="Z1232" s="18"/>
      <c r="AA1232" s="18"/>
      <c r="AB1232" s="18"/>
      <c r="AC1232" s="18"/>
      <c r="AD1232" s="18"/>
      <c r="AE1232" s="18"/>
      <c r="AF1232" s="18"/>
      <c r="AG1232" s="18"/>
      <c r="AH1232" s="18"/>
      <c r="AI1232" s="18"/>
      <c r="AJ1232" s="18"/>
      <c r="AK1232" s="18"/>
      <c r="AL1232" s="18"/>
      <c r="AM1232" s="18"/>
    </row>
    <row r="1233" spans="6:39" x14ac:dyDescent="0.35">
      <c r="F1233" s="18" t="s">
        <v>1172</v>
      </c>
      <c r="G1233" s="19">
        <v>46232</v>
      </c>
      <c r="H1233" s="18" t="s">
        <v>1086</v>
      </c>
      <c r="I1233" s="18" t="s">
        <v>1136</v>
      </c>
      <c r="J1233" s="18" t="s">
        <v>5361</v>
      </c>
      <c r="K1233" s="18" t="s">
        <v>1145</v>
      </c>
      <c r="L1233" s="18" t="s">
        <v>5361</v>
      </c>
      <c r="M1233" s="19">
        <v>46232</v>
      </c>
      <c r="N1233" s="18" t="s">
        <v>1112</v>
      </c>
      <c r="O1233" s="18" t="s">
        <v>1131</v>
      </c>
      <c r="P1233" s="18" t="s">
        <v>1132</v>
      </c>
      <c r="Q1233" s="18" t="s">
        <v>1178</v>
      </c>
      <c r="R1233" s="18" t="s">
        <v>1131</v>
      </c>
      <c r="S1233" s="18">
        <v>2652.4</v>
      </c>
      <c r="T1233" s="18">
        <v>428591.49900000001</v>
      </c>
      <c r="U1233" s="18"/>
      <c r="V1233" s="18"/>
      <c r="W1233" s="18"/>
      <c r="X1233" s="18"/>
      <c r="Y1233" s="18"/>
      <c r="Z1233" s="18"/>
      <c r="AA1233" s="18"/>
      <c r="AB1233" s="18"/>
      <c r="AC1233" s="18"/>
      <c r="AD1233" s="18"/>
      <c r="AE1233" s="18"/>
      <c r="AF1233" s="18"/>
      <c r="AG1233" s="18"/>
      <c r="AH1233" s="18"/>
      <c r="AI1233" s="18"/>
      <c r="AJ1233" s="18"/>
      <c r="AK1233" s="18"/>
      <c r="AL1233" s="18"/>
      <c r="AM1233" s="18"/>
    </row>
    <row r="1234" spans="6:39" x14ac:dyDescent="0.35">
      <c r="F1234" s="18" t="s">
        <v>1172</v>
      </c>
      <c r="G1234" s="19">
        <v>46232</v>
      </c>
      <c r="H1234" s="18" t="s">
        <v>1086</v>
      </c>
      <c r="I1234" s="18" t="s">
        <v>1136</v>
      </c>
      <c r="J1234" s="18" t="s">
        <v>5362</v>
      </c>
      <c r="K1234" s="18" t="s">
        <v>1145</v>
      </c>
      <c r="L1234" s="18" t="s">
        <v>5362</v>
      </c>
      <c r="M1234" s="19">
        <v>46232</v>
      </c>
      <c r="N1234" s="18" t="s">
        <v>1112</v>
      </c>
      <c r="O1234" s="18" t="s">
        <v>1117</v>
      </c>
      <c r="P1234" s="18" t="s">
        <v>1118</v>
      </c>
      <c r="Q1234" s="18" t="s">
        <v>3534</v>
      </c>
      <c r="R1234" s="18" t="s">
        <v>1120</v>
      </c>
      <c r="S1234" s="18">
        <v>2204</v>
      </c>
      <c r="T1234" s="18">
        <v>287765.25826573727</v>
      </c>
      <c r="U1234" s="18"/>
      <c r="V1234" s="18"/>
      <c r="W1234" s="18"/>
      <c r="X1234" s="18"/>
      <c r="Y1234" s="18"/>
      <c r="Z1234" s="18"/>
      <c r="AA1234" s="18"/>
      <c r="AB1234" s="18"/>
      <c r="AC1234" s="18"/>
      <c r="AD1234" s="18"/>
      <c r="AE1234" s="18"/>
      <c r="AF1234" s="18"/>
      <c r="AG1234" s="18"/>
      <c r="AH1234" s="18"/>
      <c r="AI1234" s="18"/>
      <c r="AJ1234" s="18"/>
      <c r="AK1234" s="18"/>
      <c r="AL1234" s="18"/>
      <c r="AM1234" s="18"/>
    </row>
    <row r="1235" spans="6:39" x14ac:dyDescent="0.35">
      <c r="F1235" s="18" t="s">
        <v>1172</v>
      </c>
      <c r="G1235" s="19">
        <v>46232</v>
      </c>
      <c r="H1235" s="18" t="s">
        <v>1086</v>
      </c>
      <c r="I1235" s="18" t="s">
        <v>1136</v>
      </c>
      <c r="J1235" s="18" t="s">
        <v>5362</v>
      </c>
      <c r="K1235" s="18" t="s">
        <v>1145</v>
      </c>
      <c r="L1235" s="18" t="s">
        <v>5362</v>
      </c>
      <c r="M1235" s="19">
        <v>46232</v>
      </c>
      <c r="N1235" s="18" t="s">
        <v>1112</v>
      </c>
      <c r="O1235" s="18" t="s">
        <v>1117</v>
      </c>
      <c r="P1235" s="18" t="s">
        <v>1138</v>
      </c>
      <c r="Q1235" s="18" t="s">
        <v>3534</v>
      </c>
      <c r="R1235" s="18" t="s">
        <v>1140</v>
      </c>
      <c r="S1235" s="18">
        <v>2244</v>
      </c>
      <c r="T1235" s="18">
        <v>292987.85823426273</v>
      </c>
      <c r="U1235" s="18"/>
      <c r="V1235" s="18"/>
      <c r="W1235" s="18"/>
      <c r="X1235" s="18"/>
      <c r="Y1235" s="18"/>
      <c r="Z1235" s="18"/>
      <c r="AA1235" s="18"/>
      <c r="AB1235" s="18"/>
      <c r="AC1235" s="18"/>
      <c r="AD1235" s="18"/>
      <c r="AE1235" s="18"/>
      <c r="AF1235" s="18"/>
      <c r="AG1235" s="18"/>
      <c r="AH1235" s="18"/>
      <c r="AI1235" s="18"/>
      <c r="AJ1235" s="18"/>
      <c r="AK1235" s="18"/>
      <c r="AL1235" s="18"/>
      <c r="AM1235" s="18"/>
    </row>
    <row r="1236" spans="6:39" x14ac:dyDescent="0.35">
      <c r="F1236" s="18" t="s">
        <v>1172</v>
      </c>
      <c r="G1236" s="19">
        <v>46232</v>
      </c>
      <c r="H1236" s="18" t="s">
        <v>1086</v>
      </c>
      <c r="I1236" s="18" t="s">
        <v>1136</v>
      </c>
      <c r="J1236" s="18" t="s">
        <v>5363</v>
      </c>
      <c r="K1236" s="18" t="s">
        <v>1145</v>
      </c>
      <c r="L1236" s="18" t="s">
        <v>5363</v>
      </c>
      <c r="M1236" s="19">
        <v>46232</v>
      </c>
      <c r="N1236" s="18" t="s">
        <v>1146</v>
      </c>
      <c r="O1236" s="18" t="s">
        <v>1147</v>
      </c>
      <c r="P1236" s="18" t="s">
        <v>1147</v>
      </c>
      <c r="Q1236" s="18" t="s">
        <v>1173</v>
      </c>
      <c r="R1236" s="18" t="s">
        <v>1149</v>
      </c>
      <c r="S1236" s="18">
        <v>10442</v>
      </c>
      <c r="T1236" s="18">
        <v>2288031.9500000002</v>
      </c>
      <c r="U1236" s="18"/>
      <c r="V1236" s="18"/>
      <c r="W1236" s="18"/>
      <c r="X1236" s="18"/>
      <c r="Y1236" s="18"/>
      <c r="Z1236" s="18"/>
      <c r="AA1236" s="18"/>
      <c r="AB1236" s="18"/>
      <c r="AC1236" s="18"/>
      <c r="AD1236" s="18"/>
      <c r="AE1236" s="18"/>
      <c r="AF1236" s="18"/>
      <c r="AG1236" s="18"/>
      <c r="AH1236" s="18"/>
      <c r="AI1236" s="18"/>
      <c r="AJ1236" s="18"/>
      <c r="AK1236" s="18"/>
      <c r="AL1236" s="18"/>
      <c r="AM1236" s="18"/>
    </row>
    <row r="1237" spans="6:39" x14ac:dyDescent="0.35">
      <c r="F1237" s="18" t="s">
        <v>1172</v>
      </c>
      <c r="G1237" s="19">
        <v>46232</v>
      </c>
      <c r="H1237" s="18" t="s">
        <v>1086</v>
      </c>
      <c r="I1237" s="18" t="s">
        <v>1136</v>
      </c>
      <c r="J1237" s="18" t="s">
        <v>5364</v>
      </c>
      <c r="K1237" s="18" t="s">
        <v>1145</v>
      </c>
      <c r="L1237" s="18" t="s">
        <v>5364</v>
      </c>
      <c r="M1237" s="19">
        <v>46232</v>
      </c>
      <c r="N1237" s="18" t="s">
        <v>1146</v>
      </c>
      <c r="O1237" s="18" t="s">
        <v>1170</v>
      </c>
      <c r="P1237" s="18" t="s">
        <v>1171</v>
      </c>
      <c r="Q1237" s="18" t="s">
        <v>3535</v>
      </c>
      <c r="R1237" s="18" t="s">
        <v>5969</v>
      </c>
      <c r="S1237" s="18">
        <v>2001</v>
      </c>
      <c r="T1237" s="18">
        <v>353297.67550000001</v>
      </c>
      <c r="U1237" s="18"/>
      <c r="V1237" s="18"/>
      <c r="W1237" s="18"/>
      <c r="X1237" s="18"/>
      <c r="Y1237" s="18"/>
      <c r="Z1237" s="18"/>
      <c r="AA1237" s="18"/>
      <c r="AB1237" s="18"/>
      <c r="AC1237" s="18"/>
      <c r="AD1237" s="18"/>
      <c r="AE1237" s="18"/>
      <c r="AF1237" s="18"/>
      <c r="AG1237" s="18"/>
      <c r="AH1237" s="18"/>
      <c r="AI1237" s="18"/>
      <c r="AJ1237" s="18"/>
      <c r="AK1237" s="18"/>
      <c r="AL1237" s="18"/>
      <c r="AM1237" s="18"/>
    </row>
    <row r="1238" spans="6:39" x14ac:dyDescent="0.35">
      <c r="F1238" s="18" t="s">
        <v>1172</v>
      </c>
      <c r="G1238" s="19">
        <v>46232</v>
      </c>
      <c r="H1238" s="18" t="s">
        <v>1159</v>
      </c>
      <c r="I1238" s="18" t="s">
        <v>1110</v>
      </c>
      <c r="J1238" s="18">
        <v>419</v>
      </c>
      <c r="K1238" s="18" t="s">
        <v>1111</v>
      </c>
      <c r="L1238" s="18" t="s">
        <v>6020</v>
      </c>
      <c r="M1238" s="19">
        <v>46232</v>
      </c>
      <c r="N1238" s="18" t="s">
        <v>1146</v>
      </c>
      <c r="O1238" s="18" t="s">
        <v>1179</v>
      </c>
      <c r="P1238" s="18" t="s">
        <v>1179</v>
      </c>
      <c r="Q1238" s="18" t="s">
        <v>4075</v>
      </c>
      <c r="R1238" s="18" t="s">
        <v>1179</v>
      </c>
      <c r="S1238" s="18">
        <v>15.4</v>
      </c>
      <c r="T1238" s="18">
        <v>4500</v>
      </c>
      <c r="U1238" s="18"/>
      <c r="V1238" s="18"/>
      <c r="W1238" s="18"/>
      <c r="X1238" s="18"/>
      <c r="Y1238" s="18"/>
      <c r="Z1238" s="18"/>
      <c r="AA1238" s="18"/>
      <c r="AB1238" s="18"/>
      <c r="AC1238" s="18"/>
      <c r="AD1238" s="18"/>
      <c r="AE1238" s="18"/>
      <c r="AF1238" s="18"/>
      <c r="AG1238" s="18"/>
      <c r="AH1238" s="18"/>
      <c r="AI1238" s="18"/>
      <c r="AJ1238" s="18"/>
      <c r="AK1238" s="18"/>
      <c r="AL1238" s="18"/>
      <c r="AM1238" s="18"/>
    </row>
    <row r="1239" spans="6:39" x14ac:dyDescent="0.35">
      <c r="F1239" s="18" t="s">
        <v>1172</v>
      </c>
      <c r="G1239" s="19">
        <v>46232</v>
      </c>
      <c r="H1239" s="18" t="s">
        <v>1159</v>
      </c>
      <c r="I1239" s="18" t="s">
        <v>1110</v>
      </c>
      <c r="J1239" s="18">
        <v>419</v>
      </c>
      <c r="K1239" s="18" t="s">
        <v>1111</v>
      </c>
      <c r="L1239" s="18" t="s">
        <v>6020</v>
      </c>
      <c r="M1239" s="19">
        <v>46232</v>
      </c>
      <c r="N1239" s="18" t="s">
        <v>1146</v>
      </c>
      <c r="O1239" s="18" t="s">
        <v>1179</v>
      </c>
      <c r="P1239" s="18" t="s">
        <v>1179</v>
      </c>
      <c r="Q1239" s="18" t="s">
        <v>1174</v>
      </c>
      <c r="R1239" s="18" t="s">
        <v>1179</v>
      </c>
      <c r="S1239" s="18">
        <v>524.79999999999995</v>
      </c>
      <c r="T1239" s="18">
        <v>64466.43</v>
      </c>
      <c r="U1239" s="18"/>
      <c r="V1239" s="18"/>
      <c r="W1239" s="18"/>
      <c r="X1239" s="18"/>
      <c r="Y1239" s="18"/>
      <c r="Z1239" s="18"/>
      <c r="AA1239" s="18"/>
      <c r="AB1239" s="18"/>
      <c r="AC1239" s="18"/>
      <c r="AD1239" s="18"/>
      <c r="AE1239" s="18"/>
      <c r="AF1239" s="18"/>
      <c r="AG1239" s="18"/>
      <c r="AH1239" s="18"/>
      <c r="AI1239" s="18"/>
      <c r="AJ1239" s="18"/>
      <c r="AK1239" s="18"/>
      <c r="AL1239" s="18"/>
      <c r="AM1239" s="18"/>
    </row>
    <row r="1240" spans="6:39" x14ac:dyDescent="0.35">
      <c r="F1240" s="18" t="s">
        <v>1172</v>
      </c>
      <c r="G1240" s="19">
        <v>46232</v>
      </c>
      <c r="H1240" s="18" t="s">
        <v>1159</v>
      </c>
      <c r="I1240" s="18" t="s">
        <v>1110</v>
      </c>
      <c r="J1240" s="18">
        <v>419</v>
      </c>
      <c r="K1240" s="18" t="s">
        <v>1111</v>
      </c>
      <c r="L1240" s="18" t="s">
        <v>6020</v>
      </c>
      <c r="M1240" s="19">
        <v>46232</v>
      </c>
      <c r="N1240" s="18" t="s">
        <v>1112</v>
      </c>
      <c r="O1240" s="18" t="s">
        <v>1117</v>
      </c>
      <c r="P1240" s="18" t="s">
        <v>1118</v>
      </c>
      <c r="Q1240" s="18" t="s">
        <v>1174</v>
      </c>
      <c r="R1240" s="18" t="s">
        <v>1120</v>
      </c>
      <c r="S1240" s="18">
        <v>693</v>
      </c>
      <c r="T1240" s="18">
        <v>85128.12</v>
      </c>
      <c r="U1240" s="18"/>
      <c r="V1240" s="18"/>
      <c r="W1240" s="18"/>
      <c r="X1240" s="18"/>
      <c r="Y1240" s="18"/>
      <c r="Z1240" s="18"/>
      <c r="AA1240" s="18"/>
      <c r="AB1240" s="18"/>
      <c r="AC1240" s="18"/>
      <c r="AD1240" s="18"/>
      <c r="AE1240" s="18"/>
      <c r="AF1240" s="18"/>
      <c r="AG1240" s="18"/>
      <c r="AH1240" s="18"/>
      <c r="AI1240" s="18"/>
      <c r="AJ1240" s="18"/>
      <c r="AK1240" s="18"/>
      <c r="AL1240" s="18"/>
      <c r="AM1240" s="18"/>
    </row>
    <row r="1241" spans="6:39" x14ac:dyDescent="0.35">
      <c r="F1241" s="18" t="s">
        <v>1172</v>
      </c>
      <c r="G1241" s="19">
        <v>46232</v>
      </c>
      <c r="H1241" s="18" t="s">
        <v>1159</v>
      </c>
      <c r="I1241" s="18" t="s">
        <v>1110</v>
      </c>
      <c r="J1241" s="18">
        <v>419</v>
      </c>
      <c r="K1241" s="18" t="s">
        <v>1111</v>
      </c>
      <c r="L1241" s="18" t="s">
        <v>6020</v>
      </c>
      <c r="M1241" s="19">
        <v>46232</v>
      </c>
      <c r="N1241" s="18" t="s">
        <v>1112</v>
      </c>
      <c r="O1241" s="18" t="s">
        <v>1117</v>
      </c>
      <c r="P1241" s="18" t="s">
        <v>1138</v>
      </c>
      <c r="Q1241" s="18" t="s">
        <v>1174</v>
      </c>
      <c r="R1241" s="18" t="s">
        <v>1140</v>
      </c>
      <c r="S1241" s="18">
        <v>207</v>
      </c>
      <c r="T1241" s="18">
        <v>26255.88</v>
      </c>
      <c r="U1241" s="18"/>
      <c r="V1241" s="18"/>
      <c r="W1241" s="18"/>
      <c r="X1241" s="18"/>
      <c r="Y1241" s="18"/>
      <c r="Z1241" s="18"/>
      <c r="AA1241" s="18"/>
      <c r="AB1241" s="18"/>
      <c r="AC1241" s="18"/>
      <c r="AD1241" s="18"/>
      <c r="AE1241" s="18"/>
      <c r="AF1241" s="18"/>
      <c r="AG1241" s="18"/>
      <c r="AH1241" s="18"/>
      <c r="AI1241" s="18"/>
      <c r="AJ1241" s="18"/>
      <c r="AK1241" s="18"/>
      <c r="AL1241" s="18"/>
      <c r="AM1241" s="18"/>
    </row>
    <row r="1242" spans="6:39" x14ac:dyDescent="0.35">
      <c r="F1242" s="18" t="s">
        <v>1172</v>
      </c>
      <c r="G1242" s="19">
        <v>46232</v>
      </c>
      <c r="H1242" s="18" t="s">
        <v>1159</v>
      </c>
      <c r="I1242" s="18" t="s">
        <v>1110</v>
      </c>
      <c r="J1242" s="18">
        <v>419</v>
      </c>
      <c r="K1242" s="18" t="s">
        <v>1111</v>
      </c>
      <c r="L1242" s="18" t="s">
        <v>6020</v>
      </c>
      <c r="M1242" s="19">
        <v>46232</v>
      </c>
      <c r="N1242" s="18" t="s">
        <v>1112</v>
      </c>
      <c r="O1242" s="18" t="s">
        <v>1131</v>
      </c>
      <c r="P1242" s="18" t="s">
        <v>1132</v>
      </c>
      <c r="Q1242" s="18" t="s">
        <v>1178</v>
      </c>
      <c r="R1242" s="18" t="s">
        <v>1131</v>
      </c>
      <c r="S1242" s="18">
        <v>390.1</v>
      </c>
      <c r="T1242" s="18">
        <v>49870.38</v>
      </c>
      <c r="U1242" s="18"/>
      <c r="V1242" s="18"/>
      <c r="W1242" s="18"/>
      <c r="X1242" s="18"/>
      <c r="Y1242" s="18"/>
      <c r="Z1242" s="18"/>
      <c r="AA1242" s="18"/>
      <c r="AB1242" s="18"/>
      <c r="AC1242" s="18"/>
      <c r="AD1242" s="18"/>
      <c r="AE1242" s="18"/>
      <c r="AF1242" s="18"/>
      <c r="AG1242" s="18"/>
      <c r="AH1242" s="18"/>
      <c r="AI1242" s="18"/>
      <c r="AJ1242" s="18"/>
      <c r="AK1242" s="18"/>
      <c r="AL1242" s="18"/>
      <c r="AM1242" s="18"/>
    </row>
    <row r="1243" spans="6:39" x14ac:dyDescent="0.35">
      <c r="F1243" s="18" t="s">
        <v>1172</v>
      </c>
      <c r="G1243" s="19">
        <v>46232</v>
      </c>
      <c r="H1243" s="18" t="s">
        <v>1159</v>
      </c>
      <c r="I1243" s="18" t="s">
        <v>1110</v>
      </c>
      <c r="J1243" s="18">
        <v>419</v>
      </c>
      <c r="K1243" s="18" t="s">
        <v>1111</v>
      </c>
      <c r="L1243" s="18" t="s">
        <v>6020</v>
      </c>
      <c r="M1243" s="19">
        <v>46232</v>
      </c>
      <c r="N1243" s="18" t="s">
        <v>1112</v>
      </c>
      <c r="O1243" s="18" t="s">
        <v>1113</v>
      </c>
      <c r="P1243" s="18" t="s">
        <v>4858</v>
      </c>
      <c r="Q1243" s="18" t="s">
        <v>1115</v>
      </c>
      <c r="R1243" s="18" t="s">
        <v>1494</v>
      </c>
      <c r="S1243" s="18">
        <v>21.8</v>
      </c>
      <c r="T1243" s="18">
        <v>3967.6</v>
      </c>
      <c r="U1243" s="18"/>
      <c r="V1243" s="18"/>
      <c r="W1243" s="18"/>
      <c r="X1243" s="18"/>
      <c r="Y1243" s="18"/>
      <c r="Z1243" s="18"/>
      <c r="AA1243" s="18"/>
      <c r="AB1243" s="18"/>
      <c r="AC1243" s="18"/>
      <c r="AD1243" s="18"/>
      <c r="AE1243" s="18"/>
      <c r="AF1243" s="18"/>
      <c r="AG1243" s="18"/>
      <c r="AH1243" s="18"/>
      <c r="AI1243" s="18"/>
      <c r="AJ1243" s="18"/>
      <c r="AK1243" s="18"/>
      <c r="AL1243" s="18"/>
      <c r="AM1243" s="18"/>
    </row>
    <row r="1244" spans="6:39" x14ac:dyDescent="0.35">
      <c r="F1244" s="18" t="s">
        <v>1172</v>
      </c>
      <c r="G1244" s="19">
        <v>46232</v>
      </c>
      <c r="H1244" s="18" t="s">
        <v>1159</v>
      </c>
      <c r="I1244" s="18" t="s">
        <v>1110</v>
      </c>
      <c r="J1244" s="18">
        <v>419</v>
      </c>
      <c r="K1244" s="18" t="s">
        <v>1111</v>
      </c>
      <c r="L1244" s="18" t="s">
        <v>6020</v>
      </c>
      <c r="M1244" s="19">
        <v>46232</v>
      </c>
      <c r="N1244" s="18" t="s">
        <v>1112</v>
      </c>
      <c r="O1244" s="18" t="s">
        <v>1131</v>
      </c>
      <c r="P1244" s="18" t="s">
        <v>1132</v>
      </c>
      <c r="Q1244" s="18" t="s">
        <v>1178</v>
      </c>
      <c r="R1244" s="18" t="s">
        <v>1762</v>
      </c>
      <c r="S1244" s="18">
        <v>38.799999999999997</v>
      </c>
      <c r="T1244" s="18">
        <v>5658.59</v>
      </c>
      <c r="U1244" s="18"/>
      <c r="V1244" s="18"/>
      <c r="W1244" s="18"/>
      <c r="X1244" s="18"/>
      <c r="Y1244" s="18"/>
      <c r="Z1244" s="18"/>
      <c r="AA1244" s="18"/>
      <c r="AB1244" s="18"/>
      <c r="AC1244" s="18"/>
      <c r="AD1244" s="18"/>
      <c r="AE1244" s="18"/>
      <c r="AF1244" s="18"/>
      <c r="AG1244" s="18"/>
      <c r="AH1244" s="18"/>
      <c r="AI1244" s="18"/>
      <c r="AJ1244" s="18"/>
      <c r="AK1244" s="18"/>
      <c r="AL1244" s="18"/>
      <c r="AM1244" s="18"/>
    </row>
    <row r="1245" spans="6:39" x14ac:dyDescent="0.35">
      <c r="F1245" s="18" t="s">
        <v>1172</v>
      </c>
      <c r="G1245" s="19">
        <v>46232</v>
      </c>
      <c r="H1245" s="18" t="s">
        <v>485</v>
      </c>
      <c r="I1245" s="18" t="s">
        <v>1110</v>
      </c>
      <c r="J1245" s="18">
        <v>418</v>
      </c>
      <c r="K1245" s="18" t="s">
        <v>1111</v>
      </c>
      <c r="L1245" s="18" t="s">
        <v>2237</v>
      </c>
      <c r="M1245" s="19">
        <v>46232</v>
      </c>
      <c r="N1245" s="18" t="s">
        <v>1146</v>
      </c>
      <c r="O1245" s="18" t="s">
        <v>1147</v>
      </c>
      <c r="P1245" s="18" t="s">
        <v>1147</v>
      </c>
      <c r="Q1245" s="18" t="s">
        <v>1173</v>
      </c>
      <c r="R1245" s="18" t="s">
        <v>1149</v>
      </c>
      <c r="S1245" s="18">
        <v>19647</v>
      </c>
      <c r="T1245" s="18">
        <v>4300335.3600000003</v>
      </c>
      <c r="U1245" s="18"/>
      <c r="V1245" s="18"/>
      <c r="W1245" s="18"/>
      <c r="X1245" s="18"/>
      <c r="Y1245" s="18"/>
      <c r="Z1245" s="18"/>
      <c r="AA1245" s="18"/>
      <c r="AB1245" s="18"/>
      <c r="AC1245" s="18"/>
      <c r="AD1245" s="18"/>
      <c r="AE1245" s="18"/>
      <c r="AF1245" s="18"/>
      <c r="AG1245" s="18"/>
      <c r="AH1245" s="18"/>
      <c r="AI1245" s="18"/>
      <c r="AJ1245" s="18"/>
      <c r="AK1245" s="18"/>
      <c r="AL1245" s="18"/>
      <c r="AM1245" s="18"/>
    </row>
    <row r="1246" spans="6:39" x14ac:dyDescent="0.35">
      <c r="F1246" s="18" t="s">
        <v>1172</v>
      </c>
      <c r="G1246" s="19">
        <v>46232</v>
      </c>
      <c r="H1246" s="18" t="s">
        <v>485</v>
      </c>
      <c r="I1246" s="18" t="s">
        <v>1110</v>
      </c>
      <c r="J1246" s="18">
        <v>420</v>
      </c>
      <c r="K1246" s="18" t="s">
        <v>1111</v>
      </c>
      <c r="L1246" s="18" t="s">
        <v>4306</v>
      </c>
      <c r="M1246" s="19">
        <v>46232</v>
      </c>
      <c r="N1246" s="18" t="s">
        <v>1112</v>
      </c>
      <c r="O1246" s="18" t="s">
        <v>1113</v>
      </c>
      <c r="P1246" s="18" t="s">
        <v>4858</v>
      </c>
      <c r="Q1246" s="18" t="s">
        <v>1115</v>
      </c>
      <c r="R1246" s="18" t="s">
        <v>1494</v>
      </c>
      <c r="S1246" s="18">
        <v>1550.3</v>
      </c>
      <c r="T1246" s="18">
        <v>282154.59999999998</v>
      </c>
      <c r="U1246" s="18"/>
      <c r="V1246" s="18"/>
      <c r="W1246" s="18"/>
      <c r="X1246" s="18"/>
      <c r="Y1246" s="18"/>
      <c r="Z1246" s="18"/>
      <c r="AA1246" s="18"/>
      <c r="AB1246" s="18"/>
      <c r="AC1246" s="18"/>
      <c r="AD1246" s="18"/>
      <c r="AE1246" s="18"/>
      <c r="AF1246" s="18"/>
      <c r="AG1246" s="18"/>
      <c r="AH1246" s="18"/>
      <c r="AI1246" s="18"/>
      <c r="AJ1246" s="18"/>
      <c r="AK1246" s="18"/>
      <c r="AL1246" s="18"/>
      <c r="AM1246" s="18"/>
    </row>
    <row r="1247" spans="6:39" x14ac:dyDescent="0.35">
      <c r="F1247" s="18" t="s">
        <v>1172</v>
      </c>
      <c r="G1247" s="19">
        <v>46232</v>
      </c>
      <c r="H1247" s="18" t="s">
        <v>6021</v>
      </c>
      <c r="I1247" s="18" t="s">
        <v>1110</v>
      </c>
      <c r="J1247" s="18">
        <v>421</v>
      </c>
      <c r="K1247" s="18" t="s">
        <v>1111</v>
      </c>
      <c r="L1247" s="18" t="s">
        <v>4307</v>
      </c>
      <c r="M1247" s="19">
        <v>46232</v>
      </c>
      <c r="N1247" s="18" t="s">
        <v>1112</v>
      </c>
      <c r="O1247" s="18" t="s">
        <v>1117</v>
      </c>
      <c r="P1247" s="18" t="s">
        <v>1118</v>
      </c>
      <c r="Q1247" s="18" t="s">
        <v>3534</v>
      </c>
      <c r="R1247" s="18" t="s">
        <v>5966</v>
      </c>
      <c r="S1247" s="18">
        <v>435</v>
      </c>
      <c r="T1247" s="18">
        <v>75600</v>
      </c>
      <c r="U1247" s="18"/>
      <c r="V1247" s="18"/>
      <c r="W1247" s="18"/>
      <c r="X1247" s="18"/>
      <c r="Y1247" s="18"/>
      <c r="Z1247" s="18"/>
      <c r="AA1247" s="18"/>
      <c r="AB1247" s="18"/>
      <c r="AC1247" s="18"/>
      <c r="AD1247" s="18"/>
      <c r="AE1247" s="18"/>
      <c r="AF1247" s="18"/>
      <c r="AG1247" s="18"/>
      <c r="AH1247" s="18"/>
      <c r="AI1247" s="18"/>
      <c r="AJ1247" s="18"/>
      <c r="AK1247" s="18"/>
      <c r="AL1247" s="18"/>
      <c r="AM1247" s="18"/>
    </row>
    <row r="1248" spans="6:39" x14ac:dyDescent="0.35">
      <c r="F1248" s="18" t="s">
        <v>1172</v>
      </c>
      <c r="G1248" s="19">
        <v>46233</v>
      </c>
      <c r="H1248" s="18" t="s">
        <v>1159</v>
      </c>
      <c r="I1248" s="18" t="s">
        <v>1110</v>
      </c>
      <c r="J1248" s="18">
        <v>425</v>
      </c>
      <c r="K1248" s="18" t="s">
        <v>1111</v>
      </c>
      <c r="L1248" s="18" t="s">
        <v>6022</v>
      </c>
      <c r="M1248" s="19">
        <v>46233</v>
      </c>
      <c r="N1248" s="18" t="s">
        <v>1146</v>
      </c>
      <c r="O1248" s="18" t="s">
        <v>1179</v>
      </c>
      <c r="P1248" s="18" t="s">
        <v>1179</v>
      </c>
      <c r="Q1248" s="18" t="s">
        <v>4075</v>
      </c>
      <c r="R1248" s="18" t="s">
        <v>1179</v>
      </c>
      <c r="S1248" s="18">
        <v>13.8</v>
      </c>
      <c r="T1248" s="18">
        <v>6930</v>
      </c>
      <c r="U1248" s="18"/>
      <c r="V1248" s="18"/>
      <c r="W1248" s="18"/>
      <c r="X1248" s="18"/>
      <c r="Y1248" s="18"/>
      <c r="Z1248" s="18"/>
      <c r="AA1248" s="18"/>
      <c r="AB1248" s="18"/>
      <c r="AC1248" s="18"/>
      <c r="AD1248" s="18"/>
      <c r="AE1248" s="18"/>
      <c r="AF1248" s="18"/>
      <c r="AG1248" s="18"/>
      <c r="AH1248" s="18"/>
      <c r="AI1248" s="18"/>
      <c r="AJ1248" s="18"/>
      <c r="AK1248" s="18"/>
      <c r="AL1248" s="18"/>
      <c r="AM1248" s="18"/>
    </row>
    <row r="1249" spans="6:39" x14ac:dyDescent="0.35">
      <c r="F1249" s="18" t="s">
        <v>1172</v>
      </c>
      <c r="G1249" s="19">
        <v>46233</v>
      </c>
      <c r="H1249" s="18" t="s">
        <v>1159</v>
      </c>
      <c r="I1249" s="18" t="s">
        <v>1110</v>
      </c>
      <c r="J1249" s="18">
        <v>425</v>
      </c>
      <c r="K1249" s="18" t="s">
        <v>1111</v>
      </c>
      <c r="L1249" s="18" t="s">
        <v>6022</v>
      </c>
      <c r="M1249" s="19">
        <v>46233</v>
      </c>
      <c r="N1249" s="18" t="s">
        <v>1133</v>
      </c>
      <c r="O1249" s="18" t="s">
        <v>1134</v>
      </c>
      <c r="P1249" s="18" t="s">
        <v>1156</v>
      </c>
      <c r="Q1249" s="18" t="s">
        <v>1157</v>
      </c>
      <c r="R1249" s="18" t="s">
        <v>4918</v>
      </c>
      <c r="S1249" s="18">
        <v>1000</v>
      </c>
      <c r="T1249" s="18">
        <v>240000</v>
      </c>
      <c r="U1249" s="18"/>
      <c r="V1249" s="18"/>
      <c r="W1249" s="18"/>
      <c r="X1249" s="18"/>
      <c r="Y1249" s="18"/>
      <c r="Z1249" s="18"/>
      <c r="AA1249" s="18"/>
      <c r="AB1249" s="18"/>
      <c r="AC1249" s="18"/>
      <c r="AD1249" s="18"/>
      <c r="AE1249" s="18"/>
      <c r="AF1249" s="18"/>
      <c r="AG1249" s="18"/>
      <c r="AH1249" s="18"/>
      <c r="AI1249" s="18"/>
      <c r="AJ1249" s="18"/>
      <c r="AK1249" s="18"/>
      <c r="AL1249" s="18"/>
      <c r="AM1249" s="18"/>
    </row>
    <row r="1250" spans="6:39" x14ac:dyDescent="0.35">
      <c r="F1250" s="18" t="s">
        <v>1172</v>
      </c>
      <c r="G1250" s="19">
        <v>46233</v>
      </c>
      <c r="H1250" s="18" t="s">
        <v>1159</v>
      </c>
      <c r="I1250" s="18" t="s">
        <v>1110</v>
      </c>
      <c r="J1250" s="18">
        <v>425</v>
      </c>
      <c r="K1250" s="18" t="s">
        <v>1111</v>
      </c>
      <c r="L1250" s="18" t="s">
        <v>6022</v>
      </c>
      <c r="M1250" s="19">
        <v>46233</v>
      </c>
      <c r="N1250" s="18" t="s">
        <v>1112</v>
      </c>
      <c r="O1250" s="18" t="s">
        <v>1131</v>
      </c>
      <c r="P1250" s="18" t="s">
        <v>1132</v>
      </c>
      <c r="Q1250" s="18" t="s">
        <v>1178</v>
      </c>
      <c r="R1250" s="18" t="s">
        <v>1131</v>
      </c>
      <c r="S1250" s="18">
        <v>249.1</v>
      </c>
      <c r="T1250" s="18">
        <v>31844.94</v>
      </c>
      <c r="U1250" s="18"/>
      <c r="V1250" s="18"/>
      <c r="W1250" s="18"/>
      <c r="X1250" s="18"/>
      <c r="Y1250" s="18"/>
      <c r="Z1250" s="18"/>
      <c r="AA1250" s="18"/>
      <c r="AB1250" s="18"/>
      <c r="AC1250" s="18"/>
      <c r="AD1250" s="18"/>
      <c r="AE1250" s="18"/>
      <c r="AF1250" s="18"/>
      <c r="AG1250" s="18"/>
      <c r="AH1250" s="18"/>
      <c r="AI1250" s="18"/>
      <c r="AJ1250" s="18"/>
      <c r="AK1250" s="18"/>
      <c r="AL1250" s="18"/>
      <c r="AM1250" s="18"/>
    </row>
    <row r="1251" spans="6:39" x14ac:dyDescent="0.35">
      <c r="F1251" s="18" t="s">
        <v>1172</v>
      </c>
      <c r="G1251" s="19">
        <v>46233</v>
      </c>
      <c r="H1251" s="18" t="s">
        <v>5623</v>
      </c>
      <c r="I1251" s="18" t="s">
        <v>1110</v>
      </c>
      <c r="J1251" s="18">
        <v>426</v>
      </c>
      <c r="K1251" s="18" t="s">
        <v>1111</v>
      </c>
      <c r="L1251" s="18" t="s">
        <v>4308</v>
      </c>
      <c r="M1251" s="19">
        <v>46233</v>
      </c>
      <c r="N1251" s="18" t="s">
        <v>1112</v>
      </c>
      <c r="O1251" s="18" t="s">
        <v>1117</v>
      </c>
      <c r="P1251" s="18" t="s">
        <v>1118</v>
      </c>
      <c r="Q1251" s="18" t="s">
        <v>1174</v>
      </c>
      <c r="R1251" s="18" t="s">
        <v>1120</v>
      </c>
      <c r="S1251" s="18">
        <v>3639</v>
      </c>
      <c r="T1251" s="18">
        <v>537152.79</v>
      </c>
      <c r="U1251" s="18"/>
      <c r="V1251" s="18"/>
      <c r="W1251" s="18"/>
      <c r="X1251" s="18"/>
      <c r="Y1251" s="18"/>
      <c r="Z1251" s="18"/>
      <c r="AA1251" s="18"/>
      <c r="AB1251" s="18"/>
      <c r="AC1251" s="18"/>
      <c r="AD1251" s="18"/>
      <c r="AE1251" s="18"/>
      <c r="AF1251" s="18"/>
      <c r="AG1251" s="18"/>
      <c r="AH1251" s="18"/>
      <c r="AI1251" s="18"/>
      <c r="AJ1251" s="18"/>
      <c r="AK1251" s="18"/>
      <c r="AL1251" s="18"/>
      <c r="AM1251" s="18"/>
    </row>
    <row r="1252" spans="6:39" x14ac:dyDescent="0.35">
      <c r="F1252" s="18" t="s">
        <v>1172</v>
      </c>
      <c r="G1252" s="19">
        <v>46233</v>
      </c>
      <c r="H1252" s="18" t="s">
        <v>5623</v>
      </c>
      <c r="I1252" s="18" t="s">
        <v>1110</v>
      </c>
      <c r="J1252" s="18">
        <v>426</v>
      </c>
      <c r="K1252" s="18" t="s">
        <v>1111</v>
      </c>
      <c r="L1252" s="18" t="s">
        <v>4308</v>
      </c>
      <c r="M1252" s="19">
        <v>46233</v>
      </c>
      <c r="N1252" s="18" t="s">
        <v>1112</v>
      </c>
      <c r="O1252" s="18" t="s">
        <v>1131</v>
      </c>
      <c r="P1252" s="18" t="s">
        <v>1132</v>
      </c>
      <c r="Q1252" s="18" t="s">
        <v>1178</v>
      </c>
      <c r="R1252" s="18" t="s">
        <v>1131</v>
      </c>
      <c r="S1252" s="18">
        <v>1279.7</v>
      </c>
      <c r="T1252" s="18">
        <v>195295.02</v>
      </c>
      <c r="U1252" s="18"/>
      <c r="V1252" s="18"/>
      <c r="W1252" s="18"/>
      <c r="X1252" s="18"/>
      <c r="Y1252" s="18"/>
      <c r="Z1252" s="18"/>
      <c r="AA1252" s="18"/>
      <c r="AB1252" s="18"/>
      <c r="AC1252" s="18"/>
      <c r="AD1252" s="18"/>
      <c r="AE1252" s="18"/>
      <c r="AF1252" s="18"/>
      <c r="AG1252" s="18"/>
      <c r="AH1252" s="18"/>
      <c r="AI1252" s="18"/>
      <c r="AJ1252" s="18"/>
      <c r="AK1252" s="18"/>
      <c r="AL1252" s="18"/>
      <c r="AM1252" s="18"/>
    </row>
    <row r="1253" spans="6:39" x14ac:dyDescent="0.35">
      <c r="F1253" s="18" t="s">
        <v>1172</v>
      </c>
      <c r="G1253" s="19">
        <v>46233</v>
      </c>
      <c r="H1253" s="18" t="s">
        <v>5623</v>
      </c>
      <c r="I1253" s="18" t="s">
        <v>1110</v>
      </c>
      <c r="J1253" s="18">
        <v>426</v>
      </c>
      <c r="K1253" s="18" t="s">
        <v>1111</v>
      </c>
      <c r="L1253" s="18" t="s">
        <v>4308</v>
      </c>
      <c r="M1253" s="19">
        <v>46233</v>
      </c>
      <c r="N1253" s="18" t="s">
        <v>1112</v>
      </c>
      <c r="O1253" s="18" t="s">
        <v>1131</v>
      </c>
      <c r="P1253" s="18" t="s">
        <v>1132</v>
      </c>
      <c r="Q1253" s="18" t="s">
        <v>1178</v>
      </c>
      <c r="R1253" s="18" t="s">
        <v>1210</v>
      </c>
      <c r="S1253" s="18">
        <v>224.3</v>
      </c>
      <c r="T1253" s="18">
        <v>38940.720000000001</v>
      </c>
      <c r="U1253" s="18"/>
      <c r="V1253" s="18"/>
      <c r="W1253" s="18"/>
      <c r="X1253" s="18"/>
      <c r="Y1253" s="18"/>
      <c r="Z1253" s="18"/>
      <c r="AA1253" s="18"/>
      <c r="AB1253" s="18"/>
      <c r="AC1253" s="18"/>
      <c r="AD1253" s="18"/>
      <c r="AE1253" s="18"/>
      <c r="AF1253" s="18"/>
      <c r="AG1253" s="18"/>
      <c r="AH1253" s="18"/>
      <c r="AI1253" s="18"/>
      <c r="AJ1253" s="18"/>
      <c r="AK1253" s="18"/>
      <c r="AL1253" s="18"/>
      <c r="AM1253" s="18"/>
    </row>
    <row r="1254" spans="6:39" x14ac:dyDescent="0.35">
      <c r="F1254" s="18" t="s">
        <v>1172</v>
      </c>
      <c r="G1254" s="19">
        <v>46233</v>
      </c>
      <c r="H1254" s="18" t="s">
        <v>5623</v>
      </c>
      <c r="I1254" s="18" t="s">
        <v>1110</v>
      </c>
      <c r="J1254" s="18">
        <v>427</v>
      </c>
      <c r="K1254" s="18" t="s">
        <v>1121</v>
      </c>
      <c r="L1254" s="18" t="s">
        <v>6023</v>
      </c>
      <c r="M1254" s="19">
        <v>46233</v>
      </c>
      <c r="N1254" s="18" t="s">
        <v>1122</v>
      </c>
      <c r="O1254" s="18" t="s">
        <v>1123</v>
      </c>
      <c r="P1254" s="18" t="s">
        <v>1175</v>
      </c>
      <c r="Q1254" s="18" t="s">
        <v>1176</v>
      </c>
      <c r="R1254" s="18" t="s">
        <v>1177</v>
      </c>
      <c r="S1254" s="18">
        <v>131</v>
      </c>
      <c r="T1254" s="18">
        <v>6288</v>
      </c>
      <c r="U1254" s="18"/>
      <c r="V1254" s="18"/>
      <c r="W1254" s="18"/>
      <c r="X1254" s="18"/>
      <c r="Y1254" s="18"/>
      <c r="Z1254" s="18"/>
      <c r="AA1254" s="18"/>
      <c r="AB1254" s="18"/>
      <c r="AC1254" s="18"/>
      <c r="AD1254" s="18"/>
      <c r="AE1254" s="18"/>
      <c r="AF1254" s="18"/>
      <c r="AG1254" s="18"/>
      <c r="AH1254" s="18"/>
      <c r="AI1254" s="18"/>
      <c r="AJ1254" s="18"/>
      <c r="AK1254" s="18"/>
      <c r="AL1254" s="18"/>
      <c r="AM1254" s="18"/>
    </row>
    <row r="1255" spans="6:39" x14ac:dyDescent="0.35">
      <c r="F1255" s="18" t="s">
        <v>1172</v>
      </c>
      <c r="G1255" s="19">
        <v>46233</v>
      </c>
      <c r="H1255" s="18" t="s">
        <v>485</v>
      </c>
      <c r="I1255" s="18" t="s">
        <v>1110</v>
      </c>
      <c r="J1255" s="18">
        <v>422</v>
      </c>
      <c r="K1255" s="18" t="s">
        <v>1121</v>
      </c>
      <c r="L1255" s="18" t="s">
        <v>6024</v>
      </c>
      <c r="M1255" s="19">
        <v>46233</v>
      </c>
      <c r="N1255" s="18" t="s">
        <v>1146</v>
      </c>
      <c r="O1255" s="18" t="s">
        <v>1179</v>
      </c>
      <c r="P1255" s="18" t="s">
        <v>1179</v>
      </c>
      <c r="Q1255" s="18" t="s">
        <v>4075</v>
      </c>
      <c r="R1255" s="18" t="s">
        <v>1179</v>
      </c>
      <c r="S1255" s="18">
        <v>14.6</v>
      </c>
      <c r="T1255" s="18">
        <v>4185</v>
      </c>
      <c r="U1255" s="18"/>
      <c r="V1255" s="18"/>
      <c r="W1255" s="18"/>
      <c r="X1255" s="18"/>
      <c r="Y1255" s="18"/>
      <c r="Z1255" s="18"/>
      <c r="AA1255" s="18"/>
      <c r="AB1255" s="18"/>
      <c r="AC1255" s="18"/>
      <c r="AD1255" s="18"/>
      <c r="AE1255" s="18"/>
      <c r="AF1255" s="18"/>
      <c r="AG1255" s="18"/>
      <c r="AH1255" s="18"/>
      <c r="AI1255" s="18"/>
      <c r="AJ1255" s="18"/>
      <c r="AK1255" s="18"/>
      <c r="AL1255" s="18"/>
      <c r="AM1255" s="18"/>
    </row>
    <row r="1256" spans="6:39" x14ac:dyDescent="0.35">
      <c r="F1256" s="18" t="s">
        <v>1172</v>
      </c>
      <c r="G1256" s="19">
        <v>46233</v>
      </c>
      <c r="H1256" s="18" t="s">
        <v>485</v>
      </c>
      <c r="I1256" s="18" t="s">
        <v>1110</v>
      </c>
      <c r="J1256" s="18">
        <v>422</v>
      </c>
      <c r="K1256" s="18" t="s">
        <v>1121</v>
      </c>
      <c r="L1256" s="18" t="s">
        <v>6024</v>
      </c>
      <c r="M1256" s="19">
        <v>46233</v>
      </c>
      <c r="N1256" s="18" t="s">
        <v>1146</v>
      </c>
      <c r="O1256" s="18" t="s">
        <v>1179</v>
      </c>
      <c r="P1256" s="18" t="s">
        <v>1179</v>
      </c>
      <c r="Q1256" s="18" t="s">
        <v>4075</v>
      </c>
      <c r="R1256" s="18" t="s">
        <v>1179</v>
      </c>
      <c r="S1256" s="18">
        <v>18</v>
      </c>
      <c r="T1256" s="18">
        <v>6200</v>
      </c>
      <c r="U1256" s="18"/>
      <c r="V1256" s="18"/>
      <c r="W1256" s="18"/>
      <c r="X1256" s="18"/>
      <c r="Y1256" s="18"/>
      <c r="Z1256" s="18"/>
      <c r="AA1256" s="18"/>
      <c r="AB1256" s="18"/>
      <c r="AC1256" s="18"/>
      <c r="AD1256" s="18"/>
      <c r="AE1256" s="18"/>
      <c r="AF1256" s="18"/>
      <c r="AG1256" s="18"/>
      <c r="AH1256" s="18"/>
      <c r="AI1256" s="18"/>
      <c r="AJ1256" s="18"/>
      <c r="AK1256" s="18"/>
      <c r="AL1256" s="18"/>
      <c r="AM1256" s="18"/>
    </row>
    <row r="1257" spans="6:39" x14ac:dyDescent="0.35">
      <c r="F1257" s="18" t="s">
        <v>1172</v>
      </c>
      <c r="G1257" s="19">
        <v>46233</v>
      </c>
      <c r="H1257" s="18" t="s">
        <v>485</v>
      </c>
      <c r="I1257" s="18" t="s">
        <v>1110</v>
      </c>
      <c r="J1257" s="18">
        <v>423</v>
      </c>
      <c r="K1257" s="18" t="s">
        <v>1111</v>
      </c>
      <c r="L1257" s="18" t="s">
        <v>6025</v>
      </c>
      <c r="M1257" s="19">
        <v>46233</v>
      </c>
      <c r="N1257" s="18" t="s">
        <v>1112</v>
      </c>
      <c r="O1257" s="18" t="s">
        <v>1117</v>
      </c>
      <c r="P1257" s="18" t="s">
        <v>1118</v>
      </c>
      <c r="Q1257" s="18" t="s">
        <v>1174</v>
      </c>
      <c r="R1257" s="18" t="s">
        <v>1120</v>
      </c>
      <c r="S1257" s="18">
        <v>4987</v>
      </c>
      <c r="T1257" s="18">
        <v>612603.07999999996</v>
      </c>
      <c r="U1257" s="18"/>
      <c r="V1257" s="18"/>
      <c r="W1257" s="18"/>
      <c r="X1257" s="18"/>
      <c r="Y1257" s="18"/>
      <c r="Z1257" s="18"/>
      <c r="AA1257" s="18"/>
      <c r="AB1257" s="18"/>
      <c r="AC1257" s="18"/>
      <c r="AD1257" s="18"/>
      <c r="AE1257" s="18"/>
      <c r="AF1257" s="18"/>
      <c r="AG1257" s="18"/>
      <c r="AH1257" s="18"/>
      <c r="AI1257" s="18"/>
      <c r="AJ1257" s="18"/>
      <c r="AK1257" s="18"/>
      <c r="AL1257" s="18"/>
      <c r="AM1257" s="18"/>
    </row>
    <row r="1258" spans="6:39" x14ac:dyDescent="0.35">
      <c r="F1258" s="18" t="s">
        <v>1172</v>
      </c>
      <c r="G1258" s="19">
        <v>46233</v>
      </c>
      <c r="H1258" s="18" t="s">
        <v>485</v>
      </c>
      <c r="I1258" s="18" t="s">
        <v>1110</v>
      </c>
      <c r="J1258" s="18">
        <v>423</v>
      </c>
      <c r="K1258" s="18" t="s">
        <v>1111</v>
      </c>
      <c r="L1258" s="18" t="s">
        <v>6025</v>
      </c>
      <c r="M1258" s="19">
        <v>46233</v>
      </c>
      <c r="N1258" s="18" t="s">
        <v>1112</v>
      </c>
      <c r="O1258" s="18" t="s">
        <v>1131</v>
      </c>
      <c r="P1258" s="18" t="s">
        <v>1132</v>
      </c>
      <c r="Q1258" s="18" t="s">
        <v>1178</v>
      </c>
      <c r="R1258" s="18" t="s">
        <v>1210</v>
      </c>
      <c r="S1258" s="18">
        <v>716.4</v>
      </c>
      <c r="T1258" s="18">
        <v>106628.98</v>
      </c>
      <c r="U1258" s="18"/>
      <c r="V1258" s="18"/>
      <c r="W1258" s="18"/>
      <c r="X1258" s="18"/>
      <c r="Y1258" s="18"/>
      <c r="Z1258" s="18"/>
      <c r="AA1258" s="18"/>
      <c r="AB1258" s="18"/>
      <c r="AC1258" s="18"/>
      <c r="AD1258" s="18"/>
      <c r="AE1258" s="18"/>
      <c r="AF1258" s="18"/>
      <c r="AG1258" s="18"/>
      <c r="AH1258" s="18"/>
      <c r="AI1258" s="18"/>
      <c r="AJ1258" s="18"/>
      <c r="AK1258" s="18"/>
      <c r="AL1258" s="18"/>
      <c r="AM1258" s="18"/>
    </row>
    <row r="1259" spans="6:39" x14ac:dyDescent="0.35">
      <c r="F1259" s="18" t="s">
        <v>1172</v>
      </c>
      <c r="G1259" s="19">
        <v>46233</v>
      </c>
      <c r="H1259" s="18" t="s">
        <v>485</v>
      </c>
      <c r="I1259" s="18" t="s">
        <v>1110</v>
      </c>
      <c r="J1259" s="18">
        <v>423</v>
      </c>
      <c r="K1259" s="18" t="s">
        <v>1111</v>
      </c>
      <c r="L1259" s="18" t="s">
        <v>6025</v>
      </c>
      <c r="M1259" s="19">
        <v>46233</v>
      </c>
      <c r="N1259" s="18" t="s">
        <v>1112</v>
      </c>
      <c r="O1259" s="18" t="s">
        <v>1131</v>
      </c>
      <c r="P1259" s="18" t="s">
        <v>1132</v>
      </c>
      <c r="Q1259" s="18" t="s">
        <v>1178</v>
      </c>
      <c r="R1259" s="18" t="s">
        <v>1210</v>
      </c>
      <c r="S1259" s="18">
        <v>279.5</v>
      </c>
      <c r="T1259" s="18">
        <v>40762.28</v>
      </c>
      <c r="U1259" s="18"/>
      <c r="V1259" s="18"/>
      <c r="W1259" s="18"/>
      <c r="X1259" s="18"/>
      <c r="Y1259" s="18"/>
      <c r="Z1259" s="18"/>
      <c r="AA1259" s="18"/>
      <c r="AB1259" s="18"/>
      <c r="AC1259" s="18"/>
      <c r="AD1259" s="18"/>
      <c r="AE1259" s="18"/>
      <c r="AF1259" s="18"/>
      <c r="AG1259" s="18"/>
      <c r="AH1259" s="18"/>
      <c r="AI1259" s="18"/>
      <c r="AJ1259" s="18"/>
      <c r="AK1259" s="18"/>
      <c r="AL1259" s="18"/>
      <c r="AM1259" s="18"/>
    </row>
    <row r="1260" spans="6:39" x14ac:dyDescent="0.35">
      <c r="F1260" s="18" t="s">
        <v>1172</v>
      </c>
      <c r="G1260" s="19">
        <v>46233</v>
      </c>
      <c r="H1260" s="18" t="s">
        <v>485</v>
      </c>
      <c r="I1260" s="18" t="s">
        <v>1110</v>
      </c>
      <c r="J1260" s="18">
        <v>424</v>
      </c>
      <c r="K1260" s="18" t="s">
        <v>1121</v>
      </c>
      <c r="L1260" s="18" t="s">
        <v>6026</v>
      </c>
      <c r="M1260" s="19">
        <v>46233</v>
      </c>
      <c r="N1260" s="18" t="s">
        <v>1122</v>
      </c>
      <c r="O1260" s="18" t="s">
        <v>1123</v>
      </c>
      <c r="P1260" s="18" t="s">
        <v>1175</v>
      </c>
      <c r="Q1260" s="18" t="s">
        <v>1176</v>
      </c>
      <c r="R1260" s="18" t="s">
        <v>1177</v>
      </c>
      <c r="S1260" s="18">
        <v>193</v>
      </c>
      <c r="T1260" s="18">
        <v>9264</v>
      </c>
      <c r="U1260" s="18"/>
      <c r="V1260" s="18"/>
      <c r="W1260" s="18"/>
      <c r="X1260" s="18"/>
      <c r="Y1260" s="18"/>
      <c r="Z1260" s="18"/>
      <c r="AA1260" s="18"/>
      <c r="AB1260" s="18"/>
      <c r="AC1260" s="18"/>
      <c r="AD1260" s="18"/>
      <c r="AE1260" s="18"/>
      <c r="AF1260" s="18"/>
      <c r="AG1260" s="18"/>
      <c r="AH1260" s="18"/>
      <c r="AI1260" s="18"/>
      <c r="AJ1260" s="18"/>
      <c r="AK1260" s="18"/>
      <c r="AL1260" s="18"/>
      <c r="AM1260" s="18"/>
    </row>
    <row r="1261" spans="6:39" x14ac:dyDescent="0.35">
      <c r="F1261" s="18" t="s">
        <v>1172</v>
      </c>
      <c r="G1261" s="19">
        <v>46234</v>
      </c>
      <c r="H1261" s="18" t="s">
        <v>538</v>
      </c>
      <c r="I1261" s="18" t="s">
        <v>1136</v>
      </c>
      <c r="J1261" s="18" t="s">
        <v>5365</v>
      </c>
      <c r="K1261" s="18" t="s">
        <v>1145</v>
      </c>
      <c r="L1261" s="18" t="s">
        <v>5365</v>
      </c>
      <c r="M1261" s="19">
        <v>46234</v>
      </c>
      <c r="N1261" s="18" t="s">
        <v>1146</v>
      </c>
      <c r="O1261" s="18" t="s">
        <v>1147</v>
      </c>
      <c r="P1261" s="18" t="s">
        <v>1147</v>
      </c>
      <c r="Q1261" s="18" t="s">
        <v>5015</v>
      </c>
      <c r="R1261" s="18" t="s">
        <v>1169</v>
      </c>
      <c r="S1261" s="18">
        <v>3168</v>
      </c>
      <c r="T1261" s="18">
        <v>855884.20199999993</v>
      </c>
      <c r="U1261" s="18"/>
      <c r="V1261" s="18"/>
      <c r="W1261" s="18"/>
      <c r="X1261" s="18"/>
      <c r="Y1261" s="18"/>
      <c r="Z1261" s="18"/>
      <c r="AA1261" s="18"/>
      <c r="AB1261" s="18"/>
      <c r="AC1261" s="18"/>
      <c r="AD1261" s="18"/>
      <c r="AE1261" s="18"/>
      <c r="AF1261" s="18"/>
      <c r="AG1261" s="18"/>
      <c r="AH1261" s="18"/>
      <c r="AI1261" s="18"/>
      <c r="AJ1261" s="18"/>
      <c r="AK1261" s="18"/>
      <c r="AL1261" s="18"/>
      <c r="AM1261" s="18"/>
    </row>
    <row r="1262" spans="6:39" x14ac:dyDescent="0.35">
      <c r="F1262" s="18" t="s">
        <v>1172</v>
      </c>
      <c r="G1262" s="19">
        <v>46234</v>
      </c>
      <c r="H1262" s="18" t="s">
        <v>538</v>
      </c>
      <c r="I1262" s="18" t="s">
        <v>1136</v>
      </c>
      <c r="J1262" s="18" t="s">
        <v>5365</v>
      </c>
      <c r="K1262" s="18" t="s">
        <v>1145</v>
      </c>
      <c r="L1262" s="18" t="s">
        <v>5365</v>
      </c>
      <c r="M1262" s="19">
        <v>46234</v>
      </c>
      <c r="N1262" s="18" t="s">
        <v>1146</v>
      </c>
      <c r="O1262" s="18" t="s">
        <v>1147</v>
      </c>
      <c r="P1262" s="18" t="s">
        <v>1147</v>
      </c>
      <c r="Q1262" s="18" t="s">
        <v>5015</v>
      </c>
      <c r="R1262" s="18" t="s">
        <v>1149</v>
      </c>
      <c r="S1262" s="18">
        <v>15162</v>
      </c>
      <c r="T1262" s="18">
        <v>3451148.3579999995</v>
      </c>
      <c r="U1262" s="18"/>
      <c r="V1262" s="18"/>
      <c r="W1262" s="18"/>
      <c r="X1262" s="18"/>
      <c r="Y1262" s="18"/>
      <c r="Z1262" s="18"/>
      <c r="AA1262" s="18"/>
      <c r="AB1262" s="18"/>
      <c r="AC1262" s="18"/>
      <c r="AD1262" s="18"/>
      <c r="AE1262" s="18"/>
      <c r="AF1262" s="18"/>
      <c r="AG1262" s="18"/>
      <c r="AH1262" s="18"/>
      <c r="AI1262" s="18"/>
      <c r="AJ1262" s="18"/>
      <c r="AK1262" s="18"/>
      <c r="AL1262" s="18"/>
      <c r="AM1262" s="18"/>
    </row>
    <row r="1263" spans="6:39" x14ac:dyDescent="0.35">
      <c r="F1263" s="18" t="s">
        <v>1172</v>
      </c>
      <c r="G1263" s="19">
        <v>46234</v>
      </c>
      <c r="H1263" s="18" t="s">
        <v>5300</v>
      </c>
      <c r="I1263" s="18" t="s">
        <v>1110</v>
      </c>
      <c r="J1263" s="18">
        <v>428</v>
      </c>
      <c r="K1263" s="18" t="s">
        <v>1111</v>
      </c>
      <c r="L1263" s="18" t="s">
        <v>5366</v>
      </c>
      <c r="M1263" s="19">
        <v>46234</v>
      </c>
      <c r="N1263" s="18" t="s">
        <v>1146</v>
      </c>
      <c r="O1263" s="18" t="s">
        <v>1147</v>
      </c>
      <c r="P1263" s="18" t="s">
        <v>1147</v>
      </c>
      <c r="Q1263" s="18" t="s">
        <v>5015</v>
      </c>
      <c r="R1263" s="18" t="s">
        <v>1169</v>
      </c>
      <c r="S1263" s="18">
        <v>446.9</v>
      </c>
      <c r="T1263" s="18">
        <v>67035</v>
      </c>
      <c r="U1263" s="18"/>
      <c r="V1263" s="18"/>
      <c r="W1263" s="18"/>
      <c r="X1263" s="18"/>
      <c r="Y1263" s="18"/>
      <c r="Z1263" s="18"/>
      <c r="AA1263" s="18"/>
      <c r="AB1263" s="18"/>
      <c r="AC1263" s="18"/>
      <c r="AD1263" s="18"/>
      <c r="AE1263" s="18"/>
      <c r="AF1263" s="18"/>
      <c r="AG1263" s="18"/>
      <c r="AH1263" s="18"/>
      <c r="AI1263" s="18"/>
      <c r="AJ1263" s="18"/>
      <c r="AK1263" s="18"/>
      <c r="AL1263" s="18"/>
      <c r="AM1263" s="18"/>
    </row>
    <row r="1264" spans="6:39" x14ac:dyDescent="0.35">
      <c r="F1264" s="18" t="s">
        <v>1172</v>
      </c>
      <c r="G1264" s="19">
        <v>46234</v>
      </c>
      <c r="H1264" s="18" t="s">
        <v>5299</v>
      </c>
      <c r="I1264" s="18" t="s">
        <v>1110</v>
      </c>
      <c r="J1264" s="18">
        <v>429</v>
      </c>
      <c r="K1264" s="18" t="s">
        <v>1121</v>
      </c>
      <c r="L1264" s="18" t="s">
        <v>5367</v>
      </c>
      <c r="M1264" s="19">
        <v>46234</v>
      </c>
      <c r="N1264" s="18" t="s">
        <v>1133</v>
      </c>
      <c r="O1264" s="18" t="s">
        <v>1134</v>
      </c>
      <c r="P1264" s="18" t="s">
        <v>1141</v>
      </c>
      <c r="Q1264" s="18" t="s">
        <v>5958</v>
      </c>
      <c r="R1264" s="18" t="s">
        <v>5695</v>
      </c>
      <c r="S1264" s="18">
        <v>10000</v>
      </c>
      <c r="T1264" s="18">
        <v>1360000</v>
      </c>
      <c r="U1264" s="18"/>
      <c r="V1264" s="18"/>
      <c r="W1264" s="18"/>
      <c r="X1264" s="18"/>
      <c r="Y1264" s="18"/>
      <c r="Z1264" s="18"/>
      <c r="AA1264" s="18"/>
      <c r="AB1264" s="18"/>
      <c r="AC1264" s="18"/>
      <c r="AD1264" s="18"/>
      <c r="AE1264" s="18"/>
      <c r="AF1264" s="18"/>
      <c r="AG1264" s="18"/>
      <c r="AH1264" s="18"/>
      <c r="AI1264" s="18"/>
      <c r="AJ1264" s="18"/>
      <c r="AK1264" s="18"/>
      <c r="AL1264" s="18"/>
      <c r="AM1264" s="18"/>
    </row>
    <row r="1265" spans="6:39" x14ac:dyDescent="0.35">
      <c r="F1265" s="18" t="s">
        <v>1172</v>
      </c>
      <c r="G1265" s="19">
        <v>46234</v>
      </c>
      <c r="H1265" s="18" t="s">
        <v>650</v>
      </c>
      <c r="I1265" s="18" t="s">
        <v>1136</v>
      </c>
      <c r="J1265" s="18" t="s">
        <v>5368</v>
      </c>
      <c r="K1265" s="18" t="s">
        <v>1145</v>
      </c>
      <c r="L1265" s="18" t="s">
        <v>5368</v>
      </c>
      <c r="M1265" s="19">
        <v>46234</v>
      </c>
      <c r="N1265" s="18" t="s">
        <v>1146</v>
      </c>
      <c r="O1265" s="18" t="s">
        <v>1147</v>
      </c>
      <c r="P1265" s="18" t="s">
        <v>1147</v>
      </c>
      <c r="Q1265" s="18" t="s">
        <v>5015</v>
      </c>
      <c r="R1265" s="18" t="s">
        <v>1149</v>
      </c>
      <c r="S1265" s="18">
        <v>20057</v>
      </c>
      <c r="T1265" s="18">
        <v>3701181.3959999997</v>
      </c>
      <c r="U1265" s="18"/>
      <c r="V1265" s="18"/>
      <c r="W1265" s="18"/>
      <c r="X1265" s="18"/>
      <c r="Y1265" s="18"/>
      <c r="Z1265" s="18"/>
      <c r="AA1265" s="18"/>
      <c r="AB1265" s="18"/>
      <c r="AC1265" s="18"/>
      <c r="AD1265" s="18"/>
      <c r="AE1265" s="18"/>
      <c r="AF1265" s="18"/>
      <c r="AG1265" s="18"/>
      <c r="AH1265" s="18"/>
      <c r="AI1265" s="18"/>
      <c r="AJ1265" s="18"/>
      <c r="AK1265" s="18"/>
      <c r="AL1265" s="18"/>
      <c r="AM1265" s="18"/>
    </row>
    <row r="1266" spans="6:39" x14ac:dyDescent="0.35">
      <c r="F1266" s="18"/>
      <c r="G1266" s="19"/>
      <c r="H1266" s="18"/>
      <c r="I1266" s="18"/>
      <c r="J1266" s="18"/>
      <c r="K1266" s="18"/>
      <c r="L1266" s="18"/>
      <c r="M1266" s="19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  <c r="AA1266" s="18"/>
      <c r="AB1266" s="18"/>
      <c r="AC1266" s="18"/>
      <c r="AD1266" s="18"/>
      <c r="AE1266" s="18"/>
      <c r="AF1266" s="18"/>
      <c r="AG1266" s="18"/>
      <c r="AH1266" s="18"/>
      <c r="AI1266" s="18"/>
      <c r="AJ1266" s="18"/>
      <c r="AK1266" s="18"/>
      <c r="AL1266" s="18"/>
      <c r="AM1266" s="18"/>
    </row>
    <row r="1267" spans="6:39" x14ac:dyDescent="0.35">
      <c r="F1267" s="18"/>
      <c r="G1267" s="19"/>
      <c r="H1267" s="18"/>
      <c r="I1267" s="18"/>
      <c r="J1267" s="18"/>
      <c r="K1267" s="18"/>
      <c r="L1267" s="18"/>
      <c r="M1267" s="19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  <c r="AA1267" s="18"/>
      <c r="AB1267" s="18"/>
      <c r="AC1267" s="18"/>
      <c r="AD1267" s="18"/>
      <c r="AE1267" s="18"/>
      <c r="AF1267" s="18"/>
      <c r="AG1267" s="18"/>
      <c r="AH1267" s="18"/>
      <c r="AI1267" s="18"/>
      <c r="AJ1267" s="18"/>
      <c r="AK1267" s="18"/>
      <c r="AL1267" s="18"/>
      <c r="AM1267" s="18"/>
    </row>
    <row r="1268" spans="6:39" x14ac:dyDescent="0.35">
      <c r="F1268" s="18"/>
      <c r="G1268" s="19"/>
      <c r="H1268" s="18"/>
      <c r="I1268" s="18"/>
      <c r="J1268" s="18"/>
      <c r="K1268" s="18"/>
      <c r="L1268" s="18"/>
      <c r="M1268" s="19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  <c r="AA1268" s="18"/>
      <c r="AB1268" s="18"/>
      <c r="AC1268" s="18"/>
      <c r="AD1268" s="18"/>
      <c r="AE1268" s="18"/>
      <c r="AF1268" s="18"/>
      <c r="AG1268" s="18"/>
      <c r="AH1268" s="18"/>
      <c r="AI1268" s="18"/>
      <c r="AJ1268" s="18"/>
      <c r="AK1268" s="18"/>
      <c r="AL1268" s="18"/>
      <c r="AM1268" s="18"/>
    </row>
    <row r="1269" spans="6:39" x14ac:dyDescent="0.35">
      <c r="F1269" s="18"/>
      <c r="G1269" s="19"/>
      <c r="H1269" s="18"/>
      <c r="I1269" s="18"/>
      <c r="J1269" s="18"/>
      <c r="K1269" s="18"/>
      <c r="L1269" s="18"/>
      <c r="M1269" s="19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  <c r="AA1269" s="18"/>
      <c r="AB1269" s="18"/>
      <c r="AC1269" s="18"/>
      <c r="AD1269" s="18"/>
      <c r="AE1269" s="18"/>
      <c r="AF1269" s="18"/>
      <c r="AG1269" s="18"/>
      <c r="AH1269" s="18"/>
      <c r="AI1269" s="18"/>
      <c r="AJ1269" s="18"/>
      <c r="AK1269" s="18"/>
      <c r="AL1269" s="18"/>
      <c r="AM1269" s="18"/>
    </row>
    <row r="1270" spans="6:39" x14ac:dyDescent="0.35">
      <c r="F1270" s="18"/>
      <c r="G1270" s="19"/>
      <c r="H1270" s="18"/>
      <c r="I1270" s="18"/>
      <c r="J1270" s="18"/>
      <c r="K1270" s="18"/>
      <c r="L1270" s="18"/>
      <c r="M1270" s="19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  <c r="AA1270" s="18"/>
      <c r="AB1270" s="18"/>
      <c r="AC1270" s="18"/>
      <c r="AD1270" s="18"/>
      <c r="AE1270" s="18"/>
      <c r="AF1270" s="18"/>
      <c r="AG1270" s="18"/>
      <c r="AH1270" s="18"/>
      <c r="AI1270" s="18"/>
      <c r="AJ1270" s="18"/>
      <c r="AK1270" s="18"/>
      <c r="AL1270" s="18"/>
      <c r="AM1270" s="18"/>
    </row>
    <row r="1271" spans="6:39" x14ac:dyDescent="0.35">
      <c r="F1271" s="18"/>
      <c r="G1271" s="19"/>
      <c r="H1271" s="18"/>
      <c r="I1271" s="18"/>
      <c r="J1271" s="18"/>
      <c r="K1271" s="18"/>
      <c r="L1271" s="18"/>
      <c r="M1271" s="19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  <c r="AA1271" s="18"/>
      <c r="AB1271" s="18"/>
      <c r="AC1271" s="18"/>
      <c r="AD1271" s="18"/>
      <c r="AE1271" s="18"/>
      <c r="AF1271" s="18"/>
      <c r="AG1271" s="18"/>
      <c r="AH1271" s="18"/>
      <c r="AI1271" s="18"/>
      <c r="AJ1271" s="18"/>
      <c r="AK1271" s="18"/>
      <c r="AL1271" s="18"/>
      <c r="AM1271" s="18"/>
    </row>
    <row r="1272" spans="6:39" x14ac:dyDescent="0.35">
      <c r="F1272" s="18"/>
      <c r="G1272" s="19"/>
      <c r="H1272" s="18"/>
      <c r="I1272" s="18"/>
      <c r="J1272" s="18"/>
      <c r="K1272" s="18"/>
      <c r="L1272" s="18"/>
      <c r="M1272" s="19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  <c r="AA1272" s="18"/>
      <c r="AB1272" s="18"/>
      <c r="AC1272" s="18"/>
      <c r="AD1272" s="18"/>
      <c r="AE1272" s="18"/>
      <c r="AF1272" s="18"/>
      <c r="AG1272" s="18"/>
      <c r="AH1272" s="18"/>
      <c r="AI1272" s="18"/>
      <c r="AJ1272" s="18"/>
      <c r="AK1272" s="18"/>
      <c r="AL1272" s="18"/>
      <c r="AM1272" s="18"/>
    </row>
    <row r="1273" spans="6:39" x14ac:dyDescent="0.35">
      <c r="F1273" s="18"/>
      <c r="G1273" s="19"/>
      <c r="H1273" s="18"/>
      <c r="I1273" s="18"/>
      <c r="J1273" s="18"/>
      <c r="K1273" s="18"/>
      <c r="L1273" s="18"/>
      <c r="M1273" s="19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8"/>
      <c r="Y1273" s="18"/>
      <c r="Z1273" s="18"/>
      <c r="AA1273" s="18"/>
      <c r="AB1273" s="18"/>
      <c r="AC1273" s="18"/>
      <c r="AD1273" s="18"/>
      <c r="AE1273" s="18"/>
      <c r="AF1273" s="18"/>
      <c r="AG1273" s="18"/>
      <c r="AH1273" s="18"/>
      <c r="AI1273" s="18"/>
      <c r="AJ1273" s="18"/>
      <c r="AK1273" s="18"/>
      <c r="AL1273" s="18"/>
      <c r="AM1273" s="18"/>
    </row>
    <row r="1274" spans="6:39" x14ac:dyDescent="0.35">
      <c r="F1274" s="18"/>
      <c r="G1274" s="19"/>
      <c r="H1274" s="18"/>
      <c r="I1274" s="18"/>
      <c r="J1274" s="18"/>
      <c r="K1274" s="18"/>
      <c r="L1274" s="18"/>
      <c r="M1274" s="19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18"/>
      <c r="AA1274" s="18"/>
      <c r="AB1274" s="18"/>
      <c r="AC1274" s="18"/>
      <c r="AD1274" s="18"/>
      <c r="AE1274" s="18"/>
      <c r="AF1274" s="18"/>
      <c r="AG1274" s="18"/>
      <c r="AH1274" s="18"/>
      <c r="AI1274" s="18"/>
      <c r="AJ1274" s="18"/>
      <c r="AK1274" s="18"/>
      <c r="AL1274" s="18"/>
      <c r="AM1274" s="18"/>
    </row>
    <row r="1275" spans="6:39" x14ac:dyDescent="0.35">
      <c r="F1275" s="18"/>
      <c r="G1275" s="19"/>
      <c r="H1275" s="18"/>
      <c r="I1275" s="18"/>
      <c r="J1275" s="18"/>
      <c r="K1275" s="18"/>
      <c r="L1275" s="18"/>
      <c r="M1275" s="19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  <c r="Z1275" s="18"/>
      <c r="AA1275" s="18"/>
      <c r="AB1275" s="18"/>
      <c r="AC1275" s="18"/>
      <c r="AD1275" s="18"/>
      <c r="AE1275" s="18"/>
      <c r="AF1275" s="18"/>
      <c r="AG1275" s="18"/>
      <c r="AH1275" s="18"/>
      <c r="AI1275" s="18"/>
      <c r="AJ1275" s="18"/>
      <c r="AK1275" s="18"/>
      <c r="AL1275" s="18"/>
      <c r="AM1275" s="18"/>
    </row>
    <row r="1276" spans="6:39" x14ac:dyDescent="0.35">
      <c r="F1276" s="18"/>
      <c r="G1276" s="19"/>
      <c r="H1276" s="18"/>
      <c r="I1276" s="18"/>
      <c r="J1276" s="18"/>
      <c r="K1276" s="18"/>
      <c r="L1276" s="18"/>
      <c r="M1276" s="19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  <c r="AA1276" s="18"/>
      <c r="AB1276" s="18"/>
      <c r="AC1276" s="18"/>
      <c r="AD1276" s="18"/>
      <c r="AE1276" s="18"/>
      <c r="AF1276" s="18"/>
      <c r="AG1276" s="18"/>
      <c r="AH1276" s="18"/>
      <c r="AI1276" s="18"/>
      <c r="AJ1276" s="18"/>
      <c r="AK1276" s="18"/>
      <c r="AL1276" s="18"/>
      <c r="AM1276" s="18"/>
    </row>
    <row r="1277" spans="6:39" x14ac:dyDescent="0.35">
      <c r="F1277" s="18"/>
      <c r="G1277" s="19"/>
      <c r="H1277" s="18"/>
      <c r="I1277" s="18"/>
      <c r="J1277" s="18"/>
      <c r="K1277" s="18"/>
      <c r="L1277" s="18"/>
      <c r="M1277" s="19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8"/>
      <c r="Y1277" s="18"/>
      <c r="Z1277" s="18"/>
      <c r="AA1277" s="18"/>
      <c r="AB1277" s="18"/>
      <c r="AC1277" s="18"/>
      <c r="AD1277" s="18"/>
      <c r="AE1277" s="18"/>
      <c r="AF1277" s="18"/>
      <c r="AG1277" s="18"/>
      <c r="AH1277" s="18"/>
      <c r="AI1277" s="18"/>
      <c r="AJ1277" s="18"/>
      <c r="AK1277" s="18"/>
      <c r="AL1277" s="18"/>
      <c r="AM1277" s="18"/>
    </row>
    <row r="1278" spans="6:39" x14ac:dyDescent="0.35">
      <c r="F1278" s="18"/>
      <c r="G1278" s="19"/>
      <c r="H1278" s="18"/>
      <c r="I1278" s="18"/>
      <c r="J1278" s="18"/>
      <c r="K1278" s="18"/>
      <c r="L1278" s="18"/>
      <c r="M1278" s="19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  <c r="AA1278" s="18"/>
      <c r="AB1278" s="18"/>
      <c r="AC1278" s="18"/>
      <c r="AD1278" s="18"/>
      <c r="AE1278" s="18"/>
      <c r="AF1278" s="18"/>
      <c r="AG1278" s="18"/>
      <c r="AH1278" s="18"/>
      <c r="AI1278" s="18"/>
      <c r="AJ1278" s="18"/>
      <c r="AK1278" s="18"/>
      <c r="AL1278" s="18"/>
      <c r="AM1278" s="18"/>
    </row>
    <row r="1279" spans="6:39" x14ac:dyDescent="0.35">
      <c r="F1279" s="18"/>
      <c r="G1279" s="19"/>
      <c r="H1279" s="18"/>
      <c r="I1279" s="18"/>
      <c r="J1279" s="18"/>
      <c r="K1279" s="18"/>
      <c r="L1279" s="18"/>
      <c r="M1279" s="19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18"/>
      <c r="AA1279" s="18"/>
      <c r="AB1279" s="18"/>
      <c r="AC1279" s="18"/>
      <c r="AD1279" s="18"/>
      <c r="AE1279" s="18"/>
      <c r="AF1279" s="18"/>
      <c r="AG1279" s="18"/>
      <c r="AH1279" s="18"/>
      <c r="AI1279" s="18"/>
      <c r="AJ1279" s="18"/>
      <c r="AK1279" s="18"/>
      <c r="AL1279" s="18"/>
      <c r="AM1279" s="18"/>
    </row>
    <row r="1280" spans="6:39" x14ac:dyDescent="0.35">
      <c r="F1280" s="18"/>
      <c r="G1280" s="19"/>
      <c r="H1280" s="18"/>
      <c r="I1280" s="18"/>
      <c r="J1280" s="18"/>
      <c r="K1280" s="18"/>
      <c r="L1280" s="18"/>
      <c r="M1280" s="19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  <c r="AA1280" s="18"/>
      <c r="AB1280" s="18"/>
      <c r="AC1280" s="18"/>
      <c r="AD1280" s="18"/>
      <c r="AE1280" s="18"/>
      <c r="AF1280" s="18"/>
      <c r="AG1280" s="18"/>
      <c r="AH1280" s="18"/>
      <c r="AI1280" s="18"/>
      <c r="AJ1280" s="18"/>
      <c r="AK1280" s="18"/>
      <c r="AL1280" s="18"/>
      <c r="AM1280" s="18"/>
    </row>
    <row r="1281" spans="6:39" x14ac:dyDescent="0.35">
      <c r="F1281" s="18"/>
      <c r="G1281" s="19"/>
      <c r="H1281" s="18"/>
      <c r="I1281" s="18"/>
      <c r="J1281" s="18"/>
      <c r="K1281" s="18"/>
      <c r="L1281" s="18"/>
      <c r="M1281" s="19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  <c r="AA1281" s="18"/>
      <c r="AB1281" s="18"/>
      <c r="AC1281" s="18"/>
      <c r="AD1281" s="18"/>
      <c r="AE1281" s="18"/>
      <c r="AF1281" s="18"/>
      <c r="AG1281" s="18"/>
      <c r="AH1281" s="18"/>
      <c r="AI1281" s="18"/>
      <c r="AJ1281" s="18"/>
      <c r="AK1281" s="18"/>
      <c r="AL1281" s="18"/>
      <c r="AM1281" s="18"/>
    </row>
    <row r="1282" spans="6:39" x14ac:dyDescent="0.35">
      <c r="F1282" s="18"/>
      <c r="G1282" s="19"/>
      <c r="H1282" s="18"/>
      <c r="I1282" s="18"/>
      <c r="J1282" s="18"/>
      <c r="K1282" s="18"/>
      <c r="L1282" s="18"/>
      <c r="M1282" s="19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  <c r="AA1282" s="18"/>
      <c r="AB1282" s="18"/>
      <c r="AC1282" s="18"/>
      <c r="AD1282" s="18"/>
      <c r="AE1282" s="18"/>
      <c r="AF1282" s="18"/>
      <c r="AG1282" s="18"/>
      <c r="AH1282" s="18"/>
      <c r="AI1282" s="18"/>
      <c r="AJ1282" s="18"/>
      <c r="AK1282" s="18"/>
      <c r="AL1282" s="18"/>
      <c r="AM1282" s="18"/>
    </row>
    <row r="1283" spans="6:39" x14ac:dyDescent="0.35">
      <c r="F1283" s="18"/>
      <c r="G1283" s="19"/>
      <c r="H1283" s="18"/>
      <c r="I1283" s="18"/>
      <c r="J1283" s="18"/>
      <c r="K1283" s="18"/>
      <c r="L1283" s="18"/>
      <c r="M1283" s="19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  <c r="Z1283" s="18"/>
      <c r="AA1283" s="18"/>
      <c r="AB1283" s="18"/>
      <c r="AC1283" s="18"/>
      <c r="AD1283" s="18"/>
      <c r="AE1283" s="18"/>
      <c r="AF1283" s="18"/>
      <c r="AG1283" s="18"/>
      <c r="AH1283" s="18"/>
      <c r="AI1283" s="18"/>
      <c r="AJ1283" s="18"/>
      <c r="AK1283" s="18"/>
      <c r="AL1283" s="18"/>
      <c r="AM1283" s="18"/>
    </row>
    <row r="1284" spans="6:39" x14ac:dyDescent="0.35">
      <c r="F1284" s="18"/>
      <c r="G1284" s="19"/>
      <c r="H1284" s="18"/>
      <c r="I1284" s="18"/>
      <c r="J1284" s="18"/>
      <c r="K1284" s="18"/>
      <c r="L1284" s="18"/>
      <c r="M1284" s="19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  <c r="AA1284" s="18"/>
      <c r="AB1284" s="18"/>
      <c r="AC1284" s="18"/>
      <c r="AD1284" s="18"/>
      <c r="AE1284" s="18"/>
      <c r="AF1284" s="18"/>
      <c r="AG1284" s="18"/>
      <c r="AH1284" s="18"/>
      <c r="AI1284" s="18"/>
      <c r="AJ1284" s="18"/>
      <c r="AK1284" s="18"/>
      <c r="AL1284" s="18"/>
      <c r="AM1284" s="18"/>
    </row>
    <row r="1285" spans="6:39" x14ac:dyDescent="0.35">
      <c r="F1285" s="18"/>
      <c r="G1285" s="19"/>
      <c r="H1285" s="18"/>
      <c r="I1285" s="18"/>
      <c r="J1285" s="18"/>
      <c r="K1285" s="18"/>
      <c r="L1285" s="18"/>
      <c r="M1285" s="19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  <c r="AA1285" s="18"/>
      <c r="AB1285" s="18"/>
      <c r="AC1285" s="18"/>
      <c r="AD1285" s="18"/>
      <c r="AE1285" s="18"/>
      <c r="AF1285" s="18"/>
      <c r="AG1285" s="18"/>
      <c r="AH1285" s="18"/>
      <c r="AI1285" s="18"/>
      <c r="AJ1285" s="18"/>
      <c r="AK1285" s="18"/>
      <c r="AL1285" s="18"/>
      <c r="AM1285" s="18"/>
    </row>
    <row r="1286" spans="6:39" x14ac:dyDescent="0.35">
      <c r="F1286" s="18"/>
      <c r="G1286" s="19"/>
      <c r="H1286" s="18"/>
      <c r="I1286" s="18"/>
      <c r="J1286" s="18"/>
      <c r="K1286" s="18"/>
      <c r="L1286" s="18"/>
      <c r="M1286" s="19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  <c r="AA1286" s="18"/>
      <c r="AB1286" s="18"/>
      <c r="AC1286" s="18"/>
      <c r="AD1286" s="18"/>
      <c r="AE1286" s="18"/>
      <c r="AF1286" s="18"/>
      <c r="AG1286" s="18"/>
      <c r="AH1286" s="18"/>
      <c r="AI1286" s="18"/>
      <c r="AJ1286" s="18"/>
      <c r="AK1286" s="18"/>
      <c r="AL1286" s="18"/>
      <c r="AM1286" s="18"/>
    </row>
    <row r="1287" spans="6:39" x14ac:dyDescent="0.35">
      <c r="F1287" s="18"/>
      <c r="G1287" s="19"/>
      <c r="H1287" s="18"/>
      <c r="I1287" s="18"/>
      <c r="J1287" s="18"/>
      <c r="K1287" s="18"/>
      <c r="L1287" s="18"/>
      <c r="M1287" s="19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  <c r="AA1287" s="18"/>
      <c r="AB1287" s="18"/>
      <c r="AC1287" s="18"/>
      <c r="AD1287" s="18"/>
      <c r="AE1287" s="18"/>
      <c r="AF1287" s="18"/>
      <c r="AG1287" s="18"/>
      <c r="AH1287" s="18"/>
      <c r="AI1287" s="18"/>
      <c r="AJ1287" s="18"/>
      <c r="AK1287" s="18"/>
      <c r="AL1287" s="18"/>
      <c r="AM1287" s="18"/>
    </row>
    <row r="1288" spans="6:39" x14ac:dyDescent="0.35">
      <c r="F1288" s="18"/>
      <c r="G1288" s="19"/>
      <c r="H1288" s="18"/>
      <c r="I1288" s="18"/>
      <c r="J1288" s="18"/>
      <c r="K1288" s="18"/>
      <c r="L1288" s="18"/>
      <c r="M1288" s="19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  <c r="AA1288" s="18"/>
      <c r="AB1288" s="18"/>
      <c r="AC1288" s="18"/>
      <c r="AD1288" s="18"/>
      <c r="AE1288" s="18"/>
      <c r="AF1288" s="18"/>
      <c r="AG1288" s="18"/>
      <c r="AH1288" s="18"/>
      <c r="AI1288" s="18"/>
      <c r="AJ1288" s="18"/>
      <c r="AK1288" s="18"/>
      <c r="AL1288" s="18"/>
      <c r="AM1288" s="18"/>
    </row>
    <row r="1289" spans="6:39" x14ac:dyDescent="0.35">
      <c r="F1289" s="18"/>
      <c r="G1289" s="19"/>
      <c r="H1289" s="18"/>
      <c r="I1289" s="18"/>
      <c r="J1289" s="18"/>
      <c r="K1289" s="18"/>
      <c r="L1289" s="18"/>
      <c r="M1289" s="19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  <c r="AA1289" s="18"/>
      <c r="AB1289" s="18"/>
      <c r="AC1289" s="18"/>
      <c r="AD1289" s="18"/>
      <c r="AE1289" s="18"/>
      <c r="AF1289" s="18"/>
      <c r="AG1289" s="18"/>
      <c r="AH1289" s="18"/>
      <c r="AI1289" s="18"/>
      <c r="AJ1289" s="18"/>
      <c r="AK1289" s="18"/>
      <c r="AL1289" s="18"/>
      <c r="AM1289" s="18"/>
    </row>
    <row r="1290" spans="6:39" x14ac:dyDescent="0.35">
      <c r="F1290" s="18"/>
      <c r="G1290" s="19"/>
      <c r="H1290" s="18"/>
      <c r="I1290" s="18"/>
      <c r="J1290" s="18"/>
      <c r="K1290" s="18"/>
      <c r="L1290" s="18"/>
      <c r="M1290" s="19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  <c r="AA1290" s="18"/>
      <c r="AB1290" s="18"/>
      <c r="AC1290" s="18"/>
      <c r="AD1290" s="18"/>
      <c r="AE1290" s="18"/>
      <c r="AF1290" s="18"/>
      <c r="AG1290" s="18"/>
      <c r="AH1290" s="18"/>
      <c r="AI1290" s="18"/>
      <c r="AJ1290" s="18"/>
      <c r="AK1290" s="18"/>
      <c r="AL1290" s="18"/>
      <c r="AM1290" s="18"/>
    </row>
    <row r="1291" spans="6:39" x14ac:dyDescent="0.35">
      <c r="F1291" s="18"/>
      <c r="G1291" s="19"/>
      <c r="H1291" s="18"/>
      <c r="I1291" s="18"/>
      <c r="J1291" s="18"/>
      <c r="K1291" s="18"/>
      <c r="L1291" s="18"/>
      <c r="M1291" s="19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  <c r="AA1291" s="18"/>
      <c r="AB1291" s="18"/>
      <c r="AC1291" s="18"/>
      <c r="AD1291" s="18"/>
      <c r="AE1291" s="18"/>
      <c r="AF1291" s="18"/>
      <c r="AG1291" s="18"/>
      <c r="AH1291" s="18"/>
      <c r="AI1291" s="18"/>
      <c r="AJ1291" s="18"/>
      <c r="AK1291" s="18"/>
      <c r="AL1291" s="18"/>
      <c r="AM1291" s="18"/>
    </row>
    <row r="1292" spans="6:39" x14ac:dyDescent="0.35">
      <c r="F1292" s="18"/>
      <c r="G1292" s="19"/>
      <c r="H1292" s="18"/>
      <c r="I1292" s="18"/>
      <c r="J1292" s="18"/>
      <c r="K1292" s="18"/>
      <c r="L1292" s="18"/>
      <c r="M1292" s="19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  <c r="AA1292" s="18"/>
      <c r="AB1292" s="18"/>
      <c r="AC1292" s="18"/>
      <c r="AD1292" s="18"/>
      <c r="AE1292" s="18"/>
      <c r="AF1292" s="18"/>
      <c r="AG1292" s="18"/>
      <c r="AH1292" s="18"/>
      <c r="AI1292" s="18"/>
      <c r="AJ1292" s="18"/>
      <c r="AK1292" s="18"/>
      <c r="AL1292" s="18"/>
      <c r="AM1292" s="18"/>
    </row>
    <row r="1293" spans="6:39" x14ac:dyDescent="0.35">
      <c r="F1293" s="18"/>
      <c r="G1293" s="19"/>
      <c r="H1293" s="18"/>
      <c r="I1293" s="18"/>
      <c r="J1293" s="18"/>
      <c r="K1293" s="18"/>
      <c r="L1293" s="18"/>
      <c r="M1293" s="19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  <c r="AA1293" s="18"/>
      <c r="AB1293" s="18"/>
      <c r="AC1293" s="18"/>
      <c r="AD1293" s="18"/>
      <c r="AE1293" s="18"/>
      <c r="AF1293" s="18"/>
      <c r="AG1293" s="18"/>
      <c r="AH1293" s="18"/>
      <c r="AI1293" s="18"/>
      <c r="AJ1293" s="18"/>
      <c r="AK1293" s="18"/>
      <c r="AL1293" s="18"/>
      <c r="AM1293" s="18"/>
    </row>
    <row r="1294" spans="6:39" x14ac:dyDescent="0.35">
      <c r="F1294" s="18"/>
      <c r="G1294" s="19"/>
      <c r="H1294" s="18"/>
      <c r="I1294" s="18"/>
      <c r="J1294" s="18"/>
      <c r="K1294" s="18"/>
      <c r="L1294" s="18"/>
      <c r="M1294" s="19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  <c r="AA1294" s="18"/>
      <c r="AB1294" s="18"/>
      <c r="AC1294" s="18"/>
      <c r="AD1294" s="18"/>
      <c r="AE1294" s="18"/>
      <c r="AF1294" s="18"/>
      <c r="AG1294" s="18"/>
      <c r="AH1294" s="18"/>
      <c r="AI1294" s="18"/>
      <c r="AJ1294" s="18"/>
      <c r="AK1294" s="18"/>
      <c r="AL1294" s="18"/>
      <c r="AM1294" s="18"/>
    </row>
    <row r="1295" spans="6:39" x14ac:dyDescent="0.35">
      <c r="F1295" s="18"/>
      <c r="G1295" s="19"/>
      <c r="H1295" s="18"/>
      <c r="I1295" s="18"/>
      <c r="J1295" s="18"/>
      <c r="K1295" s="18"/>
      <c r="L1295" s="18"/>
      <c r="M1295" s="19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18"/>
      <c r="AA1295" s="18"/>
      <c r="AB1295" s="18"/>
      <c r="AC1295" s="18"/>
      <c r="AD1295" s="18"/>
      <c r="AE1295" s="18"/>
      <c r="AF1295" s="18"/>
      <c r="AG1295" s="18"/>
      <c r="AH1295" s="18"/>
      <c r="AI1295" s="18"/>
      <c r="AJ1295" s="18"/>
      <c r="AK1295" s="18"/>
      <c r="AL1295" s="18"/>
      <c r="AM1295" s="18"/>
    </row>
    <row r="1296" spans="6:39" x14ac:dyDescent="0.35">
      <c r="F1296" s="18"/>
      <c r="G1296" s="19"/>
      <c r="H1296" s="18"/>
      <c r="I1296" s="18"/>
      <c r="J1296" s="18"/>
      <c r="K1296" s="18"/>
      <c r="L1296" s="18"/>
      <c r="M1296" s="19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  <c r="AA1296" s="18"/>
      <c r="AB1296" s="18"/>
      <c r="AC1296" s="18"/>
      <c r="AD1296" s="18"/>
      <c r="AE1296" s="18"/>
      <c r="AF1296" s="18"/>
      <c r="AG1296" s="18"/>
      <c r="AH1296" s="18"/>
      <c r="AI1296" s="18"/>
      <c r="AJ1296" s="18"/>
      <c r="AK1296" s="18"/>
      <c r="AL1296" s="18"/>
      <c r="AM1296" s="18"/>
    </row>
    <row r="1297" spans="6:39" x14ac:dyDescent="0.35">
      <c r="F1297" s="18"/>
      <c r="G1297" s="19"/>
      <c r="H1297" s="18"/>
      <c r="I1297" s="18"/>
      <c r="J1297" s="18"/>
      <c r="K1297" s="18"/>
      <c r="L1297" s="18"/>
      <c r="M1297" s="19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  <c r="AA1297" s="18"/>
      <c r="AB1297" s="18"/>
      <c r="AC1297" s="18"/>
      <c r="AD1297" s="18"/>
      <c r="AE1297" s="18"/>
      <c r="AF1297" s="18"/>
      <c r="AG1297" s="18"/>
      <c r="AH1297" s="18"/>
      <c r="AI1297" s="18"/>
      <c r="AJ1297" s="18"/>
      <c r="AK1297" s="18"/>
      <c r="AL1297" s="18"/>
      <c r="AM1297" s="18"/>
    </row>
    <row r="1298" spans="6:39" x14ac:dyDescent="0.35">
      <c r="F1298" s="18"/>
      <c r="G1298" s="19"/>
      <c r="H1298" s="18"/>
      <c r="I1298" s="18"/>
      <c r="J1298" s="18"/>
      <c r="K1298" s="18"/>
      <c r="L1298" s="18"/>
      <c r="M1298" s="19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  <c r="AA1298" s="18"/>
      <c r="AB1298" s="18"/>
      <c r="AC1298" s="18"/>
      <c r="AD1298" s="18"/>
      <c r="AE1298" s="18"/>
      <c r="AF1298" s="18"/>
      <c r="AG1298" s="18"/>
      <c r="AH1298" s="18"/>
      <c r="AI1298" s="18"/>
      <c r="AJ1298" s="18"/>
      <c r="AK1298" s="18"/>
      <c r="AL1298" s="18"/>
      <c r="AM1298" s="18"/>
    </row>
    <row r="1299" spans="6:39" x14ac:dyDescent="0.35">
      <c r="F1299" s="18"/>
      <c r="G1299" s="19"/>
      <c r="H1299" s="18"/>
      <c r="I1299" s="18"/>
      <c r="J1299" s="18"/>
      <c r="K1299" s="18"/>
      <c r="L1299" s="18"/>
      <c r="M1299" s="19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  <c r="AA1299" s="18"/>
      <c r="AB1299" s="18"/>
      <c r="AC1299" s="18"/>
      <c r="AD1299" s="18"/>
      <c r="AE1299" s="18"/>
      <c r="AF1299" s="18"/>
      <c r="AG1299" s="18"/>
      <c r="AH1299" s="18"/>
      <c r="AI1299" s="18"/>
      <c r="AJ1299" s="18"/>
      <c r="AK1299" s="18"/>
      <c r="AL1299" s="18"/>
      <c r="AM1299" s="18"/>
    </row>
    <row r="1300" spans="6:39" x14ac:dyDescent="0.35">
      <c r="F1300" s="18"/>
      <c r="G1300" s="19"/>
      <c r="H1300" s="18"/>
      <c r="I1300" s="18"/>
      <c r="J1300" s="18"/>
      <c r="K1300" s="18"/>
      <c r="L1300" s="18"/>
      <c r="M1300" s="19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  <c r="AA1300" s="18"/>
      <c r="AB1300" s="18"/>
      <c r="AC1300" s="18"/>
      <c r="AD1300" s="18"/>
      <c r="AE1300" s="18"/>
      <c r="AF1300" s="18"/>
      <c r="AG1300" s="18"/>
      <c r="AH1300" s="18"/>
      <c r="AI1300" s="18"/>
      <c r="AJ1300" s="18"/>
      <c r="AK1300" s="18"/>
      <c r="AL1300" s="18"/>
      <c r="AM1300" s="18"/>
    </row>
    <row r="1301" spans="6:39" x14ac:dyDescent="0.35">
      <c r="F1301" s="18"/>
      <c r="G1301" s="19"/>
      <c r="H1301" s="18"/>
      <c r="I1301" s="18"/>
      <c r="J1301" s="18"/>
      <c r="K1301" s="18"/>
      <c r="L1301" s="18"/>
      <c r="M1301" s="19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  <c r="AA1301" s="18"/>
      <c r="AB1301" s="18"/>
      <c r="AC1301" s="18"/>
      <c r="AD1301" s="18"/>
      <c r="AE1301" s="18"/>
      <c r="AF1301" s="18"/>
      <c r="AG1301" s="18"/>
      <c r="AH1301" s="18"/>
      <c r="AI1301" s="18"/>
      <c r="AJ1301" s="18"/>
      <c r="AK1301" s="18"/>
      <c r="AL1301" s="18"/>
      <c r="AM1301" s="18"/>
    </row>
    <row r="1302" spans="6:39" x14ac:dyDescent="0.35">
      <c r="F1302" s="18"/>
      <c r="G1302" s="19"/>
      <c r="H1302" s="18"/>
      <c r="I1302" s="18"/>
      <c r="J1302" s="18"/>
      <c r="K1302" s="18"/>
      <c r="L1302" s="18"/>
      <c r="M1302" s="19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  <c r="AA1302" s="18"/>
      <c r="AB1302" s="18"/>
      <c r="AC1302" s="18"/>
      <c r="AD1302" s="18"/>
      <c r="AE1302" s="18"/>
      <c r="AF1302" s="18"/>
      <c r="AG1302" s="18"/>
      <c r="AH1302" s="18"/>
      <c r="AI1302" s="18"/>
      <c r="AJ1302" s="18"/>
      <c r="AK1302" s="18"/>
      <c r="AL1302" s="18"/>
      <c r="AM1302" s="18"/>
    </row>
    <row r="1303" spans="6:39" x14ac:dyDescent="0.35">
      <c r="F1303" s="18"/>
      <c r="G1303" s="19"/>
      <c r="H1303" s="18"/>
      <c r="I1303" s="18"/>
      <c r="J1303" s="18"/>
      <c r="K1303" s="18"/>
      <c r="L1303" s="18"/>
      <c r="M1303" s="19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  <c r="AA1303" s="18"/>
      <c r="AB1303" s="18"/>
      <c r="AC1303" s="18"/>
      <c r="AD1303" s="18"/>
      <c r="AE1303" s="18"/>
      <c r="AF1303" s="18"/>
      <c r="AG1303" s="18"/>
      <c r="AH1303" s="18"/>
      <c r="AI1303" s="18"/>
      <c r="AJ1303" s="18"/>
      <c r="AK1303" s="18"/>
      <c r="AL1303" s="18"/>
      <c r="AM1303" s="18"/>
    </row>
    <row r="1304" spans="6:39" x14ac:dyDescent="0.35">
      <c r="F1304" s="18"/>
      <c r="G1304" s="19"/>
      <c r="H1304" s="18"/>
      <c r="I1304" s="18"/>
      <c r="J1304" s="18"/>
      <c r="K1304" s="18"/>
      <c r="L1304" s="18"/>
      <c r="M1304" s="19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  <c r="AA1304" s="18"/>
      <c r="AB1304" s="18"/>
      <c r="AC1304" s="18"/>
      <c r="AD1304" s="18"/>
      <c r="AE1304" s="18"/>
      <c r="AF1304" s="18"/>
      <c r="AG1304" s="18"/>
      <c r="AH1304" s="18"/>
      <c r="AI1304" s="18"/>
      <c r="AJ1304" s="18"/>
      <c r="AK1304" s="18"/>
      <c r="AL1304" s="18"/>
      <c r="AM1304" s="18"/>
    </row>
    <row r="1305" spans="6:39" x14ac:dyDescent="0.35">
      <c r="G1305" s="35"/>
      <c r="M1305" s="35"/>
      <c r="U1305" s="18"/>
      <c r="V1305" s="18"/>
      <c r="W1305" s="18"/>
      <c r="X1305" s="18"/>
      <c r="Y1305" s="18"/>
      <c r="Z1305" s="18"/>
      <c r="AA1305" s="18"/>
      <c r="AB1305" s="18"/>
      <c r="AC1305" s="18"/>
      <c r="AD1305" s="18"/>
      <c r="AE1305" s="18"/>
      <c r="AF1305" s="18"/>
      <c r="AG1305" s="18"/>
      <c r="AH1305" s="18"/>
      <c r="AI1305" s="18"/>
      <c r="AJ1305" s="18"/>
      <c r="AK1305" s="18"/>
      <c r="AL1305" s="18"/>
      <c r="AM1305" s="18"/>
    </row>
    <row r="1306" spans="6:39" x14ac:dyDescent="0.35">
      <c r="G1306" s="35"/>
      <c r="M1306" s="35"/>
      <c r="U1306" s="18"/>
      <c r="V1306" s="18"/>
      <c r="W1306" s="18"/>
      <c r="X1306" s="18"/>
      <c r="Y1306" s="18"/>
      <c r="Z1306" s="18"/>
      <c r="AA1306" s="18"/>
      <c r="AB1306" s="18"/>
      <c r="AC1306" s="18"/>
      <c r="AD1306" s="18"/>
      <c r="AE1306" s="18"/>
      <c r="AF1306" s="18"/>
      <c r="AG1306" s="18"/>
      <c r="AH1306" s="18"/>
      <c r="AI1306" s="18"/>
      <c r="AJ1306" s="18"/>
      <c r="AK1306" s="18"/>
      <c r="AL1306" s="18"/>
      <c r="AM1306" s="18"/>
    </row>
    <row r="1307" spans="6:39" x14ac:dyDescent="0.35">
      <c r="G1307" s="35"/>
      <c r="M1307" s="35"/>
      <c r="U1307" s="18"/>
      <c r="V1307" s="18"/>
      <c r="W1307" s="18"/>
      <c r="X1307" s="18"/>
      <c r="Y1307" s="18"/>
      <c r="Z1307" s="18"/>
      <c r="AA1307" s="18"/>
      <c r="AB1307" s="18"/>
      <c r="AC1307" s="18"/>
      <c r="AD1307" s="18"/>
      <c r="AE1307" s="18"/>
      <c r="AF1307" s="18"/>
      <c r="AG1307" s="18"/>
      <c r="AH1307" s="18"/>
      <c r="AI1307" s="18"/>
      <c r="AJ1307" s="18"/>
      <c r="AK1307" s="18"/>
      <c r="AL1307" s="18"/>
      <c r="AM1307" s="18"/>
    </row>
    <row r="1308" spans="6:39" x14ac:dyDescent="0.35">
      <c r="G1308" s="35"/>
      <c r="M1308" s="35"/>
      <c r="U1308" s="18"/>
      <c r="V1308" s="18"/>
      <c r="W1308" s="18"/>
      <c r="X1308" s="18"/>
      <c r="Y1308" s="18"/>
      <c r="Z1308" s="18"/>
      <c r="AA1308" s="18"/>
      <c r="AB1308" s="18"/>
      <c r="AC1308" s="18"/>
      <c r="AD1308" s="18"/>
      <c r="AE1308" s="18"/>
      <c r="AF1308" s="18"/>
      <c r="AG1308" s="18"/>
      <c r="AH1308" s="18"/>
      <c r="AI1308" s="18"/>
      <c r="AJ1308" s="18"/>
      <c r="AK1308" s="18"/>
      <c r="AL1308" s="18"/>
      <c r="AM1308" s="18"/>
    </row>
    <row r="1309" spans="6:39" x14ac:dyDescent="0.35">
      <c r="G1309" s="35"/>
      <c r="M1309" s="35"/>
      <c r="U1309" s="18"/>
      <c r="V1309" s="18"/>
      <c r="W1309" s="18"/>
      <c r="X1309" s="18"/>
      <c r="Y1309" s="18"/>
      <c r="Z1309" s="18"/>
      <c r="AA1309" s="18"/>
      <c r="AB1309" s="18"/>
      <c r="AC1309" s="18"/>
      <c r="AD1309" s="18"/>
      <c r="AE1309" s="18"/>
      <c r="AF1309" s="18"/>
      <c r="AG1309" s="18"/>
      <c r="AH1309" s="18"/>
      <c r="AI1309" s="18"/>
      <c r="AJ1309" s="18"/>
      <c r="AK1309" s="18"/>
      <c r="AL1309" s="18"/>
      <c r="AM1309" s="18"/>
    </row>
    <row r="1310" spans="6:39" x14ac:dyDescent="0.35">
      <c r="G1310" s="35"/>
      <c r="M1310" s="35"/>
      <c r="U1310" s="18"/>
      <c r="V1310" s="18"/>
      <c r="W1310" s="18"/>
      <c r="X1310" s="18"/>
      <c r="Y1310" s="18"/>
      <c r="Z1310" s="18"/>
      <c r="AA1310" s="18"/>
      <c r="AB1310" s="18"/>
      <c r="AC1310" s="18"/>
      <c r="AD1310" s="18"/>
      <c r="AE1310" s="18"/>
      <c r="AF1310" s="18"/>
      <c r="AG1310" s="18"/>
      <c r="AH1310" s="18"/>
      <c r="AI1310" s="18"/>
      <c r="AJ1310" s="18"/>
      <c r="AK1310" s="18"/>
      <c r="AL1310" s="18"/>
      <c r="AM1310" s="18"/>
    </row>
    <row r="1311" spans="6:39" x14ac:dyDescent="0.35">
      <c r="G1311" s="35"/>
      <c r="M1311" s="35"/>
      <c r="U1311" s="18"/>
      <c r="V1311" s="18"/>
      <c r="W1311" s="18"/>
      <c r="X1311" s="18"/>
      <c r="Y1311" s="18"/>
      <c r="Z1311" s="18"/>
      <c r="AA1311" s="18"/>
      <c r="AB1311" s="18"/>
      <c r="AC1311" s="18"/>
      <c r="AD1311" s="18"/>
      <c r="AE1311" s="18"/>
      <c r="AF1311" s="18"/>
      <c r="AG1311" s="18"/>
      <c r="AH1311" s="18"/>
      <c r="AI1311" s="18"/>
      <c r="AJ1311" s="18"/>
      <c r="AK1311" s="18"/>
      <c r="AL1311" s="18"/>
      <c r="AM1311" s="18"/>
    </row>
    <row r="1312" spans="6:39" x14ac:dyDescent="0.35">
      <c r="G1312" s="35"/>
      <c r="M1312" s="35"/>
      <c r="U1312" s="18"/>
      <c r="V1312" s="18"/>
      <c r="W1312" s="18"/>
      <c r="X1312" s="18"/>
      <c r="Y1312" s="18"/>
      <c r="Z1312" s="18"/>
      <c r="AA1312" s="18"/>
      <c r="AB1312" s="18"/>
      <c r="AC1312" s="18"/>
      <c r="AD1312" s="18"/>
      <c r="AE1312" s="18"/>
      <c r="AF1312" s="18"/>
      <c r="AG1312" s="18"/>
      <c r="AH1312" s="18"/>
      <c r="AI1312" s="18"/>
      <c r="AJ1312" s="18"/>
      <c r="AK1312" s="18"/>
      <c r="AL1312" s="18"/>
      <c r="AM1312" s="18"/>
    </row>
    <row r="1313" spans="7:39" x14ac:dyDescent="0.35">
      <c r="G1313" s="35"/>
      <c r="M1313" s="35"/>
      <c r="U1313" s="18"/>
      <c r="V1313" s="18"/>
      <c r="W1313" s="18"/>
      <c r="X1313" s="18"/>
      <c r="Y1313" s="18"/>
      <c r="Z1313" s="18"/>
      <c r="AA1313" s="18"/>
      <c r="AB1313" s="18"/>
      <c r="AC1313" s="18"/>
      <c r="AD1313" s="18"/>
      <c r="AE1313" s="18"/>
      <c r="AF1313" s="18"/>
      <c r="AG1313" s="18"/>
      <c r="AH1313" s="18"/>
      <c r="AI1313" s="18"/>
      <c r="AJ1313" s="18"/>
      <c r="AK1313" s="18"/>
      <c r="AL1313" s="18"/>
      <c r="AM1313" s="18"/>
    </row>
    <row r="1314" spans="7:39" x14ac:dyDescent="0.35">
      <c r="G1314" s="35"/>
      <c r="M1314" s="35"/>
      <c r="U1314" s="18"/>
      <c r="V1314" s="18"/>
      <c r="W1314" s="18"/>
      <c r="X1314" s="18"/>
      <c r="Y1314" s="18"/>
      <c r="Z1314" s="18"/>
      <c r="AA1314" s="18"/>
      <c r="AB1314" s="18"/>
      <c r="AC1314" s="18"/>
      <c r="AD1314" s="18"/>
      <c r="AE1314" s="18"/>
      <c r="AF1314" s="18"/>
      <c r="AG1314" s="18"/>
      <c r="AH1314" s="18"/>
      <c r="AI1314" s="18"/>
      <c r="AJ1314" s="18"/>
      <c r="AK1314" s="18"/>
      <c r="AL1314" s="18"/>
      <c r="AM1314" s="18"/>
    </row>
    <row r="1315" spans="7:39" x14ac:dyDescent="0.35">
      <c r="G1315" s="35"/>
      <c r="M1315" s="35"/>
      <c r="U1315" s="18"/>
      <c r="V1315" s="18"/>
      <c r="W1315" s="18"/>
      <c r="X1315" s="18"/>
      <c r="Y1315" s="18"/>
      <c r="Z1315" s="18"/>
      <c r="AA1315" s="18"/>
      <c r="AB1315" s="18"/>
      <c r="AC1315" s="18"/>
      <c r="AD1315" s="18"/>
      <c r="AE1315" s="18"/>
      <c r="AF1315" s="18"/>
      <c r="AG1315" s="18"/>
      <c r="AH1315" s="18"/>
      <c r="AI1315" s="18"/>
      <c r="AJ1315" s="18"/>
      <c r="AK1315" s="18"/>
      <c r="AL1315" s="18"/>
      <c r="AM1315" s="18"/>
    </row>
    <row r="1316" spans="7:39" x14ac:dyDescent="0.35">
      <c r="G1316" s="35"/>
      <c r="M1316" s="35"/>
      <c r="U1316" s="18"/>
      <c r="V1316" s="18"/>
      <c r="W1316" s="18"/>
      <c r="X1316" s="18"/>
      <c r="Y1316" s="18"/>
      <c r="Z1316" s="18"/>
      <c r="AA1316" s="18"/>
      <c r="AB1316" s="18"/>
      <c r="AC1316" s="18"/>
      <c r="AD1316" s="18"/>
      <c r="AE1316" s="18"/>
      <c r="AF1316" s="18"/>
      <c r="AG1316" s="18"/>
      <c r="AH1316" s="18"/>
      <c r="AI1316" s="18"/>
      <c r="AJ1316" s="18"/>
      <c r="AK1316" s="18"/>
      <c r="AL1316" s="18"/>
      <c r="AM1316" s="18"/>
    </row>
    <row r="1317" spans="7:39" x14ac:dyDescent="0.35">
      <c r="G1317" s="35"/>
      <c r="M1317" s="35"/>
      <c r="U1317" s="18"/>
      <c r="V1317" s="18"/>
      <c r="W1317" s="18"/>
      <c r="X1317" s="18"/>
      <c r="Y1317" s="18"/>
      <c r="Z1317" s="18"/>
      <c r="AA1317" s="18"/>
      <c r="AB1317" s="18"/>
      <c r="AC1317" s="18"/>
      <c r="AD1317" s="18"/>
      <c r="AE1317" s="18"/>
      <c r="AF1317" s="18"/>
      <c r="AG1317" s="18"/>
      <c r="AH1317" s="18"/>
      <c r="AI1317" s="18"/>
      <c r="AJ1317" s="18"/>
      <c r="AK1317" s="18"/>
      <c r="AL1317" s="18"/>
      <c r="AM1317" s="18"/>
    </row>
    <row r="1318" spans="7:39" x14ac:dyDescent="0.35">
      <c r="G1318" s="35"/>
      <c r="M1318" s="35"/>
      <c r="U1318" s="18"/>
      <c r="V1318" s="18"/>
      <c r="W1318" s="18"/>
      <c r="X1318" s="18"/>
      <c r="Y1318" s="18"/>
      <c r="Z1318" s="18"/>
      <c r="AA1318" s="18"/>
      <c r="AB1318" s="18"/>
      <c r="AC1318" s="18"/>
      <c r="AD1318" s="18"/>
      <c r="AE1318" s="18"/>
      <c r="AF1318" s="18"/>
      <c r="AG1318" s="18"/>
      <c r="AH1318" s="18"/>
      <c r="AI1318" s="18"/>
      <c r="AJ1318" s="18"/>
      <c r="AK1318" s="18"/>
      <c r="AL1318" s="18"/>
      <c r="AM1318" s="18"/>
    </row>
    <row r="1319" spans="7:39" x14ac:dyDescent="0.35">
      <c r="G1319" s="35"/>
      <c r="M1319" s="35"/>
      <c r="U1319" s="18"/>
      <c r="V1319" s="18"/>
      <c r="W1319" s="18"/>
      <c r="X1319" s="18"/>
      <c r="Y1319" s="18"/>
      <c r="Z1319" s="18"/>
      <c r="AA1319" s="18"/>
      <c r="AB1319" s="18"/>
      <c r="AC1319" s="18"/>
      <c r="AD1319" s="18"/>
      <c r="AE1319" s="18"/>
      <c r="AF1319" s="18"/>
      <c r="AG1319" s="18"/>
      <c r="AH1319" s="18"/>
      <c r="AI1319" s="18"/>
      <c r="AJ1319" s="18"/>
      <c r="AK1319" s="18"/>
      <c r="AL1319" s="18"/>
      <c r="AM1319" s="18"/>
    </row>
    <row r="1320" spans="7:39" x14ac:dyDescent="0.35">
      <c r="G1320" s="35"/>
      <c r="M1320" s="35"/>
      <c r="U1320" s="18"/>
      <c r="V1320" s="18"/>
      <c r="W1320" s="18"/>
      <c r="X1320" s="18"/>
      <c r="Y1320" s="18"/>
      <c r="Z1320" s="18"/>
      <c r="AA1320" s="18"/>
      <c r="AB1320" s="18"/>
      <c r="AC1320" s="18"/>
      <c r="AD1320" s="18"/>
      <c r="AE1320" s="18"/>
      <c r="AF1320" s="18"/>
      <c r="AG1320" s="18"/>
      <c r="AH1320" s="18"/>
      <c r="AI1320" s="18"/>
      <c r="AJ1320" s="18"/>
      <c r="AK1320" s="18"/>
      <c r="AL1320" s="18"/>
      <c r="AM1320" s="18"/>
    </row>
    <row r="1321" spans="7:39" x14ac:dyDescent="0.35">
      <c r="G1321" s="35"/>
      <c r="M1321" s="35"/>
      <c r="U1321" s="18"/>
      <c r="V1321" s="18"/>
      <c r="W1321" s="18"/>
      <c r="X1321" s="18"/>
      <c r="Y1321" s="18"/>
      <c r="Z1321" s="18"/>
      <c r="AA1321" s="18"/>
      <c r="AB1321" s="18"/>
      <c r="AC1321" s="18"/>
      <c r="AD1321" s="18"/>
      <c r="AE1321" s="18"/>
      <c r="AF1321" s="18"/>
      <c r="AG1321" s="18"/>
      <c r="AH1321" s="18"/>
      <c r="AI1321" s="18"/>
      <c r="AJ1321" s="18"/>
      <c r="AK1321" s="18"/>
      <c r="AL1321" s="18"/>
      <c r="AM1321" s="18"/>
    </row>
    <row r="1322" spans="7:39" x14ac:dyDescent="0.35">
      <c r="G1322" s="35"/>
      <c r="M1322" s="35"/>
      <c r="U1322" s="18"/>
      <c r="V1322" s="18"/>
      <c r="W1322" s="18"/>
      <c r="X1322" s="18"/>
      <c r="Y1322" s="18"/>
      <c r="Z1322" s="18"/>
      <c r="AA1322" s="18"/>
      <c r="AB1322" s="18"/>
      <c r="AC1322" s="18"/>
      <c r="AD1322" s="18"/>
      <c r="AE1322" s="18"/>
      <c r="AF1322" s="18"/>
      <c r="AG1322" s="18"/>
      <c r="AH1322" s="18"/>
      <c r="AI1322" s="18"/>
      <c r="AJ1322" s="18"/>
      <c r="AK1322" s="18"/>
      <c r="AL1322" s="18"/>
      <c r="AM1322" s="18"/>
    </row>
    <row r="1323" spans="7:39" x14ac:dyDescent="0.35">
      <c r="G1323" s="35"/>
      <c r="M1323" s="35"/>
      <c r="U1323" s="18"/>
      <c r="V1323" s="18"/>
      <c r="W1323" s="18"/>
      <c r="X1323" s="18"/>
      <c r="Y1323" s="18"/>
      <c r="Z1323" s="18"/>
      <c r="AA1323" s="18"/>
      <c r="AB1323" s="18"/>
      <c r="AC1323" s="18"/>
      <c r="AD1323" s="18"/>
      <c r="AE1323" s="18"/>
      <c r="AF1323" s="18"/>
      <c r="AG1323" s="18"/>
      <c r="AH1323" s="18"/>
      <c r="AI1323" s="18"/>
      <c r="AJ1323" s="18"/>
      <c r="AK1323" s="18"/>
      <c r="AL1323" s="18"/>
      <c r="AM1323" s="18"/>
    </row>
    <row r="1324" spans="7:39" x14ac:dyDescent="0.35">
      <c r="G1324" s="35"/>
      <c r="M1324" s="35"/>
      <c r="U1324" s="18"/>
      <c r="V1324" s="18"/>
      <c r="W1324" s="18"/>
      <c r="X1324" s="18"/>
      <c r="Y1324" s="18"/>
      <c r="Z1324" s="18"/>
      <c r="AA1324" s="18"/>
      <c r="AB1324" s="18"/>
      <c r="AC1324" s="18"/>
      <c r="AD1324" s="18"/>
      <c r="AE1324" s="18"/>
      <c r="AF1324" s="18"/>
      <c r="AG1324" s="18"/>
      <c r="AH1324" s="18"/>
      <c r="AI1324" s="18"/>
      <c r="AJ1324" s="18"/>
      <c r="AK1324" s="18"/>
      <c r="AL1324" s="18"/>
      <c r="AM1324" s="18"/>
    </row>
    <row r="1325" spans="7:39" x14ac:dyDescent="0.35">
      <c r="G1325" s="35"/>
      <c r="M1325" s="35"/>
      <c r="U1325" s="18"/>
      <c r="V1325" s="18"/>
      <c r="W1325" s="18"/>
      <c r="X1325" s="18"/>
      <c r="Y1325" s="18"/>
      <c r="Z1325" s="18"/>
      <c r="AA1325" s="18"/>
      <c r="AB1325" s="18"/>
      <c r="AC1325" s="18"/>
      <c r="AD1325" s="18"/>
      <c r="AE1325" s="18"/>
      <c r="AF1325" s="18"/>
      <c r="AG1325" s="18"/>
      <c r="AH1325" s="18"/>
      <c r="AI1325" s="18"/>
      <c r="AJ1325" s="18"/>
      <c r="AK1325" s="18"/>
      <c r="AL1325" s="18"/>
      <c r="AM1325" s="18"/>
    </row>
    <row r="1326" spans="7:39" x14ac:dyDescent="0.35">
      <c r="G1326" s="35"/>
      <c r="M1326" s="35"/>
      <c r="U1326" s="18"/>
      <c r="V1326" s="18"/>
      <c r="W1326" s="18"/>
      <c r="X1326" s="18"/>
      <c r="Y1326" s="18"/>
      <c r="Z1326" s="18"/>
      <c r="AA1326" s="18"/>
      <c r="AB1326" s="18"/>
      <c r="AC1326" s="18"/>
      <c r="AD1326" s="18"/>
      <c r="AE1326" s="18"/>
      <c r="AF1326" s="18"/>
      <c r="AG1326" s="18"/>
      <c r="AH1326" s="18"/>
      <c r="AI1326" s="18"/>
      <c r="AJ1326" s="18"/>
      <c r="AK1326" s="18"/>
      <c r="AL1326" s="18"/>
      <c r="AM1326" s="18"/>
    </row>
    <row r="1327" spans="7:39" x14ac:dyDescent="0.35">
      <c r="G1327" s="35"/>
      <c r="M1327" s="35"/>
      <c r="U1327" s="18"/>
      <c r="V1327" s="18"/>
      <c r="W1327" s="18"/>
      <c r="X1327" s="18"/>
      <c r="Y1327" s="18"/>
      <c r="Z1327" s="18"/>
      <c r="AA1327" s="18"/>
      <c r="AB1327" s="18"/>
      <c r="AC1327" s="18"/>
      <c r="AD1327" s="18"/>
      <c r="AE1327" s="18"/>
      <c r="AF1327" s="18"/>
      <c r="AG1327" s="18"/>
      <c r="AH1327" s="18"/>
      <c r="AI1327" s="18"/>
      <c r="AJ1327" s="18"/>
      <c r="AK1327" s="18"/>
      <c r="AL1327" s="18"/>
      <c r="AM1327" s="18"/>
    </row>
    <row r="1328" spans="7:39" x14ac:dyDescent="0.35">
      <c r="G1328" s="35"/>
      <c r="M1328" s="35"/>
      <c r="U1328" s="18"/>
      <c r="V1328" s="18"/>
      <c r="W1328" s="18"/>
      <c r="X1328" s="18"/>
      <c r="Y1328" s="18"/>
      <c r="Z1328" s="18"/>
      <c r="AA1328" s="18"/>
      <c r="AB1328" s="18"/>
      <c r="AC1328" s="18"/>
      <c r="AD1328" s="18"/>
      <c r="AE1328" s="18"/>
      <c r="AF1328" s="18"/>
      <c r="AG1328" s="18"/>
      <c r="AH1328" s="18"/>
      <c r="AI1328" s="18"/>
      <c r="AJ1328" s="18"/>
      <c r="AK1328" s="18"/>
      <c r="AL1328" s="18"/>
      <c r="AM1328" s="18"/>
    </row>
    <row r="1329" spans="7:39" x14ac:dyDescent="0.35">
      <c r="G1329" s="35"/>
      <c r="M1329" s="35"/>
      <c r="U1329" s="18"/>
      <c r="V1329" s="18"/>
      <c r="W1329" s="18"/>
      <c r="X1329" s="18"/>
      <c r="Y1329" s="18"/>
      <c r="Z1329" s="18"/>
      <c r="AA1329" s="18"/>
      <c r="AB1329" s="18"/>
      <c r="AC1329" s="18"/>
      <c r="AD1329" s="18"/>
      <c r="AE1329" s="18"/>
      <c r="AF1329" s="18"/>
      <c r="AG1329" s="18"/>
      <c r="AH1329" s="18"/>
      <c r="AI1329" s="18"/>
      <c r="AJ1329" s="18"/>
      <c r="AK1329" s="18"/>
      <c r="AL1329" s="18"/>
      <c r="AM1329" s="18"/>
    </row>
    <row r="1330" spans="7:39" x14ac:dyDescent="0.35">
      <c r="G1330" s="35"/>
      <c r="M1330" s="35"/>
      <c r="U1330" s="18"/>
      <c r="V1330" s="18"/>
      <c r="W1330" s="18"/>
      <c r="X1330" s="18"/>
      <c r="Y1330" s="18"/>
      <c r="Z1330" s="18"/>
      <c r="AA1330" s="18"/>
      <c r="AB1330" s="18"/>
      <c r="AC1330" s="18"/>
      <c r="AD1330" s="18"/>
      <c r="AE1330" s="18"/>
      <c r="AF1330" s="18"/>
      <c r="AG1330" s="18"/>
      <c r="AH1330" s="18"/>
      <c r="AI1330" s="18"/>
      <c r="AJ1330" s="18"/>
      <c r="AK1330" s="18"/>
      <c r="AL1330" s="18"/>
      <c r="AM1330" s="18"/>
    </row>
    <row r="1331" spans="7:39" x14ac:dyDescent="0.35">
      <c r="G1331" s="35"/>
      <c r="M1331" s="35"/>
      <c r="U1331" s="163"/>
      <c r="V1331" s="18"/>
      <c r="W1331" s="18"/>
      <c r="X1331" s="18"/>
      <c r="Y1331" s="18"/>
      <c r="Z1331" s="18"/>
      <c r="AA1331" s="18"/>
      <c r="AB1331" s="18"/>
      <c r="AC1331" s="18"/>
      <c r="AD1331" s="18"/>
      <c r="AE1331" s="18"/>
      <c r="AF1331" s="18"/>
      <c r="AG1331" s="18"/>
      <c r="AH1331" s="18"/>
      <c r="AI1331" s="18"/>
      <c r="AJ1331" s="18"/>
      <c r="AK1331" s="18"/>
      <c r="AL1331" s="18"/>
      <c r="AM1331" s="18"/>
    </row>
    <row r="1332" spans="7:39" x14ac:dyDescent="0.35">
      <c r="G1332" s="35"/>
      <c r="M1332" s="35"/>
      <c r="U1332" s="18"/>
      <c r="V1332" s="18"/>
      <c r="W1332" s="18"/>
      <c r="X1332" s="18"/>
      <c r="Y1332" s="18"/>
      <c r="Z1332" s="18"/>
      <c r="AA1332" s="18"/>
      <c r="AB1332" s="18"/>
      <c r="AC1332" s="18"/>
      <c r="AD1332" s="18"/>
      <c r="AE1332" s="18"/>
      <c r="AF1332" s="18"/>
      <c r="AG1332" s="18"/>
      <c r="AH1332" s="18"/>
      <c r="AI1332" s="18"/>
      <c r="AJ1332" s="18"/>
      <c r="AK1332" s="18"/>
      <c r="AL1332" s="18"/>
      <c r="AM1332" s="18"/>
    </row>
    <row r="1333" spans="7:39" x14ac:dyDescent="0.35">
      <c r="G1333" s="35"/>
      <c r="M1333" s="35"/>
      <c r="U1333" s="18"/>
      <c r="V1333" s="18"/>
      <c r="W1333" s="18"/>
      <c r="X1333" s="18"/>
      <c r="Y1333" s="18"/>
      <c r="Z1333" s="18"/>
      <c r="AA1333" s="18"/>
      <c r="AB1333" s="18"/>
      <c r="AC1333" s="18"/>
      <c r="AD1333" s="18"/>
      <c r="AE1333" s="18"/>
      <c r="AF1333" s="18"/>
      <c r="AG1333" s="18"/>
      <c r="AH1333" s="18"/>
      <c r="AI1333" s="18"/>
      <c r="AJ1333" s="18"/>
      <c r="AK1333" s="18"/>
      <c r="AL1333" s="18"/>
      <c r="AM1333" s="18"/>
    </row>
    <row r="1334" spans="7:39" x14ac:dyDescent="0.35">
      <c r="G1334" s="35"/>
      <c r="M1334" s="35"/>
      <c r="U1334" s="163"/>
      <c r="V1334" s="18"/>
      <c r="W1334" s="18"/>
      <c r="X1334" s="18"/>
      <c r="Y1334" s="18"/>
      <c r="Z1334" s="18"/>
      <c r="AA1334" s="18"/>
      <c r="AB1334" s="18"/>
      <c r="AC1334" s="18"/>
      <c r="AD1334" s="18"/>
      <c r="AE1334" s="18"/>
      <c r="AF1334" s="18"/>
      <c r="AG1334" s="18"/>
      <c r="AH1334" s="18"/>
      <c r="AI1334" s="18"/>
      <c r="AJ1334" s="18"/>
      <c r="AK1334" s="18"/>
      <c r="AL1334" s="18"/>
      <c r="AM1334" s="18"/>
    </row>
    <row r="1335" spans="7:39" x14ac:dyDescent="0.35">
      <c r="G1335" s="35"/>
      <c r="M1335" s="35"/>
      <c r="U1335" s="18"/>
      <c r="V1335" s="18"/>
      <c r="W1335" s="18"/>
      <c r="X1335" s="18"/>
      <c r="Y1335" s="18"/>
      <c r="Z1335" s="18"/>
      <c r="AA1335" s="18"/>
      <c r="AB1335" s="18"/>
      <c r="AC1335" s="18"/>
      <c r="AD1335" s="18"/>
      <c r="AE1335" s="18"/>
      <c r="AF1335" s="18"/>
      <c r="AG1335" s="18"/>
      <c r="AH1335" s="18"/>
      <c r="AI1335" s="18"/>
      <c r="AJ1335" s="18"/>
      <c r="AK1335" s="18"/>
      <c r="AL1335" s="18"/>
      <c r="AM1335" s="18"/>
    </row>
    <row r="1336" spans="7:39" x14ac:dyDescent="0.35">
      <c r="G1336" s="35"/>
      <c r="M1336" s="35"/>
      <c r="U1336" s="18"/>
      <c r="V1336" s="18"/>
      <c r="W1336" s="18"/>
      <c r="X1336" s="18"/>
      <c r="Y1336" s="18"/>
      <c r="Z1336" s="18"/>
      <c r="AA1336" s="18"/>
      <c r="AB1336" s="18"/>
      <c r="AC1336" s="18"/>
      <c r="AD1336" s="18"/>
      <c r="AE1336" s="18"/>
      <c r="AF1336" s="18"/>
      <c r="AG1336" s="18"/>
      <c r="AH1336" s="18"/>
      <c r="AI1336" s="18"/>
      <c r="AJ1336" s="18"/>
      <c r="AK1336" s="18"/>
      <c r="AL1336" s="18"/>
      <c r="AM1336" s="18"/>
    </row>
    <row r="1337" spans="7:39" x14ac:dyDescent="0.35">
      <c r="G1337" s="35"/>
      <c r="M1337" s="35"/>
      <c r="U1337" s="18"/>
      <c r="V1337" s="18"/>
      <c r="W1337" s="18"/>
      <c r="X1337" s="18"/>
      <c r="Y1337" s="18"/>
      <c r="Z1337" s="18"/>
      <c r="AA1337" s="18"/>
      <c r="AB1337" s="18"/>
      <c r="AC1337" s="18"/>
      <c r="AD1337" s="18"/>
      <c r="AE1337" s="18"/>
      <c r="AF1337" s="18"/>
      <c r="AG1337" s="18"/>
      <c r="AH1337" s="18"/>
      <c r="AI1337" s="18"/>
      <c r="AJ1337" s="18"/>
      <c r="AK1337" s="18"/>
      <c r="AL1337" s="18"/>
      <c r="AM1337" s="18"/>
    </row>
    <row r="1338" spans="7:39" x14ac:dyDescent="0.35">
      <c r="G1338" s="35"/>
      <c r="M1338" s="35"/>
      <c r="U1338" s="18"/>
      <c r="V1338" s="18"/>
      <c r="W1338" s="18"/>
      <c r="X1338" s="18"/>
      <c r="Y1338" s="18"/>
      <c r="Z1338" s="18"/>
      <c r="AA1338" s="18"/>
      <c r="AB1338" s="18"/>
      <c r="AC1338" s="18"/>
      <c r="AD1338" s="18"/>
      <c r="AE1338" s="18"/>
      <c r="AF1338" s="18"/>
      <c r="AG1338" s="18"/>
      <c r="AH1338" s="18"/>
      <c r="AI1338" s="18"/>
      <c r="AJ1338" s="18"/>
      <c r="AK1338" s="18"/>
      <c r="AL1338" s="18"/>
      <c r="AM1338" s="18"/>
    </row>
    <row r="1339" spans="7:39" x14ac:dyDescent="0.35">
      <c r="G1339" s="35"/>
      <c r="M1339" s="35"/>
      <c r="U1339" s="18"/>
      <c r="V1339" s="18"/>
      <c r="W1339" s="18"/>
      <c r="X1339" s="18"/>
      <c r="Y1339" s="18"/>
      <c r="Z1339" s="18"/>
      <c r="AA1339" s="18"/>
      <c r="AB1339" s="18"/>
      <c r="AC1339" s="18"/>
      <c r="AD1339" s="18"/>
      <c r="AE1339" s="18"/>
      <c r="AF1339" s="18"/>
      <c r="AG1339" s="18"/>
      <c r="AH1339" s="18"/>
      <c r="AI1339" s="18"/>
      <c r="AJ1339" s="18"/>
      <c r="AK1339" s="18"/>
      <c r="AL1339" s="18"/>
      <c r="AM1339" s="18"/>
    </row>
    <row r="1340" spans="7:39" x14ac:dyDescent="0.35">
      <c r="G1340" s="35"/>
      <c r="M1340" s="35"/>
      <c r="U1340" s="18"/>
      <c r="V1340" s="18"/>
      <c r="W1340" s="18"/>
      <c r="X1340" s="18"/>
      <c r="Y1340" s="18"/>
      <c r="Z1340" s="18"/>
      <c r="AA1340" s="18"/>
      <c r="AB1340" s="18"/>
      <c r="AC1340" s="18"/>
      <c r="AD1340" s="18"/>
      <c r="AE1340" s="18"/>
      <c r="AF1340" s="18"/>
      <c r="AG1340" s="18"/>
      <c r="AH1340" s="18"/>
      <c r="AI1340" s="18"/>
      <c r="AJ1340" s="18"/>
      <c r="AK1340" s="18"/>
      <c r="AL1340" s="18"/>
      <c r="AM1340" s="18"/>
    </row>
    <row r="1341" spans="7:39" x14ac:dyDescent="0.35">
      <c r="G1341" s="35"/>
      <c r="M1341" s="35"/>
      <c r="U1341" s="18"/>
      <c r="V1341" s="18"/>
      <c r="W1341" s="18"/>
      <c r="X1341" s="18"/>
      <c r="Y1341" s="18"/>
      <c r="Z1341" s="18"/>
      <c r="AA1341" s="18"/>
      <c r="AB1341" s="18"/>
      <c r="AC1341" s="18"/>
      <c r="AD1341" s="18"/>
      <c r="AE1341" s="18"/>
      <c r="AF1341" s="18"/>
      <c r="AG1341" s="18"/>
      <c r="AH1341" s="18"/>
      <c r="AI1341" s="18"/>
      <c r="AJ1341" s="18"/>
      <c r="AK1341" s="18"/>
      <c r="AL1341" s="18"/>
      <c r="AM1341" s="18"/>
    </row>
    <row r="1342" spans="7:39" x14ac:dyDescent="0.35">
      <c r="G1342" s="35"/>
      <c r="M1342" s="35"/>
      <c r="U1342" s="18"/>
      <c r="V1342" s="18"/>
      <c r="W1342" s="18"/>
      <c r="X1342" s="18"/>
      <c r="Y1342" s="18"/>
      <c r="Z1342" s="18"/>
      <c r="AA1342" s="18"/>
      <c r="AB1342" s="18"/>
      <c r="AC1342" s="18"/>
      <c r="AD1342" s="18"/>
      <c r="AE1342" s="18"/>
      <c r="AF1342" s="18"/>
      <c r="AG1342" s="18"/>
      <c r="AH1342" s="18"/>
      <c r="AI1342" s="18"/>
      <c r="AJ1342" s="18"/>
      <c r="AK1342" s="18"/>
      <c r="AL1342" s="18"/>
      <c r="AM1342" s="18"/>
    </row>
    <row r="1343" spans="7:39" x14ac:dyDescent="0.35">
      <c r="G1343" s="35"/>
      <c r="M1343" s="35"/>
      <c r="U1343" s="18"/>
      <c r="V1343" s="18"/>
      <c r="W1343" s="18"/>
      <c r="X1343" s="18"/>
      <c r="Y1343" s="18"/>
      <c r="Z1343" s="18"/>
      <c r="AA1343" s="18"/>
      <c r="AB1343" s="18"/>
      <c r="AC1343" s="18"/>
      <c r="AD1343" s="18"/>
      <c r="AE1343" s="18"/>
      <c r="AF1343" s="18"/>
      <c r="AG1343" s="18"/>
      <c r="AH1343" s="18"/>
      <c r="AI1343" s="18"/>
      <c r="AJ1343" s="18"/>
      <c r="AK1343" s="18"/>
      <c r="AL1343" s="18"/>
      <c r="AM1343" s="18"/>
    </row>
    <row r="1344" spans="7:39" x14ac:dyDescent="0.35">
      <c r="G1344" s="35"/>
      <c r="M1344" s="35"/>
      <c r="U1344" s="18"/>
      <c r="V1344" s="18"/>
      <c r="W1344" s="18"/>
      <c r="X1344" s="18"/>
      <c r="Y1344" s="18"/>
      <c r="Z1344" s="18"/>
      <c r="AA1344" s="18"/>
      <c r="AB1344" s="18"/>
      <c r="AC1344" s="18"/>
      <c r="AD1344" s="18"/>
      <c r="AE1344" s="18"/>
      <c r="AF1344" s="18"/>
      <c r="AG1344" s="18"/>
      <c r="AH1344" s="18"/>
      <c r="AI1344" s="18"/>
      <c r="AJ1344" s="18"/>
      <c r="AK1344" s="18"/>
      <c r="AL1344" s="18"/>
      <c r="AM1344" s="18"/>
    </row>
    <row r="1345" spans="6:39" x14ac:dyDescent="0.35">
      <c r="G1345" s="35"/>
      <c r="M1345" s="35"/>
      <c r="U1345" s="18"/>
      <c r="V1345" s="18"/>
      <c r="W1345" s="18"/>
      <c r="X1345" s="18"/>
      <c r="Y1345" s="18"/>
      <c r="Z1345" s="18"/>
      <c r="AA1345" s="18"/>
      <c r="AB1345" s="18"/>
      <c r="AC1345" s="18"/>
      <c r="AD1345" s="18"/>
      <c r="AE1345" s="18"/>
      <c r="AF1345" s="18"/>
      <c r="AG1345" s="18"/>
      <c r="AH1345" s="18"/>
      <c r="AI1345" s="18"/>
      <c r="AJ1345" s="18"/>
      <c r="AK1345" s="18"/>
      <c r="AL1345" s="18"/>
      <c r="AM1345" s="18"/>
    </row>
    <row r="1346" spans="6:39" x14ac:dyDescent="0.35">
      <c r="G1346" s="35"/>
      <c r="M1346" s="35"/>
      <c r="U1346" s="18"/>
      <c r="V1346" s="18"/>
      <c r="W1346" s="18"/>
      <c r="X1346" s="18"/>
      <c r="Y1346" s="18"/>
      <c r="Z1346" s="18"/>
      <c r="AA1346" s="18"/>
      <c r="AB1346" s="18"/>
      <c r="AC1346" s="18"/>
      <c r="AD1346" s="18"/>
      <c r="AE1346" s="18"/>
      <c r="AF1346" s="18"/>
      <c r="AG1346" s="18"/>
      <c r="AH1346" s="18"/>
      <c r="AI1346" s="18"/>
      <c r="AJ1346" s="18"/>
      <c r="AK1346" s="18"/>
      <c r="AL1346" s="18"/>
      <c r="AM1346" s="18"/>
    </row>
    <row r="1347" spans="6:39" x14ac:dyDescent="0.35">
      <c r="G1347" s="35"/>
      <c r="M1347" s="35"/>
      <c r="U1347" s="18"/>
      <c r="V1347" s="18"/>
      <c r="W1347" s="18"/>
      <c r="X1347" s="18"/>
      <c r="Y1347" s="18"/>
      <c r="Z1347" s="18"/>
      <c r="AA1347" s="18"/>
      <c r="AB1347" s="18"/>
      <c r="AC1347" s="18"/>
      <c r="AD1347" s="18"/>
      <c r="AE1347" s="18"/>
      <c r="AF1347" s="18"/>
      <c r="AG1347" s="18"/>
      <c r="AH1347" s="18"/>
      <c r="AI1347" s="18"/>
      <c r="AJ1347" s="18"/>
      <c r="AK1347" s="18"/>
      <c r="AL1347" s="18"/>
      <c r="AM1347" s="18"/>
    </row>
    <row r="1348" spans="6:39" x14ac:dyDescent="0.35">
      <c r="G1348" s="35"/>
      <c r="M1348" s="35"/>
      <c r="U1348" s="18"/>
      <c r="V1348" s="18"/>
      <c r="W1348" s="18"/>
      <c r="X1348" s="18"/>
      <c r="Y1348" s="18"/>
      <c r="Z1348" s="18"/>
      <c r="AA1348" s="18"/>
      <c r="AB1348" s="18"/>
      <c r="AC1348" s="18"/>
      <c r="AD1348" s="18"/>
      <c r="AE1348" s="18"/>
      <c r="AF1348" s="18"/>
      <c r="AG1348" s="18"/>
      <c r="AH1348" s="18"/>
      <c r="AI1348" s="18"/>
      <c r="AJ1348" s="18"/>
      <c r="AK1348" s="18"/>
      <c r="AL1348" s="18"/>
      <c r="AM1348" s="18"/>
    </row>
    <row r="1349" spans="6:39" x14ac:dyDescent="0.35">
      <c r="G1349" s="35"/>
      <c r="M1349" s="35"/>
      <c r="U1349" s="18"/>
      <c r="V1349" s="18"/>
      <c r="W1349" s="18"/>
      <c r="X1349" s="18"/>
      <c r="Y1349" s="18"/>
      <c r="Z1349" s="18"/>
      <c r="AA1349" s="18"/>
      <c r="AB1349" s="18"/>
      <c r="AC1349" s="18"/>
      <c r="AD1349" s="18"/>
      <c r="AE1349" s="18"/>
      <c r="AF1349" s="18"/>
      <c r="AG1349" s="18"/>
      <c r="AH1349" s="18"/>
      <c r="AI1349" s="18"/>
      <c r="AJ1349" s="18"/>
      <c r="AK1349" s="18"/>
      <c r="AL1349" s="18"/>
      <c r="AM1349" s="18"/>
    </row>
    <row r="1350" spans="6:39" x14ac:dyDescent="0.35">
      <c r="G1350" s="35"/>
      <c r="M1350" s="35"/>
      <c r="U1350" s="18"/>
      <c r="V1350" s="18"/>
      <c r="W1350" s="18"/>
      <c r="X1350" s="18"/>
      <c r="Y1350" s="18"/>
      <c r="Z1350" s="18"/>
      <c r="AA1350" s="18"/>
      <c r="AB1350" s="18"/>
      <c r="AC1350" s="18"/>
      <c r="AD1350" s="18"/>
      <c r="AE1350" s="18"/>
      <c r="AF1350" s="18"/>
      <c r="AG1350" s="18"/>
      <c r="AH1350" s="18"/>
      <c r="AI1350" s="18"/>
      <c r="AJ1350" s="18"/>
      <c r="AK1350" s="18"/>
      <c r="AL1350" s="18"/>
      <c r="AM1350" s="18"/>
    </row>
    <row r="1351" spans="6:39" x14ac:dyDescent="0.35">
      <c r="F1351" s="18"/>
      <c r="G1351" s="19"/>
      <c r="H1351" s="18"/>
      <c r="I1351" s="18"/>
      <c r="J1351" s="18"/>
      <c r="K1351" s="18"/>
      <c r="L1351" s="18"/>
      <c r="M1351" s="19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  <c r="Y1351" s="18"/>
      <c r="Z1351" s="18"/>
      <c r="AA1351" s="18"/>
      <c r="AB1351" s="18"/>
      <c r="AC1351" s="18"/>
      <c r="AD1351" s="18"/>
      <c r="AE1351" s="18"/>
      <c r="AF1351" s="18"/>
      <c r="AG1351" s="18"/>
      <c r="AH1351" s="18"/>
      <c r="AI1351" s="18"/>
      <c r="AJ1351" s="18"/>
      <c r="AK1351" s="18"/>
      <c r="AL1351" s="18"/>
      <c r="AM1351" s="18"/>
    </row>
    <row r="1352" spans="6:39" x14ac:dyDescent="0.35">
      <c r="F1352" s="18"/>
      <c r="G1352" s="19"/>
      <c r="H1352" s="18"/>
      <c r="I1352" s="18"/>
      <c r="J1352" s="18"/>
      <c r="K1352" s="18"/>
      <c r="L1352" s="18"/>
      <c r="M1352" s="19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8"/>
      <c r="Y1352" s="18"/>
      <c r="Z1352" s="18"/>
      <c r="AA1352" s="18"/>
      <c r="AB1352" s="18"/>
      <c r="AC1352" s="18"/>
      <c r="AD1352" s="18"/>
      <c r="AE1352" s="18"/>
      <c r="AF1352" s="18"/>
      <c r="AG1352" s="18"/>
      <c r="AH1352" s="18"/>
      <c r="AI1352" s="18"/>
      <c r="AJ1352" s="18"/>
      <c r="AK1352" s="18"/>
      <c r="AL1352" s="18"/>
      <c r="AM1352" s="18"/>
    </row>
    <row r="1353" spans="6:39" x14ac:dyDescent="0.35">
      <c r="F1353" s="18"/>
      <c r="G1353" s="19"/>
      <c r="H1353" s="18"/>
      <c r="I1353" s="18"/>
      <c r="J1353" s="18"/>
      <c r="K1353" s="18"/>
      <c r="L1353" s="18"/>
      <c r="M1353" s="19"/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  <c r="X1353" s="18"/>
      <c r="Y1353" s="18"/>
      <c r="Z1353" s="18"/>
      <c r="AA1353" s="18"/>
      <c r="AB1353" s="18"/>
      <c r="AC1353" s="18"/>
      <c r="AD1353" s="18"/>
      <c r="AE1353" s="18"/>
      <c r="AF1353" s="18"/>
      <c r="AG1353" s="18"/>
      <c r="AH1353" s="18"/>
      <c r="AI1353" s="18"/>
      <c r="AJ1353" s="18"/>
      <c r="AK1353" s="18"/>
      <c r="AL1353" s="18"/>
      <c r="AM1353" s="18"/>
    </row>
    <row r="1354" spans="6:39" x14ac:dyDescent="0.35">
      <c r="F1354" s="18"/>
      <c r="G1354" s="19"/>
      <c r="H1354" s="18"/>
      <c r="I1354" s="18"/>
      <c r="J1354" s="18"/>
      <c r="K1354" s="18"/>
      <c r="L1354" s="18"/>
      <c r="M1354" s="19"/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  <c r="X1354" s="18"/>
      <c r="Y1354" s="18"/>
      <c r="Z1354" s="18"/>
      <c r="AA1354" s="18"/>
      <c r="AB1354" s="18"/>
      <c r="AC1354" s="18"/>
      <c r="AD1354" s="18"/>
      <c r="AE1354" s="18"/>
      <c r="AF1354" s="18"/>
      <c r="AG1354" s="18"/>
      <c r="AH1354" s="18"/>
      <c r="AI1354" s="18"/>
      <c r="AJ1354" s="18"/>
      <c r="AK1354" s="18"/>
      <c r="AL1354" s="18"/>
      <c r="AM1354" s="18"/>
    </row>
    <row r="1355" spans="6:39" x14ac:dyDescent="0.35">
      <c r="F1355" s="18"/>
      <c r="G1355" s="19"/>
      <c r="H1355" s="18"/>
      <c r="I1355" s="18"/>
      <c r="J1355" s="18"/>
      <c r="K1355" s="18"/>
      <c r="L1355" s="18"/>
      <c r="M1355" s="19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  <c r="Y1355" s="18"/>
      <c r="Z1355" s="18"/>
      <c r="AA1355" s="18"/>
      <c r="AB1355" s="18"/>
      <c r="AC1355" s="18"/>
      <c r="AD1355" s="18"/>
      <c r="AE1355" s="18"/>
      <c r="AF1355" s="18"/>
      <c r="AG1355" s="18"/>
      <c r="AH1355" s="18"/>
      <c r="AI1355" s="18"/>
      <c r="AJ1355" s="18"/>
      <c r="AK1355" s="18"/>
      <c r="AL1355" s="18"/>
      <c r="AM1355" s="18"/>
    </row>
    <row r="1356" spans="6:39" x14ac:dyDescent="0.35">
      <c r="F1356" s="18"/>
      <c r="G1356" s="19"/>
      <c r="H1356" s="18"/>
      <c r="I1356" s="18"/>
      <c r="J1356" s="18"/>
      <c r="K1356" s="18"/>
      <c r="L1356" s="18"/>
      <c r="M1356" s="19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  <c r="AA1356" s="18"/>
      <c r="AB1356" s="18"/>
      <c r="AC1356" s="18"/>
      <c r="AD1356" s="18"/>
      <c r="AE1356" s="18"/>
      <c r="AF1356" s="18"/>
      <c r="AG1356" s="18"/>
      <c r="AH1356" s="18"/>
      <c r="AI1356" s="18"/>
      <c r="AJ1356" s="18"/>
      <c r="AK1356" s="18"/>
      <c r="AL1356" s="18"/>
      <c r="AM1356" s="18"/>
    </row>
    <row r="1357" spans="6:39" x14ac:dyDescent="0.35">
      <c r="F1357" s="18"/>
      <c r="G1357" s="19"/>
      <c r="H1357" s="18"/>
      <c r="I1357" s="18"/>
      <c r="J1357" s="18"/>
      <c r="K1357" s="18"/>
      <c r="L1357" s="18"/>
      <c r="M1357" s="19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8"/>
      <c r="Y1357" s="18"/>
      <c r="Z1357" s="18"/>
      <c r="AA1357" s="18"/>
      <c r="AB1357" s="18"/>
      <c r="AC1357" s="18"/>
      <c r="AD1357" s="18"/>
      <c r="AE1357" s="18"/>
      <c r="AF1357" s="18"/>
      <c r="AG1357" s="18"/>
      <c r="AH1357" s="18"/>
      <c r="AI1357" s="18"/>
      <c r="AJ1357" s="18"/>
      <c r="AK1357" s="18"/>
      <c r="AL1357" s="18"/>
      <c r="AM1357" s="18"/>
    </row>
    <row r="1358" spans="6:39" x14ac:dyDescent="0.35">
      <c r="F1358" s="18"/>
      <c r="G1358" s="19"/>
      <c r="H1358" s="18"/>
      <c r="I1358" s="18"/>
      <c r="J1358" s="18"/>
      <c r="K1358" s="18"/>
      <c r="L1358" s="18"/>
      <c r="M1358" s="19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18"/>
      <c r="AA1358" s="18"/>
      <c r="AB1358" s="18"/>
      <c r="AC1358" s="18"/>
      <c r="AD1358" s="18"/>
      <c r="AE1358" s="18"/>
      <c r="AF1358" s="18"/>
      <c r="AG1358" s="18"/>
      <c r="AH1358" s="18"/>
      <c r="AI1358" s="18"/>
      <c r="AJ1358" s="18"/>
      <c r="AK1358" s="18"/>
      <c r="AL1358" s="18"/>
      <c r="AM1358" s="18"/>
    </row>
    <row r="1359" spans="6:39" x14ac:dyDescent="0.35">
      <c r="F1359" s="18"/>
      <c r="G1359" s="19"/>
      <c r="H1359" s="18"/>
      <c r="I1359" s="18"/>
      <c r="J1359" s="18"/>
      <c r="K1359" s="18"/>
      <c r="L1359" s="18"/>
      <c r="M1359" s="19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  <c r="Z1359" s="18"/>
      <c r="AA1359" s="18"/>
      <c r="AB1359" s="18"/>
      <c r="AC1359" s="18"/>
      <c r="AD1359" s="18"/>
      <c r="AE1359" s="18"/>
      <c r="AF1359" s="18"/>
      <c r="AG1359" s="18"/>
      <c r="AH1359" s="18"/>
      <c r="AI1359" s="18"/>
      <c r="AJ1359" s="18"/>
      <c r="AK1359" s="18"/>
      <c r="AL1359" s="18"/>
      <c r="AM1359" s="18"/>
    </row>
    <row r="1360" spans="6:39" x14ac:dyDescent="0.35">
      <c r="F1360" s="18"/>
      <c r="G1360" s="19"/>
      <c r="H1360" s="18"/>
      <c r="I1360" s="18"/>
      <c r="J1360" s="18"/>
      <c r="K1360" s="18"/>
      <c r="L1360" s="18"/>
      <c r="M1360" s="19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  <c r="AA1360" s="18"/>
      <c r="AB1360" s="18"/>
      <c r="AC1360" s="18"/>
      <c r="AD1360" s="18"/>
      <c r="AE1360" s="18"/>
      <c r="AF1360" s="18"/>
      <c r="AG1360" s="18"/>
      <c r="AH1360" s="18"/>
      <c r="AI1360" s="18"/>
      <c r="AJ1360" s="18"/>
      <c r="AK1360" s="18"/>
      <c r="AL1360" s="18"/>
      <c r="AM1360" s="18"/>
    </row>
    <row r="1361" spans="6:39" x14ac:dyDescent="0.35">
      <c r="F1361" s="18"/>
      <c r="G1361" s="19"/>
      <c r="H1361" s="18"/>
      <c r="I1361" s="18"/>
      <c r="J1361" s="18"/>
      <c r="K1361" s="18"/>
      <c r="L1361" s="18"/>
      <c r="M1361" s="19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18"/>
      <c r="AA1361" s="18"/>
      <c r="AB1361" s="18"/>
      <c r="AC1361" s="18"/>
      <c r="AD1361" s="18"/>
      <c r="AE1361" s="18"/>
      <c r="AF1361" s="18"/>
      <c r="AG1361" s="18"/>
      <c r="AH1361" s="18"/>
      <c r="AI1361" s="18"/>
      <c r="AJ1361" s="18"/>
      <c r="AK1361" s="18"/>
      <c r="AL1361" s="18"/>
      <c r="AM1361" s="18"/>
    </row>
    <row r="1362" spans="6:39" x14ac:dyDescent="0.35">
      <c r="F1362" s="18"/>
      <c r="G1362" s="19"/>
      <c r="H1362" s="18"/>
      <c r="I1362" s="18"/>
      <c r="J1362" s="18"/>
      <c r="K1362" s="18"/>
      <c r="L1362" s="18"/>
      <c r="M1362" s="19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  <c r="Z1362" s="18"/>
      <c r="AA1362" s="18"/>
      <c r="AB1362" s="18"/>
      <c r="AC1362" s="18"/>
      <c r="AD1362" s="18"/>
      <c r="AE1362" s="18"/>
      <c r="AF1362" s="18"/>
      <c r="AG1362" s="18"/>
      <c r="AH1362" s="18"/>
      <c r="AI1362" s="18"/>
      <c r="AJ1362" s="18"/>
      <c r="AK1362" s="18"/>
      <c r="AL1362" s="18"/>
      <c r="AM1362" s="18"/>
    </row>
    <row r="1363" spans="6:39" x14ac:dyDescent="0.35">
      <c r="F1363" s="18"/>
      <c r="G1363" s="19"/>
      <c r="H1363" s="18"/>
      <c r="I1363" s="18"/>
      <c r="J1363" s="18"/>
      <c r="K1363" s="18"/>
      <c r="L1363" s="18"/>
      <c r="M1363" s="19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8"/>
      <c r="Y1363" s="18"/>
      <c r="Z1363" s="18"/>
      <c r="AA1363" s="18"/>
      <c r="AB1363" s="18"/>
      <c r="AC1363" s="18"/>
      <c r="AD1363" s="18"/>
      <c r="AE1363" s="18"/>
      <c r="AF1363" s="18"/>
      <c r="AG1363" s="18"/>
      <c r="AH1363" s="18"/>
      <c r="AI1363" s="18"/>
      <c r="AJ1363" s="18"/>
      <c r="AK1363" s="18"/>
      <c r="AL1363" s="18"/>
      <c r="AM1363" s="18"/>
    </row>
    <row r="1364" spans="6:39" x14ac:dyDescent="0.35">
      <c r="F1364" s="18"/>
      <c r="G1364" s="19"/>
      <c r="H1364" s="18"/>
      <c r="I1364" s="18"/>
      <c r="J1364" s="18"/>
      <c r="K1364" s="18"/>
      <c r="L1364" s="18"/>
      <c r="M1364" s="19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8"/>
      <c r="Y1364" s="18"/>
      <c r="Z1364" s="18"/>
      <c r="AA1364" s="18"/>
      <c r="AB1364" s="18"/>
      <c r="AC1364" s="18"/>
      <c r="AD1364" s="18"/>
      <c r="AE1364" s="18"/>
      <c r="AF1364" s="18"/>
      <c r="AG1364" s="18"/>
      <c r="AH1364" s="18"/>
      <c r="AI1364" s="18"/>
      <c r="AJ1364" s="18"/>
      <c r="AK1364" s="18"/>
      <c r="AL1364" s="18"/>
      <c r="AM1364" s="18"/>
    </row>
    <row r="1365" spans="6:39" x14ac:dyDescent="0.35">
      <c r="F1365" s="18"/>
      <c r="G1365" s="19"/>
      <c r="H1365" s="18"/>
      <c r="I1365" s="18"/>
      <c r="J1365" s="18"/>
      <c r="K1365" s="18"/>
      <c r="L1365" s="18"/>
      <c r="M1365" s="19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8"/>
      <c r="Y1365" s="18"/>
      <c r="Z1365" s="18"/>
      <c r="AA1365" s="18"/>
      <c r="AB1365" s="18"/>
      <c r="AC1365" s="18"/>
      <c r="AD1365" s="18"/>
      <c r="AE1365" s="18"/>
      <c r="AF1365" s="18"/>
      <c r="AG1365" s="18"/>
      <c r="AH1365" s="18"/>
      <c r="AI1365" s="18"/>
      <c r="AJ1365" s="18"/>
      <c r="AK1365" s="18"/>
      <c r="AL1365" s="18"/>
      <c r="AM1365" s="18"/>
    </row>
    <row r="1366" spans="6:39" x14ac:dyDescent="0.35">
      <c r="F1366" s="18"/>
      <c r="G1366" s="19"/>
      <c r="H1366" s="18"/>
      <c r="I1366" s="18"/>
      <c r="J1366" s="18"/>
      <c r="K1366" s="18"/>
      <c r="L1366" s="18"/>
      <c r="M1366" s="19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  <c r="Z1366" s="18"/>
      <c r="AA1366" s="18"/>
      <c r="AB1366" s="18"/>
      <c r="AC1366" s="18"/>
      <c r="AD1366" s="18"/>
      <c r="AE1366" s="18"/>
      <c r="AF1366" s="18"/>
      <c r="AG1366" s="18"/>
      <c r="AH1366" s="18"/>
      <c r="AI1366" s="18"/>
      <c r="AJ1366" s="18"/>
      <c r="AK1366" s="18"/>
      <c r="AL1366" s="18"/>
      <c r="AM1366" s="18"/>
    </row>
    <row r="1367" spans="6:39" x14ac:dyDescent="0.35">
      <c r="F1367" s="18"/>
      <c r="G1367" s="19"/>
      <c r="H1367" s="18"/>
      <c r="I1367" s="18"/>
      <c r="J1367" s="18"/>
      <c r="K1367" s="18"/>
      <c r="L1367" s="18"/>
      <c r="M1367" s="19"/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  <c r="X1367" s="18"/>
      <c r="Y1367" s="18"/>
      <c r="Z1367" s="18"/>
      <c r="AA1367" s="18"/>
      <c r="AB1367" s="18"/>
      <c r="AC1367" s="18"/>
      <c r="AD1367" s="18"/>
      <c r="AE1367" s="18"/>
      <c r="AF1367" s="18"/>
      <c r="AG1367" s="18"/>
      <c r="AH1367" s="18"/>
      <c r="AI1367" s="18"/>
      <c r="AJ1367" s="18"/>
      <c r="AK1367" s="18"/>
      <c r="AL1367" s="18"/>
      <c r="AM1367" s="18"/>
    </row>
    <row r="1368" spans="6:39" x14ac:dyDescent="0.35">
      <c r="F1368" s="18"/>
      <c r="G1368" s="19"/>
      <c r="H1368" s="18"/>
      <c r="I1368" s="18"/>
      <c r="J1368" s="18"/>
      <c r="K1368" s="18"/>
      <c r="L1368" s="18"/>
      <c r="M1368" s="19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  <c r="Y1368" s="18"/>
      <c r="Z1368" s="18"/>
      <c r="AA1368" s="18"/>
      <c r="AB1368" s="18"/>
      <c r="AC1368" s="18"/>
      <c r="AD1368" s="18"/>
      <c r="AE1368" s="18"/>
      <c r="AF1368" s="18"/>
      <c r="AG1368" s="18"/>
      <c r="AH1368" s="18"/>
      <c r="AI1368" s="18"/>
      <c r="AJ1368" s="18"/>
      <c r="AK1368" s="18"/>
      <c r="AL1368" s="18"/>
      <c r="AM1368" s="18"/>
    </row>
    <row r="1369" spans="6:39" x14ac:dyDescent="0.35">
      <c r="F1369" s="18"/>
      <c r="G1369" s="19"/>
      <c r="H1369" s="18"/>
      <c r="I1369" s="18"/>
      <c r="J1369" s="18"/>
      <c r="K1369" s="18"/>
      <c r="L1369" s="18"/>
      <c r="M1369" s="19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8"/>
      <c r="Y1369" s="18"/>
      <c r="Z1369" s="18"/>
      <c r="AA1369" s="18"/>
      <c r="AB1369" s="18"/>
      <c r="AC1369" s="18"/>
      <c r="AD1369" s="18"/>
      <c r="AE1369" s="18"/>
      <c r="AF1369" s="18"/>
      <c r="AG1369" s="18"/>
      <c r="AH1369" s="18"/>
      <c r="AI1369" s="18"/>
      <c r="AJ1369" s="18"/>
      <c r="AK1369" s="18"/>
      <c r="AL1369" s="18"/>
      <c r="AM1369" s="18"/>
    </row>
    <row r="1370" spans="6:39" x14ac:dyDescent="0.35">
      <c r="F1370" s="18"/>
      <c r="G1370" s="19"/>
      <c r="H1370" s="18"/>
      <c r="I1370" s="18"/>
      <c r="J1370" s="18"/>
      <c r="K1370" s="18"/>
      <c r="L1370" s="18"/>
      <c r="M1370" s="19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  <c r="X1370" s="18"/>
      <c r="Y1370" s="18"/>
      <c r="Z1370" s="18"/>
      <c r="AA1370" s="18"/>
      <c r="AB1370" s="18"/>
      <c r="AC1370" s="18"/>
      <c r="AD1370" s="18"/>
      <c r="AE1370" s="18"/>
      <c r="AF1370" s="18"/>
      <c r="AG1370" s="18"/>
      <c r="AH1370" s="18"/>
      <c r="AI1370" s="18"/>
      <c r="AJ1370" s="18"/>
      <c r="AK1370" s="18"/>
      <c r="AL1370" s="18"/>
      <c r="AM1370" s="18"/>
    </row>
    <row r="1371" spans="6:39" x14ac:dyDescent="0.35">
      <c r="F1371" s="18"/>
      <c r="G1371" s="19"/>
      <c r="H1371" s="18"/>
      <c r="I1371" s="18"/>
      <c r="J1371" s="18"/>
      <c r="K1371" s="18"/>
      <c r="L1371" s="18"/>
      <c r="M1371" s="19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  <c r="Z1371" s="18"/>
      <c r="AA1371" s="18"/>
      <c r="AB1371" s="18"/>
      <c r="AC1371" s="18"/>
      <c r="AD1371" s="18"/>
      <c r="AE1371" s="18"/>
      <c r="AF1371" s="18"/>
      <c r="AG1371" s="18"/>
      <c r="AH1371" s="18"/>
      <c r="AI1371" s="18"/>
      <c r="AJ1371" s="18"/>
      <c r="AK1371" s="18"/>
      <c r="AL1371" s="18"/>
      <c r="AM1371" s="18"/>
    </row>
    <row r="1372" spans="6:39" x14ac:dyDescent="0.35">
      <c r="F1372" s="18"/>
      <c r="G1372" s="19"/>
      <c r="H1372" s="18"/>
      <c r="I1372" s="18"/>
      <c r="J1372" s="18"/>
      <c r="K1372" s="18"/>
      <c r="L1372" s="18"/>
      <c r="M1372" s="19"/>
      <c r="N1372" s="18"/>
      <c r="O1372" s="18"/>
      <c r="P1372" s="18"/>
      <c r="Q1372" s="18"/>
      <c r="R1372" s="18"/>
      <c r="S1372" s="18"/>
      <c r="T1372" s="18"/>
      <c r="U1372" s="18"/>
      <c r="V1372" s="18"/>
      <c r="W1372" s="18"/>
      <c r="X1372" s="18"/>
      <c r="Y1372" s="18"/>
      <c r="Z1372" s="18"/>
      <c r="AA1372" s="18"/>
      <c r="AB1372" s="18"/>
      <c r="AC1372" s="18"/>
      <c r="AD1372" s="18"/>
      <c r="AE1372" s="18"/>
      <c r="AF1372" s="18"/>
      <c r="AG1372" s="18"/>
      <c r="AH1372" s="18"/>
      <c r="AI1372" s="18"/>
      <c r="AJ1372" s="18"/>
      <c r="AK1372" s="18"/>
      <c r="AL1372" s="18"/>
      <c r="AM1372" s="18"/>
    </row>
    <row r="1373" spans="6:39" x14ac:dyDescent="0.35">
      <c r="F1373" s="18"/>
      <c r="G1373" s="19"/>
      <c r="H1373" s="18"/>
      <c r="I1373" s="18"/>
      <c r="J1373" s="18"/>
      <c r="K1373" s="18"/>
      <c r="L1373" s="18"/>
      <c r="M1373" s="19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  <c r="X1373" s="18"/>
      <c r="Y1373" s="18"/>
      <c r="Z1373" s="18"/>
      <c r="AA1373" s="18"/>
      <c r="AB1373" s="18"/>
      <c r="AC1373" s="18"/>
      <c r="AD1373" s="18"/>
      <c r="AE1373" s="18"/>
      <c r="AF1373" s="18"/>
      <c r="AG1373" s="18"/>
      <c r="AH1373" s="18"/>
      <c r="AI1373" s="18"/>
      <c r="AJ1373" s="18"/>
      <c r="AK1373" s="18"/>
      <c r="AL1373" s="18"/>
      <c r="AM1373" s="18"/>
    </row>
    <row r="1374" spans="6:39" x14ac:dyDescent="0.35">
      <c r="F1374" s="18"/>
      <c r="G1374" s="19"/>
      <c r="H1374" s="18"/>
      <c r="I1374" s="18"/>
      <c r="J1374" s="18"/>
      <c r="K1374" s="18"/>
      <c r="L1374" s="18"/>
      <c r="M1374" s="19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  <c r="Y1374" s="18"/>
      <c r="Z1374" s="18"/>
      <c r="AA1374" s="18"/>
      <c r="AB1374" s="18"/>
      <c r="AC1374" s="18"/>
      <c r="AD1374" s="18"/>
      <c r="AE1374" s="18"/>
      <c r="AF1374" s="18"/>
      <c r="AG1374" s="18"/>
      <c r="AH1374" s="18"/>
      <c r="AI1374" s="18"/>
      <c r="AJ1374" s="18"/>
      <c r="AK1374" s="18"/>
      <c r="AL1374" s="18"/>
      <c r="AM1374" s="18"/>
    </row>
    <row r="1375" spans="6:39" x14ac:dyDescent="0.35">
      <c r="F1375" s="18"/>
      <c r="G1375" s="19"/>
      <c r="H1375" s="18"/>
      <c r="I1375" s="18"/>
      <c r="J1375" s="18"/>
      <c r="K1375" s="18"/>
      <c r="L1375" s="18"/>
      <c r="M1375" s="19"/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  <c r="X1375" s="18"/>
      <c r="Y1375" s="18"/>
      <c r="Z1375" s="18"/>
      <c r="AA1375" s="18"/>
      <c r="AB1375" s="18"/>
      <c r="AC1375" s="18"/>
      <c r="AD1375" s="18"/>
      <c r="AE1375" s="18"/>
      <c r="AF1375" s="18"/>
      <c r="AG1375" s="18"/>
      <c r="AH1375" s="18"/>
      <c r="AI1375" s="18"/>
      <c r="AJ1375" s="18"/>
      <c r="AK1375" s="18"/>
      <c r="AL1375" s="18"/>
      <c r="AM1375" s="18"/>
    </row>
    <row r="1376" spans="6:39" x14ac:dyDescent="0.35">
      <c r="F1376" s="18"/>
      <c r="G1376" s="19"/>
      <c r="H1376" s="18"/>
      <c r="I1376" s="18"/>
      <c r="J1376" s="18"/>
      <c r="K1376" s="18"/>
      <c r="L1376" s="18"/>
      <c r="M1376" s="19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  <c r="Z1376" s="18"/>
      <c r="AA1376" s="18"/>
      <c r="AB1376" s="18"/>
      <c r="AC1376" s="18"/>
      <c r="AD1376" s="18"/>
      <c r="AE1376" s="18"/>
      <c r="AF1376" s="18"/>
      <c r="AG1376" s="18"/>
      <c r="AH1376" s="18"/>
      <c r="AI1376" s="18"/>
      <c r="AJ1376" s="18"/>
      <c r="AK1376" s="18"/>
      <c r="AL1376" s="18"/>
      <c r="AM1376" s="18"/>
    </row>
    <row r="1377" spans="6:39" x14ac:dyDescent="0.35">
      <c r="F1377" s="18"/>
      <c r="G1377" s="19"/>
      <c r="H1377" s="18"/>
      <c r="I1377" s="18"/>
      <c r="J1377" s="18"/>
      <c r="K1377" s="18"/>
      <c r="L1377" s="18"/>
      <c r="M1377" s="19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8"/>
      <c r="Y1377" s="18"/>
      <c r="Z1377" s="18"/>
      <c r="AA1377" s="18"/>
      <c r="AB1377" s="18"/>
      <c r="AC1377" s="18"/>
      <c r="AD1377" s="18"/>
      <c r="AE1377" s="18"/>
      <c r="AF1377" s="18"/>
      <c r="AG1377" s="18"/>
      <c r="AH1377" s="18"/>
      <c r="AI1377" s="18"/>
      <c r="AJ1377" s="18"/>
      <c r="AK1377" s="18"/>
      <c r="AL1377" s="18"/>
      <c r="AM1377" s="18"/>
    </row>
    <row r="1378" spans="6:39" x14ac:dyDescent="0.35">
      <c r="F1378" s="18"/>
      <c r="G1378" s="19"/>
      <c r="H1378" s="18"/>
      <c r="I1378" s="18"/>
      <c r="J1378" s="18"/>
      <c r="K1378" s="18"/>
      <c r="L1378" s="18"/>
      <c r="M1378" s="19"/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  <c r="X1378" s="18"/>
      <c r="Y1378" s="18"/>
      <c r="Z1378" s="18"/>
      <c r="AA1378" s="18"/>
      <c r="AB1378" s="18"/>
      <c r="AC1378" s="18"/>
      <c r="AD1378" s="18"/>
      <c r="AE1378" s="18"/>
      <c r="AF1378" s="18"/>
      <c r="AG1378" s="18"/>
      <c r="AH1378" s="18"/>
      <c r="AI1378" s="18"/>
      <c r="AJ1378" s="18"/>
      <c r="AK1378" s="18"/>
      <c r="AL1378" s="18"/>
      <c r="AM1378" s="18"/>
    </row>
    <row r="1379" spans="6:39" x14ac:dyDescent="0.35">
      <c r="F1379" s="18"/>
      <c r="G1379" s="19"/>
      <c r="H1379" s="18"/>
      <c r="I1379" s="18"/>
      <c r="J1379" s="18"/>
      <c r="K1379" s="18"/>
      <c r="L1379" s="18"/>
      <c r="M1379" s="19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8"/>
      <c r="Y1379" s="18"/>
      <c r="Z1379" s="18"/>
      <c r="AA1379" s="18"/>
      <c r="AB1379" s="18"/>
      <c r="AC1379" s="18"/>
      <c r="AD1379" s="18"/>
      <c r="AE1379" s="18"/>
      <c r="AF1379" s="18"/>
      <c r="AG1379" s="18"/>
      <c r="AH1379" s="18"/>
      <c r="AI1379" s="18"/>
      <c r="AJ1379" s="18"/>
      <c r="AK1379" s="18"/>
      <c r="AL1379" s="18"/>
      <c r="AM1379" s="18"/>
    </row>
    <row r="1380" spans="6:39" x14ac:dyDescent="0.35">
      <c r="F1380" s="18"/>
      <c r="G1380" s="19"/>
      <c r="H1380" s="18"/>
      <c r="I1380" s="18"/>
      <c r="J1380" s="18"/>
      <c r="K1380" s="18"/>
      <c r="L1380" s="18"/>
      <c r="M1380" s="19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  <c r="Z1380" s="18"/>
      <c r="AA1380" s="18"/>
      <c r="AB1380" s="18"/>
      <c r="AC1380" s="18"/>
      <c r="AD1380" s="18"/>
      <c r="AE1380" s="18"/>
      <c r="AF1380" s="18"/>
      <c r="AG1380" s="18"/>
      <c r="AH1380" s="18"/>
      <c r="AI1380" s="18"/>
      <c r="AJ1380" s="18"/>
      <c r="AK1380" s="18"/>
      <c r="AL1380" s="18"/>
      <c r="AM1380" s="18"/>
    </row>
    <row r="1381" spans="6:39" x14ac:dyDescent="0.35">
      <c r="F1381" s="18"/>
      <c r="G1381" s="19"/>
      <c r="H1381" s="18"/>
      <c r="I1381" s="18"/>
      <c r="J1381" s="18"/>
      <c r="K1381" s="18"/>
      <c r="L1381" s="18"/>
      <c r="M1381" s="19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  <c r="Z1381" s="18"/>
      <c r="AA1381" s="18"/>
      <c r="AB1381" s="18"/>
      <c r="AC1381" s="18"/>
      <c r="AD1381" s="18"/>
      <c r="AE1381" s="18"/>
      <c r="AF1381" s="18"/>
      <c r="AG1381" s="18"/>
      <c r="AH1381" s="18"/>
      <c r="AI1381" s="18"/>
      <c r="AJ1381" s="18"/>
      <c r="AK1381" s="18"/>
      <c r="AL1381" s="18"/>
      <c r="AM1381" s="18"/>
    </row>
    <row r="1382" spans="6:39" x14ac:dyDescent="0.35">
      <c r="F1382" s="18"/>
      <c r="G1382" s="19"/>
      <c r="H1382" s="18"/>
      <c r="I1382" s="18"/>
      <c r="J1382" s="18"/>
      <c r="K1382" s="18"/>
      <c r="L1382" s="18"/>
      <c r="M1382" s="19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  <c r="Y1382" s="18"/>
      <c r="Z1382" s="18"/>
      <c r="AA1382" s="18"/>
      <c r="AB1382" s="18"/>
      <c r="AC1382" s="18"/>
      <c r="AD1382" s="18"/>
      <c r="AE1382" s="18"/>
      <c r="AF1382" s="18"/>
      <c r="AG1382" s="18"/>
      <c r="AH1382" s="18"/>
      <c r="AI1382" s="18"/>
      <c r="AJ1382" s="18"/>
      <c r="AK1382" s="18"/>
      <c r="AL1382" s="18"/>
      <c r="AM1382" s="18"/>
    </row>
    <row r="1383" spans="6:39" x14ac:dyDescent="0.35">
      <c r="F1383" s="18"/>
      <c r="G1383" s="19"/>
      <c r="H1383" s="18"/>
      <c r="I1383" s="18"/>
      <c r="J1383" s="18"/>
      <c r="K1383" s="18"/>
      <c r="L1383" s="18"/>
      <c r="M1383" s="19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  <c r="Y1383" s="18"/>
      <c r="Z1383" s="18"/>
      <c r="AA1383" s="18"/>
      <c r="AB1383" s="18"/>
      <c r="AC1383" s="18"/>
      <c r="AD1383" s="18"/>
      <c r="AE1383" s="18"/>
      <c r="AF1383" s="18"/>
      <c r="AG1383" s="18"/>
      <c r="AH1383" s="18"/>
      <c r="AI1383" s="18"/>
      <c r="AJ1383" s="18"/>
      <c r="AK1383" s="18"/>
      <c r="AL1383" s="18"/>
      <c r="AM1383" s="18"/>
    </row>
    <row r="1384" spans="6:39" x14ac:dyDescent="0.35">
      <c r="F1384" s="18"/>
      <c r="G1384" s="19"/>
      <c r="H1384" s="18"/>
      <c r="I1384" s="18"/>
      <c r="J1384" s="18"/>
      <c r="K1384" s="18"/>
      <c r="L1384" s="18"/>
      <c r="M1384" s="19"/>
      <c r="N1384" s="18"/>
      <c r="O1384" s="18"/>
      <c r="P1384" s="18"/>
      <c r="Q1384" s="18"/>
      <c r="R1384" s="18"/>
      <c r="S1384" s="18"/>
      <c r="T1384" s="18"/>
      <c r="U1384" s="18"/>
      <c r="V1384" s="18"/>
      <c r="W1384" s="18"/>
      <c r="X1384" s="18"/>
      <c r="Y1384" s="18"/>
      <c r="Z1384" s="18"/>
      <c r="AA1384" s="18"/>
      <c r="AB1384" s="18"/>
      <c r="AC1384" s="18"/>
      <c r="AD1384" s="18"/>
      <c r="AE1384" s="18"/>
      <c r="AF1384" s="18"/>
      <c r="AG1384" s="18"/>
      <c r="AH1384" s="18"/>
      <c r="AI1384" s="18"/>
      <c r="AJ1384" s="18"/>
      <c r="AK1384" s="18"/>
      <c r="AL1384" s="18"/>
      <c r="AM1384" s="18"/>
    </row>
    <row r="1385" spans="6:39" x14ac:dyDescent="0.35">
      <c r="F1385" s="18"/>
      <c r="G1385" s="19"/>
      <c r="H1385" s="18"/>
      <c r="I1385" s="18"/>
      <c r="J1385" s="18"/>
      <c r="K1385" s="18"/>
      <c r="L1385" s="18"/>
      <c r="M1385" s="19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  <c r="Y1385" s="18"/>
      <c r="Z1385" s="18"/>
      <c r="AA1385" s="18"/>
      <c r="AB1385" s="18"/>
      <c r="AC1385" s="18"/>
      <c r="AD1385" s="18"/>
      <c r="AE1385" s="18"/>
      <c r="AF1385" s="18"/>
      <c r="AG1385" s="18"/>
      <c r="AH1385" s="18"/>
      <c r="AI1385" s="18"/>
      <c r="AJ1385" s="18"/>
      <c r="AK1385" s="18"/>
      <c r="AL1385" s="18"/>
      <c r="AM1385" s="18"/>
    </row>
    <row r="1386" spans="6:39" x14ac:dyDescent="0.35">
      <c r="F1386" s="18"/>
      <c r="G1386" s="19"/>
      <c r="H1386" s="18"/>
      <c r="I1386" s="18"/>
      <c r="J1386" s="18"/>
      <c r="K1386" s="18"/>
      <c r="L1386" s="18"/>
      <c r="M1386" s="19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18"/>
      <c r="AA1386" s="18"/>
      <c r="AB1386" s="18"/>
      <c r="AC1386" s="18"/>
      <c r="AD1386" s="18"/>
      <c r="AE1386" s="18"/>
      <c r="AF1386" s="18"/>
      <c r="AG1386" s="18"/>
      <c r="AH1386" s="18"/>
      <c r="AI1386" s="18"/>
      <c r="AJ1386" s="18"/>
      <c r="AK1386" s="18"/>
      <c r="AL1386" s="18"/>
      <c r="AM1386" s="18"/>
    </row>
    <row r="1387" spans="6:39" x14ac:dyDescent="0.35">
      <c r="F1387" s="18"/>
      <c r="G1387" s="19"/>
      <c r="H1387" s="18"/>
      <c r="I1387" s="18"/>
      <c r="J1387" s="18"/>
      <c r="K1387" s="18"/>
      <c r="L1387" s="18"/>
      <c r="M1387" s="19"/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  <c r="X1387" s="18"/>
      <c r="Y1387" s="18"/>
      <c r="Z1387" s="18"/>
      <c r="AA1387" s="18"/>
      <c r="AB1387" s="18"/>
      <c r="AC1387" s="18"/>
      <c r="AD1387" s="18"/>
      <c r="AE1387" s="18"/>
      <c r="AF1387" s="18"/>
      <c r="AG1387" s="18"/>
      <c r="AH1387" s="18"/>
      <c r="AI1387" s="18"/>
      <c r="AJ1387" s="18"/>
      <c r="AK1387" s="18"/>
      <c r="AL1387" s="18"/>
      <c r="AM1387" s="18"/>
    </row>
    <row r="1388" spans="6:39" x14ac:dyDescent="0.35">
      <c r="F1388" s="18"/>
      <c r="G1388" s="19"/>
      <c r="H1388" s="18"/>
      <c r="I1388" s="18"/>
      <c r="J1388" s="18"/>
      <c r="K1388" s="18"/>
      <c r="L1388" s="18"/>
      <c r="M1388" s="19"/>
      <c r="N1388" s="18"/>
      <c r="O1388" s="18"/>
      <c r="P1388" s="18"/>
      <c r="Q1388" s="18"/>
      <c r="R1388" s="18"/>
      <c r="S1388" s="18"/>
      <c r="T1388" s="18"/>
      <c r="U1388" s="18"/>
      <c r="V1388" s="18"/>
      <c r="W1388" s="18"/>
      <c r="X1388" s="18"/>
      <c r="Y1388" s="18"/>
      <c r="Z1388" s="18"/>
      <c r="AA1388" s="18"/>
      <c r="AB1388" s="18"/>
      <c r="AC1388" s="18"/>
      <c r="AD1388" s="18"/>
      <c r="AE1388" s="18"/>
      <c r="AF1388" s="18"/>
      <c r="AG1388" s="18"/>
      <c r="AH1388" s="18"/>
      <c r="AI1388" s="18"/>
      <c r="AJ1388" s="18"/>
      <c r="AK1388" s="18"/>
      <c r="AL1388" s="18"/>
      <c r="AM1388" s="18"/>
    </row>
    <row r="1389" spans="6:39" x14ac:dyDescent="0.35">
      <c r="F1389" s="18"/>
      <c r="G1389" s="19"/>
      <c r="H1389" s="18"/>
      <c r="I1389" s="18"/>
      <c r="J1389" s="18"/>
      <c r="K1389" s="18"/>
      <c r="L1389" s="18"/>
      <c r="M1389" s="19"/>
      <c r="N1389" s="18"/>
      <c r="O1389" s="18"/>
      <c r="P1389" s="18"/>
      <c r="Q1389" s="18"/>
      <c r="R1389" s="18"/>
      <c r="S1389" s="18"/>
      <c r="T1389" s="18"/>
      <c r="U1389" s="18"/>
      <c r="V1389" s="18"/>
      <c r="W1389" s="18"/>
      <c r="X1389" s="18"/>
      <c r="Y1389" s="18"/>
      <c r="Z1389" s="18"/>
      <c r="AA1389" s="18"/>
      <c r="AB1389" s="18"/>
      <c r="AC1389" s="18"/>
      <c r="AD1389" s="18"/>
      <c r="AE1389" s="18"/>
      <c r="AF1389" s="18"/>
      <c r="AG1389" s="18"/>
      <c r="AH1389" s="18"/>
      <c r="AI1389" s="18"/>
      <c r="AJ1389" s="18"/>
      <c r="AK1389" s="18"/>
      <c r="AL1389" s="18"/>
      <c r="AM1389" s="18"/>
    </row>
    <row r="1390" spans="6:39" x14ac:dyDescent="0.35">
      <c r="F1390" s="18"/>
      <c r="G1390" s="19"/>
      <c r="H1390" s="18"/>
      <c r="I1390" s="18"/>
      <c r="J1390" s="18"/>
      <c r="K1390" s="18"/>
      <c r="L1390" s="18"/>
      <c r="M1390" s="19"/>
      <c r="N1390" s="18"/>
      <c r="O1390" s="18"/>
      <c r="P1390" s="18"/>
      <c r="Q1390" s="18"/>
      <c r="R1390" s="18"/>
      <c r="S1390" s="18"/>
      <c r="T1390" s="18"/>
      <c r="U1390" s="18"/>
      <c r="V1390" s="18"/>
      <c r="W1390" s="18"/>
      <c r="X1390" s="18"/>
      <c r="Y1390" s="18"/>
      <c r="Z1390" s="18"/>
      <c r="AA1390" s="18"/>
      <c r="AB1390" s="18"/>
      <c r="AC1390" s="18"/>
      <c r="AD1390" s="18"/>
      <c r="AE1390" s="18"/>
      <c r="AF1390" s="18"/>
      <c r="AG1390" s="18"/>
      <c r="AH1390" s="18"/>
      <c r="AI1390" s="18"/>
      <c r="AJ1390" s="18"/>
      <c r="AK1390" s="18"/>
      <c r="AL1390" s="18"/>
      <c r="AM1390" s="18"/>
    </row>
    <row r="1391" spans="6:39" x14ac:dyDescent="0.35">
      <c r="F1391" s="18"/>
      <c r="G1391" s="19"/>
      <c r="H1391" s="18"/>
      <c r="I1391" s="18"/>
      <c r="J1391" s="18"/>
      <c r="K1391" s="18"/>
      <c r="L1391" s="18"/>
      <c r="M1391" s="19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  <c r="Y1391" s="18"/>
      <c r="Z1391" s="18"/>
      <c r="AA1391" s="18"/>
      <c r="AB1391" s="18"/>
      <c r="AC1391" s="18"/>
      <c r="AD1391" s="18"/>
      <c r="AE1391" s="18"/>
      <c r="AF1391" s="18"/>
      <c r="AG1391" s="18"/>
      <c r="AH1391" s="18"/>
      <c r="AI1391" s="18"/>
      <c r="AJ1391" s="18"/>
      <c r="AK1391" s="18"/>
      <c r="AL1391" s="18"/>
      <c r="AM1391" s="18"/>
    </row>
    <row r="1392" spans="6:39" x14ac:dyDescent="0.35">
      <c r="F1392" s="18"/>
      <c r="G1392" s="19"/>
      <c r="H1392" s="18"/>
      <c r="I1392" s="18"/>
      <c r="J1392" s="18"/>
      <c r="K1392" s="18"/>
      <c r="L1392" s="18"/>
      <c r="M1392" s="19"/>
      <c r="N1392" s="18"/>
      <c r="O1392" s="18"/>
      <c r="P1392" s="18"/>
      <c r="Q1392" s="18"/>
      <c r="R1392" s="18"/>
      <c r="S1392" s="18"/>
      <c r="T1392" s="18"/>
      <c r="U1392" s="18"/>
      <c r="V1392" s="18"/>
      <c r="W1392" s="18"/>
      <c r="X1392" s="18"/>
      <c r="Y1392" s="18"/>
      <c r="Z1392" s="18"/>
      <c r="AA1392" s="18"/>
      <c r="AB1392" s="18"/>
      <c r="AC1392" s="18"/>
      <c r="AD1392" s="18"/>
      <c r="AE1392" s="18"/>
      <c r="AF1392" s="18"/>
      <c r="AG1392" s="18"/>
      <c r="AH1392" s="18"/>
      <c r="AI1392" s="18"/>
      <c r="AJ1392" s="18"/>
      <c r="AK1392" s="18"/>
      <c r="AL1392" s="18"/>
      <c r="AM1392" s="18"/>
    </row>
    <row r="1393" spans="6:39" x14ac:dyDescent="0.35">
      <c r="F1393" s="18"/>
      <c r="G1393" s="19"/>
      <c r="H1393" s="18"/>
      <c r="I1393" s="18"/>
      <c r="J1393" s="18"/>
      <c r="K1393" s="18"/>
      <c r="L1393" s="18"/>
      <c r="M1393" s="19"/>
      <c r="N1393" s="18"/>
      <c r="O1393" s="18"/>
      <c r="P1393" s="18"/>
      <c r="Q1393" s="18"/>
      <c r="R1393" s="18"/>
      <c r="S1393" s="18"/>
      <c r="T1393" s="18"/>
      <c r="U1393" s="18"/>
      <c r="V1393" s="18"/>
      <c r="W1393" s="18"/>
      <c r="X1393" s="18"/>
      <c r="Y1393" s="18"/>
      <c r="Z1393" s="18"/>
      <c r="AA1393" s="18"/>
      <c r="AB1393" s="18"/>
      <c r="AC1393" s="18"/>
      <c r="AD1393" s="18"/>
      <c r="AE1393" s="18"/>
      <c r="AF1393" s="18"/>
      <c r="AG1393" s="18"/>
      <c r="AH1393" s="18"/>
      <c r="AI1393" s="18"/>
      <c r="AJ1393" s="18"/>
      <c r="AK1393" s="18"/>
      <c r="AL1393" s="18"/>
      <c r="AM1393" s="18"/>
    </row>
    <row r="1394" spans="6:39" x14ac:dyDescent="0.35">
      <c r="F1394" s="18"/>
      <c r="G1394" s="19"/>
      <c r="H1394" s="18"/>
      <c r="I1394" s="18"/>
      <c r="J1394" s="18"/>
      <c r="K1394" s="18"/>
      <c r="L1394" s="18"/>
      <c r="M1394" s="19"/>
      <c r="N1394" s="18"/>
      <c r="O1394" s="18"/>
      <c r="P1394" s="18"/>
      <c r="Q1394" s="18"/>
      <c r="R1394" s="18"/>
      <c r="S1394" s="18"/>
      <c r="T1394" s="18"/>
      <c r="U1394" s="18"/>
      <c r="V1394" s="18"/>
      <c r="W1394" s="18"/>
      <c r="X1394" s="18"/>
      <c r="Y1394" s="18"/>
      <c r="Z1394" s="18"/>
      <c r="AA1394" s="18"/>
      <c r="AB1394" s="18"/>
      <c r="AC1394" s="18"/>
      <c r="AD1394" s="18"/>
      <c r="AE1394" s="18"/>
      <c r="AF1394" s="18"/>
      <c r="AG1394" s="18"/>
      <c r="AH1394" s="18"/>
      <c r="AI1394" s="18"/>
      <c r="AJ1394" s="18"/>
      <c r="AK1394" s="18"/>
      <c r="AL1394" s="18"/>
      <c r="AM1394" s="18"/>
    </row>
    <row r="1395" spans="6:39" x14ac:dyDescent="0.35">
      <c r="F1395" s="18"/>
      <c r="G1395" s="19"/>
      <c r="H1395" s="18"/>
      <c r="I1395" s="18"/>
      <c r="J1395" s="18"/>
      <c r="K1395" s="18"/>
      <c r="L1395" s="18"/>
      <c r="M1395" s="19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  <c r="Y1395" s="18"/>
      <c r="Z1395" s="18"/>
      <c r="AA1395" s="18"/>
      <c r="AB1395" s="18"/>
      <c r="AC1395" s="18"/>
      <c r="AD1395" s="18"/>
      <c r="AE1395" s="18"/>
      <c r="AF1395" s="18"/>
      <c r="AG1395" s="18"/>
      <c r="AH1395" s="18"/>
      <c r="AI1395" s="18"/>
      <c r="AJ1395" s="18"/>
      <c r="AK1395" s="18"/>
      <c r="AL1395" s="18"/>
      <c r="AM1395" s="18"/>
    </row>
    <row r="1396" spans="6:39" x14ac:dyDescent="0.35">
      <c r="F1396" s="18"/>
      <c r="G1396" s="19"/>
      <c r="H1396" s="18"/>
      <c r="I1396" s="18"/>
      <c r="J1396" s="18"/>
      <c r="K1396" s="18"/>
      <c r="L1396" s="18"/>
      <c r="M1396" s="19"/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  <c r="X1396" s="18"/>
      <c r="Y1396" s="18"/>
      <c r="Z1396" s="18"/>
      <c r="AA1396" s="18"/>
      <c r="AB1396" s="18"/>
      <c r="AC1396" s="18"/>
      <c r="AD1396" s="18"/>
      <c r="AE1396" s="18"/>
      <c r="AF1396" s="18"/>
      <c r="AG1396" s="18"/>
      <c r="AH1396" s="18"/>
      <c r="AI1396" s="18"/>
      <c r="AJ1396" s="18"/>
      <c r="AK1396" s="18"/>
      <c r="AL1396" s="18"/>
      <c r="AM1396" s="18"/>
    </row>
    <row r="1397" spans="6:39" x14ac:dyDescent="0.35">
      <c r="F1397" s="18"/>
      <c r="G1397" s="19"/>
      <c r="H1397" s="18"/>
      <c r="I1397" s="18"/>
      <c r="J1397" s="18"/>
      <c r="K1397" s="18"/>
      <c r="L1397" s="18"/>
      <c r="M1397" s="19"/>
      <c r="N1397" s="18"/>
      <c r="O1397" s="18"/>
      <c r="P1397" s="18"/>
      <c r="Q1397" s="18"/>
      <c r="R1397" s="18"/>
      <c r="S1397" s="18"/>
      <c r="T1397" s="18"/>
      <c r="U1397" s="18"/>
      <c r="V1397" s="18"/>
      <c r="W1397" s="18"/>
      <c r="X1397" s="18"/>
      <c r="Y1397" s="18"/>
      <c r="Z1397" s="18"/>
      <c r="AA1397" s="18"/>
      <c r="AB1397" s="18"/>
      <c r="AC1397" s="18"/>
      <c r="AD1397" s="18"/>
      <c r="AE1397" s="18"/>
      <c r="AF1397" s="18"/>
      <c r="AG1397" s="18"/>
      <c r="AH1397" s="18"/>
      <c r="AI1397" s="18"/>
      <c r="AJ1397" s="18"/>
      <c r="AK1397" s="18"/>
      <c r="AL1397" s="18"/>
      <c r="AM1397" s="18"/>
    </row>
    <row r="1398" spans="6:39" x14ac:dyDescent="0.35">
      <c r="F1398" s="18"/>
      <c r="G1398" s="19"/>
      <c r="H1398" s="18"/>
      <c r="I1398" s="18"/>
      <c r="J1398" s="18"/>
      <c r="K1398" s="18"/>
      <c r="L1398" s="18"/>
      <c r="M1398" s="19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  <c r="X1398" s="18"/>
      <c r="Y1398" s="18"/>
      <c r="Z1398" s="18"/>
      <c r="AA1398" s="18"/>
      <c r="AB1398" s="18"/>
      <c r="AC1398" s="18"/>
      <c r="AD1398" s="18"/>
      <c r="AE1398" s="18"/>
      <c r="AF1398" s="18"/>
      <c r="AG1398" s="18"/>
      <c r="AH1398" s="18"/>
      <c r="AI1398" s="18"/>
      <c r="AJ1398" s="18"/>
      <c r="AK1398" s="18"/>
      <c r="AL1398" s="18"/>
      <c r="AM1398" s="18"/>
    </row>
    <row r="1399" spans="6:39" x14ac:dyDescent="0.35">
      <c r="F1399" s="18"/>
      <c r="G1399" s="19"/>
      <c r="H1399" s="18"/>
      <c r="I1399" s="18"/>
      <c r="J1399" s="18"/>
      <c r="K1399" s="18"/>
      <c r="L1399" s="18"/>
      <c r="M1399" s="19"/>
      <c r="N1399" s="18"/>
      <c r="O1399" s="18"/>
      <c r="P1399" s="18"/>
      <c r="Q1399" s="18"/>
      <c r="R1399" s="18"/>
      <c r="S1399" s="18"/>
      <c r="T1399" s="18"/>
      <c r="U1399" s="18"/>
      <c r="V1399" s="18"/>
      <c r="W1399" s="18"/>
      <c r="X1399" s="18"/>
      <c r="Y1399" s="18"/>
      <c r="Z1399" s="18"/>
      <c r="AA1399" s="18"/>
      <c r="AB1399" s="18"/>
      <c r="AC1399" s="18"/>
      <c r="AD1399" s="18"/>
      <c r="AE1399" s="18"/>
      <c r="AF1399" s="18"/>
      <c r="AG1399" s="18"/>
      <c r="AH1399" s="18"/>
      <c r="AI1399" s="18"/>
      <c r="AJ1399" s="18"/>
      <c r="AK1399" s="18"/>
      <c r="AL1399" s="18"/>
      <c r="AM1399" s="18"/>
    </row>
    <row r="1400" spans="6:39" x14ac:dyDescent="0.35">
      <c r="F1400" s="18"/>
      <c r="G1400" s="19"/>
      <c r="H1400" s="18"/>
      <c r="I1400" s="18"/>
      <c r="J1400" s="18"/>
      <c r="K1400" s="18"/>
      <c r="L1400" s="18"/>
      <c r="M1400" s="19"/>
      <c r="N1400" s="18"/>
      <c r="O1400" s="18"/>
      <c r="P1400" s="18"/>
      <c r="Q1400" s="18"/>
      <c r="R1400" s="18"/>
      <c r="S1400" s="18"/>
      <c r="T1400" s="18"/>
      <c r="U1400" s="18"/>
      <c r="V1400" s="18"/>
      <c r="W1400" s="18"/>
      <c r="X1400" s="18"/>
      <c r="Y1400" s="18"/>
      <c r="Z1400" s="18"/>
      <c r="AA1400" s="18"/>
      <c r="AB1400" s="18"/>
      <c r="AC1400" s="18"/>
      <c r="AD1400" s="18"/>
      <c r="AE1400" s="18"/>
      <c r="AF1400" s="18"/>
      <c r="AG1400" s="18"/>
      <c r="AH1400" s="18"/>
      <c r="AI1400" s="18"/>
      <c r="AJ1400" s="18"/>
      <c r="AK1400" s="18"/>
      <c r="AL1400" s="18"/>
      <c r="AM1400" s="18"/>
    </row>
    <row r="1401" spans="6:39" x14ac:dyDescent="0.35">
      <c r="F1401" s="18"/>
      <c r="G1401" s="19"/>
      <c r="H1401" s="18"/>
      <c r="I1401" s="18"/>
      <c r="J1401" s="18"/>
      <c r="K1401" s="18"/>
      <c r="L1401" s="18"/>
      <c r="M1401" s="19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  <c r="AA1401" s="18"/>
      <c r="AB1401" s="18"/>
      <c r="AC1401" s="18"/>
      <c r="AD1401" s="18"/>
      <c r="AE1401" s="18"/>
      <c r="AF1401" s="18"/>
      <c r="AG1401" s="18"/>
      <c r="AH1401" s="18"/>
      <c r="AI1401" s="18"/>
      <c r="AJ1401" s="18"/>
      <c r="AK1401" s="18"/>
      <c r="AL1401" s="18"/>
      <c r="AM1401" s="18"/>
    </row>
    <row r="1402" spans="6:39" x14ac:dyDescent="0.35">
      <c r="F1402" s="18"/>
      <c r="G1402" s="19"/>
      <c r="H1402" s="18"/>
      <c r="I1402" s="18"/>
      <c r="J1402" s="18"/>
      <c r="K1402" s="18"/>
      <c r="L1402" s="18"/>
      <c r="M1402" s="19"/>
      <c r="N1402" s="18"/>
      <c r="O1402" s="18"/>
      <c r="P1402" s="18"/>
      <c r="Q1402" s="18"/>
      <c r="R1402" s="18"/>
      <c r="S1402" s="18"/>
      <c r="T1402" s="18"/>
      <c r="U1402" s="18"/>
      <c r="V1402" s="18"/>
      <c r="W1402" s="18"/>
      <c r="X1402" s="18"/>
      <c r="Y1402" s="18"/>
      <c r="Z1402" s="18"/>
      <c r="AA1402" s="18"/>
      <c r="AB1402" s="18"/>
      <c r="AC1402" s="18"/>
      <c r="AD1402" s="18"/>
      <c r="AE1402" s="18"/>
      <c r="AF1402" s="18"/>
      <c r="AG1402" s="18"/>
      <c r="AH1402" s="18"/>
      <c r="AI1402" s="18"/>
      <c r="AJ1402" s="18"/>
      <c r="AK1402" s="18"/>
      <c r="AL1402" s="18"/>
      <c r="AM1402" s="18"/>
    </row>
    <row r="1403" spans="6:39" x14ac:dyDescent="0.35">
      <c r="F1403" s="18"/>
      <c r="G1403" s="19"/>
      <c r="H1403" s="18"/>
      <c r="I1403" s="18"/>
      <c r="J1403" s="18"/>
      <c r="K1403" s="18"/>
      <c r="L1403" s="18"/>
      <c r="M1403" s="19"/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  <c r="X1403" s="18"/>
      <c r="Y1403" s="18"/>
      <c r="Z1403" s="18"/>
      <c r="AA1403" s="18"/>
      <c r="AB1403" s="18"/>
      <c r="AC1403" s="18"/>
      <c r="AD1403" s="18"/>
      <c r="AE1403" s="18"/>
      <c r="AF1403" s="18"/>
      <c r="AG1403" s="18"/>
      <c r="AH1403" s="18"/>
      <c r="AI1403" s="18"/>
      <c r="AJ1403" s="18"/>
      <c r="AK1403" s="18"/>
      <c r="AL1403" s="18"/>
      <c r="AM1403" s="18"/>
    </row>
    <row r="1404" spans="6:39" x14ac:dyDescent="0.35">
      <c r="F1404" s="18"/>
      <c r="G1404" s="19"/>
      <c r="H1404" s="18"/>
      <c r="I1404" s="18"/>
      <c r="J1404" s="18"/>
      <c r="K1404" s="18"/>
      <c r="L1404" s="18"/>
      <c r="M1404" s="19"/>
      <c r="N1404" s="18"/>
      <c r="O1404" s="18"/>
      <c r="P1404" s="18"/>
      <c r="Q1404" s="18"/>
      <c r="R1404" s="18"/>
      <c r="S1404" s="18"/>
      <c r="T1404" s="18"/>
      <c r="U1404" s="18"/>
      <c r="V1404" s="18"/>
      <c r="W1404" s="18"/>
      <c r="X1404" s="18"/>
      <c r="Y1404" s="18"/>
      <c r="Z1404" s="18"/>
      <c r="AA1404" s="18"/>
      <c r="AB1404" s="18"/>
      <c r="AC1404" s="18"/>
      <c r="AD1404" s="18"/>
      <c r="AE1404" s="18"/>
      <c r="AF1404" s="18"/>
      <c r="AG1404" s="18"/>
      <c r="AH1404" s="18"/>
      <c r="AI1404" s="18"/>
      <c r="AJ1404" s="18"/>
      <c r="AK1404" s="18"/>
      <c r="AL1404" s="18"/>
      <c r="AM1404" s="18"/>
    </row>
    <row r="1405" spans="6:39" x14ac:dyDescent="0.35">
      <c r="F1405" s="18"/>
      <c r="G1405" s="19"/>
      <c r="H1405" s="18"/>
      <c r="I1405" s="18"/>
      <c r="J1405" s="18"/>
      <c r="K1405" s="18"/>
      <c r="L1405" s="18"/>
      <c r="M1405" s="19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8"/>
      <c r="Y1405" s="18"/>
      <c r="Z1405" s="18"/>
      <c r="AA1405" s="18"/>
      <c r="AB1405" s="18"/>
      <c r="AC1405" s="18"/>
      <c r="AD1405" s="18"/>
      <c r="AE1405" s="18"/>
      <c r="AF1405" s="18"/>
      <c r="AG1405" s="18"/>
      <c r="AH1405" s="18"/>
      <c r="AI1405" s="18"/>
      <c r="AJ1405" s="18"/>
      <c r="AK1405" s="18"/>
      <c r="AL1405" s="18"/>
      <c r="AM1405" s="18"/>
    </row>
    <row r="1406" spans="6:39" x14ac:dyDescent="0.35">
      <c r="F1406" s="18"/>
      <c r="G1406" s="19"/>
      <c r="H1406" s="18"/>
      <c r="I1406" s="18"/>
      <c r="J1406" s="18"/>
      <c r="K1406" s="18"/>
      <c r="L1406" s="18"/>
      <c r="M1406" s="19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  <c r="Y1406" s="18"/>
      <c r="Z1406" s="18"/>
      <c r="AA1406" s="18"/>
      <c r="AB1406" s="18"/>
      <c r="AC1406" s="18"/>
      <c r="AD1406" s="18"/>
      <c r="AE1406" s="18"/>
      <c r="AF1406" s="18"/>
      <c r="AG1406" s="18"/>
      <c r="AH1406" s="18"/>
      <c r="AI1406" s="18"/>
      <c r="AJ1406" s="18"/>
      <c r="AK1406" s="18"/>
      <c r="AL1406" s="18"/>
      <c r="AM1406" s="18"/>
    </row>
    <row r="1407" spans="6:39" x14ac:dyDescent="0.35">
      <c r="F1407" s="18"/>
      <c r="G1407" s="19"/>
      <c r="H1407" s="18"/>
      <c r="I1407" s="18"/>
      <c r="J1407" s="18"/>
      <c r="K1407" s="18"/>
      <c r="L1407" s="18"/>
      <c r="M1407" s="19"/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  <c r="X1407" s="18"/>
      <c r="Y1407" s="18"/>
      <c r="Z1407" s="18"/>
      <c r="AA1407" s="18"/>
      <c r="AB1407" s="18"/>
      <c r="AC1407" s="18"/>
      <c r="AD1407" s="18"/>
      <c r="AE1407" s="18"/>
      <c r="AF1407" s="18"/>
      <c r="AG1407" s="18"/>
      <c r="AH1407" s="18"/>
      <c r="AI1407" s="18"/>
      <c r="AJ1407" s="18"/>
      <c r="AK1407" s="18"/>
      <c r="AL1407" s="18"/>
      <c r="AM1407" s="18"/>
    </row>
    <row r="1408" spans="6:39" x14ac:dyDescent="0.35">
      <c r="F1408" s="18"/>
      <c r="G1408" s="19"/>
      <c r="H1408" s="18"/>
      <c r="I1408" s="18"/>
      <c r="J1408" s="18"/>
      <c r="K1408" s="18"/>
      <c r="L1408" s="18"/>
      <c r="M1408" s="19"/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  <c r="X1408" s="18"/>
      <c r="Y1408" s="18"/>
      <c r="Z1408" s="18"/>
      <c r="AA1408" s="18"/>
      <c r="AB1408" s="18"/>
      <c r="AC1408" s="18"/>
      <c r="AD1408" s="18"/>
      <c r="AE1408" s="18"/>
      <c r="AF1408" s="18"/>
      <c r="AG1408" s="18"/>
      <c r="AH1408" s="18"/>
      <c r="AI1408" s="18"/>
      <c r="AJ1408" s="18"/>
      <c r="AK1408" s="18"/>
      <c r="AL1408" s="18"/>
      <c r="AM1408" s="18"/>
    </row>
    <row r="1409" spans="6:39" x14ac:dyDescent="0.35">
      <c r="F1409" s="18"/>
      <c r="G1409" s="19"/>
      <c r="H1409" s="18"/>
      <c r="I1409" s="18"/>
      <c r="J1409" s="18"/>
      <c r="K1409" s="18"/>
      <c r="L1409" s="18"/>
      <c r="M1409" s="19"/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  <c r="X1409" s="18"/>
      <c r="Y1409" s="18"/>
      <c r="Z1409" s="18"/>
      <c r="AA1409" s="18"/>
      <c r="AB1409" s="18"/>
      <c r="AC1409" s="18"/>
      <c r="AD1409" s="18"/>
      <c r="AE1409" s="18"/>
      <c r="AF1409" s="18"/>
      <c r="AG1409" s="18"/>
      <c r="AH1409" s="18"/>
      <c r="AI1409" s="18"/>
      <c r="AJ1409" s="18"/>
      <c r="AK1409" s="18"/>
      <c r="AL1409" s="18"/>
      <c r="AM1409" s="18"/>
    </row>
    <row r="1410" spans="6:39" x14ac:dyDescent="0.35">
      <c r="F1410" s="18"/>
      <c r="G1410" s="19"/>
      <c r="H1410" s="18"/>
      <c r="I1410" s="18"/>
      <c r="J1410" s="18"/>
      <c r="K1410" s="18"/>
      <c r="L1410" s="18"/>
      <c r="M1410" s="19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  <c r="Y1410" s="18"/>
      <c r="Z1410" s="18"/>
      <c r="AA1410" s="18"/>
      <c r="AB1410" s="18"/>
      <c r="AC1410" s="18"/>
      <c r="AD1410" s="18"/>
      <c r="AE1410" s="18"/>
      <c r="AF1410" s="18"/>
      <c r="AG1410" s="18"/>
      <c r="AH1410" s="18"/>
      <c r="AI1410" s="18"/>
      <c r="AJ1410" s="18"/>
      <c r="AK1410" s="18"/>
      <c r="AL1410" s="18"/>
      <c r="AM1410" s="18"/>
    </row>
    <row r="1411" spans="6:39" x14ac:dyDescent="0.35">
      <c r="F1411" s="18"/>
      <c r="G1411" s="19"/>
      <c r="H1411" s="18"/>
      <c r="I1411" s="18"/>
      <c r="J1411" s="18"/>
      <c r="K1411" s="18"/>
      <c r="L1411" s="18"/>
      <c r="M1411" s="19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  <c r="Z1411" s="18"/>
      <c r="AA1411" s="18"/>
      <c r="AB1411" s="18"/>
      <c r="AC1411" s="18"/>
      <c r="AD1411" s="18"/>
      <c r="AE1411" s="18"/>
      <c r="AF1411" s="18"/>
      <c r="AG1411" s="18"/>
      <c r="AH1411" s="18"/>
      <c r="AI1411" s="18"/>
      <c r="AJ1411" s="18"/>
      <c r="AK1411" s="18"/>
      <c r="AL1411" s="18"/>
      <c r="AM1411" s="18"/>
    </row>
    <row r="1412" spans="6:39" x14ac:dyDescent="0.35">
      <c r="F1412" s="18"/>
      <c r="G1412" s="19"/>
      <c r="H1412" s="18"/>
      <c r="I1412" s="18"/>
      <c r="J1412" s="18"/>
      <c r="K1412" s="18"/>
      <c r="L1412" s="18"/>
      <c r="M1412" s="19"/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  <c r="X1412" s="18"/>
      <c r="Y1412" s="18"/>
      <c r="Z1412" s="18"/>
      <c r="AA1412" s="18"/>
      <c r="AB1412" s="18"/>
      <c r="AC1412" s="18"/>
      <c r="AD1412" s="18"/>
      <c r="AE1412" s="18"/>
      <c r="AF1412" s="18"/>
      <c r="AG1412" s="18"/>
      <c r="AH1412" s="18"/>
      <c r="AI1412" s="18"/>
      <c r="AJ1412" s="18"/>
      <c r="AK1412" s="18"/>
      <c r="AL1412" s="18"/>
      <c r="AM1412" s="18"/>
    </row>
    <row r="1413" spans="6:39" x14ac:dyDescent="0.35">
      <c r="F1413" s="18"/>
      <c r="G1413" s="19"/>
      <c r="H1413" s="18"/>
      <c r="I1413" s="18"/>
      <c r="J1413" s="18"/>
      <c r="K1413" s="18"/>
      <c r="L1413" s="18"/>
      <c r="M1413" s="19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  <c r="X1413" s="18"/>
      <c r="Y1413" s="18"/>
      <c r="Z1413" s="18"/>
      <c r="AA1413" s="18"/>
      <c r="AB1413" s="18"/>
      <c r="AC1413" s="18"/>
      <c r="AD1413" s="18"/>
      <c r="AE1413" s="18"/>
      <c r="AF1413" s="18"/>
      <c r="AG1413" s="18"/>
      <c r="AH1413" s="18"/>
      <c r="AI1413" s="18"/>
      <c r="AJ1413" s="18"/>
      <c r="AK1413" s="18"/>
      <c r="AL1413" s="18"/>
      <c r="AM1413" s="18"/>
    </row>
    <row r="1414" spans="6:39" x14ac:dyDescent="0.35">
      <c r="F1414" s="18"/>
      <c r="G1414" s="19"/>
      <c r="H1414" s="18"/>
      <c r="I1414" s="18"/>
      <c r="J1414" s="18"/>
      <c r="K1414" s="18"/>
      <c r="L1414" s="18"/>
      <c r="M1414" s="19"/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  <c r="X1414" s="18"/>
      <c r="Y1414" s="18"/>
      <c r="Z1414" s="18"/>
      <c r="AA1414" s="18"/>
      <c r="AB1414" s="18"/>
      <c r="AC1414" s="18"/>
      <c r="AD1414" s="18"/>
      <c r="AE1414" s="18"/>
      <c r="AF1414" s="18"/>
      <c r="AG1414" s="18"/>
      <c r="AH1414" s="18"/>
      <c r="AI1414" s="18"/>
      <c r="AJ1414" s="18"/>
      <c r="AK1414" s="18"/>
      <c r="AL1414" s="18"/>
      <c r="AM1414" s="18"/>
    </row>
    <row r="1415" spans="6:39" x14ac:dyDescent="0.35">
      <c r="F1415" s="18"/>
      <c r="G1415" s="19"/>
      <c r="H1415" s="18"/>
      <c r="I1415" s="18"/>
      <c r="J1415" s="18"/>
      <c r="K1415" s="18"/>
      <c r="L1415" s="18"/>
      <c r="M1415" s="19"/>
      <c r="N1415" s="18"/>
      <c r="O1415" s="18"/>
      <c r="P1415" s="18"/>
      <c r="Q1415" s="18"/>
      <c r="R1415" s="18"/>
      <c r="S1415" s="18"/>
      <c r="T1415" s="18"/>
      <c r="U1415" s="18"/>
      <c r="V1415" s="18"/>
      <c r="W1415" s="18"/>
      <c r="X1415" s="18"/>
      <c r="Y1415" s="18"/>
      <c r="Z1415" s="18"/>
      <c r="AA1415" s="18"/>
      <c r="AB1415" s="18"/>
      <c r="AC1415" s="18"/>
      <c r="AD1415" s="18"/>
      <c r="AE1415" s="18"/>
      <c r="AF1415" s="18"/>
      <c r="AG1415" s="18"/>
      <c r="AH1415" s="18"/>
      <c r="AI1415" s="18"/>
      <c r="AJ1415" s="18"/>
      <c r="AK1415" s="18"/>
      <c r="AL1415" s="18"/>
      <c r="AM1415" s="18"/>
    </row>
    <row r="1416" spans="6:39" x14ac:dyDescent="0.35">
      <c r="F1416" s="18"/>
      <c r="G1416" s="19"/>
      <c r="H1416" s="18"/>
      <c r="I1416" s="18"/>
      <c r="J1416" s="18"/>
      <c r="K1416" s="18"/>
      <c r="L1416" s="18"/>
      <c r="M1416" s="19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  <c r="Z1416" s="18"/>
      <c r="AA1416" s="18"/>
      <c r="AB1416" s="18"/>
      <c r="AC1416" s="18"/>
      <c r="AD1416" s="18"/>
      <c r="AE1416" s="18"/>
      <c r="AF1416" s="18"/>
      <c r="AG1416" s="18"/>
      <c r="AH1416" s="18"/>
      <c r="AI1416" s="18"/>
      <c r="AJ1416" s="18"/>
      <c r="AK1416" s="18"/>
      <c r="AL1416" s="18"/>
      <c r="AM1416" s="18"/>
    </row>
    <row r="1417" spans="6:39" x14ac:dyDescent="0.35">
      <c r="F1417" s="18"/>
      <c r="G1417" s="19"/>
      <c r="H1417" s="18"/>
      <c r="I1417" s="18"/>
      <c r="J1417" s="18"/>
      <c r="K1417" s="18"/>
      <c r="L1417" s="18"/>
      <c r="M1417" s="19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8"/>
      <c r="Y1417" s="18"/>
      <c r="Z1417" s="18"/>
      <c r="AA1417" s="18"/>
      <c r="AB1417" s="18"/>
      <c r="AC1417" s="18"/>
      <c r="AD1417" s="18"/>
      <c r="AE1417" s="18"/>
      <c r="AF1417" s="18"/>
      <c r="AG1417" s="18"/>
      <c r="AH1417" s="18"/>
      <c r="AI1417" s="18"/>
      <c r="AJ1417" s="18"/>
      <c r="AK1417" s="18"/>
      <c r="AL1417" s="18"/>
      <c r="AM1417" s="18"/>
    </row>
    <row r="1418" spans="6:39" x14ac:dyDescent="0.35">
      <c r="F1418" s="18"/>
      <c r="G1418" s="19"/>
      <c r="H1418" s="18"/>
      <c r="I1418" s="18"/>
      <c r="J1418" s="18"/>
      <c r="K1418" s="18"/>
      <c r="L1418" s="18"/>
      <c r="M1418" s="19"/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  <c r="X1418" s="18"/>
      <c r="Y1418" s="18"/>
      <c r="Z1418" s="18"/>
      <c r="AA1418" s="18"/>
      <c r="AB1418" s="18"/>
      <c r="AC1418" s="18"/>
      <c r="AD1418" s="18"/>
      <c r="AE1418" s="18"/>
      <c r="AF1418" s="18"/>
      <c r="AG1418" s="18"/>
      <c r="AH1418" s="18"/>
      <c r="AI1418" s="18"/>
      <c r="AJ1418" s="18"/>
      <c r="AK1418" s="18"/>
      <c r="AL1418" s="18"/>
      <c r="AM1418" s="18"/>
    </row>
    <row r="1419" spans="6:39" x14ac:dyDescent="0.35">
      <c r="F1419" s="18"/>
      <c r="G1419" s="19"/>
      <c r="H1419" s="18"/>
      <c r="I1419" s="18"/>
      <c r="J1419" s="18"/>
      <c r="K1419" s="18"/>
      <c r="L1419" s="18"/>
      <c r="M1419" s="19"/>
      <c r="N1419" s="18"/>
      <c r="O1419" s="18"/>
      <c r="P1419" s="18"/>
      <c r="Q1419" s="18"/>
      <c r="R1419" s="18"/>
      <c r="S1419" s="18"/>
      <c r="T1419" s="18"/>
      <c r="U1419" s="18"/>
      <c r="V1419" s="18"/>
      <c r="W1419" s="18"/>
      <c r="X1419" s="18"/>
      <c r="Y1419" s="18"/>
      <c r="Z1419" s="18"/>
      <c r="AA1419" s="18"/>
      <c r="AB1419" s="18"/>
      <c r="AC1419" s="18"/>
      <c r="AD1419" s="18"/>
      <c r="AE1419" s="18"/>
      <c r="AF1419" s="18"/>
      <c r="AG1419" s="18"/>
      <c r="AH1419" s="18"/>
      <c r="AI1419" s="18"/>
      <c r="AJ1419" s="18"/>
      <c r="AK1419" s="18"/>
      <c r="AL1419" s="18"/>
      <c r="AM1419" s="18"/>
    </row>
    <row r="1420" spans="6:39" x14ac:dyDescent="0.35">
      <c r="F1420" s="18"/>
      <c r="G1420" s="19"/>
      <c r="H1420" s="18"/>
      <c r="I1420" s="18"/>
      <c r="J1420" s="18"/>
      <c r="K1420" s="18"/>
      <c r="L1420" s="18"/>
      <c r="M1420" s="19"/>
      <c r="N1420" s="18"/>
      <c r="O1420" s="18"/>
      <c r="P1420" s="18"/>
      <c r="Q1420" s="18"/>
      <c r="R1420" s="18"/>
      <c r="S1420" s="18"/>
      <c r="T1420" s="18"/>
      <c r="U1420" s="163"/>
      <c r="V1420" s="18"/>
      <c r="W1420" s="18"/>
      <c r="X1420" s="18"/>
      <c r="Y1420" s="18"/>
      <c r="Z1420" s="18"/>
      <c r="AA1420" s="18"/>
      <c r="AB1420" s="18"/>
      <c r="AC1420" s="18"/>
      <c r="AD1420" s="18"/>
      <c r="AE1420" s="18"/>
      <c r="AF1420" s="18"/>
      <c r="AG1420" s="18"/>
      <c r="AH1420" s="18"/>
      <c r="AI1420" s="18"/>
      <c r="AJ1420" s="18"/>
      <c r="AK1420" s="18"/>
      <c r="AL1420" s="18"/>
      <c r="AM1420" s="18"/>
    </row>
    <row r="1421" spans="6:39" x14ac:dyDescent="0.35">
      <c r="F1421" s="18"/>
      <c r="G1421" s="19"/>
      <c r="H1421" s="18"/>
      <c r="I1421" s="18"/>
      <c r="J1421" s="18"/>
      <c r="K1421" s="18"/>
      <c r="L1421" s="18"/>
      <c r="M1421" s="19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8"/>
      <c r="AA1421" s="18"/>
      <c r="AB1421" s="18"/>
      <c r="AC1421" s="18"/>
      <c r="AD1421" s="18"/>
      <c r="AE1421" s="18"/>
      <c r="AF1421" s="18"/>
      <c r="AG1421" s="18"/>
      <c r="AH1421" s="18"/>
      <c r="AI1421" s="18"/>
      <c r="AJ1421" s="18"/>
      <c r="AK1421" s="18"/>
      <c r="AL1421" s="18"/>
      <c r="AM1421" s="18"/>
    </row>
    <row r="1422" spans="6:39" x14ac:dyDescent="0.35">
      <c r="F1422" s="18"/>
      <c r="G1422" s="19"/>
      <c r="H1422" s="18"/>
      <c r="I1422" s="18"/>
      <c r="J1422" s="18"/>
      <c r="K1422" s="18"/>
      <c r="L1422" s="18"/>
      <c r="M1422" s="19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  <c r="Y1422" s="18"/>
      <c r="Z1422" s="18"/>
      <c r="AA1422" s="18"/>
      <c r="AB1422" s="18"/>
      <c r="AC1422" s="18"/>
      <c r="AD1422" s="18"/>
      <c r="AE1422" s="18"/>
      <c r="AF1422" s="18"/>
      <c r="AG1422" s="18"/>
      <c r="AH1422" s="18"/>
      <c r="AI1422" s="18"/>
      <c r="AJ1422" s="18"/>
      <c r="AK1422" s="18"/>
      <c r="AL1422" s="18"/>
      <c r="AM1422" s="18"/>
    </row>
    <row r="1423" spans="6:39" x14ac:dyDescent="0.35">
      <c r="F1423" s="18"/>
      <c r="G1423" s="19"/>
      <c r="H1423" s="18"/>
      <c r="I1423" s="18"/>
      <c r="J1423" s="18"/>
      <c r="K1423" s="18"/>
      <c r="L1423" s="18"/>
      <c r="M1423" s="19"/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  <c r="X1423" s="18"/>
      <c r="Y1423" s="18"/>
      <c r="Z1423" s="18"/>
      <c r="AA1423" s="18"/>
      <c r="AB1423" s="18"/>
      <c r="AC1423" s="18"/>
      <c r="AD1423" s="18"/>
      <c r="AE1423" s="18"/>
      <c r="AF1423" s="18"/>
      <c r="AG1423" s="18"/>
      <c r="AH1423" s="18"/>
      <c r="AI1423" s="18"/>
      <c r="AJ1423" s="18"/>
      <c r="AK1423" s="18"/>
      <c r="AL1423" s="18"/>
      <c r="AM1423" s="18"/>
    </row>
    <row r="1424" spans="6:39" x14ac:dyDescent="0.35">
      <c r="F1424" s="18"/>
      <c r="G1424" s="19"/>
      <c r="H1424" s="18"/>
      <c r="I1424" s="18"/>
      <c r="J1424" s="18"/>
      <c r="K1424" s="18"/>
      <c r="L1424" s="18"/>
      <c r="M1424" s="19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  <c r="Y1424" s="18"/>
      <c r="Z1424" s="18"/>
      <c r="AA1424" s="18"/>
      <c r="AB1424" s="18"/>
      <c r="AC1424" s="18"/>
      <c r="AD1424" s="18"/>
      <c r="AE1424" s="18"/>
      <c r="AF1424" s="18"/>
      <c r="AG1424" s="18"/>
      <c r="AH1424" s="18"/>
      <c r="AI1424" s="18"/>
      <c r="AJ1424" s="18"/>
      <c r="AK1424" s="18"/>
      <c r="AL1424" s="18"/>
      <c r="AM1424" s="18"/>
    </row>
    <row r="1425" spans="6:39" x14ac:dyDescent="0.35">
      <c r="F1425" s="18"/>
      <c r="G1425" s="19"/>
      <c r="H1425" s="18"/>
      <c r="I1425" s="18"/>
      <c r="J1425" s="18"/>
      <c r="K1425" s="18"/>
      <c r="L1425" s="18"/>
      <c r="M1425" s="19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  <c r="Y1425" s="18"/>
      <c r="Z1425" s="18"/>
      <c r="AA1425" s="18"/>
      <c r="AB1425" s="18"/>
      <c r="AC1425" s="18"/>
      <c r="AD1425" s="18"/>
      <c r="AE1425" s="18"/>
      <c r="AF1425" s="18"/>
      <c r="AG1425" s="18"/>
      <c r="AH1425" s="18"/>
      <c r="AI1425" s="18"/>
      <c r="AJ1425" s="18"/>
      <c r="AK1425" s="18"/>
      <c r="AL1425" s="18"/>
      <c r="AM1425" s="18"/>
    </row>
    <row r="1426" spans="6:39" x14ac:dyDescent="0.35">
      <c r="F1426" s="18"/>
      <c r="G1426" s="19"/>
      <c r="H1426" s="18"/>
      <c r="I1426" s="18"/>
      <c r="J1426" s="18"/>
      <c r="K1426" s="18"/>
      <c r="L1426" s="18"/>
      <c r="M1426" s="19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  <c r="AA1426" s="18"/>
      <c r="AB1426" s="18"/>
      <c r="AC1426" s="18"/>
      <c r="AD1426" s="18"/>
      <c r="AE1426" s="18"/>
      <c r="AF1426" s="18"/>
      <c r="AG1426" s="18"/>
      <c r="AH1426" s="18"/>
      <c r="AI1426" s="18"/>
      <c r="AJ1426" s="18"/>
      <c r="AK1426" s="18"/>
      <c r="AL1426" s="18"/>
      <c r="AM1426" s="18"/>
    </row>
    <row r="1427" spans="6:39" x14ac:dyDescent="0.35">
      <c r="F1427" s="18"/>
      <c r="G1427" s="19"/>
      <c r="H1427" s="18"/>
      <c r="I1427" s="18"/>
      <c r="J1427" s="18"/>
      <c r="K1427" s="18"/>
      <c r="L1427" s="18"/>
      <c r="M1427" s="19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  <c r="Y1427" s="18"/>
      <c r="Z1427" s="18"/>
      <c r="AA1427" s="18"/>
      <c r="AB1427" s="18"/>
      <c r="AC1427" s="18"/>
      <c r="AD1427" s="18"/>
      <c r="AE1427" s="18"/>
      <c r="AF1427" s="18"/>
      <c r="AG1427" s="18"/>
      <c r="AH1427" s="18"/>
      <c r="AI1427" s="18"/>
      <c r="AJ1427" s="18"/>
      <c r="AK1427" s="18"/>
      <c r="AL1427" s="18"/>
      <c r="AM1427" s="18"/>
    </row>
    <row r="1428" spans="6:39" x14ac:dyDescent="0.35">
      <c r="F1428" s="18"/>
      <c r="G1428" s="19"/>
      <c r="H1428" s="18"/>
      <c r="I1428" s="18"/>
      <c r="J1428" s="18"/>
      <c r="K1428" s="18"/>
      <c r="L1428" s="18"/>
      <c r="M1428" s="19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  <c r="AA1428" s="18"/>
      <c r="AB1428" s="18"/>
      <c r="AC1428" s="18"/>
      <c r="AD1428" s="18"/>
      <c r="AE1428" s="18"/>
      <c r="AF1428" s="18"/>
      <c r="AG1428" s="18"/>
      <c r="AH1428" s="18"/>
      <c r="AI1428" s="18"/>
      <c r="AJ1428" s="18"/>
      <c r="AK1428" s="18"/>
      <c r="AL1428" s="18"/>
      <c r="AM1428" s="18"/>
    </row>
    <row r="1429" spans="6:39" x14ac:dyDescent="0.35">
      <c r="F1429" s="18"/>
      <c r="G1429" s="19"/>
      <c r="H1429" s="18"/>
      <c r="I1429" s="18"/>
      <c r="J1429" s="18"/>
      <c r="K1429" s="18"/>
      <c r="L1429" s="18"/>
      <c r="M1429" s="19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  <c r="X1429" s="18"/>
      <c r="Y1429" s="18"/>
      <c r="Z1429" s="18"/>
      <c r="AA1429" s="18"/>
      <c r="AB1429" s="18"/>
      <c r="AC1429" s="18"/>
      <c r="AD1429" s="18"/>
      <c r="AE1429" s="18"/>
      <c r="AF1429" s="18"/>
      <c r="AG1429" s="18"/>
      <c r="AH1429" s="18"/>
      <c r="AI1429" s="18"/>
      <c r="AJ1429" s="18"/>
      <c r="AK1429" s="18"/>
      <c r="AL1429" s="18"/>
      <c r="AM1429" s="18"/>
    </row>
    <row r="1430" spans="6:39" x14ac:dyDescent="0.35">
      <c r="F1430" s="18"/>
      <c r="G1430" s="19"/>
      <c r="H1430" s="18"/>
      <c r="I1430" s="18"/>
      <c r="J1430" s="18"/>
      <c r="K1430" s="18"/>
      <c r="L1430" s="18"/>
      <c r="M1430" s="19"/>
      <c r="N1430" s="18"/>
      <c r="O1430" s="18"/>
      <c r="P1430" s="18"/>
      <c r="Q1430" s="18"/>
      <c r="R1430" s="18"/>
      <c r="S1430" s="18"/>
      <c r="T1430" s="18"/>
      <c r="U1430" s="163"/>
      <c r="V1430" s="18"/>
      <c r="W1430" s="18"/>
      <c r="X1430" s="18"/>
      <c r="Y1430" s="18"/>
      <c r="Z1430" s="18"/>
      <c r="AA1430" s="18"/>
      <c r="AB1430" s="18"/>
      <c r="AC1430" s="18"/>
      <c r="AD1430" s="18"/>
      <c r="AE1430" s="18"/>
      <c r="AF1430" s="18"/>
      <c r="AG1430" s="18"/>
      <c r="AH1430" s="18"/>
      <c r="AI1430" s="18"/>
      <c r="AJ1430" s="18"/>
      <c r="AK1430" s="18"/>
      <c r="AL1430" s="18"/>
      <c r="AM1430" s="18"/>
    </row>
    <row r="1431" spans="6:39" x14ac:dyDescent="0.35">
      <c r="F1431" s="18"/>
      <c r="G1431" s="19"/>
      <c r="H1431" s="18"/>
      <c r="I1431" s="18"/>
      <c r="J1431" s="18"/>
      <c r="K1431" s="18"/>
      <c r="L1431" s="18"/>
      <c r="M1431" s="19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  <c r="Z1431" s="18"/>
      <c r="AA1431" s="18"/>
      <c r="AB1431" s="18"/>
      <c r="AC1431" s="18"/>
      <c r="AD1431" s="18"/>
      <c r="AE1431" s="18"/>
      <c r="AF1431" s="18"/>
      <c r="AG1431" s="18"/>
      <c r="AH1431" s="18"/>
      <c r="AI1431" s="18"/>
      <c r="AJ1431" s="18"/>
      <c r="AK1431" s="18"/>
      <c r="AL1431" s="18"/>
      <c r="AM1431" s="18"/>
    </row>
    <row r="1432" spans="6:39" x14ac:dyDescent="0.35">
      <c r="F1432" s="18"/>
      <c r="G1432" s="19"/>
      <c r="H1432" s="18"/>
      <c r="I1432" s="18"/>
      <c r="J1432" s="18"/>
      <c r="K1432" s="18"/>
      <c r="L1432" s="18"/>
      <c r="M1432" s="19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  <c r="AA1432" s="18"/>
      <c r="AB1432" s="18"/>
      <c r="AC1432" s="18"/>
      <c r="AD1432" s="18"/>
      <c r="AE1432" s="18"/>
      <c r="AF1432" s="18"/>
      <c r="AG1432" s="18"/>
      <c r="AH1432" s="18"/>
      <c r="AI1432" s="18"/>
      <c r="AJ1432" s="18"/>
      <c r="AK1432" s="18"/>
      <c r="AL1432" s="18"/>
      <c r="AM1432" s="18"/>
    </row>
    <row r="1433" spans="6:39" x14ac:dyDescent="0.35">
      <c r="F1433" s="18"/>
      <c r="G1433" s="19"/>
      <c r="H1433" s="18"/>
      <c r="I1433" s="18"/>
      <c r="J1433" s="18"/>
      <c r="K1433" s="18"/>
      <c r="L1433" s="18"/>
      <c r="M1433" s="19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  <c r="Z1433" s="18"/>
      <c r="AA1433" s="18"/>
      <c r="AB1433" s="18"/>
      <c r="AC1433" s="18"/>
      <c r="AD1433" s="18"/>
      <c r="AE1433" s="18"/>
      <c r="AF1433" s="18"/>
      <c r="AG1433" s="18"/>
      <c r="AH1433" s="18"/>
      <c r="AI1433" s="18"/>
      <c r="AJ1433" s="18"/>
      <c r="AK1433" s="18"/>
      <c r="AL1433" s="18"/>
      <c r="AM1433" s="18"/>
    </row>
    <row r="1434" spans="6:39" x14ac:dyDescent="0.35">
      <c r="F1434" s="18"/>
      <c r="G1434" s="19"/>
      <c r="H1434" s="18"/>
      <c r="I1434" s="18"/>
      <c r="J1434" s="18"/>
      <c r="K1434" s="18"/>
      <c r="L1434" s="18"/>
      <c r="M1434" s="19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  <c r="AA1434" s="18"/>
      <c r="AB1434" s="18"/>
      <c r="AC1434" s="18"/>
      <c r="AD1434" s="18"/>
      <c r="AE1434" s="18"/>
      <c r="AF1434" s="18"/>
      <c r="AG1434" s="18"/>
      <c r="AH1434" s="18"/>
      <c r="AI1434" s="18"/>
      <c r="AJ1434" s="18"/>
      <c r="AK1434" s="18"/>
      <c r="AL1434" s="18"/>
      <c r="AM1434" s="18"/>
    </row>
    <row r="1435" spans="6:39" x14ac:dyDescent="0.35">
      <c r="F1435" s="18"/>
      <c r="G1435" s="19"/>
      <c r="H1435" s="18"/>
      <c r="I1435" s="18"/>
      <c r="J1435" s="18"/>
      <c r="K1435" s="18"/>
      <c r="L1435" s="18"/>
      <c r="M1435" s="19"/>
      <c r="N1435" s="18"/>
      <c r="O1435" s="18"/>
      <c r="P1435" s="18"/>
      <c r="Q1435" s="18"/>
      <c r="R1435" s="18"/>
      <c r="S1435" s="18"/>
      <c r="T1435" s="18"/>
      <c r="U1435" s="163"/>
      <c r="V1435" s="18"/>
      <c r="W1435" s="18"/>
      <c r="X1435" s="18"/>
      <c r="Y1435" s="18"/>
      <c r="Z1435" s="18"/>
      <c r="AA1435" s="18"/>
      <c r="AB1435" s="18"/>
      <c r="AC1435" s="18"/>
      <c r="AD1435" s="18"/>
      <c r="AE1435" s="18"/>
      <c r="AF1435" s="18"/>
      <c r="AG1435" s="18"/>
      <c r="AH1435" s="18"/>
      <c r="AI1435" s="18"/>
      <c r="AJ1435" s="18"/>
      <c r="AK1435" s="18"/>
      <c r="AL1435" s="18"/>
      <c r="AM1435" s="18"/>
    </row>
    <row r="1436" spans="6:39" x14ac:dyDescent="0.35">
      <c r="F1436" s="18"/>
      <c r="G1436" s="19"/>
      <c r="H1436" s="18"/>
      <c r="I1436" s="18"/>
      <c r="J1436" s="18"/>
      <c r="K1436" s="18"/>
      <c r="L1436" s="18"/>
      <c r="M1436" s="19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  <c r="AA1436" s="18"/>
      <c r="AB1436" s="18"/>
      <c r="AC1436" s="18"/>
      <c r="AD1436" s="18"/>
      <c r="AE1436" s="18"/>
      <c r="AF1436" s="18"/>
      <c r="AG1436" s="18"/>
      <c r="AH1436" s="18"/>
      <c r="AI1436" s="18"/>
      <c r="AJ1436" s="18"/>
      <c r="AK1436" s="18"/>
      <c r="AL1436" s="18"/>
      <c r="AM1436" s="18"/>
    </row>
    <row r="1437" spans="6:39" x14ac:dyDescent="0.35">
      <c r="F1437" s="18"/>
      <c r="G1437" s="19"/>
      <c r="H1437" s="18"/>
      <c r="I1437" s="18"/>
      <c r="J1437" s="18"/>
      <c r="K1437" s="18"/>
      <c r="L1437" s="18"/>
      <c r="M1437" s="19"/>
      <c r="N1437" s="18"/>
      <c r="O1437" s="18"/>
      <c r="P1437" s="18"/>
      <c r="Q1437" s="18"/>
      <c r="R1437" s="18"/>
      <c r="S1437" s="18"/>
      <c r="T1437" s="18"/>
      <c r="U1437" s="163"/>
      <c r="V1437" s="18"/>
      <c r="W1437" s="18"/>
      <c r="X1437" s="18"/>
      <c r="Y1437" s="18"/>
      <c r="Z1437" s="18"/>
      <c r="AA1437" s="18"/>
      <c r="AB1437" s="18"/>
      <c r="AC1437" s="18"/>
      <c r="AD1437" s="18"/>
      <c r="AE1437" s="18"/>
      <c r="AF1437" s="18"/>
      <c r="AG1437" s="18"/>
      <c r="AH1437" s="18"/>
      <c r="AI1437" s="18"/>
      <c r="AJ1437" s="18"/>
      <c r="AK1437" s="18"/>
      <c r="AL1437" s="18"/>
      <c r="AM1437" s="18"/>
    </row>
    <row r="1438" spans="6:39" x14ac:dyDescent="0.35">
      <c r="F1438" s="18"/>
      <c r="G1438" s="19"/>
      <c r="H1438" s="18"/>
      <c r="I1438" s="18"/>
      <c r="J1438" s="18"/>
      <c r="K1438" s="18"/>
      <c r="L1438" s="18"/>
      <c r="M1438" s="19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  <c r="Z1438" s="18"/>
      <c r="AA1438" s="18"/>
      <c r="AB1438" s="18"/>
      <c r="AC1438" s="18"/>
      <c r="AD1438" s="18"/>
      <c r="AE1438" s="18"/>
      <c r="AF1438" s="18"/>
      <c r="AG1438" s="18"/>
      <c r="AH1438" s="18"/>
      <c r="AI1438" s="18"/>
      <c r="AJ1438" s="18"/>
      <c r="AK1438" s="18"/>
      <c r="AL1438" s="18"/>
      <c r="AM1438" s="18"/>
    </row>
    <row r="1439" spans="6:39" x14ac:dyDescent="0.35">
      <c r="F1439" s="18"/>
      <c r="G1439" s="19"/>
      <c r="H1439" s="18"/>
      <c r="I1439" s="18"/>
      <c r="J1439" s="18"/>
      <c r="K1439" s="18"/>
      <c r="L1439" s="18"/>
      <c r="M1439" s="19"/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8"/>
      <c r="Y1439" s="18"/>
      <c r="Z1439" s="18"/>
      <c r="AA1439" s="18"/>
      <c r="AB1439" s="18"/>
      <c r="AC1439" s="18"/>
      <c r="AD1439" s="18"/>
      <c r="AE1439" s="18"/>
      <c r="AF1439" s="18"/>
      <c r="AG1439" s="18"/>
      <c r="AH1439" s="18"/>
      <c r="AI1439" s="18"/>
      <c r="AJ1439" s="18"/>
      <c r="AK1439" s="18"/>
      <c r="AL1439" s="18"/>
      <c r="AM1439" s="18"/>
    </row>
    <row r="1440" spans="6:39" x14ac:dyDescent="0.35">
      <c r="F1440" s="18"/>
      <c r="G1440" s="19"/>
      <c r="H1440" s="18"/>
      <c r="I1440" s="18"/>
      <c r="J1440" s="18"/>
      <c r="K1440" s="18"/>
      <c r="L1440" s="18"/>
      <c r="M1440" s="19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  <c r="AA1440" s="18"/>
      <c r="AB1440" s="18"/>
      <c r="AC1440" s="18"/>
      <c r="AD1440" s="18"/>
      <c r="AE1440" s="18"/>
      <c r="AF1440" s="18"/>
      <c r="AG1440" s="18"/>
      <c r="AH1440" s="18"/>
      <c r="AI1440" s="18"/>
      <c r="AJ1440" s="18"/>
      <c r="AK1440" s="18"/>
      <c r="AL1440" s="18"/>
      <c r="AM1440" s="18"/>
    </row>
    <row r="1441" spans="6:39" x14ac:dyDescent="0.35">
      <c r="F1441" s="18"/>
      <c r="G1441" s="19"/>
      <c r="H1441" s="18"/>
      <c r="I1441" s="18"/>
      <c r="J1441" s="18"/>
      <c r="K1441" s="18"/>
      <c r="L1441" s="18"/>
      <c r="M1441" s="19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8"/>
      <c r="AA1441" s="18"/>
      <c r="AB1441" s="18"/>
      <c r="AC1441" s="18"/>
      <c r="AD1441" s="18"/>
      <c r="AE1441" s="18"/>
      <c r="AF1441" s="18"/>
      <c r="AG1441" s="18"/>
      <c r="AH1441" s="18"/>
      <c r="AI1441" s="18"/>
      <c r="AJ1441" s="18"/>
      <c r="AK1441" s="18"/>
      <c r="AL1441" s="18"/>
      <c r="AM1441" s="18"/>
    </row>
    <row r="1442" spans="6:39" x14ac:dyDescent="0.35">
      <c r="F1442" s="18"/>
      <c r="G1442" s="19"/>
      <c r="H1442" s="18"/>
      <c r="I1442" s="18"/>
      <c r="J1442" s="18"/>
      <c r="K1442" s="18"/>
      <c r="L1442" s="18"/>
      <c r="M1442" s="19"/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8"/>
      <c r="Y1442" s="18"/>
      <c r="Z1442" s="18"/>
      <c r="AA1442" s="18"/>
      <c r="AB1442" s="18"/>
      <c r="AC1442" s="18"/>
      <c r="AD1442" s="18"/>
      <c r="AE1442" s="18"/>
      <c r="AF1442" s="18"/>
      <c r="AG1442" s="18"/>
      <c r="AH1442" s="18"/>
      <c r="AI1442" s="18"/>
      <c r="AJ1442" s="18"/>
      <c r="AK1442" s="18"/>
      <c r="AL1442" s="18"/>
      <c r="AM1442" s="18"/>
    </row>
    <row r="1443" spans="6:39" x14ac:dyDescent="0.35">
      <c r="F1443" s="18"/>
      <c r="G1443" s="19"/>
      <c r="H1443" s="18"/>
      <c r="I1443" s="18"/>
      <c r="J1443" s="18"/>
      <c r="K1443" s="18"/>
      <c r="L1443" s="18"/>
      <c r="M1443" s="19"/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8"/>
      <c r="Y1443" s="18"/>
      <c r="Z1443" s="18"/>
      <c r="AA1443" s="18"/>
      <c r="AB1443" s="18"/>
      <c r="AC1443" s="18"/>
      <c r="AD1443" s="18"/>
      <c r="AE1443" s="18"/>
      <c r="AF1443" s="18"/>
      <c r="AG1443" s="18"/>
      <c r="AH1443" s="18"/>
      <c r="AI1443" s="18"/>
      <c r="AJ1443" s="18"/>
      <c r="AK1443" s="18"/>
      <c r="AL1443" s="18"/>
      <c r="AM1443" s="18"/>
    </row>
    <row r="1444" spans="6:39" x14ac:dyDescent="0.35">
      <c r="F1444" s="18"/>
      <c r="G1444" s="19"/>
      <c r="H1444" s="18"/>
      <c r="I1444" s="18"/>
      <c r="J1444" s="18"/>
      <c r="K1444" s="18"/>
      <c r="L1444" s="18"/>
      <c r="M1444" s="19"/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  <c r="X1444" s="18"/>
      <c r="Y1444" s="18"/>
      <c r="Z1444" s="18"/>
      <c r="AA1444" s="18"/>
      <c r="AB1444" s="18"/>
      <c r="AC1444" s="18"/>
      <c r="AD1444" s="18"/>
      <c r="AE1444" s="18"/>
      <c r="AF1444" s="18"/>
      <c r="AG1444" s="18"/>
      <c r="AH1444" s="18"/>
      <c r="AI1444" s="18"/>
      <c r="AJ1444" s="18"/>
      <c r="AK1444" s="18"/>
      <c r="AL1444" s="18"/>
      <c r="AM1444" s="18"/>
    </row>
    <row r="1445" spans="6:39" x14ac:dyDescent="0.35">
      <c r="F1445" s="18"/>
      <c r="G1445" s="19"/>
      <c r="H1445" s="18"/>
      <c r="I1445" s="18"/>
      <c r="J1445" s="18"/>
      <c r="K1445" s="18"/>
      <c r="L1445" s="18"/>
      <c r="M1445" s="19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  <c r="AA1445" s="18"/>
      <c r="AB1445" s="18"/>
      <c r="AC1445" s="18"/>
      <c r="AD1445" s="18"/>
      <c r="AE1445" s="18"/>
      <c r="AF1445" s="18"/>
      <c r="AG1445" s="18"/>
      <c r="AH1445" s="18"/>
      <c r="AI1445" s="18"/>
      <c r="AJ1445" s="18"/>
      <c r="AK1445" s="18"/>
      <c r="AL1445" s="18"/>
      <c r="AM1445" s="18"/>
    </row>
    <row r="1446" spans="6:39" x14ac:dyDescent="0.35">
      <c r="F1446" s="18"/>
      <c r="G1446" s="19"/>
      <c r="H1446" s="18"/>
      <c r="I1446" s="18"/>
      <c r="J1446" s="18"/>
      <c r="K1446" s="18"/>
      <c r="L1446" s="18"/>
      <c r="M1446" s="19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  <c r="AA1446" s="18"/>
      <c r="AB1446" s="18"/>
      <c r="AC1446" s="18"/>
      <c r="AD1446" s="18"/>
      <c r="AE1446" s="18"/>
      <c r="AF1446" s="18"/>
      <c r="AG1446" s="18"/>
      <c r="AH1446" s="18"/>
      <c r="AI1446" s="18"/>
      <c r="AJ1446" s="18"/>
      <c r="AK1446" s="18"/>
      <c r="AL1446" s="18"/>
      <c r="AM1446" s="18"/>
    </row>
    <row r="1447" spans="6:39" x14ac:dyDescent="0.35">
      <c r="F1447" s="18"/>
      <c r="G1447" s="19"/>
      <c r="H1447" s="18"/>
      <c r="I1447" s="18"/>
      <c r="J1447" s="18"/>
      <c r="K1447" s="18"/>
      <c r="L1447" s="18"/>
      <c r="M1447" s="19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  <c r="Y1447" s="18"/>
      <c r="Z1447" s="18"/>
      <c r="AA1447" s="18"/>
      <c r="AB1447" s="18"/>
      <c r="AC1447" s="18"/>
      <c r="AD1447" s="18"/>
      <c r="AE1447" s="18"/>
      <c r="AF1447" s="18"/>
      <c r="AG1447" s="18"/>
      <c r="AH1447" s="18"/>
      <c r="AI1447" s="18"/>
      <c r="AJ1447" s="18"/>
      <c r="AK1447" s="18"/>
      <c r="AL1447" s="18"/>
      <c r="AM1447" s="18"/>
    </row>
    <row r="1448" spans="6:39" x14ac:dyDescent="0.35">
      <c r="F1448" s="18"/>
      <c r="G1448" s="19"/>
      <c r="H1448" s="18"/>
      <c r="I1448" s="18"/>
      <c r="J1448" s="18"/>
      <c r="K1448" s="18"/>
      <c r="L1448" s="18"/>
      <c r="M1448" s="19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  <c r="Z1448" s="18"/>
      <c r="AA1448" s="18"/>
      <c r="AB1448" s="18"/>
      <c r="AC1448" s="18"/>
      <c r="AD1448" s="18"/>
      <c r="AE1448" s="18"/>
      <c r="AF1448" s="18"/>
      <c r="AG1448" s="18"/>
      <c r="AH1448" s="18"/>
      <c r="AI1448" s="18"/>
      <c r="AJ1448" s="18"/>
      <c r="AK1448" s="18"/>
      <c r="AL1448" s="18"/>
      <c r="AM1448" s="18"/>
    </row>
    <row r="1449" spans="6:39" x14ac:dyDescent="0.35">
      <c r="F1449" s="18"/>
      <c r="G1449" s="19"/>
      <c r="H1449" s="18"/>
      <c r="I1449" s="18"/>
      <c r="J1449" s="18"/>
      <c r="K1449" s="18"/>
      <c r="L1449" s="18"/>
      <c r="M1449" s="19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8"/>
      <c r="Y1449" s="18"/>
      <c r="Z1449" s="18"/>
      <c r="AA1449" s="18"/>
      <c r="AB1449" s="18"/>
      <c r="AC1449" s="18"/>
      <c r="AD1449" s="18"/>
      <c r="AE1449" s="18"/>
      <c r="AF1449" s="18"/>
      <c r="AG1449" s="18"/>
      <c r="AH1449" s="18"/>
      <c r="AI1449" s="18"/>
      <c r="AJ1449" s="18"/>
      <c r="AK1449" s="18"/>
      <c r="AL1449" s="18"/>
      <c r="AM1449" s="18"/>
    </row>
    <row r="1450" spans="6:39" x14ac:dyDescent="0.35">
      <c r="F1450" s="18"/>
      <c r="G1450" s="19"/>
      <c r="H1450" s="18"/>
      <c r="I1450" s="18"/>
      <c r="J1450" s="18"/>
      <c r="K1450" s="18"/>
      <c r="L1450" s="18"/>
      <c r="M1450" s="19"/>
      <c r="N1450" s="18"/>
      <c r="O1450" s="18"/>
      <c r="P1450" s="18"/>
      <c r="Q1450" s="18"/>
      <c r="R1450" s="18"/>
      <c r="S1450" s="18"/>
      <c r="T1450" s="18"/>
      <c r="U1450" s="18"/>
      <c r="V1450" s="18"/>
      <c r="W1450" s="18"/>
      <c r="X1450" s="18"/>
      <c r="Y1450" s="18"/>
      <c r="Z1450" s="18"/>
      <c r="AA1450" s="18"/>
      <c r="AB1450" s="18"/>
      <c r="AC1450" s="18"/>
      <c r="AD1450" s="18"/>
      <c r="AE1450" s="18"/>
      <c r="AF1450" s="18"/>
      <c r="AG1450" s="18"/>
      <c r="AH1450" s="18"/>
      <c r="AI1450" s="18"/>
      <c r="AJ1450" s="18"/>
      <c r="AK1450" s="18"/>
      <c r="AL1450" s="18"/>
      <c r="AM1450" s="18"/>
    </row>
    <row r="1451" spans="6:39" x14ac:dyDescent="0.35">
      <c r="F1451" s="18"/>
      <c r="G1451" s="19"/>
      <c r="H1451" s="18"/>
      <c r="I1451" s="18"/>
      <c r="J1451" s="18"/>
      <c r="K1451" s="18"/>
      <c r="L1451" s="18"/>
      <c r="M1451" s="19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8"/>
      <c r="AA1451" s="18"/>
      <c r="AB1451" s="18"/>
      <c r="AC1451" s="18"/>
      <c r="AD1451" s="18"/>
      <c r="AE1451" s="18"/>
      <c r="AF1451" s="18"/>
      <c r="AG1451" s="18"/>
      <c r="AH1451" s="18"/>
      <c r="AI1451" s="18"/>
      <c r="AJ1451" s="18"/>
      <c r="AK1451" s="18"/>
      <c r="AL1451" s="18"/>
      <c r="AM1451" s="18"/>
    </row>
    <row r="1452" spans="6:39" x14ac:dyDescent="0.35">
      <c r="F1452" s="18"/>
      <c r="G1452" s="19"/>
      <c r="H1452" s="18"/>
      <c r="I1452" s="18"/>
      <c r="J1452" s="18"/>
      <c r="K1452" s="18"/>
      <c r="L1452" s="18"/>
      <c r="M1452" s="19"/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  <c r="X1452" s="18"/>
      <c r="Y1452" s="18"/>
      <c r="Z1452" s="18"/>
      <c r="AA1452" s="18"/>
      <c r="AB1452" s="18"/>
      <c r="AC1452" s="18"/>
      <c r="AD1452" s="18"/>
      <c r="AE1452" s="18"/>
      <c r="AF1452" s="18"/>
      <c r="AG1452" s="18"/>
      <c r="AH1452" s="18"/>
      <c r="AI1452" s="18"/>
      <c r="AJ1452" s="18"/>
      <c r="AK1452" s="18"/>
      <c r="AL1452" s="18"/>
      <c r="AM1452" s="18"/>
    </row>
    <row r="1453" spans="6:39" x14ac:dyDescent="0.35">
      <c r="F1453" s="18"/>
      <c r="G1453" s="19"/>
      <c r="H1453" s="18"/>
      <c r="I1453" s="18"/>
      <c r="J1453" s="18"/>
      <c r="K1453" s="18"/>
      <c r="L1453" s="18"/>
      <c r="M1453" s="19"/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  <c r="Y1453" s="18"/>
      <c r="Z1453" s="18"/>
      <c r="AA1453" s="18"/>
      <c r="AB1453" s="18"/>
      <c r="AC1453" s="18"/>
      <c r="AD1453" s="18"/>
      <c r="AE1453" s="18"/>
      <c r="AF1453" s="18"/>
      <c r="AG1453" s="18"/>
      <c r="AH1453" s="18"/>
      <c r="AI1453" s="18"/>
      <c r="AJ1453" s="18"/>
      <c r="AK1453" s="18"/>
      <c r="AL1453" s="18"/>
      <c r="AM1453" s="18"/>
    </row>
    <row r="1454" spans="6:39" x14ac:dyDescent="0.35">
      <c r="F1454" s="18"/>
      <c r="G1454" s="19"/>
      <c r="H1454" s="18"/>
      <c r="I1454" s="18"/>
      <c r="J1454" s="18"/>
      <c r="K1454" s="18"/>
      <c r="L1454" s="18"/>
      <c r="M1454" s="19"/>
      <c r="N1454" s="18"/>
      <c r="O1454" s="18"/>
      <c r="P1454" s="18"/>
      <c r="Q1454" s="18"/>
      <c r="R1454" s="18"/>
      <c r="S1454" s="18"/>
      <c r="T1454" s="18"/>
      <c r="U1454" s="18"/>
      <c r="V1454" s="18"/>
      <c r="W1454" s="18"/>
      <c r="X1454" s="18"/>
      <c r="Y1454" s="18"/>
      <c r="Z1454" s="18"/>
      <c r="AA1454" s="18"/>
      <c r="AB1454" s="18"/>
      <c r="AC1454" s="18"/>
      <c r="AD1454" s="18"/>
      <c r="AE1454" s="18"/>
      <c r="AF1454" s="18"/>
      <c r="AG1454" s="18"/>
      <c r="AH1454" s="18"/>
      <c r="AI1454" s="18"/>
      <c r="AJ1454" s="18"/>
      <c r="AK1454" s="18"/>
      <c r="AL1454" s="18"/>
      <c r="AM1454" s="18"/>
    </row>
    <row r="1455" spans="6:39" x14ac:dyDescent="0.35">
      <c r="F1455" s="18"/>
      <c r="G1455" s="19"/>
      <c r="H1455" s="18"/>
      <c r="I1455" s="18"/>
      <c r="J1455" s="18"/>
      <c r="K1455" s="18"/>
      <c r="L1455" s="18"/>
      <c r="M1455" s="19"/>
      <c r="N1455" s="18"/>
      <c r="O1455" s="18"/>
      <c r="P1455" s="18"/>
      <c r="Q1455" s="18"/>
      <c r="R1455" s="18"/>
      <c r="S1455" s="18"/>
      <c r="T1455" s="18"/>
      <c r="U1455" s="18"/>
      <c r="V1455" s="18"/>
      <c r="W1455" s="18"/>
      <c r="X1455" s="18"/>
      <c r="Y1455" s="18"/>
      <c r="Z1455" s="18"/>
      <c r="AA1455" s="18"/>
      <c r="AB1455" s="18"/>
      <c r="AC1455" s="18"/>
      <c r="AD1455" s="18"/>
      <c r="AE1455" s="18"/>
      <c r="AF1455" s="18"/>
      <c r="AG1455" s="18"/>
      <c r="AH1455" s="18"/>
      <c r="AI1455" s="18"/>
      <c r="AJ1455" s="18"/>
      <c r="AK1455" s="18"/>
      <c r="AL1455" s="18"/>
      <c r="AM1455" s="18"/>
    </row>
    <row r="1456" spans="6:39" x14ac:dyDescent="0.35">
      <c r="F1456" s="18"/>
      <c r="G1456" s="19"/>
      <c r="H1456" s="18"/>
      <c r="I1456" s="18"/>
      <c r="J1456" s="18"/>
      <c r="K1456" s="18"/>
      <c r="L1456" s="18"/>
      <c r="M1456" s="19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  <c r="Z1456" s="18"/>
      <c r="AA1456" s="18"/>
      <c r="AB1456" s="18"/>
      <c r="AC1456" s="18"/>
      <c r="AD1456" s="18"/>
      <c r="AE1456" s="18"/>
      <c r="AF1456" s="18"/>
      <c r="AG1456" s="18"/>
      <c r="AH1456" s="18"/>
      <c r="AI1456" s="18"/>
      <c r="AJ1456" s="18"/>
      <c r="AK1456" s="18"/>
      <c r="AL1456" s="18"/>
      <c r="AM1456" s="18"/>
    </row>
    <row r="1457" spans="6:39" x14ac:dyDescent="0.35">
      <c r="F1457" s="18"/>
      <c r="G1457" s="19"/>
      <c r="H1457" s="18"/>
      <c r="I1457" s="18"/>
      <c r="J1457" s="18"/>
      <c r="K1457" s="18"/>
      <c r="L1457" s="18"/>
      <c r="M1457" s="19"/>
      <c r="N1457" s="18"/>
      <c r="O1457" s="18"/>
      <c r="P1457" s="18"/>
      <c r="Q1457" s="18"/>
      <c r="R1457" s="18"/>
      <c r="S1457" s="18"/>
      <c r="T1457" s="18"/>
      <c r="U1457" s="18"/>
      <c r="V1457" s="18"/>
      <c r="W1457" s="18"/>
      <c r="X1457" s="18"/>
      <c r="Y1457" s="18"/>
      <c r="Z1457" s="18"/>
      <c r="AA1457" s="18"/>
      <c r="AB1457" s="18"/>
      <c r="AC1457" s="18"/>
      <c r="AD1457" s="18"/>
      <c r="AE1457" s="18"/>
      <c r="AF1457" s="18"/>
      <c r="AG1457" s="18"/>
      <c r="AH1457" s="18"/>
      <c r="AI1457" s="18"/>
      <c r="AJ1457" s="18"/>
      <c r="AK1457" s="18"/>
      <c r="AL1457" s="18"/>
      <c r="AM1457" s="18"/>
    </row>
    <row r="1458" spans="6:39" x14ac:dyDescent="0.35">
      <c r="F1458" s="18"/>
      <c r="G1458" s="19"/>
      <c r="H1458" s="18"/>
      <c r="I1458" s="18"/>
      <c r="J1458" s="18"/>
      <c r="K1458" s="18"/>
      <c r="L1458" s="18"/>
      <c r="M1458" s="19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  <c r="AA1458" s="18"/>
      <c r="AB1458" s="18"/>
      <c r="AC1458" s="18"/>
      <c r="AD1458" s="18"/>
      <c r="AE1458" s="18"/>
      <c r="AF1458" s="18"/>
      <c r="AG1458" s="18"/>
      <c r="AH1458" s="18"/>
      <c r="AI1458" s="18"/>
      <c r="AJ1458" s="18"/>
      <c r="AK1458" s="18"/>
      <c r="AL1458" s="18"/>
      <c r="AM1458" s="18"/>
    </row>
    <row r="1459" spans="6:39" x14ac:dyDescent="0.35">
      <c r="F1459" s="18"/>
      <c r="G1459" s="19"/>
      <c r="H1459" s="18"/>
      <c r="I1459" s="18"/>
      <c r="J1459" s="18"/>
      <c r="K1459" s="18"/>
      <c r="L1459" s="18"/>
      <c r="M1459" s="19"/>
      <c r="N1459" s="18"/>
      <c r="O1459" s="18"/>
      <c r="P1459" s="18"/>
      <c r="Q1459" s="18"/>
      <c r="R1459" s="18"/>
      <c r="S1459" s="18"/>
      <c r="T1459" s="18"/>
      <c r="U1459" s="18"/>
      <c r="V1459" s="18"/>
      <c r="W1459" s="18"/>
      <c r="X1459" s="18"/>
      <c r="Y1459" s="18"/>
      <c r="Z1459" s="18"/>
      <c r="AA1459" s="18"/>
      <c r="AB1459" s="18"/>
      <c r="AC1459" s="18"/>
      <c r="AD1459" s="18"/>
      <c r="AE1459" s="18"/>
      <c r="AF1459" s="18"/>
      <c r="AG1459" s="18"/>
      <c r="AH1459" s="18"/>
      <c r="AI1459" s="18"/>
      <c r="AJ1459" s="18"/>
      <c r="AK1459" s="18"/>
      <c r="AL1459" s="18"/>
      <c r="AM1459" s="18"/>
    </row>
    <row r="1460" spans="6:39" x14ac:dyDescent="0.35">
      <c r="F1460" s="18"/>
      <c r="G1460" s="19"/>
      <c r="H1460" s="18"/>
      <c r="I1460" s="18"/>
      <c r="J1460" s="18"/>
      <c r="K1460" s="18"/>
      <c r="L1460" s="18"/>
      <c r="M1460" s="19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  <c r="AA1460" s="18"/>
      <c r="AB1460" s="18"/>
      <c r="AC1460" s="18"/>
      <c r="AD1460" s="18"/>
      <c r="AE1460" s="18"/>
      <c r="AF1460" s="18"/>
      <c r="AG1460" s="18"/>
      <c r="AH1460" s="18"/>
      <c r="AI1460" s="18"/>
      <c r="AJ1460" s="18"/>
      <c r="AK1460" s="18"/>
      <c r="AL1460" s="18"/>
      <c r="AM1460" s="18"/>
    </row>
    <row r="1461" spans="6:39" x14ac:dyDescent="0.35">
      <c r="F1461" s="18"/>
      <c r="G1461" s="19"/>
      <c r="H1461" s="18"/>
      <c r="I1461" s="18"/>
      <c r="J1461" s="18"/>
      <c r="K1461" s="18"/>
      <c r="L1461" s="18"/>
      <c r="M1461" s="19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8"/>
      <c r="AA1461" s="18"/>
      <c r="AB1461" s="18"/>
      <c r="AC1461" s="18"/>
      <c r="AD1461" s="18"/>
      <c r="AE1461" s="18"/>
      <c r="AF1461" s="18"/>
      <c r="AG1461" s="18"/>
      <c r="AH1461" s="18"/>
      <c r="AI1461" s="18"/>
      <c r="AJ1461" s="18"/>
      <c r="AK1461" s="18"/>
      <c r="AL1461" s="18"/>
      <c r="AM1461" s="18"/>
    </row>
    <row r="1462" spans="6:39" x14ac:dyDescent="0.35">
      <c r="F1462" s="18"/>
      <c r="G1462" s="19"/>
      <c r="H1462" s="18"/>
      <c r="I1462" s="18"/>
      <c r="J1462" s="18"/>
      <c r="K1462" s="18"/>
      <c r="L1462" s="18"/>
      <c r="M1462" s="19"/>
      <c r="N1462" s="18"/>
      <c r="O1462" s="18"/>
      <c r="P1462" s="18"/>
      <c r="Q1462" s="18"/>
      <c r="R1462" s="18"/>
      <c r="S1462" s="18"/>
      <c r="T1462" s="18"/>
      <c r="U1462" s="18"/>
      <c r="V1462" s="18"/>
      <c r="W1462" s="18"/>
      <c r="X1462" s="18"/>
      <c r="Y1462" s="18"/>
      <c r="Z1462" s="18"/>
      <c r="AA1462" s="18"/>
      <c r="AB1462" s="18"/>
      <c r="AC1462" s="18"/>
      <c r="AD1462" s="18"/>
      <c r="AE1462" s="18"/>
      <c r="AF1462" s="18"/>
      <c r="AG1462" s="18"/>
      <c r="AH1462" s="18"/>
      <c r="AI1462" s="18"/>
      <c r="AJ1462" s="18"/>
      <c r="AK1462" s="18"/>
      <c r="AL1462" s="18"/>
      <c r="AM1462" s="18"/>
    </row>
    <row r="1463" spans="6:39" x14ac:dyDescent="0.35">
      <c r="F1463" s="18"/>
      <c r="G1463" s="19"/>
      <c r="H1463" s="18"/>
      <c r="I1463" s="18"/>
      <c r="J1463" s="18"/>
      <c r="K1463" s="18"/>
      <c r="L1463" s="18"/>
      <c r="M1463" s="19"/>
      <c r="N1463" s="18"/>
      <c r="O1463" s="18"/>
      <c r="P1463" s="18"/>
      <c r="Q1463" s="18"/>
      <c r="R1463" s="18"/>
      <c r="S1463" s="18"/>
      <c r="T1463" s="18"/>
      <c r="U1463" s="18"/>
      <c r="V1463" s="18"/>
      <c r="W1463" s="18"/>
      <c r="X1463" s="18"/>
      <c r="Y1463" s="18"/>
      <c r="Z1463" s="18"/>
      <c r="AA1463" s="18"/>
      <c r="AB1463" s="18"/>
      <c r="AC1463" s="18"/>
      <c r="AD1463" s="18"/>
      <c r="AE1463" s="18"/>
      <c r="AF1463" s="18"/>
      <c r="AG1463" s="18"/>
      <c r="AH1463" s="18"/>
      <c r="AI1463" s="18"/>
      <c r="AJ1463" s="18"/>
      <c r="AK1463" s="18"/>
      <c r="AL1463" s="18"/>
      <c r="AM1463" s="18"/>
    </row>
    <row r="1464" spans="6:39" x14ac:dyDescent="0.35">
      <c r="F1464" s="18"/>
      <c r="G1464" s="19"/>
      <c r="H1464" s="18"/>
      <c r="I1464" s="18"/>
      <c r="J1464" s="18"/>
      <c r="K1464" s="18"/>
      <c r="L1464" s="18"/>
      <c r="M1464" s="19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  <c r="Y1464" s="18"/>
      <c r="Z1464" s="18"/>
      <c r="AA1464" s="18"/>
      <c r="AB1464" s="18"/>
      <c r="AC1464" s="18"/>
      <c r="AD1464" s="18"/>
      <c r="AE1464" s="18"/>
      <c r="AF1464" s="18"/>
      <c r="AG1464" s="18"/>
      <c r="AH1464" s="18"/>
      <c r="AI1464" s="18"/>
      <c r="AJ1464" s="18"/>
      <c r="AK1464" s="18"/>
      <c r="AL1464" s="18"/>
      <c r="AM1464" s="18"/>
    </row>
    <row r="1465" spans="6:39" x14ac:dyDescent="0.35">
      <c r="F1465" s="18"/>
      <c r="G1465" s="19"/>
      <c r="H1465" s="18"/>
      <c r="I1465" s="18"/>
      <c r="J1465" s="18"/>
      <c r="K1465" s="18"/>
      <c r="L1465" s="18"/>
      <c r="M1465" s="19"/>
      <c r="N1465" s="18"/>
      <c r="O1465" s="18"/>
      <c r="P1465" s="18"/>
      <c r="Q1465" s="18"/>
      <c r="R1465" s="18"/>
      <c r="S1465" s="18"/>
      <c r="T1465" s="18"/>
      <c r="U1465" s="18"/>
      <c r="V1465" s="18"/>
      <c r="W1465" s="18"/>
      <c r="X1465" s="18"/>
      <c r="Y1465" s="18"/>
      <c r="Z1465" s="18"/>
      <c r="AA1465" s="18"/>
      <c r="AB1465" s="18"/>
      <c r="AC1465" s="18"/>
      <c r="AD1465" s="18"/>
      <c r="AE1465" s="18"/>
      <c r="AF1465" s="18"/>
      <c r="AG1465" s="18"/>
      <c r="AH1465" s="18"/>
      <c r="AI1465" s="18"/>
      <c r="AJ1465" s="18"/>
      <c r="AK1465" s="18"/>
      <c r="AL1465" s="18"/>
      <c r="AM1465" s="18"/>
    </row>
    <row r="1466" spans="6:39" x14ac:dyDescent="0.35">
      <c r="F1466" s="18"/>
      <c r="G1466" s="19"/>
      <c r="H1466" s="18"/>
      <c r="I1466" s="18"/>
      <c r="J1466" s="18"/>
      <c r="K1466" s="18"/>
      <c r="L1466" s="18"/>
      <c r="M1466" s="19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  <c r="Z1466" s="18"/>
      <c r="AA1466" s="18"/>
      <c r="AB1466" s="18"/>
      <c r="AC1466" s="18"/>
      <c r="AD1466" s="18"/>
      <c r="AE1466" s="18"/>
      <c r="AF1466" s="18"/>
      <c r="AG1466" s="18"/>
      <c r="AH1466" s="18"/>
      <c r="AI1466" s="18"/>
      <c r="AJ1466" s="18"/>
      <c r="AK1466" s="18"/>
      <c r="AL1466" s="18"/>
      <c r="AM1466" s="18"/>
    </row>
    <row r="1467" spans="6:39" x14ac:dyDescent="0.35">
      <c r="F1467" s="18"/>
      <c r="G1467" s="19"/>
      <c r="H1467" s="18"/>
      <c r="I1467" s="18"/>
      <c r="J1467" s="18"/>
      <c r="K1467" s="18"/>
      <c r="L1467" s="18"/>
      <c r="M1467" s="19"/>
      <c r="N1467" s="18"/>
      <c r="O1467" s="18"/>
      <c r="P1467" s="18"/>
      <c r="Q1467" s="18"/>
      <c r="R1467" s="18"/>
      <c r="S1467" s="18"/>
      <c r="T1467" s="18"/>
      <c r="U1467" s="18"/>
      <c r="V1467" s="18"/>
      <c r="W1467" s="18"/>
      <c r="X1467" s="18"/>
      <c r="Y1467" s="18"/>
      <c r="Z1467" s="18"/>
      <c r="AA1467" s="18"/>
      <c r="AB1467" s="18"/>
      <c r="AC1467" s="18"/>
      <c r="AD1467" s="18"/>
      <c r="AE1467" s="18"/>
      <c r="AF1467" s="18"/>
      <c r="AG1467" s="18"/>
      <c r="AH1467" s="18"/>
      <c r="AI1467" s="18"/>
      <c r="AJ1467" s="18"/>
      <c r="AK1467" s="18"/>
      <c r="AL1467" s="18"/>
      <c r="AM1467" s="18"/>
    </row>
    <row r="1468" spans="6:39" x14ac:dyDescent="0.35">
      <c r="F1468" s="18"/>
      <c r="G1468" s="19"/>
      <c r="H1468" s="18"/>
      <c r="I1468" s="18"/>
      <c r="J1468" s="18"/>
      <c r="K1468" s="18"/>
      <c r="L1468" s="18"/>
      <c r="M1468" s="19"/>
      <c r="N1468" s="18"/>
      <c r="O1468" s="18"/>
      <c r="P1468" s="18"/>
      <c r="Q1468" s="18"/>
      <c r="R1468" s="18"/>
      <c r="S1468" s="18"/>
      <c r="T1468" s="18"/>
      <c r="U1468" s="18"/>
      <c r="V1468" s="18"/>
      <c r="W1468" s="18"/>
      <c r="X1468" s="18"/>
      <c r="Y1468" s="18"/>
      <c r="Z1468" s="18"/>
      <c r="AA1468" s="18"/>
      <c r="AB1468" s="18"/>
      <c r="AC1468" s="18"/>
      <c r="AD1468" s="18"/>
      <c r="AE1468" s="18"/>
      <c r="AF1468" s="18"/>
      <c r="AG1468" s="18"/>
      <c r="AH1468" s="18"/>
      <c r="AI1468" s="18"/>
      <c r="AJ1468" s="18"/>
      <c r="AK1468" s="18"/>
      <c r="AL1468" s="18"/>
      <c r="AM1468" s="18"/>
    </row>
    <row r="1469" spans="6:39" x14ac:dyDescent="0.35">
      <c r="F1469" s="18"/>
      <c r="G1469" s="19"/>
      <c r="H1469" s="18"/>
      <c r="I1469" s="18"/>
      <c r="J1469" s="18"/>
      <c r="K1469" s="18"/>
      <c r="L1469" s="18"/>
      <c r="M1469" s="19"/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8"/>
      <c r="Y1469" s="18"/>
      <c r="Z1469" s="18"/>
      <c r="AA1469" s="18"/>
      <c r="AB1469" s="18"/>
      <c r="AC1469" s="18"/>
      <c r="AD1469" s="18"/>
      <c r="AE1469" s="18"/>
      <c r="AF1469" s="18"/>
      <c r="AG1469" s="18"/>
      <c r="AH1469" s="18"/>
      <c r="AI1469" s="18"/>
      <c r="AJ1469" s="18"/>
      <c r="AK1469" s="18"/>
      <c r="AL1469" s="18"/>
      <c r="AM1469" s="18"/>
    </row>
    <row r="1470" spans="6:39" x14ac:dyDescent="0.35">
      <c r="F1470" s="18"/>
      <c r="G1470" s="19"/>
      <c r="H1470" s="18"/>
      <c r="I1470" s="18"/>
      <c r="J1470" s="18"/>
      <c r="K1470" s="18"/>
      <c r="L1470" s="18"/>
      <c r="M1470" s="19"/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8"/>
      <c r="Y1470" s="18"/>
      <c r="Z1470" s="18"/>
      <c r="AA1470" s="18"/>
      <c r="AB1470" s="18"/>
      <c r="AC1470" s="18"/>
      <c r="AD1470" s="18"/>
      <c r="AE1470" s="18"/>
      <c r="AF1470" s="18"/>
      <c r="AG1470" s="18"/>
      <c r="AH1470" s="18"/>
      <c r="AI1470" s="18"/>
      <c r="AJ1470" s="18"/>
      <c r="AK1470" s="18"/>
      <c r="AL1470" s="18"/>
      <c r="AM1470" s="18"/>
    </row>
    <row r="1471" spans="6:39" x14ac:dyDescent="0.35">
      <c r="F1471" s="18"/>
      <c r="G1471" s="19"/>
      <c r="H1471" s="18"/>
      <c r="I1471" s="18"/>
      <c r="J1471" s="18"/>
      <c r="K1471" s="18"/>
      <c r="L1471" s="18"/>
      <c r="M1471" s="19"/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8"/>
      <c r="Y1471" s="18"/>
      <c r="Z1471" s="18"/>
      <c r="AA1471" s="18"/>
      <c r="AB1471" s="18"/>
      <c r="AC1471" s="18"/>
      <c r="AD1471" s="18"/>
      <c r="AE1471" s="18"/>
      <c r="AF1471" s="18"/>
      <c r="AG1471" s="18"/>
      <c r="AH1471" s="18"/>
      <c r="AI1471" s="18"/>
      <c r="AJ1471" s="18"/>
      <c r="AK1471" s="18"/>
      <c r="AL1471" s="18"/>
      <c r="AM1471" s="18"/>
    </row>
    <row r="1472" spans="6:39" x14ac:dyDescent="0.35">
      <c r="F1472" s="18"/>
      <c r="G1472" s="19"/>
      <c r="H1472" s="18"/>
      <c r="I1472" s="18"/>
      <c r="J1472" s="18"/>
      <c r="K1472" s="18"/>
      <c r="L1472" s="18"/>
      <c r="M1472" s="19"/>
      <c r="N1472" s="18"/>
      <c r="O1472" s="18"/>
      <c r="P1472" s="18"/>
      <c r="Q1472" s="18"/>
      <c r="R1472" s="18"/>
      <c r="S1472" s="18"/>
      <c r="T1472" s="18"/>
      <c r="U1472" s="18"/>
      <c r="V1472" s="18"/>
      <c r="W1472" s="18"/>
      <c r="X1472" s="18"/>
      <c r="Y1472" s="18"/>
      <c r="Z1472" s="18"/>
      <c r="AA1472" s="18"/>
      <c r="AB1472" s="18"/>
      <c r="AC1472" s="18"/>
      <c r="AD1472" s="18"/>
      <c r="AE1472" s="18"/>
      <c r="AF1472" s="18"/>
      <c r="AG1472" s="18"/>
      <c r="AH1472" s="18"/>
      <c r="AI1472" s="18"/>
      <c r="AJ1472" s="18"/>
      <c r="AK1472" s="18"/>
      <c r="AL1472" s="18"/>
      <c r="AM1472" s="18"/>
    </row>
    <row r="1473" spans="6:39" x14ac:dyDescent="0.35">
      <c r="F1473" s="18"/>
      <c r="G1473" s="19"/>
      <c r="H1473" s="18"/>
      <c r="I1473" s="18"/>
      <c r="J1473" s="18"/>
      <c r="K1473" s="18"/>
      <c r="L1473" s="18"/>
      <c r="M1473" s="19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8"/>
      <c r="Y1473" s="18"/>
      <c r="Z1473" s="18"/>
      <c r="AA1473" s="18"/>
      <c r="AB1473" s="18"/>
      <c r="AC1473" s="18"/>
      <c r="AD1473" s="18"/>
      <c r="AE1473" s="18"/>
      <c r="AF1473" s="18"/>
      <c r="AG1473" s="18"/>
      <c r="AH1473" s="18"/>
      <c r="AI1473" s="18"/>
      <c r="AJ1473" s="18"/>
      <c r="AK1473" s="18"/>
      <c r="AL1473" s="18"/>
      <c r="AM1473" s="18"/>
    </row>
    <row r="1474" spans="6:39" x14ac:dyDescent="0.35">
      <c r="F1474" s="18"/>
      <c r="G1474" s="19"/>
      <c r="H1474" s="18"/>
      <c r="I1474" s="18"/>
      <c r="J1474" s="18"/>
      <c r="K1474" s="18"/>
      <c r="L1474" s="18"/>
      <c r="M1474" s="19"/>
      <c r="N1474" s="18"/>
      <c r="O1474" s="18"/>
      <c r="P1474" s="18"/>
      <c r="Q1474" s="18"/>
      <c r="R1474" s="18"/>
      <c r="S1474" s="18"/>
      <c r="T1474" s="18"/>
      <c r="U1474" s="18"/>
      <c r="V1474" s="18"/>
      <c r="W1474" s="18"/>
      <c r="X1474" s="18"/>
      <c r="Y1474" s="18"/>
      <c r="Z1474" s="18"/>
      <c r="AA1474" s="18"/>
      <c r="AB1474" s="18"/>
      <c r="AC1474" s="18"/>
      <c r="AD1474" s="18"/>
      <c r="AE1474" s="18"/>
      <c r="AF1474" s="18"/>
      <c r="AG1474" s="18"/>
      <c r="AH1474" s="18"/>
      <c r="AI1474" s="18"/>
      <c r="AJ1474" s="18"/>
      <c r="AK1474" s="18"/>
      <c r="AL1474" s="18"/>
      <c r="AM1474" s="18"/>
    </row>
    <row r="1475" spans="6:39" x14ac:dyDescent="0.35">
      <c r="F1475" s="18"/>
      <c r="G1475" s="19"/>
      <c r="H1475" s="18"/>
      <c r="I1475" s="18"/>
      <c r="J1475" s="18"/>
      <c r="K1475" s="18"/>
      <c r="L1475" s="18"/>
      <c r="M1475" s="19"/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  <c r="Y1475" s="18"/>
      <c r="Z1475" s="18"/>
      <c r="AA1475" s="18"/>
      <c r="AB1475" s="18"/>
      <c r="AC1475" s="18"/>
      <c r="AD1475" s="18"/>
      <c r="AE1475" s="18"/>
      <c r="AF1475" s="18"/>
      <c r="AG1475" s="18"/>
      <c r="AH1475" s="18"/>
      <c r="AI1475" s="18"/>
      <c r="AJ1475" s="18"/>
      <c r="AK1475" s="18"/>
      <c r="AL1475" s="18"/>
      <c r="AM1475" s="18"/>
    </row>
    <row r="1476" spans="6:39" x14ac:dyDescent="0.35">
      <c r="F1476" s="18"/>
      <c r="G1476" s="19"/>
      <c r="H1476" s="18"/>
      <c r="I1476" s="18"/>
      <c r="J1476" s="18"/>
      <c r="K1476" s="18"/>
      <c r="L1476" s="18"/>
      <c r="M1476" s="19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  <c r="AA1476" s="18"/>
      <c r="AB1476" s="18"/>
      <c r="AC1476" s="18"/>
      <c r="AD1476" s="18"/>
      <c r="AE1476" s="18"/>
      <c r="AF1476" s="18"/>
      <c r="AG1476" s="18"/>
      <c r="AH1476" s="18"/>
      <c r="AI1476" s="18"/>
      <c r="AJ1476" s="18"/>
      <c r="AK1476" s="18"/>
      <c r="AL1476" s="18"/>
      <c r="AM1476" s="18"/>
    </row>
    <row r="1477" spans="6:39" x14ac:dyDescent="0.35">
      <c r="F1477" s="18"/>
      <c r="G1477" s="19"/>
      <c r="H1477" s="18"/>
      <c r="I1477" s="18"/>
      <c r="J1477" s="18"/>
      <c r="K1477" s="18"/>
      <c r="L1477" s="18"/>
      <c r="M1477" s="19"/>
      <c r="N1477" s="18"/>
      <c r="O1477" s="18"/>
      <c r="P1477" s="18"/>
      <c r="Q1477" s="18"/>
      <c r="R1477" s="18"/>
      <c r="S1477" s="18"/>
      <c r="T1477" s="18"/>
      <c r="U1477" s="18"/>
      <c r="V1477" s="18"/>
      <c r="W1477" s="18"/>
      <c r="X1477" s="18"/>
      <c r="Y1477" s="18"/>
      <c r="Z1477" s="18"/>
      <c r="AA1477" s="18"/>
      <c r="AB1477" s="18"/>
      <c r="AC1477" s="18"/>
      <c r="AD1477" s="18"/>
      <c r="AE1477" s="18"/>
      <c r="AF1477" s="18"/>
      <c r="AG1477" s="18"/>
      <c r="AH1477" s="18"/>
      <c r="AI1477" s="18"/>
      <c r="AJ1477" s="18"/>
      <c r="AK1477" s="18"/>
      <c r="AL1477" s="18"/>
      <c r="AM1477" s="18"/>
    </row>
    <row r="1478" spans="6:39" x14ac:dyDescent="0.35">
      <c r="F1478" s="18"/>
      <c r="G1478" s="19"/>
      <c r="H1478" s="18"/>
      <c r="I1478" s="18"/>
      <c r="J1478" s="18"/>
      <c r="K1478" s="18"/>
      <c r="L1478" s="18"/>
      <c r="M1478" s="19"/>
      <c r="N1478" s="18"/>
      <c r="O1478" s="18"/>
      <c r="P1478" s="18"/>
      <c r="Q1478" s="18"/>
      <c r="R1478" s="18"/>
      <c r="S1478" s="18"/>
      <c r="T1478" s="18"/>
      <c r="U1478" s="18"/>
      <c r="V1478" s="18"/>
      <c r="W1478" s="18"/>
      <c r="X1478" s="18"/>
      <c r="Y1478" s="18"/>
      <c r="Z1478" s="18"/>
      <c r="AA1478" s="18"/>
      <c r="AB1478" s="18"/>
      <c r="AC1478" s="18"/>
      <c r="AD1478" s="18"/>
      <c r="AE1478" s="18"/>
      <c r="AF1478" s="18"/>
      <c r="AG1478" s="18"/>
      <c r="AH1478" s="18"/>
      <c r="AI1478" s="18"/>
      <c r="AJ1478" s="18"/>
      <c r="AK1478" s="18"/>
      <c r="AL1478" s="18"/>
      <c r="AM1478" s="18"/>
    </row>
    <row r="1479" spans="6:39" x14ac:dyDescent="0.35">
      <c r="F1479" s="18"/>
      <c r="G1479" s="19"/>
      <c r="H1479" s="18"/>
      <c r="I1479" s="18"/>
      <c r="J1479" s="18"/>
      <c r="K1479" s="18"/>
      <c r="L1479" s="18"/>
      <c r="M1479" s="19"/>
      <c r="N1479" s="18"/>
      <c r="O1479" s="18"/>
      <c r="P1479" s="18"/>
      <c r="Q1479" s="18"/>
      <c r="R1479" s="18"/>
      <c r="S1479" s="18"/>
      <c r="T1479" s="18"/>
      <c r="U1479" s="18"/>
      <c r="V1479" s="18"/>
      <c r="W1479" s="18"/>
      <c r="X1479" s="18"/>
      <c r="Y1479" s="18"/>
      <c r="Z1479" s="18"/>
      <c r="AA1479" s="18"/>
      <c r="AB1479" s="18"/>
      <c r="AC1479" s="18"/>
      <c r="AD1479" s="18"/>
      <c r="AE1479" s="18"/>
      <c r="AF1479" s="18"/>
      <c r="AG1479" s="18"/>
      <c r="AH1479" s="18"/>
      <c r="AI1479" s="18"/>
      <c r="AJ1479" s="18"/>
      <c r="AK1479" s="18"/>
      <c r="AL1479" s="18"/>
      <c r="AM1479" s="18"/>
    </row>
    <row r="1480" spans="6:39" x14ac:dyDescent="0.35">
      <c r="F1480" s="18"/>
      <c r="G1480" s="19"/>
      <c r="H1480" s="18"/>
      <c r="I1480" s="18"/>
      <c r="J1480" s="18"/>
      <c r="K1480" s="18"/>
      <c r="L1480" s="18"/>
      <c r="M1480" s="19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  <c r="Y1480" s="18"/>
      <c r="Z1480" s="18"/>
      <c r="AA1480" s="18"/>
      <c r="AB1480" s="18"/>
      <c r="AC1480" s="18"/>
      <c r="AD1480" s="18"/>
      <c r="AE1480" s="18"/>
      <c r="AF1480" s="18"/>
      <c r="AG1480" s="18"/>
      <c r="AH1480" s="18"/>
      <c r="AI1480" s="18"/>
      <c r="AJ1480" s="18"/>
      <c r="AK1480" s="18"/>
      <c r="AL1480" s="18"/>
      <c r="AM1480" s="18"/>
    </row>
    <row r="1481" spans="6:39" x14ac:dyDescent="0.35">
      <c r="F1481" s="18"/>
      <c r="G1481" s="19"/>
      <c r="H1481" s="18"/>
      <c r="I1481" s="18"/>
      <c r="J1481" s="18"/>
      <c r="K1481" s="18"/>
      <c r="L1481" s="18"/>
      <c r="M1481" s="19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  <c r="Z1481" s="18"/>
      <c r="AA1481" s="18"/>
      <c r="AB1481" s="18"/>
      <c r="AC1481" s="18"/>
      <c r="AD1481" s="18"/>
      <c r="AE1481" s="18"/>
      <c r="AF1481" s="18"/>
      <c r="AG1481" s="18"/>
      <c r="AH1481" s="18"/>
      <c r="AI1481" s="18"/>
      <c r="AJ1481" s="18"/>
      <c r="AK1481" s="18"/>
      <c r="AL1481" s="18"/>
      <c r="AM1481" s="18"/>
    </row>
    <row r="1482" spans="6:39" x14ac:dyDescent="0.35">
      <c r="F1482" s="18"/>
      <c r="G1482" s="19"/>
      <c r="H1482" s="18"/>
      <c r="I1482" s="18"/>
      <c r="J1482" s="18"/>
      <c r="K1482" s="18"/>
      <c r="L1482" s="18"/>
      <c r="M1482" s="19"/>
      <c r="N1482" s="18"/>
      <c r="O1482" s="18"/>
      <c r="P1482" s="18"/>
      <c r="Q1482" s="18"/>
      <c r="R1482" s="18"/>
      <c r="S1482" s="18"/>
      <c r="T1482" s="18"/>
      <c r="U1482" s="18"/>
      <c r="V1482" s="18"/>
      <c r="W1482" s="18"/>
      <c r="X1482" s="18"/>
      <c r="Y1482" s="18"/>
      <c r="Z1482" s="18"/>
      <c r="AA1482" s="18"/>
      <c r="AB1482" s="18"/>
      <c r="AC1482" s="18"/>
      <c r="AD1482" s="18"/>
      <c r="AE1482" s="18"/>
      <c r="AF1482" s="18"/>
      <c r="AG1482" s="18"/>
      <c r="AH1482" s="18"/>
      <c r="AI1482" s="18"/>
      <c r="AJ1482" s="18"/>
      <c r="AK1482" s="18"/>
      <c r="AL1482" s="18"/>
      <c r="AM1482" s="18"/>
    </row>
    <row r="1483" spans="6:39" x14ac:dyDescent="0.35">
      <c r="F1483" s="18"/>
      <c r="G1483" s="19"/>
      <c r="H1483" s="18"/>
      <c r="I1483" s="18"/>
      <c r="J1483" s="18"/>
      <c r="K1483" s="18"/>
      <c r="L1483" s="18"/>
      <c r="M1483" s="19"/>
      <c r="N1483" s="18"/>
      <c r="O1483" s="18"/>
      <c r="P1483" s="18"/>
      <c r="Q1483" s="18"/>
      <c r="R1483" s="18"/>
      <c r="S1483" s="18"/>
      <c r="T1483" s="18"/>
      <c r="U1483" s="18"/>
      <c r="V1483" s="18"/>
      <c r="W1483" s="18"/>
      <c r="X1483" s="18"/>
      <c r="Y1483" s="18"/>
      <c r="Z1483" s="18"/>
      <c r="AA1483" s="18"/>
      <c r="AB1483" s="18"/>
      <c r="AC1483" s="18"/>
      <c r="AD1483" s="18"/>
      <c r="AE1483" s="18"/>
      <c r="AF1483" s="18"/>
      <c r="AG1483" s="18"/>
      <c r="AH1483" s="18"/>
      <c r="AI1483" s="18"/>
      <c r="AJ1483" s="18"/>
      <c r="AK1483" s="18"/>
      <c r="AL1483" s="18"/>
      <c r="AM1483" s="18"/>
    </row>
    <row r="1484" spans="6:39" x14ac:dyDescent="0.35">
      <c r="F1484" s="18"/>
      <c r="G1484" s="19"/>
      <c r="H1484" s="18"/>
      <c r="I1484" s="18"/>
      <c r="J1484" s="18"/>
      <c r="K1484" s="18"/>
      <c r="L1484" s="18"/>
      <c r="M1484" s="19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8"/>
      <c r="Y1484" s="18"/>
      <c r="Z1484" s="18"/>
      <c r="AA1484" s="18"/>
      <c r="AB1484" s="18"/>
      <c r="AC1484" s="18"/>
      <c r="AD1484" s="18"/>
      <c r="AE1484" s="18"/>
      <c r="AF1484" s="18"/>
      <c r="AG1484" s="18"/>
      <c r="AH1484" s="18"/>
      <c r="AI1484" s="18"/>
      <c r="AJ1484" s="18"/>
      <c r="AK1484" s="18"/>
      <c r="AL1484" s="18"/>
      <c r="AM1484" s="18"/>
    </row>
    <row r="1485" spans="6:39" x14ac:dyDescent="0.35">
      <c r="F1485" s="18"/>
      <c r="G1485" s="19"/>
      <c r="H1485" s="18"/>
      <c r="I1485" s="18"/>
      <c r="J1485" s="18"/>
      <c r="K1485" s="18"/>
      <c r="L1485" s="18"/>
      <c r="M1485" s="19"/>
      <c r="N1485" s="18"/>
      <c r="O1485" s="18"/>
      <c r="P1485" s="18"/>
      <c r="Q1485" s="18"/>
      <c r="R1485" s="18"/>
      <c r="S1485" s="18"/>
      <c r="T1485" s="18"/>
      <c r="U1485" s="18"/>
      <c r="V1485" s="18"/>
      <c r="W1485" s="18"/>
      <c r="X1485" s="18"/>
      <c r="Y1485" s="18"/>
      <c r="Z1485" s="18"/>
      <c r="AA1485" s="18"/>
      <c r="AB1485" s="18"/>
      <c r="AC1485" s="18"/>
      <c r="AD1485" s="18"/>
      <c r="AE1485" s="18"/>
      <c r="AF1485" s="18"/>
      <c r="AG1485" s="18"/>
      <c r="AH1485" s="18"/>
      <c r="AI1485" s="18"/>
      <c r="AJ1485" s="18"/>
      <c r="AK1485" s="18"/>
      <c r="AL1485" s="18"/>
      <c r="AM1485" s="18"/>
    </row>
    <row r="1486" spans="6:39" x14ac:dyDescent="0.35">
      <c r="F1486" s="18"/>
      <c r="G1486" s="19"/>
      <c r="H1486" s="18"/>
      <c r="I1486" s="18"/>
      <c r="J1486" s="18"/>
      <c r="K1486" s="18"/>
      <c r="L1486" s="18"/>
      <c r="M1486" s="19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  <c r="AA1486" s="18"/>
      <c r="AB1486" s="18"/>
      <c r="AC1486" s="18"/>
      <c r="AD1486" s="18"/>
      <c r="AE1486" s="18"/>
      <c r="AF1486" s="18"/>
      <c r="AG1486" s="18"/>
      <c r="AH1486" s="18"/>
      <c r="AI1486" s="18"/>
      <c r="AJ1486" s="18"/>
      <c r="AK1486" s="18"/>
      <c r="AL1486" s="18"/>
      <c r="AM1486" s="18"/>
    </row>
    <row r="1487" spans="6:39" x14ac:dyDescent="0.35">
      <c r="F1487" s="18"/>
      <c r="G1487" s="19"/>
      <c r="H1487" s="18"/>
      <c r="I1487" s="18"/>
      <c r="J1487" s="18"/>
      <c r="K1487" s="18"/>
      <c r="L1487" s="18"/>
      <c r="M1487" s="19"/>
      <c r="N1487" s="18"/>
      <c r="O1487" s="18"/>
      <c r="P1487" s="18"/>
      <c r="Q1487" s="18"/>
      <c r="R1487" s="18"/>
      <c r="S1487" s="18"/>
      <c r="T1487" s="18"/>
      <c r="U1487" s="18"/>
      <c r="V1487" s="18"/>
      <c r="W1487" s="18"/>
      <c r="X1487" s="18"/>
      <c r="Y1487" s="18"/>
      <c r="Z1487" s="18"/>
      <c r="AA1487" s="18"/>
      <c r="AB1487" s="18"/>
      <c r="AC1487" s="18"/>
      <c r="AD1487" s="18"/>
      <c r="AE1487" s="18"/>
      <c r="AF1487" s="18"/>
      <c r="AG1487" s="18"/>
      <c r="AH1487" s="18"/>
      <c r="AI1487" s="18"/>
      <c r="AJ1487" s="18"/>
      <c r="AK1487" s="18"/>
      <c r="AL1487" s="18"/>
      <c r="AM1487" s="18"/>
    </row>
    <row r="1488" spans="6:39" x14ac:dyDescent="0.35">
      <c r="F1488" s="18"/>
      <c r="G1488" s="19"/>
      <c r="H1488" s="18"/>
      <c r="I1488" s="18"/>
      <c r="J1488" s="18"/>
      <c r="K1488" s="18"/>
      <c r="L1488" s="18"/>
      <c r="M1488" s="19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  <c r="Y1488" s="18"/>
      <c r="Z1488" s="18"/>
      <c r="AA1488" s="18"/>
      <c r="AB1488" s="18"/>
      <c r="AC1488" s="18"/>
      <c r="AD1488" s="18"/>
      <c r="AE1488" s="18"/>
      <c r="AF1488" s="18"/>
      <c r="AG1488" s="18"/>
      <c r="AH1488" s="18"/>
      <c r="AI1488" s="18"/>
      <c r="AJ1488" s="18"/>
      <c r="AK1488" s="18"/>
      <c r="AL1488" s="18"/>
      <c r="AM1488" s="18"/>
    </row>
    <row r="1489" spans="6:39" x14ac:dyDescent="0.35">
      <c r="F1489" s="18"/>
      <c r="G1489" s="19"/>
      <c r="H1489" s="18"/>
      <c r="I1489" s="18"/>
      <c r="J1489" s="18"/>
      <c r="K1489" s="18"/>
      <c r="L1489" s="18"/>
      <c r="M1489" s="19"/>
      <c r="N1489" s="18"/>
      <c r="O1489" s="18"/>
      <c r="P1489" s="18"/>
      <c r="Q1489" s="18"/>
      <c r="R1489" s="18"/>
      <c r="S1489" s="18"/>
      <c r="T1489" s="18"/>
      <c r="U1489" s="18"/>
      <c r="V1489" s="18"/>
      <c r="W1489" s="18"/>
      <c r="X1489" s="18"/>
      <c r="Y1489" s="18"/>
      <c r="Z1489" s="18"/>
      <c r="AA1489" s="18"/>
      <c r="AB1489" s="18"/>
      <c r="AC1489" s="18"/>
      <c r="AD1489" s="18"/>
      <c r="AE1489" s="18"/>
      <c r="AF1489" s="18"/>
      <c r="AG1489" s="18"/>
      <c r="AH1489" s="18"/>
      <c r="AI1489" s="18"/>
      <c r="AJ1489" s="18"/>
      <c r="AK1489" s="18"/>
      <c r="AL1489" s="18"/>
      <c r="AM1489" s="18"/>
    </row>
    <row r="1490" spans="6:39" x14ac:dyDescent="0.35">
      <c r="F1490" s="18"/>
      <c r="G1490" s="19"/>
      <c r="H1490" s="18"/>
      <c r="I1490" s="18"/>
      <c r="J1490" s="18"/>
      <c r="K1490" s="18"/>
      <c r="L1490" s="18"/>
      <c r="M1490" s="19"/>
      <c r="N1490" s="18"/>
      <c r="O1490" s="18"/>
      <c r="P1490" s="18"/>
      <c r="Q1490" s="18"/>
      <c r="R1490" s="18"/>
      <c r="S1490" s="18"/>
      <c r="T1490" s="18"/>
      <c r="U1490" s="18"/>
      <c r="V1490" s="18"/>
      <c r="W1490" s="18"/>
      <c r="X1490" s="18"/>
      <c r="Y1490" s="18"/>
      <c r="Z1490" s="18"/>
      <c r="AA1490" s="18"/>
      <c r="AB1490" s="18"/>
      <c r="AC1490" s="18"/>
      <c r="AD1490" s="18"/>
      <c r="AE1490" s="18"/>
      <c r="AF1490" s="18"/>
      <c r="AG1490" s="18"/>
      <c r="AH1490" s="18"/>
      <c r="AI1490" s="18"/>
      <c r="AJ1490" s="18"/>
      <c r="AK1490" s="18"/>
      <c r="AL1490" s="18"/>
      <c r="AM1490" s="18"/>
    </row>
    <row r="1491" spans="6:39" x14ac:dyDescent="0.35">
      <c r="F1491" s="18"/>
      <c r="G1491" s="19"/>
      <c r="H1491" s="18"/>
      <c r="I1491" s="18"/>
      <c r="J1491" s="18"/>
      <c r="K1491" s="18"/>
      <c r="L1491" s="18"/>
      <c r="M1491" s="19"/>
      <c r="N1491" s="18"/>
      <c r="O1491" s="18"/>
      <c r="P1491" s="18"/>
      <c r="Q1491" s="18"/>
      <c r="R1491" s="18"/>
      <c r="S1491" s="18"/>
      <c r="T1491" s="18"/>
      <c r="U1491" s="18"/>
      <c r="V1491" s="18"/>
      <c r="W1491" s="18"/>
      <c r="X1491" s="18"/>
      <c r="Y1491" s="18"/>
      <c r="Z1491" s="18"/>
      <c r="AA1491" s="18"/>
      <c r="AB1491" s="18"/>
      <c r="AC1491" s="18"/>
      <c r="AD1491" s="18"/>
      <c r="AE1491" s="18"/>
      <c r="AF1491" s="18"/>
      <c r="AG1491" s="18"/>
      <c r="AH1491" s="18"/>
      <c r="AI1491" s="18"/>
      <c r="AJ1491" s="18"/>
      <c r="AK1491" s="18"/>
      <c r="AL1491" s="18"/>
      <c r="AM1491" s="18"/>
    </row>
    <row r="1492" spans="6:39" x14ac:dyDescent="0.35">
      <c r="F1492" s="18"/>
      <c r="G1492" s="19"/>
      <c r="H1492" s="18"/>
      <c r="I1492" s="18"/>
      <c r="J1492" s="18"/>
      <c r="K1492" s="18"/>
      <c r="L1492" s="18"/>
      <c r="M1492" s="19"/>
      <c r="N1492" s="18"/>
      <c r="O1492" s="18"/>
      <c r="P1492" s="18"/>
      <c r="Q1492" s="18"/>
      <c r="R1492" s="18"/>
      <c r="S1492" s="18"/>
      <c r="T1492" s="18"/>
      <c r="U1492" s="18"/>
      <c r="V1492" s="18"/>
      <c r="W1492" s="18"/>
      <c r="X1492" s="18"/>
      <c r="Y1492" s="18"/>
      <c r="Z1492" s="18"/>
      <c r="AA1492" s="18"/>
      <c r="AB1492" s="18"/>
      <c r="AC1492" s="18"/>
      <c r="AD1492" s="18"/>
      <c r="AE1492" s="18"/>
      <c r="AF1492" s="18"/>
      <c r="AG1492" s="18"/>
      <c r="AH1492" s="18"/>
      <c r="AI1492" s="18"/>
      <c r="AJ1492" s="18"/>
      <c r="AK1492" s="18"/>
      <c r="AL1492" s="18"/>
      <c r="AM1492" s="18"/>
    </row>
    <row r="1493" spans="6:39" x14ac:dyDescent="0.35">
      <c r="F1493" s="18"/>
      <c r="G1493" s="19"/>
      <c r="H1493" s="18"/>
      <c r="I1493" s="18"/>
      <c r="J1493" s="18"/>
      <c r="K1493" s="18"/>
      <c r="L1493" s="18"/>
      <c r="M1493" s="19"/>
      <c r="N1493" s="18"/>
      <c r="O1493" s="18"/>
      <c r="P1493" s="18"/>
      <c r="Q1493" s="18"/>
      <c r="R1493" s="18"/>
      <c r="S1493" s="18"/>
      <c r="T1493" s="18"/>
      <c r="U1493" s="18"/>
      <c r="V1493" s="18"/>
      <c r="W1493" s="18"/>
      <c r="X1493" s="18"/>
      <c r="Y1493" s="18"/>
      <c r="Z1493" s="18"/>
      <c r="AA1493" s="18"/>
      <c r="AB1493" s="18"/>
      <c r="AC1493" s="18"/>
      <c r="AD1493" s="18"/>
      <c r="AE1493" s="18"/>
      <c r="AF1493" s="18"/>
      <c r="AG1493" s="18"/>
      <c r="AH1493" s="18"/>
      <c r="AI1493" s="18"/>
      <c r="AJ1493" s="18"/>
      <c r="AK1493" s="18"/>
      <c r="AL1493" s="18"/>
      <c r="AM1493" s="18"/>
    </row>
    <row r="1494" spans="6:39" x14ac:dyDescent="0.35">
      <c r="F1494" s="18"/>
      <c r="G1494" s="19"/>
      <c r="H1494" s="18"/>
      <c r="I1494" s="18"/>
      <c r="J1494" s="18"/>
      <c r="K1494" s="18"/>
      <c r="L1494" s="18"/>
      <c r="M1494" s="19"/>
      <c r="N1494" s="18"/>
      <c r="O1494" s="18"/>
      <c r="P1494" s="18"/>
      <c r="Q1494" s="18"/>
      <c r="R1494" s="18"/>
      <c r="S1494" s="18"/>
      <c r="T1494" s="18"/>
      <c r="U1494" s="18"/>
      <c r="V1494" s="18"/>
      <c r="W1494" s="18"/>
      <c r="X1494" s="18"/>
      <c r="Y1494" s="18"/>
      <c r="Z1494" s="18"/>
      <c r="AA1494" s="18"/>
      <c r="AB1494" s="18"/>
      <c r="AC1494" s="18"/>
      <c r="AD1494" s="18"/>
      <c r="AE1494" s="18"/>
      <c r="AF1494" s="18"/>
      <c r="AG1494" s="18"/>
      <c r="AH1494" s="18"/>
      <c r="AI1494" s="18"/>
      <c r="AJ1494" s="18"/>
      <c r="AK1494" s="18"/>
      <c r="AL1494" s="18"/>
      <c r="AM1494" s="18"/>
    </row>
    <row r="1495" spans="6:39" x14ac:dyDescent="0.35">
      <c r="F1495" s="18"/>
      <c r="G1495" s="19"/>
      <c r="H1495" s="18"/>
      <c r="I1495" s="18"/>
      <c r="J1495" s="18"/>
      <c r="K1495" s="18"/>
      <c r="L1495" s="18"/>
      <c r="M1495" s="19"/>
      <c r="N1495" s="18"/>
      <c r="O1495" s="18"/>
      <c r="P1495" s="18"/>
      <c r="Q1495" s="18"/>
      <c r="R1495" s="18"/>
      <c r="S1495" s="18"/>
      <c r="T1495" s="18"/>
      <c r="U1495" s="18"/>
      <c r="V1495" s="18"/>
      <c r="W1495" s="18"/>
      <c r="X1495" s="18"/>
      <c r="Y1495" s="18"/>
      <c r="Z1495" s="18"/>
      <c r="AA1495" s="18"/>
      <c r="AB1495" s="18"/>
      <c r="AC1495" s="18"/>
      <c r="AD1495" s="18"/>
      <c r="AE1495" s="18"/>
      <c r="AF1495" s="18"/>
      <c r="AG1495" s="18"/>
      <c r="AH1495" s="18"/>
      <c r="AI1495" s="18"/>
      <c r="AJ1495" s="18"/>
      <c r="AK1495" s="18"/>
      <c r="AL1495" s="18"/>
      <c r="AM1495" s="18"/>
    </row>
    <row r="1496" spans="6:39" x14ac:dyDescent="0.35">
      <c r="F1496" s="18"/>
      <c r="G1496" s="19"/>
      <c r="H1496" s="18"/>
      <c r="I1496" s="18"/>
      <c r="J1496" s="18"/>
      <c r="K1496" s="18"/>
      <c r="L1496" s="18"/>
      <c r="M1496" s="19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  <c r="Y1496" s="18"/>
      <c r="Z1496" s="18"/>
      <c r="AA1496" s="18"/>
      <c r="AB1496" s="18"/>
      <c r="AC1496" s="18"/>
      <c r="AD1496" s="18"/>
      <c r="AE1496" s="18"/>
      <c r="AF1496" s="18"/>
      <c r="AG1496" s="18"/>
      <c r="AH1496" s="18"/>
      <c r="AI1496" s="18"/>
      <c r="AJ1496" s="18"/>
      <c r="AK1496" s="18"/>
      <c r="AL1496" s="18"/>
      <c r="AM1496" s="18"/>
    </row>
    <row r="1497" spans="6:39" x14ac:dyDescent="0.35">
      <c r="F1497" s="18"/>
      <c r="G1497" s="19"/>
      <c r="H1497" s="18"/>
      <c r="I1497" s="18"/>
      <c r="J1497" s="18"/>
      <c r="K1497" s="18"/>
      <c r="L1497" s="18"/>
      <c r="M1497" s="19"/>
      <c r="N1497" s="18"/>
      <c r="O1497" s="18"/>
      <c r="P1497" s="18"/>
      <c r="Q1497" s="18"/>
      <c r="R1497" s="18"/>
      <c r="S1497" s="18"/>
      <c r="T1497" s="18"/>
      <c r="U1497" s="18"/>
      <c r="V1497" s="18"/>
      <c r="W1497" s="18"/>
      <c r="X1497" s="18"/>
      <c r="Y1497" s="18"/>
      <c r="Z1497" s="18"/>
      <c r="AA1497" s="18"/>
      <c r="AB1497" s="18"/>
      <c r="AC1497" s="18"/>
      <c r="AD1497" s="18"/>
      <c r="AE1497" s="18"/>
      <c r="AF1497" s="18"/>
      <c r="AG1497" s="18"/>
      <c r="AH1497" s="18"/>
      <c r="AI1497" s="18"/>
      <c r="AJ1497" s="18"/>
      <c r="AK1497" s="18"/>
      <c r="AL1497" s="18"/>
      <c r="AM1497" s="18"/>
    </row>
    <row r="1498" spans="6:39" x14ac:dyDescent="0.35">
      <c r="F1498" s="18"/>
      <c r="G1498" s="19"/>
      <c r="H1498" s="18"/>
      <c r="I1498" s="18"/>
      <c r="J1498" s="18"/>
      <c r="K1498" s="18"/>
      <c r="L1498" s="18"/>
      <c r="M1498" s="19"/>
      <c r="N1498" s="18"/>
      <c r="O1498" s="18"/>
      <c r="P1498" s="18"/>
      <c r="Q1498" s="18"/>
      <c r="R1498" s="18"/>
      <c r="S1498" s="18"/>
      <c r="T1498" s="18"/>
      <c r="U1498" s="18"/>
      <c r="V1498" s="18"/>
      <c r="W1498" s="18"/>
      <c r="X1498" s="18"/>
      <c r="Y1498" s="18"/>
      <c r="Z1498" s="18"/>
      <c r="AA1498" s="18"/>
      <c r="AB1498" s="18"/>
      <c r="AC1498" s="18"/>
      <c r="AD1498" s="18"/>
      <c r="AE1498" s="18"/>
      <c r="AF1498" s="18"/>
      <c r="AG1498" s="18"/>
      <c r="AH1498" s="18"/>
      <c r="AI1498" s="18"/>
      <c r="AJ1498" s="18"/>
      <c r="AK1498" s="18"/>
      <c r="AL1498" s="18"/>
      <c r="AM1498" s="18"/>
    </row>
    <row r="1499" spans="6:39" x14ac:dyDescent="0.35">
      <c r="F1499" s="18"/>
      <c r="G1499" s="19"/>
      <c r="H1499" s="18"/>
      <c r="I1499" s="18"/>
      <c r="J1499" s="18"/>
      <c r="K1499" s="18"/>
      <c r="L1499" s="18"/>
      <c r="M1499" s="19"/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8"/>
      <c r="Y1499" s="18"/>
      <c r="Z1499" s="18"/>
      <c r="AA1499" s="18"/>
      <c r="AB1499" s="18"/>
      <c r="AC1499" s="18"/>
      <c r="AD1499" s="18"/>
      <c r="AE1499" s="18"/>
      <c r="AF1499" s="18"/>
      <c r="AG1499" s="18"/>
      <c r="AH1499" s="18"/>
      <c r="AI1499" s="18"/>
      <c r="AJ1499" s="18"/>
      <c r="AK1499" s="18"/>
      <c r="AL1499" s="18"/>
      <c r="AM1499" s="18"/>
    </row>
    <row r="1500" spans="6:39" x14ac:dyDescent="0.35">
      <c r="F1500" s="18"/>
      <c r="G1500" s="19"/>
      <c r="H1500" s="18"/>
      <c r="I1500" s="18"/>
      <c r="J1500" s="18"/>
      <c r="K1500" s="18"/>
      <c r="L1500" s="18"/>
      <c r="M1500" s="19"/>
      <c r="N1500" s="18"/>
      <c r="O1500" s="18"/>
      <c r="P1500" s="18"/>
      <c r="Q1500" s="18"/>
      <c r="R1500" s="18"/>
      <c r="S1500" s="18"/>
      <c r="T1500" s="18"/>
      <c r="U1500" s="18"/>
      <c r="V1500" s="18"/>
      <c r="W1500" s="18"/>
      <c r="X1500" s="18"/>
      <c r="Y1500" s="18"/>
      <c r="Z1500" s="18"/>
      <c r="AA1500" s="18"/>
      <c r="AB1500" s="18"/>
      <c r="AC1500" s="18"/>
      <c r="AD1500" s="18"/>
      <c r="AE1500" s="18"/>
      <c r="AF1500" s="18"/>
      <c r="AG1500" s="18"/>
      <c r="AH1500" s="18"/>
      <c r="AI1500" s="18"/>
      <c r="AJ1500" s="18"/>
      <c r="AK1500" s="18"/>
      <c r="AL1500" s="18"/>
      <c r="AM1500" s="18"/>
    </row>
    <row r="1501" spans="6:39" x14ac:dyDescent="0.35">
      <c r="F1501" s="18"/>
      <c r="G1501" s="19"/>
      <c r="H1501" s="18"/>
      <c r="I1501" s="18"/>
      <c r="J1501" s="18"/>
      <c r="K1501" s="18"/>
      <c r="L1501" s="18"/>
      <c r="M1501" s="19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8"/>
      <c r="Y1501" s="18"/>
      <c r="Z1501" s="18"/>
      <c r="AA1501" s="18"/>
      <c r="AB1501" s="18"/>
      <c r="AC1501" s="18"/>
      <c r="AD1501" s="18"/>
      <c r="AE1501" s="18"/>
      <c r="AF1501" s="18"/>
      <c r="AG1501" s="18"/>
      <c r="AH1501" s="18"/>
      <c r="AI1501" s="18"/>
      <c r="AJ1501" s="18"/>
      <c r="AK1501" s="18"/>
      <c r="AL1501" s="18"/>
      <c r="AM1501" s="18"/>
    </row>
    <row r="1502" spans="6:39" x14ac:dyDescent="0.35">
      <c r="F1502" s="18"/>
      <c r="G1502" s="19"/>
      <c r="H1502" s="18"/>
      <c r="I1502" s="18"/>
      <c r="J1502" s="18"/>
      <c r="K1502" s="18"/>
      <c r="L1502" s="18"/>
      <c r="M1502" s="19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  <c r="X1502" s="18"/>
      <c r="Y1502" s="18"/>
      <c r="Z1502" s="18"/>
      <c r="AA1502" s="18"/>
      <c r="AB1502" s="18"/>
      <c r="AC1502" s="18"/>
      <c r="AD1502" s="18"/>
      <c r="AE1502" s="18"/>
      <c r="AF1502" s="18"/>
      <c r="AG1502" s="18"/>
      <c r="AH1502" s="18"/>
      <c r="AI1502" s="18"/>
      <c r="AJ1502" s="18"/>
      <c r="AK1502" s="18"/>
      <c r="AL1502" s="18"/>
      <c r="AM1502" s="18"/>
    </row>
    <row r="1503" spans="6:39" x14ac:dyDescent="0.35">
      <c r="F1503" s="18"/>
      <c r="G1503" s="19"/>
      <c r="H1503" s="18"/>
      <c r="I1503" s="18"/>
      <c r="J1503" s="18"/>
      <c r="K1503" s="18"/>
      <c r="L1503" s="18"/>
      <c r="M1503" s="19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  <c r="X1503" s="18"/>
      <c r="Y1503" s="18"/>
      <c r="Z1503" s="18"/>
      <c r="AA1503" s="18"/>
      <c r="AB1503" s="18"/>
      <c r="AC1503" s="18"/>
      <c r="AD1503" s="18"/>
      <c r="AE1503" s="18"/>
      <c r="AF1503" s="18"/>
      <c r="AG1503" s="18"/>
      <c r="AH1503" s="18"/>
      <c r="AI1503" s="18"/>
      <c r="AJ1503" s="18"/>
      <c r="AK1503" s="18"/>
      <c r="AL1503" s="18"/>
      <c r="AM1503" s="18"/>
    </row>
    <row r="1504" spans="6:39" x14ac:dyDescent="0.35">
      <c r="F1504" s="18"/>
      <c r="G1504" s="19"/>
      <c r="H1504" s="18"/>
      <c r="I1504" s="18"/>
      <c r="J1504" s="18"/>
      <c r="K1504" s="18"/>
      <c r="L1504" s="18"/>
      <c r="M1504" s="19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  <c r="X1504" s="18"/>
      <c r="Y1504" s="18"/>
      <c r="Z1504" s="18"/>
      <c r="AA1504" s="18"/>
      <c r="AB1504" s="18"/>
      <c r="AC1504" s="18"/>
      <c r="AD1504" s="18"/>
      <c r="AE1504" s="18"/>
      <c r="AF1504" s="18"/>
      <c r="AG1504" s="18"/>
      <c r="AH1504" s="18"/>
      <c r="AI1504" s="18"/>
      <c r="AJ1504" s="18"/>
      <c r="AK1504" s="18"/>
      <c r="AL1504" s="18"/>
      <c r="AM1504" s="18"/>
    </row>
    <row r="1505" spans="6:39" x14ac:dyDescent="0.35">
      <c r="F1505" s="18"/>
      <c r="G1505" s="19"/>
      <c r="H1505" s="18"/>
      <c r="I1505" s="18"/>
      <c r="J1505" s="18"/>
      <c r="K1505" s="18"/>
      <c r="L1505" s="18"/>
      <c r="M1505" s="19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  <c r="X1505" s="18"/>
      <c r="Y1505" s="18"/>
      <c r="Z1505" s="18"/>
      <c r="AA1505" s="18"/>
      <c r="AB1505" s="18"/>
      <c r="AC1505" s="18"/>
      <c r="AD1505" s="18"/>
      <c r="AE1505" s="18"/>
      <c r="AF1505" s="18"/>
      <c r="AG1505" s="18"/>
      <c r="AH1505" s="18"/>
      <c r="AI1505" s="18"/>
      <c r="AJ1505" s="18"/>
      <c r="AK1505" s="18"/>
      <c r="AL1505" s="18"/>
      <c r="AM1505" s="18"/>
    </row>
    <row r="1506" spans="6:39" x14ac:dyDescent="0.35">
      <c r="F1506" s="18"/>
      <c r="G1506" s="19"/>
      <c r="H1506" s="18"/>
      <c r="I1506" s="18"/>
      <c r="J1506" s="18"/>
      <c r="K1506" s="18"/>
      <c r="L1506" s="18"/>
      <c r="M1506" s="19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8"/>
      <c r="AA1506" s="18"/>
      <c r="AB1506" s="18"/>
      <c r="AC1506" s="18"/>
      <c r="AD1506" s="18"/>
      <c r="AE1506" s="18"/>
      <c r="AF1506" s="18"/>
      <c r="AG1506" s="18"/>
      <c r="AH1506" s="18"/>
      <c r="AI1506" s="18"/>
      <c r="AJ1506" s="18"/>
      <c r="AK1506" s="18"/>
      <c r="AL1506" s="18"/>
      <c r="AM1506" s="18"/>
    </row>
    <row r="1507" spans="6:39" x14ac:dyDescent="0.35">
      <c r="F1507" s="18"/>
      <c r="G1507" s="19"/>
      <c r="H1507" s="18"/>
      <c r="I1507" s="18"/>
      <c r="J1507" s="18"/>
      <c r="K1507" s="18"/>
      <c r="L1507" s="18"/>
      <c r="M1507" s="19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  <c r="X1507" s="18"/>
      <c r="Y1507" s="18"/>
      <c r="Z1507" s="18"/>
      <c r="AA1507" s="18"/>
      <c r="AB1507" s="18"/>
      <c r="AC1507" s="18"/>
      <c r="AD1507" s="18"/>
      <c r="AE1507" s="18"/>
      <c r="AF1507" s="18"/>
      <c r="AG1507" s="18"/>
      <c r="AH1507" s="18"/>
      <c r="AI1507" s="18"/>
      <c r="AJ1507" s="18"/>
      <c r="AK1507" s="18"/>
      <c r="AL1507" s="18"/>
      <c r="AM1507" s="18"/>
    </row>
    <row r="1508" spans="6:39" x14ac:dyDescent="0.35">
      <c r="F1508" s="18"/>
      <c r="G1508" s="19"/>
      <c r="H1508" s="18"/>
      <c r="I1508" s="18"/>
      <c r="J1508" s="18"/>
      <c r="K1508" s="18"/>
      <c r="L1508" s="18"/>
      <c r="M1508" s="19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  <c r="X1508" s="18"/>
      <c r="Y1508" s="18"/>
      <c r="Z1508" s="18"/>
      <c r="AA1508" s="18"/>
      <c r="AB1508" s="18"/>
      <c r="AC1508" s="18"/>
      <c r="AD1508" s="18"/>
      <c r="AE1508" s="18"/>
      <c r="AF1508" s="18"/>
      <c r="AG1508" s="18"/>
      <c r="AH1508" s="18"/>
      <c r="AI1508" s="18"/>
      <c r="AJ1508" s="18"/>
      <c r="AK1508" s="18"/>
      <c r="AL1508" s="18"/>
      <c r="AM1508" s="18"/>
    </row>
    <row r="1509" spans="6:39" x14ac:dyDescent="0.35">
      <c r="F1509" s="18"/>
      <c r="G1509" s="19"/>
      <c r="H1509" s="18"/>
      <c r="I1509" s="18"/>
      <c r="J1509" s="18"/>
      <c r="K1509" s="18"/>
      <c r="L1509" s="18"/>
      <c r="M1509" s="19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  <c r="X1509" s="18"/>
      <c r="Y1509" s="18"/>
      <c r="Z1509" s="18"/>
      <c r="AA1509" s="18"/>
      <c r="AB1509" s="18"/>
      <c r="AC1509" s="18"/>
      <c r="AD1509" s="18"/>
      <c r="AE1509" s="18"/>
      <c r="AF1509" s="18"/>
      <c r="AG1509" s="18"/>
      <c r="AH1509" s="18"/>
      <c r="AI1509" s="18"/>
      <c r="AJ1509" s="18"/>
      <c r="AK1509" s="18"/>
      <c r="AL1509" s="18"/>
      <c r="AM1509" s="18"/>
    </row>
    <row r="1510" spans="6:39" x14ac:dyDescent="0.35">
      <c r="F1510" s="18"/>
      <c r="G1510" s="19"/>
      <c r="H1510" s="18"/>
      <c r="I1510" s="18"/>
      <c r="J1510" s="18"/>
      <c r="K1510" s="18"/>
      <c r="L1510" s="18"/>
      <c r="M1510" s="19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  <c r="X1510" s="18"/>
      <c r="Y1510" s="18"/>
      <c r="Z1510" s="18"/>
      <c r="AA1510" s="18"/>
      <c r="AB1510" s="18"/>
      <c r="AC1510" s="18"/>
      <c r="AD1510" s="18"/>
      <c r="AE1510" s="18"/>
      <c r="AF1510" s="18"/>
      <c r="AG1510" s="18"/>
      <c r="AH1510" s="18"/>
      <c r="AI1510" s="18"/>
      <c r="AJ1510" s="18"/>
      <c r="AK1510" s="18"/>
      <c r="AL1510" s="18"/>
      <c r="AM1510" s="18"/>
    </row>
    <row r="1511" spans="6:39" x14ac:dyDescent="0.35">
      <c r="F1511" s="18"/>
      <c r="G1511" s="19"/>
      <c r="H1511" s="18"/>
      <c r="I1511" s="18"/>
      <c r="J1511" s="18"/>
      <c r="K1511" s="18"/>
      <c r="L1511" s="18"/>
      <c r="M1511" s="19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  <c r="Y1511" s="18"/>
      <c r="Z1511" s="18"/>
      <c r="AA1511" s="18"/>
      <c r="AB1511" s="18"/>
      <c r="AC1511" s="18"/>
      <c r="AD1511" s="18"/>
      <c r="AE1511" s="18"/>
      <c r="AF1511" s="18"/>
      <c r="AG1511" s="18"/>
      <c r="AH1511" s="18"/>
      <c r="AI1511" s="18"/>
      <c r="AJ1511" s="18"/>
      <c r="AK1511" s="18"/>
      <c r="AL1511" s="18"/>
      <c r="AM1511" s="18"/>
    </row>
    <row r="1512" spans="6:39" x14ac:dyDescent="0.35">
      <c r="F1512" s="18"/>
      <c r="G1512" s="19"/>
      <c r="H1512" s="18"/>
      <c r="I1512" s="18"/>
      <c r="J1512" s="18"/>
      <c r="K1512" s="18"/>
      <c r="L1512" s="18"/>
      <c r="M1512" s="19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  <c r="Y1512" s="18"/>
      <c r="Z1512" s="18"/>
      <c r="AA1512" s="18"/>
      <c r="AB1512" s="18"/>
      <c r="AC1512" s="18"/>
      <c r="AD1512" s="18"/>
      <c r="AE1512" s="18"/>
      <c r="AF1512" s="18"/>
      <c r="AG1512" s="18"/>
      <c r="AH1512" s="18"/>
      <c r="AI1512" s="18"/>
      <c r="AJ1512" s="18"/>
      <c r="AK1512" s="18"/>
      <c r="AL1512" s="18"/>
      <c r="AM1512" s="18"/>
    </row>
    <row r="1513" spans="6:39" x14ac:dyDescent="0.35">
      <c r="F1513" s="18"/>
      <c r="G1513" s="19"/>
      <c r="H1513" s="18"/>
      <c r="I1513" s="18"/>
      <c r="J1513" s="18"/>
      <c r="K1513" s="18"/>
      <c r="L1513" s="18"/>
      <c r="M1513" s="19"/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8"/>
      <c r="Y1513" s="18"/>
      <c r="Z1513" s="18"/>
      <c r="AA1513" s="18"/>
      <c r="AB1513" s="18"/>
      <c r="AC1513" s="18"/>
      <c r="AD1513" s="18"/>
      <c r="AE1513" s="18"/>
      <c r="AF1513" s="18"/>
      <c r="AG1513" s="18"/>
      <c r="AH1513" s="18"/>
      <c r="AI1513" s="18"/>
      <c r="AJ1513" s="18"/>
      <c r="AK1513" s="18"/>
      <c r="AL1513" s="18"/>
      <c r="AM1513" s="18"/>
    </row>
    <row r="1514" spans="6:39" x14ac:dyDescent="0.35">
      <c r="F1514" s="18"/>
      <c r="G1514" s="19"/>
      <c r="H1514" s="18"/>
      <c r="I1514" s="18"/>
      <c r="J1514" s="18"/>
      <c r="K1514" s="18"/>
      <c r="L1514" s="18"/>
      <c r="M1514" s="19"/>
      <c r="N1514" s="18"/>
      <c r="O1514" s="18"/>
      <c r="P1514" s="18"/>
      <c r="Q1514" s="18"/>
      <c r="R1514" s="18"/>
      <c r="S1514" s="18"/>
      <c r="T1514" s="18"/>
      <c r="U1514" s="18"/>
      <c r="V1514" s="18"/>
      <c r="W1514" s="18"/>
      <c r="X1514" s="18"/>
      <c r="Y1514" s="18"/>
      <c r="Z1514" s="18"/>
      <c r="AA1514" s="18"/>
      <c r="AB1514" s="18"/>
      <c r="AC1514" s="18"/>
      <c r="AD1514" s="18"/>
      <c r="AE1514" s="18"/>
      <c r="AF1514" s="18"/>
      <c r="AG1514" s="18"/>
      <c r="AH1514" s="18"/>
      <c r="AI1514" s="18"/>
      <c r="AJ1514" s="18"/>
      <c r="AK1514" s="18"/>
      <c r="AL1514" s="18"/>
      <c r="AM1514" s="18"/>
    </row>
    <row r="1515" spans="6:39" x14ac:dyDescent="0.35">
      <c r="F1515" s="18"/>
      <c r="G1515" s="19"/>
      <c r="H1515" s="18"/>
      <c r="I1515" s="18"/>
      <c r="J1515" s="18"/>
      <c r="K1515" s="18"/>
      <c r="L1515" s="18"/>
      <c r="M1515" s="19"/>
      <c r="N1515" s="18"/>
      <c r="O1515" s="18"/>
      <c r="P1515" s="18"/>
      <c r="Q1515" s="18"/>
      <c r="R1515" s="18"/>
      <c r="S1515" s="18"/>
      <c r="T1515" s="18"/>
      <c r="U1515" s="18"/>
      <c r="V1515" s="18"/>
      <c r="W1515" s="18"/>
      <c r="X1515" s="18"/>
      <c r="Y1515" s="18"/>
      <c r="Z1515" s="18"/>
      <c r="AA1515" s="18"/>
      <c r="AB1515" s="18"/>
      <c r="AC1515" s="18"/>
      <c r="AD1515" s="18"/>
      <c r="AE1515" s="18"/>
      <c r="AF1515" s="18"/>
      <c r="AG1515" s="18"/>
      <c r="AH1515" s="18"/>
      <c r="AI1515" s="18"/>
      <c r="AJ1515" s="18"/>
      <c r="AK1515" s="18"/>
      <c r="AL1515" s="18"/>
      <c r="AM1515" s="18"/>
    </row>
    <row r="1516" spans="6:39" x14ac:dyDescent="0.35">
      <c r="F1516" s="18"/>
      <c r="G1516" s="19"/>
      <c r="H1516" s="18"/>
      <c r="I1516" s="18"/>
      <c r="J1516" s="18"/>
      <c r="K1516" s="18"/>
      <c r="L1516" s="18"/>
      <c r="M1516" s="19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  <c r="Y1516" s="18"/>
      <c r="Z1516" s="18"/>
      <c r="AA1516" s="18"/>
      <c r="AB1516" s="18"/>
      <c r="AC1516" s="18"/>
      <c r="AD1516" s="18"/>
      <c r="AE1516" s="18"/>
      <c r="AF1516" s="18"/>
      <c r="AG1516" s="18"/>
      <c r="AH1516" s="18"/>
      <c r="AI1516" s="18"/>
      <c r="AJ1516" s="18"/>
      <c r="AK1516" s="18"/>
      <c r="AL1516" s="18"/>
      <c r="AM1516" s="18"/>
    </row>
    <row r="1517" spans="6:39" x14ac:dyDescent="0.35">
      <c r="F1517" s="18"/>
      <c r="G1517" s="19"/>
      <c r="H1517" s="18"/>
      <c r="I1517" s="18"/>
      <c r="J1517" s="18"/>
      <c r="K1517" s="18"/>
      <c r="L1517" s="18"/>
      <c r="M1517" s="19"/>
      <c r="N1517" s="18"/>
      <c r="O1517" s="18"/>
      <c r="P1517" s="18"/>
      <c r="Q1517" s="18"/>
      <c r="R1517" s="18"/>
      <c r="S1517" s="18"/>
      <c r="T1517" s="18"/>
      <c r="U1517" s="18"/>
      <c r="V1517" s="18"/>
      <c r="W1517" s="18"/>
      <c r="X1517" s="18"/>
      <c r="Y1517" s="18"/>
      <c r="Z1517" s="18"/>
      <c r="AA1517" s="18"/>
      <c r="AB1517" s="18"/>
      <c r="AC1517" s="18"/>
      <c r="AD1517" s="18"/>
      <c r="AE1517" s="18"/>
      <c r="AF1517" s="18"/>
      <c r="AG1517" s="18"/>
      <c r="AH1517" s="18"/>
      <c r="AI1517" s="18"/>
      <c r="AJ1517" s="18"/>
      <c r="AK1517" s="18"/>
      <c r="AL1517" s="18"/>
      <c r="AM1517" s="18"/>
    </row>
    <row r="1518" spans="6:39" x14ac:dyDescent="0.35">
      <c r="F1518" s="18"/>
      <c r="G1518" s="19"/>
      <c r="H1518" s="18"/>
      <c r="I1518" s="18"/>
      <c r="J1518" s="18"/>
      <c r="K1518" s="18"/>
      <c r="L1518" s="18"/>
      <c r="M1518" s="19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  <c r="Y1518" s="18"/>
      <c r="Z1518" s="18"/>
      <c r="AA1518" s="18"/>
      <c r="AB1518" s="18"/>
      <c r="AC1518" s="18"/>
      <c r="AD1518" s="18"/>
      <c r="AE1518" s="18"/>
      <c r="AF1518" s="18"/>
      <c r="AG1518" s="18"/>
      <c r="AH1518" s="18"/>
      <c r="AI1518" s="18"/>
      <c r="AJ1518" s="18"/>
      <c r="AK1518" s="18"/>
      <c r="AL1518" s="18"/>
      <c r="AM1518" s="18"/>
    </row>
    <row r="1519" spans="6:39" x14ac:dyDescent="0.35">
      <c r="F1519" s="18"/>
      <c r="G1519" s="19"/>
      <c r="H1519" s="18"/>
      <c r="I1519" s="18"/>
      <c r="J1519" s="18"/>
      <c r="K1519" s="18"/>
      <c r="L1519" s="18"/>
      <c r="M1519" s="19"/>
      <c r="N1519" s="18"/>
      <c r="O1519" s="18"/>
      <c r="P1519" s="18"/>
      <c r="Q1519" s="18"/>
      <c r="R1519" s="18"/>
      <c r="S1519" s="18"/>
      <c r="T1519" s="18"/>
      <c r="U1519" s="18"/>
      <c r="V1519" s="18"/>
      <c r="W1519" s="18"/>
      <c r="X1519" s="18"/>
      <c r="Y1519" s="18"/>
      <c r="Z1519" s="18"/>
      <c r="AA1519" s="18"/>
      <c r="AB1519" s="18"/>
      <c r="AC1519" s="18"/>
      <c r="AD1519" s="18"/>
      <c r="AE1519" s="18"/>
      <c r="AF1519" s="18"/>
      <c r="AG1519" s="18"/>
      <c r="AH1519" s="18"/>
      <c r="AI1519" s="18"/>
      <c r="AJ1519" s="18"/>
      <c r="AK1519" s="18"/>
      <c r="AL1519" s="18"/>
      <c r="AM1519" s="18"/>
    </row>
    <row r="1520" spans="6:39" x14ac:dyDescent="0.35">
      <c r="F1520" s="18"/>
      <c r="G1520" s="19"/>
      <c r="H1520" s="18"/>
      <c r="I1520" s="18"/>
      <c r="J1520" s="18"/>
      <c r="K1520" s="18"/>
      <c r="L1520" s="18"/>
      <c r="M1520" s="19"/>
      <c r="N1520" s="18"/>
      <c r="O1520" s="18"/>
      <c r="P1520" s="18"/>
      <c r="Q1520" s="18"/>
      <c r="R1520" s="18"/>
      <c r="S1520" s="18"/>
      <c r="T1520" s="18"/>
      <c r="U1520" s="18"/>
      <c r="V1520" s="18"/>
      <c r="W1520" s="18"/>
      <c r="X1520" s="18"/>
      <c r="Y1520" s="18"/>
      <c r="Z1520" s="18"/>
      <c r="AA1520" s="18"/>
      <c r="AB1520" s="18"/>
      <c r="AC1520" s="18"/>
      <c r="AD1520" s="18"/>
      <c r="AE1520" s="18"/>
      <c r="AF1520" s="18"/>
      <c r="AG1520" s="18"/>
      <c r="AH1520" s="18"/>
      <c r="AI1520" s="18"/>
      <c r="AJ1520" s="18"/>
      <c r="AK1520" s="18"/>
      <c r="AL1520" s="18"/>
      <c r="AM1520" s="18"/>
    </row>
    <row r="1521" spans="6:39" x14ac:dyDescent="0.35">
      <c r="F1521" s="18"/>
      <c r="G1521" s="19"/>
      <c r="H1521" s="18"/>
      <c r="I1521" s="18"/>
      <c r="J1521" s="18"/>
      <c r="K1521" s="18"/>
      <c r="L1521" s="18"/>
      <c r="M1521" s="19"/>
      <c r="N1521" s="18"/>
      <c r="O1521" s="18"/>
      <c r="P1521" s="18"/>
      <c r="Q1521" s="18"/>
      <c r="R1521" s="18"/>
      <c r="S1521" s="18"/>
      <c r="T1521" s="18"/>
      <c r="U1521" s="18"/>
      <c r="V1521" s="18"/>
      <c r="W1521" s="18"/>
      <c r="X1521" s="18"/>
      <c r="Y1521" s="18"/>
      <c r="Z1521" s="18"/>
      <c r="AA1521" s="18"/>
      <c r="AB1521" s="18"/>
      <c r="AC1521" s="18"/>
      <c r="AD1521" s="18"/>
      <c r="AE1521" s="18"/>
      <c r="AF1521" s="18"/>
      <c r="AG1521" s="18"/>
      <c r="AH1521" s="18"/>
      <c r="AI1521" s="18"/>
      <c r="AJ1521" s="18"/>
      <c r="AK1521" s="18"/>
      <c r="AL1521" s="18"/>
      <c r="AM1521" s="18"/>
    </row>
    <row r="1522" spans="6:39" x14ac:dyDescent="0.35">
      <c r="F1522" s="18"/>
      <c r="G1522" s="19"/>
      <c r="H1522" s="18"/>
      <c r="I1522" s="18"/>
      <c r="J1522" s="18"/>
      <c r="K1522" s="18"/>
      <c r="L1522" s="18"/>
      <c r="M1522" s="19"/>
      <c r="N1522" s="18"/>
      <c r="O1522" s="18"/>
      <c r="P1522" s="18"/>
      <c r="Q1522" s="18"/>
      <c r="R1522" s="18"/>
      <c r="S1522" s="18"/>
      <c r="T1522" s="18"/>
      <c r="U1522" s="18"/>
      <c r="V1522" s="18"/>
      <c r="W1522" s="18"/>
      <c r="X1522" s="18"/>
      <c r="Y1522" s="18"/>
      <c r="Z1522" s="18"/>
      <c r="AA1522" s="18"/>
      <c r="AB1522" s="18"/>
      <c r="AC1522" s="18"/>
      <c r="AD1522" s="18"/>
      <c r="AE1522" s="18"/>
      <c r="AF1522" s="18"/>
      <c r="AG1522" s="18"/>
      <c r="AH1522" s="18"/>
      <c r="AI1522" s="18"/>
      <c r="AJ1522" s="18"/>
      <c r="AK1522" s="18"/>
      <c r="AL1522" s="18"/>
      <c r="AM1522" s="18"/>
    </row>
    <row r="1523" spans="6:39" x14ac:dyDescent="0.35">
      <c r="F1523" s="18"/>
      <c r="G1523" s="19"/>
      <c r="H1523" s="18"/>
      <c r="I1523" s="18"/>
      <c r="J1523" s="18"/>
      <c r="K1523" s="18"/>
      <c r="L1523" s="18"/>
      <c r="M1523" s="19"/>
      <c r="N1523" s="18"/>
      <c r="O1523" s="18"/>
      <c r="P1523" s="18"/>
      <c r="Q1523" s="18"/>
      <c r="R1523" s="18"/>
      <c r="S1523" s="18"/>
      <c r="T1523" s="18"/>
      <c r="U1523" s="18"/>
      <c r="V1523" s="18"/>
      <c r="W1523" s="18"/>
      <c r="X1523" s="18"/>
      <c r="Y1523" s="18"/>
      <c r="Z1523" s="18"/>
      <c r="AA1523" s="18"/>
      <c r="AB1523" s="18"/>
      <c r="AC1523" s="18"/>
      <c r="AD1523" s="18"/>
      <c r="AE1523" s="18"/>
      <c r="AF1523" s="18"/>
      <c r="AG1523" s="18"/>
      <c r="AH1523" s="18"/>
      <c r="AI1523" s="18"/>
      <c r="AJ1523" s="18"/>
      <c r="AK1523" s="18"/>
      <c r="AL1523" s="18"/>
      <c r="AM1523" s="18"/>
    </row>
    <row r="1524" spans="6:39" x14ac:dyDescent="0.35">
      <c r="F1524" s="18"/>
      <c r="G1524" s="19"/>
      <c r="H1524" s="18"/>
      <c r="I1524" s="18"/>
      <c r="J1524" s="18"/>
      <c r="K1524" s="18"/>
      <c r="L1524" s="18"/>
      <c r="M1524" s="19"/>
      <c r="N1524" s="18"/>
      <c r="O1524" s="18"/>
      <c r="P1524" s="18"/>
      <c r="Q1524" s="18"/>
      <c r="R1524" s="18"/>
      <c r="S1524" s="18"/>
      <c r="T1524" s="18"/>
      <c r="U1524" s="18"/>
      <c r="V1524" s="18"/>
      <c r="W1524" s="18"/>
      <c r="X1524" s="18"/>
      <c r="Y1524" s="18"/>
      <c r="Z1524" s="18"/>
      <c r="AA1524" s="18"/>
      <c r="AB1524" s="18"/>
      <c r="AC1524" s="18"/>
      <c r="AD1524" s="18"/>
      <c r="AE1524" s="18"/>
      <c r="AF1524" s="18"/>
      <c r="AG1524" s="18"/>
      <c r="AH1524" s="18"/>
      <c r="AI1524" s="18"/>
      <c r="AJ1524" s="18"/>
      <c r="AK1524" s="18"/>
      <c r="AL1524" s="18"/>
      <c r="AM1524" s="18"/>
    </row>
    <row r="1525" spans="6:39" x14ac:dyDescent="0.35">
      <c r="F1525" s="18"/>
      <c r="G1525" s="19"/>
      <c r="H1525" s="18"/>
      <c r="I1525" s="18"/>
      <c r="J1525" s="18"/>
      <c r="K1525" s="18"/>
      <c r="L1525" s="18"/>
      <c r="M1525" s="19"/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8"/>
      <c r="Y1525" s="18"/>
      <c r="Z1525" s="18"/>
      <c r="AA1525" s="18"/>
      <c r="AB1525" s="18"/>
      <c r="AC1525" s="18"/>
      <c r="AD1525" s="18"/>
      <c r="AE1525" s="18"/>
      <c r="AF1525" s="18"/>
      <c r="AG1525" s="18"/>
      <c r="AH1525" s="18"/>
      <c r="AI1525" s="18"/>
      <c r="AJ1525" s="18"/>
      <c r="AK1525" s="18"/>
      <c r="AL1525" s="18"/>
      <c r="AM1525" s="18"/>
    </row>
    <row r="1526" spans="6:39" x14ac:dyDescent="0.35">
      <c r="F1526" s="18"/>
      <c r="G1526" s="19"/>
      <c r="H1526" s="18"/>
      <c r="I1526" s="18"/>
      <c r="J1526" s="18"/>
      <c r="K1526" s="18"/>
      <c r="L1526" s="18"/>
      <c r="M1526" s="19"/>
      <c r="N1526" s="18"/>
      <c r="O1526" s="18"/>
      <c r="P1526" s="18"/>
      <c r="Q1526" s="18"/>
      <c r="R1526" s="18"/>
      <c r="S1526" s="18"/>
      <c r="T1526" s="18"/>
      <c r="U1526" s="18"/>
      <c r="V1526" s="18"/>
      <c r="W1526" s="18"/>
      <c r="X1526" s="18"/>
      <c r="Y1526" s="18"/>
      <c r="Z1526" s="18"/>
      <c r="AA1526" s="18"/>
      <c r="AB1526" s="18"/>
      <c r="AC1526" s="18"/>
      <c r="AD1526" s="18"/>
      <c r="AE1526" s="18"/>
      <c r="AF1526" s="18"/>
      <c r="AG1526" s="18"/>
      <c r="AH1526" s="18"/>
      <c r="AI1526" s="18"/>
      <c r="AJ1526" s="18"/>
      <c r="AK1526" s="18"/>
      <c r="AL1526" s="18"/>
      <c r="AM1526" s="18"/>
    </row>
    <row r="1527" spans="6:39" x14ac:dyDescent="0.35">
      <c r="F1527" s="18"/>
      <c r="G1527" s="19"/>
      <c r="H1527" s="18"/>
      <c r="I1527" s="18"/>
      <c r="J1527" s="18"/>
      <c r="K1527" s="18"/>
      <c r="L1527" s="18"/>
      <c r="M1527" s="19"/>
      <c r="N1527" s="18"/>
      <c r="O1527" s="18"/>
      <c r="P1527" s="18"/>
      <c r="Q1527" s="18"/>
      <c r="R1527" s="18"/>
      <c r="S1527" s="18"/>
      <c r="T1527" s="18"/>
      <c r="U1527" s="18"/>
      <c r="V1527" s="18"/>
      <c r="W1527" s="18"/>
      <c r="X1527" s="18"/>
      <c r="Y1527" s="18"/>
      <c r="Z1527" s="18"/>
      <c r="AA1527" s="18"/>
      <c r="AB1527" s="18"/>
      <c r="AC1527" s="18"/>
      <c r="AD1527" s="18"/>
      <c r="AE1527" s="18"/>
      <c r="AF1527" s="18"/>
      <c r="AG1527" s="18"/>
      <c r="AH1527" s="18"/>
      <c r="AI1527" s="18"/>
      <c r="AJ1527" s="18"/>
      <c r="AK1527" s="18"/>
      <c r="AL1527" s="18"/>
      <c r="AM1527" s="18"/>
    </row>
    <row r="1528" spans="6:39" x14ac:dyDescent="0.35">
      <c r="F1528" s="18"/>
      <c r="G1528" s="19"/>
      <c r="H1528" s="18"/>
      <c r="I1528" s="18"/>
      <c r="J1528" s="18"/>
      <c r="K1528" s="18"/>
      <c r="L1528" s="18"/>
      <c r="M1528" s="19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8"/>
      <c r="Y1528" s="18"/>
      <c r="Z1528" s="18"/>
      <c r="AA1528" s="18"/>
      <c r="AB1528" s="18"/>
      <c r="AC1528" s="18"/>
      <c r="AD1528" s="18"/>
      <c r="AE1528" s="18"/>
      <c r="AF1528" s="18"/>
      <c r="AG1528" s="18"/>
      <c r="AH1528" s="18"/>
      <c r="AI1528" s="18"/>
      <c r="AJ1528" s="18"/>
      <c r="AK1528" s="18"/>
      <c r="AL1528" s="18"/>
      <c r="AM1528" s="18"/>
    </row>
    <row r="1529" spans="6:39" x14ac:dyDescent="0.35">
      <c r="F1529" s="18"/>
      <c r="G1529" s="19"/>
      <c r="H1529" s="18"/>
      <c r="I1529" s="18"/>
      <c r="J1529" s="18"/>
      <c r="K1529" s="18"/>
      <c r="L1529" s="18"/>
      <c r="M1529" s="19"/>
      <c r="N1529" s="18"/>
      <c r="O1529" s="18"/>
      <c r="P1529" s="18"/>
      <c r="Q1529" s="18"/>
      <c r="R1529" s="18"/>
      <c r="S1529" s="18"/>
      <c r="T1529" s="18"/>
      <c r="U1529" s="18"/>
      <c r="V1529" s="18"/>
      <c r="W1529" s="18"/>
      <c r="X1529" s="18"/>
      <c r="Y1529" s="18"/>
      <c r="Z1529" s="18"/>
      <c r="AA1529" s="18"/>
      <c r="AB1529" s="18"/>
      <c r="AC1529" s="18"/>
      <c r="AD1529" s="18"/>
      <c r="AE1529" s="18"/>
      <c r="AF1529" s="18"/>
      <c r="AG1529" s="18"/>
      <c r="AH1529" s="18"/>
      <c r="AI1529" s="18"/>
      <c r="AJ1529" s="18"/>
      <c r="AK1529" s="18"/>
      <c r="AL1529" s="18"/>
      <c r="AM1529" s="18"/>
    </row>
    <row r="1530" spans="6:39" x14ac:dyDescent="0.35">
      <c r="F1530" s="18"/>
      <c r="G1530" s="19"/>
      <c r="H1530" s="18"/>
      <c r="I1530" s="18"/>
      <c r="J1530" s="18"/>
      <c r="K1530" s="18"/>
      <c r="L1530" s="18"/>
      <c r="M1530" s="19"/>
      <c r="N1530" s="18"/>
      <c r="O1530" s="18"/>
      <c r="P1530" s="18"/>
      <c r="Q1530" s="18"/>
      <c r="R1530" s="18"/>
      <c r="S1530" s="18"/>
      <c r="T1530" s="18"/>
      <c r="U1530" s="18"/>
      <c r="V1530" s="18"/>
      <c r="W1530" s="18"/>
      <c r="X1530" s="18"/>
      <c r="Y1530" s="18"/>
      <c r="Z1530" s="18"/>
      <c r="AA1530" s="18"/>
      <c r="AB1530" s="18"/>
      <c r="AC1530" s="18"/>
      <c r="AD1530" s="18"/>
      <c r="AE1530" s="18"/>
      <c r="AF1530" s="18"/>
      <c r="AG1530" s="18"/>
      <c r="AH1530" s="18"/>
      <c r="AI1530" s="18"/>
      <c r="AJ1530" s="18"/>
      <c r="AK1530" s="18"/>
      <c r="AL1530" s="18"/>
      <c r="AM1530" s="18"/>
    </row>
    <row r="1531" spans="6:39" x14ac:dyDescent="0.35">
      <c r="F1531" s="18"/>
      <c r="G1531" s="19"/>
      <c r="H1531" s="18"/>
      <c r="I1531" s="18"/>
      <c r="J1531" s="18"/>
      <c r="K1531" s="18"/>
      <c r="L1531" s="18"/>
      <c r="M1531" s="19"/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8"/>
      <c r="Y1531" s="18"/>
      <c r="Z1531" s="18"/>
      <c r="AA1531" s="18"/>
      <c r="AB1531" s="18"/>
      <c r="AC1531" s="18"/>
      <c r="AD1531" s="18"/>
      <c r="AE1531" s="18"/>
      <c r="AF1531" s="18"/>
      <c r="AG1531" s="18"/>
      <c r="AH1531" s="18"/>
      <c r="AI1531" s="18"/>
      <c r="AJ1531" s="18"/>
      <c r="AK1531" s="18"/>
      <c r="AL1531" s="18"/>
      <c r="AM1531" s="18"/>
    </row>
    <row r="1532" spans="6:39" x14ac:dyDescent="0.35">
      <c r="F1532" s="18"/>
      <c r="G1532" s="19"/>
      <c r="H1532" s="18"/>
      <c r="I1532" s="18"/>
      <c r="J1532" s="18"/>
      <c r="K1532" s="18"/>
      <c r="L1532" s="18"/>
      <c r="M1532" s="19"/>
      <c r="N1532" s="18"/>
      <c r="O1532" s="18"/>
      <c r="P1532" s="18"/>
      <c r="Q1532" s="18"/>
      <c r="R1532" s="18"/>
      <c r="S1532" s="18"/>
      <c r="T1532" s="18"/>
      <c r="U1532" s="18"/>
      <c r="V1532" s="18"/>
      <c r="W1532" s="18"/>
      <c r="X1532" s="18"/>
      <c r="Y1532" s="18"/>
      <c r="Z1532" s="18"/>
      <c r="AA1532" s="18"/>
      <c r="AB1532" s="18"/>
      <c r="AC1532" s="18"/>
      <c r="AD1532" s="18"/>
      <c r="AE1532" s="18"/>
      <c r="AF1532" s="18"/>
      <c r="AG1532" s="18"/>
      <c r="AH1532" s="18"/>
      <c r="AI1532" s="18"/>
      <c r="AJ1532" s="18"/>
      <c r="AK1532" s="18"/>
      <c r="AL1532" s="18"/>
      <c r="AM1532" s="18"/>
    </row>
    <row r="1533" spans="6:39" x14ac:dyDescent="0.35">
      <c r="F1533" s="18"/>
      <c r="G1533" s="19"/>
      <c r="H1533" s="18"/>
      <c r="I1533" s="18"/>
      <c r="J1533" s="18"/>
      <c r="K1533" s="18"/>
      <c r="L1533" s="18"/>
      <c r="M1533" s="19"/>
      <c r="N1533" s="18"/>
      <c r="O1533" s="18"/>
      <c r="P1533" s="18"/>
      <c r="Q1533" s="18"/>
      <c r="R1533" s="18"/>
      <c r="S1533" s="18"/>
      <c r="T1533" s="18"/>
      <c r="U1533" s="18"/>
      <c r="V1533" s="18"/>
      <c r="W1533" s="18"/>
      <c r="X1533" s="18"/>
      <c r="Y1533" s="18"/>
      <c r="Z1533" s="18"/>
      <c r="AA1533" s="18"/>
      <c r="AB1533" s="18"/>
      <c r="AC1533" s="18"/>
      <c r="AD1533" s="18"/>
      <c r="AE1533" s="18"/>
      <c r="AF1533" s="18"/>
      <c r="AG1533" s="18"/>
      <c r="AH1533" s="18"/>
      <c r="AI1533" s="18"/>
      <c r="AJ1533" s="18"/>
      <c r="AK1533" s="18"/>
      <c r="AL1533" s="18"/>
      <c r="AM1533" s="18"/>
    </row>
    <row r="1534" spans="6:39" x14ac:dyDescent="0.35">
      <c r="F1534" s="18"/>
      <c r="G1534" s="19"/>
      <c r="H1534" s="18"/>
      <c r="I1534" s="18"/>
      <c r="J1534" s="18"/>
      <c r="K1534" s="18"/>
      <c r="L1534" s="18"/>
      <c r="M1534" s="19"/>
      <c r="N1534" s="18"/>
      <c r="O1534" s="18"/>
      <c r="P1534" s="18"/>
      <c r="Q1534" s="18"/>
      <c r="R1534" s="18"/>
      <c r="S1534" s="18"/>
      <c r="T1534" s="18"/>
      <c r="U1534" s="18"/>
      <c r="V1534" s="18"/>
      <c r="W1534" s="18"/>
      <c r="X1534" s="18"/>
      <c r="Y1534" s="18"/>
      <c r="Z1534" s="18"/>
      <c r="AA1534" s="18"/>
      <c r="AB1534" s="18"/>
      <c r="AC1534" s="18"/>
      <c r="AD1534" s="18"/>
      <c r="AE1534" s="18"/>
      <c r="AF1534" s="18"/>
      <c r="AG1534" s="18"/>
      <c r="AH1534" s="18"/>
      <c r="AI1534" s="18"/>
      <c r="AJ1534" s="18"/>
      <c r="AK1534" s="18"/>
      <c r="AL1534" s="18"/>
      <c r="AM1534" s="18"/>
    </row>
    <row r="1535" spans="6:39" x14ac:dyDescent="0.35">
      <c r="F1535" s="18"/>
      <c r="G1535" s="19"/>
      <c r="H1535" s="18"/>
      <c r="I1535" s="18"/>
      <c r="J1535" s="18"/>
      <c r="K1535" s="18"/>
      <c r="L1535" s="18"/>
      <c r="M1535" s="19"/>
      <c r="N1535" s="18"/>
      <c r="O1535" s="18"/>
      <c r="P1535" s="18"/>
      <c r="Q1535" s="18"/>
      <c r="R1535" s="18"/>
      <c r="S1535" s="18"/>
      <c r="T1535" s="18"/>
      <c r="U1535" s="18"/>
      <c r="V1535" s="18"/>
      <c r="W1535" s="18"/>
      <c r="X1535" s="18"/>
      <c r="Y1535" s="18"/>
      <c r="Z1535" s="18"/>
      <c r="AA1535" s="18"/>
      <c r="AB1535" s="18"/>
      <c r="AC1535" s="18"/>
      <c r="AD1535" s="18"/>
      <c r="AE1535" s="18"/>
      <c r="AF1535" s="18"/>
      <c r="AG1535" s="18"/>
      <c r="AH1535" s="18"/>
      <c r="AI1535" s="18"/>
      <c r="AJ1535" s="18"/>
      <c r="AK1535" s="18"/>
      <c r="AL1535" s="18"/>
      <c r="AM1535" s="18"/>
    </row>
    <row r="1536" spans="6:39" x14ac:dyDescent="0.35">
      <c r="F1536" s="18"/>
      <c r="G1536" s="19"/>
      <c r="H1536" s="18"/>
      <c r="I1536" s="18"/>
      <c r="J1536" s="18"/>
      <c r="K1536" s="18"/>
      <c r="L1536" s="18"/>
      <c r="M1536" s="19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  <c r="AA1536" s="18"/>
      <c r="AB1536" s="18"/>
      <c r="AC1536" s="18"/>
      <c r="AD1536" s="18"/>
      <c r="AE1536" s="18"/>
      <c r="AF1536" s="18"/>
      <c r="AG1536" s="18"/>
      <c r="AH1536" s="18"/>
      <c r="AI1536" s="18"/>
      <c r="AJ1536" s="18"/>
      <c r="AK1536" s="18"/>
      <c r="AL1536" s="18"/>
      <c r="AM1536" s="18"/>
    </row>
    <row r="1537" spans="6:39" x14ac:dyDescent="0.35">
      <c r="F1537" s="18"/>
      <c r="G1537" s="19"/>
      <c r="H1537" s="18"/>
      <c r="I1537" s="18"/>
      <c r="J1537" s="18"/>
      <c r="K1537" s="18"/>
      <c r="L1537" s="18"/>
      <c r="M1537" s="19"/>
      <c r="N1537" s="18"/>
      <c r="O1537" s="18"/>
      <c r="P1537" s="18"/>
      <c r="Q1537" s="18"/>
      <c r="R1537" s="18"/>
      <c r="S1537" s="18"/>
      <c r="T1537" s="18"/>
      <c r="U1537" s="18"/>
      <c r="V1537" s="18"/>
      <c r="W1537" s="18"/>
      <c r="X1537" s="18"/>
      <c r="Y1537" s="18"/>
      <c r="Z1537" s="18"/>
      <c r="AA1537" s="18"/>
      <c r="AB1537" s="18"/>
      <c r="AC1537" s="18"/>
      <c r="AD1537" s="18"/>
      <c r="AE1537" s="18"/>
      <c r="AF1537" s="18"/>
      <c r="AG1537" s="18"/>
      <c r="AH1537" s="18"/>
      <c r="AI1537" s="18"/>
      <c r="AJ1537" s="18"/>
      <c r="AK1537" s="18"/>
      <c r="AL1537" s="18"/>
      <c r="AM1537" s="18"/>
    </row>
    <row r="1538" spans="6:39" x14ac:dyDescent="0.35">
      <c r="F1538" s="18"/>
      <c r="G1538" s="19"/>
      <c r="H1538" s="18"/>
      <c r="I1538" s="18"/>
      <c r="J1538" s="18"/>
      <c r="K1538" s="18"/>
      <c r="L1538" s="18"/>
      <c r="M1538" s="19"/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8"/>
      <c r="Y1538" s="18"/>
      <c r="Z1538" s="18"/>
      <c r="AA1538" s="18"/>
      <c r="AB1538" s="18"/>
      <c r="AC1538" s="18"/>
      <c r="AD1538" s="18"/>
      <c r="AE1538" s="18"/>
      <c r="AF1538" s="18"/>
      <c r="AG1538" s="18"/>
      <c r="AH1538" s="18"/>
      <c r="AI1538" s="18"/>
      <c r="AJ1538" s="18"/>
      <c r="AK1538" s="18"/>
      <c r="AL1538" s="18"/>
      <c r="AM1538" s="18"/>
    </row>
    <row r="1539" spans="6:39" x14ac:dyDescent="0.35">
      <c r="F1539" s="18"/>
      <c r="G1539" s="19"/>
      <c r="H1539" s="18"/>
      <c r="I1539" s="18"/>
      <c r="J1539" s="18"/>
      <c r="K1539" s="18"/>
      <c r="L1539" s="18"/>
      <c r="M1539" s="19"/>
      <c r="N1539" s="18"/>
      <c r="O1539" s="18"/>
      <c r="P1539" s="18"/>
      <c r="Q1539" s="18"/>
      <c r="R1539" s="18"/>
      <c r="S1539" s="18"/>
      <c r="T1539" s="18"/>
      <c r="U1539" s="18"/>
      <c r="V1539" s="18"/>
      <c r="W1539" s="18"/>
      <c r="X1539" s="18"/>
      <c r="Y1539" s="18"/>
      <c r="Z1539" s="18"/>
      <c r="AA1539" s="18"/>
      <c r="AB1539" s="18"/>
      <c r="AC1539" s="18"/>
      <c r="AD1539" s="18"/>
      <c r="AE1539" s="18"/>
      <c r="AF1539" s="18"/>
      <c r="AG1539" s="18"/>
      <c r="AH1539" s="18"/>
      <c r="AI1539" s="18"/>
      <c r="AJ1539" s="18"/>
      <c r="AK1539" s="18"/>
      <c r="AL1539" s="18"/>
      <c r="AM1539" s="18"/>
    </row>
    <row r="1540" spans="6:39" x14ac:dyDescent="0.35">
      <c r="F1540" s="18"/>
      <c r="G1540" s="19"/>
      <c r="H1540" s="18"/>
      <c r="I1540" s="18"/>
      <c r="J1540" s="18"/>
      <c r="K1540" s="18"/>
      <c r="L1540" s="18"/>
      <c r="M1540" s="19"/>
      <c r="N1540" s="18"/>
      <c r="O1540" s="18"/>
      <c r="P1540" s="18"/>
      <c r="Q1540" s="18"/>
      <c r="R1540" s="18"/>
      <c r="S1540" s="18"/>
      <c r="T1540" s="18"/>
      <c r="U1540" s="18"/>
      <c r="V1540" s="18"/>
      <c r="W1540" s="18"/>
      <c r="X1540" s="18"/>
      <c r="Y1540" s="18"/>
      <c r="Z1540" s="18"/>
      <c r="AA1540" s="18"/>
      <c r="AB1540" s="18"/>
      <c r="AC1540" s="18"/>
      <c r="AD1540" s="18"/>
      <c r="AE1540" s="18"/>
      <c r="AF1540" s="18"/>
      <c r="AG1540" s="18"/>
      <c r="AH1540" s="18"/>
      <c r="AI1540" s="18"/>
      <c r="AJ1540" s="18"/>
      <c r="AK1540" s="18"/>
      <c r="AL1540" s="18"/>
      <c r="AM1540" s="18"/>
    </row>
    <row r="1541" spans="6:39" x14ac:dyDescent="0.35">
      <c r="F1541" s="18"/>
      <c r="G1541" s="19"/>
      <c r="H1541" s="18"/>
      <c r="I1541" s="18"/>
      <c r="J1541" s="18"/>
      <c r="K1541" s="18"/>
      <c r="L1541" s="18"/>
      <c r="M1541" s="19"/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8"/>
      <c r="Y1541" s="18"/>
      <c r="Z1541" s="18"/>
      <c r="AA1541" s="18"/>
      <c r="AB1541" s="18"/>
      <c r="AC1541" s="18"/>
      <c r="AD1541" s="18"/>
      <c r="AE1541" s="18"/>
      <c r="AF1541" s="18"/>
      <c r="AG1541" s="18"/>
      <c r="AH1541" s="18"/>
      <c r="AI1541" s="18"/>
      <c r="AJ1541" s="18"/>
      <c r="AK1541" s="18"/>
      <c r="AL1541" s="18"/>
      <c r="AM1541" s="18"/>
    </row>
    <row r="1542" spans="6:39" x14ac:dyDescent="0.35">
      <c r="F1542" s="18"/>
      <c r="G1542" s="19"/>
      <c r="H1542" s="18"/>
      <c r="I1542" s="18"/>
      <c r="J1542" s="18"/>
      <c r="K1542" s="18"/>
      <c r="L1542" s="18"/>
      <c r="M1542" s="19"/>
      <c r="N1542" s="18"/>
      <c r="O1542" s="18"/>
      <c r="P1542" s="18"/>
      <c r="Q1542" s="18"/>
      <c r="R1542" s="18"/>
      <c r="S1542" s="18"/>
      <c r="T1542" s="18"/>
      <c r="U1542" s="18"/>
      <c r="V1542" s="18"/>
      <c r="W1542" s="18"/>
      <c r="X1542" s="18"/>
      <c r="Y1542" s="18"/>
      <c r="Z1542" s="18"/>
      <c r="AA1542" s="18"/>
      <c r="AB1542" s="18"/>
      <c r="AC1542" s="18"/>
      <c r="AD1542" s="18"/>
      <c r="AE1542" s="18"/>
      <c r="AF1542" s="18"/>
      <c r="AG1542" s="18"/>
      <c r="AH1542" s="18"/>
      <c r="AI1542" s="18"/>
      <c r="AJ1542" s="18"/>
      <c r="AK1542" s="18"/>
      <c r="AL1542" s="18"/>
      <c r="AM1542" s="18"/>
    </row>
    <row r="1543" spans="6:39" x14ac:dyDescent="0.35">
      <c r="F1543" s="18"/>
      <c r="G1543" s="19"/>
      <c r="H1543" s="18"/>
      <c r="I1543" s="18"/>
      <c r="J1543" s="18"/>
      <c r="K1543" s="18"/>
      <c r="L1543" s="18"/>
      <c r="M1543" s="19"/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8"/>
      <c r="Y1543" s="18"/>
      <c r="Z1543" s="18"/>
      <c r="AA1543" s="18"/>
      <c r="AB1543" s="18"/>
      <c r="AC1543" s="18"/>
      <c r="AD1543" s="18"/>
      <c r="AE1543" s="18"/>
      <c r="AF1543" s="18"/>
      <c r="AG1543" s="18"/>
      <c r="AH1543" s="18"/>
      <c r="AI1543" s="18"/>
      <c r="AJ1543" s="18"/>
      <c r="AK1543" s="18"/>
      <c r="AL1543" s="18"/>
      <c r="AM1543" s="18"/>
    </row>
    <row r="1544" spans="6:39" x14ac:dyDescent="0.35">
      <c r="F1544" s="18"/>
      <c r="G1544" s="19"/>
      <c r="H1544" s="18"/>
      <c r="I1544" s="18"/>
      <c r="J1544" s="18"/>
      <c r="K1544" s="18"/>
      <c r="L1544" s="18"/>
      <c r="M1544" s="19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8"/>
      <c r="Y1544" s="18"/>
      <c r="Z1544" s="18"/>
      <c r="AA1544" s="18"/>
      <c r="AB1544" s="18"/>
      <c r="AC1544" s="18"/>
      <c r="AD1544" s="18"/>
      <c r="AE1544" s="18"/>
      <c r="AF1544" s="18"/>
      <c r="AG1544" s="18"/>
      <c r="AH1544" s="18"/>
      <c r="AI1544" s="18"/>
      <c r="AJ1544" s="18"/>
      <c r="AK1544" s="18"/>
      <c r="AL1544" s="18"/>
      <c r="AM1544" s="18"/>
    </row>
    <row r="1545" spans="6:39" x14ac:dyDescent="0.35">
      <c r="F1545" s="18"/>
      <c r="G1545" s="19"/>
      <c r="H1545" s="18"/>
      <c r="I1545" s="18"/>
      <c r="J1545" s="18"/>
      <c r="K1545" s="18"/>
      <c r="L1545" s="18"/>
      <c r="M1545" s="19"/>
      <c r="N1545" s="18"/>
      <c r="O1545" s="18"/>
      <c r="P1545" s="18"/>
      <c r="Q1545" s="18"/>
      <c r="R1545" s="18"/>
      <c r="S1545" s="18"/>
      <c r="T1545" s="18"/>
      <c r="U1545" s="18"/>
      <c r="V1545" s="18"/>
      <c r="W1545" s="18"/>
      <c r="X1545" s="18"/>
      <c r="Y1545" s="18"/>
      <c r="Z1545" s="18"/>
      <c r="AA1545" s="18"/>
      <c r="AB1545" s="18"/>
      <c r="AC1545" s="18"/>
      <c r="AD1545" s="18"/>
      <c r="AE1545" s="18"/>
      <c r="AF1545" s="18"/>
      <c r="AG1545" s="18"/>
      <c r="AH1545" s="18"/>
      <c r="AI1545" s="18"/>
      <c r="AJ1545" s="18"/>
      <c r="AK1545" s="18"/>
      <c r="AL1545" s="18"/>
      <c r="AM1545" s="18"/>
    </row>
    <row r="1546" spans="6:39" x14ac:dyDescent="0.35">
      <c r="F1546" s="18"/>
      <c r="G1546" s="19"/>
      <c r="H1546" s="18"/>
      <c r="I1546" s="18"/>
      <c r="J1546" s="18"/>
      <c r="K1546" s="18"/>
      <c r="L1546" s="18"/>
      <c r="M1546" s="19"/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8"/>
      <c r="Y1546" s="18"/>
      <c r="Z1546" s="18"/>
      <c r="AA1546" s="18"/>
      <c r="AB1546" s="18"/>
      <c r="AC1546" s="18"/>
      <c r="AD1546" s="18"/>
      <c r="AE1546" s="18"/>
      <c r="AF1546" s="18"/>
      <c r="AG1546" s="18"/>
      <c r="AH1546" s="18"/>
      <c r="AI1546" s="18"/>
      <c r="AJ1546" s="18"/>
      <c r="AK1546" s="18"/>
      <c r="AL1546" s="18"/>
      <c r="AM1546" s="18"/>
    </row>
    <row r="1547" spans="6:39" x14ac:dyDescent="0.35">
      <c r="F1547" s="18"/>
      <c r="G1547" s="19"/>
      <c r="H1547" s="18"/>
      <c r="I1547" s="18"/>
      <c r="J1547" s="18"/>
      <c r="K1547" s="18"/>
      <c r="L1547" s="18"/>
      <c r="M1547" s="19"/>
      <c r="N1547" s="18"/>
      <c r="O1547" s="18"/>
      <c r="P1547" s="18"/>
      <c r="Q1547" s="18"/>
      <c r="R1547" s="18"/>
      <c r="S1547" s="18"/>
      <c r="T1547" s="18"/>
      <c r="U1547" s="18"/>
      <c r="V1547" s="18"/>
      <c r="W1547" s="18"/>
      <c r="X1547" s="18"/>
      <c r="Y1547" s="18"/>
      <c r="Z1547" s="18"/>
      <c r="AA1547" s="18"/>
      <c r="AB1547" s="18"/>
      <c r="AC1547" s="18"/>
      <c r="AD1547" s="18"/>
      <c r="AE1547" s="18"/>
      <c r="AF1547" s="18"/>
      <c r="AG1547" s="18"/>
      <c r="AH1547" s="18"/>
      <c r="AI1547" s="18"/>
      <c r="AJ1547" s="18"/>
      <c r="AK1547" s="18"/>
      <c r="AL1547" s="18"/>
      <c r="AM1547" s="18"/>
    </row>
    <row r="1548" spans="6:39" x14ac:dyDescent="0.35">
      <c r="F1548" s="18"/>
      <c r="G1548" s="19"/>
      <c r="H1548" s="18"/>
      <c r="I1548" s="18"/>
      <c r="J1548" s="18"/>
      <c r="K1548" s="18"/>
      <c r="L1548" s="18"/>
      <c r="M1548" s="19"/>
      <c r="N1548" s="18"/>
      <c r="O1548" s="18"/>
      <c r="P1548" s="18"/>
      <c r="Q1548" s="18"/>
      <c r="R1548" s="18"/>
      <c r="S1548" s="18"/>
      <c r="T1548" s="18"/>
      <c r="U1548" s="18"/>
      <c r="V1548" s="18"/>
      <c r="W1548" s="18"/>
      <c r="X1548" s="18"/>
      <c r="Y1548" s="18"/>
      <c r="Z1548" s="18"/>
      <c r="AA1548" s="18"/>
      <c r="AB1548" s="18"/>
      <c r="AC1548" s="18"/>
      <c r="AD1548" s="18"/>
      <c r="AE1548" s="18"/>
      <c r="AF1548" s="18"/>
      <c r="AG1548" s="18"/>
      <c r="AH1548" s="18"/>
      <c r="AI1548" s="18"/>
      <c r="AJ1548" s="18"/>
      <c r="AK1548" s="18"/>
      <c r="AL1548" s="18"/>
      <c r="AM1548" s="18"/>
    </row>
    <row r="1549" spans="6:39" x14ac:dyDescent="0.35">
      <c r="F1549" s="18"/>
      <c r="G1549" s="19"/>
      <c r="H1549" s="18"/>
      <c r="I1549" s="18"/>
      <c r="J1549" s="18"/>
      <c r="K1549" s="18"/>
      <c r="L1549" s="18"/>
      <c r="M1549" s="19"/>
      <c r="N1549" s="18"/>
      <c r="O1549" s="18"/>
      <c r="P1549" s="18"/>
      <c r="Q1549" s="18"/>
      <c r="R1549" s="18"/>
      <c r="S1549" s="18"/>
      <c r="T1549" s="18"/>
      <c r="U1549" s="18"/>
      <c r="V1549" s="18"/>
      <c r="W1549" s="18"/>
      <c r="X1549" s="18"/>
      <c r="Y1549" s="18"/>
      <c r="Z1549" s="18"/>
      <c r="AA1549" s="18"/>
      <c r="AB1549" s="18"/>
      <c r="AC1549" s="18"/>
      <c r="AD1549" s="18"/>
      <c r="AE1549" s="18"/>
      <c r="AF1549" s="18"/>
      <c r="AG1549" s="18"/>
      <c r="AH1549" s="18"/>
      <c r="AI1549" s="18"/>
      <c r="AJ1549" s="18"/>
      <c r="AK1549" s="18"/>
      <c r="AL1549" s="18"/>
      <c r="AM1549" s="18"/>
    </row>
    <row r="1550" spans="6:39" x14ac:dyDescent="0.35">
      <c r="F1550" s="18"/>
      <c r="G1550" s="19"/>
      <c r="H1550" s="18"/>
      <c r="I1550" s="18"/>
      <c r="J1550" s="18"/>
      <c r="K1550" s="18"/>
      <c r="L1550" s="18"/>
      <c r="M1550" s="19"/>
      <c r="N1550" s="18"/>
      <c r="O1550" s="18"/>
      <c r="P1550" s="18"/>
      <c r="Q1550" s="18"/>
      <c r="R1550" s="18"/>
      <c r="S1550" s="18"/>
      <c r="T1550" s="18"/>
      <c r="U1550" s="18"/>
      <c r="V1550" s="18"/>
      <c r="W1550" s="18"/>
      <c r="X1550" s="18"/>
      <c r="Y1550" s="18"/>
      <c r="Z1550" s="18"/>
      <c r="AA1550" s="18"/>
      <c r="AB1550" s="18"/>
      <c r="AC1550" s="18"/>
      <c r="AD1550" s="18"/>
      <c r="AE1550" s="18"/>
      <c r="AF1550" s="18"/>
      <c r="AG1550" s="18"/>
      <c r="AH1550" s="18"/>
      <c r="AI1550" s="18"/>
      <c r="AJ1550" s="18"/>
      <c r="AK1550" s="18"/>
      <c r="AL1550" s="18"/>
      <c r="AM1550" s="18"/>
    </row>
    <row r="1551" spans="6:39" x14ac:dyDescent="0.35">
      <c r="F1551" s="18"/>
      <c r="G1551" s="19"/>
      <c r="H1551" s="18"/>
      <c r="I1551" s="18"/>
      <c r="J1551" s="18"/>
      <c r="K1551" s="18"/>
      <c r="L1551" s="18"/>
      <c r="M1551" s="19"/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8"/>
      <c r="Y1551" s="18"/>
      <c r="Z1551" s="18"/>
      <c r="AA1551" s="18"/>
      <c r="AB1551" s="18"/>
      <c r="AC1551" s="18"/>
      <c r="AD1551" s="18"/>
      <c r="AE1551" s="18"/>
      <c r="AF1551" s="18"/>
      <c r="AG1551" s="18"/>
      <c r="AH1551" s="18"/>
      <c r="AI1551" s="18"/>
      <c r="AJ1551" s="18"/>
      <c r="AK1551" s="18"/>
      <c r="AL1551" s="18"/>
      <c r="AM1551" s="18"/>
    </row>
    <row r="1552" spans="6:39" x14ac:dyDescent="0.35">
      <c r="F1552" s="18"/>
      <c r="G1552" s="19"/>
      <c r="H1552" s="18"/>
      <c r="I1552" s="18"/>
      <c r="J1552" s="18"/>
      <c r="K1552" s="18"/>
      <c r="L1552" s="18"/>
      <c r="M1552" s="19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8"/>
      <c r="Y1552" s="18"/>
      <c r="Z1552" s="18"/>
      <c r="AA1552" s="18"/>
      <c r="AB1552" s="18"/>
      <c r="AC1552" s="18"/>
      <c r="AD1552" s="18"/>
      <c r="AE1552" s="18"/>
      <c r="AF1552" s="18"/>
      <c r="AG1552" s="18"/>
      <c r="AH1552" s="18"/>
      <c r="AI1552" s="18"/>
      <c r="AJ1552" s="18"/>
      <c r="AK1552" s="18"/>
      <c r="AL1552" s="18"/>
      <c r="AM1552" s="18"/>
    </row>
    <row r="1553" spans="6:39" x14ac:dyDescent="0.35">
      <c r="F1553" s="18"/>
      <c r="G1553" s="19"/>
      <c r="H1553" s="18"/>
      <c r="I1553" s="18"/>
      <c r="J1553" s="18"/>
      <c r="K1553" s="18"/>
      <c r="L1553" s="18"/>
      <c r="M1553" s="19"/>
      <c r="N1553" s="18"/>
      <c r="O1553" s="18"/>
      <c r="P1553" s="18"/>
      <c r="Q1553" s="18"/>
      <c r="R1553" s="18"/>
      <c r="S1553" s="18"/>
      <c r="T1553" s="18"/>
      <c r="U1553" s="18"/>
      <c r="V1553" s="18"/>
      <c r="W1553" s="18"/>
      <c r="X1553" s="18"/>
      <c r="Y1553" s="18"/>
      <c r="Z1553" s="18"/>
      <c r="AA1553" s="18"/>
      <c r="AB1553" s="18"/>
      <c r="AC1553" s="18"/>
      <c r="AD1553" s="18"/>
      <c r="AE1553" s="18"/>
      <c r="AF1553" s="18"/>
      <c r="AG1553" s="18"/>
      <c r="AH1553" s="18"/>
      <c r="AI1553" s="18"/>
      <c r="AJ1553" s="18"/>
      <c r="AK1553" s="18"/>
      <c r="AL1553" s="18"/>
      <c r="AM1553" s="18"/>
    </row>
    <row r="1554" spans="6:39" x14ac:dyDescent="0.35">
      <c r="F1554" s="18"/>
      <c r="G1554" s="19"/>
      <c r="H1554" s="18"/>
      <c r="I1554" s="18"/>
      <c r="J1554" s="18"/>
      <c r="K1554" s="18"/>
      <c r="L1554" s="18"/>
      <c r="M1554" s="19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  <c r="Y1554" s="18"/>
      <c r="Z1554" s="18"/>
      <c r="AA1554" s="18"/>
      <c r="AB1554" s="18"/>
      <c r="AC1554" s="18"/>
      <c r="AD1554" s="18"/>
      <c r="AE1554" s="18"/>
      <c r="AF1554" s="18"/>
      <c r="AG1554" s="18"/>
      <c r="AH1554" s="18"/>
      <c r="AI1554" s="18"/>
      <c r="AJ1554" s="18"/>
      <c r="AK1554" s="18"/>
      <c r="AL1554" s="18"/>
      <c r="AM1554" s="18"/>
    </row>
    <row r="1555" spans="6:39" x14ac:dyDescent="0.35">
      <c r="F1555" s="18"/>
      <c r="G1555" s="19"/>
      <c r="H1555" s="18"/>
      <c r="I1555" s="18"/>
      <c r="J1555" s="18"/>
      <c r="K1555" s="18"/>
      <c r="L1555" s="18"/>
      <c r="M1555" s="19"/>
      <c r="N1555" s="18"/>
      <c r="O1555" s="18"/>
      <c r="P1555" s="18"/>
      <c r="Q1555" s="18"/>
      <c r="R1555" s="18"/>
      <c r="S1555" s="18"/>
      <c r="T1555" s="18"/>
      <c r="U1555" s="18"/>
      <c r="V1555" s="18"/>
      <c r="W1555" s="18"/>
      <c r="X1555" s="18"/>
      <c r="Y1555" s="18"/>
      <c r="Z1555" s="18"/>
      <c r="AA1555" s="18"/>
      <c r="AB1555" s="18"/>
      <c r="AC1555" s="18"/>
      <c r="AD1555" s="18"/>
      <c r="AE1555" s="18"/>
      <c r="AF1555" s="18"/>
      <c r="AG1555" s="18"/>
      <c r="AH1555" s="18"/>
      <c r="AI1555" s="18"/>
      <c r="AJ1555" s="18"/>
      <c r="AK1555" s="18"/>
      <c r="AL1555" s="18"/>
      <c r="AM1555" s="18"/>
    </row>
    <row r="1556" spans="6:39" x14ac:dyDescent="0.35">
      <c r="F1556" s="18"/>
      <c r="G1556" s="19"/>
      <c r="H1556" s="18"/>
      <c r="I1556" s="18"/>
      <c r="J1556" s="18"/>
      <c r="K1556" s="18"/>
      <c r="L1556" s="18"/>
      <c r="M1556" s="19"/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  <c r="X1556" s="18"/>
      <c r="Y1556" s="18"/>
      <c r="Z1556" s="18"/>
      <c r="AA1556" s="18"/>
      <c r="AB1556" s="18"/>
      <c r="AC1556" s="18"/>
      <c r="AD1556" s="18"/>
      <c r="AE1556" s="18"/>
      <c r="AF1556" s="18"/>
      <c r="AG1556" s="18"/>
      <c r="AH1556" s="18"/>
      <c r="AI1556" s="18"/>
      <c r="AJ1556" s="18"/>
      <c r="AK1556" s="18"/>
      <c r="AL1556" s="18"/>
      <c r="AM1556" s="18"/>
    </row>
    <row r="1557" spans="6:39" x14ac:dyDescent="0.35">
      <c r="F1557" s="18"/>
      <c r="G1557" s="19"/>
      <c r="H1557" s="18"/>
      <c r="I1557" s="18"/>
      <c r="J1557" s="18"/>
      <c r="K1557" s="18"/>
      <c r="L1557" s="18"/>
      <c r="M1557" s="19"/>
      <c r="N1557" s="18"/>
      <c r="O1557" s="18"/>
      <c r="P1557" s="18"/>
      <c r="Q1557" s="18"/>
      <c r="R1557" s="18"/>
      <c r="S1557" s="18"/>
      <c r="T1557" s="18"/>
      <c r="U1557" s="18"/>
      <c r="V1557" s="18"/>
      <c r="W1557" s="18"/>
      <c r="X1557" s="18"/>
      <c r="Y1557" s="18"/>
      <c r="Z1557" s="18"/>
      <c r="AA1557" s="18"/>
      <c r="AB1557" s="18"/>
      <c r="AC1557" s="18"/>
      <c r="AD1557" s="18"/>
      <c r="AE1557" s="18"/>
      <c r="AF1557" s="18"/>
      <c r="AG1557" s="18"/>
      <c r="AH1557" s="18"/>
      <c r="AI1557" s="18"/>
      <c r="AJ1557" s="18"/>
      <c r="AK1557" s="18"/>
      <c r="AL1557" s="18"/>
      <c r="AM1557" s="18"/>
    </row>
    <row r="1558" spans="6:39" x14ac:dyDescent="0.35">
      <c r="F1558" s="18"/>
      <c r="G1558" s="19"/>
      <c r="H1558" s="18"/>
      <c r="I1558" s="18"/>
      <c r="J1558" s="18"/>
      <c r="K1558" s="18"/>
      <c r="L1558" s="18"/>
      <c r="M1558" s="19"/>
      <c r="N1558" s="18"/>
      <c r="O1558" s="18"/>
      <c r="P1558" s="18"/>
      <c r="Q1558" s="18"/>
      <c r="R1558" s="18"/>
      <c r="S1558" s="18"/>
      <c r="T1558" s="18"/>
      <c r="U1558" s="18"/>
      <c r="V1558" s="18"/>
      <c r="W1558" s="18"/>
      <c r="X1558" s="18"/>
      <c r="Y1558" s="18"/>
      <c r="Z1558" s="18"/>
      <c r="AA1558" s="18"/>
      <c r="AB1558" s="18"/>
      <c r="AC1558" s="18"/>
      <c r="AD1558" s="18"/>
      <c r="AE1558" s="18"/>
      <c r="AF1558" s="18"/>
      <c r="AG1558" s="18"/>
      <c r="AH1558" s="18"/>
      <c r="AI1558" s="18"/>
      <c r="AJ1558" s="18"/>
      <c r="AK1558" s="18"/>
      <c r="AL1558" s="18"/>
      <c r="AM1558" s="18"/>
    </row>
    <row r="1559" spans="6:39" x14ac:dyDescent="0.35">
      <c r="F1559" s="18"/>
      <c r="G1559" s="19"/>
      <c r="H1559" s="18"/>
      <c r="I1559" s="18"/>
      <c r="J1559" s="18"/>
      <c r="K1559" s="18"/>
      <c r="L1559" s="18"/>
      <c r="M1559" s="19"/>
      <c r="N1559" s="18"/>
      <c r="O1559" s="18"/>
      <c r="P1559" s="18"/>
      <c r="Q1559" s="18"/>
      <c r="R1559" s="18"/>
      <c r="S1559" s="18"/>
      <c r="T1559" s="18"/>
      <c r="U1559" s="18"/>
      <c r="V1559" s="18"/>
      <c r="W1559" s="18"/>
      <c r="X1559" s="18"/>
      <c r="Y1559" s="18"/>
      <c r="Z1559" s="18"/>
      <c r="AA1559" s="18"/>
      <c r="AB1559" s="18"/>
      <c r="AC1559" s="18"/>
      <c r="AD1559" s="18"/>
      <c r="AE1559" s="18"/>
      <c r="AF1559" s="18"/>
      <c r="AG1559" s="18"/>
      <c r="AH1559" s="18"/>
      <c r="AI1559" s="18"/>
      <c r="AJ1559" s="18"/>
      <c r="AK1559" s="18"/>
      <c r="AL1559" s="18"/>
      <c r="AM1559" s="18"/>
    </row>
    <row r="1560" spans="6:39" x14ac:dyDescent="0.35">
      <c r="F1560" s="18"/>
      <c r="G1560" s="19"/>
      <c r="H1560" s="18"/>
      <c r="I1560" s="18"/>
      <c r="J1560" s="18"/>
      <c r="K1560" s="18"/>
      <c r="L1560" s="18"/>
      <c r="M1560" s="19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8"/>
      <c r="Y1560" s="18"/>
      <c r="Z1560" s="18"/>
      <c r="AA1560" s="18"/>
      <c r="AB1560" s="18"/>
      <c r="AC1560" s="18"/>
      <c r="AD1560" s="18"/>
      <c r="AE1560" s="18"/>
      <c r="AF1560" s="18"/>
      <c r="AG1560" s="18"/>
      <c r="AH1560" s="18"/>
      <c r="AI1560" s="18"/>
      <c r="AJ1560" s="18"/>
      <c r="AK1560" s="18"/>
      <c r="AL1560" s="18"/>
      <c r="AM1560" s="18"/>
    </row>
    <row r="1561" spans="6:39" x14ac:dyDescent="0.35">
      <c r="F1561" s="18"/>
      <c r="G1561" s="19"/>
      <c r="H1561" s="18"/>
      <c r="I1561" s="18"/>
      <c r="J1561" s="18"/>
      <c r="K1561" s="18"/>
      <c r="L1561" s="18"/>
      <c r="M1561" s="19"/>
      <c r="N1561" s="18"/>
      <c r="O1561" s="18"/>
      <c r="P1561" s="18"/>
      <c r="Q1561" s="18"/>
      <c r="R1561" s="18"/>
      <c r="S1561" s="18"/>
      <c r="T1561" s="18"/>
      <c r="U1561" s="18"/>
      <c r="V1561" s="18"/>
      <c r="W1561" s="18"/>
      <c r="X1561" s="18"/>
      <c r="Y1561" s="18"/>
      <c r="Z1561" s="18"/>
      <c r="AA1561" s="18"/>
      <c r="AB1561" s="18"/>
      <c r="AC1561" s="18"/>
      <c r="AD1561" s="18"/>
      <c r="AE1561" s="18"/>
      <c r="AF1561" s="18"/>
      <c r="AG1561" s="18"/>
      <c r="AH1561" s="18"/>
      <c r="AI1561" s="18"/>
      <c r="AJ1561" s="18"/>
      <c r="AK1561" s="18"/>
      <c r="AL1561" s="18"/>
      <c r="AM1561" s="18"/>
    </row>
    <row r="1562" spans="6:39" x14ac:dyDescent="0.35">
      <c r="F1562" s="18"/>
      <c r="G1562" s="19"/>
      <c r="H1562" s="18"/>
      <c r="I1562" s="18"/>
      <c r="J1562" s="18"/>
      <c r="K1562" s="18"/>
      <c r="L1562" s="18"/>
      <c r="M1562" s="19"/>
      <c r="N1562" s="18"/>
      <c r="O1562" s="18"/>
      <c r="P1562" s="18"/>
      <c r="Q1562" s="18"/>
      <c r="R1562" s="18"/>
      <c r="S1562" s="18"/>
      <c r="T1562" s="18"/>
      <c r="U1562" s="18"/>
      <c r="V1562" s="18"/>
      <c r="W1562" s="18"/>
      <c r="X1562" s="18"/>
      <c r="Y1562" s="18"/>
      <c r="Z1562" s="18"/>
      <c r="AA1562" s="18"/>
      <c r="AB1562" s="18"/>
      <c r="AC1562" s="18"/>
      <c r="AD1562" s="18"/>
      <c r="AE1562" s="18"/>
      <c r="AF1562" s="18"/>
      <c r="AG1562" s="18"/>
      <c r="AH1562" s="18"/>
      <c r="AI1562" s="18"/>
      <c r="AJ1562" s="18"/>
      <c r="AK1562" s="18"/>
      <c r="AL1562" s="18"/>
      <c r="AM1562" s="18"/>
    </row>
    <row r="1563" spans="6:39" x14ac:dyDescent="0.35">
      <c r="F1563" s="18"/>
      <c r="G1563" s="19"/>
      <c r="H1563" s="18"/>
      <c r="I1563" s="18"/>
      <c r="J1563" s="18"/>
      <c r="K1563" s="18"/>
      <c r="L1563" s="18"/>
      <c r="M1563" s="19"/>
      <c r="N1563" s="18"/>
      <c r="O1563" s="18"/>
      <c r="P1563" s="18"/>
      <c r="Q1563" s="18"/>
      <c r="R1563" s="18"/>
      <c r="S1563" s="18"/>
      <c r="T1563" s="18"/>
      <c r="U1563" s="18"/>
      <c r="V1563" s="18"/>
      <c r="W1563" s="18"/>
      <c r="X1563" s="18"/>
      <c r="Y1563" s="18"/>
      <c r="Z1563" s="18"/>
      <c r="AA1563" s="18"/>
      <c r="AB1563" s="18"/>
      <c r="AC1563" s="18"/>
      <c r="AD1563" s="18"/>
      <c r="AE1563" s="18"/>
      <c r="AF1563" s="18"/>
      <c r="AG1563" s="18"/>
      <c r="AH1563" s="18"/>
      <c r="AI1563" s="18"/>
      <c r="AJ1563" s="18"/>
      <c r="AK1563" s="18"/>
      <c r="AL1563" s="18"/>
      <c r="AM1563" s="18"/>
    </row>
    <row r="1564" spans="6:39" x14ac:dyDescent="0.35">
      <c r="F1564" s="18"/>
      <c r="G1564" s="19"/>
      <c r="H1564" s="18"/>
      <c r="I1564" s="18"/>
      <c r="J1564" s="18"/>
      <c r="K1564" s="18"/>
      <c r="L1564" s="18"/>
      <c r="M1564" s="19"/>
      <c r="N1564" s="18"/>
      <c r="O1564" s="18"/>
      <c r="P1564" s="18"/>
      <c r="Q1564" s="18"/>
      <c r="R1564" s="18"/>
      <c r="S1564" s="18"/>
      <c r="T1564" s="18"/>
      <c r="U1564" s="18"/>
      <c r="V1564" s="18"/>
      <c r="W1564" s="18"/>
      <c r="X1564" s="18"/>
      <c r="Y1564" s="18"/>
      <c r="Z1564" s="18"/>
      <c r="AA1564" s="18"/>
      <c r="AB1564" s="18"/>
      <c r="AC1564" s="18"/>
      <c r="AD1564" s="18"/>
      <c r="AE1564" s="18"/>
      <c r="AF1564" s="18"/>
      <c r="AG1564" s="18"/>
      <c r="AH1564" s="18"/>
      <c r="AI1564" s="18"/>
      <c r="AJ1564" s="18"/>
      <c r="AK1564" s="18"/>
      <c r="AL1564" s="18"/>
      <c r="AM1564" s="18"/>
    </row>
    <row r="1565" spans="6:39" x14ac:dyDescent="0.35">
      <c r="F1565" s="18"/>
      <c r="G1565" s="19"/>
      <c r="H1565" s="18"/>
      <c r="I1565" s="18"/>
      <c r="J1565" s="18"/>
      <c r="K1565" s="18"/>
      <c r="L1565" s="18"/>
      <c r="M1565" s="19"/>
      <c r="N1565" s="18"/>
      <c r="O1565" s="18"/>
      <c r="P1565" s="18"/>
      <c r="Q1565" s="18"/>
      <c r="R1565" s="18"/>
      <c r="S1565" s="18"/>
      <c r="T1565" s="18"/>
      <c r="U1565" s="18"/>
      <c r="V1565" s="18"/>
      <c r="W1565" s="18"/>
      <c r="X1565" s="18"/>
      <c r="Y1565" s="18"/>
      <c r="Z1565" s="18"/>
      <c r="AA1565" s="18"/>
      <c r="AB1565" s="18"/>
      <c r="AC1565" s="18"/>
      <c r="AD1565" s="18"/>
      <c r="AE1565" s="18"/>
      <c r="AF1565" s="18"/>
      <c r="AG1565" s="18"/>
      <c r="AH1565" s="18"/>
      <c r="AI1565" s="18"/>
      <c r="AJ1565" s="18"/>
      <c r="AK1565" s="18"/>
      <c r="AL1565" s="18"/>
      <c r="AM1565" s="18"/>
    </row>
    <row r="1566" spans="6:39" x14ac:dyDescent="0.35">
      <c r="F1566" s="18"/>
      <c r="G1566" s="19"/>
      <c r="H1566" s="18"/>
      <c r="I1566" s="18"/>
      <c r="J1566" s="18"/>
      <c r="K1566" s="18"/>
      <c r="L1566" s="18"/>
      <c r="M1566" s="19"/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8"/>
      <c r="Y1566" s="18"/>
      <c r="Z1566" s="18"/>
      <c r="AA1566" s="18"/>
      <c r="AB1566" s="18"/>
      <c r="AC1566" s="18"/>
      <c r="AD1566" s="18"/>
      <c r="AE1566" s="18"/>
      <c r="AF1566" s="18"/>
      <c r="AG1566" s="18"/>
      <c r="AH1566" s="18"/>
      <c r="AI1566" s="18"/>
      <c r="AJ1566" s="18"/>
      <c r="AK1566" s="18"/>
      <c r="AL1566" s="18"/>
      <c r="AM1566" s="18"/>
    </row>
    <row r="1567" spans="6:39" x14ac:dyDescent="0.35">
      <c r="F1567" s="18"/>
      <c r="G1567" s="19"/>
      <c r="H1567" s="18"/>
      <c r="I1567" s="18"/>
      <c r="J1567" s="18"/>
      <c r="K1567" s="18"/>
      <c r="L1567" s="18"/>
      <c r="M1567" s="19"/>
      <c r="N1567" s="18"/>
      <c r="O1567" s="18"/>
      <c r="P1567" s="18"/>
      <c r="Q1567" s="18"/>
      <c r="R1567" s="18"/>
      <c r="S1567" s="18"/>
      <c r="T1567" s="18"/>
      <c r="U1567" s="18"/>
      <c r="V1567" s="18"/>
      <c r="W1567" s="18"/>
      <c r="X1567" s="18"/>
      <c r="Y1567" s="18"/>
      <c r="Z1567" s="18"/>
      <c r="AA1567" s="18"/>
      <c r="AB1567" s="18"/>
      <c r="AC1567" s="18"/>
      <c r="AD1567" s="18"/>
      <c r="AE1567" s="18"/>
      <c r="AF1567" s="18"/>
      <c r="AG1567" s="18"/>
      <c r="AH1567" s="18"/>
      <c r="AI1567" s="18"/>
      <c r="AJ1567" s="18"/>
      <c r="AK1567" s="18"/>
      <c r="AL1567" s="18"/>
      <c r="AM1567" s="18"/>
    </row>
    <row r="1568" spans="6:39" x14ac:dyDescent="0.35">
      <c r="F1568" s="18"/>
      <c r="G1568" s="19"/>
      <c r="H1568" s="18"/>
      <c r="I1568" s="18"/>
      <c r="J1568" s="18"/>
      <c r="K1568" s="18"/>
      <c r="L1568" s="18"/>
      <c r="M1568" s="19"/>
      <c r="N1568" s="18"/>
      <c r="O1568" s="18"/>
      <c r="P1568" s="18"/>
      <c r="Q1568" s="18"/>
      <c r="R1568" s="18"/>
      <c r="S1568" s="18"/>
      <c r="T1568" s="18"/>
      <c r="U1568" s="18"/>
      <c r="V1568" s="18"/>
      <c r="W1568" s="18"/>
      <c r="X1568" s="18"/>
      <c r="Y1568" s="18"/>
      <c r="Z1568" s="18"/>
      <c r="AA1568" s="18"/>
      <c r="AB1568" s="18"/>
      <c r="AC1568" s="18"/>
      <c r="AD1568" s="18"/>
      <c r="AE1568" s="18"/>
      <c r="AF1568" s="18"/>
      <c r="AG1568" s="18"/>
      <c r="AH1568" s="18"/>
      <c r="AI1568" s="18"/>
      <c r="AJ1568" s="18"/>
      <c r="AK1568" s="18"/>
      <c r="AL1568" s="18"/>
      <c r="AM1568" s="18"/>
    </row>
    <row r="1569" spans="6:39" x14ac:dyDescent="0.35">
      <c r="F1569" s="18"/>
      <c r="G1569" s="19"/>
      <c r="H1569" s="18"/>
      <c r="I1569" s="18"/>
      <c r="J1569" s="18"/>
      <c r="K1569" s="18"/>
      <c r="L1569" s="18"/>
      <c r="M1569" s="19"/>
      <c r="N1569" s="18"/>
      <c r="O1569" s="18"/>
      <c r="P1569" s="18"/>
      <c r="Q1569" s="18"/>
      <c r="R1569" s="18"/>
      <c r="S1569" s="18"/>
      <c r="T1569" s="18"/>
      <c r="U1569" s="18"/>
      <c r="V1569" s="18"/>
      <c r="W1569" s="18"/>
      <c r="X1569" s="18"/>
      <c r="Y1569" s="18"/>
      <c r="Z1569" s="18"/>
      <c r="AA1569" s="18"/>
      <c r="AB1569" s="18"/>
      <c r="AC1569" s="18"/>
      <c r="AD1569" s="18"/>
      <c r="AE1569" s="18"/>
      <c r="AF1569" s="18"/>
      <c r="AG1569" s="18"/>
      <c r="AH1569" s="18"/>
      <c r="AI1569" s="18"/>
      <c r="AJ1569" s="18"/>
      <c r="AK1569" s="18"/>
      <c r="AL1569" s="18"/>
      <c r="AM1569" s="18"/>
    </row>
    <row r="1570" spans="6:39" x14ac:dyDescent="0.35">
      <c r="F1570" s="18"/>
      <c r="G1570" s="19"/>
      <c r="H1570" s="18"/>
      <c r="I1570" s="18"/>
      <c r="J1570" s="18"/>
      <c r="K1570" s="18"/>
      <c r="L1570" s="18"/>
      <c r="M1570" s="19"/>
      <c r="N1570" s="18"/>
      <c r="O1570" s="18"/>
      <c r="P1570" s="18"/>
      <c r="Q1570" s="18"/>
      <c r="R1570" s="18"/>
      <c r="S1570" s="18"/>
      <c r="T1570" s="18"/>
      <c r="U1570" s="18"/>
      <c r="V1570" s="18"/>
      <c r="W1570" s="18"/>
      <c r="X1570" s="18"/>
      <c r="Y1570" s="18"/>
      <c r="Z1570" s="18"/>
      <c r="AA1570" s="18"/>
      <c r="AB1570" s="18"/>
      <c r="AC1570" s="18"/>
      <c r="AD1570" s="18"/>
      <c r="AE1570" s="18"/>
      <c r="AF1570" s="18"/>
      <c r="AG1570" s="18"/>
      <c r="AH1570" s="18"/>
      <c r="AI1570" s="18"/>
      <c r="AJ1570" s="18"/>
      <c r="AK1570" s="18"/>
      <c r="AL1570" s="18"/>
      <c r="AM1570" s="18"/>
    </row>
    <row r="1571" spans="6:39" x14ac:dyDescent="0.35">
      <c r="F1571" s="18"/>
      <c r="G1571" s="19"/>
      <c r="H1571" s="18"/>
      <c r="I1571" s="18"/>
      <c r="J1571" s="18"/>
      <c r="K1571" s="18"/>
      <c r="L1571" s="18"/>
      <c r="M1571" s="19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  <c r="Y1571" s="18"/>
      <c r="Z1571" s="18"/>
      <c r="AA1571" s="18"/>
      <c r="AB1571" s="18"/>
      <c r="AC1571" s="18"/>
      <c r="AD1571" s="18"/>
      <c r="AE1571" s="18"/>
      <c r="AF1571" s="18"/>
      <c r="AG1571" s="18"/>
      <c r="AH1571" s="18"/>
      <c r="AI1571" s="18"/>
      <c r="AJ1571" s="18"/>
      <c r="AK1571" s="18"/>
      <c r="AL1571" s="18"/>
      <c r="AM1571" s="18"/>
    </row>
    <row r="1572" spans="6:39" x14ac:dyDescent="0.35">
      <c r="F1572" s="18"/>
      <c r="G1572" s="19"/>
      <c r="H1572" s="18"/>
      <c r="I1572" s="18"/>
      <c r="J1572" s="18"/>
      <c r="K1572" s="18"/>
      <c r="L1572" s="18"/>
      <c r="M1572" s="19"/>
      <c r="N1572" s="18"/>
      <c r="O1572" s="18"/>
      <c r="P1572" s="18"/>
      <c r="Q1572" s="18"/>
      <c r="R1572" s="18"/>
      <c r="S1572" s="18"/>
      <c r="T1572" s="18"/>
      <c r="U1572" s="18"/>
      <c r="V1572" s="18"/>
      <c r="W1572" s="18"/>
      <c r="X1572" s="18"/>
      <c r="Y1572" s="18"/>
      <c r="Z1572" s="18"/>
      <c r="AA1572" s="18"/>
      <c r="AB1572" s="18"/>
      <c r="AC1572" s="18"/>
      <c r="AD1572" s="18"/>
      <c r="AE1572" s="18"/>
      <c r="AF1572" s="18"/>
      <c r="AG1572" s="18"/>
      <c r="AH1572" s="18"/>
      <c r="AI1572" s="18"/>
      <c r="AJ1572" s="18"/>
      <c r="AK1572" s="18"/>
      <c r="AL1572" s="18"/>
      <c r="AM1572" s="18"/>
    </row>
    <row r="1573" spans="6:39" x14ac:dyDescent="0.35">
      <c r="F1573" s="18"/>
      <c r="G1573" s="19"/>
      <c r="H1573" s="18"/>
      <c r="I1573" s="18"/>
      <c r="J1573" s="18"/>
      <c r="K1573" s="18"/>
      <c r="L1573" s="18"/>
      <c r="M1573" s="19"/>
      <c r="N1573" s="18"/>
      <c r="O1573" s="18"/>
      <c r="P1573" s="18"/>
      <c r="Q1573" s="18"/>
      <c r="R1573" s="18"/>
      <c r="S1573" s="18"/>
      <c r="T1573" s="18"/>
      <c r="U1573" s="18"/>
      <c r="V1573" s="18"/>
      <c r="W1573" s="18"/>
      <c r="X1573" s="18"/>
      <c r="Y1573" s="18"/>
      <c r="Z1573" s="18"/>
      <c r="AA1573" s="18"/>
      <c r="AB1573" s="18"/>
      <c r="AC1573" s="18"/>
      <c r="AD1573" s="18"/>
      <c r="AE1573" s="18"/>
      <c r="AF1573" s="18"/>
      <c r="AG1573" s="18"/>
      <c r="AH1573" s="18"/>
      <c r="AI1573" s="18"/>
      <c r="AJ1573" s="18"/>
      <c r="AK1573" s="18"/>
      <c r="AL1573" s="18"/>
      <c r="AM1573" s="18"/>
    </row>
    <row r="1574" spans="6:39" x14ac:dyDescent="0.35">
      <c r="F1574" s="18"/>
      <c r="G1574" s="19"/>
      <c r="H1574" s="18"/>
      <c r="I1574" s="18"/>
      <c r="J1574" s="18"/>
      <c r="K1574" s="18"/>
      <c r="L1574" s="18"/>
      <c r="M1574" s="19"/>
      <c r="N1574" s="18"/>
      <c r="O1574" s="18"/>
      <c r="P1574" s="18"/>
      <c r="Q1574" s="18"/>
      <c r="R1574" s="18"/>
      <c r="S1574" s="18"/>
      <c r="T1574" s="18"/>
      <c r="U1574" s="18"/>
      <c r="V1574" s="18"/>
      <c r="W1574" s="18"/>
      <c r="X1574" s="18"/>
      <c r="Y1574" s="18"/>
      <c r="Z1574" s="18"/>
      <c r="AA1574" s="18"/>
      <c r="AB1574" s="18"/>
      <c r="AC1574" s="18"/>
      <c r="AD1574" s="18"/>
      <c r="AE1574" s="18"/>
      <c r="AF1574" s="18"/>
      <c r="AG1574" s="18"/>
      <c r="AH1574" s="18"/>
      <c r="AI1574" s="18"/>
      <c r="AJ1574" s="18"/>
      <c r="AK1574" s="18"/>
      <c r="AL1574" s="18"/>
      <c r="AM1574" s="18"/>
    </row>
    <row r="1575" spans="6:39" x14ac:dyDescent="0.35">
      <c r="F1575" s="18"/>
      <c r="G1575" s="19"/>
      <c r="H1575" s="18"/>
      <c r="I1575" s="18"/>
      <c r="J1575" s="18"/>
      <c r="K1575" s="18"/>
      <c r="L1575" s="18"/>
      <c r="M1575" s="19"/>
      <c r="N1575" s="18"/>
      <c r="O1575" s="18"/>
      <c r="P1575" s="18"/>
      <c r="Q1575" s="18"/>
      <c r="R1575" s="18"/>
      <c r="S1575" s="18"/>
      <c r="T1575" s="18"/>
      <c r="U1575" s="18"/>
      <c r="V1575" s="18"/>
      <c r="W1575" s="18"/>
      <c r="X1575" s="18"/>
      <c r="Y1575" s="18"/>
      <c r="Z1575" s="18"/>
      <c r="AA1575" s="18"/>
      <c r="AB1575" s="18"/>
      <c r="AC1575" s="18"/>
      <c r="AD1575" s="18"/>
      <c r="AE1575" s="18"/>
      <c r="AF1575" s="18"/>
      <c r="AG1575" s="18"/>
      <c r="AH1575" s="18"/>
      <c r="AI1575" s="18"/>
      <c r="AJ1575" s="18"/>
      <c r="AK1575" s="18"/>
      <c r="AL1575" s="18"/>
      <c r="AM1575" s="18"/>
    </row>
    <row r="1576" spans="6:39" x14ac:dyDescent="0.35">
      <c r="F1576" s="18"/>
      <c r="G1576" s="19"/>
      <c r="H1576" s="18"/>
      <c r="I1576" s="18"/>
      <c r="J1576" s="18"/>
      <c r="K1576" s="18"/>
      <c r="L1576" s="18"/>
      <c r="M1576" s="19"/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  <c r="X1576" s="18"/>
      <c r="Y1576" s="18"/>
      <c r="Z1576" s="18"/>
      <c r="AA1576" s="18"/>
      <c r="AB1576" s="18"/>
      <c r="AC1576" s="18"/>
      <c r="AD1576" s="18"/>
      <c r="AE1576" s="18"/>
      <c r="AF1576" s="18"/>
      <c r="AG1576" s="18"/>
      <c r="AH1576" s="18"/>
      <c r="AI1576" s="18"/>
      <c r="AJ1576" s="18"/>
      <c r="AK1576" s="18"/>
      <c r="AL1576" s="18"/>
      <c r="AM1576" s="18"/>
    </row>
    <row r="1577" spans="6:39" x14ac:dyDescent="0.35">
      <c r="F1577" s="18"/>
      <c r="G1577" s="19"/>
      <c r="H1577" s="18"/>
      <c r="I1577" s="18"/>
      <c r="J1577" s="18"/>
      <c r="K1577" s="18"/>
      <c r="L1577" s="18"/>
      <c r="M1577" s="19"/>
      <c r="N1577" s="18"/>
      <c r="O1577" s="18"/>
      <c r="P1577" s="18"/>
      <c r="Q1577" s="18"/>
      <c r="R1577" s="18"/>
      <c r="S1577" s="18"/>
      <c r="T1577" s="18"/>
      <c r="U1577" s="18"/>
      <c r="V1577" s="18"/>
      <c r="W1577" s="18"/>
      <c r="X1577" s="18"/>
      <c r="Y1577" s="18"/>
      <c r="Z1577" s="18"/>
      <c r="AA1577" s="18"/>
      <c r="AB1577" s="18"/>
      <c r="AC1577" s="18"/>
      <c r="AD1577" s="18"/>
      <c r="AE1577" s="18"/>
      <c r="AF1577" s="18"/>
      <c r="AG1577" s="18"/>
      <c r="AH1577" s="18"/>
      <c r="AI1577" s="18"/>
      <c r="AJ1577" s="18"/>
      <c r="AK1577" s="18"/>
      <c r="AL1577" s="18"/>
      <c r="AM1577" s="18"/>
    </row>
    <row r="1578" spans="6:39" x14ac:dyDescent="0.35">
      <c r="F1578" s="18"/>
      <c r="G1578" s="19"/>
      <c r="H1578" s="18"/>
      <c r="I1578" s="18"/>
      <c r="J1578" s="18"/>
      <c r="K1578" s="18"/>
      <c r="L1578" s="18"/>
      <c r="M1578" s="19"/>
      <c r="N1578" s="18"/>
      <c r="O1578" s="18"/>
      <c r="P1578" s="18"/>
      <c r="Q1578" s="18"/>
      <c r="R1578" s="18"/>
      <c r="S1578" s="18"/>
      <c r="T1578" s="18"/>
      <c r="U1578" s="18"/>
      <c r="V1578" s="18"/>
      <c r="W1578" s="18"/>
      <c r="X1578" s="18"/>
      <c r="Y1578" s="18"/>
      <c r="Z1578" s="18"/>
      <c r="AA1578" s="18"/>
      <c r="AB1578" s="18"/>
      <c r="AC1578" s="18"/>
      <c r="AD1578" s="18"/>
      <c r="AE1578" s="18"/>
      <c r="AF1578" s="18"/>
      <c r="AG1578" s="18"/>
      <c r="AH1578" s="18"/>
      <c r="AI1578" s="18"/>
      <c r="AJ1578" s="18"/>
      <c r="AK1578" s="18"/>
      <c r="AL1578" s="18"/>
      <c r="AM1578" s="18"/>
    </row>
    <row r="1579" spans="6:39" x14ac:dyDescent="0.35">
      <c r="F1579" s="18"/>
      <c r="G1579" s="19"/>
      <c r="H1579" s="18"/>
      <c r="I1579" s="18"/>
      <c r="J1579" s="18"/>
      <c r="K1579" s="18"/>
      <c r="L1579" s="18"/>
      <c r="M1579" s="19"/>
      <c r="N1579" s="18"/>
      <c r="O1579" s="18"/>
      <c r="P1579" s="18"/>
      <c r="Q1579" s="18"/>
      <c r="R1579" s="18"/>
      <c r="S1579" s="18"/>
      <c r="T1579" s="18"/>
      <c r="U1579" s="18"/>
      <c r="V1579" s="18"/>
      <c r="W1579" s="18"/>
      <c r="X1579" s="18"/>
      <c r="Y1579" s="18"/>
      <c r="Z1579" s="18"/>
      <c r="AA1579" s="18"/>
      <c r="AB1579" s="18"/>
      <c r="AC1579" s="18"/>
      <c r="AD1579" s="18"/>
      <c r="AE1579" s="18"/>
      <c r="AF1579" s="18"/>
      <c r="AG1579" s="18"/>
      <c r="AH1579" s="18"/>
      <c r="AI1579" s="18"/>
      <c r="AJ1579" s="18"/>
      <c r="AK1579" s="18"/>
      <c r="AL1579" s="18"/>
      <c r="AM1579" s="18"/>
    </row>
    <row r="1580" spans="6:39" x14ac:dyDescent="0.35">
      <c r="F1580" s="18"/>
      <c r="G1580" s="19"/>
      <c r="H1580" s="18"/>
      <c r="I1580" s="18"/>
      <c r="J1580" s="18"/>
      <c r="K1580" s="18"/>
      <c r="L1580" s="18"/>
      <c r="M1580" s="19"/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  <c r="X1580" s="18"/>
      <c r="Y1580" s="18"/>
      <c r="Z1580" s="18"/>
      <c r="AA1580" s="18"/>
      <c r="AB1580" s="18"/>
      <c r="AC1580" s="18"/>
      <c r="AD1580" s="18"/>
      <c r="AE1580" s="18"/>
      <c r="AF1580" s="18"/>
      <c r="AG1580" s="18"/>
      <c r="AH1580" s="18"/>
      <c r="AI1580" s="18"/>
      <c r="AJ1580" s="18"/>
      <c r="AK1580" s="18"/>
      <c r="AL1580" s="18"/>
      <c r="AM1580" s="18"/>
    </row>
    <row r="1581" spans="6:39" x14ac:dyDescent="0.35">
      <c r="F1581" s="18"/>
      <c r="G1581" s="19"/>
      <c r="H1581" s="18"/>
      <c r="I1581" s="18"/>
      <c r="J1581" s="18"/>
      <c r="K1581" s="18"/>
      <c r="L1581" s="18"/>
      <c r="M1581" s="19"/>
      <c r="N1581" s="18"/>
      <c r="O1581" s="18"/>
      <c r="P1581" s="18"/>
      <c r="Q1581" s="18"/>
      <c r="R1581" s="18"/>
      <c r="S1581" s="18"/>
      <c r="T1581" s="18"/>
      <c r="U1581" s="18"/>
      <c r="V1581" s="18"/>
      <c r="W1581" s="18"/>
      <c r="X1581" s="18"/>
      <c r="Y1581" s="18"/>
      <c r="Z1581" s="18"/>
      <c r="AA1581" s="18"/>
      <c r="AB1581" s="18"/>
      <c r="AC1581" s="18"/>
      <c r="AD1581" s="18"/>
      <c r="AE1581" s="18"/>
      <c r="AF1581" s="18"/>
      <c r="AG1581" s="18"/>
      <c r="AH1581" s="18"/>
      <c r="AI1581" s="18"/>
      <c r="AJ1581" s="18"/>
      <c r="AK1581" s="18"/>
      <c r="AL1581" s="18"/>
      <c r="AM1581" s="18"/>
    </row>
    <row r="1582" spans="6:39" x14ac:dyDescent="0.35">
      <c r="F1582" s="18"/>
      <c r="G1582" s="19"/>
      <c r="H1582" s="18"/>
      <c r="I1582" s="18"/>
      <c r="J1582" s="18"/>
      <c r="K1582" s="18"/>
      <c r="L1582" s="18"/>
      <c r="M1582" s="19"/>
      <c r="N1582" s="18"/>
      <c r="O1582" s="18"/>
      <c r="P1582" s="18"/>
      <c r="Q1582" s="18"/>
      <c r="R1582" s="18"/>
      <c r="S1582" s="18"/>
      <c r="T1582" s="18"/>
      <c r="U1582" s="18"/>
      <c r="V1582" s="18"/>
      <c r="W1582" s="18"/>
      <c r="X1582" s="18"/>
      <c r="Y1582" s="18"/>
      <c r="Z1582" s="18"/>
      <c r="AA1582" s="18"/>
      <c r="AB1582" s="18"/>
      <c r="AC1582" s="18"/>
      <c r="AD1582" s="18"/>
      <c r="AE1582" s="18"/>
      <c r="AF1582" s="18"/>
      <c r="AG1582" s="18"/>
      <c r="AH1582" s="18"/>
      <c r="AI1582" s="18"/>
      <c r="AJ1582" s="18"/>
      <c r="AK1582" s="18"/>
      <c r="AL1582" s="18"/>
      <c r="AM1582" s="18"/>
    </row>
    <row r="1583" spans="6:39" x14ac:dyDescent="0.35">
      <c r="F1583" s="18"/>
      <c r="G1583" s="19"/>
      <c r="H1583" s="18"/>
      <c r="I1583" s="18"/>
      <c r="J1583" s="18"/>
      <c r="K1583" s="18"/>
      <c r="L1583" s="18"/>
      <c r="M1583" s="19"/>
      <c r="N1583" s="18"/>
      <c r="O1583" s="18"/>
      <c r="P1583" s="18"/>
      <c r="Q1583" s="18"/>
      <c r="R1583" s="18"/>
      <c r="S1583" s="18"/>
      <c r="T1583" s="18"/>
      <c r="U1583" s="18"/>
      <c r="V1583" s="18"/>
      <c r="W1583" s="18"/>
      <c r="X1583" s="18"/>
      <c r="Y1583" s="18"/>
      <c r="Z1583" s="18"/>
      <c r="AA1583" s="18"/>
      <c r="AB1583" s="18"/>
      <c r="AC1583" s="18"/>
      <c r="AD1583" s="18"/>
      <c r="AE1583" s="18"/>
      <c r="AF1583" s="18"/>
      <c r="AG1583" s="18"/>
      <c r="AH1583" s="18"/>
      <c r="AI1583" s="18"/>
      <c r="AJ1583" s="18"/>
      <c r="AK1583" s="18"/>
      <c r="AL1583" s="18"/>
      <c r="AM1583" s="18"/>
    </row>
    <row r="1584" spans="6:39" x14ac:dyDescent="0.35">
      <c r="F1584" s="18"/>
      <c r="G1584" s="19"/>
      <c r="H1584" s="18"/>
      <c r="I1584" s="18"/>
      <c r="J1584" s="18"/>
      <c r="K1584" s="18"/>
      <c r="L1584" s="18"/>
      <c r="M1584" s="19"/>
      <c r="N1584" s="18"/>
      <c r="O1584" s="18"/>
      <c r="P1584" s="18"/>
      <c r="Q1584" s="18"/>
      <c r="R1584" s="18"/>
      <c r="S1584" s="18"/>
      <c r="T1584" s="18"/>
      <c r="U1584" s="18"/>
      <c r="V1584" s="18"/>
      <c r="W1584" s="18"/>
      <c r="X1584" s="18"/>
      <c r="Y1584" s="18"/>
      <c r="Z1584" s="18"/>
      <c r="AA1584" s="18"/>
      <c r="AB1584" s="18"/>
      <c r="AC1584" s="18"/>
      <c r="AD1584" s="18"/>
      <c r="AE1584" s="18"/>
      <c r="AF1584" s="18"/>
      <c r="AG1584" s="18"/>
      <c r="AH1584" s="18"/>
      <c r="AI1584" s="18"/>
      <c r="AJ1584" s="18"/>
      <c r="AK1584" s="18"/>
      <c r="AL1584" s="18"/>
      <c r="AM1584" s="18"/>
    </row>
    <row r="1585" spans="6:39" x14ac:dyDescent="0.35">
      <c r="F1585" s="18"/>
      <c r="G1585" s="19"/>
      <c r="H1585" s="18"/>
      <c r="I1585" s="18"/>
      <c r="J1585" s="18"/>
      <c r="K1585" s="18"/>
      <c r="L1585" s="18"/>
      <c r="M1585" s="19"/>
      <c r="N1585" s="18"/>
      <c r="O1585" s="18"/>
      <c r="P1585" s="18"/>
      <c r="Q1585" s="18"/>
      <c r="R1585" s="18"/>
      <c r="S1585" s="18"/>
      <c r="T1585" s="18"/>
      <c r="U1585" s="18"/>
      <c r="V1585" s="18"/>
      <c r="W1585" s="18"/>
      <c r="X1585" s="18"/>
      <c r="Y1585" s="18"/>
      <c r="Z1585" s="18"/>
      <c r="AA1585" s="18"/>
      <c r="AB1585" s="18"/>
      <c r="AC1585" s="18"/>
      <c r="AD1585" s="18"/>
      <c r="AE1585" s="18"/>
      <c r="AF1585" s="18"/>
      <c r="AG1585" s="18"/>
      <c r="AH1585" s="18"/>
      <c r="AI1585" s="18"/>
      <c r="AJ1585" s="18"/>
      <c r="AK1585" s="18"/>
      <c r="AL1585" s="18"/>
      <c r="AM1585" s="18"/>
    </row>
    <row r="1586" spans="6:39" x14ac:dyDescent="0.35">
      <c r="F1586" s="18"/>
      <c r="G1586" s="19"/>
      <c r="H1586" s="18"/>
      <c r="I1586" s="18"/>
      <c r="J1586" s="18"/>
      <c r="K1586" s="18"/>
      <c r="L1586" s="18"/>
      <c r="M1586" s="19"/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8"/>
      <c r="Y1586" s="18"/>
      <c r="Z1586" s="18"/>
      <c r="AA1586" s="18"/>
      <c r="AB1586" s="18"/>
      <c r="AC1586" s="18"/>
      <c r="AD1586" s="18"/>
      <c r="AE1586" s="18"/>
      <c r="AF1586" s="18"/>
      <c r="AG1586" s="18"/>
      <c r="AH1586" s="18"/>
      <c r="AI1586" s="18"/>
      <c r="AJ1586" s="18"/>
      <c r="AK1586" s="18"/>
      <c r="AL1586" s="18"/>
      <c r="AM1586" s="18"/>
    </row>
    <row r="1587" spans="6:39" x14ac:dyDescent="0.35">
      <c r="F1587" s="18"/>
      <c r="G1587" s="19"/>
      <c r="H1587" s="18"/>
      <c r="I1587" s="18"/>
      <c r="J1587" s="18"/>
      <c r="K1587" s="18"/>
      <c r="L1587" s="18"/>
      <c r="M1587" s="19"/>
      <c r="N1587" s="18"/>
      <c r="O1587" s="18"/>
      <c r="P1587" s="18"/>
      <c r="Q1587" s="18"/>
      <c r="R1587" s="18"/>
      <c r="S1587" s="18"/>
      <c r="T1587" s="18"/>
      <c r="U1587" s="18"/>
      <c r="V1587" s="18"/>
      <c r="W1587" s="18"/>
      <c r="X1587" s="18"/>
      <c r="Y1587" s="18"/>
      <c r="Z1587" s="18"/>
      <c r="AA1587" s="18"/>
      <c r="AB1587" s="18"/>
      <c r="AC1587" s="18"/>
      <c r="AD1587" s="18"/>
      <c r="AE1587" s="18"/>
      <c r="AF1587" s="18"/>
      <c r="AG1587" s="18"/>
      <c r="AH1587" s="18"/>
      <c r="AI1587" s="18"/>
      <c r="AJ1587" s="18"/>
      <c r="AK1587" s="18"/>
      <c r="AL1587" s="18"/>
      <c r="AM1587" s="18"/>
    </row>
    <row r="1588" spans="6:39" x14ac:dyDescent="0.35">
      <c r="F1588" s="18"/>
      <c r="G1588" s="19"/>
      <c r="H1588" s="18"/>
      <c r="I1588" s="18"/>
      <c r="J1588" s="18"/>
      <c r="K1588" s="18"/>
      <c r="L1588" s="18"/>
      <c r="M1588" s="19"/>
      <c r="N1588" s="18"/>
      <c r="O1588" s="18"/>
      <c r="P1588" s="18"/>
      <c r="Q1588" s="18"/>
      <c r="R1588" s="18"/>
      <c r="S1588" s="18"/>
      <c r="T1588" s="18"/>
      <c r="U1588" s="18"/>
      <c r="V1588" s="18"/>
      <c r="W1588" s="18"/>
      <c r="X1588" s="18"/>
      <c r="Y1588" s="18"/>
      <c r="Z1588" s="18"/>
      <c r="AA1588" s="18"/>
      <c r="AB1588" s="18"/>
      <c r="AC1588" s="18"/>
      <c r="AD1588" s="18"/>
      <c r="AE1588" s="18"/>
      <c r="AF1588" s="18"/>
      <c r="AG1588" s="18"/>
      <c r="AH1588" s="18"/>
      <c r="AI1588" s="18"/>
      <c r="AJ1588" s="18"/>
      <c r="AK1588" s="18"/>
      <c r="AL1588" s="18"/>
      <c r="AM1588" s="18"/>
    </row>
    <row r="1589" spans="6:39" x14ac:dyDescent="0.35">
      <c r="F1589" s="18"/>
      <c r="G1589" s="19"/>
      <c r="H1589" s="18"/>
      <c r="I1589" s="18"/>
      <c r="J1589" s="18"/>
      <c r="K1589" s="18"/>
      <c r="L1589" s="18"/>
      <c r="M1589" s="19"/>
      <c r="N1589" s="18"/>
      <c r="O1589" s="18"/>
      <c r="P1589" s="18"/>
      <c r="Q1589" s="18"/>
      <c r="R1589" s="18"/>
      <c r="S1589" s="18"/>
      <c r="T1589" s="18"/>
      <c r="U1589" s="18"/>
      <c r="V1589" s="18"/>
      <c r="W1589" s="18"/>
      <c r="X1589" s="18"/>
      <c r="Y1589" s="18"/>
      <c r="Z1589" s="18"/>
      <c r="AA1589" s="18"/>
      <c r="AB1589" s="18"/>
      <c r="AC1589" s="18"/>
      <c r="AD1589" s="18"/>
      <c r="AE1589" s="18"/>
      <c r="AF1589" s="18"/>
      <c r="AG1589" s="18"/>
      <c r="AH1589" s="18"/>
      <c r="AI1589" s="18"/>
      <c r="AJ1589" s="18"/>
      <c r="AK1589" s="18"/>
      <c r="AL1589" s="18"/>
      <c r="AM1589" s="18"/>
    </row>
    <row r="1590" spans="6:39" x14ac:dyDescent="0.35">
      <c r="F1590" s="18"/>
      <c r="G1590" s="19"/>
      <c r="H1590" s="18"/>
      <c r="I1590" s="18"/>
      <c r="J1590" s="18"/>
      <c r="K1590" s="18"/>
      <c r="L1590" s="18"/>
      <c r="M1590" s="19"/>
      <c r="N1590" s="18"/>
      <c r="O1590" s="18"/>
      <c r="P1590" s="18"/>
      <c r="Q1590" s="18"/>
      <c r="R1590" s="18"/>
      <c r="S1590" s="18"/>
      <c r="T1590" s="18"/>
      <c r="U1590" s="18"/>
      <c r="V1590" s="18"/>
      <c r="W1590" s="18"/>
      <c r="X1590" s="18"/>
      <c r="Y1590" s="18"/>
      <c r="Z1590" s="18"/>
      <c r="AA1590" s="18"/>
      <c r="AB1590" s="18"/>
      <c r="AC1590" s="18"/>
      <c r="AD1590" s="18"/>
      <c r="AE1590" s="18"/>
      <c r="AF1590" s="18"/>
      <c r="AG1590" s="18"/>
      <c r="AH1590" s="18"/>
      <c r="AI1590" s="18"/>
      <c r="AJ1590" s="18"/>
      <c r="AK1590" s="18"/>
      <c r="AL1590" s="18"/>
      <c r="AM1590" s="18"/>
    </row>
    <row r="1591" spans="6:39" x14ac:dyDescent="0.35">
      <c r="F1591" s="18"/>
      <c r="G1591" s="19"/>
      <c r="H1591" s="18"/>
      <c r="I1591" s="18"/>
      <c r="J1591" s="18"/>
      <c r="K1591" s="18"/>
      <c r="L1591" s="18"/>
      <c r="M1591" s="19"/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8"/>
      <c r="Y1591" s="18"/>
      <c r="Z1591" s="18"/>
      <c r="AA1591" s="18"/>
      <c r="AB1591" s="18"/>
      <c r="AC1591" s="18"/>
      <c r="AD1591" s="18"/>
      <c r="AE1591" s="18"/>
      <c r="AF1591" s="18"/>
      <c r="AG1591" s="18"/>
      <c r="AH1591" s="18"/>
      <c r="AI1591" s="18"/>
      <c r="AJ1591" s="18"/>
      <c r="AK1591" s="18"/>
      <c r="AL1591" s="18"/>
      <c r="AM1591" s="18"/>
    </row>
    <row r="1592" spans="6:39" x14ac:dyDescent="0.35">
      <c r="F1592" s="18"/>
      <c r="G1592" s="19"/>
      <c r="H1592" s="18"/>
      <c r="I1592" s="18"/>
      <c r="J1592" s="18"/>
      <c r="K1592" s="18"/>
      <c r="L1592" s="18"/>
      <c r="M1592" s="19"/>
      <c r="N1592" s="18"/>
      <c r="O1592" s="18"/>
      <c r="P1592" s="18"/>
      <c r="Q1592" s="18"/>
      <c r="R1592" s="18"/>
      <c r="S1592" s="18"/>
      <c r="T1592" s="18"/>
      <c r="U1592" s="18"/>
      <c r="V1592" s="18"/>
      <c r="W1592" s="18"/>
      <c r="X1592" s="18"/>
      <c r="Y1592" s="18"/>
      <c r="Z1592" s="18"/>
      <c r="AA1592" s="18"/>
      <c r="AB1592" s="18"/>
      <c r="AC1592" s="18"/>
      <c r="AD1592" s="18"/>
      <c r="AE1592" s="18"/>
      <c r="AF1592" s="18"/>
      <c r="AG1592" s="18"/>
      <c r="AH1592" s="18"/>
      <c r="AI1592" s="18"/>
      <c r="AJ1592" s="18"/>
      <c r="AK1592" s="18"/>
      <c r="AL1592" s="18"/>
      <c r="AM1592" s="18"/>
    </row>
    <row r="1593" spans="6:39" x14ac:dyDescent="0.35">
      <c r="F1593" s="18"/>
      <c r="G1593" s="19"/>
      <c r="H1593" s="18"/>
      <c r="I1593" s="18"/>
      <c r="J1593" s="18"/>
      <c r="K1593" s="18"/>
      <c r="L1593" s="18"/>
      <c r="M1593" s="19"/>
      <c r="N1593" s="18"/>
      <c r="O1593" s="18"/>
      <c r="P1593" s="18"/>
      <c r="Q1593" s="18"/>
      <c r="R1593" s="18"/>
      <c r="S1593" s="18"/>
      <c r="T1593" s="18"/>
      <c r="U1593" s="18"/>
      <c r="V1593" s="18"/>
      <c r="W1593" s="18"/>
      <c r="X1593" s="18"/>
      <c r="Y1593" s="18"/>
      <c r="Z1593" s="18"/>
      <c r="AA1593" s="18"/>
      <c r="AB1593" s="18"/>
      <c r="AC1593" s="18"/>
      <c r="AD1593" s="18"/>
      <c r="AE1593" s="18"/>
      <c r="AF1593" s="18"/>
      <c r="AG1593" s="18"/>
      <c r="AH1593" s="18"/>
      <c r="AI1593" s="18"/>
      <c r="AJ1593" s="18"/>
      <c r="AK1593" s="18"/>
      <c r="AL1593" s="18"/>
      <c r="AM1593" s="18"/>
    </row>
    <row r="1594" spans="6:39" x14ac:dyDescent="0.35">
      <c r="F1594" s="18"/>
      <c r="G1594" s="19"/>
      <c r="H1594" s="18"/>
      <c r="I1594" s="18"/>
      <c r="J1594" s="18"/>
      <c r="K1594" s="18"/>
      <c r="L1594" s="18"/>
      <c r="M1594" s="19"/>
      <c r="N1594" s="18"/>
      <c r="O1594" s="18"/>
      <c r="P1594" s="18"/>
      <c r="Q1594" s="18"/>
      <c r="R1594" s="18"/>
      <c r="S1594" s="18"/>
      <c r="T1594" s="18"/>
      <c r="U1594" s="18"/>
      <c r="V1594" s="18"/>
      <c r="W1594" s="18"/>
      <c r="X1594" s="18"/>
      <c r="Y1594" s="18"/>
      <c r="Z1594" s="18"/>
      <c r="AA1594" s="18"/>
      <c r="AB1594" s="18"/>
      <c r="AC1594" s="18"/>
      <c r="AD1594" s="18"/>
      <c r="AE1594" s="18"/>
      <c r="AF1594" s="18"/>
      <c r="AG1594" s="18"/>
      <c r="AH1594" s="18"/>
      <c r="AI1594" s="18"/>
      <c r="AJ1594" s="18"/>
      <c r="AK1594" s="18"/>
      <c r="AL1594" s="18"/>
      <c r="AM1594" s="18"/>
    </row>
    <row r="1595" spans="6:39" x14ac:dyDescent="0.35">
      <c r="F1595" s="18"/>
      <c r="G1595" s="19"/>
      <c r="H1595" s="18"/>
      <c r="I1595" s="18"/>
      <c r="J1595" s="18"/>
      <c r="K1595" s="18"/>
      <c r="L1595" s="18"/>
      <c r="M1595" s="19"/>
      <c r="N1595" s="18"/>
      <c r="O1595" s="18"/>
      <c r="P1595" s="18"/>
      <c r="Q1595" s="18"/>
      <c r="R1595" s="18"/>
      <c r="S1595" s="18"/>
      <c r="T1595" s="18"/>
      <c r="U1595" s="18"/>
      <c r="V1595" s="18"/>
      <c r="W1595" s="18"/>
      <c r="X1595" s="18"/>
      <c r="Y1595" s="18"/>
      <c r="Z1595" s="18"/>
      <c r="AA1595" s="18"/>
      <c r="AB1595" s="18"/>
      <c r="AC1595" s="18"/>
      <c r="AD1595" s="18"/>
      <c r="AE1595" s="18"/>
      <c r="AF1595" s="18"/>
      <c r="AG1595" s="18"/>
      <c r="AH1595" s="18"/>
      <c r="AI1595" s="18"/>
      <c r="AJ1595" s="18"/>
      <c r="AK1595" s="18"/>
      <c r="AL1595" s="18"/>
      <c r="AM1595" s="18"/>
    </row>
    <row r="1596" spans="6:39" x14ac:dyDescent="0.35">
      <c r="F1596" s="18"/>
      <c r="G1596" s="19"/>
      <c r="H1596" s="18"/>
      <c r="I1596" s="18"/>
      <c r="J1596" s="18"/>
      <c r="K1596" s="18"/>
      <c r="L1596" s="18"/>
      <c r="M1596" s="19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  <c r="Z1596" s="18"/>
      <c r="AA1596" s="18"/>
      <c r="AB1596" s="18"/>
      <c r="AC1596" s="18"/>
      <c r="AD1596" s="18"/>
      <c r="AE1596" s="18"/>
      <c r="AF1596" s="18"/>
      <c r="AG1596" s="18"/>
      <c r="AH1596" s="18"/>
      <c r="AI1596" s="18"/>
      <c r="AJ1596" s="18"/>
      <c r="AK1596" s="18"/>
      <c r="AL1596" s="18"/>
      <c r="AM1596" s="18"/>
    </row>
    <row r="1597" spans="6:39" x14ac:dyDescent="0.35">
      <c r="F1597" s="18"/>
      <c r="G1597" s="19"/>
      <c r="H1597" s="18"/>
      <c r="I1597" s="18"/>
      <c r="J1597" s="18"/>
      <c r="K1597" s="18"/>
      <c r="L1597" s="18"/>
      <c r="M1597" s="19"/>
      <c r="N1597" s="18"/>
      <c r="O1597" s="18"/>
      <c r="P1597" s="18"/>
      <c r="Q1597" s="18"/>
      <c r="R1597" s="18"/>
      <c r="S1597" s="18"/>
      <c r="T1597" s="18"/>
      <c r="U1597" s="18"/>
      <c r="V1597" s="18"/>
      <c r="W1597" s="18"/>
      <c r="X1597" s="18"/>
      <c r="Y1597" s="18"/>
      <c r="Z1597" s="18"/>
      <c r="AA1597" s="18"/>
      <c r="AB1597" s="18"/>
      <c r="AC1597" s="18"/>
      <c r="AD1597" s="18"/>
      <c r="AE1597" s="18"/>
      <c r="AF1597" s="18"/>
      <c r="AG1597" s="18"/>
      <c r="AH1597" s="18"/>
      <c r="AI1597" s="18"/>
      <c r="AJ1597" s="18"/>
      <c r="AK1597" s="18"/>
      <c r="AL1597" s="18"/>
      <c r="AM1597" s="18"/>
    </row>
    <row r="1598" spans="6:39" x14ac:dyDescent="0.35">
      <c r="F1598" s="18"/>
      <c r="G1598" s="19"/>
      <c r="H1598" s="18"/>
      <c r="I1598" s="18"/>
      <c r="J1598" s="18"/>
      <c r="K1598" s="18"/>
      <c r="L1598" s="18"/>
      <c r="M1598" s="19"/>
      <c r="N1598" s="18"/>
      <c r="O1598" s="18"/>
      <c r="P1598" s="18"/>
      <c r="Q1598" s="18"/>
      <c r="R1598" s="18"/>
      <c r="S1598" s="18"/>
      <c r="T1598" s="18"/>
      <c r="U1598" s="18"/>
      <c r="V1598" s="18"/>
      <c r="W1598" s="18"/>
      <c r="X1598" s="18"/>
      <c r="Y1598" s="18"/>
      <c r="Z1598" s="18"/>
      <c r="AA1598" s="18"/>
      <c r="AB1598" s="18"/>
      <c r="AC1598" s="18"/>
      <c r="AD1598" s="18"/>
      <c r="AE1598" s="18"/>
      <c r="AF1598" s="18"/>
      <c r="AG1598" s="18"/>
      <c r="AH1598" s="18"/>
      <c r="AI1598" s="18"/>
      <c r="AJ1598" s="18"/>
      <c r="AK1598" s="18"/>
      <c r="AL1598" s="18"/>
      <c r="AM1598" s="18"/>
    </row>
    <row r="1599" spans="6:39" x14ac:dyDescent="0.35">
      <c r="F1599" s="18"/>
      <c r="G1599" s="19"/>
      <c r="H1599" s="18"/>
      <c r="I1599" s="18"/>
      <c r="J1599" s="18"/>
      <c r="K1599" s="18"/>
      <c r="L1599" s="18"/>
      <c r="M1599" s="19"/>
      <c r="N1599" s="18"/>
      <c r="O1599" s="18"/>
      <c r="P1599" s="18"/>
      <c r="Q1599" s="18"/>
      <c r="R1599" s="18"/>
      <c r="S1599" s="18"/>
      <c r="T1599" s="18"/>
      <c r="U1599" s="18"/>
      <c r="V1599" s="18"/>
      <c r="W1599" s="18"/>
      <c r="X1599" s="18"/>
      <c r="Y1599" s="18"/>
      <c r="Z1599" s="18"/>
      <c r="AA1599" s="18"/>
      <c r="AB1599" s="18"/>
      <c r="AC1599" s="18"/>
      <c r="AD1599" s="18"/>
      <c r="AE1599" s="18"/>
      <c r="AF1599" s="18"/>
      <c r="AG1599" s="18"/>
      <c r="AH1599" s="18"/>
      <c r="AI1599" s="18"/>
      <c r="AJ1599" s="18"/>
      <c r="AK1599" s="18"/>
      <c r="AL1599" s="18"/>
      <c r="AM1599" s="18"/>
    </row>
    <row r="1600" spans="6:39" x14ac:dyDescent="0.35">
      <c r="F1600" s="18"/>
      <c r="G1600" s="19"/>
      <c r="H1600" s="18"/>
      <c r="I1600" s="18"/>
      <c r="J1600" s="18"/>
      <c r="K1600" s="18"/>
      <c r="L1600" s="18"/>
      <c r="M1600" s="19"/>
      <c r="N1600" s="18"/>
      <c r="O1600" s="18"/>
      <c r="P1600" s="18"/>
      <c r="Q1600" s="18"/>
      <c r="R1600" s="18"/>
      <c r="S1600" s="18"/>
      <c r="T1600" s="18"/>
      <c r="U1600" s="18"/>
      <c r="V1600" s="18"/>
      <c r="W1600" s="18"/>
      <c r="X1600" s="18"/>
      <c r="Y1600" s="18"/>
      <c r="Z1600" s="18"/>
      <c r="AA1600" s="18"/>
      <c r="AB1600" s="18"/>
      <c r="AC1600" s="18"/>
      <c r="AD1600" s="18"/>
      <c r="AE1600" s="18"/>
      <c r="AF1600" s="18"/>
      <c r="AG1600" s="18"/>
      <c r="AH1600" s="18"/>
      <c r="AI1600" s="18"/>
      <c r="AJ1600" s="18"/>
      <c r="AK1600" s="18"/>
      <c r="AL1600" s="18"/>
      <c r="AM1600" s="18"/>
    </row>
    <row r="1601" spans="6:39" x14ac:dyDescent="0.35">
      <c r="F1601" s="18"/>
      <c r="G1601" s="19"/>
      <c r="H1601" s="18"/>
      <c r="I1601" s="18"/>
      <c r="J1601" s="18"/>
      <c r="K1601" s="18"/>
      <c r="L1601" s="18"/>
      <c r="M1601" s="19"/>
      <c r="N1601" s="18"/>
      <c r="O1601" s="18"/>
      <c r="P1601" s="18"/>
      <c r="Q1601" s="18"/>
      <c r="R1601" s="18"/>
      <c r="S1601" s="18"/>
      <c r="T1601" s="18"/>
      <c r="U1601" s="18"/>
      <c r="V1601" s="18"/>
      <c r="W1601" s="18"/>
      <c r="X1601" s="18"/>
      <c r="Y1601" s="18"/>
      <c r="Z1601" s="18"/>
      <c r="AA1601" s="18"/>
      <c r="AB1601" s="18"/>
      <c r="AC1601" s="18"/>
      <c r="AD1601" s="18"/>
      <c r="AE1601" s="18"/>
      <c r="AF1601" s="18"/>
      <c r="AG1601" s="18"/>
      <c r="AH1601" s="18"/>
      <c r="AI1601" s="18"/>
      <c r="AJ1601" s="18"/>
      <c r="AK1601" s="18"/>
      <c r="AL1601" s="18"/>
      <c r="AM1601" s="18"/>
    </row>
    <row r="1602" spans="6:39" x14ac:dyDescent="0.35">
      <c r="F1602" s="18"/>
      <c r="G1602" s="19"/>
      <c r="H1602" s="18"/>
      <c r="I1602" s="18"/>
      <c r="J1602" s="18"/>
      <c r="K1602" s="18"/>
      <c r="L1602" s="18"/>
      <c r="M1602" s="19"/>
      <c r="N1602" s="18"/>
      <c r="O1602" s="18"/>
      <c r="P1602" s="18"/>
      <c r="Q1602" s="18"/>
      <c r="R1602" s="18"/>
      <c r="S1602" s="18"/>
      <c r="T1602" s="18"/>
      <c r="U1602" s="18"/>
      <c r="V1602" s="18"/>
      <c r="W1602" s="18"/>
      <c r="X1602" s="18"/>
      <c r="Y1602" s="18"/>
      <c r="Z1602" s="18"/>
      <c r="AA1602" s="18"/>
      <c r="AB1602" s="18"/>
      <c r="AC1602" s="18"/>
      <c r="AD1602" s="18"/>
      <c r="AE1602" s="18"/>
      <c r="AF1602" s="18"/>
      <c r="AG1602" s="18"/>
      <c r="AH1602" s="18"/>
      <c r="AI1602" s="18"/>
      <c r="AJ1602" s="18"/>
      <c r="AK1602" s="18"/>
      <c r="AL1602" s="18"/>
      <c r="AM1602" s="18"/>
    </row>
    <row r="1603" spans="6:39" x14ac:dyDescent="0.35">
      <c r="F1603" s="18"/>
      <c r="G1603" s="19"/>
      <c r="H1603" s="18"/>
      <c r="I1603" s="18"/>
      <c r="J1603" s="18"/>
      <c r="K1603" s="18"/>
      <c r="L1603" s="18"/>
      <c r="M1603" s="19"/>
      <c r="N1603" s="18"/>
      <c r="O1603" s="18"/>
      <c r="P1603" s="18"/>
      <c r="Q1603" s="18"/>
      <c r="R1603" s="18"/>
      <c r="S1603" s="18"/>
      <c r="T1603" s="18"/>
      <c r="U1603" s="18"/>
      <c r="V1603" s="18"/>
      <c r="W1603" s="18"/>
      <c r="X1603" s="18"/>
      <c r="Y1603" s="18"/>
      <c r="Z1603" s="18"/>
      <c r="AA1603" s="18"/>
      <c r="AB1603" s="18"/>
      <c r="AC1603" s="18"/>
      <c r="AD1603" s="18"/>
      <c r="AE1603" s="18"/>
      <c r="AF1603" s="18"/>
      <c r="AG1603" s="18"/>
      <c r="AH1603" s="18"/>
      <c r="AI1603" s="18"/>
      <c r="AJ1603" s="18"/>
      <c r="AK1603" s="18"/>
      <c r="AL1603" s="18"/>
      <c r="AM1603" s="18"/>
    </row>
    <row r="1604" spans="6:39" x14ac:dyDescent="0.35">
      <c r="F1604" s="18"/>
      <c r="G1604" s="19"/>
      <c r="H1604" s="18"/>
      <c r="I1604" s="18"/>
      <c r="J1604" s="18"/>
      <c r="K1604" s="18"/>
      <c r="L1604" s="18"/>
      <c r="M1604" s="19"/>
      <c r="N1604" s="18"/>
      <c r="O1604" s="18"/>
      <c r="P1604" s="18"/>
      <c r="Q1604" s="18"/>
      <c r="R1604" s="18"/>
      <c r="S1604" s="18"/>
      <c r="T1604" s="18"/>
      <c r="U1604" s="18"/>
      <c r="V1604" s="18"/>
      <c r="W1604" s="18"/>
      <c r="X1604" s="18"/>
      <c r="Y1604" s="18"/>
      <c r="Z1604" s="18"/>
      <c r="AA1604" s="18"/>
      <c r="AB1604" s="18"/>
      <c r="AC1604" s="18"/>
      <c r="AD1604" s="18"/>
      <c r="AE1604" s="18"/>
      <c r="AF1604" s="18"/>
      <c r="AG1604" s="18"/>
      <c r="AH1604" s="18"/>
      <c r="AI1604" s="18"/>
      <c r="AJ1604" s="18"/>
      <c r="AK1604" s="18"/>
      <c r="AL1604" s="18"/>
      <c r="AM1604" s="18"/>
    </row>
    <row r="1605" spans="6:39" x14ac:dyDescent="0.35">
      <c r="F1605" s="18"/>
      <c r="G1605" s="19"/>
      <c r="H1605" s="18"/>
      <c r="I1605" s="18"/>
      <c r="J1605" s="18"/>
      <c r="K1605" s="18"/>
      <c r="L1605" s="18"/>
      <c r="M1605" s="19"/>
      <c r="N1605" s="18"/>
      <c r="O1605" s="18"/>
      <c r="P1605" s="18"/>
      <c r="Q1605" s="18"/>
      <c r="R1605" s="18"/>
      <c r="S1605" s="18"/>
      <c r="T1605" s="18"/>
      <c r="U1605" s="18"/>
      <c r="V1605" s="18"/>
      <c r="W1605" s="18"/>
      <c r="X1605" s="18"/>
      <c r="Y1605" s="18"/>
      <c r="Z1605" s="18"/>
      <c r="AA1605" s="18"/>
      <c r="AB1605" s="18"/>
      <c r="AC1605" s="18"/>
      <c r="AD1605" s="18"/>
      <c r="AE1605" s="18"/>
      <c r="AF1605" s="18"/>
      <c r="AG1605" s="18"/>
      <c r="AH1605" s="18"/>
      <c r="AI1605" s="18"/>
      <c r="AJ1605" s="18"/>
      <c r="AK1605" s="18"/>
      <c r="AL1605" s="18"/>
      <c r="AM1605" s="18"/>
    </row>
    <row r="1606" spans="6:39" x14ac:dyDescent="0.35">
      <c r="F1606" s="18"/>
      <c r="G1606" s="19"/>
      <c r="H1606" s="18"/>
      <c r="I1606" s="18"/>
      <c r="J1606" s="18"/>
      <c r="K1606" s="18"/>
      <c r="L1606" s="18"/>
      <c r="M1606" s="19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  <c r="Y1606" s="18"/>
      <c r="Z1606" s="18"/>
      <c r="AA1606" s="18"/>
      <c r="AB1606" s="18"/>
      <c r="AC1606" s="18"/>
      <c r="AD1606" s="18"/>
      <c r="AE1606" s="18"/>
      <c r="AF1606" s="18"/>
      <c r="AG1606" s="18"/>
      <c r="AH1606" s="18"/>
      <c r="AI1606" s="18"/>
      <c r="AJ1606" s="18"/>
      <c r="AK1606" s="18"/>
      <c r="AL1606" s="18"/>
      <c r="AM1606" s="18"/>
    </row>
    <row r="1607" spans="6:39" x14ac:dyDescent="0.35">
      <c r="F1607" s="18"/>
      <c r="G1607" s="19"/>
      <c r="H1607" s="18"/>
      <c r="I1607" s="18"/>
      <c r="J1607" s="18"/>
      <c r="K1607" s="18"/>
      <c r="L1607" s="18"/>
      <c r="M1607" s="19"/>
      <c r="N1607" s="18"/>
      <c r="O1607" s="18"/>
      <c r="P1607" s="18"/>
      <c r="Q1607" s="18"/>
      <c r="R1607" s="18"/>
      <c r="S1607" s="18"/>
      <c r="T1607" s="18"/>
      <c r="U1607" s="18"/>
      <c r="V1607" s="18"/>
      <c r="W1607" s="18"/>
      <c r="X1607" s="18"/>
      <c r="Y1607" s="18"/>
      <c r="Z1607" s="18"/>
      <c r="AA1607" s="18"/>
      <c r="AB1607" s="18"/>
      <c r="AC1607" s="18"/>
      <c r="AD1607" s="18"/>
      <c r="AE1607" s="18"/>
      <c r="AF1607" s="18"/>
      <c r="AG1607" s="18"/>
      <c r="AH1607" s="18"/>
      <c r="AI1607" s="18"/>
      <c r="AJ1607" s="18"/>
      <c r="AK1607" s="18"/>
      <c r="AL1607" s="18"/>
      <c r="AM1607" s="18"/>
    </row>
    <row r="1608" spans="6:39" x14ac:dyDescent="0.35">
      <c r="F1608" s="18"/>
      <c r="G1608" s="19"/>
      <c r="H1608" s="18"/>
      <c r="I1608" s="18"/>
      <c r="J1608" s="18"/>
      <c r="K1608" s="18"/>
      <c r="L1608" s="18"/>
      <c r="M1608" s="19"/>
      <c r="N1608" s="18"/>
      <c r="O1608" s="18"/>
      <c r="P1608" s="18"/>
      <c r="Q1608" s="18"/>
      <c r="R1608" s="18"/>
      <c r="S1608" s="18"/>
      <c r="T1608" s="18"/>
      <c r="U1608" s="18"/>
      <c r="V1608" s="18"/>
      <c r="W1608" s="18"/>
      <c r="X1608" s="18"/>
      <c r="Y1608" s="18"/>
      <c r="Z1608" s="18"/>
      <c r="AA1608" s="18"/>
      <c r="AB1608" s="18"/>
      <c r="AC1608" s="18"/>
      <c r="AD1608" s="18"/>
      <c r="AE1608" s="18"/>
      <c r="AF1608" s="18"/>
      <c r="AG1608" s="18"/>
      <c r="AH1608" s="18"/>
      <c r="AI1608" s="18"/>
      <c r="AJ1608" s="18"/>
      <c r="AK1608" s="18"/>
      <c r="AL1608" s="18"/>
      <c r="AM1608" s="18"/>
    </row>
    <row r="1609" spans="6:39" x14ac:dyDescent="0.35">
      <c r="F1609" s="18"/>
      <c r="G1609" s="19"/>
      <c r="H1609" s="18"/>
      <c r="I1609" s="18"/>
      <c r="J1609" s="18"/>
      <c r="K1609" s="18"/>
      <c r="L1609" s="18"/>
      <c r="M1609" s="19"/>
      <c r="N1609" s="18"/>
      <c r="O1609" s="18"/>
      <c r="P1609" s="18"/>
      <c r="Q1609" s="18"/>
      <c r="R1609" s="18"/>
      <c r="S1609" s="18"/>
      <c r="T1609" s="18"/>
      <c r="U1609" s="18"/>
      <c r="V1609" s="18"/>
      <c r="W1609" s="18"/>
      <c r="X1609" s="18"/>
      <c r="Y1609" s="18"/>
      <c r="Z1609" s="18"/>
      <c r="AA1609" s="18"/>
      <c r="AB1609" s="18"/>
      <c r="AC1609" s="18"/>
      <c r="AD1609" s="18"/>
      <c r="AE1609" s="18"/>
      <c r="AF1609" s="18"/>
      <c r="AG1609" s="18"/>
      <c r="AH1609" s="18"/>
      <c r="AI1609" s="18"/>
      <c r="AJ1609" s="18"/>
      <c r="AK1609" s="18"/>
      <c r="AL1609" s="18"/>
      <c r="AM1609" s="18"/>
    </row>
    <row r="1610" spans="6:39" x14ac:dyDescent="0.35">
      <c r="F1610" s="18"/>
      <c r="G1610" s="19"/>
      <c r="H1610" s="18"/>
      <c r="I1610" s="18"/>
      <c r="J1610" s="18"/>
      <c r="K1610" s="18"/>
      <c r="L1610" s="18"/>
      <c r="M1610" s="19"/>
      <c r="N1610" s="18"/>
      <c r="O1610" s="18"/>
      <c r="P1610" s="18"/>
      <c r="Q1610" s="18"/>
      <c r="R1610" s="18"/>
      <c r="S1610" s="18"/>
      <c r="T1610" s="18"/>
      <c r="U1610" s="18"/>
      <c r="V1610" s="18"/>
      <c r="W1610" s="18"/>
      <c r="X1610" s="18"/>
      <c r="Y1610" s="18"/>
      <c r="Z1610" s="18"/>
      <c r="AA1610" s="18"/>
      <c r="AB1610" s="18"/>
      <c r="AC1610" s="18"/>
      <c r="AD1610" s="18"/>
      <c r="AE1610" s="18"/>
      <c r="AF1610" s="18"/>
      <c r="AG1610" s="18"/>
      <c r="AH1610" s="18"/>
      <c r="AI1610" s="18"/>
      <c r="AJ1610" s="18"/>
      <c r="AK1610" s="18"/>
      <c r="AL1610" s="18"/>
      <c r="AM1610" s="18"/>
    </row>
    <row r="1611" spans="6:39" x14ac:dyDescent="0.35">
      <c r="F1611" s="18"/>
      <c r="G1611" s="19"/>
      <c r="H1611" s="18"/>
      <c r="I1611" s="18"/>
      <c r="J1611" s="18"/>
      <c r="K1611" s="18"/>
      <c r="L1611" s="18"/>
      <c r="M1611" s="19"/>
      <c r="N1611" s="18"/>
      <c r="O1611" s="18"/>
      <c r="P1611" s="18"/>
      <c r="Q1611" s="18"/>
      <c r="R1611" s="18"/>
      <c r="S1611" s="18"/>
      <c r="T1611" s="18"/>
      <c r="U1611" s="18"/>
      <c r="V1611" s="18"/>
      <c r="W1611" s="18"/>
      <c r="X1611" s="18"/>
      <c r="Y1611" s="18"/>
      <c r="Z1611" s="18"/>
      <c r="AA1611" s="18"/>
      <c r="AB1611" s="18"/>
      <c r="AC1611" s="18"/>
      <c r="AD1611" s="18"/>
      <c r="AE1611" s="18"/>
      <c r="AF1611" s="18"/>
      <c r="AG1611" s="18"/>
      <c r="AH1611" s="18"/>
      <c r="AI1611" s="18"/>
      <c r="AJ1611" s="18"/>
      <c r="AK1611" s="18"/>
      <c r="AL1611" s="18"/>
      <c r="AM1611" s="18"/>
    </row>
    <row r="1612" spans="6:39" x14ac:dyDescent="0.35">
      <c r="F1612" s="18"/>
      <c r="G1612" s="19"/>
      <c r="H1612" s="18"/>
      <c r="I1612" s="18"/>
      <c r="J1612" s="18"/>
      <c r="K1612" s="18"/>
      <c r="L1612" s="18"/>
      <c r="M1612" s="19"/>
      <c r="N1612" s="18"/>
      <c r="O1612" s="18"/>
      <c r="P1612" s="18"/>
      <c r="Q1612" s="18"/>
      <c r="R1612" s="18"/>
      <c r="S1612" s="18"/>
      <c r="T1612" s="18"/>
      <c r="U1612" s="18"/>
      <c r="V1612" s="18"/>
      <c r="W1612" s="18"/>
      <c r="X1612" s="18"/>
      <c r="Y1612" s="18"/>
      <c r="Z1612" s="18"/>
      <c r="AA1612" s="18"/>
      <c r="AB1612" s="18"/>
      <c r="AC1612" s="18"/>
      <c r="AD1612" s="18"/>
      <c r="AE1612" s="18"/>
      <c r="AF1612" s="18"/>
      <c r="AG1612" s="18"/>
      <c r="AH1612" s="18"/>
      <c r="AI1612" s="18"/>
      <c r="AJ1612" s="18"/>
      <c r="AK1612" s="18"/>
      <c r="AL1612" s="18"/>
      <c r="AM1612" s="18"/>
    </row>
    <row r="1613" spans="6:39" x14ac:dyDescent="0.35">
      <c r="F1613" s="18"/>
      <c r="G1613" s="19"/>
      <c r="H1613" s="18"/>
      <c r="I1613" s="18"/>
      <c r="J1613" s="18"/>
      <c r="K1613" s="18"/>
      <c r="L1613" s="18"/>
      <c r="M1613" s="19"/>
      <c r="N1613" s="18"/>
      <c r="O1613" s="18"/>
      <c r="P1613" s="18"/>
      <c r="Q1613" s="18"/>
      <c r="R1613" s="18"/>
      <c r="S1613" s="18"/>
      <c r="T1613" s="18"/>
      <c r="U1613" s="18"/>
      <c r="V1613" s="18"/>
      <c r="W1613" s="18"/>
      <c r="X1613" s="18"/>
      <c r="Y1613" s="18"/>
      <c r="Z1613" s="18"/>
      <c r="AA1613" s="18"/>
      <c r="AB1613" s="18"/>
      <c r="AC1613" s="18"/>
      <c r="AD1613" s="18"/>
      <c r="AE1613" s="18"/>
      <c r="AF1613" s="18"/>
      <c r="AG1613" s="18"/>
      <c r="AH1613" s="18"/>
      <c r="AI1613" s="18"/>
      <c r="AJ1613" s="18"/>
      <c r="AK1613" s="18"/>
      <c r="AL1613" s="18"/>
      <c r="AM1613" s="18"/>
    </row>
    <row r="1614" spans="6:39" x14ac:dyDescent="0.35">
      <c r="F1614" s="18"/>
      <c r="G1614" s="19"/>
      <c r="H1614" s="18"/>
      <c r="I1614" s="18"/>
      <c r="J1614" s="18"/>
      <c r="K1614" s="18"/>
      <c r="L1614" s="18"/>
      <c r="M1614" s="19"/>
      <c r="N1614" s="18"/>
      <c r="O1614" s="18"/>
      <c r="P1614" s="18"/>
      <c r="Q1614" s="18"/>
      <c r="R1614" s="18"/>
      <c r="S1614" s="18"/>
      <c r="T1614" s="18"/>
      <c r="U1614" s="18"/>
      <c r="V1614" s="18"/>
      <c r="W1614" s="18"/>
      <c r="X1614" s="18"/>
      <c r="Y1614" s="18"/>
      <c r="Z1614" s="18"/>
      <c r="AA1614" s="18"/>
      <c r="AB1614" s="18"/>
      <c r="AC1614" s="18"/>
      <c r="AD1614" s="18"/>
      <c r="AE1614" s="18"/>
      <c r="AF1614" s="18"/>
      <c r="AG1614" s="18"/>
      <c r="AH1614" s="18"/>
      <c r="AI1614" s="18"/>
      <c r="AJ1614" s="18"/>
      <c r="AK1614" s="18"/>
      <c r="AL1614" s="18"/>
      <c r="AM1614" s="18"/>
    </row>
    <row r="1615" spans="6:39" x14ac:dyDescent="0.35">
      <c r="F1615" s="18"/>
      <c r="G1615" s="19"/>
      <c r="H1615" s="18"/>
      <c r="I1615" s="18"/>
      <c r="J1615" s="18"/>
      <c r="K1615" s="18"/>
      <c r="L1615" s="18"/>
      <c r="M1615" s="19"/>
      <c r="N1615" s="18"/>
      <c r="O1615" s="18"/>
      <c r="P1615" s="18"/>
      <c r="Q1615" s="18"/>
      <c r="R1615" s="18"/>
      <c r="S1615" s="18"/>
      <c r="T1615" s="18"/>
      <c r="U1615" s="18"/>
      <c r="V1615" s="18"/>
      <c r="W1615" s="18"/>
      <c r="X1615" s="18"/>
      <c r="Y1615" s="18"/>
      <c r="Z1615" s="18"/>
      <c r="AA1615" s="18"/>
      <c r="AB1615" s="18"/>
      <c r="AC1615" s="18"/>
      <c r="AD1615" s="18"/>
      <c r="AE1615" s="18"/>
      <c r="AF1615" s="18"/>
      <c r="AG1615" s="18"/>
      <c r="AH1615" s="18"/>
      <c r="AI1615" s="18"/>
      <c r="AJ1615" s="18"/>
      <c r="AK1615" s="18"/>
      <c r="AL1615" s="18"/>
      <c r="AM1615" s="18"/>
    </row>
    <row r="1616" spans="6:39" x14ac:dyDescent="0.35">
      <c r="F1616" s="18"/>
      <c r="G1616" s="19"/>
      <c r="H1616" s="18"/>
      <c r="I1616" s="18"/>
      <c r="J1616" s="18"/>
      <c r="K1616" s="18"/>
      <c r="L1616" s="18"/>
      <c r="M1616" s="19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8"/>
      <c r="Y1616" s="18"/>
      <c r="Z1616" s="18"/>
      <c r="AA1616" s="18"/>
      <c r="AB1616" s="18"/>
      <c r="AC1616" s="18"/>
      <c r="AD1616" s="18"/>
      <c r="AE1616" s="18"/>
      <c r="AF1616" s="18"/>
      <c r="AG1616" s="18"/>
      <c r="AH1616" s="18"/>
      <c r="AI1616" s="18"/>
      <c r="AJ1616" s="18"/>
      <c r="AK1616" s="18"/>
      <c r="AL1616" s="18"/>
      <c r="AM1616" s="18"/>
    </row>
  </sheetData>
  <autoFilter ref="F2:T1616" xr:uid="{6829FE3A-4B87-4B3F-A04A-1ADE523E770F}"/>
  <dataValidations disablePrompts="1" count="1">
    <dataValidation type="decimal" allowBlank="1" showInputMessage="1" showErrorMessage="1" sqref="B17" xr:uid="{A3BFBD98-E44C-4550-98AD-45CA37957F44}">
      <formula1>0.01</formula1>
      <formula2>999999999999</formula2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BDBC-6BE6-4863-8A7D-B5C7454C5948}">
  <sheetPr>
    <tabColor rgb="FFFFC000"/>
  </sheetPr>
  <dimension ref="A3:D42"/>
  <sheetViews>
    <sheetView topLeftCell="A2" workbookViewId="0">
      <selection activeCell="A2" sqref="A2"/>
    </sheetView>
  </sheetViews>
  <sheetFormatPr defaultRowHeight="14.5" x14ac:dyDescent="0.35"/>
  <cols>
    <col min="1" max="1" width="46.1796875" bestFit="1" customWidth="1"/>
    <col min="2" max="2" width="17" style="182" bestFit="1" customWidth="1"/>
    <col min="3" max="3" width="13.6328125" style="182" bestFit="1" customWidth="1"/>
  </cols>
  <sheetData>
    <row r="3" spans="1:4" x14ac:dyDescent="0.35">
      <c r="A3" s="58" t="s">
        <v>1050</v>
      </c>
      <c r="B3" s="182" t="s">
        <v>2499</v>
      </c>
      <c r="C3" s="182" t="s">
        <v>4793</v>
      </c>
      <c r="D3" t="s">
        <v>3061</v>
      </c>
    </row>
    <row r="4" spans="1:4" x14ac:dyDescent="0.35">
      <c r="A4" s="59" t="s">
        <v>1076</v>
      </c>
      <c r="B4" s="182">
        <v>62153</v>
      </c>
      <c r="C4" s="182">
        <f>-_xlfn.XLOOKUP(A4,[1]Sheet1!$A:$A,[1]Sheet1!$E:$E)</f>
        <v>62153.14</v>
      </c>
      <c r="D4" s="184">
        <f>C4-B4</f>
        <v>0.13999999999941792</v>
      </c>
    </row>
    <row r="5" spans="1:4" x14ac:dyDescent="0.35">
      <c r="A5" s="59" t="s">
        <v>1078</v>
      </c>
      <c r="B5" s="182">
        <v>524904</v>
      </c>
      <c r="C5" s="182">
        <f>-_xlfn.XLOOKUP(A5,[1]Sheet1!$A:$A,[1]Sheet1!$E:$E)</f>
        <v>524903.72</v>
      </c>
      <c r="D5" s="184">
        <f t="shared" ref="D5:D41" si="0">C5-B5</f>
        <v>-0.28000000002793968</v>
      </c>
    </row>
    <row r="6" spans="1:4" x14ac:dyDescent="0.35">
      <c r="A6" s="59" t="s">
        <v>4956</v>
      </c>
      <c r="B6" s="182">
        <v>175997</v>
      </c>
      <c r="C6" s="182">
        <f>-_xlfn.XLOOKUP(A6,[1]Sheet1!$A:$A,[1]Sheet1!$E:$E)</f>
        <v>175997</v>
      </c>
      <c r="D6" s="184">
        <f t="shared" si="0"/>
        <v>0</v>
      </c>
    </row>
    <row r="7" spans="1:4" x14ac:dyDescent="0.35">
      <c r="A7" s="59" t="s">
        <v>5278</v>
      </c>
      <c r="B7" s="182">
        <v>5327</v>
      </c>
      <c r="C7" s="182">
        <f>-_xlfn.XLOOKUP(A7,[1]Sheet1!$A:$A,[1]Sheet1!$E:$E)</f>
        <v>5327.16</v>
      </c>
      <c r="D7" s="184">
        <f t="shared" si="0"/>
        <v>0.15999999999985448</v>
      </c>
    </row>
    <row r="8" spans="1:4" x14ac:dyDescent="0.35">
      <c r="A8" s="59" t="s">
        <v>1189</v>
      </c>
      <c r="B8" s="182">
        <v>632008</v>
      </c>
      <c r="C8" s="182">
        <f>-_xlfn.XLOOKUP(A8,[1]Sheet1!$A:$A,[1]Sheet1!$E:$E)</f>
        <v>632008</v>
      </c>
      <c r="D8" s="184">
        <f t="shared" si="0"/>
        <v>0</v>
      </c>
    </row>
    <row r="9" spans="1:4" x14ac:dyDescent="0.35">
      <c r="A9" s="59" t="s">
        <v>1403</v>
      </c>
      <c r="B9" s="182">
        <v>4409607</v>
      </c>
      <c r="C9" s="182">
        <f>-_xlfn.XLOOKUP(A9,[1]Sheet1!$A:$A,[1]Sheet1!$E:$E)</f>
        <v>4409607</v>
      </c>
      <c r="D9" s="184">
        <f t="shared" si="0"/>
        <v>0</v>
      </c>
    </row>
    <row r="10" spans="1:4" x14ac:dyDescent="0.35">
      <c r="A10" s="59" t="s">
        <v>4957</v>
      </c>
      <c r="B10" s="182">
        <v>7670</v>
      </c>
      <c r="C10" s="182">
        <f>-_xlfn.XLOOKUP(A10,[1]Sheet1!$A:$A,[1]Sheet1!$E:$E)</f>
        <v>7670</v>
      </c>
      <c r="D10" s="184">
        <f t="shared" si="0"/>
        <v>0</v>
      </c>
    </row>
    <row r="11" spans="1:4" x14ac:dyDescent="0.35">
      <c r="A11" s="59" t="s">
        <v>2250</v>
      </c>
      <c r="B11" s="182">
        <v>4809415.3</v>
      </c>
      <c r="C11" s="182">
        <f>-_xlfn.XLOOKUP(A11,[1]Sheet1!$A:$A,[1]Sheet1!$E:$E)</f>
        <v>4809415.3600000003</v>
      </c>
      <c r="D11" s="184">
        <f t="shared" si="0"/>
        <v>6.0000000521540642E-2</v>
      </c>
    </row>
    <row r="12" spans="1:4" x14ac:dyDescent="0.35">
      <c r="A12" s="59" t="s">
        <v>4788</v>
      </c>
      <c r="B12" s="182">
        <v>214856.89</v>
      </c>
      <c r="C12" s="182">
        <f>-_xlfn.XLOOKUP(A12,[1]Sheet1!$A:$A,[1]Sheet1!$E:$E)</f>
        <v>214856.89</v>
      </c>
      <c r="D12" s="184">
        <f t="shared" si="0"/>
        <v>0</v>
      </c>
    </row>
    <row r="13" spans="1:4" x14ac:dyDescent="0.35">
      <c r="A13" s="59" t="s">
        <v>4955</v>
      </c>
      <c r="B13" s="182">
        <v>9917</v>
      </c>
      <c r="C13" s="182">
        <f>-_xlfn.XLOOKUP(A13,[1]Sheet1!$A:$A,[1]Sheet1!$E:$E)</f>
        <v>9917.25</v>
      </c>
      <c r="D13" s="184">
        <f t="shared" si="0"/>
        <v>0.25</v>
      </c>
    </row>
    <row r="14" spans="1:4" x14ac:dyDescent="0.35">
      <c r="A14" s="59" t="s">
        <v>5287</v>
      </c>
      <c r="B14" s="182">
        <v>2209</v>
      </c>
      <c r="C14" s="182">
        <f>-_xlfn.XLOOKUP(A14,[1]Sheet1!$A:$A,[1]Sheet1!$E:$E)</f>
        <v>2208.52</v>
      </c>
      <c r="D14" s="184">
        <f t="shared" si="0"/>
        <v>-0.48000000000001819</v>
      </c>
    </row>
    <row r="15" spans="1:4" x14ac:dyDescent="0.35">
      <c r="A15" s="59" t="s">
        <v>4755</v>
      </c>
      <c r="B15" s="182">
        <v>219286</v>
      </c>
      <c r="C15" s="182">
        <f>-_xlfn.XLOOKUP(A15,[1]Sheet1!$A:$A,[1]Sheet1!$E:$E)</f>
        <v>219286</v>
      </c>
      <c r="D15" s="184">
        <f t="shared" si="0"/>
        <v>0</v>
      </c>
    </row>
    <row r="16" spans="1:4" x14ac:dyDescent="0.35">
      <c r="A16" s="59" t="s">
        <v>1095</v>
      </c>
      <c r="B16" s="182">
        <v>6238544.4199999999</v>
      </c>
      <c r="C16" s="182">
        <f>-_xlfn.XLOOKUP(A16,[1]Sheet1!$A:$A,[1]Sheet1!$E:$E)</f>
        <v>6238544.4199999999</v>
      </c>
      <c r="D16" s="184">
        <f t="shared" si="0"/>
        <v>0</v>
      </c>
    </row>
    <row r="17" spans="1:4" x14ac:dyDescent="0.35">
      <c r="A17" s="59" t="s">
        <v>3910</v>
      </c>
      <c r="B17" s="182">
        <v>3218882.36</v>
      </c>
      <c r="C17" s="182">
        <f>-_xlfn.XLOOKUP(A17,[1]Sheet1!$A:$A,[1]Sheet1!$E:$E)</f>
        <v>3218882.36</v>
      </c>
      <c r="D17" s="184">
        <f t="shared" si="0"/>
        <v>0</v>
      </c>
    </row>
    <row r="18" spans="1:4" x14ac:dyDescent="0.35">
      <c r="A18" s="59" t="s">
        <v>4954</v>
      </c>
      <c r="B18" s="182">
        <v>43660</v>
      </c>
      <c r="C18" s="182">
        <f>-_xlfn.XLOOKUP(A18,[1]Sheet1!$A:$A,[1]Sheet1!$E:$E)</f>
        <v>43660</v>
      </c>
      <c r="D18" s="184">
        <f t="shared" si="0"/>
        <v>0</v>
      </c>
    </row>
    <row r="19" spans="1:4" x14ac:dyDescent="0.35">
      <c r="A19" s="59" t="s">
        <v>5273</v>
      </c>
      <c r="B19" s="182">
        <v>6154380</v>
      </c>
      <c r="C19" s="182">
        <f>-_xlfn.XLOOKUP(A19,[1]Sheet1!$A:$A,[1]Sheet1!$E:$E)</f>
        <v>6154380</v>
      </c>
      <c r="D19" s="184">
        <f t="shared" si="0"/>
        <v>0</v>
      </c>
    </row>
    <row r="20" spans="1:4" x14ac:dyDescent="0.35">
      <c r="A20" s="59" t="s">
        <v>1079</v>
      </c>
      <c r="B20" s="182">
        <v>11573443.67</v>
      </c>
      <c r="C20" s="182">
        <f>-_xlfn.XLOOKUP(A20,[1]Sheet1!$A:$A,[1]Sheet1!$E:$E)</f>
        <v>11573443.67</v>
      </c>
      <c r="D20" s="184">
        <f t="shared" si="0"/>
        <v>0</v>
      </c>
    </row>
    <row r="21" spans="1:4" x14ac:dyDescent="0.35">
      <c r="A21" s="59" t="s">
        <v>3059</v>
      </c>
      <c r="B21" s="182">
        <v>2070513.4</v>
      </c>
      <c r="C21" s="182">
        <f>-_xlfn.XLOOKUP(A21,[1]Sheet1!$A:$A,[1]Sheet1!$E:$E)</f>
        <v>2070513.4</v>
      </c>
      <c r="D21" s="184">
        <f t="shared" si="0"/>
        <v>0</v>
      </c>
    </row>
    <row r="22" spans="1:4" x14ac:dyDescent="0.35">
      <c r="A22" s="59" t="s">
        <v>4790</v>
      </c>
      <c r="B22" s="182">
        <v>1593301</v>
      </c>
      <c r="C22" s="182">
        <f>-_xlfn.XLOOKUP(A22,[1]Sheet1!$A:$A,[1]Sheet1!$E:$E)</f>
        <v>1593301</v>
      </c>
      <c r="D22" s="184">
        <f t="shared" si="0"/>
        <v>0</v>
      </c>
    </row>
    <row r="23" spans="1:4" x14ac:dyDescent="0.35">
      <c r="A23" s="59" t="s">
        <v>1194</v>
      </c>
      <c r="B23" s="182">
        <v>1380431</v>
      </c>
      <c r="C23" s="182">
        <f>-_xlfn.XLOOKUP(A23,[1]Sheet1!$A:$A,[1]Sheet1!$E:$E)</f>
        <v>1380431</v>
      </c>
      <c r="D23" s="184">
        <f t="shared" si="0"/>
        <v>0</v>
      </c>
    </row>
    <row r="24" spans="1:4" x14ac:dyDescent="0.35">
      <c r="A24" s="59" t="s">
        <v>4789</v>
      </c>
      <c r="B24" s="182">
        <v>49605.599999999999</v>
      </c>
      <c r="C24" s="182">
        <f>-_xlfn.XLOOKUP(A24,[1]Sheet1!$A:$A,[1]Sheet1!$E:$E)</f>
        <v>49605.599999999999</v>
      </c>
      <c r="D24" s="184">
        <f t="shared" si="0"/>
        <v>0</v>
      </c>
    </row>
    <row r="25" spans="1:4" x14ac:dyDescent="0.35">
      <c r="A25" s="59" t="s">
        <v>5370</v>
      </c>
      <c r="B25" s="182">
        <v>199792</v>
      </c>
      <c r="C25" s="182">
        <f>-_xlfn.XLOOKUP(A25,[1]Sheet1!$A:$A,[1]Sheet1!$E:$E)</f>
        <v>199792</v>
      </c>
      <c r="D25" s="184">
        <f t="shared" si="0"/>
        <v>0</v>
      </c>
    </row>
    <row r="26" spans="1:4" x14ac:dyDescent="0.35">
      <c r="A26" s="59" t="s">
        <v>5372</v>
      </c>
      <c r="B26" s="182">
        <v>1525713</v>
      </c>
      <c r="C26" s="182">
        <f>-_xlfn.XLOOKUP(A26,[1]Sheet1!$A:$A,[1]Sheet1!$E:$E)</f>
        <v>1525713</v>
      </c>
      <c r="D26" s="184">
        <f t="shared" si="0"/>
        <v>0</v>
      </c>
    </row>
    <row r="27" spans="1:4" x14ac:dyDescent="0.35">
      <c r="A27" s="59" t="s">
        <v>5374</v>
      </c>
      <c r="B27" s="182">
        <v>2610842</v>
      </c>
      <c r="C27" s="182">
        <f>-_xlfn.XLOOKUP(A27,[1]Sheet1!$A:$A,[1]Sheet1!$E:$E)</f>
        <v>2610842.41</v>
      </c>
      <c r="D27" s="184">
        <f t="shared" si="0"/>
        <v>0.41000000014901161</v>
      </c>
    </row>
    <row r="28" spans="1:4" x14ac:dyDescent="0.35">
      <c r="A28" s="59" t="s">
        <v>5376</v>
      </c>
      <c r="B28" s="182">
        <v>435227.01</v>
      </c>
      <c r="C28" s="182">
        <f>-_xlfn.XLOOKUP(A28,[1]Sheet1!$A:$A,[1]Sheet1!$E:$E)</f>
        <v>435227.01</v>
      </c>
      <c r="D28" s="184">
        <f t="shared" si="0"/>
        <v>0</v>
      </c>
    </row>
    <row r="29" spans="1:4" x14ac:dyDescent="0.35">
      <c r="A29" s="59" t="s">
        <v>5378</v>
      </c>
      <c r="B29" s="182">
        <v>219712.8</v>
      </c>
      <c r="C29" s="182">
        <f>-_xlfn.XLOOKUP(A29,[1]Sheet1!$A:$A,[1]Sheet1!$E:$E)</f>
        <v>219712.8</v>
      </c>
      <c r="D29" s="184">
        <f t="shared" si="0"/>
        <v>0</v>
      </c>
    </row>
    <row r="30" spans="1:4" x14ac:dyDescent="0.35">
      <c r="A30" s="59" t="s">
        <v>5383</v>
      </c>
      <c r="B30" s="182">
        <v>840255</v>
      </c>
      <c r="C30" s="182">
        <f>-_xlfn.XLOOKUP(A30,[1]Sheet1!$A:$A,[1]Sheet1!$E:$E)</f>
        <v>840255</v>
      </c>
      <c r="D30" s="184">
        <f t="shared" si="0"/>
        <v>0</v>
      </c>
    </row>
    <row r="31" spans="1:4" x14ac:dyDescent="0.35">
      <c r="A31" s="59" t="s">
        <v>5387</v>
      </c>
      <c r="B31" s="182">
        <v>213539</v>
      </c>
      <c r="C31" s="182">
        <f>-_xlfn.XLOOKUP(A31,[1]Sheet1!$A:$A,[1]Sheet1!$E:$E)</f>
        <v>213539</v>
      </c>
      <c r="D31" s="184">
        <f t="shared" si="0"/>
        <v>0</v>
      </c>
    </row>
    <row r="32" spans="1:4" x14ac:dyDescent="0.35">
      <c r="A32" s="59" t="s">
        <v>5391</v>
      </c>
      <c r="B32" s="182">
        <v>1085600</v>
      </c>
      <c r="C32" s="182">
        <f>-_xlfn.XLOOKUP(A32,[1]Sheet1!$A:$A,[1]Sheet1!$E:$E)</f>
        <v>1085600</v>
      </c>
      <c r="D32" s="184">
        <f t="shared" si="0"/>
        <v>0</v>
      </c>
    </row>
    <row r="33" spans="1:4" x14ac:dyDescent="0.35">
      <c r="A33" s="59" t="s">
        <v>5395</v>
      </c>
      <c r="B33" s="182">
        <v>900269.64</v>
      </c>
      <c r="C33" s="182">
        <f>-_xlfn.XLOOKUP(A33,[1]Sheet1!$A:$A,[1]Sheet1!$E:$E)</f>
        <v>900269.64</v>
      </c>
      <c r="D33" s="184">
        <f t="shared" si="0"/>
        <v>0</v>
      </c>
    </row>
    <row r="34" spans="1:4" x14ac:dyDescent="0.35">
      <c r="A34" s="59" t="s">
        <v>5407</v>
      </c>
      <c r="B34" s="182">
        <v>7052366.2000000002</v>
      </c>
      <c r="C34" s="182">
        <f>-_xlfn.XLOOKUP(A34,[1]Sheet1!$A:$A,[1]Sheet1!$E:$E)</f>
        <v>7052366.2000000002</v>
      </c>
      <c r="D34" s="184">
        <f t="shared" si="0"/>
        <v>0</v>
      </c>
    </row>
    <row r="35" spans="1:4" x14ac:dyDescent="0.35">
      <c r="A35" s="59" t="s">
        <v>5411</v>
      </c>
      <c r="B35" s="182">
        <v>217579.14</v>
      </c>
      <c r="C35" s="182">
        <f>-_xlfn.XLOOKUP(A35,[1]Sheet1!$A:$A,[1]Sheet1!$E:$E)</f>
        <v>217579.14</v>
      </c>
      <c r="D35" s="184">
        <f t="shared" si="0"/>
        <v>0</v>
      </c>
    </row>
    <row r="36" spans="1:4" x14ac:dyDescent="0.35">
      <c r="A36" s="59" t="s">
        <v>5414</v>
      </c>
      <c r="B36" s="182">
        <v>2590593</v>
      </c>
      <c r="C36" s="182">
        <f>-_xlfn.XLOOKUP(A36,[1]Sheet1!$A:$A,[1]Sheet1!$E:$E)</f>
        <v>2590593</v>
      </c>
      <c r="D36" s="184">
        <f t="shared" si="0"/>
        <v>0</v>
      </c>
    </row>
    <row r="37" spans="1:4" x14ac:dyDescent="0.35">
      <c r="A37" s="59" t="s">
        <v>5418</v>
      </c>
      <c r="B37" s="182">
        <v>218300</v>
      </c>
      <c r="C37" s="182">
        <f>-_xlfn.XLOOKUP(A37,[1]Sheet1!$A:$A,[1]Sheet1!$E:$E)</f>
        <v>218300</v>
      </c>
      <c r="D37" s="184">
        <f t="shared" si="0"/>
        <v>0</v>
      </c>
    </row>
    <row r="38" spans="1:4" x14ac:dyDescent="0.35">
      <c r="A38" s="59" t="s">
        <v>5422</v>
      </c>
      <c r="B38" s="182">
        <v>362424.88</v>
      </c>
      <c r="C38" s="182">
        <f>-_xlfn.XLOOKUP(A38,[1]Sheet1!$A:$A,[1]Sheet1!$E:$E)</f>
        <v>362424.88</v>
      </c>
      <c r="D38" s="184">
        <f t="shared" si="0"/>
        <v>0</v>
      </c>
    </row>
    <row r="39" spans="1:4" x14ac:dyDescent="0.35">
      <c r="A39" s="59" t="s">
        <v>5429</v>
      </c>
      <c r="B39" s="182">
        <v>2465291.4</v>
      </c>
      <c r="C39" s="182">
        <f>-_xlfn.XLOOKUP(A39,[1]Sheet1!$A:$A,[1]Sheet1!$E:$E)</f>
        <v>2465291.4</v>
      </c>
      <c r="D39" s="184">
        <f t="shared" si="0"/>
        <v>0</v>
      </c>
    </row>
    <row r="40" spans="1:4" x14ac:dyDescent="0.35">
      <c r="A40" s="59" t="s">
        <v>5441</v>
      </c>
      <c r="B40" s="182">
        <v>63014</v>
      </c>
      <c r="C40" s="182">
        <f>-_xlfn.XLOOKUP(A40,[1]Sheet1!$A:$A,[1]Sheet1!$E:$E)</f>
        <v>63014</v>
      </c>
      <c r="D40" s="184">
        <f t="shared" si="0"/>
        <v>0</v>
      </c>
    </row>
    <row r="41" spans="1:4" x14ac:dyDescent="0.35">
      <c r="A41" s="59" t="s">
        <v>5451</v>
      </c>
      <c r="B41" s="182">
        <v>95124</v>
      </c>
      <c r="C41" s="182">
        <f>-_xlfn.XLOOKUP(A41,[1]Sheet1!$A:$A,[1]Sheet1!$E:$E)</f>
        <v>95124</v>
      </c>
      <c r="D41" s="184">
        <f t="shared" si="0"/>
        <v>0</v>
      </c>
    </row>
    <row r="42" spans="1:4" x14ac:dyDescent="0.35">
      <c r="A42" s="59" t="s">
        <v>1048</v>
      </c>
      <c r="B42" s="182">
        <v>64491754.710000001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7395-ECD4-484B-BCCD-B747767C0A51}">
  <sheetPr>
    <tabColor rgb="FFFFC000"/>
  </sheetPr>
  <dimension ref="A1:H200"/>
  <sheetViews>
    <sheetView topLeftCell="A53" workbookViewId="0">
      <selection activeCell="C69" sqref="C69"/>
    </sheetView>
  </sheetViews>
  <sheetFormatPr defaultRowHeight="14.5" x14ac:dyDescent="0.35"/>
  <cols>
    <col min="1" max="1" width="36.1796875" bestFit="1" customWidth="1"/>
    <col min="2" max="2" width="17.54296875" bestFit="1" customWidth="1"/>
    <col min="3" max="3" width="17.7265625" style="59" customWidth="1"/>
    <col min="4" max="4" width="11" bestFit="1" customWidth="1"/>
    <col min="5" max="5" width="14.6328125" style="182" bestFit="1" customWidth="1"/>
    <col min="7" max="7" width="12" bestFit="1" customWidth="1"/>
    <col min="8" max="8" width="10" bestFit="1" customWidth="1"/>
  </cols>
  <sheetData>
    <row r="1" spans="1:8" x14ac:dyDescent="0.35">
      <c r="D1" s="184"/>
      <c r="G1" s="2"/>
    </row>
    <row r="2" spans="1:8" x14ac:dyDescent="0.35">
      <c r="E2" s="182">
        <f>SUBTOTAL(9,E4:E200)</f>
        <v>68553152.340000004</v>
      </c>
      <c r="G2" s="184"/>
    </row>
    <row r="3" spans="1:8" x14ac:dyDescent="0.35">
      <c r="A3" s="92" t="s">
        <v>1069</v>
      </c>
      <c r="B3" s="92" t="s">
        <v>1070</v>
      </c>
      <c r="C3" s="93" t="s">
        <v>1071</v>
      </c>
      <c r="D3" s="92" t="s">
        <v>1072</v>
      </c>
      <c r="E3" s="190" t="s">
        <v>1073</v>
      </c>
    </row>
    <row r="4" spans="1:8" x14ac:dyDescent="0.35">
      <c r="A4" s="199" t="s">
        <v>1078</v>
      </c>
      <c r="B4" s="200" t="s">
        <v>1077</v>
      </c>
      <c r="C4" s="199" t="s">
        <v>3505</v>
      </c>
      <c r="D4" s="202" t="s">
        <v>3516</v>
      </c>
      <c r="E4" s="200">
        <v>524904</v>
      </c>
      <c r="G4" t="s">
        <v>3516</v>
      </c>
      <c r="H4" s="184">
        <v>524904</v>
      </c>
    </row>
    <row r="5" spans="1:8" x14ac:dyDescent="0.35">
      <c r="A5" s="199" t="s">
        <v>1079</v>
      </c>
      <c r="B5" s="200" t="s">
        <v>507</v>
      </c>
      <c r="C5" s="199" t="s">
        <v>4337</v>
      </c>
      <c r="D5" s="202" t="s">
        <v>4548</v>
      </c>
      <c r="E5" s="200">
        <v>613943.67000000004</v>
      </c>
      <c r="G5" t="s">
        <v>4548</v>
      </c>
      <c r="H5" s="184">
        <v>613943.67000000004</v>
      </c>
    </row>
    <row r="6" spans="1:8" x14ac:dyDescent="0.35">
      <c r="A6" s="199" t="s">
        <v>4789</v>
      </c>
      <c r="B6" s="200" t="s">
        <v>507</v>
      </c>
      <c r="C6" s="199" t="s">
        <v>4757</v>
      </c>
      <c r="D6" s="202" t="s">
        <v>4803</v>
      </c>
      <c r="E6" s="200">
        <v>49605.599999999999</v>
      </c>
      <c r="G6" t="s">
        <v>4803</v>
      </c>
      <c r="H6" s="184">
        <v>49605.599999999999</v>
      </c>
    </row>
    <row r="7" spans="1:8" x14ac:dyDescent="0.35">
      <c r="A7" s="199" t="s">
        <v>1194</v>
      </c>
      <c r="B7" s="200" t="s">
        <v>1195</v>
      </c>
      <c r="C7" s="199" t="s">
        <v>4841</v>
      </c>
      <c r="D7" s="203" t="s">
        <v>4847</v>
      </c>
      <c r="E7" s="200">
        <f>-7842+302682</f>
        <v>294840</v>
      </c>
      <c r="G7" t="s">
        <v>4847</v>
      </c>
      <c r="H7" s="184">
        <v>294840</v>
      </c>
    </row>
    <row r="8" spans="1:8" x14ac:dyDescent="0.35">
      <c r="A8" s="199" t="s">
        <v>4954</v>
      </c>
      <c r="B8" s="200" t="s">
        <v>4967</v>
      </c>
      <c r="C8" s="199" t="s">
        <v>4959</v>
      </c>
      <c r="D8" s="203" t="s">
        <v>4975</v>
      </c>
      <c r="E8" s="200">
        <v>27435</v>
      </c>
      <c r="G8" t="s">
        <v>4975</v>
      </c>
      <c r="H8" s="184">
        <v>27435</v>
      </c>
    </row>
    <row r="9" spans="1:8" x14ac:dyDescent="0.35">
      <c r="A9" s="199" t="s">
        <v>1076</v>
      </c>
      <c r="B9" s="200" t="s">
        <v>1077</v>
      </c>
      <c r="C9" s="199" t="s">
        <v>4961</v>
      </c>
      <c r="D9" s="203" t="s">
        <v>4991</v>
      </c>
      <c r="E9" s="200">
        <f>62153-53694</f>
        <v>8459</v>
      </c>
      <c r="G9" t="s">
        <v>4991</v>
      </c>
      <c r="H9" s="184">
        <v>8459</v>
      </c>
    </row>
    <row r="10" spans="1:8" x14ac:dyDescent="0.35">
      <c r="A10" s="199" t="s">
        <v>4955</v>
      </c>
      <c r="B10" s="200" t="s">
        <v>4968</v>
      </c>
      <c r="C10" s="199" t="s">
        <v>4962</v>
      </c>
      <c r="D10" s="203" t="s">
        <v>4976</v>
      </c>
      <c r="E10" s="200">
        <v>9917</v>
      </c>
      <c r="G10" t="s">
        <v>4976</v>
      </c>
      <c r="H10" s="184">
        <v>9917</v>
      </c>
    </row>
    <row r="11" spans="1:8" x14ac:dyDescent="0.35">
      <c r="A11" s="199" t="s">
        <v>4957</v>
      </c>
      <c r="B11" s="200" t="s">
        <v>4970</v>
      </c>
      <c r="C11" s="212" t="s">
        <v>4963</v>
      </c>
      <c r="D11" s="203" t="s">
        <v>4980</v>
      </c>
      <c r="E11" s="200">
        <v>7670</v>
      </c>
      <c r="G11" t="s">
        <v>4980</v>
      </c>
      <c r="H11" s="184">
        <v>7670</v>
      </c>
    </row>
    <row r="12" spans="1:8" x14ac:dyDescent="0.35">
      <c r="A12" s="199" t="s">
        <v>4954</v>
      </c>
      <c r="B12" s="200" t="s">
        <v>4967</v>
      </c>
      <c r="C12" s="199" t="s">
        <v>4965</v>
      </c>
      <c r="D12" s="203" t="s">
        <v>4980</v>
      </c>
      <c r="E12" s="200">
        <v>16225</v>
      </c>
      <c r="G12" t="s">
        <v>4980</v>
      </c>
      <c r="H12" s="184">
        <v>16225</v>
      </c>
    </row>
    <row r="13" spans="1:8" x14ac:dyDescent="0.35">
      <c r="A13" s="199" t="s">
        <v>1403</v>
      </c>
      <c r="B13" s="199" t="s">
        <v>1404</v>
      </c>
      <c r="C13" s="213">
        <v>9126100948</v>
      </c>
      <c r="D13" s="206" t="s">
        <v>4978</v>
      </c>
      <c r="E13" s="205">
        <v>32317</v>
      </c>
      <c r="G13" t="s">
        <v>4978</v>
      </c>
      <c r="H13" s="184">
        <v>32317</v>
      </c>
    </row>
    <row r="14" spans="1:8" x14ac:dyDescent="0.35">
      <c r="A14" s="199" t="s">
        <v>1076</v>
      </c>
      <c r="B14" s="199" t="s">
        <v>1077</v>
      </c>
      <c r="C14" s="213" t="s">
        <v>5256</v>
      </c>
      <c r="D14" s="206" t="s">
        <v>5203</v>
      </c>
      <c r="E14" s="205">
        <v>30444</v>
      </c>
      <c r="G14" t="s">
        <v>5203</v>
      </c>
      <c r="H14" s="184">
        <v>30444</v>
      </c>
    </row>
    <row r="15" spans="1:8" x14ac:dyDescent="0.35">
      <c r="A15" s="199" t="s">
        <v>1403</v>
      </c>
      <c r="B15" s="199" t="s">
        <v>1404</v>
      </c>
      <c r="C15" s="213">
        <v>9126102135</v>
      </c>
      <c r="D15" s="206" t="s">
        <v>5210</v>
      </c>
      <c r="E15" s="205">
        <v>920400</v>
      </c>
      <c r="G15" t="s">
        <v>5210</v>
      </c>
      <c r="H15" s="184">
        <v>920400</v>
      </c>
    </row>
    <row r="16" spans="1:8" x14ac:dyDescent="0.35">
      <c r="A16" s="199" t="s">
        <v>1194</v>
      </c>
      <c r="B16" s="199" t="s">
        <v>1195</v>
      </c>
      <c r="C16" s="213" t="s">
        <v>5258</v>
      </c>
      <c r="D16" s="207" t="s">
        <v>5259</v>
      </c>
      <c r="E16" s="205">
        <v>6107</v>
      </c>
      <c r="G16" t="s">
        <v>5259</v>
      </c>
      <c r="H16" s="184">
        <v>6107</v>
      </c>
    </row>
    <row r="17" spans="1:8" x14ac:dyDescent="0.35">
      <c r="A17" s="199" t="s">
        <v>1194</v>
      </c>
      <c r="B17" s="199" t="s">
        <v>1195</v>
      </c>
      <c r="C17" s="213" t="s">
        <v>5260</v>
      </c>
      <c r="D17" s="207" t="s">
        <v>5259</v>
      </c>
      <c r="E17" s="205">
        <v>163819</v>
      </c>
      <c r="G17" t="s">
        <v>5259</v>
      </c>
      <c r="H17" s="184">
        <v>163819</v>
      </c>
    </row>
    <row r="18" spans="1:8" x14ac:dyDescent="0.35">
      <c r="A18" s="199" t="s">
        <v>4956</v>
      </c>
      <c r="B18" s="199" t="s">
        <v>4969</v>
      </c>
      <c r="C18" s="213" t="s">
        <v>5263</v>
      </c>
      <c r="D18" s="207" t="s">
        <v>5218</v>
      </c>
      <c r="E18" s="205">
        <v>26847</v>
      </c>
      <c r="G18" t="s">
        <v>5218</v>
      </c>
      <c r="H18" s="184">
        <v>26847</v>
      </c>
    </row>
    <row r="19" spans="1:8" x14ac:dyDescent="0.35">
      <c r="A19" s="199" t="s">
        <v>1403</v>
      </c>
      <c r="B19" s="199" t="s">
        <v>1404</v>
      </c>
      <c r="C19" s="213">
        <v>9326100106</v>
      </c>
      <c r="D19" s="207" t="s">
        <v>5216</v>
      </c>
      <c r="E19" s="205">
        <v>719210</v>
      </c>
      <c r="G19" t="s">
        <v>5216</v>
      </c>
      <c r="H19" s="184">
        <v>719210</v>
      </c>
    </row>
    <row r="20" spans="1:8" x14ac:dyDescent="0.35">
      <c r="A20" s="199" t="s">
        <v>1403</v>
      </c>
      <c r="B20" s="199" t="s">
        <v>1404</v>
      </c>
      <c r="C20" s="213">
        <v>9326100126</v>
      </c>
      <c r="D20" s="207" t="s">
        <v>5220</v>
      </c>
      <c r="E20" s="205">
        <v>620680</v>
      </c>
      <c r="G20" t="s">
        <v>5220</v>
      </c>
      <c r="H20" s="184">
        <v>620680</v>
      </c>
    </row>
    <row r="21" spans="1:8" x14ac:dyDescent="0.35">
      <c r="A21" s="218" t="s">
        <v>4790</v>
      </c>
      <c r="B21" s="218" t="s">
        <v>4792</v>
      </c>
      <c r="C21" s="219" t="s">
        <v>5264</v>
      </c>
      <c r="D21" s="220" t="s">
        <v>5259</v>
      </c>
      <c r="E21" s="221">
        <f>-387106+462758</f>
        <v>75652</v>
      </c>
      <c r="G21" t="s">
        <v>5259</v>
      </c>
      <c r="H21" s="184">
        <v>75652</v>
      </c>
    </row>
    <row r="22" spans="1:8" x14ac:dyDescent="0.35">
      <c r="A22" s="218" t="s">
        <v>1194</v>
      </c>
      <c r="B22" s="218" t="s">
        <v>1195</v>
      </c>
      <c r="C22" s="219" t="s">
        <v>5267</v>
      </c>
      <c r="D22" s="220" t="s">
        <v>5259</v>
      </c>
      <c r="E22" s="221">
        <v>129989</v>
      </c>
      <c r="G22" t="s">
        <v>5259</v>
      </c>
      <c r="H22" s="184">
        <v>129989</v>
      </c>
    </row>
    <row r="23" spans="1:8" x14ac:dyDescent="0.35">
      <c r="A23" s="218" t="s">
        <v>1194</v>
      </c>
      <c r="B23" s="218" t="s">
        <v>1195</v>
      </c>
      <c r="C23" s="219" t="s">
        <v>5268</v>
      </c>
      <c r="D23" s="220" t="s">
        <v>5223</v>
      </c>
      <c r="E23" s="221">
        <v>59000</v>
      </c>
      <c r="G23" t="s">
        <v>5223</v>
      </c>
      <c r="H23" s="184">
        <v>59000</v>
      </c>
    </row>
    <row r="24" spans="1:8" x14ac:dyDescent="0.35">
      <c r="A24" s="218" t="s">
        <v>1189</v>
      </c>
      <c r="B24" s="218" t="s">
        <v>1190</v>
      </c>
      <c r="C24" s="219" t="s">
        <v>5269</v>
      </c>
      <c r="D24" s="220" t="s">
        <v>5220</v>
      </c>
      <c r="E24" s="221">
        <v>17408</v>
      </c>
      <c r="G24" t="s">
        <v>5220</v>
      </c>
      <c r="H24" s="184">
        <v>17408</v>
      </c>
    </row>
    <row r="25" spans="1:8" x14ac:dyDescent="0.35">
      <c r="A25" s="218" t="s">
        <v>4755</v>
      </c>
      <c r="B25" s="218" t="s">
        <v>4756</v>
      </c>
      <c r="C25" s="219" t="s">
        <v>5270</v>
      </c>
      <c r="D25" s="220" t="s">
        <v>4982</v>
      </c>
      <c r="E25" s="221">
        <f>10607432+24286</f>
        <v>10631718</v>
      </c>
      <c r="G25" t="s">
        <v>4982</v>
      </c>
      <c r="H25" s="184">
        <v>10631718</v>
      </c>
    </row>
    <row r="26" spans="1:8" x14ac:dyDescent="0.35">
      <c r="A26" s="218" t="s">
        <v>5383</v>
      </c>
      <c r="B26" s="218" t="s">
        <v>5384</v>
      </c>
      <c r="C26" s="219" t="s">
        <v>5555</v>
      </c>
      <c r="D26" s="211">
        <v>46210</v>
      </c>
      <c r="E26" s="221">
        <v>143099</v>
      </c>
      <c r="G26" t="s">
        <v>5585</v>
      </c>
      <c r="H26" s="184">
        <v>143099</v>
      </c>
    </row>
    <row r="27" spans="1:8" x14ac:dyDescent="0.35">
      <c r="A27" s="218" t="s">
        <v>5383</v>
      </c>
      <c r="B27" s="218" t="s">
        <v>5384</v>
      </c>
      <c r="C27" s="219" t="s">
        <v>5556</v>
      </c>
      <c r="D27" s="211">
        <v>46210</v>
      </c>
      <c r="E27" s="221">
        <v>321939</v>
      </c>
      <c r="G27" t="s">
        <v>5585</v>
      </c>
      <c r="H27" s="184">
        <v>321939</v>
      </c>
    </row>
    <row r="28" spans="1:8" x14ac:dyDescent="0.35">
      <c r="A28" s="218" t="s">
        <v>5383</v>
      </c>
      <c r="B28" s="218" t="s">
        <v>5384</v>
      </c>
      <c r="C28" s="219" t="s">
        <v>5557</v>
      </c>
      <c r="D28" s="211">
        <v>46224</v>
      </c>
      <c r="E28" s="221">
        <v>138768</v>
      </c>
      <c r="G28" t="s">
        <v>5576</v>
      </c>
      <c r="H28" s="184">
        <v>138768</v>
      </c>
    </row>
    <row r="29" spans="1:8" x14ac:dyDescent="0.35">
      <c r="A29" s="218" t="s">
        <v>5383</v>
      </c>
      <c r="B29" s="218" t="s">
        <v>5384</v>
      </c>
      <c r="C29" s="219" t="s">
        <v>5558</v>
      </c>
      <c r="D29" s="211">
        <v>46224</v>
      </c>
      <c r="E29" s="221">
        <v>477617</v>
      </c>
      <c r="G29" t="s">
        <v>5576</v>
      </c>
      <c r="H29" s="184">
        <v>477617</v>
      </c>
    </row>
    <row r="30" spans="1:8" x14ac:dyDescent="0.35">
      <c r="A30" s="218" t="s">
        <v>5383</v>
      </c>
      <c r="B30" s="218" t="s">
        <v>5384</v>
      </c>
      <c r="C30" s="219" t="s">
        <v>5559</v>
      </c>
      <c r="D30" s="211">
        <v>46204</v>
      </c>
      <c r="E30" s="221">
        <v>160185</v>
      </c>
      <c r="G30" t="s">
        <v>5577</v>
      </c>
      <c r="H30" s="184">
        <v>160185</v>
      </c>
    </row>
    <row r="31" spans="1:8" x14ac:dyDescent="0.35">
      <c r="A31" s="218" t="s">
        <v>5383</v>
      </c>
      <c r="B31" s="218" t="s">
        <v>5384</v>
      </c>
      <c r="C31" s="219" t="s">
        <v>5560</v>
      </c>
      <c r="D31" s="211">
        <v>46207</v>
      </c>
      <c r="E31" s="221">
        <v>185461</v>
      </c>
      <c r="G31" t="s">
        <v>5253</v>
      </c>
      <c r="H31" s="184">
        <v>185461</v>
      </c>
    </row>
    <row r="32" spans="1:8" x14ac:dyDescent="0.35">
      <c r="A32" s="218" t="s">
        <v>5383</v>
      </c>
      <c r="B32" s="218" t="s">
        <v>5384</v>
      </c>
      <c r="C32" s="219" t="s">
        <v>5385</v>
      </c>
      <c r="D32" s="211">
        <v>46207</v>
      </c>
      <c r="E32" s="221">
        <v>173460</v>
      </c>
      <c r="G32" t="s">
        <v>5253</v>
      </c>
      <c r="H32" s="184">
        <v>173460</v>
      </c>
    </row>
    <row r="33" spans="1:8" x14ac:dyDescent="0.35">
      <c r="A33" s="218" t="s">
        <v>5383</v>
      </c>
      <c r="B33" s="218" t="s">
        <v>5384</v>
      </c>
      <c r="C33" s="219" t="s">
        <v>5386</v>
      </c>
      <c r="D33" s="211">
        <v>46210</v>
      </c>
      <c r="E33" s="221">
        <v>321149</v>
      </c>
      <c r="G33" t="s">
        <v>5585</v>
      </c>
      <c r="H33" s="184">
        <v>321149</v>
      </c>
    </row>
    <row r="34" spans="1:8" x14ac:dyDescent="0.35">
      <c r="A34" s="218" t="s">
        <v>4156</v>
      </c>
      <c r="B34" s="218" t="s">
        <v>4186</v>
      </c>
      <c r="C34" s="219" t="s">
        <v>5284</v>
      </c>
      <c r="D34" s="211">
        <v>46196</v>
      </c>
      <c r="E34" s="221">
        <v>1504500</v>
      </c>
      <c r="G34" t="s">
        <v>5245</v>
      </c>
      <c r="H34" s="184">
        <v>1504500</v>
      </c>
    </row>
    <row r="35" spans="1:8" x14ac:dyDescent="0.35">
      <c r="A35" s="218" t="s">
        <v>4156</v>
      </c>
      <c r="B35" s="218" t="s">
        <v>4186</v>
      </c>
      <c r="C35" s="219" t="s">
        <v>4960</v>
      </c>
      <c r="D35" s="211">
        <v>46127</v>
      </c>
      <c r="E35" s="221">
        <v>1823100</v>
      </c>
      <c r="G35" t="s">
        <v>4990</v>
      </c>
      <c r="H35" s="184">
        <v>1823100</v>
      </c>
    </row>
    <row r="36" spans="1:8" x14ac:dyDescent="0.35">
      <c r="A36" s="218" t="s">
        <v>1724</v>
      </c>
      <c r="B36" s="218" t="s">
        <v>1725</v>
      </c>
      <c r="C36" s="219" t="s">
        <v>5266</v>
      </c>
      <c r="D36" s="211">
        <v>46161</v>
      </c>
      <c r="E36" s="221">
        <v>1298460</v>
      </c>
      <c r="G36" t="s">
        <v>5210</v>
      </c>
      <c r="H36" s="184">
        <v>1298460</v>
      </c>
    </row>
    <row r="37" spans="1:8" x14ac:dyDescent="0.35">
      <c r="A37" s="187" t="s">
        <v>1076</v>
      </c>
      <c r="B37" s="2" t="s">
        <v>1077</v>
      </c>
      <c r="C37" s="187" t="s">
        <v>5272</v>
      </c>
      <c r="D37" s="222">
        <v>46168</v>
      </c>
      <c r="E37" s="2">
        <v>23250</v>
      </c>
      <c r="G37" t="s">
        <v>5217</v>
      </c>
      <c r="H37" s="184">
        <v>23250</v>
      </c>
    </row>
    <row r="38" spans="1:8" x14ac:dyDescent="0.35">
      <c r="A38" s="187" t="s">
        <v>5273</v>
      </c>
      <c r="B38" s="2" t="s">
        <v>5274</v>
      </c>
      <c r="C38" s="187" t="s">
        <v>5275</v>
      </c>
      <c r="D38" s="222">
        <v>46175</v>
      </c>
      <c r="E38" s="2">
        <v>2223662</v>
      </c>
      <c r="G38" t="s">
        <v>5224</v>
      </c>
      <c r="H38" s="184">
        <v>2223662</v>
      </c>
    </row>
    <row r="39" spans="1:8" x14ac:dyDescent="0.35">
      <c r="A39" s="187" t="s">
        <v>1403</v>
      </c>
      <c r="B39" s="2" t="s">
        <v>1404</v>
      </c>
      <c r="C39" s="187">
        <v>9126102923</v>
      </c>
      <c r="D39" s="222">
        <v>46176</v>
      </c>
      <c r="E39" s="2">
        <v>294000</v>
      </c>
      <c r="G39" t="s">
        <v>5225</v>
      </c>
      <c r="H39" s="184">
        <v>294000</v>
      </c>
    </row>
    <row r="40" spans="1:8" x14ac:dyDescent="0.35">
      <c r="A40" s="187" t="s">
        <v>1189</v>
      </c>
      <c r="B40" s="2" t="s">
        <v>1190</v>
      </c>
      <c r="C40" s="187" t="s">
        <v>5276</v>
      </c>
      <c r="D40" s="222">
        <v>46175</v>
      </c>
      <c r="E40" s="2">
        <v>79000</v>
      </c>
      <c r="G40" t="s">
        <v>5224</v>
      </c>
      <c r="H40" s="184">
        <v>79000</v>
      </c>
    </row>
    <row r="41" spans="1:8" x14ac:dyDescent="0.35">
      <c r="A41" s="187" t="s">
        <v>1189</v>
      </c>
      <c r="B41" s="2" t="s">
        <v>1190</v>
      </c>
      <c r="C41" s="187" t="s">
        <v>5277</v>
      </c>
      <c r="D41" s="222">
        <v>46179</v>
      </c>
      <c r="E41" s="2">
        <v>158000</v>
      </c>
      <c r="G41" t="s">
        <v>5228</v>
      </c>
      <c r="H41" s="184">
        <v>158000</v>
      </c>
    </row>
    <row r="42" spans="1:8" x14ac:dyDescent="0.35">
      <c r="A42" s="187" t="s">
        <v>5278</v>
      </c>
      <c r="B42" s="2" t="s">
        <v>5279</v>
      </c>
      <c r="C42" s="187" t="s">
        <v>5280</v>
      </c>
      <c r="D42" s="222">
        <v>46183</v>
      </c>
      <c r="E42" s="2">
        <v>5327</v>
      </c>
      <c r="G42" t="s">
        <v>5232</v>
      </c>
      <c r="H42" s="184">
        <v>5327</v>
      </c>
    </row>
    <row r="43" spans="1:8" x14ac:dyDescent="0.35">
      <c r="A43" s="187" t="s">
        <v>1403</v>
      </c>
      <c r="B43" s="2" t="s">
        <v>1404</v>
      </c>
      <c r="C43" s="187">
        <v>9126103475</v>
      </c>
      <c r="D43" s="222">
        <v>46186</v>
      </c>
      <c r="E43" s="2">
        <v>481000</v>
      </c>
      <c r="G43" t="s">
        <v>5235</v>
      </c>
      <c r="H43" s="184">
        <v>481000</v>
      </c>
    </row>
    <row r="44" spans="1:8" x14ac:dyDescent="0.35">
      <c r="A44" s="187" t="s">
        <v>4956</v>
      </c>
      <c r="B44" s="2" t="s">
        <v>4969</v>
      </c>
      <c r="C44" s="187" t="s">
        <v>5283</v>
      </c>
      <c r="D44" s="222">
        <v>46190</v>
      </c>
      <c r="E44" s="2">
        <v>18150</v>
      </c>
      <c r="G44" t="s">
        <v>5239</v>
      </c>
      <c r="H44" s="184">
        <v>18150</v>
      </c>
    </row>
    <row r="45" spans="1:8" x14ac:dyDescent="0.35">
      <c r="A45" s="187" t="s">
        <v>1403</v>
      </c>
      <c r="B45" s="2" t="s">
        <v>1404</v>
      </c>
      <c r="C45" s="187">
        <v>9126103638</v>
      </c>
      <c r="D45" s="222">
        <v>46189</v>
      </c>
      <c r="E45" s="2">
        <v>169000</v>
      </c>
      <c r="G45" t="s">
        <v>5238</v>
      </c>
      <c r="H45" s="184">
        <v>169000</v>
      </c>
    </row>
    <row r="46" spans="1:8" x14ac:dyDescent="0.35">
      <c r="A46" s="187" t="s">
        <v>1403</v>
      </c>
      <c r="B46" s="2" t="s">
        <v>1404</v>
      </c>
      <c r="C46" s="187">
        <v>9326100451</v>
      </c>
      <c r="D46" s="222">
        <v>46196</v>
      </c>
      <c r="E46" s="2">
        <v>82000</v>
      </c>
      <c r="G46" t="s">
        <v>5245</v>
      </c>
      <c r="H46" s="184">
        <v>82000</v>
      </c>
    </row>
    <row r="47" spans="1:8" x14ac:dyDescent="0.35">
      <c r="A47" s="187" t="s">
        <v>1403</v>
      </c>
      <c r="B47" s="2" t="s">
        <v>1404</v>
      </c>
      <c r="C47" s="187">
        <v>9326100477</v>
      </c>
      <c r="D47" s="222">
        <v>46200</v>
      </c>
      <c r="E47" s="2">
        <v>98500</v>
      </c>
      <c r="G47" t="s">
        <v>5249</v>
      </c>
      <c r="H47" s="184">
        <v>98500</v>
      </c>
    </row>
    <row r="48" spans="1:8" x14ac:dyDescent="0.35">
      <c r="A48" s="187" t="s">
        <v>1403</v>
      </c>
      <c r="B48" s="2" t="s">
        <v>1404</v>
      </c>
      <c r="C48" s="187">
        <v>9326100477</v>
      </c>
      <c r="D48" s="222">
        <v>46200</v>
      </c>
      <c r="E48" s="2">
        <v>110000</v>
      </c>
      <c r="G48" t="s">
        <v>5249</v>
      </c>
      <c r="H48" s="184">
        <v>110000</v>
      </c>
    </row>
    <row r="49" spans="1:8" x14ac:dyDescent="0.35">
      <c r="A49" s="187" t="s">
        <v>1403</v>
      </c>
      <c r="B49" s="2" t="s">
        <v>1404</v>
      </c>
      <c r="C49" s="187">
        <v>9326100477</v>
      </c>
      <c r="D49" s="222">
        <v>46200</v>
      </c>
      <c r="E49" s="2">
        <v>83500</v>
      </c>
      <c r="G49" t="s">
        <v>5249</v>
      </c>
      <c r="H49" s="184">
        <v>83500</v>
      </c>
    </row>
    <row r="50" spans="1:8" x14ac:dyDescent="0.35">
      <c r="A50" s="187" t="s">
        <v>5287</v>
      </c>
      <c r="B50" s="2" t="s">
        <v>5288</v>
      </c>
      <c r="C50" s="187" t="s">
        <v>5289</v>
      </c>
      <c r="D50" s="222">
        <v>46174</v>
      </c>
      <c r="E50" s="2">
        <v>2209</v>
      </c>
      <c r="G50" t="s">
        <v>5196</v>
      </c>
      <c r="H50" s="184">
        <v>2209</v>
      </c>
    </row>
    <row r="51" spans="1:8" x14ac:dyDescent="0.35">
      <c r="A51" s="187" t="s">
        <v>4790</v>
      </c>
      <c r="B51" s="2" t="s">
        <v>4792</v>
      </c>
      <c r="C51" s="187" t="s">
        <v>5290</v>
      </c>
      <c r="D51" s="222">
        <v>46133</v>
      </c>
      <c r="E51" s="2">
        <v>420000</v>
      </c>
      <c r="G51" t="s">
        <v>4978</v>
      </c>
      <c r="H51" s="184">
        <v>420000</v>
      </c>
    </row>
    <row r="52" spans="1:8" x14ac:dyDescent="0.35">
      <c r="A52" s="187" t="s">
        <v>1189</v>
      </c>
      <c r="B52" s="2" t="s">
        <v>1190</v>
      </c>
      <c r="C52" s="187" t="s">
        <v>5294</v>
      </c>
      <c r="D52" s="222">
        <v>46191</v>
      </c>
      <c r="E52" s="2">
        <v>79000</v>
      </c>
      <c r="G52" t="s">
        <v>5240</v>
      </c>
      <c r="H52" s="184">
        <v>79000</v>
      </c>
    </row>
    <row r="53" spans="1:8" x14ac:dyDescent="0.35">
      <c r="A53" s="187" t="s">
        <v>1194</v>
      </c>
      <c r="B53" s="2" t="s">
        <v>1195</v>
      </c>
      <c r="C53" s="187" t="s">
        <v>5295</v>
      </c>
      <c r="D53" s="222">
        <v>46182</v>
      </c>
      <c r="E53" s="2">
        <v>110160</v>
      </c>
      <c r="G53" t="s">
        <v>5231</v>
      </c>
      <c r="H53" s="184">
        <v>110160</v>
      </c>
    </row>
    <row r="54" spans="1:8" x14ac:dyDescent="0.35">
      <c r="A54" s="2" t="s">
        <v>5370</v>
      </c>
      <c r="B54" s="2" t="s">
        <v>1</v>
      </c>
      <c r="C54" s="2" t="s">
        <v>5456</v>
      </c>
      <c r="D54" s="4">
        <v>46204</v>
      </c>
      <c r="E54" s="186">
        <v>16143</v>
      </c>
      <c r="G54" t="s">
        <v>5577</v>
      </c>
      <c r="H54" s="184">
        <v>16143</v>
      </c>
    </row>
    <row r="55" spans="1:8" x14ac:dyDescent="0.35">
      <c r="A55" s="2" t="s">
        <v>5370</v>
      </c>
      <c r="B55" s="2" t="s">
        <v>1</v>
      </c>
      <c r="C55" s="2" t="s">
        <v>5455</v>
      </c>
      <c r="D55" s="4">
        <v>46204</v>
      </c>
      <c r="E55" s="186">
        <v>32285</v>
      </c>
      <c r="G55" t="s">
        <v>5577</v>
      </c>
      <c r="H55" s="184">
        <v>32285</v>
      </c>
    </row>
    <row r="56" spans="1:8" x14ac:dyDescent="0.35">
      <c r="A56" s="2" t="s">
        <v>5370</v>
      </c>
      <c r="B56" s="2" t="s">
        <v>1</v>
      </c>
      <c r="C56" s="2" t="s">
        <v>5454</v>
      </c>
      <c r="D56" s="4">
        <v>46204</v>
      </c>
      <c r="E56" s="186">
        <v>49204</v>
      </c>
      <c r="G56" t="s">
        <v>5577</v>
      </c>
      <c r="H56" s="184">
        <v>49204</v>
      </c>
    </row>
    <row r="57" spans="1:8" x14ac:dyDescent="0.35">
      <c r="A57" s="2" t="s">
        <v>5370</v>
      </c>
      <c r="B57" s="2" t="s">
        <v>1</v>
      </c>
      <c r="C57" s="2" t="s">
        <v>5371</v>
      </c>
      <c r="D57" s="4">
        <v>46215</v>
      </c>
      <c r="E57" s="186">
        <v>102160</v>
      </c>
      <c r="G57" t="s">
        <v>5569</v>
      </c>
      <c r="H57" s="184">
        <v>102160</v>
      </c>
    </row>
    <row r="58" spans="1:8" x14ac:dyDescent="0.35">
      <c r="A58" s="2" t="s">
        <v>5372</v>
      </c>
      <c r="B58" s="2" t="s">
        <v>507</v>
      </c>
      <c r="C58" s="2" t="s">
        <v>5373</v>
      </c>
      <c r="D58" s="4">
        <v>46225</v>
      </c>
      <c r="E58" s="186">
        <v>1144284.75</v>
      </c>
      <c r="G58" t="s">
        <v>5578</v>
      </c>
      <c r="H58" s="184">
        <v>1144284.75</v>
      </c>
    </row>
    <row r="59" spans="1:8" x14ac:dyDescent="0.35">
      <c r="A59" s="2" t="s">
        <v>5372</v>
      </c>
      <c r="B59" s="2" t="s">
        <v>507</v>
      </c>
      <c r="C59" s="2" t="s">
        <v>5373</v>
      </c>
      <c r="D59" s="4">
        <v>46225</v>
      </c>
      <c r="E59" s="186">
        <v>381428.25</v>
      </c>
      <c r="G59" t="s">
        <v>5578</v>
      </c>
      <c r="H59" s="184">
        <v>381428.25</v>
      </c>
    </row>
    <row r="60" spans="1:8" x14ac:dyDescent="0.35">
      <c r="A60" s="2" t="s">
        <v>4956</v>
      </c>
      <c r="B60" s="2" t="s">
        <v>4969</v>
      </c>
      <c r="C60" s="2" t="s">
        <v>5375</v>
      </c>
      <c r="D60" s="4">
        <v>46209</v>
      </c>
      <c r="E60" s="186">
        <v>68300</v>
      </c>
      <c r="G60" t="s">
        <v>5566</v>
      </c>
      <c r="H60" s="184">
        <v>68300</v>
      </c>
    </row>
    <row r="61" spans="1:8" x14ac:dyDescent="0.35">
      <c r="A61" s="2" t="s">
        <v>4956</v>
      </c>
      <c r="B61" s="2" t="s">
        <v>4969</v>
      </c>
      <c r="C61" s="2" t="s">
        <v>5375</v>
      </c>
      <c r="D61" s="4">
        <v>46209</v>
      </c>
      <c r="E61" s="186">
        <v>62700</v>
      </c>
      <c r="G61" t="s">
        <v>5566</v>
      </c>
      <c r="H61" s="184">
        <v>62700</v>
      </c>
    </row>
    <row r="62" spans="1:8" x14ac:dyDescent="0.35">
      <c r="A62" s="2" t="s">
        <v>5376</v>
      </c>
      <c r="B62" s="2" t="s">
        <v>5377</v>
      </c>
      <c r="C62" s="2">
        <v>322</v>
      </c>
      <c r="D62" s="4">
        <v>46215</v>
      </c>
      <c r="E62" s="186">
        <v>413715.01</v>
      </c>
      <c r="G62" t="s">
        <v>5569</v>
      </c>
      <c r="H62" s="184">
        <v>413715.01</v>
      </c>
    </row>
    <row r="63" spans="1:8" x14ac:dyDescent="0.35">
      <c r="A63" s="2" t="s">
        <v>5376</v>
      </c>
      <c r="B63" s="2" t="s">
        <v>5377</v>
      </c>
      <c r="C63" s="2">
        <v>322</v>
      </c>
      <c r="D63" s="4">
        <v>46215</v>
      </c>
      <c r="E63" s="186">
        <v>1200</v>
      </c>
      <c r="G63" t="s">
        <v>5569</v>
      </c>
      <c r="H63" s="184">
        <v>1200</v>
      </c>
    </row>
    <row r="64" spans="1:8" x14ac:dyDescent="0.35">
      <c r="A64" s="2" t="s">
        <v>5376</v>
      </c>
      <c r="B64" s="2" t="s">
        <v>5377</v>
      </c>
      <c r="C64" s="2">
        <v>357</v>
      </c>
      <c r="D64" s="4">
        <v>46226</v>
      </c>
      <c r="E64" s="186">
        <v>5000</v>
      </c>
      <c r="G64" t="s">
        <v>5579</v>
      </c>
      <c r="H64" s="184">
        <v>5000</v>
      </c>
    </row>
    <row r="65" spans="1:8" x14ac:dyDescent="0.35">
      <c r="A65" s="2" t="s">
        <v>5376</v>
      </c>
      <c r="B65" s="2" t="s">
        <v>5377</v>
      </c>
      <c r="C65" s="2">
        <v>375</v>
      </c>
      <c r="D65" s="4">
        <v>46226</v>
      </c>
      <c r="E65" s="186">
        <v>1200</v>
      </c>
      <c r="G65" t="s">
        <v>5579</v>
      </c>
      <c r="H65" s="184">
        <v>1200</v>
      </c>
    </row>
    <row r="66" spans="1:8" x14ac:dyDescent="0.35">
      <c r="A66" s="2" t="s">
        <v>5376</v>
      </c>
      <c r="B66" s="2" t="s">
        <v>5377</v>
      </c>
      <c r="C66" s="2">
        <v>375</v>
      </c>
      <c r="D66" s="4">
        <v>46226</v>
      </c>
      <c r="E66" s="186">
        <v>5125</v>
      </c>
      <c r="G66" t="s">
        <v>5579</v>
      </c>
      <c r="H66" s="184">
        <v>5125</v>
      </c>
    </row>
    <row r="67" spans="1:8" x14ac:dyDescent="0.35">
      <c r="A67" s="2" t="s">
        <v>5376</v>
      </c>
      <c r="B67" s="2" t="s">
        <v>5377</v>
      </c>
      <c r="C67" s="2">
        <v>404</v>
      </c>
      <c r="D67" s="4">
        <v>46233</v>
      </c>
      <c r="E67" s="186">
        <v>8987</v>
      </c>
      <c r="G67" t="s">
        <v>5584</v>
      </c>
      <c r="H67" s="184">
        <v>8987</v>
      </c>
    </row>
    <row r="68" spans="1:8" x14ac:dyDescent="0.35">
      <c r="A68" s="2" t="s">
        <v>5378</v>
      </c>
      <c r="B68" s="2" t="s">
        <v>5379</v>
      </c>
      <c r="C68" s="2">
        <v>344</v>
      </c>
      <c r="D68" s="4">
        <v>46221</v>
      </c>
      <c r="E68" s="186">
        <v>176107.8</v>
      </c>
      <c r="G68" t="s">
        <v>5574</v>
      </c>
      <c r="H68" s="184">
        <v>176107.8</v>
      </c>
    </row>
    <row r="69" spans="1:8" x14ac:dyDescent="0.35">
      <c r="A69" s="2" t="s">
        <v>5378</v>
      </c>
      <c r="B69" s="2" t="s">
        <v>5379</v>
      </c>
      <c r="C69" s="2">
        <v>363</v>
      </c>
      <c r="D69" s="4">
        <v>46226</v>
      </c>
      <c r="E69" s="186">
        <v>24075</v>
      </c>
      <c r="G69" t="s">
        <v>5579</v>
      </c>
      <c r="H69" s="184">
        <v>24075</v>
      </c>
    </row>
    <row r="70" spans="1:8" x14ac:dyDescent="0.35">
      <c r="A70" s="2" t="s">
        <v>5378</v>
      </c>
      <c r="B70" s="2" t="s">
        <v>5379</v>
      </c>
      <c r="C70" s="2">
        <v>375</v>
      </c>
      <c r="D70" s="4">
        <v>46233</v>
      </c>
      <c r="E70" s="186">
        <v>14130</v>
      </c>
      <c r="G70" t="s">
        <v>5584</v>
      </c>
      <c r="H70" s="184">
        <v>14130</v>
      </c>
    </row>
    <row r="71" spans="1:8" x14ac:dyDescent="0.35">
      <c r="A71" s="2" t="s">
        <v>5378</v>
      </c>
      <c r="B71" s="2" t="s">
        <v>5379</v>
      </c>
      <c r="C71" s="2">
        <v>377</v>
      </c>
      <c r="D71" s="4">
        <v>46233</v>
      </c>
      <c r="E71" s="186">
        <v>5400</v>
      </c>
      <c r="G71" t="s">
        <v>5584</v>
      </c>
      <c r="H71" s="184">
        <v>5400</v>
      </c>
    </row>
    <row r="72" spans="1:8" x14ac:dyDescent="0.35">
      <c r="A72" s="2" t="s">
        <v>1189</v>
      </c>
      <c r="B72" s="2" t="s">
        <v>1190</v>
      </c>
      <c r="C72" s="2" t="s">
        <v>5380</v>
      </c>
      <c r="D72" s="4">
        <v>46213</v>
      </c>
      <c r="E72" s="186">
        <v>79000</v>
      </c>
      <c r="G72" t="s">
        <v>5590</v>
      </c>
      <c r="H72" s="184">
        <v>79000</v>
      </c>
    </row>
    <row r="73" spans="1:8" x14ac:dyDescent="0.35">
      <c r="A73" s="2" t="s">
        <v>1189</v>
      </c>
      <c r="B73" s="2" t="s">
        <v>1190</v>
      </c>
      <c r="C73" s="2" t="s">
        <v>5381</v>
      </c>
      <c r="D73" s="4">
        <v>46223</v>
      </c>
      <c r="E73" s="186">
        <v>61600</v>
      </c>
      <c r="G73" t="s">
        <v>5575</v>
      </c>
      <c r="H73" s="184">
        <v>61600</v>
      </c>
    </row>
    <row r="74" spans="1:8" x14ac:dyDescent="0.35">
      <c r="A74" s="2" t="s">
        <v>1189</v>
      </c>
      <c r="B74" s="2" t="s">
        <v>1190</v>
      </c>
      <c r="C74" s="2" t="s">
        <v>5382</v>
      </c>
      <c r="D74" s="4">
        <v>46215</v>
      </c>
      <c r="E74" s="186">
        <v>158000</v>
      </c>
      <c r="G74" t="s">
        <v>5569</v>
      </c>
      <c r="H74" s="184">
        <v>158000</v>
      </c>
    </row>
    <row r="75" spans="1:8" x14ac:dyDescent="0.35">
      <c r="A75" s="2" t="s">
        <v>1403</v>
      </c>
      <c r="B75" s="2" t="s">
        <v>1404</v>
      </c>
      <c r="C75" s="2">
        <v>9126104199</v>
      </c>
      <c r="D75" s="4">
        <v>46209</v>
      </c>
      <c r="E75" s="186">
        <v>82000</v>
      </c>
      <c r="G75" t="s">
        <v>5566</v>
      </c>
      <c r="H75" s="184">
        <v>82000</v>
      </c>
    </row>
    <row r="76" spans="1:8" x14ac:dyDescent="0.35">
      <c r="A76" s="2" t="s">
        <v>1403</v>
      </c>
      <c r="B76" s="2" t="s">
        <v>1404</v>
      </c>
      <c r="C76" s="2">
        <v>9126104819</v>
      </c>
      <c r="D76" s="4">
        <v>46214</v>
      </c>
      <c r="E76" s="186">
        <v>379500</v>
      </c>
      <c r="G76" t="s">
        <v>5568</v>
      </c>
      <c r="H76" s="184">
        <v>379500</v>
      </c>
    </row>
    <row r="77" spans="1:8" x14ac:dyDescent="0.35">
      <c r="A77" s="2" t="s">
        <v>1403</v>
      </c>
      <c r="B77" s="2" t="s">
        <v>1404</v>
      </c>
      <c r="C77" s="2">
        <v>9126105503</v>
      </c>
      <c r="D77" s="4">
        <v>46233</v>
      </c>
      <c r="E77" s="186">
        <v>102000</v>
      </c>
      <c r="G77" t="s">
        <v>5584</v>
      </c>
      <c r="H77" s="184">
        <v>102000</v>
      </c>
    </row>
    <row r="78" spans="1:8" x14ac:dyDescent="0.35">
      <c r="A78" s="2" t="s">
        <v>1403</v>
      </c>
      <c r="B78" s="2" t="s">
        <v>1404</v>
      </c>
      <c r="C78" s="2">
        <v>9126105503</v>
      </c>
      <c r="D78" s="4">
        <v>46233</v>
      </c>
      <c r="E78" s="186">
        <v>235500</v>
      </c>
      <c r="G78" t="s">
        <v>5584</v>
      </c>
      <c r="H78" s="184">
        <v>235500</v>
      </c>
    </row>
    <row r="79" spans="1:8" x14ac:dyDescent="0.35">
      <c r="A79" s="2" t="s">
        <v>5383</v>
      </c>
      <c r="B79" s="2" t="s">
        <v>5384</v>
      </c>
      <c r="C79" s="2" t="s">
        <v>5385</v>
      </c>
      <c r="D79" s="4">
        <v>46207</v>
      </c>
      <c r="E79" s="186">
        <v>568095</v>
      </c>
      <c r="G79" t="s">
        <v>5253</v>
      </c>
      <c r="H79" s="184">
        <v>568095</v>
      </c>
    </row>
    <row r="80" spans="1:8" x14ac:dyDescent="0.35">
      <c r="A80" s="2" t="s">
        <v>5383</v>
      </c>
      <c r="B80" s="2" t="s">
        <v>5384</v>
      </c>
      <c r="C80" s="2" t="s">
        <v>5386</v>
      </c>
      <c r="D80" s="4">
        <v>46210</v>
      </c>
      <c r="E80" s="186">
        <v>126000</v>
      </c>
      <c r="G80" t="s">
        <v>5585</v>
      </c>
      <c r="H80" s="184">
        <v>126000</v>
      </c>
    </row>
    <row r="81" spans="1:8" x14ac:dyDescent="0.35">
      <c r="A81" s="2" t="s">
        <v>5383</v>
      </c>
      <c r="B81" s="2" t="s">
        <v>5384</v>
      </c>
      <c r="C81" s="2" t="s">
        <v>5386</v>
      </c>
      <c r="D81" s="4">
        <v>46210</v>
      </c>
      <c r="E81" s="186">
        <v>146160</v>
      </c>
      <c r="G81" t="s">
        <v>5585</v>
      </c>
      <c r="H81" s="184">
        <v>146160</v>
      </c>
    </row>
    <row r="82" spans="1:8" x14ac:dyDescent="0.35">
      <c r="A82" s="2" t="s">
        <v>5387</v>
      </c>
      <c r="B82" s="2" t="s">
        <v>5388</v>
      </c>
      <c r="C82" s="2" t="s">
        <v>5389</v>
      </c>
      <c r="D82" s="4">
        <v>46224</v>
      </c>
      <c r="E82" s="186">
        <v>32573.5</v>
      </c>
      <c r="G82" t="s">
        <v>5576</v>
      </c>
      <c r="H82" s="184">
        <v>32573.5</v>
      </c>
    </row>
    <row r="83" spans="1:8" x14ac:dyDescent="0.35">
      <c r="A83" s="2" t="s">
        <v>5387</v>
      </c>
      <c r="B83" s="2" t="s">
        <v>5388</v>
      </c>
      <c r="C83" s="2" t="s">
        <v>5390</v>
      </c>
      <c r="D83" s="4">
        <v>46231</v>
      </c>
      <c r="E83" s="186">
        <v>180965.5</v>
      </c>
      <c r="G83" t="s">
        <v>5587</v>
      </c>
      <c r="H83" s="184">
        <v>180965.5</v>
      </c>
    </row>
    <row r="84" spans="1:8" x14ac:dyDescent="0.35">
      <c r="A84" s="2" t="s">
        <v>5391</v>
      </c>
      <c r="B84" s="2" t="s">
        <v>5392</v>
      </c>
      <c r="C84" s="2" t="s">
        <v>5393</v>
      </c>
      <c r="D84" s="4">
        <v>46206</v>
      </c>
      <c r="E84" s="186">
        <v>907600</v>
      </c>
      <c r="G84" t="s">
        <v>5564</v>
      </c>
      <c r="H84" s="184">
        <v>907600</v>
      </c>
    </row>
    <row r="85" spans="1:8" x14ac:dyDescent="0.35">
      <c r="A85" s="2" t="s">
        <v>5391</v>
      </c>
      <c r="B85" s="2" t="s">
        <v>5392</v>
      </c>
      <c r="C85" s="2" t="s">
        <v>5394</v>
      </c>
      <c r="D85" s="4">
        <v>46233</v>
      </c>
      <c r="E85" s="186">
        <v>178000</v>
      </c>
      <c r="G85" t="s">
        <v>5584</v>
      </c>
      <c r="H85" s="184">
        <v>178000</v>
      </c>
    </row>
    <row r="86" spans="1:8" x14ac:dyDescent="0.35">
      <c r="A86" s="2" t="s">
        <v>5395</v>
      </c>
      <c r="B86" s="2" t="s">
        <v>5396</v>
      </c>
      <c r="C86" s="2" t="s">
        <v>5397</v>
      </c>
      <c r="D86" s="4">
        <v>46213</v>
      </c>
      <c r="E86" s="186">
        <v>54235.640000000014</v>
      </c>
      <c r="G86" t="s">
        <v>5590</v>
      </c>
      <c r="H86" s="184">
        <v>54235.64</v>
      </c>
    </row>
    <row r="87" spans="1:8" x14ac:dyDescent="0.35">
      <c r="A87" s="2" t="s">
        <v>5395</v>
      </c>
      <c r="B87" s="2" t="s">
        <v>5396</v>
      </c>
      <c r="C87" s="2" t="s">
        <v>5397</v>
      </c>
      <c r="D87" s="4">
        <v>46213</v>
      </c>
      <c r="E87" s="186">
        <v>10427.5</v>
      </c>
      <c r="G87" t="s">
        <v>5590</v>
      </c>
      <c r="H87" s="184">
        <v>10427.5</v>
      </c>
    </row>
    <row r="88" spans="1:8" x14ac:dyDescent="0.35">
      <c r="A88" s="2" t="s">
        <v>5395</v>
      </c>
      <c r="B88" s="2" t="s">
        <v>5396</v>
      </c>
      <c r="C88" s="2" t="s">
        <v>5397</v>
      </c>
      <c r="D88" s="4">
        <v>46213</v>
      </c>
      <c r="E88" s="186">
        <v>22795</v>
      </c>
      <c r="G88" t="s">
        <v>5590</v>
      </c>
      <c r="H88" s="184">
        <v>22795</v>
      </c>
    </row>
    <row r="89" spans="1:8" x14ac:dyDescent="0.35">
      <c r="A89" s="2" t="s">
        <v>5395</v>
      </c>
      <c r="B89" s="2" t="s">
        <v>5396</v>
      </c>
      <c r="C89" s="2" t="s">
        <v>5397</v>
      </c>
      <c r="D89" s="4">
        <v>46213</v>
      </c>
      <c r="E89" s="186">
        <v>255110</v>
      </c>
      <c r="G89" t="s">
        <v>5590</v>
      </c>
      <c r="H89" s="184">
        <v>255110</v>
      </c>
    </row>
    <row r="90" spans="1:8" x14ac:dyDescent="0.35">
      <c r="A90" s="2" t="s">
        <v>5395</v>
      </c>
      <c r="B90" s="2" t="s">
        <v>5396</v>
      </c>
      <c r="C90" s="2" t="s">
        <v>5397</v>
      </c>
      <c r="D90" s="4">
        <v>46213</v>
      </c>
      <c r="E90" s="186">
        <v>19497</v>
      </c>
      <c r="G90" t="s">
        <v>5590</v>
      </c>
      <c r="H90" s="184">
        <v>19497</v>
      </c>
    </row>
    <row r="91" spans="1:8" x14ac:dyDescent="0.35">
      <c r="A91" s="2" t="s">
        <v>5395</v>
      </c>
      <c r="B91" s="2" t="s">
        <v>5396</v>
      </c>
      <c r="C91" s="2" t="s">
        <v>5398</v>
      </c>
      <c r="D91" s="4">
        <v>46213</v>
      </c>
      <c r="E91" s="186">
        <v>21437</v>
      </c>
      <c r="G91" t="s">
        <v>5590</v>
      </c>
      <c r="H91" s="184">
        <v>21437</v>
      </c>
    </row>
    <row r="92" spans="1:8" x14ac:dyDescent="0.35">
      <c r="A92" s="2" t="s">
        <v>5395</v>
      </c>
      <c r="B92" s="2" t="s">
        <v>5396</v>
      </c>
      <c r="C92" s="2" t="s">
        <v>5398</v>
      </c>
      <c r="D92" s="4">
        <v>46213</v>
      </c>
      <c r="E92" s="186">
        <v>20855</v>
      </c>
      <c r="G92" t="s">
        <v>5590</v>
      </c>
      <c r="H92" s="184">
        <v>20855</v>
      </c>
    </row>
    <row r="93" spans="1:8" x14ac:dyDescent="0.35">
      <c r="A93" s="2" t="s">
        <v>5395</v>
      </c>
      <c r="B93" s="2" t="s">
        <v>5396</v>
      </c>
      <c r="C93" s="2" t="s">
        <v>5398</v>
      </c>
      <c r="D93" s="4">
        <v>46213</v>
      </c>
      <c r="E93" s="186">
        <v>11397.5</v>
      </c>
      <c r="G93" t="s">
        <v>5590</v>
      </c>
      <c r="H93" s="184">
        <v>11397.5</v>
      </c>
    </row>
    <row r="94" spans="1:8" x14ac:dyDescent="0.35">
      <c r="A94" s="2" t="s">
        <v>5395</v>
      </c>
      <c r="B94" s="2" t="s">
        <v>5396</v>
      </c>
      <c r="C94" s="2" t="s">
        <v>5399</v>
      </c>
      <c r="D94" s="4">
        <v>46213</v>
      </c>
      <c r="E94" s="186">
        <v>12949.5</v>
      </c>
      <c r="G94" t="s">
        <v>5590</v>
      </c>
      <c r="H94" s="184">
        <v>12949.5</v>
      </c>
    </row>
    <row r="95" spans="1:8" x14ac:dyDescent="0.35">
      <c r="A95" s="2" t="s">
        <v>5395</v>
      </c>
      <c r="B95" s="2" t="s">
        <v>5396</v>
      </c>
      <c r="C95" s="2" t="s">
        <v>5400</v>
      </c>
      <c r="D95" s="4">
        <v>46218</v>
      </c>
      <c r="E95" s="186">
        <v>21437</v>
      </c>
      <c r="G95" t="s">
        <v>5572</v>
      </c>
      <c r="H95" s="184">
        <v>21437</v>
      </c>
    </row>
    <row r="96" spans="1:8" x14ac:dyDescent="0.35">
      <c r="A96" s="2" t="s">
        <v>5395</v>
      </c>
      <c r="B96" s="2" t="s">
        <v>5396</v>
      </c>
      <c r="C96" s="2" t="s">
        <v>5400</v>
      </c>
      <c r="D96" s="4">
        <v>46218</v>
      </c>
      <c r="E96" s="186">
        <v>20855</v>
      </c>
      <c r="G96" t="s">
        <v>5572</v>
      </c>
      <c r="H96" s="184">
        <v>20855</v>
      </c>
    </row>
    <row r="97" spans="1:8" x14ac:dyDescent="0.35">
      <c r="A97" s="2" t="s">
        <v>5395</v>
      </c>
      <c r="B97" s="2" t="s">
        <v>5396</v>
      </c>
      <c r="C97" s="2" t="s">
        <v>5401</v>
      </c>
      <c r="D97" s="4">
        <v>46221</v>
      </c>
      <c r="E97" s="186">
        <v>26869</v>
      </c>
      <c r="G97" t="s">
        <v>5574</v>
      </c>
      <c r="H97" s="184">
        <v>26869</v>
      </c>
    </row>
    <row r="98" spans="1:8" x14ac:dyDescent="0.35">
      <c r="A98" s="2" t="s">
        <v>5395</v>
      </c>
      <c r="B98" s="2" t="s">
        <v>5396</v>
      </c>
      <c r="C98" s="2" t="s">
        <v>5401</v>
      </c>
      <c r="D98" s="4">
        <v>46221</v>
      </c>
      <c r="E98" s="186">
        <v>127555</v>
      </c>
      <c r="G98" t="s">
        <v>5574</v>
      </c>
      <c r="H98" s="184">
        <v>127555</v>
      </c>
    </row>
    <row r="99" spans="1:8" x14ac:dyDescent="0.35">
      <c r="A99" s="2" t="s">
        <v>5395</v>
      </c>
      <c r="B99" s="2" t="s">
        <v>5396</v>
      </c>
      <c r="C99" s="2" t="s">
        <v>5401</v>
      </c>
      <c r="D99" s="4">
        <v>46221</v>
      </c>
      <c r="E99" s="186">
        <v>17460</v>
      </c>
      <c r="G99" t="s">
        <v>5574</v>
      </c>
      <c r="H99" s="184">
        <v>17460</v>
      </c>
    </row>
    <row r="100" spans="1:8" x14ac:dyDescent="0.35">
      <c r="A100" s="2" t="s">
        <v>5395</v>
      </c>
      <c r="B100" s="2" t="s">
        <v>5396</v>
      </c>
      <c r="C100" s="2" t="s">
        <v>5402</v>
      </c>
      <c r="D100" s="4">
        <v>46226</v>
      </c>
      <c r="E100" s="186">
        <v>96030</v>
      </c>
      <c r="G100" t="s">
        <v>5579</v>
      </c>
      <c r="H100" s="184">
        <v>96030</v>
      </c>
    </row>
    <row r="101" spans="1:8" x14ac:dyDescent="0.35">
      <c r="A101" s="2" t="s">
        <v>5395</v>
      </c>
      <c r="B101" s="2" t="s">
        <v>5396</v>
      </c>
      <c r="C101" s="2" t="s">
        <v>5403</v>
      </c>
      <c r="D101" s="4">
        <v>46230</v>
      </c>
      <c r="E101" s="186">
        <v>4365</v>
      </c>
      <c r="G101" t="s">
        <v>5582</v>
      </c>
      <c r="H101" s="184">
        <v>4365</v>
      </c>
    </row>
    <row r="102" spans="1:8" x14ac:dyDescent="0.35">
      <c r="A102" s="2" t="s">
        <v>5395</v>
      </c>
      <c r="B102" s="2" t="s">
        <v>5396</v>
      </c>
      <c r="C102" s="2" t="s">
        <v>5404</v>
      </c>
      <c r="D102" s="4">
        <v>46209</v>
      </c>
      <c r="E102" s="186">
        <v>127555</v>
      </c>
      <c r="G102" t="s">
        <v>5566</v>
      </c>
      <c r="H102" s="184">
        <v>127555</v>
      </c>
    </row>
    <row r="103" spans="1:8" x14ac:dyDescent="0.35">
      <c r="A103" s="2" t="s">
        <v>5395</v>
      </c>
      <c r="B103" s="2" t="s">
        <v>5396</v>
      </c>
      <c r="C103" s="2" t="s">
        <v>5405</v>
      </c>
      <c r="D103" s="4">
        <v>46230</v>
      </c>
      <c r="E103" s="186">
        <v>8730</v>
      </c>
      <c r="G103" t="s">
        <v>5582</v>
      </c>
      <c r="H103" s="184">
        <v>8730</v>
      </c>
    </row>
    <row r="104" spans="1:8" x14ac:dyDescent="0.35">
      <c r="A104" s="2" t="s">
        <v>5395</v>
      </c>
      <c r="B104" s="2" t="s">
        <v>5396</v>
      </c>
      <c r="C104" s="2" t="s">
        <v>5406</v>
      </c>
      <c r="D104" s="4">
        <v>46230</v>
      </c>
      <c r="E104" s="186">
        <v>11155</v>
      </c>
      <c r="G104" t="s">
        <v>5582</v>
      </c>
      <c r="H104" s="184">
        <v>11155</v>
      </c>
    </row>
    <row r="105" spans="1:8" x14ac:dyDescent="0.35">
      <c r="A105" s="2" t="s">
        <v>5395</v>
      </c>
      <c r="B105" s="2" t="s">
        <v>5396</v>
      </c>
      <c r="C105" s="2" t="s">
        <v>5406</v>
      </c>
      <c r="D105" s="4">
        <v>46230</v>
      </c>
      <c r="E105" s="186">
        <v>9554.5</v>
      </c>
      <c r="G105" t="s">
        <v>5582</v>
      </c>
      <c r="H105" s="184">
        <v>9554.5</v>
      </c>
    </row>
    <row r="106" spans="1:8" x14ac:dyDescent="0.35">
      <c r="A106" s="2" t="s">
        <v>5407</v>
      </c>
      <c r="B106" s="2" t="s">
        <v>5408</v>
      </c>
      <c r="C106" s="2" t="s">
        <v>5409</v>
      </c>
      <c r="D106" s="4">
        <v>46224</v>
      </c>
      <c r="E106" s="186">
        <v>17052366.199999999</v>
      </c>
      <c r="G106" t="s">
        <v>5576</v>
      </c>
      <c r="H106" s="184">
        <v>17052366.199999999</v>
      </c>
    </row>
    <row r="107" spans="1:8" x14ac:dyDescent="0.35">
      <c r="A107" s="2" t="s">
        <v>4755</v>
      </c>
      <c r="B107" s="2" t="s">
        <v>4756</v>
      </c>
      <c r="C107" s="2" t="s">
        <v>5410</v>
      </c>
      <c r="D107" s="4">
        <v>46220</v>
      </c>
      <c r="E107" s="186">
        <v>195000</v>
      </c>
      <c r="G107" t="s">
        <v>5573</v>
      </c>
      <c r="H107" s="184">
        <v>195000</v>
      </c>
    </row>
    <row r="108" spans="1:8" x14ac:dyDescent="0.35">
      <c r="A108" s="2" t="s">
        <v>5411</v>
      </c>
      <c r="B108" s="2" t="s">
        <v>5412</v>
      </c>
      <c r="C108" s="2" t="s">
        <v>5413</v>
      </c>
      <c r="D108" s="4">
        <v>46207</v>
      </c>
      <c r="E108" s="186">
        <v>217579.14</v>
      </c>
      <c r="G108" t="s">
        <v>5253</v>
      </c>
      <c r="H108" s="184">
        <v>217579.14</v>
      </c>
    </row>
    <row r="109" spans="1:8" x14ac:dyDescent="0.35">
      <c r="A109" s="2" t="s">
        <v>5414</v>
      </c>
      <c r="B109" s="2" t="s">
        <v>5415</v>
      </c>
      <c r="C109" s="2" t="s">
        <v>5416</v>
      </c>
      <c r="D109" s="4">
        <v>46220</v>
      </c>
      <c r="E109" s="186">
        <v>1075794</v>
      </c>
      <c r="G109" t="s">
        <v>5573</v>
      </c>
      <c r="H109" s="184">
        <v>1075794</v>
      </c>
    </row>
    <row r="110" spans="1:8" x14ac:dyDescent="0.35">
      <c r="A110" s="2" t="s">
        <v>5414</v>
      </c>
      <c r="B110" s="2" t="s">
        <v>5415</v>
      </c>
      <c r="C110" s="2" t="s">
        <v>5417</v>
      </c>
      <c r="D110" s="4">
        <v>46232</v>
      </c>
      <c r="E110" s="186">
        <v>436640</v>
      </c>
      <c r="G110" t="s">
        <v>5583</v>
      </c>
      <c r="H110" s="184">
        <v>436640</v>
      </c>
    </row>
    <row r="111" spans="1:8" x14ac:dyDescent="0.35">
      <c r="A111" s="2" t="s">
        <v>5414</v>
      </c>
      <c r="B111" s="2" t="s">
        <v>5415</v>
      </c>
      <c r="C111" s="2" t="s">
        <v>5417</v>
      </c>
      <c r="D111" s="4">
        <v>46232</v>
      </c>
      <c r="E111" s="186">
        <v>57553</v>
      </c>
      <c r="G111" t="s">
        <v>5583</v>
      </c>
      <c r="H111" s="184">
        <v>57553</v>
      </c>
    </row>
    <row r="112" spans="1:8" x14ac:dyDescent="0.35">
      <c r="A112" s="2" t="s">
        <v>5414</v>
      </c>
      <c r="B112" s="2" t="s">
        <v>5415</v>
      </c>
      <c r="C112" s="2" t="s">
        <v>5417</v>
      </c>
      <c r="D112" s="4">
        <v>46232</v>
      </c>
      <c r="E112" s="186">
        <v>760000</v>
      </c>
      <c r="G112" t="s">
        <v>5583</v>
      </c>
      <c r="H112" s="184">
        <v>760000</v>
      </c>
    </row>
    <row r="113" spans="1:8" x14ac:dyDescent="0.35">
      <c r="A113" s="2" t="s">
        <v>5414</v>
      </c>
      <c r="B113" s="2" t="s">
        <v>5415</v>
      </c>
      <c r="C113" s="2" t="s">
        <v>5417</v>
      </c>
      <c r="D113" s="4">
        <v>46232</v>
      </c>
      <c r="E113" s="186">
        <v>213840</v>
      </c>
      <c r="G113" t="s">
        <v>5583</v>
      </c>
      <c r="H113" s="184">
        <v>213840</v>
      </c>
    </row>
    <row r="114" spans="1:8" x14ac:dyDescent="0.35">
      <c r="A114" s="2" t="s">
        <v>5414</v>
      </c>
      <c r="B114" s="2" t="s">
        <v>5415</v>
      </c>
      <c r="C114" s="2" t="s">
        <v>5417</v>
      </c>
      <c r="D114" s="4">
        <v>46232</v>
      </c>
      <c r="E114" s="186">
        <v>46766</v>
      </c>
      <c r="G114" t="s">
        <v>5583</v>
      </c>
      <c r="H114" s="184">
        <v>46766</v>
      </c>
    </row>
    <row r="115" spans="1:8" x14ac:dyDescent="0.35">
      <c r="A115" s="2" t="s">
        <v>5418</v>
      </c>
      <c r="B115" s="2" t="s">
        <v>5419</v>
      </c>
      <c r="C115" s="2" t="s">
        <v>5420</v>
      </c>
      <c r="D115" s="4">
        <v>46213</v>
      </c>
      <c r="E115" s="186">
        <v>144300</v>
      </c>
      <c r="G115" t="s">
        <v>5590</v>
      </c>
      <c r="H115" s="184">
        <v>144300</v>
      </c>
    </row>
    <row r="116" spans="1:8" x14ac:dyDescent="0.35">
      <c r="A116" s="2" t="s">
        <v>5418</v>
      </c>
      <c r="B116" s="2" t="s">
        <v>5419</v>
      </c>
      <c r="C116" s="2" t="s">
        <v>5421</v>
      </c>
      <c r="D116" s="4">
        <v>46223</v>
      </c>
      <c r="E116" s="186">
        <v>74000</v>
      </c>
      <c r="G116" t="s">
        <v>5575</v>
      </c>
      <c r="H116" s="184">
        <v>74000</v>
      </c>
    </row>
    <row r="117" spans="1:8" x14ac:dyDescent="0.35">
      <c r="A117" s="2" t="s">
        <v>1079</v>
      </c>
      <c r="B117" s="2" t="s">
        <v>4185</v>
      </c>
      <c r="C117" s="2" t="s">
        <v>5593</v>
      </c>
      <c r="D117" s="4">
        <v>46212</v>
      </c>
      <c r="E117" s="186">
        <v>10959500</v>
      </c>
      <c r="G117" t="s">
        <v>5589</v>
      </c>
      <c r="H117" s="184">
        <v>10959500</v>
      </c>
    </row>
    <row r="118" spans="1:8" x14ac:dyDescent="0.35">
      <c r="A118" s="2" t="s">
        <v>5422</v>
      </c>
      <c r="B118" s="2" t="s">
        <v>4751</v>
      </c>
      <c r="C118" s="2" t="s">
        <v>5423</v>
      </c>
      <c r="D118" s="4">
        <v>46226</v>
      </c>
      <c r="E118" s="186">
        <v>185424.88</v>
      </c>
      <c r="G118" t="s">
        <v>5579</v>
      </c>
      <c r="H118" s="184">
        <v>185424.88</v>
      </c>
    </row>
    <row r="119" spans="1:8" x14ac:dyDescent="0.35">
      <c r="A119" s="2" t="s">
        <v>5422</v>
      </c>
      <c r="B119" s="2" t="s">
        <v>4751</v>
      </c>
      <c r="C119" s="2" t="s">
        <v>5424</v>
      </c>
      <c r="D119" s="4">
        <v>46226</v>
      </c>
      <c r="E119" s="186">
        <v>95400</v>
      </c>
      <c r="G119" t="s">
        <v>5579</v>
      </c>
      <c r="H119" s="184">
        <v>95400</v>
      </c>
    </row>
    <row r="120" spans="1:8" x14ac:dyDescent="0.35">
      <c r="A120" s="2" t="s">
        <v>5422</v>
      </c>
      <c r="B120" s="2" t="s">
        <v>4751</v>
      </c>
      <c r="C120" s="2" t="s">
        <v>5425</v>
      </c>
      <c r="D120" s="4">
        <v>46233</v>
      </c>
      <c r="E120" s="186">
        <v>10800</v>
      </c>
      <c r="G120" t="s">
        <v>5584</v>
      </c>
      <c r="H120" s="184">
        <v>10800</v>
      </c>
    </row>
    <row r="121" spans="1:8" x14ac:dyDescent="0.35">
      <c r="A121" s="2" t="s">
        <v>5422</v>
      </c>
      <c r="B121" s="2" t="s">
        <v>4751</v>
      </c>
      <c r="C121" s="2" t="s">
        <v>5425</v>
      </c>
      <c r="D121" s="4">
        <v>46233</v>
      </c>
      <c r="E121" s="186">
        <v>15000</v>
      </c>
      <c r="G121" t="s">
        <v>5584</v>
      </c>
      <c r="H121" s="184">
        <v>15000</v>
      </c>
    </row>
    <row r="122" spans="1:8" x14ac:dyDescent="0.35">
      <c r="A122" s="2" t="s">
        <v>5422</v>
      </c>
      <c r="B122" s="2" t="s">
        <v>4751</v>
      </c>
      <c r="C122" s="2" t="s">
        <v>5426</v>
      </c>
      <c r="D122" s="4">
        <v>46234</v>
      </c>
      <c r="E122" s="186">
        <v>55800</v>
      </c>
      <c r="G122" t="s">
        <v>5563</v>
      </c>
      <c r="H122" s="184">
        <v>55800</v>
      </c>
    </row>
    <row r="123" spans="1:8" x14ac:dyDescent="0.35">
      <c r="A123" s="2" t="s">
        <v>4790</v>
      </c>
      <c r="B123" s="2" t="s">
        <v>4792</v>
      </c>
      <c r="C123" s="2" t="s">
        <v>5427</v>
      </c>
      <c r="D123" s="4">
        <v>46232</v>
      </c>
      <c r="E123" s="186">
        <v>185149</v>
      </c>
      <c r="G123" t="s">
        <v>5583</v>
      </c>
      <c r="H123" s="184">
        <v>185149</v>
      </c>
    </row>
    <row r="124" spans="1:8" x14ac:dyDescent="0.35">
      <c r="A124" s="2" t="s">
        <v>4790</v>
      </c>
      <c r="B124" s="2" t="s">
        <v>4792</v>
      </c>
      <c r="C124" s="2" t="s">
        <v>5428</v>
      </c>
      <c r="D124" s="4">
        <v>46232</v>
      </c>
      <c r="E124" s="186">
        <v>912500</v>
      </c>
      <c r="G124" t="s">
        <v>5583</v>
      </c>
      <c r="H124" s="184">
        <v>912500</v>
      </c>
    </row>
    <row r="125" spans="1:8" x14ac:dyDescent="0.35">
      <c r="A125" s="2" t="s">
        <v>5429</v>
      </c>
      <c r="B125" s="2" t="s">
        <v>5430</v>
      </c>
      <c r="C125" s="2" t="s">
        <v>5431</v>
      </c>
      <c r="D125" s="4">
        <v>46208</v>
      </c>
      <c r="E125" s="186">
        <v>30960</v>
      </c>
      <c r="G125" t="s">
        <v>5565</v>
      </c>
      <c r="H125" s="184">
        <v>30960</v>
      </c>
    </row>
    <row r="126" spans="1:8" x14ac:dyDescent="0.35">
      <c r="A126" s="2" t="s">
        <v>5429</v>
      </c>
      <c r="B126" s="2" t="s">
        <v>5430</v>
      </c>
      <c r="C126" s="2" t="s">
        <v>5431</v>
      </c>
      <c r="D126" s="4">
        <v>46208</v>
      </c>
      <c r="E126" s="186">
        <v>25650</v>
      </c>
      <c r="G126" t="s">
        <v>5565</v>
      </c>
      <c r="H126" s="184">
        <v>25650</v>
      </c>
    </row>
    <row r="127" spans="1:8" x14ac:dyDescent="0.35">
      <c r="A127" s="2" t="s">
        <v>5429</v>
      </c>
      <c r="B127" s="2" t="s">
        <v>5430</v>
      </c>
      <c r="C127" s="2" t="s">
        <v>5431</v>
      </c>
      <c r="D127" s="4">
        <v>46208</v>
      </c>
      <c r="E127" s="186">
        <v>6620</v>
      </c>
      <c r="G127" t="s">
        <v>5565</v>
      </c>
      <c r="H127" s="184">
        <v>6620</v>
      </c>
    </row>
    <row r="128" spans="1:8" x14ac:dyDescent="0.35">
      <c r="A128" s="2" t="s">
        <v>5429</v>
      </c>
      <c r="B128" s="2" t="s">
        <v>5430</v>
      </c>
      <c r="C128" s="2" t="s">
        <v>5431</v>
      </c>
      <c r="D128" s="4">
        <v>46208</v>
      </c>
      <c r="E128" s="186">
        <v>35420</v>
      </c>
      <c r="G128" t="s">
        <v>5565</v>
      </c>
      <c r="H128" s="184">
        <v>35420</v>
      </c>
    </row>
    <row r="129" spans="1:8" x14ac:dyDescent="0.35">
      <c r="A129" s="2" t="s">
        <v>5429</v>
      </c>
      <c r="B129" s="2" t="s">
        <v>5430</v>
      </c>
      <c r="C129" s="2" t="s">
        <v>5431</v>
      </c>
      <c r="D129" s="4">
        <v>46208</v>
      </c>
      <c r="E129" s="186">
        <v>23600</v>
      </c>
      <c r="G129" t="s">
        <v>5565</v>
      </c>
      <c r="H129" s="184">
        <v>23600</v>
      </c>
    </row>
    <row r="130" spans="1:8" x14ac:dyDescent="0.35">
      <c r="A130" s="2" t="s">
        <v>5429</v>
      </c>
      <c r="B130" s="2" t="s">
        <v>5430</v>
      </c>
      <c r="C130" s="2" t="s">
        <v>5432</v>
      </c>
      <c r="D130" s="4">
        <v>46208</v>
      </c>
      <c r="E130" s="186">
        <v>1098565.3999999999</v>
      </c>
      <c r="G130" t="s">
        <v>5565</v>
      </c>
      <c r="H130" s="184">
        <v>1098565.3999999999</v>
      </c>
    </row>
    <row r="131" spans="1:8" x14ac:dyDescent="0.35">
      <c r="A131" s="2" t="s">
        <v>5429</v>
      </c>
      <c r="B131" s="2" t="s">
        <v>5430</v>
      </c>
      <c r="C131" s="2" t="s">
        <v>5433</v>
      </c>
      <c r="D131" s="4">
        <v>46209</v>
      </c>
      <c r="E131" s="186">
        <v>92400</v>
      </c>
      <c r="G131" t="s">
        <v>5566</v>
      </c>
      <c r="H131" s="184">
        <v>92400</v>
      </c>
    </row>
    <row r="132" spans="1:8" x14ac:dyDescent="0.35">
      <c r="A132" s="2" t="s">
        <v>5429</v>
      </c>
      <c r="B132" s="2" t="s">
        <v>5430</v>
      </c>
      <c r="C132" s="2" t="s">
        <v>5433</v>
      </c>
      <c r="D132" s="4">
        <v>46209</v>
      </c>
      <c r="E132" s="186">
        <v>18000</v>
      </c>
      <c r="G132" t="s">
        <v>5566</v>
      </c>
      <c r="H132" s="184">
        <v>18000</v>
      </c>
    </row>
    <row r="133" spans="1:8" x14ac:dyDescent="0.35">
      <c r="A133" s="2" t="s">
        <v>5429</v>
      </c>
      <c r="B133" s="2" t="s">
        <v>5430</v>
      </c>
      <c r="C133" s="2" t="s">
        <v>5433</v>
      </c>
      <c r="D133" s="4">
        <v>46209</v>
      </c>
      <c r="E133" s="186">
        <v>6000</v>
      </c>
      <c r="G133" t="s">
        <v>5566</v>
      </c>
      <c r="H133" s="184">
        <v>6000</v>
      </c>
    </row>
    <row r="134" spans="1:8" x14ac:dyDescent="0.35">
      <c r="A134" s="2" t="s">
        <v>5429</v>
      </c>
      <c r="B134" s="2" t="s">
        <v>5430</v>
      </c>
      <c r="C134" s="2" t="s">
        <v>5433</v>
      </c>
      <c r="D134" s="4">
        <v>46209</v>
      </c>
      <c r="E134" s="186">
        <v>17100</v>
      </c>
      <c r="G134" t="s">
        <v>5566</v>
      </c>
      <c r="H134" s="184">
        <v>17100</v>
      </c>
    </row>
    <row r="135" spans="1:8" x14ac:dyDescent="0.35">
      <c r="A135" s="2" t="s">
        <v>5429</v>
      </c>
      <c r="B135" s="2" t="s">
        <v>5430</v>
      </c>
      <c r="C135" s="2" t="s">
        <v>5433</v>
      </c>
      <c r="D135" s="4">
        <v>46209</v>
      </c>
      <c r="E135" s="186">
        <v>30120</v>
      </c>
      <c r="G135" t="s">
        <v>5566</v>
      </c>
      <c r="H135" s="184">
        <v>30120</v>
      </c>
    </row>
    <row r="136" spans="1:8" x14ac:dyDescent="0.35">
      <c r="A136" s="2" t="s">
        <v>5429</v>
      </c>
      <c r="B136" s="2" t="s">
        <v>5430</v>
      </c>
      <c r="C136" s="2" t="s">
        <v>5434</v>
      </c>
      <c r="D136" s="4">
        <v>46214</v>
      </c>
      <c r="E136" s="186">
        <v>22400</v>
      </c>
      <c r="G136" t="s">
        <v>5568</v>
      </c>
      <c r="H136" s="184">
        <v>22400</v>
      </c>
    </row>
    <row r="137" spans="1:8" x14ac:dyDescent="0.35">
      <c r="A137" s="2" t="s">
        <v>5429</v>
      </c>
      <c r="B137" s="2" t="s">
        <v>5430</v>
      </c>
      <c r="C137" s="2" t="s">
        <v>5435</v>
      </c>
      <c r="D137" s="4">
        <v>46215</v>
      </c>
      <c r="E137" s="186">
        <v>37152</v>
      </c>
      <c r="G137" t="s">
        <v>5569</v>
      </c>
      <c r="H137" s="184">
        <v>37152</v>
      </c>
    </row>
    <row r="138" spans="1:8" x14ac:dyDescent="0.35">
      <c r="A138" s="2" t="s">
        <v>5429</v>
      </c>
      <c r="B138" s="2" t="s">
        <v>5430</v>
      </c>
      <c r="C138" s="2" t="s">
        <v>5435</v>
      </c>
      <c r="D138" s="4">
        <v>46215</v>
      </c>
      <c r="E138" s="186">
        <v>71820</v>
      </c>
      <c r="G138" t="s">
        <v>5569</v>
      </c>
      <c r="H138" s="184">
        <v>71820</v>
      </c>
    </row>
    <row r="139" spans="1:8" x14ac:dyDescent="0.35">
      <c r="A139" s="2" t="s">
        <v>5429</v>
      </c>
      <c r="B139" s="2" t="s">
        <v>5430</v>
      </c>
      <c r="C139" s="2" t="s">
        <v>5435</v>
      </c>
      <c r="D139" s="4">
        <v>46215</v>
      </c>
      <c r="E139" s="186">
        <v>46340</v>
      </c>
      <c r="G139" t="s">
        <v>5569</v>
      </c>
      <c r="H139" s="184">
        <v>46340</v>
      </c>
    </row>
    <row r="140" spans="1:8" x14ac:dyDescent="0.35">
      <c r="A140" s="2" t="s">
        <v>5429</v>
      </c>
      <c r="B140" s="2" t="s">
        <v>5430</v>
      </c>
      <c r="C140" s="2" t="s">
        <v>5435</v>
      </c>
      <c r="D140" s="4">
        <v>46215</v>
      </c>
      <c r="E140" s="186">
        <v>13032</v>
      </c>
      <c r="G140" t="s">
        <v>5569</v>
      </c>
      <c r="H140" s="184">
        <v>13032</v>
      </c>
    </row>
    <row r="141" spans="1:8" x14ac:dyDescent="0.35">
      <c r="A141" s="2" t="s">
        <v>5429</v>
      </c>
      <c r="B141" s="2" t="s">
        <v>5430</v>
      </c>
      <c r="C141" s="2" t="s">
        <v>5435</v>
      </c>
      <c r="D141" s="4">
        <v>46215</v>
      </c>
      <c r="E141" s="186">
        <v>148764</v>
      </c>
      <c r="G141" t="s">
        <v>5569</v>
      </c>
      <c r="H141" s="184">
        <v>148764</v>
      </c>
    </row>
    <row r="142" spans="1:8" x14ac:dyDescent="0.35">
      <c r="A142" s="2" t="s">
        <v>5429</v>
      </c>
      <c r="B142" s="2" t="s">
        <v>5430</v>
      </c>
      <c r="C142" s="2" t="s">
        <v>5435</v>
      </c>
      <c r="D142" s="4">
        <v>46215</v>
      </c>
      <c r="E142" s="186">
        <v>13040</v>
      </c>
      <c r="G142" t="s">
        <v>5569</v>
      </c>
      <c r="H142" s="184">
        <v>13040</v>
      </c>
    </row>
    <row r="143" spans="1:8" x14ac:dyDescent="0.35">
      <c r="A143" s="2" t="s">
        <v>5429</v>
      </c>
      <c r="B143" s="2" t="s">
        <v>5430</v>
      </c>
      <c r="C143" s="2" t="s">
        <v>5436</v>
      </c>
      <c r="D143" s="4">
        <v>46215</v>
      </c>
      <c r="E143" s="186">
        <v>28700</v>
      </c>
      <c r="G143" t="s">
        <v>5569</v>
      </c>
      <c r="H143" s="184">
        <v>28700</v>
      </c>
    </row>
    <row r="144" spans="1:8" x14ac:dyDescent="0.35">
      <c r="A144" s="2" t="s">
        <v>5429</v>
      </c>
      <c r="B144" s="2" t="s">
        <v>5430</v>
      </c>
      <c r="C144" s="2" t="s">
        <v>5436</v>
      </c>
      <c r="D144" s="4">
        <v>46215</v>
      </c>
      <c r="E144" s="186">
        <v>22800</v>
      </c>
      <c r="G144" t="s">
        <v>5569</v>
      </c>
      <c r="H144" s="184">
        <v>22800</v>
      </c>
    </row>
    <row r="145" spans="1:8" x14ac:dyDescent="0.35">
      <c r="A145" s="2" t="s">
        <v>5429</v>
      </c>
      <c r="B145" s="2" t="s">
        <v>5430</v>
      </c>
      <c r="C145" s="2" t="s">
        <v>5436</v>
      </c>
      <c r="D145" s="4">
        <v>46215</v>
      </c>
      <c r="E145" s="186">
        <v>20080</v>
      </c>
      <c r="G145" t="s">
        <v>5569</v>
      </c>
      <c r="H145" s="184">
        <v>20080</v>
      </c>
    </row>
    <row r="146" spans="1:8" x14ac:dyDescent="0.35">
      <c r="A146" s="2" t="s">
        <v>5429</v>
      </c>
      <c r="B146" s="2" t="s">
        <v>5430</v>
      </c>
      <c r="C146" s="2" t="s">
        <v>5436</v>
      </c>
      <c r="D146" s="4">
        <v>46215</v>
      </c>
      <c r="E146" s="186">
        <v>92400</v>
      </c>
      <c r="G146" t="s">
        <v>5569</v>
      </c>
      <c r="H146" s="184">
        <v>92400</v>
      </c>
    </row>
    <row r="147" spans="1:8" x14ac:dyDescent="0.35">
      <c r="A147" s="2" t="s">
        <v>5429</v>
      </c>
      <c r="B147" s="2" t="s">
        <v>5430</v>
      </c>
      <c r="C147" s="2" t="s">
        <v>5436</v>
      </c>
      <c r="D147" s="4">
        <v>46215</v>
      </c>
      <c r="E147" s="186">
        <v>28000</v>
      </c>
      <c r="G147" t="s">
        <v>5569</v>
      </c>
      <c r="H147" s="184">
        <v>28000</v>
      </c>
    </row>
    <row r="148" spans="1:8" x14ac:dyDescent="0.35">
      <c r="A148" s="2" t="s">
        <v>5429</v>
      </c>
      <c r="B148" s="2" t="s">
        <v>5430</v>
      </c>
      <c r="C148" s="2" t="s">
        <v>5436</v>
      </c>
      <c r="D148" s="4">
        <v>46215</v>
      </c>
      <c r="E148" s="186">
        <v>36000</v>
      </c>
      <c r="G148" t="s">
        <v>5569</v>
      </c>
      <c r="H148" s="184">
        <v>36000</v>
      </c>
    </row>
    <row r="149" spans="1:8" x14ac:dyDescent="0.35">
      <c r="A149" s="2" t="s">
        <v>5429</v>
      </c>
      <c r="B149" s="2" t="s">
        <v>5430</v>
      </c>
      <c r="C149" s="2" t="s">
        <v>5436</v>
      </c>
      <c r="D149" s="4">
        <v>46215</v>
      </c>
      <c r="E149" s="186">
        <v>12400</v>
      </c>
      <c r="G149" t="s">
        <v>5569</v>
      </c>
      <c r="H149" s="184">
        <v>12400</v>
      </c>
    </row>
    <row r="150" spans="1:8" x14ac:dyDescent="0.35">
      <c r="A150" s="2" t="s">
        <v>5429</v>
      </c>
      <c r="B150" s="2" t="s">
        <v>5430</v>
      </c>
      <c r="C150" s="2" t="s">
        <v>5437</v>
      </c>
      <c r="D150" s="4">
        <v>46228</v>
      </c>
      <c r="E150" s="186">
        <v>11232</v>
      </c>
      <c r="G150" t="s">
        <v>5581</v>
      </c>
      <c r="H150" s="184">
        <v>11232</v>
      </c>
    </row>
    <row r="151" spans="1:8" x14ac:dyDescent="0.35">
      <c r="A151" s="2" t="s">
        <v>5429</v>
      </c>
      <c r="B151" s="2" t="s">
        <v>5430</v>
      </c>
      <c r="C151" s="2" t="s">
        <v>5437</v>
      </c>
      <c r="D151" s="4">
        <v>46228</v>
      </c>
      <c r="E151" s="186">
        <v>11600</v>
      </c>
      <c r="G151" t="s">
        <v>5581</v>
      </c>
      <c r="H151" s="184">
        <v>11600</v>
      </c>
    </row>
    <row r="152" spans="1:8" x14ac:dyDescent="0.35">
      <c r="A152" s="2" t="s">
        <v>5429</v>
      </c>
      <c r="B152" s="2" t="s">
        <v>5430</v>
      </c>
      <c r="C152" s="2" t="s">
        <v>5438</v>
      </c>
      <c r="D152" s="4">
        <v>46228</v>
      </c>
      <c r="E152" s="186">
        <v>18480</v>
      </c>
      <c r="G152" t="s">
        <v>5581</v>
      </c>
      <c r="H152" s="184">
        <v>18480</v>
      </c>
    </row>
    <row r="153" spans="1:8" x14ac:dyDescent="0.35">
      <c r="A153" s="2" t="s">
        <v>5429</v>
      </c>
      <c r="B153" s="2" t="s">
        <v>5430</v>
      </c>
      <c r="C153" s="2" t="s">
        <v>5438</v>
      </c>
      <c r="D153" s="4">
        <v>46228</v>
      </c>
      <c r="E153" s="186">
        <v>10160</v>
      </c>
      <c r="G153" t="s">
        <v>5581</v>
      </c>
      <c r="H153" s="184">
        <v>10160</v>
      </c>
    </row>
    <row r="154" spans="1:8" x14ac:dyDescent="0.35">
      <c r="A154" s="2" t="s">
        <v>5429</v>
      </c>
      <c r="B154" s="2" t="s">
        <v>5430</v>
      </c>
      <c r="C154" s="2" t="s">
        <v>5438</v>
      </c>
      <c r="D154" s="4">
        <v>46228</v>
      </c>
      <c r="E154" s="186">
        <v>10160</v>
      </c>
      <c r="G154" t="s">
        <v>5581</v>
      </c>
      <c r="H154" s="184">
        <v>10160</v>
      </c>
    </row>
    <row r="155" spans="1:8" x14ac:dyDescent="0.35">
      <c r="A155" s="2" t="s">
        <v>5429</v>
      </c>
      <c r="B155" s="2" t="s">
        <v>5430</v>
      </c>
      <c r="C155" s="2" t="s">
        <v>5438</v>
      </c>
      <c r="D155" s="4">
        <v>46228</v>
      </c>
      <c r="E155" s="186">
        <v>5460</v>
      </c>
      <c r="G155" t="s">
        <v>5581</v>
      </c>
      <c r="H155" s="184">
        <v>5460</v>
      </c>
    </row>
    <row r="156" spans="1:8" x14ac:dyDescent="0.35">
      <c r="A156" s="2" t="s">
        <v>5429</v>
      </c>
      <c r="B156" s="2" t="s">
        <v>5430</v>
      </c>
      <c r="C156" s="2" t="s">
        <v>5438</v>
      </c>
      <c r="D156" s="4">
        <v>46228</v>
      </c>
      <c r="E156" s="186">
        <v>10240</v>
      </c>
      <c r="G156" t="s">
        <v>5581</v>
      </c>
      <c r="H156" s="184">
        <v>10240</v>
      </c>
    </row>
    <row r="157" spans="1:8" x14ac:dyDescent="0.35">
      <c r="A157" s="2" t="s">
        <v>5429</v>
      </c>
      <c r="B157" s="2" t="s">
        <v>5430</v>
      </c>
      <c r="C157" s="2" t="s">
        <v>5439</v>
      </c>
      <c r="D157" s="4">
        <v>46232</v>
      </c>
      <c r="E157" s="186">
        <v>72600</v>
      </c>
      <c r="G157" t="s">
        <v>5583</v>
      </c>
      <c r="H157" s="184">
        <v>72600</v>
      </c>
    </row>
    <row r="158" spans="1:8" x14ac:dyDescent="0.35">
      <c r="A158" s="2" t="s">
        <v>5429</v>
      </c>
      <c r="B158" s="2" t="s">
        <v>5430</v>
      </c>
      <c r="C158" s="2" t="s">
        <v>5439</v>
      </c>
      <c r="D158" s="4">
        <v>46232</v>
      </c>
      <c r="E158" s="186">
        <v>16800</v>
      </c>
      <c r="G158" t="s">
        <v>5583</v>
      </c>
      <c r="H158" s="184">
        <v>16800</v>
      </c>
    </row>
    <row r="159" spans="1:8" x14ac:dyDescent="0.35">
      <c r="A159" s="2" t="s">
        <v>5429</v>
      </c>
      <c r="B159" s="2" t="s">
        <v>5430</v>
      </c>
      <c r="C159" s="2" t="s">
        <v>5439</v>
      </c>
      <c r="D159" s="4">
        <v>46232</v>
      </c>
      <c r="E159" s="186">
        <v>13500</v>
      </c>
      <c r="G159" t="s">
        <v>5583</v>
      </c>
      <c r="H159" s="184">
        <v>13500</v>
      </c>
    </row>
    <row r="160" spans="1:8" x14ac:dyDescent="0.35">
      <c r="A160" s="2" t="s">
        <v>5429</v>
      </c>
      <c r="B160" s="2" t="s">
        <v>5430</v>
      </c>
      <c r="C160" s="2" t="s">
        <v>5439</v>
      </c>
      <c r="D160" s="4">
        <v>46232</v>
      </c>
      <c r="E160" s="186">
        <v>6200</v>
      </c>
      <c r="G160" t="s">
        <v>5583</v>
      </c>
      <c r="H160" s="184">
        <v>6200</v>
      </c>
    </row>
    <row r="161" spans="1:8" x14ac:dyDescent="0.35">
      <c r="A161" s="2" t="s">
        <v>5429</v>
      </c>
      <c r="B161" s="2" t="s">
        <v>5430</v>
      </c>
      <c r="C161" s="2" t="s">
        <v>5439</v>
      </c>
      <c r="D161" s="4">
        <v>46232</v>
      </c>
      <c r="E161" s="186">
        <v>5740</v>
      </c>
      <c r="G161" t="s">
        <v>5583</v>
      </c>
      <c r="H161" s="184">
        <v>5740</v>
      </c>
    </row>
    <row r="162" spans="1:8" x14ac:dyDescent="0.35">
      <c r="A162" s="2" t="s">
        <v>5429</v>
      </c>
      <c r="B162" s="2" t="s">
        <v>5430</v>
      </c>
      <c r="C162" s="2" t="s">
        <v>5439</v>
      </c>
      <c r="D162" s="4">
        <v>46232</v>
      </c>
      <c r="E162" s="186">
        <v>11400</v>
      </c>
      <c r="G162" t="s">
        <v>5583</v>
      </c>
      <c r="H162" s="184">
        <v>11400</v>
      </c>
    </row>
    <row r="163" spans="1:8" x14ac:dyDescent="0.35">
      <c r="A163" s="2" t="s">
        <v>5429</v>
      </c>
      <c r="B163" s="2" t="s">
        <v>5430</v>
      </c>
      <c r="C163" s="2" t="s">
        <v>5440</v>
      </c>
      <c r="D163" s="4">
        <v>46232</v>
      </c>
      <c r="E163" s="186">
        <v>30960</v>
      </c>
      <c r="G163" t="s">
        <v>5583</v>
      </c>
      <c r="H163" s="184">
        <v>30960</v>
      </c>
    </row>
    <row r="164" spans="1:8" x14ac:dyDescent="0.35">
      <c r="A164" s="2" t="s">
        <v>5429</v>
      </c>
      <c r="B164" s="2" t="s">
        <v>5430</v>
      </c>
      <c r="C164" s="2" t="s">
        <v>5440</v>
      </c>
      <c r="D164" s="4">
        <v>46232</v>
      </c>
      <c r="E164" s="186">
        <v>30780</v>
      </c>
      <c r="G164" t="s">
        <v>5583</v>
      </c>
      <c r="H164" s="184">
        <v>30780</v>
      </c>
    </row>
    <row r="165" spans="1:8" x14ac:dyDescent="0.35">
      <c r="A165" s="2" t="s">
        <v>5429</v>
      </c>
      <c r="B165" s="2" t="s">
        <v>5430</v>
      </c>
      <c r="C165" s="2" t="s">
        <v>5440</v>
      </c>
      <c r="D165" s="4">
        <v>46232</v>
      </c>
      <c r="E165" s="186">
        <v>46340</v>
      </c>
      <c r="G165" t="s">
        <v>5583</v>
      </c>
      <c r="H165" s="184">
        <v>46340</v>
      </c>
    </row>
    <row r="166" spans="1:8" x14ac:dyDescent="0.35">
      <c r="A166" s="2" t="s">
        <v>5429</v>
      </c>
      <c r="B166" s="2" t="s">
        <v>5430</v>
      </c>
      <c r="C166" s="2" t="s">
        <v>5440</v>
      </c>
      <c r="D166" s="4">
        <v>46232</v>
      </c>
      <c r="E166" s="186">
        <v>13032</v>
      </c>
      <c r="G166" t="s">
        <v>5583</v>
      </c>
      <c r="H166" s="184">
        <v>13032</v>
      </c>
    </row>
    <row r="167" spans="1:8" x14ac:dyDescent="0.35">
      <c r="A167" s="2" t="s">
        <v>5429</v>
      </c>
      <c r="B167" s="2" t="s">
        <v>5430</v>
      </c>
      <c r="C167" s="2" t="s">
        <v>5440</v>
      </c>
      <c r="D167" s="4">
        <v>46232</v>
      </c>
      <c r="E167" s="186">
        <v>113344</v>
      </c>
      <c r="G167" t="s">
        <v>5583</v>
      </c>
      <c r="H167" s="184">
        <v>113344</v>
      </c>
    </row>
    <row r="168" spans="1:8" x14ac:dyDescent="0.35">
      <c r="A168" s="2" t="s">
        <v>5429</v>
      </c>
      <c r="B168" s="2" t="s">
        <v>5430</v>
      </c>
      <c r="C168" s="2" t="s">
        <v>5440</v>
      </c>
      <c r="D168" s="4">
        <v>46232</v>
      </c>
      <c r="E168" s="186">
        <v>6920</v>
      </c>
      <c r="G168" t="s">
        <v>5583</v>
      </c>
      <c r="H168" s="184">
        <v>6920</v>
      </c>
    </row>
    <row r="169" spans="1:8" x14ac:dyDescent="0.35">
      <c r="A169" s="2" t="s">
        <v>5429</v>
      </c>
      <c r="B169" s="2" t="s">
        <v>5430</v>
      </c>
      <c r="C169" s="2" t="s">
        <v>5440</v>
      </c>
      <c r="D169" s="4">
        <v>46232</v>
      </c>
      <c r="E169" s="186">
        <v>13040</v>
      </c>
      <c r="G169" t="s">
        <v>5583</v>
      </c>
      <c r="H169" s="184">
        <v>13040</v>
      </c>
    </row>
    <row r="170" spans="1:8" x14ac:dyDescent="0.35">
      <c r="A170" s="2" t="s">
        <v>5429</v>
      </c>
      <c r="B170" s="2" t="s">
        <v>5430</v>
      </c>
      <c r="C170" s="2" t="s">
        <v>5440</v>
      </c>
      <c r="D170" s="4">
        <v>46232</v>
      </c>
      <c r="E170" s="186">
        <v>9780</v>
      </c>
      <c r="G170" t="s">
        <v>5583</v>
      </c>
      <c r="H170" s="184">
        <v>9780</v>
      </c>
    </row>
    <row r="171" spans="1:8" x14ac:dyDescent="0.35">
      <c r="A171" s="2" t="s">
        <v>5429</v>
      </c>
      <c r="B171" s="2" t="s">
        <v>5430</v>
      </c>
      <c r="C171" s="2" t="s">
        <v>5440</v>
      </c>
      <c r="D171" s="4">
        <v>46232</v>
      </c>
      <c r="E171" s="186">
        <v>20160</v>
      </c>
      <c r="G171" t="s">
        <v>5583</v>
      </c>
      <c r="H171" s="184">
        <v>20160</v>
      </c>
    </row>
    <row r="172" spans="1:8" x14ac:dyDescent="0.35">
      <c r="A172" s="2" t="s">
        <v>5441</v>
      </c>
      <c r="B172" s="2" t="s">
        <v>5442</v>
      </c>
      <c r="C172" s="2" t="s">
        <v>5443</v>
      </c>
      <c r="D172" s="4">
        <v>46206</v>
      </c>
      <c r="E172" s="186">
        <v>61109</v>
      </c>
      <c r="G172" t="s">
        <v>5564</v>
      </c>
      <c r="H172" s="184">
        <v>61109</v>
      </c>
    </row>
    <row r="173" spans="1:8" x14ac:dyDescent="0.35">
      <c r="A173" s="2" t="s">
        <v>5441</v>
      </c>
      <c r="B173" s="2" t="s">
        <v>5442</v>
      </c>
      <c r="C173" s="2" t="s">
        <v>5444</v>
      </c>
      <c r="D173" s="4">
        <v>46214</v>
      </c>
      <c r="E173" s="186">
        <v>1905</v>
      </c>
      <c r="G173" t="s">
        <v>5568</v>
      </c>
      <c r="H173" s="184">
        <v>1905</v>
      </c>
    </row>
    <row r="174" spans="1:8" x14ac:dyDescent="0.35">
      <c r="A174" s="2" t="s">
        <v>1194</v>
      </c>
      <c r="B174" s="2" t="s">
        <v>1195</v>
      </c>
      <c r="C174" s="2" t="s">
        <v>5445</v>
      </c>
      <c r="D174" s="4">
        <v>46207</v>
      </c>
      <c r="E174" s="186">
        <v>5425</v>
      </c>
      <c r="G174" t="s">
        <v>5253</v>
      </c>
      <c r="H174" s="184">
        <v>5425</v>
      </c>
    </row>
    <row r="175" spans="1:8" x14ac:dyDescent="0.35">
      <c r="A175" s="2" t="s">
        <v>1194</v>
      </c>
      <c r="B175" s="2" t="s">
        <v>1195</v>
      </c>
      <c r="C175" s="2" t="s">
        <v>5446</v>
      </c>
      <c r="D175" s="4">
        <v>46207</v>
      </c>
      <c r="E175" s="186">
        <v>108096</v>
      </c>
      <c r="G175" t="s">
        <v>5253</v>
      </c>
      <c r="H175" s="184">
        <v>108096</v>
      </c>
    </row>
    <row r="176" spans="1:8" x14ac:dyDescent="0.35">
      <c r="A176" s="2" t="s">
        <v>1194</v>
      </c>
      <c r="B176" s="2" t="s">
        <v>1195</v>
      </c>
      <c r="C176" s="2" t="s">
        <v>5446</v>
      </c>
      <c r="D176" s="4">
        <v>46207</v>
      </c>
      <c r="E176" s="186">
        <v>6800</v>
      </c>
      <c r="G176" t="s">
        <v>5253</v>
      </c>
      <c r="H176" s="184">
        <v>6800</v>
      </c>
    </row>
    <row r="177" spans="1:8" x14ac:dyDescent="0.35">
      <c r="A177" s="2" t="s">
        <v>1194</v>
      </c>
      <c r="B177" s="2" t="s">
        <v>1195</v>
      </c>
      <c r="C177" s="2" t="s">
        <v>5446</v>
      </c>
      <c r="D177" s="4">
        <v>46207</v>
      </c>
      <c r="E177" s="186">
        <v>6800</v>
      </c>
      <c r="G177" t="s">
        <v>5253</v>
      </c>
      <c r="H177" s="184">
        <v>6800</v>
      </c>
    </row>
    <row r="178" spans="1:8" x14ac:dyDescent="0.35">
      <c r="A178" s="2" t="s">
        <v>1194</v>
      </c>
      <c r="B178" s="2" t="s">
        <v>1195</v>
      </c>
      <c r="C178" s="2" t="s">
        <v>5446</v>
      </c>
      <c r="D178" s="4">
        <v>46207</v>
      </c>
      <c r="E178" s="186">
        <v>6800</v>
      </c>
      <c r="G178" t="s">
        <v>5253</v>
      </c>
      <c r="H178" s="184">
        <v>6800</v>
      </c>
    </row>
    <row r="179" spans="1:8" x14ac:dyDescent="0.35">
      <c r="A179" s="2" t="s">
        <v>1194</v>
      </c>
      <c r="B179" s="2" t="s">
        <v>1195</v>
      </c>
      <c r="C179" s="2" t="s">
        <v>5447</v>
      </c>
      <c r="D179" s="4">
        <v>46227</v>
      </c>
      <c r="E179" s="186">
        <v>15550</v>
      </c>
      <c r="G179" t="s">
        <v>5580</v>
      </c>
      <c r="H179" s="184">
        <v>15550</v>
      </c>
    </row>
    <row r="180" spans="1:8" x14ac:dyDescent="0.35">
      <c r="A180" s="2" t="s">
        <v>1194</v>
      </c>
      <c r="B180" s="2" t="s">
        <v>1195</v>
      </c>
      <c r="C180" s="2" t="s">
        <v>5447</v>
      </c>
      <c r="D180" s="4">
        <v>46227</v>
      </c>
      <c r="E180" s="186">
        <v>14100</v>
      </c>
      <c r="G180" t="s">
        <v>5580</v>
      </c>
      <c r="H180" s="184">
        <v>14100</v>
      </c>
    </row>
    <row r="181" spans="1:8" x14ac:dyDescent="0.35">
      <c r="A181" s="2" t="s">
        <v>1194</v>
      </c>
      <c r="B181" s="2" t="s">
        <v>1195</v>
      </c>
      <c r="C181" s="2" t="s">
        <v>5447</v>
      </c>
      <c r="D181" s="4">
        <v>46227</v>
      </c>
      <c r="E181" s="186">
        <v>14250</v>
      </c>
      <c r="G181" t="s">
        <v>5580</v>
      </c>
      <c r="H181" s="184">
        <v>14250</v>
      </c>
    </row>
    <row r="182" spans="1:8" x14ac:dyDescent="0.35">
      <c r="A182" s="2" t="s">
        <v>1194</v>
      </c>
      <c r="B182" s="2" t="s">
        <v>1195</v>
      </c>
      <c r="C182" s="2" t="s">
        <v>5447</v>
      </c>
      <c r="D182" s="4">
        <v>46227</v>
      </c>
      <c r="E182" s="186">
        <v>16500</v>
      </c>
      <c r="G182" t="s">
        <v>5580</v>
      </c>
      <c r="H182" s="184">
        <v>16500</v>
      </c>
    </row>
    <row r="183" spans="1:8" x14ac:dyDescent="0.35">
      <c r="A183" s="2" t="s">
        <v>1194</v>
      </c>
      <c r="B183" s="2" t="s">
        <v>1195</v>
      </c>
      <c r="C183" s="2" t="s">
        <v>5447</v>
      </c>
      <c r="D183" s="4">
        <v>46227</v>
      </c>
      <c r="E183" s="186">
        <v>32550</v>
      </c>
      <c r="G183" t="s">
        <v>5580</v>
      </c>
      <c r="H183" s="184">
        <v>32550</v>
      </c>
    </row>
    <row r="184" spans="1:8" x14ac:dyDescent="0.35">
      <c r="A184" s="2" t="s">
        <v>1194</v>
      </c>
      <c r="B184" s="2" t="s">
        <v>1195</v>
      </c>
      <c r="C184" s="2" t="s">
        <v>5447</v>
      </c>
      <c r="D184" s="4">
        <v>46227</v>
      </c>
      <c r="E184" s="186">
        <v>110160</v>
      </c>
      <c r="G184" t="s">
        <v>5580</v>
      </c>
      <c r="H184" s="184">
        <v>110160</v>
      </c>
    </row>
    <row r="185" spans="1:8" x14ac:dyDescent="0.35">
      <c r="A185" s="2" t="s">
        <v>1194</v>
      </c>
      <c r="B185" s="2" t="s">
        <v>1195</v>
      </c>
      <c r="C185" s="2" t="s">
        <v>5447</v>
      </c>
      <c r="D185" s="4">
        <v>46227</v>
      </c>
      <c r="E185" s="186">
        <v>13850</v>
      </c>
      <c r="G185" t="s">
        <v>5580</v>
      </c>
      <c r="H185" s="184">
        <v>13850</v>
      </c>
    </row>
    <row r="186" spans="1:8" x14ac:dyDescent="0.35">
      <c r="A186" s="2" t="s">
        <v>1194</v>
      </c>
      <c r="B186" s="2" t="s">
        <v>1195</v>
      </c>
      <c r="C186" s="2" t="s">
        <v>5447</v>
      </c>
      <c r="D186" s="4">
        <v>46227</v>
      </c>
      <c r="E186" s="186">
        <v>14250</v>
      </c>
      <c r="G186" t="s">
        <v>5580</v>
      </c>
      <c r="H186" s="184">
        <v>14250</v>
      </c>
    </row>
    <row r="187" spans="1:8" x14ac:dyDescent="0.35">
      <c r="A187" s="2" t="s">
        <v>1194</v>
      </c>
      <c r="B187" s="2" t="s">
        <v>1195</v>
      </c>
      <c r="C187" s="2" t="s">
        <v>5447</v>
      </c>
      <c r="D187" s="4">
        <v>46227</v>
      </c>
      <c r="E187" s="186">
        <v>29750</v>
      </c>
      <c r="G187" t="s">
        <v>5580</v>
      </c>
      <c r="H187" s="184">
        <v>29750</v>
      </c>
    </row>
    <row r="188" spans="1:8" x14ac:dyDescent="0.35">
      <c r="A188" s="2" t="s">
        <v>1194</v>
      </c>
      <c r="B188" s="2" t="s">
        <v>1195</v>
      </c>
      <c r="C188" s="2" t="s">
        <v>5448</v>
      </c>
      <c r="D188" s="4">
        <v>46232</v>
      </c>
      <c r="E188" s="186">
        <v>5425</v>
      </c>
      <c r="G188" t="s">
        <v>5583</v>
      </c>
      <c r="H188" s="184">
        <v>5425</v>
      </c>
    </row>
    <row r="189" spans="1:8" x14ac:dyDescent="0.35">
      <c r="A189" s="2" t="s">
        <v>1194</v>
      </c>
      <c r="B189" s="2" t="s">
        <v>1195</v>
      </c>
      <c r="C189" s="2" t="s">
        <v>5449</v>
      </c>
      <c r="D189" s="4">
        <v>46207</v>
      </c>
      <c r="E189" s="186">
        <v>110160</v>
      </c>
      <c r="G189" t="s">
        <v>5253</v>
      </c>
      <c r="H189" s="184">
        <v>110160</v>
      </c>
    </row>
    <row r="190" spans="1:8" x14ac:dyDescent="0.35">
      <c r="A190" s="2" t="s">
        <v>1194</v>
      </c>
      <c r="B190" s="2" t="s">
        <v>1195</v>
      </c>
      <c r="C190" s="2" t="s">
        <v>5450</v>
      </c>
      <c r="D190" s="4">
        <v>46213</v>
      </c>
      <c r="E190" s="186">
        <v>10850</v>
      </c>
      <c r="G190" t="s">
        <v>5590</v>
      </c>
      <c r="H190" s="184">
        <v>10850</v>
      </c>
    </row>
    <row r="191" spans="1:8" x14ac:dyDescent="0.35">
      <c r="A191" s="2" t="s">
        <v>1194</v>
      </c>
      <c r="B191" s="2" t="s">
        <v>1195</v>
      </c>
      <c r="C191" s="2" t="s">
        <v>5450</v>
      </c>
      <c r="D191" s="4">
        <v>46213</v>
      </c>
      <c r="E191" s="186">
        <v>7000</v>
      </c>
      <c r="G191" t="s">
        <v>5590</v>
      </c>
      <c r="H191" s="184">
        <v>7000</v>
      </c>
    </row>
    <row r="192" spans="1:8" x14ac:dyDescent="0.35">
      <c r="A192" s="2" t="s">
        <v>1194</v>
      </c>
      <c r="B192" s="2" t="s">
        <v>1195</v>
      </c>
      <c r="C192" s="2" t="s">
        <v>5450</v>
      </c>
      <c r="D192" s="4">
        <v>46213</v>
      </c>
      <c r="E192" s="186">
        <v>15550</v>
      </c>
      <c r="G192" t="s">
        <v>5590</v>
      </c>
      <c r="H192" s="184">
        <v>15550</v>
      </c>
    </row>
    <row r="193" spans="1:8" x14ac:dyDescent="0.35">
      <c r="A193" s="2" t="s">
        <v>1194</v>
      </c>
      <c r="B193" s="2" t="s">
        <v>1195</v>
      </c>
      <c r="C193" s="2" t="s">
        <v>5450</v>
      </c>
      <c r="D193" s="4">
        <v>46213</v>
      </c>
      <c r="E193" s="186">
        <v>14100</v>
      </c>
      <c r="G193" t="s">
        <v>5590</v>
      </c>
      <c r="H193" s="184">
        <v>14100</v>
      </c>
    </row>
    <row r="194" spans="1:8" x14ac:dyDescent="0.35">
      <c r="A194" s="2" t="s">
        <v>1194</v>
      </c>
      <c r="B194" s="2" t="s">
        <v>1195</v>
      </c>
      <c r="C194" s="2" t="s">
        <v>5450</v>
      </c>
      <c r="D194" s="4">
        <v>46213</v>
      </c>
      <c r="E194" s="186">
        <v>7125</v>
      </c>
      <c r="G194" t="s">
        <v>5590</v>
      </c>
      <c r="H194" s="184">
        <v>7125</v>
      </c>
    </row>
    <row r="195" spans="1:8" x14ac:dyDescent="0.35">
      <c r="A195" s="2" t="s">
        <v>1194</v>
      </c>
      <c r="B195" s="2" t="s">
        <v>1195</v>
      </c>
      <c r="C195" s="2" t="s">
        <v>5450</v>
      </c>
      <c r="D195" s="4">
        <v>46213</v>
      </c>
      <c r="E195" s="186">
        <v>16500</v>
      </c>
      <c r="G195" t="s">
        <v>5590</v>
      </c>
      <c r="H195" s="184">
        <v>16500</v>
      </c>
    </row>
    <row r="196" spans="1:8" x14ac:dyDescent="0.35">
      <c r="A196" s="2" t="s">
        <v>1194</v>
      </c>
      <c r="B196" s="2" t="s">
        <v>1195</v>
      </c>
      <c r="C196" s="2" t="s">
        <v>5450</v>
      </c>
      <c r="D196" s="4">
        <v>46213</v>
      </c>
      <c r="E196" s="186">
        <v>7150</v>
      </c>
      <c r="G196" t="s">
        <v>5590</v>
      </c>
      <c r="H196" s="184">
        <v>7150</v>
      </c>
    </row>
    <row r="197" spans="1:8" x14ac:dyDescent="0.35">
      <c r="A197" s="2" t="s">
        <v>1194</v>
      </c>
      <c r="B197" s="2" t="s">
        <v>1195</v>
      </c>
      <c r="C197" s="2" t="s">
        <v>5450</v>
      </c>
      <c r="D197" s="4">
        <v>46213</v>
      </c>
      <c r="E197" s="186">
        <v>7125</v>
      </c>
      <c r="G197" t="s">
        <v>5590</v>
      </c>
      <c r="H197" s="184">
        <v>7125</v>
      </c>
    </row>
    <row r="198" spans="1:8" x14ac:dyDescent="0.35">
      <c r="A198" s="2" t="s">
        <v>1194</v>
      </c>
      <c r="B198" s="2" t="s">
        <v>1195</v>
      </c>
      <c r="C198" s="2" t="s">
        <v>5450</v>
      </c>
      <c r="D198" s="4">
        <v>46213</v>
      </c>
      <c r="E198" s="186">
        <v>6800</v>
      </c>
      <c r="G198" t="s">
        <v>5590</v>
      </c>
      <c r="H198" s="184">
        <v>6800</v>
      </c>
    </row>
    <row r="199" spans="1:8" x14ac:dyDescent="0.35">
      <c r="A199" s="2" t="s">
        <v>1194</v>
      </c>
      <c r="B199" s="2" t="s">
        <v>1195</v>
      </c>
      <c r="C199" s="2" t="s">
        <v>5450</v>
      </c>
      <c r="D199" s="4">
        <v>46213</v>
      </c>
      <c r="E199" s="186">
        <v>13850</v>
      </c>
      <c r="G199" t="s">
        <v>5590</v>
      </c>
      <c r="H199" s="184">
        <v>13850</v>
      </c>
    </row>
    <row r="200" spans="1:8" x14ac:dyDescent="0.35">
      <c r="A200" s="2" t="s">
        <v>5451</v>
      </c>
      <c r="B200" s="2" t="s">
        <v>5452</v>
      </c>
      <c r="C200" s="2" t="s">
        <v>5453</v>
      </c>
      <c r="D200" s="4">
        <v>46218</v>
      </c>
      <c r="E200" s="186">
        <v>95124</v>
      </c>
      <c r="G200" t="s">
        <v>5572</v>
      </c>
      <c r="H200" s="184">
        <v>95124</v>
      </c>
    </row>
  </sheetData>
  <autoFilter ref="A3:H200" xr:uid="{EAA17395-ECD4-484B-BCCD-B747767C0A51}"/>
  <conditionalFormatting sqref="C3">
    <cfRule type="duplicateValues" dxfId="2" priority="2"/>
  </conditionalFormatting>
  <conditionalFormatting sqref="C4:C200">
    <cfRule type="duplicateValues" dxfId="1" priority="1"/>
  </conditionalFormatting>
  <dataValidations count="2">
    <dataValidation type="textLength" allowBlank="1" showInputMessage="1" showErrorMessage="1" error="GST Number, please update 15 characters" sqref="B4:B36" xr:uid="{4CBE2772-F981-4629-A297-51E0842BE8F0}">
      <formula1>15</formula1>
      <formula2>15</formula2>
    </dataValidation>
    <dataValidation type="textLength" operator="lessThanOrEqual" allowBlank="1" showInputMessage="1" showErrorMessage="1" error="Invoice number cannot be greater 18 characters" sqref="C4:C36" xr:uid="{49D9D6AB-FCE2-485E-88B5-D50827162A8D}">
      <formula1>18</formula1>
    </dataValidation>
  </dataValidation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8FA1-9A7C-4870-826D-233D3C3C10F9}">
  <sheetPr>
    <tabColor rgb="FFFFC000"/>
  </sheetPr>
  <dimension ref="A1:H88"/>
  <sheetViews>
    <sheetView topLeftCell="A2" workbookViewId="0">
      <selection activeCell="G5" sqref="G5"/>
    </sheetView>
  </sheetViews>
  <sheetFormatPr defaultRowHeight="14.5" x14ac:dyDescent="0.35"/>
  <cols>
    <col min="1" max="1" width="36.1796875" bestFit="1" customWidth="1"/>
    <col min="2" max="2" width="17.54296875" bestFit="1" customWidth="1"/>
    <col min="3" max="3" width="17.7265625" style="59" customWidth="1"/>
    <col min="4" max="4" width="11" bestFit="1" customWidth="1"/>
    <col min="5" max="5" width="14.6328125" style="182" bestFit="1" customWidth="1"/>
    <col min="7" max="7" width="12" bestFit="1" customWidth="1"/>
    <col min="8" max="8" width="10" bestFit="1" customWidth="1"/>
  </cols>
  <sheetData>
    <row r="1" spans="1:8" x14ac:dyDescent="0.35">
      <c r="D1" s="184"/>
      <c r="G1" s="2"/>
    </row>
    <row r="2" spans="1:8" x14ac:dyDescent="0.35">
      <c r="E2" s="182">
        <f>SUBTOTAL(9,E4:E88)</f>
        <v>65577651.635999992</v>
      </c>
      <c r="G2" s="184"/>
    </row>
    <row r="3" spans="1:8" x14ac:dyDescent="0.35">
      <c r="A3" s="92" t="s">
        <v>1069</v>
      </c>
      <c r="B3" s="92" t="s">
        <v>1070</v>
      </c>
      <c r="C3" s="93" t="s">
        <v>1071</v>
      </c>
      <c r="D3" s="92" t="s">
        <v>1072</v>
      </c>
      <c r="E3" s="190" t="s">
        <v>1073</v>
      </c>
    </row>
    <row r="4" spans="1:8" x14ac:dyDescent="0.35">
      <c r="A4" s="199" t="s">
        <v>1078</v>
      </c>
      <c r="B4" s="200" t="s">
        <v>1077</v>
      </c>
      <c r="C4" s="199" t="s">
        <v>3505</v>
      </c>
      <c r="D4" s="201" t="s">
        <v>3516</v>
      </c>
      <c r="E4" s="200">
        <v>524904</v>
      </c>
      <c r="G4" t="s">
        <v>3516</v>
      </c>
      <c r="H4" s="184">
        <v>524904</v>
      </c>
    </row>
    <row r="5" spans="1:8" x14ac:dyDescent="0.35">
      <c r="A5" s="199" t="s">
        <v>1078</v>
      </c>
      <c r="B5" s="200" t="s">
        <v>1077</v>
      </c>
      <c r="C5" s="199" t="s">
        <v>5252</v>
      </c>
      <c r="D5" s="202" t="s">
        <v>5253</v>
      </c>
      <c r="E5" s="200">
        <v>125670</v>
      </c>
      <c r="G5" t="s">
        <v>5253</v>
      </c>
      <c r="H5" s="184">
        <v>125670</v>
      </c>
    </row>
    <row r="6" spans="1:8" x14ac:dyDescent="0.35">
      <c r="A6" s="199" t="s">
        <v>1079</v>
      </c>
      <c r="B6" s="200" t="s">
        <v>507</v>
      </c>
      <c r="C6" s="199" t="s">
        <v>4337</v>
      </c>
      <c r="D6" s="202" t="s">
        <v>4548</v>
      </c>
      <c r="E6" s="200">
        <v>613943.67000000004</v>
      </c>
      <c r="G6" t="s">
        <v>4548</v>
      </c>
      <c r="H6" s="184">
        <v>613943.67000000004</v>
      </c>
    </row>
    <row r="7" spans="1:8" x14ac:dyDescent="0.35">
      <c r="A7" s="199" t="s">
        <v>4789</v>
      </c>
      <c r="B7" s="200" t="s">
        <v>507</v>
      </c>
      <c r="C7" s="199" t="s">
        <v>4757</v>
      </c>
      <c r="D7" s="202" t="s">
        <v>4803</v>
      </c>
      <c r="E7" s="200">
        <v>49605.599999999999</v>
      </c>
      <c r="G7" t="s">
        <v>4803</v>
      </c>
      <c r="H7" s="184">
        <v>49605.599999999999</v>
      </c>
    </row>
    <row r="8" spans="1:8" x14ac:dyDescent="0.35">
      <c r="A8" s="199" t="s">
        <v>4788</v>
      </c>
      <c r="B8" s="200" t="s">
        <v>4791</v>
      </c>
      <c r="C8" s="199" t="s">
        <v>4840</v>
      </c>
      <c r="D8" s="202" t="s">
        <v>4851</v>
      </c>
      <c r="E8" s="200">
        <v>292736.89</v>
      </c>
      <c r="G8" t="s">
        <v>4851</v>
      </c>
      <c r="H8" s="184">
        <v>292736.89</v>
      </c>
    </row>
    <row r="9" spans="1:8" x14ac:dyDescent="0.35">
      <c r="A9" s="199" t="s">
        <v>1194</v>
      </c>
      <c r="B9" s="200" t="s">
        <v>1195</v>
      </c>
      <c r="C9" s="199" t="s">
        <v>4841</v>
      </c>
      <c r="D9" s="203" t="s">
        <v>4847</v>
      </c>
      <c r="E9" s="200">
        <f>-7842+302682</f>
        <v>294840</v>
      </c>
      <c r="G9" t="s">
        <v>4847</v>
      </c>
      <c r="H9" s="184">
        <v>294840</v>
      </c>
    </row>
    <row r="10" spans="1:8" x14ac:dyDescent="0.35">
      <c r="A10" s="199" t="s">
        <v>1403</v>
      </c>
      <c r="B10" s="200" t="s">
        <v>1404</v>
      </c>
      <c r="C10" s="199">
        <v>9325102170</v>
      </c>
      <c r="D10" s="203" t="s">
        <v>4915</v>
      </c>
      <c r="E10" s="200">
        <f>-106873+343089</f>
        <v>236216</v>
      </c>
      <c r="G10" t="s">
        <v>4915</v>
      </c>
      <c r="H10" s="184">
        <v>236216</v>
      </c>
    </row>
    <row r="11" spans="1:8" x14ac:dyDescent="0.35">
      <c r="A11" s="199" t="s">
        <v>4755</v>
      </c>
      <c r="B11" s="200" t="s">
        <v>4756</v>
      </c>
      <c r="C11" s="199" t="s">
        <v>4916</v>
      </c>
      <c r="D11" s="202" t="s">
        <v>4896</v>
      </c>
      <c r="E11" s="200">
        <v>9064000</v>
      </c>
      <c r="G11" t="s">
        <v>4896</v>
      </c>
      <c r="H11" s="184">
        <v>9064000</v>
      </c>
    </row>
    <row r="12" spans="1:8" x14ac:dyDescent="0.35">
      <c r="A12" s="199" t="s">
        <v>1076</v>
      </c>
      <c r="B12" s="200" t="s">
        <v>1077</v>
      </c>
      <c r="C12" s="199" t="s">
        <v>4958</v>
      </c>
      <c r="D12" s="203" t="s">
        <v>4974</v>
      </c>
      <c r="E12" s="200">
        <f>-17295+25754</f>
        <v>8459</v>
      </c>
      <c r="G12" t="s">
        <v>4974</v>
      </c>
      <c r="H12" s="184">
        <v>8459</v>
      </c>
    </row>
    <row r="13" spans="1:8" x14ac:dyDescent="0.35">
      <c r="A13" s="199" t="s">
        <v>1403</v>
      </c>
      <c r="B13" s="200" t="s">
        <v>1404</v>
      </c>
      <c r="C13" s="212">
        <v>9126100150</v>
      </c>
      <c r="D13" s="202" t="s">
        <v>4985</v>
      </c>
      <c r="E13" s="200">
        <v>236000</v>
      </c>
      <c r="G13" t="s">
        <v>4985</v>
      </c>
      <c r="H13" s="184">
        <v>236000</v>
      </c>
    </row>
    <row r="14" spans="1:8" x14ac:dyDescent="0.35">
      <c r="A14" s="199" t="s">
        <v>1403</v>
      </c>
      <c r="B14" s="200" t="s">
        <v>1404</v>
      </c>
      <c r="C14" s="199">
        <v>9126100365</v>
      </c>
      <c r="D14" s="202" t="s">
        <v>4989</v>
      </c>
      <c r="E14" s="200">
        <v>188800</v>
      </c>
      <c r="G14" t="s">
        <v>4989</v>
      </c>
      <c r="H14" s="184">
        <v>188800</v>
      </c>
    </row>
    <row r="15" spans="1:8" x14ac:dyDescent="0.35">
      <c r="A15" s="199" t="s">
        <v>3910</v>
      </c>
      <c r="B15" s="200" t="s">
        <v>3920</v>
      </c>
      <c r="C15" s="199" t="s">
        <v>4995</v>
      </c>
      <c r="D15" s="202" t="s">
        <v>4975</v>
      </c>
      <c r="E15" s="200">
        <v>117152.73</v>
      </c>
      <c r="G15" t="s">
        <v>4975</v>
      </c>
      <c r="H15" s="184">
        <v>117152.73</v>
      </c>
    </row>
    <row r="16" spans="1:8" x14ac:dyDescent="0.35">
      <c r="A16" s="199" t="s">
        <v>3910</v>
      </c>
      <c r="B16" s="200" t="s">
        <v>3920</v>
      </c>
      <c r="C16" s="199" t="s">
        <v>5254</v>
      </c>
      <c r="D16" s="203" t="s">
        <v>5198</v>
      </c>
      <c r="E16" s="200">
        <v>3101730</v>
      </c>
      <c r="G16" t="s">
        <v>5198</v>
      </c>
      <c r="H16" s="184">
        <v>3101730</v>
      </c>
    </row>
    <row r="17" spans="1:8" x14ac:dyDescent="0.35">
      <c r="A17" s="199" t="s">
        <v>4954</v>
      </c>
      <c r="B17" s="200" t="s">
        <v>4967</v>
      </c>
      <c r="C17" s="199" t="s">
        <v>4959</v>
      </c>
      <c r="D17" s="203" t="s">
        <v>4975</v>
      </c>
      <c r="E17" s="200">
        <v>27435</v>
      </c>
      <c r="G17" t="s">
        <v>4975</v>
      </c>
      <c r="H17" s="184">
        <v>27435</v>
      </c>
    </row>
    <row r="18" spans="1:8" x14ac:dyDescent="0.35">
      <c r="A18" s="199" t="s">
        <v>4156</v>
      </c>
      <c r="B18" s="200" t="s">
        <v>4186</v>
      </c>
      <c r="C18" s="199" t="s">
        <v>4960</v>
      </c>
      <c r="D18" s="203" t="s">
        <v>4990</v>
      </c>
      <c r="E18" s="200">
        <v>1823100</v>
      </c>
      <c r="G18" t="s">
        <v>4990</v>
      </c>
      <c r="H18" s="184">
        <v>1823100</v>
      </c>
    </row>
    <row r="19" spans="1:8" x14ac:dyDescent="0.35">
      <c r="A19" s="199" t="s">
        <v>1076</v>
      </c>
      <c r="B19" s="200" t="s">
        <v>1077</v>
      </c>
      <c r="C19" s="199" t="s">
        <v>4961</v>
      </c>
      <c r="D19" s="203" t="s">
        <v>4991</v>
      </c>
      <c r="E19" s="200">
        <v>34810</v>
      </c>
      <c r="G19" t="s">
        <v>4991</v>
      </c>
      <c r="H19" s="184">
        <v>34810</v>
      </c>
    </row>
    <row r="20" spans="1:8" x14ac:dyDescent="0.35">
      <c r="A20" s="199" t="s">
        <v>4955</v>
      </c>
      <c r="B20" s="200" t="s">
        <v>4968</v>
      </c>
      <c r="C20" s="199" t="s">
        <v>4962</v>
      </c>
      <c r="D20" s="203" t="s">
        <v>4976</v>
      </c>
      <c r="E20" s="200">
        <v>9917</v>
      </c>
      <c r="G20" t="s">
        <v>4976</v>
      </c>
      <c r="H20" s="184">
        <v>9917</v>
      </c>
    </row>
    <row r="21" spans="1:8" x14ac:dyDescent="0.35">
      <c r="A21" s="199" t="s">
        <v>1403</v>
      </c>
      <c r="B21" s="200" t="s">
        <v>1404</v>
      </c>
      <c r="C21" s="199">
        <v>9126100711</v>
      </c>
      <c r="D21" s="203" t="s">
        <v>4992</v>
      </c>
      <c r="E21" s="200">
        <v>480260</v>
      </c>
      <c r="G21" t="s">
        <v>4992</v>
      </c>
      <c r="H21" s="184">
        <v>480260</v>
      </c>
    </row>
    <row r="22" spans="1:8" x14ac:dyDescent="0.35">
      <c r="A22" s="199" t="s">
        <v>1403</v>
      </c>
      <c r="B22" s="200" t="s">
        <v>1404</v>
      </c>
      <c r="C22" s="199">
        <v>9326100088</v>
      </c>
      <c r="D22" s="203" t="s">
        <v>4980</v>
      </c>
      <c r="E22" s="200">
        <v>23276</v>
      </c>
      <c r="G22" t="s">
        <v>4980</v>
      </c>
      <c r="H22" s="184">
        <v>23276</v>
      </c>
    </row>
    <row r="23" spans="1:8" x14ac:dyDescent="0.35">
      <c r="A23" s="199" t="s">
        <v>4957</v>
      </c>
      <c r="B23" s="200" t="s">
        <v>4970</v>
      </c>
      <c r="C23" s="212" t="s">
        <v>4963</v>
      </c>
      <c r="D23" s="203" t="s">
        <v>4980</v>
      </c>
      <c r="E23" s="200">
        <v>7670</v>
      </c>
      <c r="G23" t="s">
        <v>4980</v>
      </c>
      <c r="H23" s="184">
        <v>7670</v>
      </c>
    </row>
    <row r="24" spans="1:8" x14ac:dyDescent="0.35">
      <c r="A24" s="199" t="s">
        <v>2250</v>
      </c>
      <c r="B24" s="200" t="s">
        <v>2251</v>
      </c>
      <c r="C24" s="199" t="s">
        <v>4964</v>
      </c>
      <c r="D24" s="203" t="s">
        <v>4980</v>
      </c>
      <c r="E24" s="200">
        <f>-510612+936945.3</f>
        <v>426333.30000000005</v>
      </c>
      <c r="G24" t="s">
        <v>4980</v>
      </c>
      <c r="H24" s="184">
        <v>426333.3</v>
      </c>
    </row>
    <row r="25" spans="1:8" x14ac:dyDescent="0.35">
      <c r="A25" s="199" t="s">
        <v>4954</v>
      </c>
      <c r="B25" s="200" t="s">
        <v>4967</v>
      </c>
      <c r="C25" s="199" t="s">
        <v>4965</v>
      </c>
      <c r="D25" s="203" t="s">
        <v>4980</v>
      </c>
      <c r="E25" s="200">
        <v>16225</v>
      </c>
      <c r="G25" t="s">
        <v>4980</v>
      </c>
      <c r="H25" s="184">
        <v>16225</v>
      </c>
    </row>
    <row r="26" spans="1:8" x14ac:dyDescent="0.35">
      <c r="A26" s="199" t="s">
        <v>1403</v>
      </c>
      <c r="B26" s="200" t="s">
        <v>1404</v>
      </c>
      <c r="C26" s="199">
        <v>9326100107</v>
      </c>
      <c r="D26" s="203" t="s">
        <v>4993</v>
      </c>
      <c r="E26" s="200">
        <v>310340</v>
      </c>
      <c r="G26" t="s">
        <v>4993</v>
      </c>
      <c r="H26" s="184">
        <v>310340</v>
      </c>
    </row>
    <row r="27" spans="1:8" x14ac:dyDescent="0.35">
      <c r="A27" s="199" t="s">
        <v>1403</v>
      </c>
      <c r="B27" s="200" t="s">
        <v>1404</v>
      </c>
      <c r="C27" s="199">
        <v>9326100128</v>
      </c>
      <c r="D27" s="202" t="s">
        <v>4973</v>
      </c>
      <c r="E27" s="200">
        <v>697498</v>
      </c>
      <c r="G27" t="s">
        <v>4973</v>
      </c>
      <c r="H27" s="184">
        <v>697498</v>
      </c>
    </row>
    <row r="28" spans="1:8" x14ac:dyDescent="0.35">
      <c r="A28" s="199" t="s">
        <v>1403</v>
      </c>
      <c r="B28" s="200" t="s">
        <v>1404</v>
      </c>
      <c r="C28" s="199">
        <v>9326100125</v>
      </c>
      <c r="D28" s="202" t="s">
        <v>4973</v>
      </c>
      <c r="E28" s="200">
        <v>128502</v>
      </c>
      <c r="G28" t="s">
        <v>4973</v>
      </c>
      <c r="H28" s="184">
        <v>128502</v>
      </c>
    </row>
    <row r="29" spans="1:8" x14ac:dyDescent="0.35">
      <c r="A29" s="199" t="s">
        <v>1189</v>
      </c>
      <c r="B29" s="200" t="s">
        <v>1190</v>
      </c>
      <c r="C29" s="199" t="s">
        <v>4966</v>
      </c>
      <c r="D29" s="203" t="s">
        <v>4971</v>
      </c>
      <c r="E29" s="200">
        <f>-105960+162840</f>
        <v>56880</v>
      </c>
      <c r="G29" t="s">
        <v>4971</v>
      </c>
      <c r="H29" s="184">
        <v>56880</v>
      </c>
    </row>
    <row r="30" spans="1:8" x14ac:dyDescent="0.35">
      <c r="A30" s="199" t="s">
        <v>2859</v>
      </c>
      <c r="B30" s="200" t="s">
        <v>507</v>
      </c>
      <c r="C30" s="199" t="s">
        <v>4972</v>
      </c>
      <c r="D30" s="204" t="s">
        <v>4971</v>
      </c>
      <c r="E30" s="200">
        <f>-40752+1205470</f>
        <v>1164718</v>
      </c>
      <c r="G30" t="s">
        <v>4971</v>
      </c>
      <c r="H30" s="184">
        <v>1164718</v>
      </c>
    </row>
    <row r="31" spans="1:8" x14ac:dyDescent="0.35">
      <c r="A31" s="199" t="s">
        <v>2250</v>
      </c>
      <c r="B31" s="199" t="s">
        <v>2251</v>
      </c>
      <c r="C31" s="213" t="s">
        <v>5255</v>
      </c>
      <c r="D31" s="206" t="s">
        <v>5207</v>
      </c>
      <c r="E31" s="205">
        <v>473710</v>
      </c>
      <c r="G31" t="s">
        <v>5207</v>
      </c>
      <c r="H31" s="184">
        <v>473710</v>
      </c>
    </row>
    <row r="32" spans="1:8" x14ac:dyDescent="0.35">
      <c r="A32" s="199" t="s">
        <v>1403</v>
      </c>
      <c r="B32" s="199" t="s">
        <v>1404</v>
      </c>
      <c r="C32" s="213">
        <v>9126100948</v>
      </c>
      <c r="D32" s="206" t="s">
        <v>4978</v>
      </c>
      <c r="E32" s="205">
        <v>93102</v>
      </c>
      <c r="G32" t="s">
        <v>4978</v>
      </c>
      <c r="H32" s="184">
        <v>93102</v>
      </c>
    </row>
    <row r="33" spans="1:8" x14ac:dyDescent="0.35">
      <c r="A33" s="199" t="s">
        <v>1076</v>
      </c>
      <c r="B33" s="199" t="s">
        <v>1077</v>
      </c>
      <c r="C33" s="213" t="s">
        <v>5256</v>
      </c>
      <c r="D33" s="206" t="s">
        <v>5203</v>
      </c>
      <c r="E33" s="205">
        <v>30444</v>
      </c>
      <c r="G33" t="s">
        <v>5203</v>
      </c>
      <c r="H33" s="184">
        <v>30444</v>
      </c>
    </row>
    <row r="34" spans="1:8" x14ac:dyDescent="0.35">
      <c r="A34" s="199" t="s">
        <v>2250</v>
      </c>
      <c r="B34" s="199" t="s">
        <v>2251</v>
      </c>
      <c r="C34" s="213" t="s">
        <v>5257</v>
      </c>
      <c r="D34" s="206" t="s">
        <v>5211</v>
      </c>
      <c r="E34" s="205">
        <v>2304046</v>
      </c>
      <c r="G34" t="s">
        <v>5211</v>
      </c>
      <c r="H34" s="184">
        <v>2304046</v>
      </c>
    </row>
    <row r="35" spans="1:8" x14ac:dyDescent="0.35">
      <c r="A35" s="199" t="s">
        <v>1403</v>
      </c>
      <c r="B35" s="199" t="s">
        <v>1404</v>
      </c>
      <c r="C35" s="213">
        <v>9126102135</v>
      </c>
      <c r="D35" s="206" t="s">
        <v>5210</v>
      </c>
      <c r="E35" s="205">
        <v>920400</v>
      </c>
      <c r="G35" t="s">
        <v>5210</v>
      </c>
      <c r="H35" s="184">
        <v>920400</v>
      </c>
    </row>
    <row r="36" spans="1:8" x14ac:dyDescent="0.35">
      <c r="A36" s="199" t="s">
        <v>1194</v>
      </c>
      <c r="B36" s="199" t="s">
        <v>1195</v>
      </c>
      <c r="C36" s="213" t="s">
        <v>5258</v>
      </c>
      <c r="D36" s="207" t="s">
        <v>5259</v>
      </c>
      <c r="E36" s="205">
        <v>6107</v>
      </c>
      <c r="G36" t="s">
        <v>5259</v>
      </c>
      <c r="H36" s="184">
        <v>6107</v>
      </c>
    </row>
    <row r="37" spans="1:8" x14ac:dyDescent="0.35">
      <c r="A37" s="199" t="s">
        <v>1194</v>
      </c>
      <c r="B37" s="199" t="s">
        <v>1195</v>
      </c>
      <c r="C37" s="213" t="s">
        <v>5260</v>
      </c>
      <c r="D37" s="207" t="s">
        <v>5259</v>
      </c>
      <c r="E37" s="205">
        <v>163819</v>
      </c>
      <c r="G37" t="s">
        <v>5259</v>
      </c>
      <c r="H37" s="184">
        <v>163819</v>
      </c>
    </row>
    <row r="38" spans="1:8" x14ac:dyDescent="0.35">
      <c r="A38" s="199" t="s">
        <v>4956</v>
      </c>
      <c r="B38" s="199" t="s">
        <v>4969</v>
      </c>
      <c r="C38" s="213" t="s">
        <v>5261</v>
      </c>
      <c r="D38" s="207" t="s">
        <v>5213</v>
      </c>
      <c r="E38" s="205">
        <f>-38051+56522</f>
        <v>18471</v>
      </c>
      <c r="G38" t="s">
        <v>5213</v>
      </c>
      <c r="H38" s="184">
        <v>18471</v>
      </c>
    </row>
    <row r="39" spans="1:8" x14ac:dyDescent="0.35">
      <c r="A39" s="199" t="s">
        <v>4956</v>
      </c>
      <c r="B39" s="199" t="s">
        <v>4969</v>
      </c>
      <c r="C39" s="213" t="s">
        <v>5262</v>
      </c>
      <c r="D39" s="207" t="s">
        <v>4994</v>
      </c>
      <c r="E39" s="205">
        <v>187107</v>
      </c>
      <c r="G39" t="s">
        <v>4994</v>
      </c>
      <c r="H39" s="184">
        <v>187107</v>
      </c>
    </row>
    <row r="40" spans="1:8" x14ac:dyDescent="0.35">
      <c r="A40" s="199" t="s">
        <v>4956</v>
      </c>
      <c r="B40" s="199" t="s">
        <v>4969</v>
      </c>
      <c r="C40" s="213" t="s">
        <v>5263</v>
      </c>
      <c r="D40" s="207" t="s">
        <v>5218</v>
      </c>
      <c r="E40" s="205">
        <v>42834</v>
      </c>
      <c r="G40" t="s">
        <v>5218</v>
      </c>
      <c r="H40" s="184">
        <v>42834</v>
      </c>
    </row>
    <row r="41" spans="1:8" x14ac:dyDescent="0.35">
      <c r="A41" s="199" t="s">
        <v>1403</v>
      </c>
      <c r="B41" s="199" t="s">
        <v>1404</v>
      </c>
      <c r="C41" s="213">
        <v>9326100106</v>
      </c>
      <c r="D41" s="207" t="s">
        <v>5216</v>
      </c>
      <c r="E41" s="205">
        <v>719210</v>
      </c>
      <c r="G41" t="s">
        <v>5216</v>
      </c>
      <c r="H41" s="184">
        <v>719210</v>
      </c>
    </row>
    <row r="42" spans="1:8" x14ac:dyDescent="0.35">
      <c r="A42" s="199" t="s">
        <v>1403</v>
      </c>
      <c r="B42" s="199" t="s">
        <v>1404</v>
      </c>
      <c r="C42" s="213">
        <v>9326100126</v>
      </c>
      <c r="D42" s="207" t="s">
        <v>5220</v>
      </c>
      <c r="E42" s="205">
        <v>620680</v>
      </c>
      <c r="G42" t="s">
        <v>5220</v>
      </c>
      <c r="H42" s="184">
        <v>620680</v>
      </c>
    </row>
    <row r="43" spans="1:8" x14ac:dyDescent="0.35">
      <c r="A43" s="208" t="s">
        <v>4790</v>
      </c>
      <c r="B43" s="208" t="s">
        <v>4792</v>
      </c>
      <c r="C43" s="183" t="s">
        <v>5264</v>
      </c>
      <c r="D43" s="210" t="s">
        <v>5259</v>
      </c>
      <c r="E43" s="209">
        <f>-387106+462758</f>
        <v>75652</v>
      </c>
      <c r="G43" t="s">
        <v>5259</v>
      </c>
      <c r="H43" s="184">
        <v>75652</v>
      </c>
    </row>
    <row r="44" spans="1:8" x14ac:dyDescent="0.35">
      <c r="A44" s="208" t="s">
        <v>1724</v>
      </c>
      <c r="B44" s="208" t="s">
        <v>1725</v>
      </c>
      <c r="C44" s="183" t="s">
        <v>5265</v>
      </c>
      <c r="D44" s="210" t="s">
        <v>5205</v>
      </c>
      <c r="E44" s="209">
        <f>-134599+1134826</f>
        <v>1000227</v>
      </c>
      <c r="G44" t="s">
        <v>5205</v>
      </c>
      <c r="H44" s="184">
        <v>1000227</v>
      </c>
    </row>
    <row r="45" spans="1:8" x14ac:dyDescent="0.35">
      <c r="A45" s="208" t="s">
        <v>1724</v>
      </c>
      <c r="B45" s="208" t="s">
        <v>1725</v>
      </c>
      <c r="C45" s="183" t="s">
        <v>5266</v>
      </c>
      <c r="D45" s="210" t="s">
        <v>5223</v>
      </c>
      <c r="E45" s="209">
        <v>1361791</v>
      </c>
      <c r="G45" t="s">
        <v>5223</v>
      </c>
      <c r="H45" s="184">
        <v>1361791</v>
      </c>
    </row>
    <row r="46" spans="1:8" x14ac:dyDescent="0.35">
      <c r="A46" s="208" t="s">
        <v>1194</v>
      </c>
      <c r="B46" s="208" t="s">
        <v>1195</v>
      </c>
      <c r="C46" s="183" t="s">
        <v>5267</v>
      </c>
      <c r="D46" s="210" t="s">
        <v>5259</v>
      </c>
      <c r="E46" s="209">
        <v>129989</v>
      </c>
      <c r="G46" t="s">
        <v>5259</v>
      </c>
      <c r="H46" s="184">
        <v>129989</v>
      </c>
    </row>
    <row r="47" spans="1:8" x14ac:dyDescent="0.35">
      <c r="A47" s="208" t="s">
        <v>1194</v>
      </c>
      <c r="B47" s="208" t="s">
        <v>1195</v>
      </c>
      <c r="C47" s="183" t="s">
        <v>5268</v>
      </c>
      <c r="D47" s="210" t="s">
        <v>5223</v>
      </c>
      <c r="E47" s="209">
        <v>59000</v>
      </c>
      <c r="G47" t="s">
        <v>5223</v>
      </c>
      <c r="H47" s="184">
        <v>59000</v>
      </c>
    </row>
    <row r="48" spans="1:8" x14ac:dyDescent="0.35">
      <c r="A48" s="208" t="s">
        <v>1189</v>
      </c>
      <c r="B48" s="208" t="s">
        <v>1190</v>
      </c>
      <c r="C48" s="183" t="s">
        <v>5269</v>
      </c>
      <c r="D48" s="210" t="s">
        <v>5220</v>
      </c>
      <c r="E48" s="209">
        <v>186440</v>
      </c>
      <c r="G48" t="s">
        <v>5220</v>
      </c>
      <c r="H48" s="184">
        <v>186440</v>
      </c>
    </row>
    <row r="49" spans="1:8" x14ac:dyDescent="0.35">
      <c r="A49" s="208" t="s">
        <v>4755</v>
      </c>
      <c r="B49" s="208" t="s">
        <v>4756</v>
      </c>
      <c r="C49" s="183" t="s">
        <v>5270</v>
      </c>
      <c r="D49" s="210" t="s">
        <v>4982</v>
      </c>
      <c r="E49" s="209">
        <v>10618250</v>
      </c>
      <c r="G49" t="s">
        <v>4982</v>
      </c>
      <c r="H49" s="184">
        <v>10618250</v>
      </c>
    </row>
    <row r="50" spans="1:8" x14ac:dyDescent="0.35">
      <c r="A50" s="208" t="s">
        <v>2250</v>
      </c>
      <c r="B50" s="208" t="s">
        <v>2251</v>
      </c>
      <c r="C50" s="183" t="s">
        <v>5271</v>
      </c>
      <c r="D50" s="210" t="s">
        <v>5221</v>
      </c>
      <c r="E50" s="209">
        <v>1605326</v>
      </c>
      <c r="G50" t="s">
        <v>5221</v>
      </c>
      <c r="H50" s="184">
        <v>1605326</v>
      </c>
    </row>
    <row r="51" spans="1:8" x14ac:dyDescent="0.35">
      <c r="A51" s="59" t="s">
        <v>1076</v>
      </c>
      <c r="B51" t="s">
        <v>1077</v>
      </c>
      <c r="C51" s="59" t="s">
        <v>5272</v>
      </c>
      <c r="D51" s="211">
        <v>46168</v>
      </c>
      <c r="E51">
        <v>23250</v>
      </c>
      <c r="G51" t="s">
        <v>5217</v>
      </c>
      <c r="H51" s="184">
        <v>23250</v>
      </c>
    </row>
    <row r="52" spans="1:8" x14ac:dyDescent="0.35">
      <c r="A52" s="59" t="s">
        <v>5273</v>
      </c>
      <c r="B52" t="s">
        <v>5274</v>
      </c>
      <c r="C52" s="59" t="s">
        <v>5275</v>
      </c>
      <c r="D52" s="211">
        <v>46175</v>
      </c>
      <c r="E52">
        <v>6154380</v>
      </c>
      <c r="G52" t="s">
        <v>5224</v>
      </c>
      <c r="H52" s="184">
        <v>6154380</v>
      </c>
    </row>
    <row r="53" spans="1:8" x14ac:dyDescent="0.35">
      <c r="A53" s="59" t="s">
        <v>1403</v>
      </c>
      <c r="B53" t="s">
        <v>1404</v>
      </c>
      <c r="C53" s="59">
        <v>9126102923</v>
      </c>
      <c r="D53" s="211">
        <v>46176</v>
      </c>
      <c r="E53">
        <v>294000</v>
      </c>
      <c r="G53" t="s">
        <v>5225</v>
      </c>
      <c r="H53" s="184">
        <v>294000</v>
      </c>
    </row>
    <row r="54" spans="1:8" x14ac:dyDescent="0.35">
      <c r="A54" s="59" t="s">
        <v>1189</v>
      </c>
      <c r="B54" t="s">
        <v>1190</v>
      </c>
      <c r="C54" s="59" t="s">
        <v>5276</v>
      </c>
      <c r="D54" s="211">
        <v>46175</v>
      </c>
      <c r="E54">
        <v>79000</v>
      </c>
      <c r="G54" t="s">
        <v>5224</v>
      </c>
      <c r="H54" s="184">
        <v>79000</v>
      </c>
    </row>
    <row r="55" spans="1:8" x14ac:dyDescent="0.35">
      <c r="A55" s="59" t="s">
        <v>1189</v>
      </c>
      <c r="B55" t="s">
        <v>1190</v>
      </c>
      <c r="C55" s="59" t="s">
        <v>5277</v>
      </c>
      <c r="D55" s="211">
        <v>46179</v>
      </c>
      <c r="E55">
        <v>158000</v>
      </c>
      <c r="G55" t="s">
        <v>5228</v>
      </c>
      <c r="H55" s="184">
        <v>158000</v>
      </c>
    </row>
    <row r="56" spans="1:8" x14ac:dyDescent="0.35">
      <c r="A56" s="59" t="s">
        <v>5278</v>
      </c>
      <c r="B56" t="s">
        <v>5279</v>
      </c>
      <c r="C56" s="59" t="s">
        <v>5280</v>
      </c>
      <c r="D56" s="211">
        <v>46183</v>
      </c>
      <c r="E56">
        <v>5327</v>
      </c>
      <c r="G56" t="s">
        <v>5232</v>
      </c>
      <c r="H56" s="184">
        <v>5327</v>
      </c>
    </row>
    <row r="57" spans="1:8" x14ac:dyDescent="0.35">
      <c r="A57" s="59" t="s">
        <v>1724</v>
      </c>
      <c r="B57" t="s">
        <v>1725</v>
      </c>
      <c r="C57" s="59" t="s">
        <v>5281</v>
      </c>
      <c r="D57" s="211">
        <v>46186</v>
      </c>
      <c r="E57">
        <v>1209000</v>
      </c>
      <c r="G57" t="s">
        <v>5235</v>
      </c>
      <c r="H57" s="184">
        <v>1209000</v>
      </c>
    </row>
    <row r="58" spans="1:8" x14ac:dyDescent="0.35">
      <c r="A58" s="59" t="s">
        <v>3059</v>
      </c>
      <c r="B58" t="s">
        <v>3060</v>
      </c>
      <c r="C58" s="59" t="s">
        <v>5282</v>
      </c>
      <c r="D58" s="211">
        <v>46183</v>
      </c>
      <c r="E58">
        <v>2070513.4</v>
      </c>
      <c r="G58" t="s">
        <v>5232</v>
      </c>
      <c r="H58" s="184">
        <v>2070513.4</v>
      </c>
    </row>
    <row r="59" spans="1:8" x14ac:dyDescent="0.35">
      <c r="A59" s="59" t="s">
        <v>1403</v>
      </c>
      <c r="B59" t="s">
        <v>1404</v>
      </c>
      <c r="C59" s="59">
        <v>9126103475</v>
      </c>
      <c r="D59" s="211">
        <v>46186</v>
      </c>
      <c r="E59">
        <v>481000</v>
      </c>
      <c r="G59" t="s">
        <v>5235</v>
      </c>
      <c r="H59" s="184">
        <v>481000</v>
      </c>
    </row>
    <row r="60" spans="1:8" x14ac:dyDescent="0.35">
      <c r="A60" s="59" t="s">
        <v>4956</v>
      </c>
      <c r="B60" t="s">
        <v>4969</v>
      </c>
      <c r="C60" s="59" t="s">
        <v>5283</v>
      </c>
      <c r="D60" s="211">
        <v>46190</v>
      </c>
      <c r="E60">
        <v>18150</v>
      </c>
      <c r="G60" t="s">
        <v>5239</v>
      </c>
      <c r="H60" s="184">
        <v>18150</v>
      </c>
    </row>
    <row r="61" spans="1:8" x14ac:dyDescent="0.35">
      <c r="A61" s="59" t="s">
        <v>1403</v>
      </c>
      <c r="B61" t="s">
        <v>1404</v>
      </c>
      <c r="C61" s="59">
        <v>9126103638</v>
      </c>
      <c r="D61" s="211">
        <v>46189</v>
      </c>
      <c r="E61">
        <v>169000</v>
      </c>
      <c r="G61" t="s">
        <v>5238</v>
      </c>
      <c r="H61" s="184">
        <v>169000</v>
      </c>
    </row>
    <row r="62" spans="1:8" x14ac:dyDescent="0.35">
      <c r="A62" s="59" t="s">
        <v>4156</v>
      </c>
      <c r="B62" t="s">
        <v>4186</v>
      </c>
      <c r="C62" s="59" t="s">
        <v>5284</v>
      </c>
      <c r="D62" s="211">
        <v>46195</v>
      </c>
      <c r="E62">
        <f>229500+1275000</f>
        <v>1504500</v>
      </c>
      <c r="G62" t="s">
        <v>5244</v>
      </c>
      <c r="H62" s="184">
        <v>1504500</v>
      </c>
    </row>
    <row r="63" spans="1:8" x14ac:dyDescent="0.35">
      <c r="A63" s="59" t="s">
        <v>1403</v>
      </c>
      <c r="B63" t="s">
        <v>1404</v>
      </c>
      <c r="C63" s="59">
        <v>9326100451</v>
      </c>
      <c r="D63" s="211">
        <v>46196</v>
      </c>
      <c r="E63">
        <v>82000</v>
      </c>
      <c r="G63" t="s">
        <v>5245</v>
      </c>
      <c r="H63" s="184">
        <v>82000</v>
      </c>
    </row>
    <row r="64" spans="1:8" x14ac:dyDescent="0.35">
      <c r="A64" s="59" t="s">
        <v>2859</v>
      </c>
      <c r="B64" s="200" t="s">
        <v>507</v>
      </c>
      <c r="C64" s="59" t="s">
        <v>5285</v>
      </c>
      <c r="D64" s="211">
        <v>46174</v>
      </c>
      <c r="E64">
        <v>2403192.5819999999</v>
      </c>
      <c r="G64" t="s">
        <v>5196</v>
      </c>
      <c r="H64" s="184">
        <v>2403192.58</v>
      </c>
    </row>
    <row r="65" spans="1:8" x14ac:dyDescent="0.35">
      <c r="A65" s="59" t="s">
        <v>2859</v>
      </c>
      <c r="B65" s="200" t="s">
        <v>507</v>
      </c>
      <c r="C65" s="59" t="s">
        <v>5286</v>
      </c>
      <c r="D65" s="211">
        <v>46174</v>
      </c>
      <c r="E65">
        <v>2168461.344</v>
      </c>
      <c r="G65" t="s">
        <v>5196</v>
      </c>
      <c r="H65" s="184">
        <v>2168461.34</v>
      </c>
    </row>
    <row r="66" spans="1:8" x14ac:dyDescent="0.35">
      <c r="A66" s="59" t="s">
        <v>1403</v>
      </c>
      <c r="B66" t="s">
        <v>1404</v>
      </c>
      <c r="C66" s="59">
        <v>9326100477</v>
      </c>
      <c r="D66" s="211">
        <v>46200</v>
      </c>
      <c r="E66">
        <v>98500</v>
      </c>
      <c r="G66" t="s">
        <v>5249</v>
      </c>
      <c r="H66" s="184">
        <v>98500</v>
      </c>
    </row>
    <row r="67" spans="1:8" x14ac:dyDescent="0.35">
      <c r="A67" s="59" t="s">
        <v>1403</v>
      </c>
      <c r="B67" t="s">
        <v>1404</v>
      </c>
      <c r="C67" s="59">
        <v>9326100477</v>
      </c>
      <c r="D67" s="211">
        <v>46200</v>
      </c>
      <c r="E67">
        <v>110000</v>
      </c>
      <c r="G67" t="s">
        <v>5249</v>
      </c>
      <c r="H67" s="184">
        <v>110000</v>
      </c>
    </row>
    <row r="68" spans="1:8" x14ac:dyDescent="0.35">
      <c r="A68" s="59" t="s">
        <v>1403</v>
      </c>
      <c r="B68" t="s">
        <v>1404</v>
      </c>
      <c r="C68" s="59">
        <v>9326100477</v>
      </c>
      <c r="D68" s="211">
        <v>46200</v>
      </c>
      <c r="E68">
        <v>83500</v>
      </c>
      <c r="G68" t="s">
        <v>5249</v>
      </c>
      <c r="H68" s="184">
        <v>83500</v>
      </c>
    </row>
    <row r="69" spans="1:8" x14ac:dyDescent="0.35">
      <c r="A69" s="59" t="s">
        <v>1095</v>
      </c>
      <c r="B69" t="s">
        <v>2352</v>
      </c>
      <c r="C69" s="59">
        <v>24183001042399</v>
      </c>
      <c r="D69" s="211">
        <v>46201</v>
      </c>
      <c r="E69">
        <f>-320798+4160496</f>
        <v>3839698</v>
      </c>
      <c r="G69" t="s">
        <v>5250</v>
      </c>
      <c r="H69" s="184">
        <v>3839698</v>
      </c>
    </row>
    <row r="70" spans="1:8" x14ac:dyDescent="0.35">
      <c r="A70" s="59" t="s">
        <v>5287</v>
      </c>
      <c r="B70" t="s">
        <v>5288</v>
      </c>
      <c r="C70" s="59" t="s">
        <v>5289</v>
      </c>
      <c r="D70" s="211">
        <v>46174</v>
      </c>
      <c r="E70">
        <v>2209</v>
      </c>
      <c r="G70" t="s">
        <v>5196</v>
      </c>
      <c r="H70" s="184">
        <v>2209</v>
      </c>
    </row>
    <row r="71" spans="1:8" x14ac:dyDescent="0.35">
      <c r="A71" s="59" t="s">
        <v>1095</v>
      </c>
      <c r="B71" t="s">
        <v>2352</v>
      </c>
      <c r="C71" s="59">
        <v>24183025005843</v>
      </c>
      <c r="D71" s="211">
        <v>46178</v>
      </c>
      <c r="E71">
        <v>1372536</v>
      </c>
      <c r="G71" t="s">
        <v>5227</v>
      </c>
      <c r="H71" s="184">
        <v>1372536</v>
      </c>
    </row>
    <row r="72" spans="1:8" x14ac:dyDescent="0.35">
      <c r="A72" s="59" t="s">
        <v>1095</v>
      </c>
      <c r="B72" t="s">
        <v>2352</v>
      </c>
      <c r="C72" s="59">
        <v>24183025005844</v>
      </c>
      <c r="D72" s="211">
        <v>46178</v>
      </c>
      <c r="E72">
        <v>812500</v>
      </c>
      <c r="G72" t="s">
        <v>5227</v>
      </c>
      <c r="H72" s="184">
        <v>812500</v>
      </c>
    </row>
    <row r="73" spans="1:8" x14ac:dyDescent="0.35">
      <c r="A73" s="59" t="s">
        <v>1095</v>
      </c>
      <c r="B73" t="s">
        <v>2352</v>
      </c>
      <c r="C73" s="59">
        <v>24183025005845</v>
      </c>
      <c r="D73" s="211">
        <v>46178</v>
      </c>
      <c r="E73">
        <v>335840</v>
      </c>
      <c r="G73" t="s">
        <v>5227</v>
      </c>
      <c r="H73" s="184">
        <v>335840</v>
      </c>
    </row>
    <row r="74" spans="1:8" x14ac:dyDescent="0.35">
      <c r="A74" s="59" t="s">
        <v>4790</v>
      </c>
      <c r="B74" t="s">
        <v>4792</v>
      </c>
      <c r="C74" s="59" t="s">
        <v>5290</v>
      </c>
      <c r="D74" s="211">
        <v>46133</v>
      </c>
      <c r="E74">
        <v>420000</v>
      </c>
      <c r="G74" t="s">
        <v>4978</v>
      </c>
      <c r="H74" s="184">
        <v>420000</v>
      </c>
    </row>
    <row r="75" spans="1:8" x14ac:dyDescent="0.35">
      <c r="A75" s="59" t="s">
        <v>5291</v>
      </c>
      <c r="B75" t="s">
        <v>5292</v>
      </c>
      <c r="C75" s="59" t="s">
        <v>5293</v>
      </c>
      <c r="D75" s="211">
        <v>46184</v>
      </c>
      <c r="E75">
        <v>816307.12</v>
      </c>
      <c r="G75" t="s">
        <v>5233</v>
      </c>
      <c r="H75" s="184">
        <v>816307.12</v>
      </c>
    </row>
    <row r="76" spans="1:8" x14ac:dyDescent="0.35">
      <c r="A76" s="59" t="s">
        <v>1189</v>
      </c>
      <c r="B76" t="s">
        <v>1190</v>
      </c>
      <c r="C76" s="59" t="s">
        <v>5294</v>
      </c>
      <c r="D76" s="211">
        <v>46191</v>
      </c>
      <c r="E76">
        <v>79000</v>
      </c>
      <c r="G76" t="s">
        <v>5240</v>
      </c>
      <c r="H76" s="184">
        <v>79000</v>
      </c>
    </row>
    <row r="77" spans="1:8" x14ac:dyDescent="0.35">
      <c r="A77" s="59" t="s">
        <v>1194</v>
      </c>
      <c r="B77" t="s">
        <v>1195</v>
      </c>
      <c r="C77" s="59" t="s">
        <v>5295</v>
      </c>
      <c r="D77" s="211">
        <v>46182</v>
      </c>
      <c r="E77">
        <v>110160</v>
      </c>
      <c r="G77" t="s">
        <v>5231</v>
      </c>
      <c r="H77" s="184">
        <v>110160</v>
      </c>
    </row>
    <row r="78" spans="1:8" x14ac:dyDescent="0.35">
      <c r="A78" s="18"/>
      <c r="B78" s="18"/>
      <c r="C78" s="18"/>
      <c r="D78" s="19"/>
      <c r="E78" s="18"/>
      <c r="H78" s="184"/>
    </row>
    <row r="79" spans="1:8" x14ac:dyDescent="0.35">
      <c r="A79" s="18"/>
      <c r="B79" s="18"/>
      <c r="C79" s="18"/>
      <c r="D79" s="19"/>
      <c r="E79" s="18"/>
      <c r="H79" s="184"/>
    </row>
    <row r="80" spans="1:8" x14ac:dyDescent="0.35">
      <c r="A80" s="18"/>
      <c r="B80" s="18"/>
      <c r="C80" s="18"/>
      <c r="D80" s="19"/>
      <c r="E80" s="18"/>
      <c r="H80" s="184"/>
    </row>
    <row r="81" spans="1:8" x14ac:dyDescent="0.35">
      <c r="A81" s="18"/>
      <c r="B81" s="18"/>
      <c r="C81" s="18"/>
      <c r="D81" s="19"/>
      <c r="E81" s="18"/>
      <c r="H81" s="184"/>
    </row>
    <row r="82" spans="1:8" x14ac:dyDescent="0.35">
      <c r="A82" s="18"/>
      <c r="B82" s="18"/>
      <c r="C82" s="18"/>
      <c r="D82" s="19"/>
      <c r="E82" s="18"/>
      <c r="H82" s="184"/>
    </row>
    <row r="83" spans="1:8" x14ac:dyDescent="0.35">
      <c r="A83" s="18"/>
      <c r="B83" s="18"/>
      <c r="C83" s="18"/>
      <c r="D83" s="19"/>
      <c r="E83" s="18"/>
      <c r="H83" s="184"/>
    </row>
    <row r="84" spans="1:8" x14ac:dyDescent="0.35">
      <c r="A84" s="18"/>
      <c r="B84" s="18"/>
      <c r="C84" s="18"/>
      <c r="D84" s="19"/>
      <c r="E84" s="18"/>
      <c r="H84" s="184"/>
    </row>
    <row r="85" spans="1:8" x14ac:dyDescent="0.35">
      <c r="A85" s="18"/>
      <c r="B85" s="18"/>
      <c r="C85" s="18"/>
      <c r="D85" s="19"/>
      <c r="E85" s="18"/>
      <c r="H85" s="184"/>
    </row>
    <row r="86" spans="1:8" x14ac:dyDescent="0.35">
      <c r="A86" s="18"/>
      <c r="B86" s="18"/>
      <c r="C86" s="18"/>
      <c r="D86" s="19"/>
      <c r="E86" s="18"/>
      <c r="H86" s="184"/>
    </row>
    <row r="87" spans="1:8" x14ac:dyDescent="0.35">
      <c r="A87" s="195"/>
      <c r="B87" s="2"/>
      <c r="D87" s="19"/>
      <c r="F87" t="s">
        <v>3781</v>
      </c>
      <c r="H87" s="184"/>
    </row>
    <row r="88" spans="1:8" x14ac:dyDescent="0.35">
      <c r="A88" s="195"/>
      <c r="B88" s="2"/>
      <c r="D88" s="19"/>
      <c r="F88" t="s">
        <v>3781</v>
      </c>
      <c r="H88" s="184"/>
    </row>
  </sheetData>
  <autoFilter ref="A3:H88" xr:uid="{E85884B5-E379-4DD2-A74C-87D9028395C4}"/>
  <conditionalFormatting sqref="C3">
    <cfRule type="duplicateValues" dxfId="0" priority="1"/>
  </conditionalFormatting>
  <dataValidations count="2">
    <dataValidation type="textLength" allowBlank="1" showInputMessage="1" showErrorMessage="1" error="GST Number, please update 15 characters" sqref="B64:B65 B4:B50" xr:uid="{36779A21-84FF-4DAF-86B9-7E6F50119128}">
      <formula1>15</formula1>
      <formula2>15</formula2>
    </dataValidation>
    <dataValidation type="textLength" operator="lessThanOrEqual" allowBlank="1" showInputMessage="1" showErrorMessage="1" error="Invoice number cannot be greater 18 characters" sqref="C4:C50" xr:uid="{6DB55313-0087-406E-9FDA-A74FB23CA322}">
      <formula1>18</formula1>
    </dataValidation>
  </dataValidation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BD3D-2709-477E-BBC9-D65668A810B4}">
  <sheetPr codeName="Sheet24">
    <tabColor theme="4" tint="0.59999389629810485"/>
  </sheetPr>
  <dimension ref="A1:D108"/>
  <sheetViews>
    <sheetView workbookViewId="0">
      <selection activeCell="H10" sqref="H10"/>
    </sheetView>
  </sheetViews>
  <sheetFormatPr defaultRowHeight="14.5" x14ac:dyDescent="0.35"/>
  <cols>
    <col min="1" max="1" width="18.90625" style="59" bestFit="1" customWidth="1"/>
    <col min="2" max="2" width="19.08984375" style="59" bestFit="1" customWidth="1"/>
  </cols>
  <sheetData>
    <row r="1" spans="1:4" x14ac:dyDescent="0.35">
      <c r="A1" s="59" t="s">
        <v>5562</v>
      </c>
      <c r="B1" s="59" t="s">
        <v>5194</v>
      </c>
    </row>
    <row r="2" spans="1:4" x14ac:dyDescent="0.35">
      <c r="A2" s="199" t="s">
        <v>3505</v>
      </c>
      <c r="B2" s="199" t="s">
        <v>3505</v>
      </c>
      <c r="C2" t="str">
        <f t="shared" ref="C2:C28" si="0">_xlfn.XLOOKUP(A2,B:B,B:B)</f>
        <v>AMS/24-25/04750</v>
      </c>
      <c r="D2" s="162" t="b">
        <f>A2=C2</f>
        <v>1</v>
      </c>
    </row>
    <row r="3" spans="1:4" x14ac:dyDescent="0.35">
      <c r="A3" s="199" t="s">
        <v>4337</v>
      </c>
      <c r="B3" s="199" t="s">
        <v>5252</v>
      </c>
      <c r="C3" t="str">
        <f t="shared" si="0"/>
        <v>INV2025090025</v>
      </c>
      <c r="D3" s="162" t="b">
        <f t="shared" ref="D3:D66" si="1">A3=C3</f>
        <v>1</v>
      </c>
    </row>
    <row r="4" spans="1:4" x14ac:dyDescent="0.35">
      <c r="A4" s="199" t="s">
        <v>4757</v>
      </c>
      <c r="B4" s="199" t="s">
        <v>4337</v>
      </c>
      <c r="C4" t="str">
        <f t="shared" si="0"/>
        <v>FHWL2512030079</v>
      </c>
      <c r="D4" s="162" t="b">
        <f t="shared" si="1"/>
        <v>1</v>
      </c>
    </row>
    <row r="5" spans="1:4" x14ac:dyDescent="0.35">
      <c r="A5" s="199" t="s">
        <v>4841</v>
      </c>
      <c r="B5" s="199" t="s">
        <v>4757</v>
      </c>
      <c r="C5" t="str">
        <f t="shared" si="0"/>
        <v>3047/25-26</v>
      </c>
      <c r="D5" s="162" t="b">
        <f t="shared" si="1"/>
        <v>1</v>
      </c>
    </row>
    <row r="6" spans="1:4" x14ac:dyDescent="0.35">
      <c r="A6" s="199" t="s">
        <v>4959</v>
      </c>
      <c r="B6" s="199" t="s">
        <v>4840</v>
      </c>
      <c r="C6" t="str">
        <f t="shared" si="0"/>
        <v>SMD/2627/30</v>
      </c>
      <c r="D6" s="162" t="b">
        <f t="shared" si="1"/>
        <v>1</v>
      </c>
    </row>
    <row r="7" spans="1:4" x14ac:dyDescent="0.35">
      <c r="A7" s="199" t="s">
        <v>4961</v>
      </c>
      <c r="B7" s="199" t="s">
        <v>4841</v>
      </c>
      <c r="C7" t="str">
        <f t="shared" si="0"/>
        <v>AMD/26-27/00223</v>
      </c>
      <c r="D7" s="162" t="b">
        <f t="shared" si="1"/>
        <v>1</v>
      </c>
    </row>
    <row r="8" spans="1:4" x14ac:dyDescent="0.35">
      <c r="A8" s="199" t="s">
        <v>4962</v>
      </c>
      <c r="B8" s="199">
        <v>9325102170</v>
      </c>
      <c r="C8" t="str">
        <f t="shared" si="0"/>
        <v>M/105/2026-27</v>
      </c>
      <c r="D8" s="162" t="b">
        <f t="shared" si="1"/>
        <v>1</v>
      </c>
    </row>
    <row r="9" spans="1:4" x14ac:dyDescent="0.35">
      <c r="A9" s="212" t="s">
        <v>4963</v>
      </c>
      <c r="B9" s="199" t="s">
        <v>4916</v>
      </c>
      <c r="C9" t="str">
        <f t="shared" si="0"/>
        <v>CCPL/26-27/0048</v>
      </c>
      <c r="D9" s="162" t="b">
        <f t="shared" si="1"/>
        <v>1</v>
      </c>
    </row>
    <row r="10" spans="1:4" x14ac:dyDescent="0.35">
      <c r="A10" s="199" t="s">
        <v>4965</v>
      </c>
      <c r="B10" s="199" t="s">
        <v>4958</v>
      </c>
      <c r="C10" t="str">
        <f t="shared" si="0"/>
        <v>SMD/2627/65</v>
      </c>
      <c r="D10" s="162" t="b">
        <f t="shared" si="1"/>
        <v>1</v>
      </c>
    </row>
    <row r="11" spans="1:4" x14ac:dyDescent="0.35">
      <c r="A11" s="213">
        <v>9126100948</v>
      </c>
      <c r="B11" s="212">
        <v>9126100150</v>
      </c>
      <c r="C11">
        <f t="shared" si="0"/>
        <v>9126100948</v>
      </c>
      <c r="D11" s="162" t="b">
        <f t="shared" si="1"/>
        <v>1</v>
      </c>
    </row>
    <row r="12" spans="1:4" x14ac:dyDescent="0.35">
      <c r="A12" s="213" t="s">
        <v>5256</v>
      </c>
      <c r="B12" s="199">
        <v>9126100365</v>
      </c>
      <c r="C12" t="str">
        <f t="shared" si="0"/>
        <v>AMD/26-27/00693</v>
      </c>
      <c r="D12" s="162" t="b">
        <f t="shared" si="1"/>
        <v>1</v>
      </c>
    </row>
    <row r="13" spans="1:4" x14ac:dyDescent="0.35">
      <c r="A13" s="213">
        <v>9126102135</v>
      </c>
      <c r="B13" s="199" t="s">
        <v>4995</v>
      </c>
      <c r="C13">
        <f t="shared" si="0"/>
        <v>9126102135</v>
      </c>
      <c r="D13" s="162" t="b">
        <f t="shared" si="1"/>
        <v>1</v>
      </c>
    </row>
    <row r="14" spans="1:4" x14ac:dyDescent="0.35">
      <c r="A14" s="213" t="s">
        <v>5258</v>
      </c>
      <c r="B14" s="199" t="s">
        <v>5254</v>
      </c>
      <c r="C14" t="str">
        <f t="shared" si="0"/>
        <v>381/26-27</v>
      </c>
      <c r="D14" s="162" t="b">
        <f t="shared" si="1"/>
        <v>1</v>
      </c>
    </row>
    <row r="15" spans="1:4" x14ac:dyDescent="0.35">
      <c r="A15" s="213" t="s">
        <v>5260</v>
      </c>
      <c r="B15" s="199" t="s">
        <v>4959</v>
      </c>
      <c r="C15" t="str">
        <f t="shared" si="0"/>
        <v>388/26-27</v>
      </c>
      <c r="D15" s="162" t="b">
        <f t="shared" si="1"/>
        <v>1</v>
      </c>
    </row>
    <row r="16" spans="1:4" x14ac:dyDescent="0.35">
      <c r="A16" s="213" t="s">
        <v>5263</v>
      </c>
      <c r="B16" s="199" t="s">
        <v>4960</v>
      </c>
      <c r="C16" t="str">
        <f t="shared" si="0"/>
        <v>GJ5100035390</v>
      </c>
      <c r="D16" s="162" t="b">
        <f t="shared" si="1"/>
        <v>1</v>
      </c>
    </row>
    <row r="17" spans="1:4" x14ac:dyDescent="0.35">
      <c r="A17" s="213">
        <v>9326100106</v>
      </c>
      <c r="B17" s="199" t="s">
        <v>4961</v>
      </c>
      <c r="C17">
        <f t="shared" si="0"/>
        <v>9326100106</v>
      </c>
      <c r="D17" s="162" t="b">
        <f t="shared" si="1"/>
        <v>1</v>
      </c>
    </row>
    <row r="18" spans="1:4" x14ac:dyDescent="0.35">
      <c r="A18" s="213">
        <v>9326100126</v>
      </c>
      <c r="B18" s="199" t="s">
        <v>4962</v>
      </c>
      <c r="C18">
        <f t="shared" si="0"/>
        <v>9326100126</v>
      </c>
      <c r="D18" s="162" t="b">
        <f t="shared" si="1"/>
        <v>1</v>
      </c>
    </row>
    <row r="19" spans="1:4" x14ac:dyDescent="0.35">
      <c r="A19" s="219" t="s">
        <v>5264</v>
      </c>
      <c r="B19" s="199">
        <v>9126100711</v>
      </c>
      <c r="C19" t="str">
        <f t="shared" si="0"/>
        <v>TIPL0019/2026-27</v>
      </c>
      <c r="D19" s="162" t="b">
        <f t="shared" si="1"/>
        <v>1</v>
      </c>
    </row>
    <row r="20" spans="1:4" x14ac:dyDescent="0.35">
      <c r="A20" s="219" t="s">
        <v>5267</v>
      </c>
      <c r="B20" s="199">
        <v>9326100088</v>
      </c>
      <c r="C20" t="str">
        <f t="shared" si="0"/>
        <v>379/26-27</v>
      </c>
      <c r="D20" s="162" t="b">
        <f t="shared" si="1"/>
        <v>1</v>
      </c>
    </row>
    <row r="21" spans="1:4" x14ac:dyDescent="0.35">
      <c r="A21" s="219" t="s">
        <v>5268</v>
      </c>
      <c r="B21" s="212" t="s">
        <v>4963</v>
      </c>
      <c r="C21" t="str">
        <f t="shared" si="0"/>
        <v>443/26-27</v>
      </c>
      <c r="D21" s="162" t="b">
        <f t="shared" si="1"/>
        <v>1</v>
      </c>
    </row>
    <row r="22" spans="1:4" x14ac:dyDescent="0.35">
      <c r="A22" s="219" t="s">
        <v>5269</v>
      </c>
      <c r="B22" s="199" t="s">
        <v>4964</v>
      </c>
      <c r="C22" t="str">
        <f t="shared" si="0"/>
        <v>CPL/26-27/351</v>
      </c>
      <c r="D22" s="162" t="b">
        <f t="shared" si="1"/>
        <v>1</v>
      </c>
    </row>
    <row r="23" spans="1:4" x14ac:dyDescent="0.35">
      <c r="A23" s="219" t="s">
        <v>5270</v>
      </c>
      <c r="B23" s="199" t="s">
        <v>4965</v>
      </c>
      <c r="C23" t="str">
        <f t="shared" si="0"/>
        <v>MS10832</v>
      </c>
      <c r="D23" s="162" t="b">
        <f t="shared" si="1"/>
        <v>1</v>
      </c>
    </row>
    <row r="24" spans="1:4" x14ac:dyDescent="0.35">
      <c r="A24" s="219" t="s">
        <v>5284</v>
      </c>
      <c r="B24" s="199">
        <v>9326100107</v>
      </c>
      <c r="C24" t="str">
        <f t="shared" si="0"/>
        <v>AE/26-27/127</v>
      </c>
      <c r="D24" s="162" t="b">
        <f t="shared" si="1"/>
        <v>1</v>
      </c>
    </row>
    <row r="25" spans="1:4" x14ac:dyDescent="0.35">
      <c r="A25" s="219" t="s">
        <v>4960</v>
      </c>
      <c r="B25" s="199">
        <v>9326100128</v>
      </c>
      <c r="C25" t="str">
        <f t="shared" si="0"/>
        <v>AE/26-27/007</v>
      </c>
      <c r="D25" s="162" t="b">
        <f t="shared" si="1"/>
        <v>1</v>
      </c>
    </row>
    <row r="26" spans="1:4" x14ac:dyDescent="0.35">
      <c r="A26" s="219" t="s">
        <v>5266</v>
      </c>
      <c r="B26" s="199">
        <v>9326100125</v>
      </c>
      <c r="C26" t="str">
        <f t="shared" si="0"/>
        <v>S/0349/26-27</v>
      </c>
      <c r="D26" s="162" t="b">
        <f t="shared" si="1"/>
        <v>1</v>
      </c>
    </row>
    <row r="27" spans="1:4" x14ac:dyDescent="0.35">
      <c r="A27" s="187" t="s">
        <v>5272</v>
      </c>
      <c r="B27" s="199" t="s">
        <v>4966</v>
      </c>
      <c r="C27" t="str">
        <f t="shared" si="0"/>
        <v>AMD/26-27/00959</v>
      </c>
      <c r="D27" s="162" t="b">
        <f t="shared" si="1"/>
        <v>1</v>
      </c>
    </row>
    <row r="28" spans="1:4" x14ac:dyDescent="0.35">
      <c r="A28" s="187" t="s">
        <v>5275</v>
      </c>
      <c r="B28" s="199" t="s">
        <v>4972</v>
      </c>
      <c r="C28" t="str">
        <f t="shared" si="0"/>
        <v>SPCXDD2627-0406</v>
      </c>
      <c r="D28" s="162" t="b">
        <f t="shared" si="1"/>
        <v>1</v>
      </c>
    </row>
    <row r="29" spans="1:4" x14ac:dyDescent="0.35">
      <c r="A29" s="187">
        <v>9126102923</v>
      </c>
      <c r="B29" s="213" t="s">
        <v>5255</v>
      </c>
      <c r="C29">
        <f t="shared" ref="C29:C74" si="2">_xlfn.XLOOKUP(A29,B:B,B:B)</f>
        <v>9126102923</v>
      </c>
      <c r="D29" s="162" t="b">
        <f t="shared" si="1"/>
        <v>1</v>
      </c>
    </row>
    <row r="30" spans="1:4" x14ac:dyDescent="0.35">
      <c r="A30" s="187" t="s">
        <v>5276</v>
      </c>
      <c r="B30" s="213">
        <v>9126100948</v>
      </c>
      <c r="C30" t="str">
        <f t="shared" si="2"/>
        <v>CPL/26-27/380</v>
      </c>
      <c r="D30" s="162" t="b">
        <f t="shared" si="1"/>
        <v>1</v>
      </c>
    </row>
    <row r="31" spans="1:4" x14ac:dyDescent="0.35">
      <c r="A31" s="187" t="s">
        <v>5277</v>
      </c>
      <c r="B31" s="213" t="s">
        <v>5256</v>
      </c>
      <c r="C31" t="str">
        <f t="shared" si="2"/>
        <v>CPL/26-27/414</v>
      </c>
      <c r="D31" s="162" t="b">
        <f t="shared" si="1"/>
        <v>1</v>
      </c>
    </row>
    <row r="32" spans="1:4" x14ac:dyDescent="0.35">
      <c r="A32" s="187" t="s">
        <v>5280</v>
      </c>
      <c r="B32" s="213" t="s">
        <v>5257</v>
      </c>
      <c r="C32" t="str">
        <f t="shared" si="2"/>
        <v>180/2026-27</v>
      </c>
      <c r="D32" s="162" t="b">
        <f t="shared" si="1"/>
        <v>1</v>
      </c>
    </row>
    <row r="33" spans="1:4" x14ac:dyDescent="0.35">
      <c r="A33" s="187">
        <v>9126103475</v>
      </c>
      <c r="B33" s="213">
        <v>9126102135</v>
      </c>
      <c r="C33">
        <f t="shared" si="2"/>
        <v>9126103475</v>
      </c>
      <c r="D33" s="162" t="b">
        <f t="shared" si="1"/>
        <v>1</v>
      </c>
    </row>
    <row r="34" spans="1:4" x14ac:dyDescent="0.35">
      <c r="A34" s="187" t="s">
        <v>5283</v>
      </c>
      <c r="B34" s="213" t="s">
        <v>5258</v>
      </c>
      <c r="C34" t="str">
        <f t="shared" si="2"/>
        <v>GJ5100035631</v>
      </c>
      <c r="D34" s="162" t="b">
        <f t="shared" si="1"/>
        <v>1</v>
      </c>
    </row>
    <row r="35" spans="1:4" x14ac:dyDescent="0.35">
      <c r="A35" s="187">
        <v>9126103638</v>
      </c>
      <c r="B35" s="213" t="s">
        <v>5260</v>
      </c>
      <c r="C35">
        <f t="shared" si="2"/>
        <v>9126103638</v>
      </c>
      <c r="D35" s="162" t="b">
        <f t="shared" si="1"/>
        <v>1</v>
      </c>
    </row>
    <row r="36" spans="1:4" x14ac:dyDescent="0.35">
      <c r="A36" s="187">
        <v>9326100451</v>
      </c>
      <c r="B36" s="213" t="s">
        <v>5261</v>
      </c>
      <c r="C36">
        <f t="shared" si="2"/>
        <v>9326100451</v>
      </c>
      <c r="D36" s="162" t="b">
        <f t="shared" si="1"/>
        <v>1</v>
      </c>
    </row>
    <row r="37" spans="1:4" x14ac:dyDescent="0.35">
      <c r="A37" s="187">
        <v>9326100477</v>
      </c>
      <c r="B37" s="213" t="s">
        <v>5262</v>
      </c>
      <c r="C37">
        <f t="shared" si="2"/>
        <v>9326100477</v>
      </c>
      <c r="D37" s="162" t="b">
        <f t="shared" si="1"/>
        <v>1</v>
      </c>
    </row>
    <row r="38" spans="1:4" x14ac:dyDescent="0.35">
      <c r="A38" s="187">
        <v>9326100477</v>
      </c>
      <c r="B38" s="213" t="s">
        <v>5263</v>
      </c>
      <c r="C38">
        <f t="shared" si="2"/>
        <v>9326100477</v>
      </c>
      <c r="D38" s="162" t="b">
        <f t="shared" si="1"/>
        <v>1</v>
      </c>
    </row>
    <row r="39" spans="1:4" x14ac:dyDescent="0.35">
      <c r="A39" s="187">
        <v>9326100477</v>
      </c>
      <c r="B39" s="213">
        <v>9326100106</v>
      </c>
      <c r="C39">
        <f t="shared" si="2"/>
        <v>9326100477</v>
      </c>
      <c r="D39" s="162" t="b">
        <f t="shared" si="1"/>
        <v>1</v>
      </c>
    </row>
    <row r="40" spans="1:4" x14ac:dyDescent="0.35">
      <c r="A40" s="187" t="s">
        <v>5289</v>
      </c>
      <c r="B40" s="213">
        <v>9326100126</v>
      </c>
      <c r="C40" t="str">
        <f t="shared" si="2"/>
        <v>CND/26-27/090</v>
      </c>
      <c r="D40" s="162" t="b">
        <f t="shared" si="1"/>
        <v>1</v>
      </c>
    </row>
    <row r="41" spans="1:4" x14ac:dyDescent="0.35">
      <c r="A41" s="187" t="s">
        <v>5290</v>
      </c>
      <c r="B41" s="183" t="s">
        <v>5264</v>
      </c>
      <c r="C41" t="str">
        <f t="shared" si="2"/>
        <v>TIPL0007/2026-27</v>
      </c>
      <c r="D41" s="162" t="b">
        <f t="shared" si="1"/>
        <v>1</v>
      </c>
    </row>
    <row r="42" spans="1:4" x14ac:dyDescent="0.35">
      <c r="A42" s="187" t="s">
        <v>5294</v>
      </c>
      <c r="B42" s="183" t="s">
        <v>5265</v>
      </c>
      <c r="C42" t="str">
        <f t="shared" si="2"/>
        <v>CPL/26-27/482</v>
      </c>
      <c r="D42" s="162" t="b">
        <f t="shared" si="1"/>
        <v>1</v>
      </c>
    </row>
    <row r="43" spans="1:4" x14ac:dyDescent="0.35">
      <c r="A43" s="187" t="s">
        <v>5295</v>
      </c>
      <c r="B43" s="183" t="s">
        <v>5266</v>
      </c>
      <c r="C43" t="str">
        <f t="shared" si="2"/>
        <v>743/26-27</v>
      </c>
      <c r="D43" s="162" t="b">
        <f t="shared" si="1"/>
        <v>1</v>
      </c>
    </row>
    <row r="44" spans="1:4" x14ac:dyDescent="0.35">
      <c r="A44" s="187"/>
      <c r="B44" s="183" t="s">
        <v>5267</v>
      </c>
      <c r="C44">
        <f t="shared" si="2"/>
        <v>0</v>
      </c>
      <c r="D44" s="162" t="b">
        <f t="shared" si="1"/>
        <v>1</v>
      </c>
    </row>
    <row r="45" spans="1:4" x14ac:dyDescent="0.35">
      <c r="A45" s="187"/>
      <c r="B45" s="183" t="s">
        <v>5268</v>
      </c>
      <c r="C45">
        <f t="shared" si="2"/>
        <v>0</v>
      </c>
      <c r="D45" s="162" t="b">
        <f t="shared" si="1"/>
        <v>1</v>
      </c>
    </row>
    <row r="46" spans="1:4" x14ac:dyDescent="0.35">
      <c r="A46" s="187"/>
      <c r="B46" s="183" t="s">
        <v>5269</v>
      </c>
      <c r="C46">
        <f t="shared" si="2"/>
        <v>0</v>
      </c>
      <c r="D46" s="162" t="b">
        <f t="shared" si="1"/>
        <v>1</v>
      </c>
    </row>
    <row r="47" spans="1:4" x14ac:dyDescent="0.35">
      <c r="A47" s="187"/>
      <c r="B47" s="183" t="s">
        <v>5270</v>
      </c>
      <c r="C47">
        <f t="shared" si="2"/>
        <v>0</v>
      </c>
      <c r="D47" s="162" t="b">
        <f t="shared" si="1"/>
        <v>1</v>
      </c>
    </row>
    <row r="48" spans="1:4" x14ac:dyDescent="0.35">
      <c r="A48" s="187"/>
      <c r="B48" s="183" t="s">
        <v>5271</v>
      </c>
      <c r="C48">
        <f t="shared" si="2"/>
        <v>0</v>
      </c>
      <c r="D48" s="162" t="b">
        <f t="shared" si="1"/>
        <v>1</v>
      </c>
    </row>
    <row r="49" spans="1:4" x14ac:dyDescent="0.35">
      <c r="A49" s="187"/>
      <c r="B49" s="59" t="s">
        <v>5272</v>
      </c>
      <c r="C49">
        <f t="shared" si="2"/>
        <v>0</v>
      </c>
      <c r="D49" s="162" t="b">
        <f t="shared" si="1"/>
        <v>1</v>
      </c>
    </row>
    <row r="50" spans="1:4" x14ac:dyDescent="0.35">
      <c r="A50" s="185"/>
      <c r="B50" s="59" t="s">
        <v>5275</v>
      </c>
      <c r="C50">
        <f t="shared" si="2"/>
        <v>0</v>
      </c>
      <c r="D50" s="162" t="b">
        <f t="shared" si="1"/>
        <v>1</v>
      </c>
    </row>
    <row r="51" spans="1:4" x14ac:dyDescent="0.35">
      <c r="A51" s="160"/>
      <c r="B51" s="59">
        <v>9126102923</v>
      </c>
      <c r="C51">
        <f t="shared" si="2"/>
        <v>0</v>
      </c>
      <c r="D51" s="162" t="b">
        <f t="shared" si="1"/>
        <v>1</v>
      </c>
    </row>
    <row r="52" spans="1:4" x14ac:dyDescent="0.35">
      <c r="A52" s="160"/>
      <c r="B52" s="59" t="s">
        <v>5276</v>
      </c>
      <c r="C52">
        <f t="shared" si="2"/>
        <v>0</v>
      </c>
      <c r="D52" s="162" t="b">
        <f t="shared" si="1"/>
        <v>1</v>
      </c>
    </row>
    <row r="53" spans="1:4" x14ac:dyDescent="0.35">
      <c r="A53" s="160"/>
      <c r="B53" s="59" t="s">
        <v>5277</v>
      </c>
      <c r="C53">
        <f t="shared" si="2"/>
        <v>0</v>
      </c>
      <c r="D53" s="162" t="b">
        <f t="shared" si="1"/>
        <v>1</v>
      </c>
    </row>
    <row r="54" spans="1:4" x14ac:dyDescent="0.35">
      <c r="A54" s="160"/>
      <c r="B54" s="59" t="s">
        <v>5280</v>
      </c>
      <c r="C54">
        <f t="shared" si="2"/>
        <v>0</v>
      </c>
      <c r="D54" s="162" t="b">
        <f t="shared" si="1"/>
        <v>1</v>
      </c>
    </row>
    <row r="55" spans="1:4" x14ac:dyDescent="0.35">
      <c r="A55" s="160"/>
      <c r="B55" s="59" t="s">
        <v>5281</v>
      </c>
      <c r="C55">
        <f t="shared" si="2"/>
        <v>0</v>
      </c>
      <c r="D55" s="162" t="b">
        <f t="shared" si="1"/>
        <v>1</v>
      </c>
    </row>
    <row r="56" spans="1:4" x14ac:dyDescent="0.35">
      <c r="A56" s="160"/>
      <c r="B56" s="59" t="s">
        <v>5282</v>
      </c>
      <c r="C56">
        <f t="shared" si="2"/>
        <v>0</v>
      </c>
      <c r="D56" s="162" t="b">
        <f t="shared" si="1"/>
        <v>1</v>
      </c>
    </row>
    <row r="57" spans="1:4" x14ac:dyDescent="0.35">
      <c r="A57" s="160"/>
      <c r="B57" s="59">
        <v>9126103475</v>
      </c>
      <c r="C57">
        <f t="shared" si="2"/>
        <v>0</v>
      </c>
      <c r="D57" s="162" t="b">
        <f t="shared" si="1"/>
        <v>1</v>
      </c>
    </row>
    <row r="58" spans="1:4" x14ac:dyDescent="0.35">
      <c r="A58" s="160"/>
      <c r="B58" s="59" t="s">
        <v>5283</v>
      </c>
      <c r="C58">
        <f t="shared" si="2"/>
        <v>0</v>
      </c>
      <c r="D58" s="162" t="b">
        <f t="shared" si="1"/>
        <v>1</v>
      </c>
    </row>
    <row r="59" spans="1:4" x14ac:dyDescent="0.35">
      <c r="A59" s="160"/>
      <c r="B59" s="59">
        <v>9126103638</v>
      </c>
      <c r="C59">
        <f t="shared" si="2"/>
        <v>0</v>
      </c>
      <c r="D59" s="162" t="b">
        <f t="shared" si="1"/>
        <v>1</v>
      </c>
    </row>
    <row r="60" spans="1:4" x14ac:dyDescent="0.35">
      <c r="A60" s="160"/>
      <c r="B60" s="59" t="s">
        <v>5284</v>
      </c>
      <c r="C60">
        <f t="shared" si="2"/>
        <v>0</v>
      </c>
      <c r="D60" s="162" t="b">
        <f t="shared" si="1"/>
        <v>1</v>
      </c>
    </row>
    <row r="61" spans="1:4" x14ac:dyDescent="0.35">
      <c r="A61" s="160"/>
      <c r="B61" s="59">
        <v>9326100451</v>
      </c>
      <c r="C61">
        <f t="shared" si="2"/>
        <v>0</v>
      </c>
      <c r="D61" s="162" t="b">
        <f t="shared" si="1"/>
        <v>1</v>
      </c>
    </row>
    <row r="62" spans="1:4" x14ac:dyDescent="0.35">
      <c r="A62" s="160"/>
      <c r="B62" s="59" t="s">
        <v>5285</v>
      </c>
      <c r="C62">
        <f t="shared" si="2"/>
        <v>0</v>
      </c>
      <c r="D62" s="162" t="b">
        <f t="shared" si="1"/>
        <v>1</v>
      </c>
    </row>
    <row r="63" spans="1:4" x14ac:dyDescent="0.35">
      <c r="A63" s="160"/>
      <c r="B63" s="59" t="s">
        <v>5286</v>
      </c>
      <c r="C63">
        <f t="shared" si="2"/>
        <v>0</v>
      </c>
      <c r="D63" s="162" t="b">
        <f t="shared" si="1"/>
        <v>1</v>
      </c>
    </row>
    <row r="64" spans="1:4" x14ac:dyDescent="0.35">
      <c r="B64" s="59">
        <v>9326100477</v>
      </c>
      <c r="C64">
        <f t="shared" si="2"/>
        <v>0</v>
      </c>
      <c r="D64" s="162" t="b">
        <f t="shared" si="1"/>
        <v>1</v>
      </c>
    </row>
    <row r="65" spans="1:4" x14ac:dyDescent="0.35">
      <c r="A65" s="18"/>
      <c r="B65" s="59">
        <v>9326100477</v>
      </c>
      <c r="C65">
        <f t="shared" si="2"/>
        <v>0</v>
      </c>
      <c r="D65" s="162" t="b">
        <f t="shared" si="1"/>
        <v>1</v>
      </c>
    </row>
    <row r="66" spans="1:4" x14ac:dyDescent="0.35">
      <c r="A66" s="18"/>
      <c r="B66" s="59">
        <v>9326100477</v>
      </c>
      <c r="C66">
        <f t="shared" si="2"/>
        <v>0</v>
      </c>
      <c r="D66" s="162" t="b">
        <f t="shared" si="1"/>
        <v>1</v>
      </c>
    </row>
    <row r="67" spans="1:4" x14ac:dyDescent="0.35">
      <c r="A67" s="18"/>
      <c r="B67" s="59">
        <v>24183001042399</v>
      </c>
      <c r="C67">
        <f t="shared" si="2"/>
        <v>0</v>
      </c>
      <c r="D67" s="162" t="b">
        <f t="shared" ref="D67:D74" si="3">A67=C67</f>
        <v>1</v>
      </c>
    </row>
    <row r="68" spans="1:4" x14ac:dyDescent="0.35">
      <c r="A68" s="18"/>
      <c r="B68" s="59" t="s">
        <v>5289</v>
      </c>
      <c r="C68">
        <f t="shared" si="2"/>
        <v>0</v>
      </c>
      <c r="D68" s="162" t="b">
        <f t="shared" si="3"/>
        <v>1</v>
      </c>
    </row>
    <row r="69" spans="1:4" x14ac:dyDescent="0.35">
      <c r="A69" s="18"/>
      <c r="B69" s="59">
        <v>24183025005843</v>
      </c>
      <c r="C69">
        <f t="shared" si="2"/>
        <v>0</v>
      </c>
      <c r="D69" s="162" t="b">
        <f t="shared" si="3"/>
        <v>1</v>
      </c>
    </row>
    <row r="70" spans="1:4" x14ac:dyDescent="0.35">
      <c r="A70" s="18"/>
      <c r="B70" s="59">
        <v>24183025005844</v>
      </c>
      <c r="C70">
        <f t="shared" si="2"/>
        <v>0</v>
      </c>
      <c r="D70" s="162" t="b">
        <f t="shared" si="3"/>
        <v>1</v>
      </c>
    </row>
    <row r="71" spans="1:4" x14ac:dyDescent="0.35">
      <c r="A71" s="18"/>
      <c r="B71" s="59">
        <v>24183025005845</v>
      </c>
      <c r="C71">
        <f t="shared" si="2"/>
        <v>0</v>
      </c>
      <c r="D71" s="162" t="b">
        <f t="shared" si="3"/>
        <v>1</v>
      </c>
    </row>
    <row r="72" spans="1:4" x14ac:dyDescent="0.35">
      <c r="B72" s="59" t="s">
        <v>5290</v>
      </c>
      <c r="C72">
        <f t="shared" si="2"/>
        <v>0</v>
      </c>
      <c r="D72" s="162" t="b">
        <f t="shared" si="3"/>
        <v>1</v>
      </c>
    </row>
    <row r="73" spans="1:4" x14ac:dyDescent="0.35">
      <c r="B73" s="59" t="s">
        <v>5293</v>
      </c>
      <c r="C73">
        <f t="shared" si="2"/>
        <v>0</v>
      </c>
      <c r="D73" s="162" t="b">
        <f t="shared" si="3"/>
        <v>1</v>
      </c>
    </row>
    <row r="74" spans="1:4" x14ac:dyDescent="0.35">
      <c r="B74" s="59" t="s">
        <v>5294</v>
      </c>
      <c r="C74">
        <f t="shared" si="2"/>
        <v>0</v>
      </c>
      <c r="D74" s="162" t="b">
        <f t="shared" si="3"/>
        <v>1</v>
      </c>
    </row>
    <row r="75" spans="1:4" x14ac:dyDescent="0.35">
      <c r="B75" s="59" t="s">
        <v>5295</v>
      </c>
    </row>
    <row r="76" spans="1:4" x14ac:dyDescent="0.35">
      <c r="B76" s="160"/>
    </row>
    <row r="77" spans="1:4" x14ac:dyDescent="0.35">
      <c r="B77" s="160"/>
    </row>
    <row r="78" spans="1:4" x14ac:dyDescent="0.35">
      <c r="B78" s="160"/>
    </row>
    <row r="79" spans="1:4" x14ac:dyDescent="0.35">
      <c r="B79" s="160"/>
    </row>
    <row r="80" spans="1:4" x14ac:dyDescent="0.35">
      <c r="B80" s="160"/>
    </row>
    <row r="81" spans="1:2" x14ac:dyDescent="0.35">
      <c r="B81" s="160"/>
    </row>
    <row r="82" spans="1:2" x14ac:dyDescent="0.35">
      <c r="B82" s="160"/>
    </row>
    <row r="83" spans="1:2" x14ac:dyDescent="0.35">
      <c r="B83" s="160"/>
    </row>
    <row r="84" spans="1:2" x14ac:dyDescent="0.35">
      <c r="A84" s="169"/>
      <c r="B84" s="160"/>
    </row>
    <row r="85" spans="1:2" x14ac:dyDescent="0.35">
      <c r="A85" s="169"/>
      <c r="B85" s="160"/>
    </row>
    <row r="86" spans="1:2" x14ac:dyDescent="0.35">
      <c r="A86" s="169"/>
      <c r="B86" s="160"/>
    </row>
    <row r="87" spans="1:2" x14ac:dyDescent="0.35">
      <c r="A87" s="169"/>
      <c r="B87" s="160"/>
    </row>
    <row r="88" spans="1:2" x14ac:dyDescent="0.35">
      <c r="A88" s="169"/>
      <c r="B88" s="160"/>
    </row>
    <row r="89" spans="1:2" x14ac:dyDescent="0.35">
      <c r="A89" s="183"/>
      <c r="B89" s="160"/>
    </row>
    <row r="90" spans="1:2" x14ac:dyDescent="0.35">
      <c r="A90" s="183"/>
      <c r="B90" s="160"/>
    </row>
    <row r="91" spans="1:2" x14ac:dyDescent="0.35">
      <c r="A91" s="183"/>
      <c r="B91" s="160"/>
    </row>
    <row r="92" spans="1:2" x14ac:dyDescent="0.35">
      <c r="A92" s="183"/>
      <c r="B92" s="160"/>
    </row>
    <row r="93" spans="1:2" x14ac:dyDescent="0.35">
      <c r="A93" s="183"/>
      <c r="B93" s="160"/>
    </row>
    <row r="94" spans="1:2" x14ac:dyDescent="0.35">
      <c r="B94" s="160"/>
    </row>
    <row r="95" spans="1:2" x14ac:dyDescent="0.35">
      <c r="B95" s="160"/>
    </row>
    <row r="96" spans="1:2" x14ac:dyDescent="0.35">
      <c r="B96" s="160"/>
    </row>
    <row r="97" spans="2:2" x14ac:dyDescent="0.35">
      <c r="B97" s="160"/>
    </row>
    <row r="98" spans="2:2" x14ac:dyDescent="0.35">
      <c r="B98" s="160"/>
    </row>
    <row r="99" spans="2:2" x14ac:dyDescent="0.35">
      <c r="B99" s="160"/>
    </row>
    <row r="100" spans="2:2" x14ac:dyDescent="0.35">
      <c r="B100" s="160"/>
    </row>
    <row r="101" spans="2:2" x14ac:dyDescent="0.35">
      <c r="B101" s="189"/>
    </row>
    <row r="102" spans="2:2" x14ac:dyDescent="0.35">
      <c r="B102" s="189"/>
    </row>
    <row r="103" spans="2:2" x14ac:dyDescent="0.35">
      <c r="B103" s="189"/>
    </row>
    <row r="104" spans="2:2" x14ac:dyDescent="0.35">
      <c r="B104" s="189"/>
    </row>
    <row r="105" spans="2:2" x14ac:dyDescent="0.35">
      <c r="B105" s="180"/>
    </row>
    <row r="106" spans="2:2" x14ac:dyDescent="0.35">
      <c r="B106" s="180"/>
    </row>
    <row r="107" spans="2:2" x14ac:dyDescent="0.35">
      <c r="B107" s="180"/>
    </row>
    <row r="108" spans="2:2" x14ac:dyDescent="0.35">
      <c r="B108" s="180"/>
    </row>
  </sheetData>
  <autoFilter ref="A1:D1" xr:uid="{3859BD3D-2709-477E-BBC9-D65668A810B4}"/>
  <dataValidations count="1">
    <dataValidation type="textLength" operator="lessThanOrEqual" allowBlank="1" showInputMessage="1" showErrorMessage="1" error="Invoice number cannot be greater 18 characters" sqref="A51:A93 B2:B48 A2:A26" xr:uid="{808CB01A-3929-480B-8D84-6D4C7918C0DA}">
      <formula1>18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</vt:i4>
      </vt:variant>
    </vt:vector>
  </HeadingPairs>
  <TitlesOfParts>
    <vt:vector size="28" baseType="lpstr">
      <vt:lpstr>jan23</vt:lpstr>
      <vt:lpstr>Feb23</vt:lpstr>
      <vt:lpstr>Sheet3</vt:lpstr>
      <vt:lpstr>Deb nov 24 billwise (2)</vt:lpstr>
      <vt:lpstr>Deb June24</vt:lpstr>
      <vt:lpstr>Deb Jul 24 billwise (2)</vt:lpstr>
      <vt:lpstr>Deb June24 billwise</vt:lpstr>
      <vt:lpstr>Deb 24 billwise (2)</vt:lpstr>
      <vt:lpstr>Pivot</vt:lpstr>
      <vt:lpstr>Deb Mar 25 bill_extr</vt:lpstr>
      <vt:lpstr>Deb Jan 25 billwise_org</vt:lpstr>
      <vt:lpstr>cr_Aug-25 billwsie (2)</vt:lpstr>
      <vt:lpstr>Deb Sep 25 billwise_ext</vt:lpstr>
      <vt:lpstr>Deb nov 25 billwise (2)</vt:lpstr>
      <vt:lpstr>Deb July 26 billwise</vt:lpstr>
      <vt:lpstr>Deb July 26 billwise_extr</vt:lpstr>
      <vt:lpstr>Deb June 26 billwise</vt:lpstr>
      <vt:lpstr>Sheet4</vt:lpstr>
      <vt:lpstr>Sheet1</vt:lpstr>
      <vt:lpstr>Dr_check</vt:lpstr>
      <vt:lpstr>other details</vt:lpstr>
      <vt:lpstr>sal reg</vt:lpstr>
      <vt:lpstr>Cr Jul</vt:lpstr>
      <vt:lpstr>cr_JuLY-26 billwsie</vt:lpstr>
      <vt:lpstr>cr_June-26 billwsie</vt:lpstr>
      <vt:lpstr>Cr_check</vt:lpstr>
      <vt:lpstr>Pivot!Print_Area</vt:lpstr>
      <vt:lpstr>Pivot!Print_Titles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VORA</dc:creator>
  <cp:lastModifiedBy>Jigar Mehta</cp:lastModifiedBy>
  <cp:lastPrinted>2026-08-20T12:19:13Z</cp:lastPrinted>
  <dcterms:created xsi:type="dcterms:W3CDTF">2015-06-05T18:17:20Z</dcterms:created>
  <dcterms:modified xsi:type="dcterms:W3CDTF">2026-08-21T05:11:13Z</dcterms:modified>
</cp:coreProperties>
</file>